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https://d.docs.live.net/71692ea338018216/Desktop MacAir/Projects/wacc-ferroviario/2. codigo/ferroviario_CMPC_simulacoes/"/>
    </mc:Choice>
  </mc:AlternateContent>
  <xr:revisionPtr revIDLastSave="13" documentId="8_{106B233D-3B7E-2E4F-9351-003633B474D5}" xr6:coauthVersionLast="47" xr6:coauthVersionMax="47" xr10:uidLastSave="{137E2AB1-D46D-8242-9CFC-DB1D196C27FC}"/>
  <bookViews>
    <workbookView xWindow="0" yWindow="720" windowWidth="29400" windowHeight="17320" tabRatio="881" firstSheet="25" activeTab="26" xr2:uid="{00000000-000D-0000-FFFF-FFFF00000000}"/>
  </bookViews>
  <sheets>
    <sheet name="Índice" sheetId="19" r:id="rId1"/>
    <sheet name="Rd_alternativo" sheetId="73" r:id="rId2"/>
    <sheet name="1. Est. de capital e financiame" sheetId="21" r:id="rId3"/>
    <sheet name="Fontes_financiamento" sheetId="8" r:id="rId4"/>
    <sheet name="2. Custo BNDES" sheetId="36" r:id="rId5"/>
    <sheet name="Custo_BNDES" sheetId="17" r:id="rId6"/>
    <sheet name="Efeito_Trib" sheetId="18" r:id="rId7"/>
    <sheet name="Estrutura_capital" sheetId="10" r:id="rId8"/>
    <sheet name="5. Debêntures " sheetId="23" r:id="rId9"/>
    <sheet name="Deb_DI" sheetId="15" r:id="rId10"/>
    <sheet name="Deb_IPCA" sheetId="14" r:id="rId11"/>
    <sheet name="6. BETA" sheetId="55" r:id="rId12"/>
    <sheet name="7. B. Vale" sheetId="59" r:id="rId13"/>
    <sheet name="8. B. Rumo" sheetId="60" r:id="rId14"/>
    <sheet name="9. B. Cosan" sheetId="56" r:id="rId15"/>
    <sheet name="10. B. Usiminas" sheetId="70" r:id="rId16"/>
    <sheet name="11. B. Gerdau" sheetId="71" r:id="rId17"/>
    <sheet name="12. B. CSN" sheetId="72" r:id="rId18"/>
    <sheet name="13. VALE3" sheetId="40" r:id="rId19"/>
    <sheet name="14. RAIL3" sheetId="41" r:id="rId20"/>
    <sheet name="15. CSAN3" sheetId="58" r:id="rId21"/>
    <sheet name="16.USIM5" sheetId="67" r:id="rId22"/>
    <sheet name="17. GGBR4" sheetId="68" r:id="rId23"/>
    <sheet name="18. CSNA3" sheetId="69" r:id="rId24"/>
    <sheet name="19. IBOV" sheetId="45" r:id="rId25"/>
    <sheet name="Beta" sheetId="12" r:id="rId26"/>
    <sheet name="14. PRM" sheetId="64" r:id="rId27"/>
    <sheet name="15. S&amp;P500" sheetId="43" r:id="rId28"/>
    <sheet name="16. câmbio USD-BRL" sheetId="44" r:id="rId29"/>
    <sheet name="17. câmbio USD-EUR" sheetId="63" r:id="rId30"/>
    <sheet name="18. US 10Y Yield" sheetId="39" r:id="rId31"/>
    <sheet name="19. CPI" sheetId="52" r:id="rId32"/>
    <sheet name="20. CDS 10y" sheetId="53" r:id="rId33"/>
    <sheet name="PRM.3" sheetId="74" r:id="rId34"/>
    <sheet name="PRM.1" sheetId="6" r:id="rId35"/>
    <sheet name="PRM.2" sheetId="65" r:id="rId36"/>
    <sheet name="21. TLP e IDkA 5anos" sheetId="50" r:id="rId37"/>
    <sheet name="22. IDKA 5 anos" sheetId="31" r:id="rId38"/>
    <sheet name="IDKA5" sheetId="51" r:id="rId39"/>
    <sheet name="TLP pre" sheetId="2" r:id="rId40"/>
    <sheet name="23. IPCA" sheetId="32" r:id="rId41"/>
    <sheet name="IPCA" sheetId="4" r:id="rId42"/>
    <sheet name="24. CDI" sheetId="33" r:id="rId43"/>
    <sheet name="CDI" sheetId="3" r:id="rId44"/>
    <sheet name="Iteracoes" sheetId="37" r:id="rId45"/>
  </sheets>
  <externalReferences>
    <externalReference r:id="rId46"/>
    <externalReference r:id="rId47"/>
  </externalReferences>
  <definedNames>
    <definedName name="_xlnm._FilterDatabase" localSheetId="30" hidden="1">'18. US 10Y Yield'!$A$2:$B$2</definedName>
    <definedName name="_xlnm._FilterDatabase" localSheetId="37" hidden="1">'22. IDKA 5 anos'!$A$2:$G$4075</definedName>
    <definedName name="_xlnm._FilterDatabase" localSheetId="8" hidden="1">'5. Debêntures '!$A$2:$N$2</definedName>
    <definedName name="_xlchart.v1.0" hidden="1">'24. CDI'!$B$3</definedName>
    <definedName name="_xlchart.v1.1" hidden="1">'24. CDI'!$B$4:$B$208</definedName>
    <definedName name="METODOS_INSTALACAO_BT">[1]Cabos_BT!$A$56:$A$67</definedName>
    <definedName name="nova" localSheetId="20">#REF!</definedName>
    <definedName name="nova" localSheetId="29">#REF!</definedName>
    <definedName name="nova" localSheetId="11">#REF!</definedName>
    <definedName name="nova" localSheetId="12">#REF!</definedName>
    <definedName name="nova" localSheetId="13">#REF!</definedName>
    <definedName name="nova" localSheetId="14">#REF!</definedName>
    <definedName name="nova">#REF!</definedName>
    <definedName name="RESISTENCIAS_CABOS_BT">[1]Cabos_BT!$A$32:$D$52</definedName>
    <definedName name="SERVICO_CARGA">[2]Apoio!$A$1:$A$11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458" i="39" l="1"/>
  <c r="H911" i="52"/>
  <c r="C914" i="52"/>
  <c r="J114" i="6"/>
  <c r="J111" i="6"/>
  <c r="J107" i="6"/>
  <c r="J108" i="6"/>
  <c r="J109" i="6"/>
  <c r="I114" i="6"/>
  <c r="J106" i="6"/>
  <c r="I107" i="6"/>
  <c r="I108" i="6"/>
  <c r="I109" i="6"/>
  <c r="I106" i="6"/>
  <c r="G12" i="53"/>
  <c r="G13" i="53"/>
  <c r="G14" i="53"/>
  <c r="G15" i="53"/>
  <c r="G16" i="53"/>
  <c r="G17" i="53"/>
  <c r="G18" i="5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K102" i="73"/>
  <c r="K103" i="73"/>
  <c r="K104" i="73"/>
  <c r="K105" i="73"/>
  <c r="K106" i="73"/>
  <c r="K107" i="73"/>
  <c r="K108" i="73"/>
  <c r="K109" i="73"/>
  <c r="K110" i="73"/>
  <c r="K111" i="73"/>
  <c r="K112" i="73"/>
  <c r="K113" i="73"/>
  <c r="K114" i="73"/>
  <c r="K115" i="73"/>
  <c r="K116" i="73"/>
  <c r="K117" i="73"/>
  <c r="K118" i="73"/>
  <c r="K119" i="73"/>
  <c r="K120" i="73"/>
  <c r="K121" i="73"/>
  <c r="K2" i="73"/>
  <c r="E3" i="73"/>
  <c r="E4" i="73"/>
  <c r="E5" i="73"/>
  <c r="E6" i="73"/>
  <c r="E7" i="73"/>
  <c r="E8" i="73"/>
  <c r="E9" i="73"/>
  <c r="E10" i="73"/>
  <c r="E11" i="73"/>
  <c r="E12" i="73"/>
  <c r="E13" i="73"/>
  <c r="E14" i="73"/>
  <c r="E15" i="73"/>
  <c r="E16" i="73"/>
  <c r="E17" i="73"/>
  <c r="E18" i="73"/>
  <c r="E19" i="73"/>
  <c r="E20" i="73"/>
  <c r="E21" i="73"/>
  <c r="E22" i="73"/>
  <c r="E23" i="73"/>
  <c r="E24" i="73"/>
  <c r="E25" i="73"/>
  <c r="E26" i="73"/>
  <c r="E27" i="73"/>
  <c r="E28" i="73"/>
  <c r="E29" i="73"/>
  <c r="E30" i="73"/>
  <c r="E31" i="73"/>
  <c r="E32" i="73"/>
  <c r="E33" i="73"/>
  <c r="E34" i="73"/>
  <c r="E35" i="73"/>
  <c r="E36" i="73"/>
  <c r="E37" i="73"/>
  <c r="E38" i="73"/>
  <c r="E39" i="73"/>
  <c r="E40" i="73"/>
  <c r="E41" i="73"/>
  <c r="E42" i="73"/>
  <c r="E43" i="73"/>
  <c r="E44" i="73"/>
  <c r="E45" i="73"/>
  <c r="E46" i="73"/>
  <c r="E47" i="73"/>
  <c r="E48" i="73"/>
  <c r="E49" i="73"/>
  <c r="E50" i="73"/>
  <c r="E51" i="73"/>
  <c r="E52" i="73"/>
  <c r="E53" i="73"/>
  <c r="E54" i="73"/>
  <c r="E55" i="73"/>
  <c r="E56" i="73"/>
  <c r="E57" i="73"/>
  <c r="E58" i="73"/>
  <c r="E59" i="73"/>
  <c r="E60" i="73"/>
  <c r="E61" i="73"/>
  <c r="E62" i="73"/>
  <c r="E63" i="73"/>
  <c r="E64" i="73"/>
  <c r="E65" i="73"/>
  <c r="E66" i="73"/>
  <c r="E67" i="73"/>
  <c r="E68" i="73"/>
  <c r="E69" i="73"/>
  <c r="E70" i="73"/>
  <c r="E71" i="73"/>
  <c r="E72" i="73"/>
  <c r="E73" i="73"/>
  <c r="E74" i="73"/>
  <c r="E75" i="73"/>
  <c r="E76" i="73"/>
  <c r="E77" i="73"/>
  <c r="E78" i="73"/>
  <c r="E79" i="73"/>
  <c r="E80" i="73"/>
  <c r="E81" i="73"/>
  <c r="E82" i="73"/>
  <c r="E83" i="73"/>
  <c r="E84" i="73"/>
  <c r="E85" i="73"/>
  <c r="E86" i="73"/>
  <c r="E87" i="73"/>
  <c r="E88" i="73"/>
  <c r="E89" i="73"/>
  <c r="E90" i="73"/>
  <c r="E91" i="73"/>
  <c r="E92" i="73"/>
  <c r="E93" i="73"/>
  <c r="E94" i="73"/>
  <c r="E95" i="73"/>
  <c r="E96" i="73"/>
  <c r="E97" i="73"/>
  <c r="E98" i="73"/>
  <c r="E99" i="73"/>
  <c r="E100" i="73"/>
  <c r="E101" i="73"/>
  <c r="E102" i="73"/>
  <c r="E103" i="73"/>
  <c r="E104" i="73"/>
  <c r="E105" i="73"/>
  <c r="E106" i="73"/>
  <c r="E107" i="73"/>
  <c r="E108" i="73"/>
  <c r="E109" i="73"/>
  <c r="E110" i="73"/>
  <c r="E111" i="73"/>
  <c r="E112" i="73"/>
  <c r="E113" i="73"/>
  <c r="E114" i="73"/>
  <c r="E115" i="73"/>
  <c r="E116" i="73"/>
  <c r="E117" i="73"/>
  <c r="E118" i="73"/>
  <c r="E119" i="73"/>
  <c r="E120" i="73"/>
  <c r="E121" i="73"/>
  <c r="E2" i="73"/>
  <c r="B2" i="12"/>
  <c r="A2" i="12"/>
  <c r="I59" i="55"/>
  <c r="I58" i="55"/>
  <c r="G6" i="55"/>
  <c r="G7" i="55"/>
  <c r="G8" i="55"/>
  <c r="G9" i="55"/>
  <c r="G10" i="55"/>
  <c r="F6" i="55"/>
  <c r="F7" i="55"/>
  <c r="F8" i="55"/>
  <c r="F9" i="55"/>
  <c r="F10" i="55"/>
  <c r="G5" i="55"/>
  <c r="F5" i="55"/>
  <c r="G59" i="55"/>
  <c r="G60" i="55"/>
  <c r="G61" i="55"/>
  <c r="G62" i="55"/>
  <c r="G63" i="55"/>
  <c r="G58" i="55"/>
  <c r="G31" i="55"/>
  <c r="G30" i="55"/>
  <c r="G29" i="55"/>
  <c r="G28" i="55"/>
  <c r="G27" i="55"/>
  <c r="G26" i="55"/>
  <c r="M48" i="55"/>
  <c r="A2" i="65"/>
  <c r="A3" i="65"/>
  <c r="A4" i="65"/>
  <c r="A5" i="65"/>
  <c r="A6" i="65"/>
  <c r="A7" i="65"/>
  <c r="A8" i="65"/>
  <c r="A9" i="65"/>
  <c r="A10" i="65"/>
  <c r="A11" i="65"/>
  <c r="A12" i="65"/>
  <c r="A13" i="65"/>
  <c r="A14" i="65"/>
  <c r="A15" i="65"/>
  <c r="A16" i="65"/>
  <c r="A17" i="65"/>
  <c r="A18" i="65"/>
  <c r="A19" i="65"/>
  <c r="A20" i="65"/>
  <c r="A21" i="65"/>
  <c r="A22" i="65"/>
  <c r="A23" i="65"/>
  <c r="A24" i="65"/>
  <c r="A25" i="65"/>
  <c r="A26" i="65"/>
  <c r="A27" i="65"/>
  <c r="A28" i="65"/>
  <c r="A29" i="65"/>
  <c r="A30" i="65"/>
  <c r="A31" i="65"/>
  <c r="A32" i="65"/>
  <c r="A33" i="65"/>
  <c r="A34" i="65"/>
  <c r="A35" i="65"/>
  <c r="A36" i="65"/>
  <c r="A37" i="65"/>
  <c r="A38" i="65"/>
  <c r="A39" i="65"/>
  <c r="A40" i="65"/>
  <c r="A41" i="65"/>
  <c r="A42" i="65"/>
  <c r="A43" i="65"/>
  <c r="A44" i="65"/>
  <c r="A45" i="65"/>
  <c r="A46" i="65"/>
  <c r="A47" i="65"/>
  <c r="A48" i="65"/>
  <c r="A49" i="65"/>
  <c r="A50" i="65"/>
  <c r="A51" i="65"/>
  <c r="A52" i="65"/>
  <c r="A53" i="65"/>
  <c r="A54" i="65"/>
  <c r="A55" i="65"/>
  <c r="A56" i="65"/>
  <c r="A57" i="65"/>
  <c r="A58" i="65"/>
  <c r="A59" i="65"/>
  <c r="A60" i="65"/>
  <c r="A61" i="65"/>
  <c r="A62" i="65"/>
  <c r="A63" i="65"/>
  <c r="A64" i="65"/>
  <c r="A65" i="65"/>
  <c r="A66" i="65"/>
  <c r="A67" i="65"/>
  <c r="A68" i="65"/>
  <c r="A69" i="65"/>
  <c r="A70" i="65"/>
  <c r="A71" i="65"/>
  <c r="A72" i="65"/>
  <c r="A73" i="65"/>
  <c r="A74" i="65"/>
  <c r="A75" i="65"/>
  <c r="A76" i="65"/>
  <c r="A77" i="65"/>
  <c r="A78" i="65"/>
  <c r="A79" i="65"/>
  <c r="A80" i="65"/>
  <c r="A81" i="65"/>
  <c r="A82" i="65"/>
  <c r="A83" i="65"/>
  <c r="A84" i="65"/>
  <c r="A85" i="65"/>
  <c r="A86" i="65"/>
  <c r="A87" i="65"/>
  <c r="A88" i="65"/>
  <c r="A89" i="65"/>
  <c r="A90" i="65"/>
  <c r="A91" i="65"/>
  <c r="A92" i="65"/>
  <c r="A93" i="65"/>
  <c r="A94" i="65"/>
  <c r="A95" i="65"/>
  <c r="A96" i="65"/>
  <c r="A97" i="65"/>
  <c r="A98" i="65"/>
  <c r="A99" i="65"/>
  <c r="A100" i="65"/>
  <c r="A101" i="65"/>
  <c r="A102" i="65"/>
  <c r="A103" i="65"/>
  <c r="A104" i="65"/>
  <c r="A105" i="65"/>
  <c r="A106" i="65"/>
  <c r="A107" i="65"/>
  <c r="A108" i="65"/>
  <c r="A109" i="65"/>
  <c r="A110" i="65"/>
  <c r="A111" i="65"/>
  <c r="A112" i="65"/>
  <c r="A113" i="65"/>
  <c r="A114" i="65"/>
  <c r="A115" i="65"/>
  <c r="A116" i="65"/>
  <c r="A117" i="65"/>
  <c r="A118" i="65"/>
  <c r="A119" i="65"/>
  <c r="A120" i="65"/>
  <c r="A121" i="65"/>
  <c r="A122" i="65"/>
  <c r="A123" i="65"/>
  <c r="A124" i="65"/>
  <c r="A125" i="65"/>
  <c r="A126" i="65"/>
  <c r="A127" i="65"/>
  <c r="A128" i="65"/>
  <c r="A129" i="65"/>
  <c r="A130" i="65"/>
  <c r="A131" i="65"/>
  <c r="A132" i="65"/>
  <c r="A133" i="65"/>
  <c r="A134" i="65"/>
  <c r="A135" i="65"/>
  <c r="A136" i="65"/>
  <c r="A137" i="65"/>
  <c r="A138" i="65"/>
  <c r="A139" i="65"/>
  <c r="A140" i="65"/>
  <c r="A141" i="65"/>
  <c r="A142" i="65"/>
  <c r="A143" i="65"/>
  <c r="A144" i="65"/>
  <c r="A145" i="65"/>
  <c r="A146" i="65"/>
  <c r="A147" i="65"/>
  <c r="A148" i="65"/>
  <c r="A149" i="65"/>
  <c r="A150" i="65"/>
  <c r="A151" i="65"/>
  <c r="A152" i="65"/>
  <c r="A153" i="65"/>
  <c r="A154" i="65"/>
  <c r="A155" i="65"/>
  <c r="A156" i="65"/>
  <c r="A157" i="65"/>
  <c r="A158" i="65"/>
  <c r="A159" i="65"/>
  <c r="A160" i="65"/>
  <c r="A161" i="65"/>
  <c r="A162" i="65"/>
  <c r="A163" i="65"/>
  <c r="A164" i="65"/>
  <c r="A165" i="65"/>
  <c r="A166" i="65"/>
  <c r="A167" i="65"/>
  <c r="A168" i="65"/>
  <c r="A169" i="65"/>
  <c r="A170" i="65"/>
  <c r="A171" i="65"/>
  <c r="A172" i="65"/>
  <c r="A173" i="65"/>
  <c r="A174" i="65"/>
  <c r="A175" i="65"/>
  <c r="A176" i="65"/>
  <c r="A177" i="65"/>
  <c r="A178" i="65"/>
  <c r="A179" i="65"/>
  <c r="A180" i="65"/>
  <c r="A181" i="65"/>
  <c r="A182" i="65"/>
  <c r="A183" i="65"/>
  <c r="A184" i="65"/>
  <c r="A185" i="65"/>
  <c r="A186" i="65"/>
  <c r="A187" i="65"/>
  <c r="A188" i="65"/>
  <c r="A189" i="65"/>
  <c r="A190" i="65"/>
  <c r="A191" i="65"/>
  <c r="A192" i="65"/>
  <c r="A193" i="65"/>
  <c r="A194" i="65"/>
  <c r="A195" i="65"/>
  <c r="A196" i="65"/>
  <c r="A197" i="65"/>
  <c r="A198" i="65"/>
  <c r="A199" i="65"/>
  <c r="A200" i="65"/>
  <c r="A201" i="65"/>
  <c r="A202" i="65"/>
  <c r="A203" i="65"/>
  <c r="A204" i="65"/>
  <c r="A205" i="65"/>
  <c r="A206" i="65"/>
  <c r="A207" i="65"/>
  <c r="A208" i="65"/>
  <c r="A209" i="65"/>
  <c r="A210" i="65"/>
  <c r="A211" i="65"/>
  <c r="A212" i="65"/>
  <c r="A213" i="65"/>
  <c r="A214" i="65"/>
  <c r="A215" i="65"/>
  <c r="A216" i="65"/>
  <c r="A217" i="65"/>
  <c r="A218" i="65"/>
  <c r="A219" i="65"/>
  <c r="A220" i="65"/>
  <c r="A221" i="65"/>
  <c r="A222" i="65"/>
  <c r="A223" i="65"/>
  <c r="A224" i="65"/>
  <c r="A225" i="65"/>
  <c r="A226" i="65"/>
  <c r="A227" i="65"/>
  <c r="A228" i="65"/>
  <c r="A229" i="65"/>
  <c r="A230" i="65"/>
  <c r="A231" i="65"/>
  <c r="A232" i="65"/>
  <c r="A233" i="65"/>
  <c r="A234" i="65"/>
  <c r="A235" i="65"/>
  <c r="A236" i="65"/>
  <c r="A237" i="65"/>
  <c r="A238" i="65"/>
  <c r="A239" i="65"/>
  <c r="A240" i="65"/>
  <c r="A241" i="65"/>
  <c r="B2" i="10" l="1"/>
  <c r="A2" i="10"/>
  <c r="M53" i="55"/>
  <c r="M52" i="55"/>
  <c r="M51" i="55"/>
  <c r="A113" i="2"/>
  <c r="A114" i="2"/>
  <c r="A115" i="2"/>
  <c r="A116" i="2"/>
  <c r="A117" i="2"/>
  <c r="A118" i="2"/>
  <c r="A119" i="2"/>
  <c r="A120" i="2"/>
  <c r="A121" i="2"/>
  <c r="A122" i="2"/>
  <c r="A123" i="2"/>
  <c r="A124" i="2"/>
  <c r="A113" i="51"/>
  <c r="A114" i="51"/>
  <c r="A115" i="51"/>
  <c r="A116" i="51"/>
  <c r="A117" i="51"/>
  <c r="A118" i="51"/>
  <c r="A119" i="51"/>
  <c r="A120" i="51"/>
  <c r="A121" i="51"/>
  <c r="A122" i="51"/>
  <c r="A123" i="51"/>
  <c r="A124" i="51"/>
  <c r="C185" i="50"/>
  <c r="C186" i="50"/>
  <c r="C187" i="50"/>
  <c r="C188" i="50"/>
  <c r="C189" i="50"/>
  <c r="C190" i="50"/>
  <c r="C191" i="50"/>
  <c r="C192" i="50"/>
  <c r="C194" i="50"/>
  <c r="B113" i="51" s="1"/>
  <c r="C195" i="50"/>
  <c r="B114" i="51" s="1"/>
  <c r="C196" i="50"/>
  <c r="B115" i="51" s="1"/>
  <c r="C197" i="50"/>
  <c r="B116" i="51" s="1"/>
  <c r="C198" i="50"/>
  <c r="B117" i="51" s="1"/>
  <c r="C199" i="50"/>
  <c r="B118" i="51" s="1"/>
  <c r="C200" i="50"/>
  <c r="B119" i="51" s="1"/>
  <c r="C201" i="50"/>
  <c r="B120" i="51" s="1"/>
  <c r="C202" i="50"/>
  <c r="B121" i="51" s="1"/>
  <c r="C203" i="50"/>
  <c r="B122" i="51" s="1"/>
  <c r="C204" i="50"/>
  <c r="B123" i="51" s="1"/>
  <c r="C205" i="50"/>
  <c r="B124" i="51" s="1"/>
  <c r="G4076" i="31"/>
  <c r="G4077" i="31"/>
  <c r="G4078" i="31"/>
  <c r="G4079" i="31"/>
  <c r="G4080" i="31"/>
  <c r="G4081" i="31"/>
  <c r="B194" i="50"/>
  <c r="B113" i="2" s="1"/>
  <c r="G4082" i="31"/>
  <c r="G4083" i="31"/>
  <c r="G4084" i="31"/>
  <c r="G4085" i="31"/>
  <c r="G4086" i="31"/>
  <c r="G4087" i="31"/>
  <c r="G4088" i="31"/>
  <c r="G4089" i="31"/>
  <c r="G4090" i="31"/>
  <c r="G4091" i="31"/>
  <c r="G4092" i="31"/>
  <c r="G4093" i="31"/>
  <c r="G4094" i="31"/>
  <c r="G4095" i="31"/>
  <c r="G4096" i="31"/>
  <c r="G4097" i="31"/>
  <c r="G4098" i="31"/>
  <c r="G4099" i="31"/>
  <c r="G4100" i="31"/>
  <c r="G4101" i="31"/>
  <c r="G4102" i="31"/>
  <c r="G4103" i="31"/>
  <c r="G4104" i="31"/>
  <c r="G4105" i="31"/>
  <c r="G4106" i="31"/>
  <c r="G4107" i="31"/>
  <c r="G4108" i="31"/>
  <c r="G4109" i="31"/>
  <c r="G4110" i="31"/>
  <c r="G4111" i="31"/>
  <c r="G4112" i="31"/>
  <c r="G4113" i="31"/>
  <c r="G4114" i="31"/>
  <c r="G4115" i="31"/>
  <c r="G4116" i="31"/>
  <c r="G4117" i="31"/>
  <c r="G4118" i="31"/>
  <c r="G4119" i="31"/>
  <c r="B195" i="50" s="1"/>
  <c r="B114" i="2" s="1"/>
  <c r="G4120" i="31"/>
  <c r="G4121" i="31"/>
  <c r="G4122" i="31"/>
  <c r="G4123" i="31"/>
  <c r="G4124" i="31"/>
  <c r="G4125" i="31"/>
  <c r="G4126" i="31"/>
  <c r="G4127" i="31"/>
  <c r="G4128" i="31"/>
  <c r="G4129" i="31"/>
  <c r="G4130" i="31"/>
  <c r="G4131" i="31"/>
  <c r="G4132" i="31"/>
  <c r="G4133" i="31"/>
  <c r="G4134" i="31"/>
  <c r="G4135" i="31"/>
  <c r="G4136" i="31"/>
  <c r="G4137" i="31"/>
  <c r="G4138" i="31"/>
  <c r="G4139" i="31"/>
  <c r="G4140" i="31"/>
  <c r="G4141" i="31"/>
  <c r="G4142" i="31"/>
  <c r="G4143" i="31"/>
  <c r="G4144" i="31"/>
  <c r="G4145" i="31"/>
  <c r="G4146" i="31"/>
  <c r="G4147" i="31"/>
  <c r="G4148" i="31"/>
  <c r="G4149" i="31"/>
  <c r="G4150" i="31"/>
  <c r="G4151" i="31"/>
  <c r="G4152" i="31"/>
  <c r="G4153" i="31"/>
  <c r="G4154" i="31"/>
  <c r="G4155" i="31"/>
  <c r="G4156" i="31"/>
  <c r="G4157" i="31"/>
  <c r="G4158" i="31"/>
  <c r="G4159" i="31"/>
  <c r="G4160" i="31"/>
  <c r="G4161" i="31"/>
  <c r="G4162" i="31"/>
  <c r="G4163" i="31"/>
  <c r="B196" i="50" s="1"/>
  <c r="B115" i="2" s="1"/>
  <c r="G4164" i="31"/>
  <c r="G4165" i="31"/>
  <c r="G4166" i="31"/>
  <c r="G4167" i="31"/>
  <c r="G4168" i="31"/>
  <c r="G4169" i="31"/>
  <c r="G4170" i="31"/>
  <c r="G4171" i="31"/>
  <c r="G4172" i="31"/>
  <c r="G4173" i="31"/>
  <c r="G4174" i="31"/>
  <c r="G4175" i="31"/>
  <c r="G4176" i="31"/>
  <c r="G4177" i="31"/>
  <c r="G4178" i="31"/>
  <c r="G4179" i="31"/>
  <c r="G4180" i="31"/>
  <c r="G4181" i="31"/>
  <c r="G4182" i="31"/>
  <c r="G4183" i="31"/>
  <c r="G4184" i="31"/>
  <c r="G4185" i="31"/>
  <c r="G4186" i="31"/>
  <c r="G4187" i="31"/>
  <c r="G4188" i="31"/>
  <c r="G4189" i="31"/>
  <c r="G4190" i="31"/>
  <c r="G4191" i="31"/>
  <c r="G4192" i="31"/>
  <c r="G4193" i="31"/>
  <c r="G4194" i="31"/>
  <c r="G4195" i="31"/>
  <c r="G4196" i="31"/>
  <c r="G4197" i="31"/>
  <c r="G4198" i="31"/>
  <c r="G4199" i="31"/>
  <c r="G4200" i="31"/>
  <c r="G4201" i="31"/>
  <c r="G4202" i="31"/>
  <c r="G4203" i="31"/>
  <c r="G4204" i="31"/>
  <c r="G4205" i="31"/>
  <c r="B197" i="50" s="1"/>
  <c r="B116" i="2" s="1"/>
  <c r="G4206" i="31"/>
  <c r="G4207" i="31"/>
  <c r="G4208" i="31"/>
  <c r="G4209" i="31"/>
  <c r="G4210" i="31"/>
  <c r="G4211" i="31"/>
  <c r="G4212" i="31"/>
  <c r="G4213" i="31"/>
  <c r="G4214" i="31"/>
  <c r="G4215" i="31"/>
  <c r="G4216" i="31"/>
  <c r="G4217" i="31"/>
  <c r="G4218" i="31"/>
  <c r="G4219" i="31"/>
  <c r="G4220" i="31"/>
  <c r="G4221" i="31"/>
  <c r="G4222" i="31"/>
  <c r="G4223" i="31"/>
  <c r="G4224" i="31"/>
  <c r="G4225" i="31"/>
  <c r="G4226" i="31"/>
  <c r="G4227" i="31"/>
  <c r="G4228" i="31"/>
  <c r="G4229" i="31"/>
  <c r="G4230" i="31"/>
  <c r="G4231" i="31"/>
  <c r="G4232" i="31"/>
  <c r="G4233" i="31"/>
  <c r="G4234" i="31"/>
  <c r="G4235" i="31"/>
  <c r="G4236" i="31"/>
  <c r="G4237" i="31"/>
  <c r="G4238" i="31"/>
  <c r="G4239" i="31"/>
  <c r="G4240" i="31"/>
  <c r="G4241" i="31"/>
  <c r="G4242" i="31"/>
  <c r="G4243" i="31"/>
  <c r="G4244" i="31"/>
  <c r="G4245" i="31"/>
  <c r="G4246" i="31"/>
  <c r="G4247" i="31"/>
  <c r="B198" i="50" s="1"/>
  <c r="B117" i="2" s="1"/>
  <c r="G4248" i="31"/>
  <c r="G4249" i="31"/>
  <c r="G4250" i="31"/>
  <c r="G4251" i="31"/>
  <c r="G4252" i="31"/>
  <c r="G4253" i="31"/>
  <c r="G4254" i="31"/>
  <c r="G4255" i="31"/>
  <c r="G4256" i="31"/>
  <c r="G4257" i="31"/>
  <c r="G4258" i="31"/>
  <c r="G4259" i="31"/>
  <c r="G4260" i="31"/>
  <c r="G4261" i="31"/>
  <c r="G4262" i="31"/>
  <c r="G4263" i="31"/>
  <c r="G4264" i="31"/>
  <c r="G4265" i="31"/>
  <c r="G4266" i="31"/>
  <c r="G4267" i="31"/>
  <c r="G4268" i="31"/>
  <c r="G4269" i="31"/>
  <c r="G4270" i="31"/>
  <c r="G4271" i="31"/>
  <c r="G4272" i="31"/>
  <c r="G4273" i="31"/>
  <c r="G4274" i="31"/>
  <c r="G4275" i="31"/>
  <c r="G4276" i="31"/>
  <c r="G4277" i="31"/>
  <c r="G4278" i="31"/>
  <c r="G4279" i="31"/>
  <c r="G4280" i="31"/>
  <c r="G4281" i="31"/>
  <c r="G4282" i="31"/>
  <c r="G4283" i="31"/>
  <c r="G4284" i="31"/>
  <c r="G4285" i="31"/>
  <c r="G4286" i="31"/>
  <c r="G4287" i="31"/>
  <c r="G4288" i="31"/>
  <c r="G4289" i="31"/>
  <c r="G4290" i="31"/>
  <c r="G4291" i="31"/>
  <c r="G4292" i="31"/>
  <c r="G4293" i="31"/>
  <c r="B199" i="50" s="1"/>
  <c r="B118" i="2" s="1"/>
  <c r="G4294" i="31"/>
  <c r="G4295" i="31"/>
  <c r="G4296" i="31"/>
  <c r="G4297" i="31"/>
  <c r="G4298" i="31"/>
  <c r="G4299" i="31"/>
  <c r="G4300" i="31"/>
  <c r="G4301" i="31"/>
  <c r="G4302" i="31"/>
  <c r="G4303" i="31"/>
  <c r="G4304" i="31"/>
  <c r="G4305" i="31"/>
  <c r="G4306" i="31"/>
  <c r="G4307" i="31"/>
  <c r="G4308" i="31"/>
  <c r="G4309" i="31"/>
  <c r="G4310" i="31"/>
  <c r="G4311" i="31"/>
  <c r="G4312" i="31"/>
  <c r="G4313" i="31"/>
  <c r="G4314" i="31"/>
  <c r="G4315" i="31"/>
  <c r="G4316" i="31"/>
  <c r="G4317" i="31"/>
  <c r="G4318" i="31"/>
  <c r="G4319" i="31"/>
  <c r="G4320" i="31"/>
  <c r="G4321" i="31"/>
  <c r="G4322" i="31"/>
  <c r="G4323" i="31"/>
  <c r="G4324" i="31"/>
  <c r="G4325" i="31"/>
  <c r="G4326" i="31"/>
  <c r="G4327" i="31"/>
  <c r="G4328" i="31"/>
  <c r="G4329" i="31"/>
  <c r="G4330" i="31"/>
  <c r="G4331" i="31"/>
  <c r="G4332" i="31"/>
  <c r="G4333" i="31"/>
  <c r="G4334" i="31"/>
  <c r="G4335" i="31"/>
  <c r="B200" i="50" s="1"/>
  <c r="B119" i="2" s="1"/>
  <c r="G4336" i="31"/>
  <c r="G4337" i="31"/>
  <c r="G4338" i="31"/>
  <c r="G4339" i="31"/>
  <c r="G4340" i="31"/>
  <c r="G4341" i="31"/>
  <c r="G4342" i="31"/>
  <c r="G4343" i="31"/>
  <c r="G4344" i="31"/>
  <c r="G4345" i="31"/>
  <c r="G4346" i="31"/>
  <c r="G4347" i="31"/>
  <c r="G4348" i="31"/>
  <c r="G4349" i="31"/>
  <c r="G4350" i="31"/>
  <c r="G4351" i="31"/>
  <c r="G4352" i="31"/>
  <c r="G4353" i="31"/>
  <c r="G4354" i="31"/>
  <c r="G4355" i="31"/>
  <c r="G4356" i="31"/>
  <c r="G4357" i="31"/>
  <c r="G4358" i="31"/>
  <c r="G4359" i="31"/>
  <c r="G4360" i="31"/>
  <c r="G4361" i="31"/>
  <c r="G4362" i="31"/>
  <c r="G4363" i="31"/>
  <c r="G4364" i="31"/>
  <c r="G4365" i="31"/>
  <c r="G4366" i="31"/>
  <c r="G4367" i="31"/>
  <c r="G4368" i="31"/>
  <c r="G4369" i="31"/>
  <c r="G4370" i="31"/>
  <c r="G4371" i="31"/>
  <c r="G4372" i="31"/>
  <c r="G4373" i="31"/>
  <c r="G4374" i="31"/>
  <c r="G4375" i="31"/>
  <c r="B201" i="50" s="1"/>
  <c r="B120" i="2" s="1"/>
  <c r="G4376" i="31"/>
  <c r="G4377" i="31"/>
  <c r="G4378" i="31"/>
  <c r="G4379" i="31"/>
  <c r="G4380" i="31"/>
  <c r="G4381" i="31"/>
  <c r="G4382" i="31"/>
  <c r="G4383" i="31"/>
  <c r="G4384" i="31"/>
  <c r="G4385" i="31"/>
  <c r="G4386" i="31"/>
  <c r="G4387" i="31"/>
  <c r="G4388" i="31"/>
  <c r="G4389" i="31"/>
  <c r="G4390" i="31"/>
  <c r="G4391" i="31"/>
  <c r="G4392" i="31"/>
  <c r="G4393" i="31"/>
  <c r="G4394" i="31"/>
  <c r="G4395" i="31"/>
  <c r="G4396" i="31"/>
  <c r="G4397" i="31"/>
  <c r="G4398" i="31"/>
  <c r="G4399" i="31"/>
  <c r="G4400" i="31"/>
  <c r="G4401" i="31"/>
  <c r="G4402" i="31"/>
  <c r="G4403" i="31"/>
  <c r="G4404" i="31"/>
  <c r="G4405" i="31"/>
  <c r="G4406" i="31"/>
  <c r="G4407" i="31"/>
  <c r="G4408" i="31"/>
  <c r="G4409" i="31"/>
  <c r="G4410" i="31"/>
  <c r="G4411" i="31"/>
  <c r="G4412" i="31"/>
  <c r="G4413" i="31"/>
  <c r="G4414" i="31"/>
  <c r="G4415" i="31"/>
  <c r="B202" i="50" s="1"/>
  <c r="B121" i="2" s="1"/>
  <c r="G4416" i="31"/>
  <c r="G4417" i="31"/>
  <c r="G4418" i="31"/>
  <c r="G4419" i="31"/>
  <c r="G4420" i="31"/>
  <c r="G4421" i="31"/>
  <c r="G4422" i="31"/>
  <c r="G4423" i="31"/>
  <c r="G4424" i="31"/>
  <c r="G4425" i="31"/>
  <c r="G4426" i="31"/>
  <c r="G4427" i="31"/>
  <c r="G4428" i="31"/>
  <c r="G4429" i="31"/>
  <c r="G4430" i="31"/>
  <c r="G4431" i="31"/>
  <c r="G4432" i="31"/>
  <c r="G4433" i="31"/>
  <c r="G4434" i="31"/>
  <c r="G4435" i="31"/>
  <c r="G4436" i="31"/>
  <c r="G4437" i="31"/>
  <c r="G4438" i="31"/>
  <c r="G4439" i="31"/>
  <c r="G4440" i="31"/>
  <c r="G4441" i="31"/>
  <c r="G4442" i="31"/>
  <c r="G4443" i="31"/>
  <c r="G4444" i="31"/>
  <c r="G4445" i="31"/>
  <c r="G4446" i="31"/>
  <c r="G4447" i="31"/>
  <c r="G4448" i="31"/>
  <c r="G4449" i="31"/>
  <c r="G4450" i="31"/>
  <c r="G4451" i="31"/>
  <c r="G4452" i="31"/>
  <c r="G4453" i="31"/>
  <c r="G4454" i="31"/>
  <c r="G4455" i="31"/>
  <c r="G4456" i="31"/>
  <c r="G4457" i="31"/>
  <c r="G4458" i="31"/>
  <c r="G4459" i="31"/>
  <c r="B203" i="50" s="1"/>
  <c r="B122" i="2" s="1"/>
  <c r="G4460" i="31"/>
  <c r="G4461" i="31"/>
  <c r="G4462" i="31"/>
  <c r="G4463" i="31"/>
  <c r="G4464" i="31"/>
  <c r="G4465" i="31"/>
  <c r="G4466" i="31"/>
  <c r="G4467" i="31"/>
  <c r="G4468" i="31"/>
  <c r="G4469" i="31"/>
  <c r="G4470" i="31"/>
  <c r="G4471" i="31"/>
  <c r="G4472" i="31"/>
  <c r="G4473" i="31"/>
  <c r="G4474" i="31"/>
  <c r="G4475" i="31"/>
  <c r="G4476" i="31"/>
  <c r="G4477" i="31"/>
  <c r="G4478" i="31"/>
  <c r="G4479" i="31"/>
  <c r="G4480" i="31"/>
  <c r="G4481" i="31"/>
  <c r="G4482" i="31"/>
  <c r="G4483" i="31"/>
  <c r="G4484" i="31"/>
  <c r="G4485" i="31"/>
  <c r="G4486" i="31"/>
  <c r="G4487" i="31"/>
  <c r="G4488" i="31"/>
  <c r="G4489" i="31"/>
  <c r="G4490" i="31"/>
  <c r="G4491" i="31"/>
  <c r="G4492" i="31"/>
  <c r="G4493" i="31"/>
  <c r="G4494" i="31"/>
  <c r="G4495" i="31"/>
  <c r="G4496" i="31"/>
  <c r="G4497" i="31"/>
  <c r="G4498" i="31"/>
  <c r="G4499" i="31"/>
  <c r="G4500" i="31"/>
  <c r="G4501" i="31"/>
  <c r="G4502" i="31"/>
  <c r="G4503" i="31"/>
  <c r="B204" i="50" s="1"/>
  <c r="B123" i="2" s="1"/>
  <c r="G4504" i="31"/>
  <c r="G4505" i="31"/>
  <c r="G4506" i="31"/>
  <c r="G4507" i="31"/>
  <c r="G4508" i="31"/>
  <c r="G4509" i="31"/>
  <c r="G4510" i="31"/>
  <c r="G4511" i="31"/>
  <c r="G4512" i="31"/>
  <c r="G4513" i="31"/>
  <c r="G4514" i="31"/>
  <c r="G4515" i="31"/>
  <c r="G4516" i="31"/>
  <c r="G4517" i="31"/>
  <c r="G4518" i="31"/>
  <c r="G4519" i="31"/>
  <c r="G4520" i="31"/>
  <c r="G4521" i="31"/>
  <c r="G4522" i="31"/>
  <c r="G4523" i="31"/>
  <c r="G4524" i="31"/>
  <c r="G4525" i="31"/>
  <c r="G4526" i="31"/>
  <c r="G4527" i="31"/>
  <c r="G4528" i="31"/>
  <c r="G4529" i="31"/>
  <c r="G4530" i="31"/>
  <c r="G4531" i="31"/>
  <c r="G4532" i="31"/>
  <c r="G4533" i="31"/>
  <c r="G4534" i="31"/>
  <c r="G4535" i="31"/>
  <c r="G4536" i="31"/>
  <c r="G4537" i="31"/>
  <c r="G4538" i="31"/>
  <c r="G4539" i="31"/>
  <c r="B205" i="50" s="1"/>
  <c r="B124" i="2" s="1"/>
  <c r="G4540" i="31"/>
  <c r="G4541" i="31"/>
  <c r="G4542" i="31"/>
  <c r="G4543" i="31"/>
  <c r="G4544" i="31"/>
  <c r="G4545" i="31"/>
  <c r="G4546" i="31"/>
  <c r="G4547" i="31"/>
  <c r="G4548" i="31"/>
  <c r="G4549" i="31"/>
  <c r="G4550" i="31"/>
  <c r="G4551" i="31"/>
  <c r="G4552" i="31"/>
  <c r="G4553" i="31"/>
  <c r="G4554" i="31"/>
  <c r="G4555" i="31"/>
  <c r="G4556" i="31"/>
  <c r="G4557" i="31"/>
  <c r="G4558" i="31"/>
  <c r="G4559" i="31"/>
  <c r="G4560" i="31"/>
  <c r="G4561" i="31"/>
  <c r="G4562" i="31"/>
  <c r="G4563" i="31"/>
  <c r="G4564" i="31"/>
  <c r="G4565" i="31"/>
  <c r="G4566" i="31"/>
  <c r="G4567" i="31"/>
  <c r="G4568" i="31"/>
  <c r="G4569" i="31"/>
  <c r="G4570" i="31"/>
  <c r="G4571" i="31"/>
  <c r="G4572" i="31"/>
  <c r="G4573" i="31"/>
  <c r="G4574" i="31"/>
  <c r="G4575" i="31"/>
  <c r="G4576" i="31"/>
  <c r="G4577" i="31"/>
  <c r="G4578" i="31"/>
  <c r="G4579" i="31"/>
  <c r="G4580" i="31"/>
  <c r="G4581" i="31"/>
  <c r="G4582" i="31"/>
  <c r="G4583" i="31"/>
  <c r="G4584" i="31"/>
  <c r="G4585" i="31"/>
  <c r="G4586" i="31"/>
  <c r="G4587" i="31"/>
  <c r="G4588" i="31"/>
  <c r="G4589" i="31"/>
  <c r="G4590" i="31"/>
  <c r="G4591" i="31"/>
  <c r="G4592" i="31"/>
  <c r="G4593" i="31"/>
  <c r="G4594" i="31"/>
  <c r="M50" i="55"/>
  <c r="L50" i="55"/>
  <c r="K50" i="55"/>
  <c r="K33" i="56"/>
  <c r="L33" i="56"/>
  <c r="J33" i="56"/>
  <c r="I33" i="56"/>
  <c r="H33" i="56"/>
  <c r="G33" i="56"/>
  <c r="F33" i="56"/>
  <c r="E33" i="56"/>
  <c r="D33" i="56"/>
  <c r="C33" i="56"/>
  <c r="M49" i="55"/>
  <c r="K20" i="60"/>
  <c r="L20" i="60"/>
  <c r="J20" i="60"/>
  <c r="H20" i="60"/>
  <c r="I20" i="60"/>
  <c r="G20" i="60"/>
  <c r="F20" i="60"/>
  <c r="E20" i="60"/>
  <c r="D20" i="60"/>
  <c r="C20" i="60"/>
  <c r="L37" i="59"/>
  <c r="K37" i="59"/>
  <c r="J37" i="59"/>
  <c r="I37" i="59"/>
  <c r="H37" i="59"/>
  <c r="G37" i="59"/>
  <c r="F37" i="59"/>
  <c r="E37" i="59"/>
  <c r="D37" i="59"/>
  <c r="C37" i="59"/>
  <c r="D51" i="55"/>
  <c r="E51" i="55"/>
  <c r="F51" i="55"/>
  <c r="G51" i="55"/>
  <c r="H51" i="55"/>
  <c r="I51" i="55"/>
  <c r="J51" i="55"/>
  <c r="K51" i="55"/>
  <c r="L51" i="55"/>
  <c r="C51" i="55"/>
  <c r="D68" i="55" l="1"/>
  <c r="C22" i="55"/>
  <c r="C59" i="55"/>
  <c r="C60" i="55" l="1"/>
  <c r="C61" i="55"/>
  <c r="D61" i="55"/>
  <c r="C62" i="55"/>
  <c r="D62" i="55"/>
  <c r="E62" i="55"/>
  <c r="C63" i="55"/>
  <c r="D63" i="55"/>
  <c r="E63" i="55"/>
  <c r="F62" i="55" l="1"/>
  <c r="F63" i="55"/>
  <c r="A358" i="65"/>
  <c r="A359" i="65"/>
  <c r="A360" i="65"/>
  <c r="A361" i="65"/>
  <c r="A350" i="65"/>
  <c r="A351" i="65"/>
  <c r="A352" i="65"/>
  <c r="A353" i="65"/>
  <c r="A354" i="65"/>
  <c r="A355" i="65"/>
  <c r="A356" i="65"/>
  <c r="A357" i="65"/>
  <c r="D120" i="6" l="1"/>
  <c r="D119" i="6"/>
  <c r="D121" i="6"/>
  <c r="B120" i="6"/>
  <c r="B121" i="6"/>
  <c r="C120" i="6"/>
  <c r="C119" i="6"/>
  <c r="C118" i="6"/>
  <c r="C117" i="6"/>
  <c r="C116" i="6"/>
  <c r="C115" i="6"/>
  <c r="C114" i="6"/>
  <c r="C121" i="6"/>
  <c r="C58" i="55"/>
  <c r="D907" i="52"/>
  <c r="D908" i="52"/>
  <c r="D909" i="52"/>
  <c r="D910" i="52"/>
  <c r="D911" i="52"/>
  <c r="D912" i="52"/>
  <c r="D913" i="52"/>
  <c r="D914" i="52"/>
  <c r="C907" i="52"/>
  <c r="C908" i="52"/>
  <c r="C909" i="52"/>
  <c r="C910" i="52"/>
  <c r="C911" i="52"/>
  <c r="C912" i="52"/>
  <c r="C913" i="52"/>
  <c r="D118" i="6"/>
  <c r="D117" i="6"/>
  <c r="D116" i="6"/>
  <c r="D115" i="6"/>
  <c r="D114" i="6"/>
  <c r="D113" i="6"/>
  <c r="D112" i="6"/>
  <c r="D111" i="6"/>
  <c r="D110" i="6"/>
  <c r="C113" i="6"/>
  <c r="C112" i="6"/>
  <c r="C111" i="6"/>
  <c r="C110" i="6"/>
  <c r="B119" i="6"/>
  <c r="B118" i="6"/>
  <c r="B117" i="6"/>
  <c r="B116" i="6"/>
  <c r="B115" i="6"/>
  <c r="B114" i="6"/>
  <c r="B113" i="6"/>
  <c r="B112" i="6"/>
  <c r="B111" i="6"/>
  <c r="B110" i="6"/>
  <c r="I15" i="40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16" i="40"/>
  <c r="I17" i="40"/>
  <c r="I18" i="40"/>
  <c r="I19" i="40"/>
  <c r="I20" i="40"/>
  <c r="I21" i="40"/>
  <c r="I22" i="40"/>
  <c r="I23" i="40"/>
  <c r="I24" i="40"/>
  <c r="I25" i="40"/>
  <c r="I26" i="40"/>
  <c r="I27" i="40"/>
  <c r="I28" i="40"/>
  <c r="I29" i="40"/>
  <c r="I30" i="40"/>
  <c r="I31" i="40"/>
  <c r="I32" i="40"/>
  <c r="I33" i="40"/>
  <c r="I34" i="40"/>
  <c r="I35" i="40"/>
  <c r="I36" i="40"/>
  <c r="I37" i="40"/>
  <c r="I38" i="40"/>
  <c r="I39" i="40"/>
  <c r="I40" i="40"/>
  <c r="I41" i="40"/>
  <c r="I42" i="40"/>
  <c r="I43" i="40"/>
  <c r="I44" i="40"/>
  <c r="I45" i="40"/>
  <c r="I46" i="40"/>
  <c r="I47" i="40"/>
  <c r="I48" i="40"/>
  <c r="I49" i="40"/>
  <c r="I50" i="40"/>
  <c r="I51" i="40"/>
  <c r="I52" i="40"/>
  <c r="I53" i="40"/>
  <c r="I54" i="40"/>
  <c r="I55" i="40"/>
  <c r="I56" i="40"/>
  <c r="I57" i="40"/>
  <c r="I58" i="40"/>
  <c r="I59" i="40"/>
  <c r="I60" i="40"/>
  <c r="I61" i="40"/>
  <c r="I62" i="40"/>
  <c r="I63" i="40"/>
  <c r="I64" i="40"/>
  <c r="I65" i="40"/>
  <c r="I66" i="40"/>
  <c r="I67" i="40"/>
  <c r="I68" i="40"/>
  <c r="I69" i="40"/>
  <c r="I70" i="40"/>
  <c r="I71" i="40"/>
  <c r="I72" i="40"/>
  <c r="I73" i="40"/>
  <c r="I74" i="40"/>
  <c r="I75" i="40"/>
  <c r="I76" i="40"/>
  <c r="I15" i="45"/>
  <c r="I1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0" i="45"/>
  <c r="I31" i="45"/>
  <c r="I32" i="45"/>
  <c r="I33" i="45"/>
  <c r="I34" i="45"/>
  <c r="I35" i="45"/>
  <c r="I36" i="45"/>
  <c r="I37" i="45"/>
  <c r="I38" i="45"/>
  <c r="I39" i="45"/>
  <c r="I40" i="45"/>
  <c r="I41" i="45"/>
  <c r="I42" i="45"/>
  <c r="I43" i="45"/>
  <c r="I44" i="45"/>
  <c r="I45" i="45"/>
  <c r="I46" i="45"/>
  <c r="I47" i="45"/>
  <c r="I48" i="45"/>
  <c r="I49" i="45"/>
  <c r="I50" i="45"/>
  <c r="I51" i="45"/>
  <c r="I52" i="45"/>
  <c r="I53" i="45"/>
  <c r="I54" i="45"/>
  <c r="I55" i="45"/>
  <c r="I56" i="45"/>
  <c r="I57" i="45"/>
  <c r="I58" i="45"/>
  <c r="I59" i="45"/>
  <c r="I60" i="45"/>
  <c r="I61" i="45"/>
  <c r="I62" i="45"/>
  <c r="I63" i="45"/>
  <c r="I64" i="45"/>
  <c r="I65" i="45"/>
  <c r="I66" i="45"/>
  <c r="I67" i="45"/>
  <c r="I68" i="45"/>
  <c r="I69" i="45"/>
  <c r="I70" i="45"/>
  <c r="I71" i="45"/>
  <c r="I72" i="45"/>
  <c r="I73" i="45"/>
  <c r="I74" i="45"/>
  <c r="I75" i="45"/>
  <c r="I76" i="45"/>
  <c r="I77" i="45"/>
  <c r="I78" i="45"/>
  <c r="I79" i="45"/>
  <c r="I80" i="45"/>
  <c r="I81" i="45"/>
  <c r="I82" i="45"/>
  <c r="I83" i="45"/>
  <c r="I84" i="45"/>
  <c r="I85" i="45"/>
  <c r="I86" i="45"/>
  <c r="I87" i="45"/>
  <c r="I88" i="45"/>
  <c r="I89" i="45"/>
  <c r="I90" i="45"/>
  <c r="I91" i="45"/>
  <c r="I92" i="45"/>
  <c r="I93" i="45"/>
  <c r="I94" i="45"/>
  <c r="I95" i="45"/>
  <c r="I96" i="45"/>
  <c r="I97" i="45"/>
  <c r="I98" i="45"/>
  <c r="I99" i="45"/>
  <c r="I100" i="45"/>
  <c r="I101" i="45"/>
  <c r="I102" i="45"/>
  <c r="I103" i="45"/>
  <c r="I104" i="45"/>
  <c r="I105" i="45"/>
  <c r="I106" i="45"/>
  <c r="I107" i="45"/>
  <c r="I108" i="45"/>
  <c r="I109" i="45"/>
  <c r="I110" i="45"/>
  <c r="I111" i="45"/>
  <c r="I112" i="45"/>
  <c r="I113" i="45"/>
  <c r="I114" i="45"/>
  <c r="I115" i="45"/>
  <c r="I116" i="45"/>
  <c r="I117" i="45"/>
  <c r="I118" i="45"/>
  <c r="I119" i="45"/>
  <c r="I120" i="45"/>
  <c r="I121" i="45"/>
  <c r="I122" i="45"/>
  <c r="I123" i="45"/>
  <c r="I124" i="45"/>
  <c r="J447" i="39"/>
  <c r="J448" i="39"/>
  <c r="J449" i="39"/>
  <c r="J450" i="39"/>
  <c r="J451" i="39"/>
  <c r="J452" i="39"/>
  <c r="J453" i="39"/>
  <c r="J454" i="39"/>
  <c r="J455" i="39"/>
  <c r="J456" i="39"/>
  <c r="J457" i="39"/>
  <c r="C350" i="64"/>
  <c r="C350" i="65" s="1"/>
  <c r="C351" i="64"/>
  <c r="C351" i="65" s="1"/>
  <c r="C352" i="64"/>
  <c r="C352" i="65" s="1"/>
  <c r="C353" i="64"/>
  <c r="C353" i="65" s="1"/>
  <c r="C354" i="64"/>
  <c r="C354" i="65" s="1"/>
  <c r="C355" i="64"/>
  <c r="C355" i="65" s="1"/>
  <c r="C356" i="64"/>
  <c r="C356" i="65" s="1"/>
  <c r="C357" i="64"/>
  <c r="C357" i="65" s="1"/>
  <c r="C358" i="64"/>
  <c r="C358" i="65" s="1"/>
  <c r="C359" i="64"/>
  <c r="C359" i="65" s="1"/>
  <c r="C360" i="64"/>
  <c r="C360" i="65" s="1"/>
  <c r="C361" i="64"/>
  <c r="C361" i="65" s="1"/>
  <c r="B350" i="64"/>
  <c r="B351" i="64"/>
  <c r="B352" i="64"/>
  <c r="B353" i="64"/>
  <c r="B354" i="64"/>
  <c r="B355" i="64"/>
  <c r="B356" i="64"/>
  <c r="B357" i="64"/>
  <c r="B358" i="64"/>
  <c r="B359" i="64"/>
  <c r="B360" i="64"/>
  <c r="B361" i="64"/>
  <c r="I352" i="45"/>
  <c r="I353" i="45"/>
  <c r="I354" i="45"/>
  <c r="I355" i="45"/>
  <c r="I356" i="45"/>
  <c r="I357" i="45"/>
  <c r="I358" i="45"/>
  <c r="I359" i="45"/>
  <c r="I126" i="45"/>
  <c r="I127" i="45"/>
  <c r="I128" i="45"/>
  <c r="I129" i="45"/>
  <c r="I130" i="45"/>
  <c r="I131" i="45"/>
  <c r="I132" i="45"/>
  <c r="I133" i="45"/>
  <c r="I134" i="45"/>
  <c r="I135" i="45"/>
  <c r="I136" i="45"/>
  <c r="I137" i="45"/>
  <c r="I138" i="45"/>
  <c r="I139" i="45"/>
  <c r="I140" i="45"/>
  <c r="I141" i="45"/>
  <c r="I142" i="45"/>
  <c r="I143" i="45"/>
  <c r="I144" i="45"/>
  <c r="I145" i="45"/>
  <c r="I146" i="45"/>
  <c r="I147" i="45"/>
  <c r="I148" i="45"/>
  <c r="I149" i="45"/>
  <c r="I150" i="45"/>
  <c r="I151" i="45"/>
  <c r="I152" i="45"/>
  <c r="I153" i="45"/>
  <c r="I154" i="45"/>
  <c r="I155" i="45"/>
  <c r="I156" i="45"/>
  <c r="I157" i="45"/>
  <c r="I158" i="45"/>
  <c r="I159" i="45"/>
  <c r="I160" i="45"/>
  <c r="I161" i="45"/>
  <c r="I162" i="45"/>
  <c r="I163" i="45"/>
  <c r="I164" i="45"/>
  <c r="I165" i="45"/>
  <c r="I166" i="45"/>
  <c r="I167" i="45"/>
  <c r="I168" i="45"/>
  <c r="I169" i="45"/>
  <c r="I170" i="45"/>
  <c r="I171" i="45"/>
  <c r="I172" i="45"/>
  <c r="I173" i="45"/>
  <c r="I174" i="45"/>
  <c r="I175" i="45"/>
  <c r="I176" i="45"/>
  <c r="I177" i="45"/>
  <c r="I178" i="45"/>
  <c r="I179" i="45"/>
  <c r="I180" i="45"/>
  <c r="I181" i="45"/>
  <c r="I182" i="45"/>
  <c r="I183" i="45"/>
  <c r="I184" i="45"/>
  <c r="I185" i="45"/>
  <c r="I186" i="45"/>
  <c r="I187" i="45"/>
  <c r="I188" i="45"/>
  <c r="I189" i="45"/>
  <c r="I190" i="45"/>
  <c r="I191" i="45"/>
  <c r="I192" i="45"/>
  <c r="I193" i="45"/>
  <c r="I194" i="45"/>
  <c r="I195" i="45"/>
  <c r="I196" i="45"/>
  <c r="I197" i="45"/>
  <c r="I198" i="45"/>
  <c r="I199" i="45"/>
  <c r="I200" i="45"/>
  <c r="I201" i="45"/>
  <c r="I202" i="45"/>
  <c r="I203" i="45"/>
  <c r="I204" i="45"/>
  <c r="I205" i="45"/>
  <c r="I206" i="45"/>
  <c r="I207" i="45"/>
  <c r="I208" i="45"/>
  <c r="I209" i="45"/>
  <c r="I210" i="45"/>
  <c r="I211" i="45"/>
  <c r="I212" i="45"/>
  <c r="I213" i="45"/>
  <c r="I214" i="45"/>
  <c r="I215" i="45"/>
  <c r="I216" i="45"/>
  <c r="I217" i="45"/>
  <c r="I218" i="45"/>
  <c r="I219" i="45"/>
  <c r="I220" i="45"/>
  <c r="I221" i="45"/>
  <c r="I222" i="45"/>
  <c r="I223" i="45"/>
  <c r="I224" i="45"/>
  <c r="I225" i="45"/>
  <c r="I226" i="45"/>
  <c r="I227" i="45"/>
  <c r="I228" i="45"/>
  <c r="I229" i="45"/>
  <c r="I230" i="45"/>
  <c r="I231" i="45"/>
  <c r="I232" i="45"/>
  <c r="I233" i="45"/>
  <c r="I234" i="45"/>
  <c r="I235" i="45"/>
  <c r="I236" i="45"/>
  <c r="I237" i="45"/>
  <c r="I238" i="45"/>
  <c r="I239" i="45"/>
  <c r="I240" i="45"/>
  <c r="I241" i="45"/>
  <c r="I242" i="45"/>
  <c r="I243" i="45"/>
  <c r="I244" i="45"/>
  <c r="I245" i="45"/>
  <c r="I246" i="45"/>
  <c r="I247" i="45"/>
  <c r="I248" i="45"/>
  <c r="I249" i="45"/>
  <c r="I250" i="45"/>
  <c r="I251" i="45"/>
  <c r="I252" i="45"/>
  <c r="I253" i="45"/>
  <c r="I254" i="45"/>
  <c r="I255" i="45"/>
  <c r="I256" i="45"/>
  <c r="I257" i="45"/>
  <c r="I258" i="45"/>
  <c r="I259" i="45"/>
  <c r="I260" i="45"/>
  <c r="I261" i="45"/>
  <c r="I262" i="45"/>
  <c r="I263" i="45"/>
  <c r="I264" i="45"/>
  <c r="I265" i="45"/>
  <c r="I266" i="45"/>
  <c r="I267" i="45"/>
  <c r="I268" i="45"/>
  <c r="I269" i="45"/>
  <c r="I270" i="45"/>
  <c r="I271" i="45"/>
  <c r="I272" i="45"/>
  <c r="I273" i="45"/>
  <c r="I274" i="45"/>
  <c r="I275" i="45"/>
  <c r="I276" i="45"/>
  <c r="I277" i="45"/>
  <c r="I278" i="45"/>
  <c r="I279" i="45"/>
  <c r="I280" i="45"/>
  <c r="I281" i="45"/>
  <c r="I282" i="45"/>
  <c r="I283" i="45"/>
  <c r="I284" i="45"/>
  <c r="I285" i="45"/>
  <c r="I286" i="45"/>
  <c r="I287" i="45"/>
  <c r="I288" i="45"/>
  <c r="I289" i="45"/>
  <c r="I290" i="45"/>
  <c r="I291" i="45"/>
  <c r="I292" i="45"/>
  <c r="I293" i="45"/>
  <c r="I294" i="45"/>
  <c r="I295" i="45"/>
  <c r="I296" i="45"/>
  <c r="I297" i="45"/>
  <c r="I298" i="45"/>
  <c r="I299" i="45"/>
  <c r="I300" i="45"/>
  <c r="I301" i="45"/>
  <c r="I302" i="45"/>
  <c r="I303" i="45"/>
  <c r="I304" i="45"/>
  <c r="I305" i="45"/>
  <c r="I306" i="45"/>
  <c r="I307" i="45"/>
  <c r="I308" i="45"/>
  <c r="I309" i="45"/>
  <c r="I310" i="45"/>
  <c r="I311" i="45"/>
  <c r="I312" i="45"/>
  <c r="I313" i="45"/>
  <c r="I314" i="45"/>
  <c r="I315" i="45"/>
  <c r="I316" i="45"/>
  <c r="I317" i="45"/>
  <c r="I318" i="45"/>
  <c r="I319" i="45"/>
  <c r="I320" i="45"/>
  <c r="I321" i="45"/>
  <c r="I322" i="45"/>
  <c r="I323" i="45"/>
  <c r="I324" i="45"/>
  <c r="I325" i="45"/>
  <c r="I326" i="45"/>
  <c r="I327" i="45"/>
  <c r="I328" i="45"/>
  <c r="I329" i="45"/>
  <c r="I330" i="45"/>
  <c r="I331" i="45"/>
  <c r="I332" i="45"/>
  <c r="I333" i="45"/>
  <c r="I334" i="45"/>
  <c r="I335" i="45"/>
  <c r="I336" i="45"/>
  <c r="I337" i="45"/>
  <c r="I338" i="45"/>
  <c r="I339" i="45"/>
  <c r="I340" i="45"/>
  <c r="I341" i="45"/>
  <c r="I342" i="45"/>
  <c r="I343" i="45"/>
  <c r="I344" i="45"/>
  <c r="I345" i="45"/>
  <c r="I346" i="45"/>
  <c r="I347" i="45"/>
  <c r="I348" i="45"/>
  <c r="I349" i="45"/>
  <c r="I350" i="45"/>
  <c r="I351" i="45"/>
  <c r="I125" i="45"/>
  <c r="H352" i="45"/>
  <c r="H353" i="45"/>
  <c r="H354" i="45"/>
  <c r="H355" i="45"/>
  <c r="H356" i="45"/>
  <c r="H357" i="45"/>
  <c r="H358" i="45"/>
  <c r="H359" i="45"/>
  <c r="V1521" i="45"/>
  <c r="V1522" i="45"/>
  <c r="V1523" i="45"/>
  <c r="V1524" i="45"/>
  <c r="V1525" i="45"/>
  <c r="V1526" i="45"/>
  <c r="V1527" i="45"/>
  <c r="V1528" i="45"/>
  <c r="V1529" i="45"/>
  <c r="V1530" i="45"/>
  <c r="V1531" i="45"/>
  <c r="V1532" i="45"/>
  <c r="V1533" i="45"/>
  <c r="V1534" i="45"/>
  <c r="V1535" i="45"/>
  <c r="V1536" i="45"/>
  <c r="V1537" i="45"/>
  <c r="V1538" i="45"/>
  <c r="V1539" i="45"/>
  <c r="V1540" i="45"/>
  <c r="V1541" i="45"/>
  <c r="V1542" i="45"/>
  <c r="V1543" i="45"/>
  <c r="V1544" i="45"/>
  <c r="V1545" i="45"/>
  <c r="V1546" i="45"/>
  <c r="V1547" i="45"/>
  <c r="V1548" i="45"/>
  <c r="V1549" i="45"/>
  <c r="V1550" i="45"/>
  <c r="V1551" i="45"/>
  <c r="V1552" i="45"/>
  <c r="V1553" i="45"/>
  <c r="V1554" i="45"/>
  <c r="V1555" i="45"/>
  <c r="V1556" i="45"/>
  <c r="V1557" i="45"/>
  <c r="V1558" i="45"/>
  <c r="V1559" i="45"/>
  <c r="V1560" i="45"/>
  <c r="V1561" i="45"/>
  <c r="V1562" i="45"/>
  <c r="U1521" i="45"/>
  <c r="U1522" i="45"/>
  <c r="U1523" i="45"/>
  <c r="U1524" i="45"/>
  <c r="U1525" i="45"/>
  <c r="U1526" i="45"/>
  <c r="U1527" i="45"/>
  <c r="U1528" i="45"/>
  <c r="U1529" i="45"/>
  <c r="U1530" i="45"/>
  <c r="U1531" i="45"/>
  <c r="U1532" i="45"/>
  <c r="U1533" i="45"/>
  <c r="U1534" i="45"/>
  <c r="U1535" i="45"/>
  <c r="U1536" i="45"/>
  <c r="U1537" i="45"/>
  <c r="U1538" i="45"/>
  <c r="U1539" i="45"/>
  <c r="U1540" i="45"/>
  <c r="U1541" i="45"/>
  <c r="U1542" i="45"/>
  <c r="U1543" i="45"/>
  <c r="U1544" i="45"/>
  <c r="U1545" i="45"/>
  <c r="U1546" i="45"/>
  <c r="U1547" i="45"/>
  <c r="U1548" i="45"/>
  <c r="U1549" i="45"/>
  <c r="U1550" i="45"/>
  <c r="U1551" i="45"/>
  <c r="U1552" i="45"/>
  <c r="U1553" i="45"/>
  <c r="U1554" i="45"/>
  <c r="U1555" i="45"/>
  <c r="U1556" i="45"/>
  <c r="U1557" i="45"/>
  <c r="U1558" i="45"/>
  <c r="U1559" i="45"/>
  <c r="U1560" i="45"/>
  <c r="U1561" i="45"/>
  <c r="U1562" i="45"/>
  <c r="R4" i="69"/>
  <c r="R5" i="69"/>
  <c r="R6" i="69"/>
  <c r="R7" i="69"/>
  <c r="R8" i="69"/>
  <c r="R9" i="69"/>
  <c r="R10" i="69"/>
  <c r="R11" i="69"/>
  <c r="R12" i="69"/>
  <c r="R13" i="69"/>
  <c r="R14" i="69"/>
  <c r="R15" i="69"/>
  <c r="R16" i="69"/>
  <c r="R17" i="69"/>
  <c r="R18" i="69"/>
  <c r="R19" i="69"/>
  <c r="R20" i="69"/>
  <c r="R21" i="69"/>
  <c r="R22" i="69"/>
  <c r="R23" i="69"/>
  <c r="R24" i="69"/>
  <c r="R25" i="69"/>
  <c r="R26" i="69"/>
  <c r="R27" i="69"/>
  <c r="R28" i="69"/>
  <c r="R29" i="69"/>
  <c r="R30" i="69"/>
  <c r="R31" i="69"/>
  <c r="R32" i="69"/>
  <c r="R33" i="69"/>
  <c r="R34" i="69"/>
  <c r="R35" i="69"/>
  <c r="R36" i="69"/>
  <c r="R37" i="69"/>
  <c r="R38" i="69"/>
  <c r="R39" i="69"/>
  <c r="R40" i="69"/>
  <c r="R41" i="69"/>
  <c r="R42" i="69"/>
  <c r="R43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66" i="69"/>
  <c r="R67" i="69"/>
  <c r="R68" i="69"/>
  <c r="R69" i="69"/>
  <c r="R70" i="69"/>
  <c r="R71" i="69"/>
  <c r="R72" i="69"/>
  <c r="R73" i="69"/>
  <c r="R74" i="69"/>
  <c r="R75" i="69"/>
  <c r="R76" i="69"/>
  <c r="R77" i="69"/>
  <c r="R78" i="69"/>
  <c r="R79" i="69"/>
  <c r="R80" i="69"/>
  <c r="R81" i="69"/>
  <c r="R82" i="69"/>
  <c r="R83" i="69"/>
  <c r="R84" i="69"/>
  <c r="R85" i="69"/>
  <c r="R86" i="69"/>
  <c r="R87" i="69"/>
  <c r="R88" i="69"/>
  <c r="R89" i="69"/>
  <c r="R90" i="69"/>
  <c r="R91" i="69"/>
  <c r="R92" i="69"/>
  <c r="R93" i="69"/>
  <c r="R94" i="69"/>
  <c r="R95" i="69"/>
  <c r="R96" i="69"/>
  <c r="R97" i="69"/>
  <c r="R98" i="69"/>
  <c r="R99" i="69"/>
  <c r="R100" i="69"/>
  <c r="R101" i="69"/>
  <c r="R102" i="69"/>
  <c r="R103" i="69"/>
  <c r="R104" i="69"/>
  <c r="R105" i="69"/>
  <c r="R106" i="69"/>
  <c r="R107" i="69"/>
  <c r="R108" i="69"/>
  <c r="R109" i="69"/>
  <c r="R110" i="69"/>
  <c r="R111" i="69"/>
  <c r="R112" i="69"/>
  <c r="R113" i="69"/>
  <c r="R114" i="69"/>
  <c r="R115" i="69"/>
  <c r="R116" i="69"/>
  <c r="R117" i="69"/>
  <c r="R118" i="69"/>
  <c r="R119" i="69"/>
  <c r="R120" i="69"/>
  <c r="R121" i="69"/>
  <c r="R122" i="69"/>
  <c r="R123" i="69"/>
  <c r="R124" i="69"/>
  <c r="R125" i="69"/>
  <c r="R126" i="69"/>
  <c r="R127" i="69"/>
  <c r="R128" i="69"/>
  <c r="R129" i="69"/>
  <c r="R130" i="69"/>
  <c r="R131" i="69"/>
  <c r="R132" i="69"/>
  <c r="R133" i="69"/>
  <c r="R134" i="69"/>
  <c r="R135" i="69"/>
  <c r="R136" i="69"/>
  <c r="R137" i="69"/>
  <c r="R138" i="69"/>
  <c r="R139" i="69"/>
  <c r="R140" i="69"/>
  <c r="R141" i="69"/>
  <c r="R142" i="69"/>
  <c r="R143" i="69"/>
  <c r="R144" i="69"/>
  <c r="R145" i="69"/>
  <c r="R146" i="69"/>
  <c r="R147" i="69"/>
  <c r="R148" i="69"/>
  <c r="R149" i="69"/>
  <c r="R150" i="69"/>
  <c r="R151" i="69"/>
  <c r="R152" i="69"/>
  <c r="R153" i="69"/>
  <c r="R154" i="69"/>
  <c r="R155" i="69"/>
  <c r="R156" i="69"/>
  <c r="R157" i="69"/>
  <c r="R158" i="69"/>
  <c r="R159" i="69"/>
  <c r="R160" i="69"/>
  <c r="R161" i="69"/>
  <c r="R162" i="69"/>
  <c r="R163" i="69"/>
  <c r="R164" i="69"/>
  <c r="R165" i="69"/>
  <c r="R166" i="69"/>
  <c r="R167" i="69"/>
  <c r="R168" i="69"/>
  <c r="R169" i="69"/>
  <c r="R170" i="69"/>
  <c r="R171" i="69"/>
  <c r="R172" i="69"/>
  <c r="R173" i="69"/>
  <c r="R174" i="69"/>
  <c r="R175" i="69"/>
  <c r="R176" i="69"/>
  <c r="R177" i="69"/>
  <c r="R178" i="69"/>
  <c r="R179" i="69"/>
  <c r="R180" i="69"/>
  <c r="R181" i="69"/>
  <c r="R182" i="69"/>
  <c r="R183" i="69"/>
  <c r="R184" i="69"/>
  <c r="R185" i="69"/>
  <c r="R186" i="69"/>
  <c r="R187" i="69"/>
  <c r="R188" i="69"/>
  <c r="R189" i="69"/>
  <c r="R190" i="69"/>
  <c r="R191" i="69"/>
  <c r="R192" i="69"/>
  <c r="R193" i="69"/>
  <c r="R194" i="69"/>
  <c r="R195" i="69"/>
  <c r="R196" i="69"/>
  <c r="R197" i="69"/>
  <c r="R198" i="69"/>
  <c r="R199" i="69"/>
  <c r="R200" i="69"/>
  <c r="R201" i="69"/>
  <c r="R202" i="69"/>
  <c r="R203" i="69"/>
  <c r="R204" i="69"/>
  <c r="R205" i="69"/>
  <c r="R206" i="69"/>
  <c r="R207" i="69"/>
  <c r="R208" i="69"/>
  <c r="R209" i="69"/>
  <c r="R210" i="69"/>
  <c r="R211" i="69"/>
  <c r="R212" i="69"/>
  <c r="R213" i="69"/>
  <c r="R214" i="69"/>
  <c r="R215" i="69"/>
  <c r="R216" i="69"/>
  <c r="R217" i="69"/>
  <c r="R218" i="69"/>
  <c r="R219" i="69"/>
  <c r="R220" i="69"/>
  <c r="R221" i="69"/>
  <c r="R222" i="69"/>
  <c r="R223" i="69"/>
  <c r="R224" i="69"/>
  <c r="R225" i="69"/>
  <c r="R226" i="69"/>
  <c r="R227" i="69"/>
  <c r="R228" i="69"/>
  <c r="R229" i="69"/>
  <c r="R230" i="69"/>
  <c r="R231" i="69"/>
  <c r="R232" i="69"/>
  <c r="R233" i="69"/>
  <c r="R234" i="69"/>
  <c r="R235" i="69"/>
  <c r="R236" i="69"/>
  <c r="R237" i="69"/>
  <c r="R238" i="69"/>
  <c r="R239" i="69"/>
  <c r="R240" i="69"/>
  <c r="R241" i="69"/>
  <c r="R242" i="69"/>
  <c r="R243" i="69"/>
  <c r="R244" i="69"/>
  <c r="R245" i="69"/>
  <c r="R246" i="69"/>
  <c r="R247" i="69"/>
  <c r="R248" i="69"/>
  <c r="R249" i="69"/>
  <c r="R250" i="69"/>
  <c r="R251" i="69"/>
  <c r="R252" i="69"/>
  <c r="R253" i="69"/>
  <c r="R254" i="69"/>
  <c r="R255" i="69"/>
  <c r="R256" i="69"/>
  <c r="R257" i="69"/>
  <c r="R258" i="69"/>
  <c r="R259" i="69"/>
  <c r="R260" i="69"/>
  <c r="R261" i="69"/>
  <c r="R262" i="69"/>
  <c r="R263" i="69"/>
  <c r="R264" i="69"/>
  <c r="R265" i="69"/>
  <c r="R266" i="69"/>
  <c r="R267" i="69"/>
  <c r="R268" i="69"/>
  <c r="R269" i="69"/>
  <c r="R270" i="69"/>
  <c r="R271" i="69"/>
  <c r="R272" i="69"/>
  <c r="R273" i="69"/>
  <c r="R274" i="69"/>
  <c r="R275" i="69"/>
  <c r="R276" i="69"/>
  <c r="R277" i="69"/>
  <c r="R278" i="69"/>
  <c r="R279" i="69"/>
  <c r="R280" i="69"/>
  <c r="R281" i="69"/>
  <c r="R282" i="69"/>
  <c r="R283" i="69"/>
  <c r="R284" i="69"/>
  <c r="R285" i="69"/>
  <c r="R286" i="69"/>
  <c r="R287" i="69"/>
  <c r="R288" i="69"/>
  <c r="R289" i="69"/>
  <c r="R290" i="69"/>
  <c r="R291" i="69"/>
  <c r="R292" i="69"/>
  <c r="R293" i="69"/>
  <c r="R294" i="69"/>
  <c r="R295" i="69"/>
  <c r="R296" i="69"/>
  <c r="R297" i="69"/>
  <c r="R298" i="69"/>
  <c r="R299" i="69"/>
  <c r="R300" i="69"/>
  <c r="R301" i="69"/>
  <c r="R302" i="69"/>
  <c r="R303" i="69"/>
  <c r="R304" i="69"/>
  <c r="R305" i="69"/>
  <c r="R306" i="69"/>
  <c r="R307" i="69"/>
  <c r="R308" i="69"/>
  <c r="R309" i="69"/>
  <c r="R310" i="69"/>
  <c r="R311" i="69"/>
  <c r="R312" i="69"/>
  <c r="R313" i="69"/>
  <c r="R314" i="69"/>
  <c r="R315" i="69"/>
  <c r="R316" i="69"/>
  <c r="R317" i="69"/>
  <c r="R318" i="69"/>
  <c r="R319" i="69"/>
  <c r="R320" i="69"/>
  <c r="R321" i="69"/>
  <c r="R322" i="69"/>
  <c r="R323" i="69"/>
  <c r="R324" i="69"/>
  <c r="R325" i="69"/>
  <c r="R326" i="69"/>
  <c r="R327" i="69"/>
  <c r="R328" i="69"/>
  <c r="R329" i="69"/>
  <c r="R330" i="69"/>
  <c r="R331" i="69"/>
  <c r="R332" i="69"/>
  <c r="R333" i="69"/>
  <c r="R334" i="69"/>
  <c r="R335" i="69"/>
  <c r="R336" i="69"/>
  <c r="R337" i="69"/>
  <c r="R338" i="69"/>
  <c r="R339" i="69"/>
  <c r="R340" i="69"/>
  <c r="R341" i="69"/>
  <c r="R342" i="69"/>
  <c r="R343" i="69"/>
  <c r="R344" i="69"/>
  <c r="R345" i="69"/>
  <c r="R346" i="69"/>
  <c r="R347" i="69"/>
  <c r="R348" i="69"/>
  <c r="R349" i="69"/>
  <c r="R350" i="69"/>
  <c r="R351" i="69"/>
  <c r="R352" i="69"/>
  <c r="R353" i="69"/>
  <c r="R354" i="69"/>
  <c r="R355" i="69"/>
  <c r="R356" i="69"/>
  <c r="R357" i="69"/>
  <c r="R358" i="69"/>
  <c r="R359" i="69"/>
  <c r="R360" i="69"/>
  <c r="R361" i="69"/>
  <c r="R362" i="69"/>
  <c r="R363" i="69"/>
  <c r="R364" i="69"/>
  <c r="R365" i="69"/>
  <c r="R366" i="69"/>
  <c r="R367" i="69"/>
  <c r="R368" i="69"/>
  <c r="R369" i="69"/>
  <c r="R370" i="69"/>
  <c r="R371" i="69"/>
  <c r="R372" i="69"/>
  <c r="R373" i="69"/>
  <c r="R374" i="69"/>
  <c r="R375" i="69"/>
  <c r="R376" i="69"/>
  <c r="R377" i="69"/>
  <c r="R378" i="69"/>
  <c r="R379" i="69"/>
  <c r="R380" i="69"/>
  <c r="R381" i="69"/>
  <c r="R382" i="69"/>
  <c r="R383" i="69"/>
  <c r="R384" i="69"/>
  <c r="R385" i="69"/>
  <c r="R386" i="69"/>
  <c r="R387" i="69"/>
  <c r="R388" i="69"/>
  <c r="R389" i="69"/>
  <c r="R390" i="69"/>
  <c r="R391" i="69"/>
  <c r="R392" i="69"/>
  <c r="R393" i="69"/>
  <c r="R394" i="69"/>
  <c r="R395" i="69"/>
  <c r="R396" i="69"/>
  <c r="R397" i="69"/>
  <c r="R398" i="69"/>
  <c r="R399" i="69"/>
  <c r="R400" i="69"/>
  <c r="R401" i="69"/>
  <c r="R402" i="69"/>
  <c r="R403" i="69"/>
  <c r="R404" i="69"/>
  <c r="R405" i="69"/>
  <c r="R406" i="69"/>
  <c r="R407" i="69"/>
  <c r="R408" i="69"/>
  <c r="R409" i="69"/>
  <c r="R410" i="69"/>
  <c r="R411" i="69"/>
  <c r="R412" i="69"/>
  <c r="R413" i="69"/>
  <c r="R414" i="69"/>
  <c r="R415" i="69"/>
  <c r="R416" i="69"/>
  <c r="R417" i="69"/>
  <c r="R418" i="69"/>
  <c r="R419" i="69"/>
  <c r="R420" i="69"/>
  <c r="R421" i="69"/>
  <c r="R422" i="69"/>
  <c r="R423" i="69"/>
  <c r="R424" i="69"/>
  <c r="R425" i="69"/>
  <c r="R426" i="69"/>
  <c r="R427" i="69"/>
  <c r="R428" i="69"/>
  <c r="R429" i="69"/>
  <c r="R430" i="69"/>
  <c r="R431" i="69"/>
  <c r="R432" i="69"/>
  <c r="R433" i="69"/>
  <c r="R434" i="69"/>
  <c r="R435" i="69"/>
  <c r="R436" i="69"/>
  <c r="R437" i="69"/>
  <c r="R438" i="69"/>
  <c r="R439" i="69"/>
  <c r="R440" i="69"/>
  <c r="R441" i="69"/>
  <c r="R442" i="69"/>
  <c r="R443" i="69"/>
  <c r="R444" i="69"/>
  <c r="R445" i="69"/>
  <c r="R446" i="69"/>
  <c r="R447" i="69"/>
  <c r="R448" i="69"/>
  <c r="R449" i="69"/>
  <c r="R450" i="69"/>
  <c r="R451" i="69"/>
  <c r="R452" i="69"/>
  <c r="R453" i="69"/>
  <c r="R454" i="69"/>
  <c r="R455" i="69"/>
  <c r="R456" i="69"/>
  <c r="R457" i="69"/>
  <c r="R458" i="69"/>
  <c r="R459" i="69"/>
  <c r="R460" i="69"/>
  <c r="R461" i="69"/>
  <c r="R462" i="69"/>
  <c r="R463" i="69"/>
  <c r="R464" i="69"/>
  <c r="R465" i="69"/>
  <c r="R466" i="69"/>
  <c r="R467" i="69"/>
  <c r="R468" i="69"/>
  <c r="R469" i="69"/>
  <c r="R470" i="69"/>
  <c r="R471" i="69"/>
  <c r="R472" i="69"/>
  <c r="R473" i="69"/>
  <c r="R474" i="69"/>
  <c r="R475" i="69"/>
  <c r="R476" i="69"/>
  <c r="R477" i="69"/>
  <c r="R478" i="69"/>
  <c r="R479" i="69"/>
  <c r="R480" i="69"/>
  <c r="R481" i="69"/>
  <c r="R482" i="69"/>
  <c r="R483" i="69"/>
  <c r="R484" i="69"/>
  <c r="R485" i="69"/>
  <c r="R486" i="69"/>
  <c r="R487" i="69"/>
  <c r="R488" i="69"/>
  <c r="R489" i="69"/>
  <c r="R490" i="69"/>
  <c r="R491" i="69"/>
  <c r="R492" i="69"/>
  <c r="R493" i="69"/>
  <c r="R494" i="69"/>
  <c r="R495" i="69"/>
  <c r="R496" i="69"/>
  <c r="R497" i="69"/>
  <c r="R498" i="69"/>
  <c r="R499" i="69"/>
  <c r="R500" i="69"/>
  <c r="R501" i="69"/>
  <c r="R502" i="69"/>
  <c r="R503" i="69"/>
  <c r="R504" i="69"/>
  <c r="R505" i="69"/>
  <c r="R506" i="69"/>
  <c r="R507" i="69"/>
  <c r="R508" i="69"/>
  <c r="R509" i="69"/>
  <c r="R510" i="69"/>
  <c r="R511" i="69"/>
  <c r="R512" i="69"/>
  <c r="R513" i="69"/>
  <c r="R514" i="69"/>
  <c r="R515" i="69"/>
  <c r="R516" i="69"/>
  <c r="R517" i="69"/>
  <c r="R518" i="69"/>
  <c r="R519" i="69"/>
  <c r="R520" i="69"/>
  <c r="R521" i="69"/>
  <c r="R522" i="69"/>
  <c r="R523" i="69"/>
  <c r="R524" i="69"/>
  <c r="R525" i="69"/>
  <c r="R526" i="69"/>
  <c r="R527" i="69"/>
  <c r="R528" i="69"/>
  <c r="R529" i="69"/>
  <c r="R530" i="69"/>
  <c r="R531" i="69"/>
  <c r="R532" i="69"/>
  <c r="R533" i="69"/>
  <c r="R534" i="69"/>
  <c r="R535" i="69"/>
  <c r="R536" i="69"/>
  <c r="R537" i="69"/>
  <c r="R538" i="69"/>
  <c r="R539" i="69"/>
  <c r="R540" i="69"/>
  <c r="R541" i="69"/>
  <c r="R542" i="69"/>
  <c r="R543" i="69"/>
  <c r="R544" i="69"/>
  <c r="R545" i="69"/>
  <c r="R546" i="69"/>
  <c r="R547" i="69"/>
  <c r="R548" i="69"/>
  <c r="R549" i="69"/>
  <c r="R550" i="69"/>
  <c r="R551" i="69"/>
  <c r="R552" i="69"/>
  <c r="R553" i="69"/>
  <c r="R554" i="69"/>
  <c r="R555" i="69"/>
  <c r="R556" i="69"/>
  <c r="R557" i="69"/>
  <c r="R558" i="69"/>
  <c r="R559" i="69"/>
  <c r="R560" i="69"/>
  <c r="R561" i="69"/>
  <c r="R562" i="69"/>
  <c r="R563" i="69"/>
  <c r="R564" i="69"/>
  <c r="R565" i="69"/>
  <c r="R566" i="69"/>
  <c r="R567" i="69"/>
  <c r="R568" i="69"/>
  <c r="R569" i="69"/>
  <c r="R570" i="69"/>
  <c r="R571" i="69"/>
  <c r="R572" i="69"/>
  <c r="R573" i="69"/>
  <c r="R574" i="69"/>
  <c r="R575" i="69"/>
  <c r="R576" i="69"/>
  <c r="R577" i="69"/>
  <c r="R578" i="69"/>
  <c r="R579" i="69"/>
  <c r="R580" i="69"/>
  <c r="R581" i="69"/>
  <c r="R582" i="69"/>
  <c r="R583" i="69"/>
  <c r="R584" i="69"/>
  <c r="R585" i="69"/>
  <c r="R586" i="69"/>
  <c r="R587" i="69"/>
  <c r="R588" i="69"/>
  <c r="R589" i="69"/>
  <c r="R590" i="69"/>
  <c r="R591" i="69"/>
  <c r="R592" i="69"/>
  <c r="R593" i="69"/>
  <c r="R594" i="69"/>
  <c r="R595" i="69"/>
  <c r="R596" i="69"/>
  <c r="R597" i="69"/>
  <c r="R598" i="69"/>
  <c r="R599" i="69"/>
  <c r="R600" i="69"/>
  <c r="R601" i="69"/>
  <c r="R602" i="69"/>
  <c r="R603" i="69"/>
  <c r="R604" i="69"/>
  <c r="R605" i="69"/>
  <c r="R606" i="69"/>
  <c r="R607" i="69"/>
  <c r="R608" i="69"/>
  <c r="R609" i="69"/>
  <c r="R610" i="69"/>
  <c r="R611" i="69"/>
  <c r="R612" i="69"/>
  <c r="R613" i="69"/>
  <c r="R614" i="69"/>
  <c r="R615" i="69"/>
  <c r="R616" i="69"/>
  <c r="R617" i="69"/>
  <c r="R618" i="69"/>
  <c r="R619" i="69"/>
  <c r="R620" i="69"/>
  <c r="R621" i="69"/>
  <c r="R622" i="69"/>
  <c r="R623" i="69"/>
  <c r="R624" i="69"/>
  <c r="R625" i="69"/>
  <c r="R626" i="69"/>
  <c r="R627" i="69"/>
  <c r="R628" i="69"/>
  <c r="R629" i="69"/>
  <c r="R630" i="69"/>
  <c r="R631" i="69"/>
  <c r="R632" i="69"/>
  <c r="R633" i="69"/>
  <c r="R634" i="69"/>
  <c r="R635" i="69"/>
  <c r="R636" i="69"/>
  <c r="R637" i="69"/>
  <c r="R638" i="69"/>
  <c r="R639" i="69"/>
  <c r="R640" i="69"/>
  <c r="R641" i="69"/>
  <c r="R642" i="69"/>
  <c r="R643" i="69"/>
  <c r="R644" i="69"/>
  <c r="R645" i="69"/>
  <c r="R646" i="69"/>
  <c r="R647" i="69"/>
  <c r="R648" i="69"/>
  <c r="R649" i="69"/>
  <c r="R650" i="69"/>
  <c r="R651" i="69"/>
  <c r="R652" i="69"/>
  <c r="R653" i="69"/>
  <c r="R654" i="69"/>
  <c r="R655" i="69"/>
  <c r="R656" i="69"/>
  <c r="R657" i="69"/>
  <c r="R658" i="69"/>
  <c r="R659" i="69"/>
  <c r="R660" i="69"/>
  <c r="R661" i="69"/>
  <c r="R662" i="69"/>
  <c r="R663" i="69"/>
  <c r="R664" i="69"/>
  <c r="R665" i="69"/>
  <c r="R666" i="69"/>
  <c r="R667" i="69"/>
  <c r="R668" i="69"/>
  <c r="R669" i="69"/>
  <c r="R670" i="69"/>
  <c r="R671" i="69"/>
  <c r="R672" i="69"/>
  <c r="R673" i="69"/>
  <c r="R674" i="69"/>
  <c r="R675" i="69"/>
  <c r="R676" i="69"/>
  <c r="R677" i="69"/>
  <c r="R678" i="69"/>
  <c r="R679" i="69"/>
  <c r="R680" i="69"/>
  <c r="R681" i="69"/>
  <c r="R682" i="69"/>
  <c r="R683" i="69"/>
  <c r="R684" i="69"/>
  <c r="R685" i="69"/>
  <c r="R686" i="69"/>
  <c r="R687" i="69"/>
  <c r="R688" i="69"/>
  <c r="R689" i="69"/>
  <c r="R690" i="69"/>
  <c r="R691" i="69"/>
  <c r="R692" i="69"/>
  <c r="R693" i="69"/>
  <c r="R694" i="69"/>
  <c r="R695" i="69"/>
  <c r="R696" i="69"/>
  <c r="R697" i="69"/>
  <c r="R698" i="69"/>
  <c r="R699" i="69"/>
  <c r="R700" i="69"/>
  <c r="R701" i="69"/>
  <c r="R702" i="69"/>
  <c r="R703" i="69"/>
  <c r="R704" i="69"/>
  <c r="R705" i="69"/>
  <c r="R706" i="69"/>
  <c r="R707" i="69"/>
  <c r="R708" i="69"/>
  <c r="R709" i="69"/>
  <c r="R710" i="69"/>
  <c r="R711" i="69"/>
  <c r="R712" i="69"/>
  <c r="R713" i="69"/>
  <c r="R714" i="69"/>
  <c r="R715" i="69"/>
  <c r="R716" i="69"/>
  <c r="R717" i="69"/>
  <c r="R718" i="69"/>
  <c r="R719" i="69"/>
  <c r="R720" i="69"/>
  <c r="R721" i="69"/>
  <c r="R722" i="69"/>
  <c r="R723" i="69"/>
  <c r="R724" i="69"/>
  <c r="R725" i="69"/>
  <c r="R726" i="69"/>
  <c r="R727" i="69"/>
  <c r="R728" i="69"/>
  <c r="R729" i="69"/>
  <c r="R730" i="69"/>
  <c r="R731" i="69"/>
  <c r="R732" i="69"/>
  <c r="R733" i="69"/>
  <c r="R734" i="69"/>
  <c r="R735" i="69"/>
  <c r="R736" i="69"/>
  <c r="R737" i="69"/>
  <c r="R738" i="69"/>
  <c r="R739" i="69"/>
  <c r="R740" i="69"/>
  <c r="R741" i="69"/>
  <c r="R742" i="69"/>
  <c r="R743" i="69"/>
  <c r="R744" i="69"/>
  <c r="R745" i="69"/>
  <c r="R746" i="69"/>
  <c r="R747" i="69"/>
  <c r="R748" i="69"/>
  <c r="R749" i="69"/>
  <c r="R750" i="69"/>
  <c r="R751" i="69"/>
  <c r="R752" i="69"/>
  <c r="R753" i="69"/>
  <c r="R754" i="69"/>
  <c r="R755" i="69"/>
  <c r="R756" i="69"/>
  <c r="R757" i="69"/>
  <c r="R758" i="69"/>
  <c r="R759" i="69"/>
  <c r="R760" i="69"/>
  <c r="R761" i="69"/>
  <c r="R762" i="69"/>
  <c r="R763" i="69"/>
  <c r="R764" i="69"/>
  <c r="R765" i="69"/>
  <c r="R766" i="69"/>
  <c r="R767" i="69"/>
  <c r="R768" i="69"/>
  <c r="R769" i="69"/>
  <c r="R770" i="69"/>
  <c r="R771" i="69"/>
  <c r="R772" i="69"/>
  <c r="R773" i="69"/>
  <c r="R774" i="69"/>
  <c r="R775" i="69"/>
  <c r="R776" i="69"/>
  <c r="R777" i="69"/>
  <c r="R778" i="69"/>
  <c r="R779" i="69"/>
  <c r="R780" i="69"/>
  <c r="R781" i="69"/>
  <c r="R782" i="69"/>
  <c r="R783" i="69"/>
  <c r="R784" i="69"/>
  <c r="R785" i="69"/>
  <c r="R786" i="69"/>
  <c r="R787" i="69"/>
  <c r="R788" i="69"/>
  <c r="R789" i="69"/>
  <c r="R790" i="69"/>
  <c r="R791" i="69"/>
  <c r="R792" i="69"/>
  <c r="R793" i="69"/>
  <c r="R794" i="69"/>
  <c r="R795" i="69"/>
  <c r="R796" i="69"/>
  <c r="R797" i="69"/>
  <c r="R798" i="69"/>
  <c r="R799" i="69"/>
  <c r="R800" i="69"/>
  <c r="R801" i="69"/>
  <c r="R802" i="69"/>
  <c r="R803" i="69"/>
  <c r="R804" i="69"/>
  <c r="R805" i="69"/>
  <c r="R806" i="69"/>
  <c r="R807" i="69"/>
  <c r="R808" i="69"/>
  <c r="R809" i="69"/>
  <c r="R810" i="69"/>
  <c r="R811" i="69"/>
  <c r="R812" i="69"/>
  <c r="R813" i="69"/>
  <c r="R814" i="69"/>
  <c r="R815" i="69"/>
  <c r="R816" i="69"/>
  <c r="R817" i="69"/>
  <c r="R818" i="69"/>
  <c r="R819" i="69"/>
  <c r="R820" i="69"/>
  <c r="R821" i="69"/>
  <c r="R822" i="69"/>
  <c r="R823" i="69"/>
  <c r="R824" i="69"/>
  <c r="R825" i="69"/>
  <c r="R826" i="69"/>
  <c r="R827" i="69"/>
  <c r="R828" i="69"/>
  <c r="R829" i="69"/>
  <c r="R830" i="69"/>
  <c r="R831" i="69"/>
  <c r="R832" i="69"/>
  <c r="R833" i="69"/>
  <c r="R834" i="69"/>
  <c r="R835" i="69"/>
  <c r="R836" i="69"/>
  <c r="R837" i="69"/>
  <c r="R838" i="69"/>
  <c r="R839" i="69"/>
  <c r="R840" i="69"/>
  <c r="R841" i="69"/>
  <c r="R842" i="69"/>
  <c r="R843" i="69"/>
  <c r="R844" i="69"/>
  <c r="R845" i="69"/>
  <c r="R846" i="69"/>
  <c r="R847" i="69"/>
  <c r="R848" i="69"/>
  <c r="R849" i="69"/>
  <c r="R850" i="69"/>
  <c r="R851" i="69"/>
  <c r="R852" i="69"/>
  <c r="R853" i="69"/>
  <c r="R854" i="69"/>
  <c r="R855" i="69"/>
  <c r="R856" i="69"/>
  <c r="R857" i="69"/>
  <c r="R858" i="69"/>
  <c r="R859" i="69"/>
  <c r="R860" i="69"/>
  <c r="R861" i="69"/>
  <c r="R862" i="69"/>
  <c r="R863" i="69"/>
  <c r="R864" i="69"/>
  <c r="R865" i="69"/>
  <c r="R866" i="69"/>
  <c r="R867" i="69"/>
  <c r="R868" i="69"/>
  <c r="R869" i="69"/>
  <c r="R870" i="69"/>
  <c r="R871" i="69"/>
  <c r="R872" i="69"/>
  <c r="R873" i="69"/>
  <c r="R874" i="69"/>
  <c r="R875" i="69"/>
  <c r="R876" i="69"/>
  <c r="R877" i="69"/>
  <c r="R878" i="69"/>
  <c r="R879" i="69"/>
  <c r="R880" i="69"/>
  <c r="R881" i="69"/>
  <c r="R882" i="69"/>
  <c r="R883" i="69"/>
  <c r="R884" i="69"/>
  <c r="R885" i="69"/>
  <c r="R886" i="69"/>
  <c r="R887" i="69"/>
  <c r="R888" i="69"/>
  <c r="R889" i="69"/>
  <c r="R890" i="69"/>
  <c r="R891" i="69"/>
  <c r="R892" i="69"/>
  <c r="R893" i="69"/>
  <c r="R894" i="69"/>
  <c r="R895" i="69"/>
  <c r="R896" i="69"/>
  <c r="R897" i="69"/>
  <c r="R898" i="69"/>
  <c r="R899" i="69"/>
  <c r="R900" i="69"/>
  <c r="R901" i="69"/>
  <c r="R902" i="69"/>
  <c r="R903" i="69"/>
  <c r="R904" i="69"/>
  <c r="R905" i="69"/>
  <c r="R906" i="69"/>
  <c r="R907" i="69"/>
  <c r="R908" i="69"/>
  <c r="R909" i="69"/>
  <c r="R910" i="69"/>
  <c r="R911" i="69"/>
  <c r="R912" i="69"/>
  <c r="R913" i="69"/>
  <c r="R914" i="69"/>
  <c r="R915" i="69"/>
  <c r="R916" i="69"/>
  <c r="R917" i="69"/>
  <c r="R918" i="69"/>
  <c r="R919" i="69"/>
  <c r="R920" i="69"/>
  <c r="R921" i="69"/>
  <c r="R922" i="69"/>
  <c r="R923" i="69"/>
  <c r="R924" i="69"/>
  <c r="R925" i="69"/>
  <c r="R926" i="69"/>
  <c r="R927" i="69"/>
  <c r="R928" i="69"/>
  <c r="R929" i="69"/>
  <c r="R930" i="69"/>
  <c r="R931" i="69"/>
  <c r="R932" i="69"/>
  <c r="R933" i="69"/>
  <c r="R934" i="69"/>
  <c r="R935" i="69"/>
  <c r="R936" i="69"/>
  <c r="R937" i="69"/>
  <c r="R938" i="69"/>
  <c r="R939" i="69"/>
  <c r="R940" i="69"/>
  <c r="R941" i="69"/>
  <c r="R942" i="69"/>
  <c r="R943" i="69"/>
  <c r="R944" i="69"/>
  <c r="R945" i="69"/>
  <c r="R946" i="69"/>
  <c r="R947" i="69"/>
  <c r="R948" i="69"/>
  <c r="R949" i="69"/>
  <c r="R950" i="69"/>
  <c r="R951" i="69"/>
  <c r="R952" i="69"/>
  <c r="R953" i="69"/>
  <c r="R954" i="69"/>
  <c r="R955" i="69"/>
  <c r="R956" i="69"/>
  <c r="R957" i="69"/>
  <c r="R958" i="69"/>
  <c r="R959" i="69"/>
  <c r="R960" i="69"/>
  <c r="R961" i="69"/>
  <c r="R962" i="69"/>
  <c r="R963" i="69"/>
  <c r="R964" i="69"/>
  <c r="R965" i="69"/>
  <c r="R966" i="69"/>
  <c r="R967" i="69"/>
  <c r="R968" i="69"/>
  <c r="R969" i="69"/>
  <c r="R970" i="69"/>
  <c r="R971" i="69"/>
  <c r="R972" i="69"/>
  <c r="R973" i="69"/>
  <c r="R974" i="69"/>
  <c r="R975" i="69"/>
  <c r="R976" i="69"/>
  <c r="R977" i="69"/>
  <c r="R978" i="69"/>
  <c r="R979" i="69"/>
  <c r="R980" i="69"/>
  <c r="R981" i="69"/>
  <c r="R982" i="69"/>
  <c r="R983" i="69"/>
  <c r="R984" i="69"/>
  <c r="R985" i="69"/>
  <c r="R986" i="69"/>
  <c r="R987" i="69"/>
  <c r="R988" i="69"/>
  <c r="R989" i="69"/>
  <c r="R990" i="69"/>
  <c r="R991" i="69"/>
  <c r="R992" i="69"/>
  <c r="R993" i="69"/>
  <c r="R994" i="69"/>
  <c r="R995" i="69"/>
  <c r="R996" i="69"/>
  <c r="R997" i="69"/>
  <c r="R998" i="69"/>
  <c r="R999" i="69"/>
  <c r="R1000" i="69"/>
  <c r="R1001" i="69"/>
  <c r="R1002" i="69"/>
  <c r="R1003" i="69"/>
  <c r="R1004" i="69"/>
  <c r="R1005" i="69"/>
  <c r="R1006" i="69"/>
  <c r="R1007" i="69"/>
  <c r="R1008" i="69"/>
  <c r="R1009" i="69"/>
  <c r="R1010" i="69"/>
  <c r="R1011" i="69"/>
  <c r="R1012" i="69"/>
  <c r="R1013" i="69"/>
  <c r="R1014" i="69"/>
  <c r="R1015" i="69"/>
  <c r="R1016" i="69"/>
  <c r="R1017" i="69"/>
  <c r="R1018" i="69"/>
  <c r="R1019" i="69"/>
  <c r="R1020" i="69"/>
  <c r="R1021" i="69"/>
  <c r="R1022" i="69"/>
  <c r="R1023" i="69"/>
  <c r="R1024" i="69"/>
  <c r="R1025" i="69"/>
  <c r="R1026" i="69"/>
  <c r="R1027" i="69"/>
  <c r="R1028" i="69"/>
  <c r="R1029" i="69"/>
  <c r="R1030" i="69"/>
  <c r="R1031" i="69"/>
  <c r="R1032" i="69"/>
  <c r="R1033" i="69"/>
  <c r="R1034" i="69"/>
  <c r="R1035" i="69"/>
  <c r="R1036" i="69"/>
  <c r="R1037" i="69"/>
  <c r="R1038" i="69"/>
  <c r="R1039" i="69"/>
  <c r="R1040" i="69"/>
  <c r="R1041" i="69"/>
  <c r="R1042" i="69"/>
  <c r="R1043" i="69"/>
  <c r="R1044" i="69"/>
  <c r="R1045" i="69"/>
  <c r="R1046" i="69"/>
  <c r="R1047" i="69"/>
  <c r="R1048" i="69"/>
  <c r="R1049" i="69"/>
  <c r="R1050" i="69"/>
  <c r="R1051" i="69"/>
  <c r="R1052" i="69"/>
  <c r="R1053" i="69"/>
  <c r="R1054" i="69"/>
  <c r="R1055" i="69"/>
  <c r="R1056" i="69"/>
  <c r="R1057" i="69"/>
  <c r="R1058" i="69"/>
  <c r="R1059" i="69"/>
  <c r="R1060" i="69"/>
  <c r="R1061" i="69"/>
  <c r="R1062" i="69"/>
  <c r="R1063" i="69"/>
  <c r="R1064" i="69"/>
  <c r="R1065" i="69"/>
  <c r="R1066" i="69"/>
  <c r="R1067" i="69"/>
  <c r="R1068" i="69"/>
  <c r="R1069" i="69"/>
  <c r="R1070" i="69"/>
  <c r="R1071" i="69"/>
  <c r="R1072" i="69"/>
  <c r="R1073" i="69"/>
  <c r="R1074" i="69"/>
  <c r="R1075" i="69"/>
  <c r="R1076" i="69"/>
  <c r="R1077" i="69"/>
  <c r="R1078" i="69"/>
  <c r="R1079" i="69"/>
  <c r="R1080" i="69"/>
  <c r="R1081" i="69"/>
  <c r="R1082" i="69"/>
  <c r="R1083" i="69"/>
  <c r="R1084" i="69"/>
  <c r="R1085" i="69"/>
  <c r="R1086" i="69"/>
  <c r="R1087" i="69"/>
  <c r="R1088" i="69"/>
  <c r="R1089" i="69"/>
  <c r="R1090" i="69"/>
  <c r="R1091" i="69"/>
  <c r="R1092" i="69"/>
  <c r="R1093" i="69"/>
  <c r="R1094" i="69"/>
  <c r="R1095" i="69"/>
  <c r="R1096" i="69"/>
  <c r="R1097" i="69"/>
  <c r="R1098" i="69"/>
  <c r="R1099" i="69"/>
  <c r="R1100" i="69"/>
  <c r="R1101" i="69"/>
  <c r="R1102" i="69"/>
  <c r="R1103" i="69"/>
  <c r="R1104" i="69"/>
  <c r="R1105" i="69"/>
  <c r="R1106" i="69"/>
  <c r="R1107" i="69"/>
  <c r="R1108" i="69"/>
  <c r="R1109" i="69"/>
  <c r="R1110" i="69"/>
  <c r="R1111" i="69"/>
  <c r="R1112" i="69"/>
  <c r="R1113" i="69"/>
  <c r="R1114" i="69"/>
  <c r="R1115" i="69"/>
  <c r="R1116" i="69"/>
  <c r="R1117" i="69"/>
  <c r="R1118" i="69"/>
  <c r="R1119" i="69"/>
  <c r="R1120" i="69"/>
  <c r="R1121" i="69"/>
  <c r="R1122" i="69"/>
  <c r="R1123" i="69"/>
  <c r="R1124" i="69"/>
  <c r="R1125" i="69"/>
  <c r="R1126" i="69"/>
  <c r="R1127" i="69"/>
  <c r="R1128" i="69"/>
  <c r="R1129" i="69"/>
  <c r="R1130" i="69"/>
  <c r="R1131" i="69"/>
  <c r="R1132" i="69"/>
  <c r="R1133" i="69"/>
  <c r="R1134" i="69"/>
  <c r="R1135" i="69"/>
  <c r="R1136" i="69"/>
  <c r="R1137" i="69"/>
  <c r="R1138" i="69"/>
  <c r="R1139" i="69"/>
  <c r="R1140" i="69"/>
  <c r="R1141" i="69"/>
  <c r="R1142" i="69"/>
  <c r="R1143" i="69"/>
  <c r="R1144" i="69"/>
  <c r="R1145" i="69"/>
  <c r="R1146" i="69"/>
  <c r="R1147" i="69"/>
  <c r="R1148" i="69"/>
  <c r="R1149" i="69"/>
  <c r="R1150" i="69"/>
  <c r="R1151" i="69"/>
  <c r="R1152" i="69"/>
  <c r="R1153" i="69"/>
  <c r="R1154" i="69"/>
  <c r="R1155" i="69"/>
  <c r="R1156" i="69"/>
  <c r="R1157" i="69"/>
  <c r="R1158" i="69"/>
  <c r="R1159" i="69"/>
  <c r="R1160" i="69"/>
  <c r="R1161" i="69"/>
  <c r="R1162" i="69"/>
  <c r="R1163" i="69"/>
  <c r="R1164" i="69"/>
  <c r="R1165" i="69"/>
  <c r="R1166" i="69"/>
  <c r="R1167" i="69"/>
  <c r="R1168" i="69"/>
  <c r="R1169" i="69"/>
  <c r="R1170" i="69"/>
  <c r="R1171" i="69"/>
  <c r="R1172" i="69"/>
  <c r="R1173" i="69"/>
  <c r="R1174" i="69"/>
  <c r="R1175" i="69"/>
  <c r="R1176" i="69"/>
  <c r="R1177" i="69"/>
  <c r="R1178" i="69"/>
  <c r="R1179" i="69"/>
  <c r="R1180" i="69"/>
  <c r="R1181" i="69"/>
  <c r="R1182" i="69"/>
  <c r="R1183" i="69"/>
  <c r="R1184" i="69"/>
  <c r="R1185" i="69"/>
  <c r="R1186" i="69"/>
  <c r="R1187" i="69"/>
  <c r="R1188" i="69"/>
  <c r="R1189" i="69"/>
  <c r="R1190" i="69"/>
  <c r="R1191" i="69"/>
  <c r="R1192" i="69"/>
  <c r="R1193" i="69"/>
  <c r="R1194" i="69"/>
  <c r="R1195" i="69"/>
  <c r="R1196" i="69"/>
  <c r="R1197" i="69"/>
  <c r="R1198" i="69"/>
  <c r="R1199" i="69"/>
  <c r="R1200" i="69"/>
  <c r="R1201" i="69"/>
  <c r="R1202" i="69"/>
  <c r="R1203" i="69"/>
  <c r="R1204" i="69"/>
  <c r="R1205" i="69"/>
  <c r="R1206" i="69"/>
  <c r="R1207" i="69"/>
  <c r="R1208" i="69"/>
  <c r="R1209" i="69"/>
  <c r="R1210" i="69"/>
  <c r="R1211" i="69"/>
  <c r="R1212" i="69"/>
  <c r="R3" i="68"/>
  <c r="R4" i="68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244" i="68"/>
  <c r="R245" i="68"/>
  <c r="R246" i="68"/>
  <c r="R247" i="68"/>
  <c r="R248" i="68"/>
  <c r="R249" i="68"/>
  <c r="R250" i="68"/>
  <c r="R251" i="68"/>
  <c r="R252" i="68"/>
  <c r="R253" i="68"/>
  <c r="R254" i="68"/>
  <c r="R255" i="68"/>
  <c r="R256" i="68"/>
  <c r="R257" i="68"/>
  <c r="R258" i="68"/>
  <c r="R259" i="68"/>
  <c r="R260" i="68"/>
  <c r="R261" i="68"/>
  <c r="R262" i="68"/>
  <c r="R263" i="68"/>
  <c r="R264" i="68"/>
  <c r="R265" i="68"/>
  <c r="R266" i="68"/>
  <c r="R267" i="68"/>
  <c r="R268" i="68"/>
  <c r="R269" i="68"/>
  <c r="R270" i="68"/>
  <c r="R271" i="68"/>
  <c r="R272" i="68"/>
  <c r="R273" i="68"/>
  <c r="R274" i="68"/>
  <c r="R275" i="68"/>
  <c r="R276" i="68"/>
  <c r="R277" i="68"/>
  <c r="R278" i="68"/>
  <c r="R279" i="68"/>
  <c r="R280" i="68"/>
  <c r="R281" i="68"/>
  <c r="R282" i="68"/>
  <c r="R283" i="68"/>
  <c r="R284" i="68"/>
  <c r="R285" i="68"/>
  <c r="R286" i="68"/>
  <c r="R287" i="68"/>
  <c r="R288" i="68"/>
  <c r="R289" i="68"/>
  <c r="R290" i="68"/>
  <c r="R291" i="68"/>
  <c r="R292" i="68"/>
  <c r="R293" i="68"/>
  <c r="R294" i="68"/>
  <c r="R295" i="68"/>
  <c r="R296" i="68"/>
  <c r="R297" i="68"/>
  <c r="R298" i="68"/>
  <c r="R299" i="68"/>
  <c r="R300" i="68"/>
  <c r="R301" i="68"/>
  <c r="R302" i="68"/>
  <c r="R303" i="68"/>
  <c r="R304" i="68"/>
  <c r="R305" i="68"/>
  <c r="R306" i="68"/>
  <c r="R307" i="68"/>
  <c r="R308" i="68"/>
  <c r="R309" i="68"/>
  <c r="R310" i="68"/>
  <c r="R311" i="68"/>
  <c r="R312" i="68"/>
  <c r="R313" i="68"/>
  <c r="R314" i="68"/>
  <c r="R315" i="68"/>
  <c r="R316" i="68"/>
  <c r="R317" i="68"/>
  <c r="R318" i="68"/>
  <c r="R319" i="68"/>
  <c r="R320" i="68"/>
  <c r="R321" i="68"/>
  <c r="R322" i="68"/>
  <c r="R323" i="68"/>
  <c r="R324" i="68"/>
  <c r="R325" i="68"/>
  <c r="R326" i="68"/>
  <c r="R327" i="68"/>
  <c r="R328" i="68"/>
  <c r="R329" i="68"/>
  <c r="R330" i="68"/>
  <c r="R331" i="68"/>
  <c r="R332" i="68"/>
  <c r="R333" i="68"/>
  <c r="R334" i="68"/>
  <c r="R335" i="68"/>
  <c r="R336" i="68"/>
  <c r="R337" i="68"/>
  <c r="R338" i="68"/>
  <c r="R339" i="68"/>
  <c r="R340" i="68"/>
  <c r="R341" i="68"/>
  <c r="R342" i="68"/>
  <c r="R343" i="68"/>
  <c r="R344" i="68"/>
  <c r="R345" i="68"/>
  <c r="R346" i="68"/>
  <c r="R347" i="68"/>
  <c r="R348" i="68"/>
  <c r="R349" i="68"/>
  <c r="R350" i="68"/>
  <c r="R351" i="68"/>
  <c r="R352" i="68"/>
  <c r="R353" i="68"/>
  <c r="R354" i="68"/>
  <c r="R355" i="68"/>
  <c r="R356" i="68"/>
  <c r="R357" i="68"/>
  <c r="R358" i="68"/>
  <c r="R359" i="68"/>
  <c r="R360" i="68"/>
  <c r="R361" i="68"/>
  <c r="R362" i="68"/>
  <c r="R363" i="68"/>
  <c r="R364" i="68"/>
  <c r="R365" i="68"/>
  <c r="R366" i="68"/>
  <c r="R367" i="68"/>
  <c r="R368" i="68"/>
  <c r="R369" i="68"/>
  <c r="R370" i="68"/>
  <c r="R371" i="68"/>
  <c r="R372" i="68"/>
  <c r="R373" i="68"/>
  <c r="R374" i="68"/>
  <c r="R375" i="68"/>
  <c r="R376" i="68"/>
  <c r="R377" i="68"/>
  <c r="R378" i="68"/>
  <c r="R379" i="68"/>
  <c r="R380" i="68"/>
  <c r="R381" i="68"/>
  <c r="R382" i="68"/>
  <c r="R383" i="68"/>
  <c r="R384" i="68"/>
  <c r="R385" i="68"/>
  <c r="R386" i="68"/>
  <c r="R387" i="68"/>
  <c r="R388" i="68"/>
  <c r="R389" i="68"/>
  <c r="R390" i="68"/>
  <c r="R391" i="68"/>
  <c r="R392" i="68"/>
  <c r="R393" i="68"/>
  <c r="R394" i="68"/>
  <c r="R395" i="68"/>
  <c r="R396" i="68"/>
  <c r="R397" i="68"/>
  <c r="R398" i="68"/>
  <c r="R399" i="68"/>
  <c r="R400" i="68"/>
  <c r="R401" i="68"/>
  <c r="R402" i="68"/>
  <c r="R403" i="68"/>
  <c r="R404" i="68"/>
  <c r="R405" i="68"/>
  <c r="R406" i="68"/>
  <c r="R407" i="68"/>
  <c r="R408" i="68"/>
  <c r="R409" i="68"/>
  <c r="R410" i="68"/>
  <c r="R411" i="68"/>
  <c r="R412" i="68"/>
  <c r="R413" i="68"/>
  <c r="R414" i="68"/>
  <c r="R415" i="68"/>
  <c r="R416" i="68"/>
  <c r="R417" i="68"/>
  <c r="R418" i="68"/>
  <c r="R419" i="68"/>
  <c r="R420" i="68"/>
  <c r="R421" i="68"/>
  <c r="R422" i="68"/>
  <c r="R423" i="68"/>
  <c r="R424" i="68"/>
  <c r="R425" i="68"/>
  <c r="R426" i="68"/>
  <c r="R427" i="68"/>
  <c r="R428" i="68"/>
  <c r="R429" i="68"/>
  <c r="R430" i="68"/>
  <c r="R431" i="68"/>
  <c r="R432" i="68"/>
  <c r="R433" i="68"/>
  <c r="R434" i="68"/>
  <c r="R435" i="68"/>
  <c r="R436" i="68"/>
  <c r="R437" i="68"/>
  <c r="R438" i="68"/>
  <c r="R439" i="68"/>
  <c r="R440" i="68"/>
  <c r="R441" i="68"/>
  <c r="R442" i="68"/>
  <c r="R443" i="68"/>
  <c r="R444" i="68"/>
  <c r="R445" i="68"/>
  <c r="R446" i="68"/>
  <c r="R447" i="68"/>
  <c r="R448" i="68"/>
  <c r="R449" i="68"/>
  <c r="R450" i="68"/>
  <c r="R451" i="68"/>
  <c r="R452" i="68"/>
  <c r="R453" i="68"/>
  <c r="R454" i="68"/>
  <c r="R455" i="68"/>
  <c r="R456" i="68"/>
  <c r="R457" i="68"/>
  <c r="R458" i="68"/>
  <c r="R459" i="68"/>
  <c r="R460" i="68"/>
  <c r="R461" i="68"/>
  <c r="R462" i="68"/>
  <c r="R463" i="68"/>
  <c r="R464" i="68"/>
  <c r="R465" i="68"/>
  <c r="R466" i="68"/>
  <c r="R467" i="68"/>
  <c r="R468" i="68"/>
  <c r="R469" i="68"/>
  <c r="R470" i="68"/>
  <c r="R471" i="68"/>
  <c r="R472" i="68"/>
  <c r="R473" i="68"/>
  <c r="R474" i="68"/>
  <c r="R475" i="68"/>
  <c r="R476" i="68"/>
  <c r="R477" i="68"/>
  <c r="R478" i="68"/>
  <c r="R479" i="68"/>
  <c r="R480" i="68"/>
  <c r="R481" i="68"/>
  <c r="R482" i="68"/>
  <c r="R483" i="68"/>
  <c r="R484" i="68"/>
  <c r="R485" i="68"/>
  <c r="R486" i="68"/>
  <c r="R487" i="68"/>
  <c r="R488" i="68"/>
  <c r="R489" i="68"/>
  <c r="R490" i="68"/>
  <c r="R491" i="68"/>
  <c r="R492" i="68"/>
  <c r="R493" i="68"/>
  <c r="R494" i="68"/>
  <c r="R495" i="68"/>
  <c r="R496" i="68"/>
  <c r="R497" i="68"/>
  <c r="R498" i="68"/>
  <c r="R499" i="68"/>
  <c r="R500" i="68"/>
  <c r="R501" i="68"/>
  <c r="R502" i="68"/>
  <c r="R503" i="68"/>
  <c r="R504" i="68"/>
  <c r="R505" i="68"/>
  <c r="R506" i="68"/>
  <c r="R507" i="68"/>
  <c r="R508" i="68"/>
  <c r="R509" i="68"/>
  <c r="R510" i="68"/>
  <c r="R511" i="68"/>
  <c r="R512" i="68"/>
  <c r="R513" i="68"/>
  <c r="R514" i="68"/>
  <c r="R515" i="68"/>
  <c r="R516" i="68"/>
  <c r="R517" i="68"/>
  <c r="R518" i="68"/>
  <c r="R519" i="68"/>
  <c r="R520" i="68"/>
  <c r="R521" i="68"/>
  <c r="R522" i="68"/>
  <c r="R523" i="68"/>
  <c r="R524" i="68"/>
  <c r="R525" i="68"/>
  <c r="R526" i="68"/>
  <c r="R527" i="68"/>
  <c r="R528" i="68"/>
  <c r="R529" i="68"/>
  <c r="R530" i="68"/>
  <c r="R531" i="68"/>
  <c r="R532" i="68"/>
  <c r="R533" i="68"/>
  <c r="R534" i="68"/>
  <c r="R535" i="68"/>
  <c r="R536" i="68"/>
  <c r="R537" i="68"/>
  <c r="R538" i="68"/>
  <c r="R539" i="68"/>
  <c r="R540" i="68"/>
  <c r="R541" i="68"/>
  <c r="R542" i="68"/>
  <c r="R543" i="68"/>
  <c r="R544" i="68"/>
  <c r="R545" i="68"/>
  <c r="R546" i="68"/>
  <c r="R547" i="68"/>
  <c r="R548" i="68"/>
  <c r="R549" i="68"/>
  <c r="R550" i="68"/>
  <c r="R551" i="68"/>
  <c r="R552" i="68"/>
  <c r="R553" i="68"/>
  <c r="R554" i="68"/>
  <c r="R555" i="68"/>
  <c r="R556" i="68"/>
  <c r="R557" i="68"/>
  <c r="R558" i="68"/>
  <c r="R559" i="68"/>
  <c r="R560" i="68"/>
  <c r="R561" i="68"/>
  <c r="R562" i="68"/>
  <c r="R563" i="68"/>
  <c r="R564" i="68"/>
  <c r="R565" i="68"/>
  <c r="R566" i="68"/>
  <c r="R567" i="68"/>
  <c r="R568" i="68"/>
  <c r="R569" i="68"/>
  <c r="R570" i="68"/>
  <c r="R571" i="68"/>
  <c r="R572" i="68"/>
  <c r="R573" i="68"/>
  <c r="R574" i="68"/>
  <c r="R575" i="68"/>
  <c r="R576" i="68"/>
  <c r="R577" i="68"/>
  <c r="R578" i="68"/>
  <c r="R579" i="68"/>
  <c r="R580" i="68"/>
  <c r="R581" i="68"/>
  <c r="R582" i="68"/>
  <c r="R583" i="68"/>
  <c r="R584" i="68"/>
  <c r="R585" i="68"/>
  <c r="R586" i="68"/>
  <c r="R587" i="68"/>
  <c r="R588" i="68"/>
  <c r="R589" i="68"/>
  <c r="R590" i="68"/>
  <c r="R591" i="68"/>
  <c r="R592" i="68"/>
  <c r="R593" i="68"/>
  <c r="R594" i="68"/>
  <c r="R595" i="68"/>
  <c r="R596" i="68"/>
  <c r="R597" i="68"/>
  <c r="R598" i="68"/>
  <c r="R599" i="68"/>
  <c r="R600" i="68"/>
  <c r="R601" i="68"/>
  <c r="R602" i="68"/>
  <c r="R603" i="68"/>
  <c r="R604" i="68"/>
  <c r="R605" i="68"/>
  <c r="R606" i="68"/>
  <c r="R607" i="68"/>
  <c r="R608" i="68"/>
  <c r="R609" i="68"/>
  <c r="R610" i="68"/>
  <c r="R611" i="68"/>
  <c r="R612" i="68"/>
  <c r="R613" i="68"/>
  <c r="R614" i="68"/>
  <c r="R615" i="68"/>
  <c r="R616" i="68"/>
  <c r="R617" i="68"/>
  <c r="R618" i="68"/>
  <c r="R619" i="68"/>
  <c r="R620" i="68"/>
  <c r="R621" i="68"/>
  <c r="R622" i="68"/>
  <c r="R623" i="68"/>
  <c r="R624" i="68"/>
  <c r="R625" i="68"/>
  <c r="R626" i="68"/>
  <c r="R627" i="68"/>
  <c r="R628" i="68"/>
  <c r="R629" i="68"/>
  <c r="R630" i="68"/>
  <c r="R631" i="68"/>
  <c r="R632" i="68"/>
  <c r="R633" i="68"/>
  <c r="R634" i="68"/>
  <c r="R635" i="68"/>
  <c r="R636" i="68"/>
  <c r="R637" i="68"/>
  <c r="R638" i="68"/>
  <c r="R639" i="68"/>
  <c r="R640" i="68"/>
  <c r="R641" i="68"/>
  <c r="R642" i="68"/>
  <c r="R643" i="68"/>
  <c r="R644" i="68"/>
  <c r="R645" i="68"/>
  <c r="R646" i="68"/>
  <c r="R647" i="68"/>
  <c r="R648" i="68"/>
  <c r="R649" i="68"/>
  <c r="R650" i="68"/>
  <c r="R651" i="68"/>
  <c r="R652" i="68"/>
  <c r="R653" i="68"/>
  <c r="R654" i="68"/>
  <c r="R655" i="68"/>
  <c r="R656" i="68"/>
  <c r="R657" i="68"/>
  <c r="R658" i="68"/>
  <c r="R659" i="68"/>
  <c r="R660" i="68"/>
  <c r="R661" i="68"/>
  <c r="R662" i="68"/>
  <c r="R663" i="68"/>
  <c r="R664" i="68"/>
  <c r="R665" i="68"/>
  <c r="R666" i="68"/>
  <c r="R667" i="68"/>
  <c r="R668" i="68"/>
  <c r="R669" i="68"/>
  <c r="R670" i="68"/>
  <c r="R671" i="68"/>
  <c r="R672" i="68"/>
  <c r="R673" i="68"/>
  <c r="R674" i="68"/>
  <c r="R675" i="68"/>
  <c r="R676" i="68"/>
  <c r="R677" i="68"/>
  <c r="R678" i="68"/>
  <c r="R679" i="68"/>
  <c r="R680" i="68"/>
  <c r="R681" i="68"/>
  <c r="R682" i="68"/>
  <c r="R683" i="68"/>
  <c r="R684" i="68"/>
  <c r="R685" i="68"/>
  <c r="R686" i="68"/>
  <c r="R687" i="68"/>
  <c r="R688" i="68"/>
  <c r="R689" i="68"/>
  <c r="R690" i="68"/>
  <c r="R691" i="68"/>
  <c r="R692" i="68"/>
  <c r="R693" i="68"/>
  <c r="R694" i="68"/>
  <c r="R695" i="68"/>
  <c r="R696" i="68"/>
  <c r="R697" i="68"/>
  <c r="R698" i="68"/>
  <c r="R699" i="68"/>
  <c r="R700" i="68"/>
  <c r="R701" i="68"/>
  <c r="R702" i="68"/>
  <c r="R703" i="68"/>
  <c r="R704" i="68"/>
  <c r="R705" i="68"/>
  <c r="R706" i="68"/>
  <c r="R707" i="68"/>
  <c r="R708" i="68"/>
  <c r="R709" i="68"/>
  <c r="R710" i="68"/>
  <c r="R711" i="68"/>
  <c r="R712" i="68"/>
  <c r="R713" i="68"/>
  <c r="R714" i="68"/>
  <c r="R715" i="68"/>
  <c r="R716" i="68"/>
  <c r="R717" i="68"/>
  <c r="R718" i="68"/>
  <c r="R719" i="68"/>
  <c r="R720" i="68"/>
  <c r="R721" i="68"/>
  <c r="R722" i="68"/>
  <c r="R723" i="68"/>
  <c r="R724" i="68"/>
  <c r="R725" i="68"/>
  <c r="R726" i="68"/>
  <c r="R727" i="68"/>
  <c r="R728" i="68"/>
  <c r="R729" i="68"/>
  <c r="R730" i="68"/>
  <c r="R731" i="68"/>
  <c r="R732" i="68"/>
  <c r="R733" i="68"/>
  <c r="R734" i="68"/>
  <c r="R735" i="68"/>
  <c r="R736" i="68"/>
  <c r="R737" i="68"/>
  <c r="R738" i="68"/>
  <c r="R739" i="68"/>
  <c r="R740" i="68"/>
  <c r="R741" i="68"/>
  <c r="R742" i="68"/>
  <c r="R743" i="68"/>
  <c r="R744" i="68"/>
  <c r="R745" i="68"/>
  <c r="R746" i="68"/>
  <c r="R747" i="68"/>
  <c r="R748" i="68"/>
  <c r="R749" i="68"/>
  <c r="R750" i="68"/>
  <c r="R751" i="68"/>
  <c r="R752" i="68"/>
  <c r="R753" i="68"/>
  <c r="R754" i="68"/>
  <c r="R755" i="68"/>
  <c r="R756" i="68"/>
  <c r="R757" i="68"/>
  <c r="R758" i="68"/>
  <c r="R759" i="68"/>
  <c r="R760" i="68"/>
  <c r="R761" i="68"/>
  <c r="R762" i="68"/>
  <c r="R763" i="68"/>
  <c r="R764" i="68"/>
  <c r="R765" i="68"/>
  <c r="R766" i="68"/>
  <c r="R767" i="68"/>
  <c r="R768" i="68"/>
  <c r="R769" i="68"/>
  <c r="R770" i="68"/>
  <c r="R771" i="68"/>
  <c r="R772" i="68"/>
  <c r="R773" i="68"/>
  <c r="R774" i="68"/>
  <c r="R775" i="68"/>
  <c r="R776" i="68"/>
  <c r="R777" i="68"/>
  <c r="R778" i="68"/>
  <c r="R779" i="68"/>
  <c r="R780" i="68"/>
  <c r="R781" i="68"/>
  <c r="R782" i="68"/>
  <c r="R783" i="68"/>
  <c r="R784" i="68"/>
  <c r="R785" i="68"/>
  <c r="R786" i="68"/>
  <c r="R787" i="68"/>
  <c r="R788" i="68"/>
  <c r="R789" i="68"/>
  <c r="R790" i="68"/>
  <c r="R791" i="68"/>
  <c r="R792" i="68"/>
  <c r="R793" i="68"/>
  <c r="R794" i="68"/>
  <c r="R795" i="68"/>
  <c r="R796" i="68"/>
  <c r="R797" i="68"/>
  <c r="R798" i="68"/>
  <c r="R799" i="68"/>
  <c r="R800" i="68"/>
  <c r="R801" i="68"/>
  <c r="R802" i="68"/>
  <c r="R803" i="68"/>
  <c r="R804" i="68"/>
  <c r="R805" i="68"/>
  <c r="R806" i="68"/>
  <c r="R807" i="68"/>
  <c r="R808" i="68"/>
  <c r="R809" i="68"/>
  <c r="R810" i="68"/>
  <c r="R811" i="68"/>
  <c r="R812" i="68"/>
  <c r="R813" i="68"/>
  <c r="R814" i="68"/>
  <c r="R815" i="68"/>
  <c r="R816" i="68"/>
  <c r="R817" i="68"/>
  <c r="R818" i="68"/>
  <c r="R819" i="68"/>
  <c r="R820" i="68"/>
  <c r="R821" i="68"/>
  <c r="R822" i="68"/>
  <c r="R823" i="68"/>
  <c r="R824" i="68"/>
  <c r="R825" i="68"/>
  <c r="R826" i="68"/>
  <c r="R827" i="68"/>
  <c r="R828" i="68"/>
  <c r="R829" i="68"/>
  <c r="R830" i="68"/>
  <c r="R831" i="68"/>
  <c r="R832" i="68"/>
  <c r="R833" i="68"/>
  <c r="R834" i="68"/>
  <c r="R835" i="68"/>
  <c r="R836" i="68"/>
  <c r="R837" i="68"/>
  <c r="R838" i="68"/>
  <c r="R839" i="68"/>
  <c r="R840" i="68"/>
  <c r="R841" i="68"/>
  <c r="R842" i="68"/>
  <c r="R843" i="68"/>
  <c r="R844" i="68"/>
  <c r="R845" i="68"/>
  <c r="R846" i="68"/>
  <c r="R847" i="68"/>
  <c r="R848" i="68"/>
  <c r="R849" i="68"/>
  <c r="R850" i="68"/>
  <c r="R851" i="68"/>
  <c r="R852" i="68"/>
  <c r="R853" i="68"/>
  <c r="R854" i="68"/>
  <c r="R855" i="68"/>
  <c r="R856" i="68"/>
  <c r="R857" i="68"/>
  <c r="R858" i="68"/>
  <c r="R859" i="68"/>
  <c r="R860" i="68"/>
  <c r="R861" i="68"/>
  <c r="R862" i="68"/>
  <c r="R863" i="68"/>
  <c r="R864" i="68"/>
  <c r="R865" i="68"/>
  <c r="R866" i="68"/>
  <c r="R867" i="68"/>
  <c r="R868" i="68"/>
  <c r="R869" i="68"/>
  <c r="R870" i="68"/>
  <c r="R871" i="68"/>
  <c r="R872" i="68"/>
  <c r="R873" i="68"/>
  <c r="R874" i="68"/>
  <c r="R875" i="68"/>
  <c r="R876" i="68"/>
  <c r="R877" i="68"/>
  <c r="R878" i="68"/>
  <c r="R879" i="68"/>
  <c r="R880" i="68"/>
  <c r="R881" i="68"/>
  <c r="R882" i="68"/>
  <c r="R883" i="68"/>
  <c r="R884" i="68"/>
  <c r="R885" i="68"/>
  <c r="R886" i="68"/>
  <c r="R887" i="68"/>
  <c r="R888" i="68"/>
  <c r="R889" i="68"/>
  <c r="R890" i="68"/>
  <c r="R891" i="68"/>
  <c r="R892" i="68"/>
  <c r="R893" i="68"/>
  <c r="R894" i="68"/>
  <c r="R895" i="68"/>
  <c r="R896" i="68"/>
  <c r="R897" i="68"/>
  <c r="R898" i="68"/>
  <c r="R899" i="68"/>
  <c r="R900" i="68"/>
  <c r="R901" i="68"/>
  <c r="R902" i="68"/>
  <c r="R903" i="68"/>
  <c r="R904" i="68"/>
  <c r="R905" i="68"/>
  <c r="R906" i="68"/>
  <c r="R907" i="68"/>
  <c r="R908" i="68"/>
  <c r="R909" i="68"/>
  <c r="R910" i="68"/>
  <c r="R911" i="68"/>
  <c r="R912" i="68"/>
  <c r="R913" i="68"/>
  <c r="R914" i="68"/>
  <c r="R915" i="68"/>
  <c r="R916" i="68"/>
  <c r="R917" i="68"/>
  <c r="R918" i="68"/>
  <c r="R919" i="68"/>
  <c r="R920" i="68"/>
  <c r="R921" i="68"/>
  <c r="R922" i="68"/>
  <c r="R923" i="68"/>
  <c r="R924" i="68"/>
  <c r="R925" i="68"/>
  <c r="R926" i="68"/>
  <c r="R927" i="68"/>
  <c r="R928" i="68"/>
  <c r="R929" i="68"/>
  <c r="R930" i="68"/>
  <c r="R931" i="68"/>
  <c r="R932" i="68"/>
  <c r="R933" i="68"/>
  <c r="R934" i="68"/>
  <c r="R935" i="68"/>
  <c r="R936" i="68"/>
  <c r="R937" i="68"/>
  <c r="R938" i="68"/>
  <c r="R939" i="68"/>
  <c r="R940" i="68"/>
  <c r="R941" i="68"/>
  <c r="R942" i="68"/>
  <c r="R943" i="68"/>
  <c r="R944" i="68"/>
  <c r="R945" i="68"/>
  <c r="R946" i="68"/>
  <c r="R947" i="68"/>
  <c r="R948" i="68"/>
  <c r="R949" i="68"/>
  <c r="R950" i="68"/>
  <c r="R951" i="68"/>
  <c r="R952" i="68"/>
  <c r="R953" i="68"/>
  <c r="R954" i="68"/>
  <c r="R955" i="68"/>
  <c r="R956" i="68"/>
  <c r="R957" i="68"/>
  <c r="R958" i="68"/>
  <c r="R959" i="68"/>
  <c r="R960" i="68"/>
  <c r="R961" i="68"/>
  <c r="R962" i="68"/>
  <c r="R963" i="68"/>
  <c r="R964" i="68"/>
  <c r="R965" i="68"/>
  <c r="R966" i="68"/>
  <c r="R967" i="68"/>
  <c r="R968" i="68"/>
  <c r="R969" i="68"/>
  <c r="R970" i="68"/>
  <c r="R971" i="68"/>
  <c r="R972" i="68"/>
  <c r="R973" i="68"/>
  <c r="R974" i="68"/>
  <c r="R975" i="68"/>
  <c r="R976" i="68"/>
  <c r="R977" i="68"/>
  <c r="R978" i="68"/>
  <c r="R979" i="68"/>
  <c r="R980" i="68"/>
  <c r="R981" i="68"/>
  <c r="R982" i="68"/>
  <c r="R983" i="68"/>
  <c r="R984" i="68"/>
  <c r="R985" i="68"/>
  <c r="R986" i="68"/>
  <c r="R987" i="68"/>
  <c r="R988" i="68"/>
  <c r="R989" i="68"/>
  <c r="R990" i="68"/>
  <c r="R991" i="68"/>
  <c r="R992" i="68"/>
  <c r="R993" i="68"/>
  <c r="R994" i="68"/>
  <c r="R995" i="68"/>
  <c r="R996" i="68"/>
  <c r="R997" i="68"/>
  <c r="R998" i="68"/>
  <c r="R999" i="68"/>
  <c r="R1000" i="68"/>
  <c r="R1001" i="68"/>
  <c r="R1002" i="68"/>
  <c r="R1003" i="68"/>
  <c r="R1004" i="68"/>
  <c r="R1005" i="68"/>
  <c r="R1006" i="68"/>
  <c r="R1007" i="68"/>
  <c r="R1008" i="68"/>
  <c r="R1009" i="68"/>
  <c r="R1010" i="68"/>
  <c r="R1011" i="68"/>
  <c r="R1012" i="68"/>
  <c r="R1013" i="68"/>
  <c r="R1014" i="68"/>
  <c r="R1015" i="68"/>
  <c r="R1016" i="68"/>
  <c r="R1017" i="68"/>
  <c r="R1018" i="68"/>
  <c r="R1019" i="68"/>
  <c r="R1020" i="68"/>
  <c r="R1021" i="68"/>
  <c r="R1022" i="68"/>
  <c r="R1023" i="68"/>
  <c r="R1024" i="68"/>
  <c r="R1025" i="68"/>
  <c r="R1026" i="68"/>
  <c r="R1027" i="68"/>
  <c r="R1028" i="68"/>
  <c r="R1029" i="68"/>
  <c r="R1030" i="68"/>
  <c r="R1031" i="68"/>
  <c r="R1032" i="68"/>
  <c r="R1033" i="68"/>
  <c r="R1034" i="68"/>
  <c r="R1035" i="68"/>
  <c r="R1036" i="68"/>
  <c r="R1037" i="68"/>
  <c r="R1038" i="68"/>
  <c r="R1039" i="68"/>
  <c r="R1040" i="68"/>
  <c r="R1041" i="68"/>
  <c r="R1042" i="68"/>
  <c r="R1043" i="68"/>
  <c r="R1044" i="68"/>
  <c r="R1045" i="68"/>
  <c r="R1046" i="68"/>
  <c r="R1047" i="68"/>
  <c r="R1048" i="68"/>
  <c r="R1049" i="68"/>
  <c r="R1050" i="68"/>
  <c r="R1051" i="68"/>
  <c r="R1052" i="68"/>
  <c r="R1053" i="68"/>
  <c r="R1054" i="68"/>
  <c r="R1055" i="68"/>
  <c r="R1056" i="68"/>
  <c r="R1057" i="68"/>
  <c r="R1058" i="68"/>
  <c r="R1059" i="68"/>
  <c r="R1060" i="68"/>
  <c r="R1061" i="68"/>
  <c r="R1062" i="68"/>
  <c r="R1063" i="68"/>
  <c r="R1064" i="68"/>
  <c r="R1065" i="68"/>
  <c r="R1066" i="68"/>
  <c r="R1067" i="68"/>
  <c r="R1068" i="68"/>
  <c r="R1069" i="68"/>
  <c r="R1070" i="68"/>
  <c r="R1071" i="68"/>
  <c r="R1072" i="68"/>
  <c r="R1073" i="68"/>
  <c r="R1074" i="68"/>
  <c r="R1075" i="68"/>
  <c r="R1076" i="68"/>
  <c r="R1077" i="68"/>
  <c r="R1078" i="68"/>
  <c r="R1079" i="68"/>
  <c r="R1080" i="68"/>
  <c r="R1081" i="68"/>
  <c r="R1082" i="68"/>
  <c r="R1083" i="68"/>
  <c r="R1084" i="68"/>
  <c r="R1085" i="68"/>
  <c r="R1086" i="68"/>
  <c r="R1087" i="68"/>
  <c r="R1088" i="68"/>
  <c r="R1089" i="68"/>
  <c r="R1090" i="68"/>
  <c r="R1091" i="68"/>
  <c r="R1092" i="68"/>
  <c r="R1093" i="68"/>
  <c r="R1094" i="68"/>
  <c r="R1095" i="68"/>
  <c r="R1096" i="68"/>
  <c r="R1097" i="68"/>
  <c r="R1098" i="68"/>
  <c r="R1099" i="68"/>
  <c r="R1100" i="68"/>
  <c r="R1101" i="68"/>
  <c r="R1102" i="68"/>
  <c r="R1103" i="68"/>
  <c r="R1104" i="68"/>
  <c r="R1105" i="68"/>
  <c r="R1106" i="68"/>
  <c r="R1107" i="68"/>
  <c r="R1108" i="68"/>
  <c r="R1109" i="68"/>
  <c r="R1110" i="68"/>
  <c r="R1111" i="68"/>
  <c r="R1112" i="68"/>
  <c r="R1113" i="68"/>
  <c r="R1114" i="68"/>
  <c r="R1115" i="68"/>
  <c r="R1116" i="68"/>
  <c r="R1117" i="68"/>
  <c r="R1118" i="68"/>
  <c r="R1119" i="68"/>
  <c r="R1120" i="68"/>
  <c r="R1121" i="68"/>
  <c r="R1122" i="68"/>
  <c r="R1123" i="68"/>
  <c r="R1124" i="68"/>
  <c r="R1125" i="68"/>
  <c r="R1126" i="68"/>
  <c r="R1127" i="68"/>
  <c r="R1128" i="68"/>
  <c r="R1129" i="68"/>
  <c r="R1130" i="68"/>
  <c r="R1131" i="68"/>
  <c r="R1132" i="68"/>
  <c r="R1133" i="68"/>
  <c r="R1134" i="68"/>
  <c r="R1135" i="68"/>
  <c r="R1136" i="68"/>
  <c r="R1137" i="68"/>
  <c r="R1138" i="68"/>
  <c r="R1139" i="68"/>
  <c r="R1140" i="68"/>
  <c r="R1141" i="68"/>
  <c r="R1142" i="68"/>
  <c r="R1143" i="68"/>
  <c r="R1144" i="68"/>
  <c r="R1145" i="68"/>
  <c r="R1146" i="68"/>
  <c r="R1147" i="68"/>
  <c r="R1148" i="68"/>
  <c r="R1149" i="68"/>
  <c r="R1150" i="68"/>
  <c r="R1151" i="68"/>
  <c r="R1152" i="68"/>
  <c r="R1153" i="68"/>
  <c r="R1154" i="68"/>
  <c r="R1155" i="68"/>
  <c r="R1156" i="68"/>
  <c r="R1157" i="68"/>
  <c r="R1158" i="68"/>
  <c r="R1159" i="68"/>
  <c r="R1160" i="68"/>
  <c r="R1161" i="68"/>
  <c r="R1162" i="68"/>
  <c r="R1163" i="68"/>
  <c r="R1164" i="68"/>
  <c r="R1165" i="68"/>
  <c r="R1166" i="68"/>
  <c r="R1167" i="68"/>
  <c r="R1168" i="68"/>
  <c r="R1169" i="68"/>
  <c r="R1170" i="68"/>
  <c r="R1171" i="68"/>
  <c r="R1172" i="68"/>
  <c r="R1173" i="68"/>
  <c r="R1174" i="68"/>
  <c r="R1175" i="68"/>
  <c r="R1176" i="68"/>
  <c r="R1177" i="68"/>
  <c r="R1178" i="68"/>
  <c r="R1179" i="68"/>
  <c r="R1180" i="68"/>
  <c r="R1181" i="68"/>
  <c r="R1182" i="68"/>
  <c r="R1183" i="68"/>
  <c r="R1184" i="68"/>
  <c r="R1185" i="68"/>
  <c r="R1186" i="68"/>
  <c r="R1187" i="68"/>
  <c r="R1188" i="68"/>
  <c r="R1189" i="68"/>
  <c r="R1190" i="68"/>
  <c r="R1191" i="68"/>
  <c r="R1192" i="68"/>
  <c r="R1193" i="68"/>
  <c r="R1194" i="68"/>
  <c r="R3" i="67"/>
  <c r="R4" i="67"/>
  <c r="R5" i="67"/>
  <c r="R6" i="67"/>
  <c r="R7" i="67"/>
  <c r="R8" i="67"/>
  <c r="R9" i="67"/>
  <c r="R10" i="67"/>
  <c r="R11" i="67"/>
  <c r="R12" i="67"/>
  <c r="R13" i="67"/>
  <c r="R14" i="67"/>
  <c r="R15" i="67"/>
  <c r="R16" i="67"/>
  <c r="R17" i="67"/>
  <c r="R18" i="67"/>
  <c r="R19" i="67"/>
  <c r="R20" i="67"/>
  <c r="R21" i="67"/>
  <c r="R22" i="67"/>
  <c r="R23" i="67"/>
  <c r="R24" i="67"/>
  <c r="R25" i="67"/>
  <c r="R26" i="67"/>
  <c r="R27" i="67"/>
  <c r="R28" i="67"/>
  <c r="R29" i="67"/>
  <c r="R30" i="67"/>
  <c r="R31" i="67"/>
  <c r="R32" i="67"/>
  <c r="R33" i="67"/>
  <c r="R34" i="67"/>
  <c r="R35" i="67"/>
  <c r="R36" i="67"/>
  <c r="R37" i="67"/>
  <c r="R38" i="67"/>
  <c r="R39" i="67"/>
  <c r="R40" i="67"/>
  <c r="R41" i="67"/>
  <c r="R42" i="67"/>
  <c r="R43" i="67"/>
  <c r="R44" i="67"/>
  <c r="R45" i="67"/>
  <c r="R46" i="67"/>
  <c r="R47" i="67"/>
  <c r="R48" i="67"/>
  <c r="R49" i="67"/>
  <c r="R50" i="67"/>
  <c r="R51" i="67"/>
  <c r="R52" i="67"/>
  <c r="R53" i="67"/>
  <c r="R54" i="67"/>
  <c r="R55" i="67"/>
  <c r="R56" i="67"/>
  <c r="R57" i="67"/>
  <c r="R58" i="67"/>
  <c r="R59" i="67"/>
  <c r="R60" i="67"/>
  <c r="R61" i="67"/>
  <c r="R62" i="67"/>
  <c r="R63" i="67"/>
  <c r="R64" i="67"/>
  <c r="R65" i="67"/>
  <c r="R66" i="67"/>
  <c r="R67" i="67"/>
  <c r="R68" i="67"/>
  <c r="R69" i="67"/>
  <c r="R70" i="67"/>
  <c r="R71" i="67"/>
  <c r="R72" i="67"/>
  <c r="R73" i="67"/>
  <c r="R74" i="67"/>
  <c r="R75" i="67"/>
  <c r="R76" i="67"/>
  <c r="R77" i="67"/>
  <c r="R78" i="67"/>
  <c r="R79" i="67"/>
  <c r="R80" i="67"/>
  <c r="R81" i="67"/>
  <c r="R82" i="67"/>
  <c r="R83" i="67"/>
  <c r="R84" i="67"/>
  <c r="R85" i="67"/>
  <c r="R86" i="67"/>
  <c r="R87" i="67"/>
  <c r="R88" i="67"/>
  <c r="R89" i="67"/>
  <c r="R90" i="67"/>
  <c r="R91" i="67"/>
  <c r="R92" i="67"/>
  <c r="R93" i="67"/>
  <c r="R94" i="67"/>
  <c r="R95" i="67"/>
  <c r="R96" i="67"/>
  <c r="R97" i="67"/>
  <c r="R98" i="67"/>
  <c r="R99" i="67"/>
  <c r="R100" i="67"/>
  <c r="R101" i="67"/>
  <c r="R102" i="67"/>
  <c r="R103" i="67"/>
  <c r="R104" i="67"/>
  <c r="R105" i="67"/>
  <c r="R106" i="67"/>
  <c r="R107" i="67"/>
  <c r="R108" i="67"/>
  <c r="R109" i="67"/>
  <c r="R110" i="67"/>
  <c r="R111" i="67"/>
  <c r="R112" i="67"/>
  <c r="R113" i="67"/>
  <c r="R114" i="67"/>
  <c r="R115" i="67"/>
  <c r="R116" i="67"/>
  <c r="R117" i="67"/>
  <c r="R118" i="67"/>
  <c r="R119" i="67"/>
  <c r="R120" i="67"/>
  <c r="R121" i="67"/>
  <c r="R122" i="67"/>
  <c r="R123" i="67"/>
  <c r="R124" i="67"/>
  <c r="R125" i="67"/>
  <c r="R126" i="67"/>
  <c r="R127" i="67"/>
  <c r="R128" i="67"/>
  <c r="R129" i="67"/>
  <c r="R130" i="67"/>
  <c r="R131" i="67"/>
  <c r="R132" i="67"/>
  <c r="R133" i="67"/>
  <c r="R134" i="67"/>
  <c r="R135" i="67"/>
  <c r="R136" i="67"/>
  <c r="R137" i="67"/>
  <c r="R138" i="67"/>
  <c r="R139" i="67"/>
  <c r="R140" i="67"/>
  <c r="R141" i="67"/>
  <c r="R142" i="67"/>
  <c r="R143" i="67"/>
  <c r="R144" i="67"/>
  <c r="R145" i="67"/>
  <c r="R146" i="67"/>
  <c r="R147" i="67"/>
  <c r="R148" i="67"/>
  <c r="R149" i="67"/>
  <c r="R150" i="67"/>
  <c r="R151" i="67"/>
  <c r="R152" i="67"/>
  <c r="R153" i="67"/>
  <c r="R154" i="67"/>
  <c r="R155" i="67"/>
  <c r="R156" i="67"/>
  <c r="R157" i="67"/>
  <c r="R158" i="67"/>
  <c r="R159" i="67"/>
  <c r="R160" i="67"/>
  <c r="R161" i="67"/>
  <c r="R162" i="67"/>
  <c r="R163" i="67"/>
  <c r="R164" i="67"/>
  <c r="R165" i="67"/>
  <c r="R166" i="67"/>
  <c r="R167" i="67"/>
  <c r="R168" i="67"/>
  <c r="R169" i="67"/>
  <c r="R170" i="67"/>
  <c r="R171" i="67"/>
  <c r="R172" i="67"/>
  <c r="R173" i="67"/>
  <c r="R174" i="67"/>
  <c r="R175" i="67"/>
  <c r="R176" i="67"/>
  <c r="R177" i="67"/>
  <c r="R178" i="67"/>
  <c r="R179" i="67"/>
  <c r="R180" i="67"/>
  <c r="R181" i="67"/>
  <c r="R182" i="67"/>
  <c r="R183" i="67"/>
  <c r="R184" i="67"/>
  <c r="R185" i="67"/>
  <c r="R186" i="67"/>
  <c r="R187" i="67"/>
  <c r="R188" i="67"/>
  <c r="R189" i="67"/>
  <c r="R190" i="67"/>
  <c r="R191" i="67"/>
  <c r="R192" i="67"/>
  <c r="R193" i="67"/>
  <c r="R194" i="67"/>
  <c r="R195" i="67"/>
  <c r="R196" i="67"/>
  <c r="R197" i="67"/>
  <c r="R198" i="67"/>
  <c r="R199" i="67"/>
  <c r="R200" i="67"/>
  <c r="R201" i="67"/>
  <c r="R202" i="67"/>
  <c r="R203" i="67"/>
  <c r="R204" i="67"/>
  <c r="R205" i="67"/>
  <c r="R206" i="67"/>
  <c r="R207" i="67"/>
  <c r="R208" i="67"/>
  <c r="R209" i="67"/>
  <c r="R210" i="67"/>
  <c r="R211" i="67"/>
  <c r="R212" i="67"/>
  <c r="R213" i="67"/>
  <c r="R214" i="67"/>
  <c r="R215" i="67"/>
  <c r="R216" i="67"/>
  <c r="R217" i="67"/>
  <c r="R218" i="67"/>
  <c r="R219" i="67"/>
  <c r="R220" i="67"/>
  <c r="R221" i="67"/>
  <c r="R222" i="67"/>
  <c r="R223" i="67"/>
  <c r="R224" i="67"/>
  <c r="R225" i="67"/>
  <c r="R226" i="67"/>
  <c r="R227" i="67"/>
  <c r="R228" i="67"/>
  <c r="R229" i="67"/>
  <c r="R230" i="67"/>
  <c r="R231" i="67"/>
  <c r="R232" i="67"/>
  <c r="R233" i="67"/>
  <c r="R234" i="67"/>
  <c r="R235" i="67"/>
  <c r="R236" i="67"/>
  <c r="R237" i="67"/>
  <c r="R238" i="67"/>
  <c r="R239" i="67"/>
  <c r="R240" i="67"/>
  <c r="R241" i="67"/>
  <c r="R242" i="67"/>
  <c r="R243" i="67"/>
  <c r="R244" i="67"/>
  <c r="R245" i="67"/>
  <c r="R246" i="67"/>
  <c r="R247" i="67"/>
  <c r="R248" i="67"/>
  <c r="R249" i="67"/>
  <c r="R250" i="67"/>
  <c r="R251" i="67"/>
  <c r="R252" i="67"/>
  <c r="R253" i="67"/>
  <c r="R254" i="67"/>
  <c r="R255" i="67"/>
  <c r="R256" i="67"/>
  <c r="R257" i="67"/>
  <c r="R258" i="67"/>
  <c r="R259" i="67"/>
  <c r="R260" i="67"/>
  <c r="R261" i="67"/>
  <c r="R262" i="67"/>
  <c r="R263" i="67"/>
  <c r="R264" i="67"/>
  <c r="R265" i="67"/>
  <c r="R266" i="67"/>
  <c r="R267" i="67"/>
  <c r="R268" i="67"/>
  <c r="R269" i="67"/>
  <c r="R270" i="67"/>
  <c r="R271" i="67"/>
  <c r="R272" i="67"/>
  <c r="R273" i="67"/>
  <c r="R274" i="67"/>
  <c r="R275" i="67"/>
  <c r="R276" i="67"/>
  <c r="R277" i="67"/>
  <c r="R278" i="67"/>
  <c r="R279" i="67"/>
  <c r="R280" i="67"/>
  <c r="R281" i="67"/>
  <c r="R282" i="67"/>
  <c r="R283" i="67"/>
  <c r="R284" i="67"/>
  <c r="R285" i="67"/>
  <c r="R286" i="67"/>
  <c r="R287" i="67"/>
  <c r="R288" i="67"/>
  <c r="R289" i="67"/>
  <c r="R290" i="67"/>
  <c r="R291" i="67"/>
  <c r="R292" i="67"/>
  <c r="R293" i="67"/>
  <c r="R294" i="67"/>
  <c r="R295" i="67"/>
  <c r="R296" i="67"/>
  <c r="R297" i="67"/>
  <c r="R298" i="67"/>
  <c r="R299" i="67"/>
  <c r="R300" i="67"/>
  <c r="R301" i="67"/>
  <c r="R302" i="67"/>
  <c r="R303" i="67"/>
  <c r="R304" i="67"/>
  <c r="R305" i="67"/>
  <c r="R306" i="67"/>
  <c r="R307" i="67"/>
  <c r="R308" i="67"/>
  <c r="R309" i="67"/>
  <c r="R310" i="67"/>
  <c r="R311" i="67"/>
  <c r="R312" i="67"/>
  <c r="R313" i="67"/>
  <c r="R314" i="67"/>
  <c r="R315" i="67"/>
  <c r="R316" i="67"/>
  <c r="R317" i="67"/>
  <c r="R318" i="67"/>
  <c r="R319" i="67"/>
  <c r="R320" i="67"/>
  <c r="R321" i="67"/>
  <c r="R322" i="67"/>
  <c r="R323" i="67"/>
  <c r="R324" i="67"/>
  <c r="R325" i="67"/>
  <c r="R326" i="67"/>
  <c r="R327" i="67"/>
  <c r="R328" i="67"/>
  <c r="R329" i="67"/>
  <c r="R330" i="67"/>
  <c r="R331" i="67"/>
  <c r="R332" i="67"/>
  <c r="R333" i="67"/>
  <c r="R334" i="67"/>
  <c r="R335" i="67"/>
  <c r="R336" i="67"/>
  <c r="R337" i="67"/>
  <c r="R338" i="67"/>
  <c r="R339" i="67"/>
  <c r="R340" i="67"/>
  <c r="R341" i="67"/>
  <c r="R342" i="67"/>
  <c r="R343" i="67"/>
  <c r="R344" i="67"/>
  <c r="R345" i="67"/>
  <c r="R346" i="67"/>
  <c r="R347" i="67"/>
  <c r="R348" i="67"/>
  <c r="R349" i="67"/>
  <c r="R350" i="67"/>
  <c r="R351" i="67"/>
  <c r="R352" i="67"/>
  <c r="R353" i="67"/>
  <c r="R354" i="67"/>
  <c r="R355" i="67"/>
  <c r="R356" i="67"/>
  <c r="R357" i="67"/>
  <c r="R358" i="67"/>
  <c r="R359" i="67"/>
  <c r="R360" i="67"/>
  <c r="R361" i="67"/>
  <c r="R362" i="67"/>
  <c r="R363" i="67"/>
  <c r="R364" i="67"/>
  <c r="R365" i="67"/>
  <c r="R366" i="67"/>
  <c r="R367" i="67"/>
  <c r="R368" i="67"/>
  <c r="R369" i="67"/>
  <c r="R370" i="67"/>
  <c r="R371" i="67"/>
  <c r="R372" i="67"/>
  <c r="R373" i="67"/>
  <c r="R374" i="67"/>
  <c r="R375" i="67"/>
  <c r="R376" i="67"/>
  <c r="R377" i="67"/>
  <c r="R378" i="67"/>
  <c r="R379" i="67"/>
  <c r="R380" i="67"/>
  <c r="R381" i="67"/>
  <c r="R382" i="67"/>
  <c r="R383" i="67"/>
  <c r="R384" i="67"/>
  <c r="R385" i="67"/>
  <c r="R386" i="67"/>
  <c r="R387" i="67"/>
  <c r="R388" i="67"/>
  <c r="R389" i="67"/>
  <c r="R390" i="67"/>
  <c r="R391" i="67"/>
  <c r="R392" i="67"/>
  <c r="R393" i="67"/>
  <c r="R394" i="67"/>
  <c r="R395" i="67"/>
  <c r="R396" i="67"/>
  <c r="R397" i="67"/>
  <c r="R398" i="67"/>
  <c r="R399" i="67"/>
  <c r="R400" i="67"/>
  <c r="R401" i="67"/>
  <c r="R402" i="67"/>
  <c r="R403" i="67"/>
  <c r="R404" i="67"/>
  <c r="R405" i="67"/>
  <c r="R406" i="67"/>
  <c r="R407" i="67"/>
  <c r="R408" i="67"/>
  <c r="R409" i="67"/>
  <c r="R410" i="67"/>
  <c r="R411" i="67"/>
  <c r="R412" i="67"/>
  <c r="R413" i="67"/>
  <c r="R414" i="67"/>
  <c r="R415" i="67"/>
  <c r="R416" i="67"/>
  <c r="R417" i="67"/>
  <c r="R418" i="67"/>
  <c r="R419" i="67"/>
  <c r="R420" i="67"/>
  <c r="R421" i="67"/>
  <c r="R422" i="67"/>
  <c r="R423" i="67"/>
  <c r="R424" i="67"/>
  <c r="R425" i="67"/>
  <c r="R426" i="67"/>
  <c r="R427" i="67"/>
  <c r="R428" i="67"/>
  <c r="R429" i="67"/>
  <c r="R430" i="67"/>
  <c r="R431" i="67"/>
  <c r="R432" i="67"/>
  <c r="R433" i="67"/>
  <c r="R434" i="67"/>
  <c r="R435" i="67"/>
  <c r="R436" i="67"/>
  <c r="R437" i="67"/>
  <c r="R438" i="67"/>
  <c r="R439" i="67"/>
  <c r="R440" i="67"/>
  <c r="R441" i="67"/>
  <c r="R442" i="67"/>
  <c r="R443" i="67"/>
  <c r="R444" i="67"/>
  <c r="R445" i="67"/>
  <c r="R446" i="67"/>
  <c r="R447" i="67"/>
  <c r="R448" i="67"/>
  <c r="R449" i="67"/>
  <c r="R450" i="67"/>
  <c r="R451" i="67"/>
  <c r="R452" i="67"/>
  <c r="R453" i="67"/>
  <c r="R454" i="67"/>
  <c r="R455" i="67"/>
  <c r="R456" i="67"/>
  <c r="R457" i="67"/>
  <c r="R458" i="67"/>
  <c r="R459" i="67"/>
  <c r="R460" i="67"/>
  <c r="R461" i="67"/>
  <c r="R462" i="67"/>
  <c r="R463" i="67"/>
  <c r="R464" i="67"/>
  <c r="R465" i="67"/>
  <c r="R466" i="67"/>
  <c r="R467" i="67"/>
  <c r="R468" i="67"/>
  <c r="R469" i="67"/>
  <c r="R470" i="67"/>
  <c r="R471" i="67"/>
  <c r="R472" i="67"/>
  <c r="R473" i="67"/>
  <c r="R474" i="67"/>
  <c r="R475" i="67"/>
  <c r="R476" i="67"/>
  <c r="R477" i="67"/>
  <c r="R478" i="67"/>
  <c r="R479" i="67"/>
  <c r="R480" i="67"/>
  <c r="R481" i="67"/>
  <c r="R482" i="67"/>
  <c r="R483" i="67"/>
  <c r="R484" i="67"/>
  <c r="R485" i="67"/>
  <c r="R486" i="67"/>
  <c r="R487" i="67"/>
  <c r="R488" i="67"/>
  <c r="R489" i="67"/>
  <c r="R490" i="67"/>
  <c r="R491" i="67"/>
  <c r="R492" i="67"/>
  <c r="R493" i="67"/>
  <c r="R494" i="67"/>
  <c r="R495" i="67"/>
  <c r="R496" i="67"/>
  <c r="R497" i="67"/>
  <c r="R498" i="67"/>
  <c r="R499" i="67"/>
  <c r="R500" i="67"/>
  <c r="R501" i="67"/>
  <c r="R502" i="67"/>
  <c r="R503" i="67"/>
  <c r="R504" i="67"/>
  <c r="R505" i="67"/>
  <c r="R506" i="67"/>
  <c r="R507" i="67"/>
  <c r="R508" i="67"/>
  <c r="R509" i="67"/>
  <c r="R510" i="67"/>
  <c r="R511" i="67"/>
  <c r="R512" i="67"/>
  <c r="R513" i="67"/>
  <c r="R514" i="67"/>
  <c r="R515" i="67"/>
  <c r="R516" i="67"/>
  <c r="R517" i="67"/>
  <c r="R518" i="67"/>
  <c r="R519" i="67"/>
  <c r="R520" i="67"/>
  <c r="R521" i="67"/>
  <c r="R522" i="67"/>
  <c r="R523" i="67"/>
  <c r="R524" i="67"/>
  <c r="R525" i="67"/>
  <c r="R526" i="67"/>
  <c r="R527" i="67"/>
  <c r="R528" i="67"/>
  <c r="R529" i="67"/>
  <c r="R530" i="67"/>
  <c r="R531" i="67"/>
  <c r="R532" i="67"/>
  <c r="R533" i="67"/>
  <c r="R534" i="67"/>
  <c r="R535" i="67"/>
  <c r="R536" i="67"/>
  <c r="R537" i="67"/>
  <c r="R538" i="67"/>
  <c r="R539" i="67"/>
  <c r="R540" i="67"/>
  <c r="R541" i="67"/>
  <c r="R542" i="67"/>
  <c r="R543" i="67"/>
  <c r="R544" i="67"/>
  <c r="R545" i="67"/>
  <c r="R546" i="67"/>
  <c r="R547" i="67"/>
  <c r="R548" i="67"/>
  <c r="R549" i="67"/>
  <c r="R550" i="67"/>
  <c r="R551" i="67"/>
  <c r="R552" i="67"/>
  <c r="R553" i="67"/>
  <c r="R554" i="67"/>
  <c r="R555" i="67"/>
  <c r="R556" i="67"/>
  <c r="R557" i="67"/>
  <c r="R558" i="67"/>
  <c r="R559" i="67"/>
  <c r="R560" i="67"/>
  <c r="R561" i="67"/>
  <c r="R562" i="67"/>
  <c r="R563" i="67"/>
  <c r="R564" i="67"/>
  <c r="R565" i="67"/>
  <c r="R566" i="67"/>
  <c r="R567" i="67"/>
  <c r="R568" i="67"/>
  <c r="R569" i="67"/>
  <c r="R570" i="67"/>
  <c r="R571" i="67"/>
  <c r="R572" i="67"/>
  <c r="R573" i="67"/>
  <c r="R574" i="67"/>
  <c r="R575" i="67"/>
  <c r="R576" i="67"/>
  <c r="R577" i="67"/>
  <c r="R578" i="67"/>
  <c r="R579" i="67"/>
  <c r="R580" i="67"/>
  <c r="R581" i="67"/>
  <c r="R582" i="67"/>
  <c r="R583" i="67"/>
  <c r="R584" i="67"/>
  <c r="R585" i="67"/>
  <c r="R586" i="67"/>
  <c r="R587" i="67"/>
  <c r="R588" i="67"/>
  <c r="R589" i="67"/>
  <c r="R590" i="67"/>
  <c r="R591" i="67"/>
  <c r="R592" i="67"/>
  <c r="R593" i="67"/>
  <c r="R594" i="67"/>
  <c r="R595" i="67"/>
  <c r="R596" i="67"/>
  <c r="R597" i="67"/>
  <c r="R598" i="67"/>
  <c r="R599" i="67"/>
  <c r="R600" i="67"/>
  <c r="R601" i="67"/>
  <c r="R602" i="67"/>
  <c r="R603" i="67"/>
  <c r="R604" i="67"/>
  <c r="R605" i="67"/>
  <c r="R606" i="67"/>
  <c r="R607" i="67"/>
  <c r="R608" i="67"/>
  <c r="R609" i="67"/>
  <c r="R610" i="67"/>
  <c r="R611" i="67"/>
  <c r="R612" i="67"/>
  <c r="R613" i="67"/>
  <c r="R614" i="67"/>
  <c r="R615" i="67"/>
  <c r="R616" i="67"/>
  <c r="R617" i="67"/>
  <c r="R618" i="67"/>
  <c r="R619" i="67"/>
  <c r="R620" i="67"/>
  <c r="R621" i="67"/>
  <c r="R622" i="67"/>
  <c r="R623" i="67"/>
  <c r="R624" i="67"/>
  <c r="R625" i="67"/>
  <c r="R626" i="67"/>
  <c r="R627" i="67"/>
  <c r="R628" i="67"/>
  <c r="R629" i="67"/>
  <c r="R630" i="67"/>
  <c r="R631" i="67"/>
  <c r="R632" i="67"/>
  <c r="R633" i="67"/>
  <c r="R634" i="67"/>
  <c r="R635" i="67"/>
  <c r="R636" i="67"/>
  <c r="R637" i="67"/>
  <c r="R638" i="67"/>
  <c r="R639" i="67"/>
  <c r="R640" i="67"/>
  <c r="R641" i="67"/>
  <c r="R642" i="67"/>
  <c r="R643" i="67"/>
  <c r="R644" i="67"/>
  <c r="R645" i="67"/>
  <c r="R646" i="67"/>
  <c r="R647" i="67"/>
  <c r="R648" i="67"/>
  <c r="R649" i="67"/>
  <c r="R650" i="67"/>
  <c r="R651" i="67"/>
  <c r="R652" i="67"/>
  <c r="R653" i="67"/>
  <c r="R654" i="67"/>
  <c r="R655" i="67"/>
  <c r="R656" i="67"/>
  <c r="R657" i="67"/>
  <c r="R658" i="67"/>
  <c r="R659" i="67"/>
  <c r="R660" i="67"/>
  <c r="R661" i="67"/>
  <c r="R662" i="67"/>
  <c r="R663" i="67"/>
  <c r="R664" i="67"/>
  <c r="R665" i="67"/>
  <c r="R666" i="67"/>
  <c r="R667" i="67"/>
  <c r="R668" i="67"/>
  <c r="R669" i="67"/>
  <c r="R670" i="67"/>
  <c r="R671" i="67"/>
  <c r="R672" i="67"/>
  <c r="R673" i="67"/>
  <c r="R674" i="67"/>
  <c r="R675" i="67"/>
  <c r="R676" i="67"/>
  <c r="R677" i="67"/>
  <c r="R678" i="67"/>
  <c r="R679" i="67"/>
  <c r="R680" i="67"/>
  <c r="R681" i="67"/>
  <c r="R682" i="67"/>
  <c r="R683" i="67"/>
  <c r="R684" i="67"/>
  <c r="R685" i="67"/>
  <c r="R686" i="67"/>
  <c r="R687" i="67"/>
  <c r="R688" i="67"/>
  <c r="R689" i="67"/>
  <c r="R690" i="67"/>
  <c r="R691" i="67"/>
  <c r="R692" i="67"/>
  <c r="R693" i="67"/>
  <c r="R694" i="67"/>
  <c r="R695" i="67"/>
  <c r="R696" i="67"/>
  <c r="R697" i="67"/>
  <c r="R698" i="67"/>
  <c r="R699" i="67"/>
  <c r="R700" i="67"/>
  <c r="R701" i="67"/>
  <c r="R702" i="67"/>
  <c r="R703" i="67"/>
  <c r="R704" i="67"/>
  <c r="R705" i="67"/>
  <c r="R706" i="67"/>
  <c r="R707" i="67"/>
  <c r="R708" i="67"/>
  <c r="R709" i="67"/>
  <c r="R710" i="67"/>
  <c r="R711" i="67"/>
  <c r="R712" i="67"/>
  <c r="R713" i="67"/>
  <c r="R714" i="67"/>
  <c r="R715" i="67"/>
  <c r="R716" i="67"/>
  <c r="R717" i="67"/>
  <c r="R718" i="67"/>
  <c r="R719" i="67"/>
  <c r="R720" i="67"/>
  <c r="R721" i="67"/>
  <c r="R722" i="67"/>
  <c r="R723" i="67"/>
  <c r="R724" i="67"/>
  <c r="R725" i="67"/>
  <c r="R726" i="67"/>
  <c r="R727" i="67"/>
  <c r="R728" i="67"/>
  <c r="R729" i="67"/>
  <c r="R730" i="67"/>
  <c r="R731" i="67"/>
  <c r="R732" i="67"/>
  <c r="R733" i="67"/>
  <c r="R734" i="67"/>
  <c r="R735" i="67"/>
  <c r="R736" i="67"/>
  <c r="R737" i="67"/>
  <c r="R738" i="67"/>
  <c r="R739" i="67"/>
  <c r="R740" i="67"/>
  <c r="R741" i="67"/>
  <c r="R742" i="67"/>
  <c r="R743" i="67"/>
  <c r="R744" i="67"/>
  <c r="R745" i="67"/>
  <c r="R746" i="67"/>
  <c r="R747" i="67"/>
  <c r="R748" i="67"/>
  <c r="R749" i="67"/>
  <c r="R750" i="67"/>
  <c r="R751" i="67"/>
  <c r="R752" i="67"/>
  <c r="R753" i="67"/>
  <c r="R754" i="67"/>
  <c r="R755" i="67"/>
  <c r="R756" i="67"/>
  <c r="R757" i="67"/>
  <c r="R758" i="67"/>
  <c r="R759" i="67"/>
  <c r="R760" i="67"/>
  <c r="R761" i="67"/>
  <c r="R762" i="67"/>
  <c r="R763" i="67"/>
  <c r="R764" i="67"/>
  <c r="R765" i="67"/>
  <c r="R766" i="67"/>
  <c r="R767" i="67"/>
  <c r="R768" i="67"/>
  <c r="R769" i="67"/>
  <c r="R770" i="67"/>
  <c r="R771" i="67"/>
  <c r="R772" i="67"/>
  <c r="R773" i="67"/>
  <c r="R774" i="67"/>
  <c r="R775" i="67"/>
  <c r="R776" i="67"/>
  <c r="R777" i="67"/>
  <c r="R778" i="67"/>
  <c r="R779" i="67"/>
  <c r="R780" i="67"/>
  <c r="R781" i="67"/>
  <c r="R782" i="67"/>
  <c r="R783" i="67"/>
  <c r="R784" i="67"/>
  <c r="R785" i="67"/>
  <c r="R786" i="67"/>
  <c r="R787" i="67"/>
  <c r="R788" i="67"/>
  <c r="R789" i="67"/>
  <c r="R790" i="67"/>
  <c r="R791" i="67"/>
  <c r="R792" i="67"/>
  <c r="R793" i="67"/>
  <c r="R794" i="67"/>
  <c r="R795" i="67"/>
  <c r="R796" i="67"/>
  <c r="R797" i="67"/>
  <c r="R798" i="67"/>
  <c r="R799" i="67"/>
  <c r="R800" i="67"/>
  <c r="R801" i="67"/>
  <c r="R802" i="67"/>
  <c r="R803" i="67"/>
  <c r="R804" i="67"/>
  <c r="R805" i="67"/>
  <c r="R806" i="67"/>
  <c r="R807" i="67"/>
  <c r="R808" i="67"/>
  <c r="R809" i="67"/>
  <c r="R810" i="67"/>
  <c r="R811" i="67"/>
  <c r="R812" i="67"/>
  <c r="R813" i="67"/>
  <c r="R814" i="67"/>
  <c r="R815" i="67"/>
  <c r="R816" i="67"/>
  <c r="R817" i="67"/>
  <c r="R818" i="67"/>
  <c r="R819" i="67"/>
  <c r="R820" i="67"/>
  <c r="R821" i="67"/>
  <c r="R822" i="67"/>
  <c r="R823" i="67"/>
  <c r="R824" i="67"/>
  <c r="R825" i="67"/>
  <c r="R826" i="67"/>
  <c r="R827" i="67"/>
  <c r="R828" i="67"/>
  <c r="R829" i="67"/>
  <c r="R830" i="67"/>
  <c r="R831" i="67"/>
  <c r="R832" i="67"/>
  <c r="R833" i="67"/>
  <c r="R834" i="67"/>
  <c r="R835" i="67"/>
  <c r="R836" i="67"/>
  <c r="R837" i="67"/>
  <c r="R838" i="67"/>
  <c r="R839" i="67"/>
  <c r="R840" i="67"/>
  <c r="R841" i="67"/>
  <c r="R842" i="67"/>
  <c r="R843" i="67"/>
  <c r="R844" i="67"/>
  <c r="R845" i="67"/>
  <c r="R846" i="67"/>
  <c r="R847" i="67"/>
  <c r="R848" i="67"/>
  <c r="R849" i="67"/>
  <c r="R850" i="67"/>
  <c r="R851" i="67"/>
  <c r="R852" i="67"/>
  <c r="R853" i="67"/>
  <c r="R854" i="67"/>
  <c r="R855" i="67"/>
  <c r="R856" i="67"/>
  <c r="R857" i="67"/>
  <c r="R858" i="67"/>
  <c r="R859" i="67"/>
  <c r="R860" i="67"/>
  <c r="R861" i="67"/>
  <c r="R862" i="67"/>
  <c r="R863" i="67"/>
  <c r="R864" i="67"/>
  <c r="R865" i="67"/>
  <c r="R866" i="67"/>
  <c r="R867" i="67"/>
  <c r="R868" i="67"/>
  <c r="R869" i="67"/>
  <c r="R870" i="67"/>
  <c r="R871" i="67"/>
  <c r="R872" i="67"/>
  <c r="R873" i="67"/>
  <c r="R874" i="67"/>
  <c r="R875" i="67"/>
  <c r="R876" i="67"/>
  <c r="R877" i="67"/>
  <c r="R878" i="67"/>
  <c r="R879" i="67"/>
  <c r="R880" i="67"/>
  <c r="R881" i="67"/>
  <c r="R882" i="67"/>
  <c r="R883" i="67"/>
  <c r="R884" i="67"/>
  <c r="R885" i="67"/>
  <c r="R886" i="67"/>
  <c r="R887" i="67"/>
  <c r="R888" i="67"/>
  <c r="R889" i="67"/>
  <c r="R890" i="67"/>
  <c r="R891" i="67"/>
  <c r="R892" i="67"/>
  <c r="R893" i="67"/>
  <c r="R894" i="67"/>
  <c r="R895" i="67"/>
  <c r="R896" i="67"/>
  <c r="R897" i="67"/>
  <c r="R898" i="67"/>
  <c r="R899" i="67"/>
  <c r="R900" i="67"/>
  <c r="R901" i="67"/>
  <c r="R902" i="67"/>
  <c r="R903" i="67"/>
  <c r="R904" i="67"/>
  <c r="R905" i="67"/>
  <c r="R906" i="67"/>
  <c r="R907" i="67"/>
  <c r="R908" i="67"/>
  <c r="R909" i="67"/>
  <c r="R910" i="67"/>
  <c r="R911" i="67"/>
  <c r="R912" i="67"/>
  <c r="R913" i="67"/>
  <c r="R914" i="67"/>
  <c r="R915" i="67"/>
  <c r="R916" i="67"/>
  <c r="R917" i="67"/>
  <c r="R918" i="67"/>
  <c r="R919" i="67"/>
  <c r="R920" i="67"/>
  <c r="R921" i="67"/>
  <c r="R922" i="67"/>
  <c r="R923" i="67"/>
  <c r="R924" i="67"/>
  <c r="R925" i="67"/>
  <c r="R926" i="67"/>
  <c r="R927" i="67"/>
  <c r="R928" i="67"/>
  <c r="R929" i="67"/>
  <c r="R930" i="67"/>
  <c r="R931" i="67"/>
  <c r="R932" i="67"/>
  <c r="R933" i="67"/>
  <c r="R934" i="67"/>
  <c r="R935" i="67"/>
  <c r="R936" i="67"/>
  <c r="R937" i="67"/>
  <c r="R938" i="67"/>
  <c r="R939" i="67"/>
  <c r="R940" i="67"/>
  <c r="R941" i="67"/>
  <c r="R942" i="67"/>
  <c r="R943" i="67"/>
  <c r="R944" i="67"/>
  <c r="R945" i="67"/>
  <c r="R946" i="67"/>
  <c r="R947" i="67"/>
  <c r="R948" i="67"/>
  <c r="R949" i="67"/>
  <c r="R950" i="67"/>
  <c r="R951" i="67"/>
  <c r="R952" i="67"/>
  <c r="R953" i="67"/>
  <c r="R954" i="67"/>
  <c r="R955" i="67"/>
  <c r="R956" i="67"/>
  <c r="R957" i="67"/>
  <c r="R958" i="67"/>
  <c r="R959" i="67"/>
  <c r="R960" i="67"/>
  <c r="R961" i="67"/>
  <c r="R962" i="67"/>
  <c r="R963" i="67"/>
  <c r="R964" i="67"/>
  <c r="R965" i="67"/>
  <c r="R966" i="67"/>
  <c r="R967" i="67"/>
  <c r="R968" i="67"/>
  <c r="R969" i="67"/>
  <c r="R970" i="67"/>
  <c r="R971" i="67"/>
  <c r="R972" i="67"/>
  <c r="R973" i="67"/>
  <c r="R974" i="67"/>
  <c r="R975" i="67"/>
  <c r="R976" i="67"/>
  <c r="R977" i="67"/>
  <c r="R978" i="67"/>
  <c r="R979" i="67"/>
  <c r="R980" i="67"/>
  <c r="R981" i="67"/>
  <c r="R982" i="67"/>
  <c r="R983" i="67"/>
  <c r="R984" i="67"/>
  <c r="R985" i="67"/>
  <c r="R986" i="67"/>
  <c r="R987" i="67"/>
  <c r="R988" i="67"/>
  <c r="R989" i="67"/>
  <c r="R990" i="67"/>
  <c r="R991" i="67"/>
  <c r="R992" i="67"/>
  <c r="R993" i="67"/>
  <c r="R994" i="67"/>
  <c r="R995" i="67"/>
  <c r="R996" i="67"/>
  <c r="R997" i="67"/>
  <c r="R998" i="67"/>
  <c r="R999" i="67"/>
  <c r="R1000" i="67"/>
  <c r="R1001" i="67"/>
  <c r="R1002" i="67"/>
  <c r="R1003" i="67"/>
  <c r="R1004" i="67"/>
  <c r="R1005" i="67"/>
  <c r="R1006" i="67"/>
  <c r="R1007" i="67"/>
  <c r="R1008" i="67"/>
  <c r="R1009" i="67"/>
  <c r="R1010" i="67"/>
  <c r="R1011" i="67"/>
  <c r="R1012" i="67"/>
  <c r="R1013" i="67"/>
  <c r="R1014" i="67"/>
  <c r="R1015" i="67"/>
  <c r="R1016" i="67"/>
  <c r="R1017" i="67"/>
  <c r="R1018" i="67"/>
  <c r="R1019" i="67"/>
  <c r="R1020" i="67"/>
  <c r="R1021" i="67"/>
  <c r="R1022" i="67"/>
  <c r="R1023" i="67"/>
  <c r="R1024" i="67"/>
  <c r="R1025" i="67"/>
  <c r="R1026" i="67"/>
  <c r="R1027" i="67"/>
  <c r="R1028" i="67"/>
  <c r="R1029" i="67"/>
  <c r="R1030" i="67"/>
  <c r="R1031" i="67"/>
  <c r="R1032" i="67"/>
  <c r="R1033" i="67"/>
  <c r="R1034" i="67"/>
  <c r="R1035" i="67"/>
  <c r="R1036" i="67"/>
  <c r="R1037" i="67"/>
  <c r="R1038" i="67"/>
  <c r="R1039" i="67"/>
  <c r="R1040" i="67"/>
  <c r="R1041" i="67"/>
  <c r="R1042" i="67"/>
  <c r="R1043" i="67"/>
  <c r="R1044" i="67"/>
  <c r="R1045" i="67"/>
  <c r="R1046" i="67"/>
  <c r="R1047" i="67"/>
  <c r="R1048" i="67"/>
  <c r="R1049" i="67"/>
  <c r="R1050" i="67"/>
  <c r="R1051" i="67"/>
  <c r="R1052" i="67"/>
  <c r="R1053" i="67"/>
  <c r="R1054" i="67"/>
  <c r="R1055" i="67"/>
  <c r="R1056" i="67"/>
  <c r="R1057" i="67"/>
  <c r="R1058" i="67"/>
  <c r="R1059" i="67"/>
  <c r="R1060" i="67"/>
  <c r="R1061" i="67"/>
  <c r="R1062" i="67"/>
  <c r="R1063" i="67"/>
  <c r="R1064" i="67"/>
  <c r="R1065" i="67"/>
  <c r="R1066" i="67"/>
  <c r="R1067" i="67"/>
  <c r="R1068" i="67"/>
  <c r="R1069" i="67"/>
  <c r="R1070" i="67"/>
  <c r="R1071" i="67"/>
  <c r="R1072" i="67"/>
  <c r="R1073" i="67"/>
  <c r="R1074" i="67"/>
  <c r="R1075" i="67"/>
  <c r="R1076" i="67"/>
  <c r="R1077" i="67"/>
  <c r="R1078" i="67"/>
  <c r="R1079" i="67"/>
  <c r="R1080" i="67"/>
  <c r="R1081" i="67"/>
  <c r="R1082" i="67"/>
  <c r="R1083" i="67"/>
  <c r="R1084" i="67"/>
  <c r="R1085" i="67"/>
  <c r="R1086" i="67"/>
  <c r="R1087" i="67"/>
  <c r="R1088" i="67"/>
  <c r="R1089" i="67"/>
  <c r="R1090" i="67"/>
  <c r="R1091" i="67"/>
  <c r="R1092" i="67"/>
  <c r="R1093" i="67"/>
  <c r="R1094" i="67"/>
  <c r="R1095" i="67"/>
  <c r="R1096" i="67"/>
  <c r="R1097" i="67"/>
  <c r="R1098" i="67"/>
  <c r="R1099" i="67"/>
  <c r="R1100" i="67"/>
  <c r="R1101" i="67"/>
  <c r="R1102" i="67"/>
  <c r="R1103" i="67"/>
  <c r="R1104" i="67"/>
  <c r="R1105" i="67"/>
  <c r="R1106" i="67"/>
  <c r="R1107" i="67"/>
  <c r="R1108" i="67"/>
  <c r="R1109" i="67"/>
  <c r="R1110" i="67"/>
  <c r="R1111" i="67"/>
  <c r="R1112" i="67"/>
  <c r="R1113" i="67"/>
  <c r="R1114" i="67"/>
  <c r="R1115" i="67"/>
  <c r="R1116" i="67"/>
  <c r="R1117" i="67"/>
  <c r="R1118" i="67"/>
  <c r="R1119" i="67"/>
  <c r="R1120" i="67"/>
  <c r="R1121" i="67"/>
  <c r="R1122" i="67"/>
  <c r="R1123" i="67"/>
  <c r="R1124" i="67"/>
  <c r="R1125" i="67"/>
  <c r="R1126" i="67"/>
  <c r="R1127" i="67"/>
  <c r="R1128" i="67"/>
  <c r="R1129" i="67"/>
  <c r="R1130" i="67"/>
  <c r="R1131" i="67"/>
  <c r="R1132" i="67"/>
  <c r="R1133" i="67"/>
  <c r="R1134" i="67"/>
  <c r="R1135" i="67"/>
  <c r="R1136" i="67"/>
  <c r="R1137" i="67"/>
  <c r="R1138" i="67"/>
  <c r="R1139" i="67"/>
  <c r="R1140" i="67"/>
  <c r="R1141" i="67"/>
  <c r="R1142" i="67"/>
  <c r="R1143" i="67"/>
  <c r="R1144" i="67"/>
  <c r="R1145" i="67"/>
  <c r="R1146" i="67"/>
  <c r="R1147" i="67"/>
  <c r="R1148" i="67"/>
  <c r="R1149" i="67"/>
  <c r="R1150" i="67"/>
  <c r="R1151" i="67"/>
  <c r="R1152" i="67"/>
  <c r="R1153" i="67"/>
  <c r="R1154" i="67"/>
  <c r="R1155" i="67"/>
  <c r="R1156" i="67"/>
  <c r="R1157" i="67"/>
  <c r="R1158" i="67"/>
  <c r="R1159" i="67"/>
  <c r="R1160" i="67"/>
  <c r="R1161" i="67"/>
  <c r="R1162" i="67"/>
  <c r="R1163" i="67"/>
  <c r="R1164" i="67"/>
  <c r="R1165" i="67"/>
  <c r="R1166" i="67"/>
  <c r="R1167" i="67"/>
  <c r="R1168" i="67"/>
  <c r="R1169" i="67"/>
  <c r="R1170" i="67"/>
  <c r="R1171" i="67"/>
  <c r="R1172" i="67"/>
  <c r="R1173" i="67"/>
  <c r="R1174" i="67"/>
  <c r="R1175" i="67"/>
  <c r="R1176" i="67"/>
  <c r="R1177" i="67"/>
  <c r="R1178" i="67"/>
  <c r="R1179" i="67"/>
  <c r="R1180" i="67"/>
  <c r="R1181" i="67"/>
  <c r="R1182" i="67"/>
  <c r="R1183" i="67"/>
  <c r="R1184" i="67"/>
  <c r="R1185" i="67"/>
  <c r="R1186" i="67"/>
  <c r="R1187" i="67"/>
  <c r="R1188" i="67"/>
  <c r="R1189" i="67"/>
  <c r="R1190" i="67"/>
  <c r="R1191" i="67"/>
  <c r="R1192" i="67"/>
  <c r="R1193" i="67"/>
  <c r="R1194" i="67"/>
  <c r="R1195" i="67"/>
  <c r="R1196" i="67"/>
  <c r="R1197" i="67"/>
  <c r="R1198" i="67"/>
  <c r="R1199" i="67"/>
  <c r="R1200" i="67"/>
  <c r="R1201" i="67"/>
  <c r="R1202" i="67"/>
  <c r="R1203" i="67"/>
  <c r="R1204" i="67"/>
  <c r="R1205" i="67"/>
  <c r="R1206" i="67"/>
  <c r="R1207" i="67"/>
  <c r="R1208" i="67"/>
  <c r="R1209" i="67"/>
  <c r="R1210" i="67"/>
  <c r="R1211" i="67"/>
  <c r="R1212" i="67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R435" i="58"/>
  <c r="R436" i="58"/>
  <c r="R437" i="58"/>
  <c r="R438" i="58"/>
  <c r="R439" i="58"/>
  <c r="R440" i="58"/>
  <c r="R441" i="58"/>
  <c r="R442" i="58"/>
  <c r="R443" i="58"/>
  <c r="R444" i="58"/>
  <c r="R445" i="58"/>
  <c r="R446" i="58"/>
  <c r="R447" i="58"/>
  <c r="R448" i="58"/>
  <c r="R449" i="58"/>
  <c r="R450" i="58"/>
  <c r="R451" i="58"/>
  <c r="R452" i="58"/>
  <c r="R453" i="58"/>
  <c r="R454" i="58"/>
  <c r="R455" i="58"/>
  <c r="R456" i="58"/>
  <c r="R457" i="58"/>
  <c r="R458" i="58"/>
  <c r="R459" i="58"/>
  <c r="R460" i="58"/>
  <c r="R461" i="58"/>
  <c r="R462" i="58"/>
  <c r="R463" i="58"/>
  <c r="R464" i="58"/>
  <c r="R465" i="58"/>
  <c r="R466" i="58"/>
  <c r="R467" i="58"/>
  <c r="R468" i="58"/>
  <c r="R469" i="58"/>
  <c r="R470" i="58"/>
  <c r="R471" i="58"/>
  <c r="R472" i="58"/>
  <c r="R473" i="58"/>
  <c r="R474" i="58"/>
  <c r="R475" i="58"/>
  <c r="R476" i="58"/>
  <c r="R477" i="58"/>
  <c r="R478" i="58"/>
  <c r="R479" i="58"/>
  <c r="R480" i="58"/>
  <c r="R481" i="58"/>
  <c r="R482" i="58"/>
  <c r="R483" i="58"/>
  <c r="R484" i="58"/>
  <c r="R485" i="58"/>
  <c r="R486" i="58"/>
  <c r="R487" i="58"/>
  <c r="R488" i="58"/>
  <c r="R489" i="58"/>
  <c r="R490" i="58"/>
  <c r="R491" i="58"/>
  <c r="R492" i="58"/>
  <c r="R493" i="58"/>
  <c r="R494" i="58"/>
  <c r="R495" i="58"/>
  <c r="R496" i="58"/>
  <c r="R497" i="58"/>
  <c r="R498" i="58"/>
  <c r="R499" i="58"/>
  <c r="R500" i="58"/>
  <c r="R501" i="58"/>
  <c r="R502" i="58"/>
  <c r="R503" i="58"/>
  <c r="R504" i="58"/>
  <c r="R505" i="58"/>
  <c r="R506" i="58"/>
  <c r="R507" i="58"/>
  <c r="R508" i="58"/>
  <c r="R509" i="58"/>
  <c r="R510" i="58"/>
  <c r="R511" i="58"/>
  <c r="R512" i="58"/>
  <c r="R513" i="58"/>
  <c r="R514" i="58"/>
  <c r="R515" i="58"/>
  <c r="R516" i="58"/>
  <c r="R517" i="58"/>
  <c r="R518" i="58"/>
  <c r="R519" i="58"/>
  <c r="R520" i="58"/>
  <c r="R521" i="58"/>
  <c r="R522" i="58"/>
  <c r="R523" i="58"/>
  <c r="R524" i="58"/>
  <c r="R525" i="58"/>
  <c r="R526" i="58"/>
  <c r="R527" i="58"/>
  <c r="R528" i="58"/>
  <c r="R529" i="58"/>
  <c r="R530" i="58"/>
  <c r="R531" i="58"/>
  <c r="R532" i="58"/>
  <c r="R533" i="58"/>
  <c r="R534" i="58"/>
  <c r="R535" i="58"/>
  <c r="R536" i="58"/>
  <c r="R537" i="58"/>
  <c r="R538" i="58"/>
  <c r="R539" i="58"/>
  <c r="R540" i="58"/>
  <c r="R541" i="58"/>
  <c r="R542" i="58"/>
  <c r="R543" i="58"/>
  <c r="R544" i="58"/>
  <c r="R545" i="58"/>
  <c r="R546" i="58"/>
  <c r="R547" i="58"/>
  <c r="R548" i="58"/>
  <c r="R549" i="58"/>
  <c r="R550" i="58"/>
  <c r="R551" i="58"/>
  <c r="R552" i="58"/>
  <c r="R553" i="58"/>
  <c r="R554" i="58"/>
  <c r="R555" i="58"/>
  <c r="R556" i="58"/>
  <c r="R557" i="58"/>
  <c r="R558" i="58"/>
  <c r="R559" i="58"/>
  <c r="R560" i="58"/>
  <c r="R561" i="58"/>
  <c r="R562" i="58"/>
  <c r="R563" i="58"/>
  <c r="R564" i="58"/>
  <c r="R565" i="58"/>
  <c r="R566" i="58"/>
  <c r="R567" i="58"/>
  <c r="R568" i="58"/>
  <c r="R569" i="58"/>
  <c r="R570" i="58"/>
  <c r="R571" i="58"/>
  <c r="R572" i="58"/>
  <c r="R573" i="58"/>
  <c r="R574" i="58"/>
  <c r="R575" i="58"/>
  <c r="R576" i="58"/>
  <c r="R577" i="58"/>
  <c r="R578" i="58"/>
  <c r="R579" i="58"/>
  <c r="R580" i="58"/>
  <c r="R581" i="58"/>
  <c r="R582" i="58"/>
  <c r="R583" i="58"/>
  <c r="R584" i="58"/>
  <c r="R585" i="58"/>
  <c r="R586" i="58"/>
  <c r="R587" i="58"/>
  <c r="R588" i="58"/>
  <c r="R589" i="58"/>
  <c r="R590" i="58"/>
  <c r="R591" i="58"/>
  <c r="R592" i="58"/>
  <c r="R593" i="58"/>
  <c r="R594" i="58"/>
  <c r="R595" i="58"/>
  <c r="R596" i="58"/>
  <c r="R597" i="58"/>
  <c r="R598" i="58"/>
  <c r="R599" i="58"/>
  <c r="R600" i="58"/>
  <c r="R601" i="58"/>
  <c r="R602" i="58"/>
  <c r="R603" i="58"/>
  <c r="R604" i="58"/>
  <c r="R605" i="58"/>
  <c r="R606" i="58"/>
  <c r="R607" i="58"/>
  <c r="R608" i="58"/>
  <c r="R609" i="58"/>
  <c r="R610" i="58"/>
  <c r="R611" i="58"/>
  <c r="R612" i="58"/>
  <c r="R613" i="58"/>
  <c r="R614" i="58"/>
  <c r="R615" i="58"/>
  <c r="R616" i="58"/>
  <c r="R617" i="58"/>
  <c r="R618" i="58"/>
  <c r="R619" i="58"/>
  <c r="R620" i="58"/>
  <c r="R621" i="58"/>
  <c r="R622" i="58"/>
  <c r="R623" i="58"/>
  <c r="R624" i="58"/>
  <c r="R625" i="58"/>
  <c r="R626" i="58"/>
  <c r="R627" i="58"/>
  <c r="R628" i="58"/>
  <c r="R629" i="58"/>
  <c r="R630" i="58"/>
  <c r="R631" i="58"/>
  <c r="R632" i="58"/>
  <c r="R633" i="58"/>
  <c r="R634" i="58"/>
  <c r="R635" i="58"/>
  <c r="R636" i="58"/>
  <c r="R637" i="58"/>
  <c r="R638" i="58"/>
  <c r="R639" i="58"/>
  <c r="R640" i="58"/>
  <c r="R641" i="58"/>
  <c r="R642" i="58"/>
  <c r="R643" i="58"/>
  <c r="R644" i="58"/>
  <c r="R645" i="58"/>
  <c r="R646" i="58"/>
  <c r="R647" i="58"/>
  <c r="R648" i="58"/>
  <c r="R649" i="58"/>
  <c r="R650" i="58"/>
  <c r="R651" i="58"/>
  <c r="R652" i="58"/>
  <c r="R653" i="58"/>
  <c r="R654" i="58"/>
  <c r="R655" i="58"/>
  <c r="R656" i="58"/>
  <c r="R657" i="58"/>
  <c r="R658" i="58"/>
  <c r="R659" i="58"/>
  <c r="R660" i="58"/>
  <c r="R661" i="58"/>
  <c r="R662" i="58"/>
  <c r="R663" i="58"/>
  <c r="R664" i="58"/>
  <c r="R665" i="58"/>
  <c r="R666" i="58"/>
  <c r="R667" i="58"/>
  <c r="R668" i="58"/>
  <c r="R669" i="58"/>
  <c r="R670" i="58"/>
  <c r="R671" i="58"/>
  <c r="R672" i="58"/>
  <c r="R673" i="58"/>
  <c r="R674" i="58"/>
  <c r="R675" i="58"/>
  <c r="R676" i="58"/>
  <c r="R677" i="58"/>
  <c r="R678" i="58"/>
  <c r="R679" i="58"/>
  <c r="R680" i="58"/>
  <c r="R681" i="58"/>
  <c r="R682" i="58"/>
  <c r="R683" i="58"/>
  <c r="R684" i="58"/>
  <c r="R685" i="58"/>
  <c r="R686" i="58"/>
  <c r="R687" i="58"/>
  <c r="R688" i="58"/>
  <c r="R689" i="58"/>
  <c r="R690" i="58"/>
  <c r="R691" i="58"/>
  <c r="R692" i="58"/>
  <c r="R693" i="58"/>
  <c r="R694" i="58"/>
  <c r="R695" i="58"/>
  <c r="R696" i="58"/>
  <c r="R697" i="58"/>
  <c r="R698" i="58"/>
  <c r="R699" i="58"/>
  <c r="R700" i="58"/>
  <c r="R701" i="58"/>
  <c r="R702" i="58"/>
  <c r="R703" i="58"/>
  <c r="R704" i="58"/>
  <c r="R705" i="58"/>
  <c r="R706" i="58"/>
  <c r="R707" i="58"/>
  <c r="R708" i="58"/>
  <c r="R709" i="58"/>
  <c r="R710" i="58"/>
  <c r="R711" i="58"/>
  <c r="R712" i="58"/>
  <c r="R713" i="58"/>
  <c r="R714" i="58"/>
  <c r="R715" i="58"/>
  <c r="R716" i="58"/>
  <c r="R717" i="58"/>
  <c r="R718" i="58"/>
  <c r="R719" i="58"/>
  <c r="R720" i="58"/>
  <c r="R721" i="58"/>
  <c r="R722" i="58"/>
  <c r="R723" i="58"/>
  <c r="R724" i="58"/>
  <c r="R725" i="58"/>
  <c r="R726" i="58"/>
  <c r="R727" i="58"/>
  <c r="R728" i="58"/>
  <c r="R729" i="58"/>
  <c r="R730" i="58"/>
  <c r="R731" i="58"/>
  <c r="R732" i="58"/>
  <c r="R733" i="58"/>
  <c r="R734" i="58"/>
  <c r="R735" i="58"/>
  <c r="R736" i="58"/>
  <c r="R737" i="58"/>
  <c r="R738" i="58"/>
  <c r="R739" i="58"/>
  <c r="R740" i="58"/>
  <c r="R741" i="58"/>
  <c r="R742" i="58"/>
  <c r="R743" i="58"/>
  <c r="R744" i="58"/>
  <c r="R745" i="58"/>
  <c r="R746" i="58"/>
  <c r="R747" i="58"/>
  <c r="R748" i="58"/>
  <c r="R749" i="58"/>
  <c r="R750" i="58"/>
  <c r="R751" i="58"/>
  <c r="R752" i="58"/>
  <c r="R753" i="58"/>
  <c r="R754" i="58"/>
  <c r="R755" i="58"/>
  <c r="R756" i="58"/>
  <c r="R757" i="58"/>
  <c r="R758" i="58"/>
  <c r="R759" i="58"/>
  <c r="R760" i="58"/>
  <c r="R761" i="58"/>
  <c r="R762" i="58"/>
  <c r="R763" i="58"/>
  <c r="R764" i="58"/>
  <c r="R765" i="58"/>
  <c r="R766" i="58"/>
  <c r="R767" i="58"/>
  <c r="R768" i="58"/>
  <c r="R769" i="58"/>
  <c r="R770" i="58"/>
  <c r="R771" i="58"/>
  <c r="R772" i="58"/>
  <c r="R773" i="58"/>
  <c r="R774" i="58"/>
  <c r="R775" i="58"/>
  <c r="R776" i="58"/>
  <c r="R777" i="58"/>
  <c r="R778" i="58"/>
  <c r="R779" i="58"/>
  <c r="R780" i="58"/>
  <c r="R781" i="58"/>
  <c r="R782" i="58"/>
  <c r="R783" i="58"/>
  <c r="R784" i="58"/>
  <c r="R785" i="58"/>
  <c r="R786" i="58"/>
  <c r="R787" i="58"/>
  <c r="R788" i="58"/>
  <c r="R789" i="58"/>
  <c r="R790" i="58"/>
  <c r="R791" i="58"/>
  <c r="R792" i="58"/>
  <c r="R793" i="58"/>
  <c r="R794" i="58"/>
  <c r="R795" i="58"/>
  <c r="R796" i="58"/>
  <c r="R797" i="58"/>
  <c r="R798" i="58"/>
  <c r="R799" i="58"/>
  <c r="R800" i="58"/>
  <c r="R801" i="58"/>
  <c r="R802" i="58"/>
  <c r="R803" i="58"/>
  <c r="R804" i="58"/>
  <c r="R805" i="58"/>
  <c r="R806" i="58"/>
  <c r="R807" i="58"/>
  <c r="R808" i="58"/>
  <c r="R809" i="58"/>
  <c r="R810" i="58"/>
  <c r="R811" i="58"/>
  <c r="R812" i="58"/>
  <c r="R813" i="58"/>
  <c r="R814" i="58"/>
  <c r="R815" i="58"/>
  <c r="R816" i="58"/>
  <c r="R817" i="58"/>
  <c r="R818" i="58"/>
  <c r="R819" i="58"/>
  <c r="R820" i="58"/>
  <c r="R821" i="58"/>
  <c r="R822" i="58"/>
  <c r="R823" i="58"/>
  <c r="R824" i="58"/>
  <c r="R825" i="58"/>
  <c r="R826" i="58"/>
  <c r="R827" i="58"/>
  <c r="R828" i="58"/>
  <c r="R829" i="58"/>
  <c r="R830" i="58"/>
  <c r="R831" i="58"/>
  <c r="R832" i="58"/>
  <c r="R833" i="58"/>
  <c r="R834" i="58"/>
  <c r="R835" i="58"/>
  <c r="R836" i="58"/>
  <c r="R837" i="58"/>
  <c r="R838" i="58"/>
  <c r="R839" i="58"/>
  <c r="R840" i="58"/>
  <c r="R841" i="58"/>
  <c r="R842" i="58"/>
  <c r="R843" i="58"/>
  <c r="R844" i="58"/>
  <c r="R845" i="58"/>
  <c r="R846" i="58"/>
  <c r="R847" i="58"/>
  <c r="R848" i="58"/>
  <c r="R849" i="58"/>
  <c r="R850" i="58"/>
  <c r="R851" i="58"/>
  <c r="R852" i="58"/>
  <c r="R853" i="58"/>
  <c r="R854" i="58"/>
  <c r="R855" i="58"/>
  <c r="R856" i="58"/>
  <c r="R857" i="58"/>
  <c r="R858" i="58"/>
  <c r="R859" i="58"/>
  <c r="R860" i="58"/>
  <c r="R861" i="58"/>
  <c r="R862" i="58"/>
  <c r="R863" i="58"/>
  <c r="R864" i="58"/>
  <c r="R865" i="58"/>
  <c r="R866" i="58"/>
  <c r="R867" i="58"/>
  <c r="R868" i="58"/>
  <c r="R869" i="58"/>
  <c r="R870" i="58"/>
  <c r="R871" i="58"/>
  <c r="R872" i="58"/>
  <c r="R873" i="58"/>
  <c r="R874" i="58"/>
  <c r="R875" i="58"/>
  <c r="R876" i="58"/>
  <c r="R877" i="58"/>
  <c r="R878" i="58"/>
  <c r="R879" i="58"/>
  <c r="R880" i="58"/>
  <c r="R881" i="58"/>
  <c r="R882" i="58"/>
  <c r="R883" i="58"/>
  <c r="R884" i="58"/>
  <c r="R885" i="58"/>
  <c r="R886" i="58"/>
  <c r="R887" i="58"/>
  <c r="R888" i="58"/>
  <c r="R889" i="58"/>
  <c r="R890" i="58"/>
  <c r="R891" i="58"/>
  <c r="R892" i="58"/>
  <c r="R893" i="58"/>
  <c r="R894" i="58"/>
  <c r="R895" i="58"/>
  <c r="R896" i="58"/>
  <c r="R897" i="58"/>
  <c r="R898" i="58"/>
  <c r="R899" i="58"/>
  <c r="R900" i="58"/>
  <c r="R901" i="58"/>
  <c r="R902" i="58"/>
  <c r="R903" i="58"/>
  <c r="R904" i="58"/>
  <c r="R905" i="58"/>
  <c r="R906" i="58"/>
  <c r="S5" i="40"/>
  <c r="S6" i="40"/>
  <c r="S7" i="40"/>
  <c r="S8" i="40"/>
  <c r="S9" i="40"/>
  <c r="S10" i="40"/>
  <c r="S11" i="40"/>
  <c r="S12" i="40"/>
  <c r="S13" i="40"/>
  <c r="S14" i="40"/>
  <c r="S15" i="40"/>
  <c r="S16" i="40"/>
  <c r="S17" i="40"/>
  <c r="S18" i="40"/>
  <c r="S19" i="40"/>
  <c r="S20" i="40"/>
  <c r="S21" i="40"/>
  <c r="S22" i="40"/>
  <c r="S23" i="40"/>
  <c r="S24" i="40"/>
  <c r="S25" i="40"/>
  <c r="S26" i="40"/>
  <c r="S27" i="40"/>
  <c r="S28" i="40"/>
  <c r="S29" i="40"/>
  <c r="S30" i="40"/>
  <c r="S31" i="40"/>
  <c r="S32" i="40"/>
  <c r="S33" i="40"/>
  <c r="S34" i="40"/>
  <c r="S35" i="40"/>
  <c r="S36" i="40"/>
  <c r="S37" i="40"/>
  <c r="S38" i="40"/>
  <c r="S39" i="40"/>
  <c r="S40" i="40"/>
  <c r="S41" i="40"/>
  <c r="S42" i="40"/>
  <c r="S43" i="40"/>
  <c r="S44" i="40"/>
  <c r="S45" i="40"/>
  <c r="S46" i="40"/>
  <c r="S47" i="40"/>
  <c r="S48" i="40"/>
  <c r="S49" i="40"/>
  <c r="S50" i="40"/>
  <c r="S51" i="40"/>
  <c r="S52" i="40"/>
  <c r="S53" i="40"/>
  <c r="S54" i="40"/>
  <c r="S55" i="40"/>
  <c r="S56" i="40"/>
  <c r="S57" i="40"/>
  <c r="S58" i="40"/>
  <c r="S59" i="40"/>
  <c r="S60" i="40"/>
  <c r="S61" i="40"/>
  <c r="S62" i="40"/>
  <c r="S63" i="40"/>
  <c r="S64" i="40"/>
  <c r="S65" i="40"/>
  <c r="S66" i="40"/>
  <c r="S67" i="40"/>
  <c r="S68" i="40"/>
  <c r="S69" i="40"/>
  <c r="S70" i="40"/>
  <c r="S71" i="40"/>
  <c r="S72" i="40"/>
  <c r="S73" i="40"/>
  <c r="S74" i="40"/>
  <c r="S75" i="40"/>
  <c r="S76" i="40"/>
  <c r="S77" i="40"/>
  <c r="S78" i="40"/>
  <c r="S79" i="40"/>
  <c r="S80" i="40"/>
  <c r="S81" i="40"/>
  <c r="S82" i="40"/>
  <c r="S83" i="40"/>
  <c r="S84" i="40"/>
  <c r="S85" i="40"/>
  <c r="S86" i="40"/>
  <c r="S87" i="40"/>
  <c r="S88" i="40"/>
  <c r="S89" i="40"/>
  <c r="S90" i="40"/>
  <c r="S91" i="40"/>
  <c r="S92" i="40"/>
  <c r="S93" i="40"/>
  <c r="S94" i="40"/>
  <c r="S95" i="40"/>
  <c r="S96" i="40"/>
  <c r="S97" i="40"/>
  <c r="S98" i="40"/>
  <c r="S99" i="40"/>
  <c r="S100" i="40"/>
  <c r="S101" i="40"/>
  <c r="S102" i="40"/>
  <c r="S103" i="40"/>
  <c r="S104" i="40"/>
  <c r="S105" i="40"/>
  <c r="S106" i="40"/>
  <c r="S107" i="40"/>
  <c r="S108" i="40"/>
  <c r="S109" i="40"/>
  <c r="S110" i="40"/>
  <c r="S111" i="40"/>
  <c r="S112" i="40"/>
  <c r="S113" i="40"/>
  <c r="S114" i="40"/>
  <c r="S115" i="40"/>
  <c r="S116" i="40"/>
  <c r="S117" i="40"/>
  <c r="S118" i="40"/>
  <c r="S119" i="40"/>
  <c r="S120" i="40"/>
  <c r="S121" i="40"/>
  <c r="S122" i="40"/>
  <c r="S123" i="40"/>
  <c r="S124" i="40"/>
  <c r="S125" i="40"/>
  <c r="S126" i="40"/>
  <c r="S127" i="40"/>
  <c r="S128" i="40"/>
  <c r="S129" i="40"/>
  <c r="S130" i="40"/>
  <c r="S131" i="40"/>
  <c r="S132" i="40"/>
  <c r="S133" i="40"/>
  <c r="S134" i="40"/>
  <c r="S135" i="40"/>
  <c r="S136" i="40"/>
  <c r="S137" i="40"/>
  <c r="S138" i="40"/>
  <c r="S139" i="40"/>
  <c r="S140" i="40"/>
  <c r="S141" i="40"/>
  <c r="S142" i="40"/>
  <c r="S143" i="40"/>
  <c r="S144" i="40"/>
  <c r="S145" i="40"/>
  <c r="S146" i="40"/>
  <c r="S147" i="40"/>
  <c r="S148" i="40"/>
  <c r="S149" i="40"/>
  <c r="S150" i="40"/>
  <c r="S151" i="40"/>
  <c r="S152" i="40"/>
  <c r="S153" i="40"/>
  <c r="S154" i="40"/>
  <c r="S155" i="40"/>
  <c r="S156" i="40"/>
  <c r="S157" i="40"/>
  <c r="S158" i="40"/>
  <c r="S159" i="40"/>
  <c r="S160" i="40"/>
  <c r="S161" i="40"/>
  <c r="S162" i="40"/>
  <c r="S163" i="40"/>
  <c r="S164" i="40"/>
  <c r="S165" i="40"/>
  <c r="S166" i="40"/>
  <c r="S167" i="40"/>
  <c r="S168" i="40"/>
  <c r="S169" i="40"/>
  <c r="S170" i="40"/>
  <c r="S171" i="40"/>
  <c r="S172" i="40"/>
  <c r="S173" i="40"/>
  <c r="S174" i="40"/>
  <c r="S175" i="40"/>
  <c r="S176" i="40"/>
  <c r="S177" i="40"/>
  <c r="S178" i="40"/>
  <c r="S179" i="40"/>
  <c r="S180" i="40"/>
  <c r="S181" i="40"/>
  <c r="S182" i="40"/>
  <c r="S183" i="40"/>
  <c r="S184" i="40"/>
  <c r="S185" i="40"/>
  <c r="S186" i="40"/>
  <c r="S187" i="40"/>
  <c r="S188" i="40"/>
  <c r="S189" i="40"/>
  <c r="S190" i="40"/>
  <c r="S191" i="40"/>
  <c r="S192" i="40"/>
  <c r="S193" i="40"/>
  <c r="S194" i="40"/>
  <c r="S195" i="40"/>
  <c r="S196" i="40"/>
  <c r="S197" i="40"/>
  <c r="S198" i="40"/>
  <c r="S199" i="40"/>
  <c r="S200" i="40"/>
  <c r="S201" i="40"/>
  <c r="S202" i="40"/>
  <c r="S203" i="40"/>
  <c r="S204" i="40"/>
  <c r="S205" i="40"/>
  <c r="S206" i="40"/>
  <c r="S207" i="40"/>
  <c r="S208" i="40"/>
  <c r="S209" i="40"/>
  <c r="S210" i="40"/>
  <c r="S211" i="40"/>
  <c r="S212" i="40"/>
  <c r="S213" i="40"/>
  <c r="S214" i="40"/>
  <c r="S215" i="40"/>
  <c r="S216" i="40"/>
  <c r="S217" i="40"/>
  <c r="S218" i="40"/>
  <c r="S219" i="40"/>
  <c r="S220" i="40"/>
  <c r="S221" i="40"/>
  <c r="S222" i="40"/>
  <c r="S223" i="40"/>
  <c r="S224" i="40"/>
  <c r="S225" i="40"/>
  <c r="S226" i="40"/>
  <c r="S227" i="40"/>
  <c r="S228" i="40"/>
  <c r="S229" i="40"/>
  <c r="S230" i="40"/>
  <c r="S231" i="40"/>
  <c r="S232" i="40"/>
  <c r="S233" i="40"/>
  <c r="S234" i="40"/>
  <c r="S235" i="40"/>
  <c r="S236" i="40"/>
  <c r="S237" i="40"/>
  <c r="S238" i="40"/>
  <c r="S239" i="40"/>
  <c r="S240" i="40"/>
  <c r="S241" i="40"/>
  <c r="S242" i="40"/>
  <c r="S243" i="40"/>
  <c r="S244" i="40"/>
  <c r="S245" i="40"/>
  <c r="S246" i="40"/>
  <c r="S247" i="40"/>
  <c r="S248" i="40"/>
  <c r="S249" i="40"/>
  <c r="S250" i="40"/>
  <c r="S251" i="40"/>
  <c r="S252" i="40"/>
  <c r="S253" i="40"/>
  <c r="S254" i="40"/>
  <c r="S255" i="40"/>
  <c r="S256" i="40"/>
  <c r="S257" i="40"/>
  <c r="S258" i="40"/>
  <c r="S259" i="40"/>
  <c r="S260" i="40"/>
  <c r="S261" i="40"/>
  <c r="S262" i="40"/>
  <c r="S263" i="40"/>
  <c r="S264" i="40"/>
  <c r="S265" i="40"/>
  <c r="S266" i="40"/>
  <c r="S267" i="40"/>
  <c r="S268" i="40"/>
  <c r="S269" i="40"/>
  <c r="S270" i="40"/>
  <c r="S271" i="40"/>
  <c r="S272" i="40"/>
  <c r="S273" i="40"/>
  <c r="S274" i="40"/>
  <c r="S275" i="40"/>
  <c r="S276" i="40"/>
  <c r="S277" i="40"/>
  <c r="S278" i="40"/>
  <c r="S279" i="40"/>
  <c r="S280" i="40"/>
  <c r="S281" i="40"/>
  <c r="S282" i="40"/>
  <c r="S283" i="40"/>
  <c r="S284" i="40"/>
  <c r="S285" i="40"/>
  <c r="S286" i="40"/>
  <c r="S287" i="40"/>
  <c r="S288" i="40"/>
  <c r="S289" i="40"/>
  <c r="S290" i="40"/>
  <c r="S291" i="40"/>
  <c r="S292" i="40"/>
  <c r="S293" i="40"/>
  <c r="S294" i="40"/>
  <c r="S295" i="40"/>
  <c r="S296" i="40"/>
  <c r="S297" i="40"/>
  <c r="S298" i="40"/>
  <c r="S299" i="40"/>
  <c r="S300" i="40"/>
  <c r="S301" i="40"/>
  <c r="S302" i="40"/>
  <c r="S303" i="40"/>
  <c r="S304" i="40"/>
  <c r="S305" i="40"/>
  <c r="S306" i="40"/>
  <c r="S307" i="40"/>
  <c r="S308" i="40"/>
  <c r="S309" i="40"/>
  <c r="S310" i="40"/>
  <c r="S311" i="40"/>
  <c r="S312" i="40"/>
  <c r="S313" i="40"/>
  <c r="S314" i="40"/>
  <c r="S315" i="40"/>
  <c r="S316" i="40"/>
  <c r="S317" i="40"/>
  <c r="S318" i="40"/>
  <c r="S319" i="40"/>
  <c r="S320" i="40"/>
  <c r="S321" i="40"/>
  <c r="S322" i="40"/>
  <c r="S323" i="40"/>
  <c r="S324" i="40"/>
  <c r="S325" i="40"/>
  <c r="S326" i="40"/>
  <c r="S327" i="40"/>
  <c r="S328" i="40"/>
  <c r="S329" i="40"/>
  <c r="S330" i="40"/>
  <c r="S331" i="40"/>
  <c r="S332" i="40"/>
  <c r="S333" i="40"/>
  <c r="S334" i="40"/>
  <c r="S335" i="40"/>
  <c r="S336" i="40"/>
  <c r="S337" i="40"/>
  <c r="S338" i="40"/>
  <c r="S339" i="40"/>
  <c r="S340" i="40"/>
  <c r="S341" i="40"/>
  <c r="S342" i="40"/>
  <c r="S343" i="40"/>
  <c r="S344" i="40"/>
  <c r="S345" i="40"/>
  <c r="S346" i="40"/>
  <c r="S347" i="40"/>
  <c r="S348" i="40"/>
  <c r="S349" i="40"/>
  <c r="S350" i="40"/>
  <c r="S351" i="40"/>
  <c r="S352" i="40"/>
  <c r="S353" i="40"/>
  <c r="S354" i="40"/>
  <c r="S355" i="40"/>
  <c r="S356" i="40"/>
  <c r="S357" i="40"/>
  <c r="S358" i="40"/>
  <c r="S359" i="40"/>
  <c r="S360" i="40"/>
  <c r="S361" i="40"/>
  <c r="S362" i="40"/>
  <c r="S363" i="40"/>
  <c r="S364" i="40"/>
  <c r="S365" i="40"/>
  <c r="S366" i="40"/>
  <c r="S367" i="40"/>
  <c r="S368" i="40"/>
  <c r="S369" i="40"/>
  <c r="S370" i="40"/>
  <c r="S371" i="40"/>
  <c r="S372" i="40"/>
  <c r="S373" i="40"/>
  <c r="S374" i="40"/>
  <c r="S375" i="40"/>
  <c r="S376" i="40"/>
  <c r="S377" i="40"/>
  <c r="S378" i="40"/>
  <c r="S379" i="40"/>
  <c r="S380" i="40"/>
  <c r="S381" i="40"/>
  <c r="S382" i="40"/>
  <c r="S383" i="40"/>
  <c r="S384" i="40"/>
  <c r="S385" i="40"/>
  <c r="S386" i="40"/>
  <c r="S387" i="40"/>
  <c r="S388" i="40"/>
  <c r="S389" i="40"/>
  <c r="S390" i="40"/>
  <c r="S391" i="40"/>
  <c r="S392" i="40"/>
  <c r="S393" i="40"/>
  <c r="S394" i="40"/>
  <c r="S395" i="40"/>
  <c r="S396" i="40"/>
  <c r="S397" i="40"/>
  <c r="S398" i="40"/>
  <c r="S399" i="40"/>
  <c r="S400" i="40"/>
  <c r="S401" i="40"/>
  <c r="S402" i="40"/>
  <c r="S403" i="40"/>
  <c r="S404" i="40"/>
  <c r="S405" i="40"/>
  <c r="S406" i="40"/>
  <c r="S407" i="40"/>
  <c r="S408" i="40"/>
  <c r="S409" i="40"/>
  <c r="S410" i="40"/>
  <c r="S411" i="40"/>
  <c r="S412" i="40"/>
  <c r="S413" i="40"/>
  <c r="S414" i="40"/>
  <c r="S415" i="40"/>
  <c r="S416" i="40"/>
  <c r="S417" i="40"/>
  <c r="S418" i="40"/>
  <c r="S419" i="40"/>
  <c r="S420" i="40"/>
  <c r="S421" i="40"/>
  <c r="S422" i="40"/>
  <c r="S423" i="40"/>
  <c r="S424" i="40"/>
  <c r="S425" i="40"/>
  <c r="S426" i="40"/>
  <c r="S427" i="40"/>
  <c r="S428" i="40"/>
  <c r="S429" i="40"/>
  <c r="S430" i="40"/>
  <c r="S431" i="40"/>
  <c r="S432" i="40"/>
  <c r="S433" i="40"/>
  <c r="S434" i="40"/>
  <c r="S435" i="40"/>
  <c r="S436" i="40"/>
  <c r="S437" i="40"/>
  <c r="S438" i="40"/>
  <c r="S439" i="40"/>
  <c r="S440" i="40"/>
  <c r="S441" i="40"/>
  <c r="S442" i="40"/>
  <c r="S443" i="40"/>
  <c r="S444" i="40"/>
  <c r="S445" i="40"/>
  <c r="S446" i="40"/>
  <c r="S447" i="40"/>
  <c r="S448" i="40"/>
  <c r="S449" i="40"/>
  <c r="S450" i="40"/>
  <c r="S451" i="40"/>
  <c r="S452" i="40"/>
  <c r="S453" i="40"/>
  <c r="S454" i="40"/>
  <c r="S455" i="40"/>
  <c r="S456" i="40"/>
  <c r="S457" i="40"/>
  <c r="S458" i="40"/>
  <c r="S459" i="40"/>
  <c r="S460" i="40"/>
  <c r="S461" i="40"/>
  <c r="S462" i="40"/>
  <c r="S463" i="40"/>
  <c r="S464" i="40"/>
  <c r="S465" i="40"/>
  <c r="S466" i="40"/>
  <c r="S467" i="40"/>
  <c r="S468" i="40"/>
  <c r="S469" i="40"/>
  <c r="S470" i="40"/>
  <c r="S471" i="40"/>
  <c r="S472" i="40"/>
  <c r="S473" i="40"/>
  <c r="S474" i="40"/>
  <c r="S475" i="40"/>
  <c r="S476" i="40"/>
  <c r="S477" i="40"/>
  <c r="S478" i="40"/>
  <c r="S479" i="40"/>
  <c r="S480" i="40"/>
  <c r="S481" i="40"/>
  <c r="S482" i="40"/>
  <c r="S483" i="40"/>
  <c r="S484" i="40"/>
  <c r="S485" i="40"/>
  <c r="S486" i="40"/>
  <c r="S487" i="40"/>
  <c r="S488" i="40"/>
  <c r="S489" i="40"/>
  <c r="S490" i="40"/>
  <c r="S491" i="40"/>
  <c r="S492" i="40"/>
  <c r="S493" i="40"/>
  <c r="S494" i="40"/>
  <c r="S495" i="40"/>
  <c r="S496" i="40"/>
  <c r="S497" i="40"/>
  <c r="S498" i="40"/>
  <c r="S499" i="40"/>
  <c r="S500" i="40"/>
  <c r="S501" i="40"/>
  <c r="S502" i="40"/>
  <c r="S503" i="40"/>
  <c r="S504" i="40"/>
  <c r="S505" i="40"/>
  <c r="S506" i="40"/>
  <c r="S507" i="40"/>
  <c r="S508" i="40"/>
  <c r="S509" i="40"/>
  <c r="S510" i="40"/>
  <c r="S511" i="40"/>
  <c r="S512" i="40"/>
  <c r="S513" i="40"/>
  <c r="S514" i="40"/>
  <c r="S515" i="40"/>
  <c r="S516" i="40"/>
  <c r="S517" i="40"/>
  <c r="S518" i="40"/>
  <c r="S519" i="40"/>
  <c r="S520" i="40"/>
  <c r="S521" i="40"/>
  <c r="S522" i="40"/>
  <c r="S523" i="40"/>
  <c r="S524" i="40"/>
  <c r="S525" i="40"/>
  <c r="S526" i="40"/>
  <c r="S527" i="40"/>
  <c r="S528" i="40"/>
  <c r="S529" i="40"/>
  <c r="S530" i="40"/>
  <c r="S531" i="40"/>
  <c r="S532" i="40"/>
  <c r="S533" i="40"/>
  <c r="S534" i="40"/>
  <c r="S535" i="40"/>
  <c r="S536" i="40"/>
  <c r="S537" i="40"/>
  <c r="S538" i="40"/>
  <c r="S539" i="40"/>
  <c r="S540" i="40"/>
  <c r="S541" i="40"/>
  <c r="S542" i="40"/>
  <c r="S543" i="40"/>
  <c r="S544" i="40"/>
  <c r="S545" i="40"/>
  <c r="S546" i="40"/>
  <c r="S547" i="40"/>
  <c r="S548" i="40"/>
  <c r="S549" i="40"/>
  <c r="S550" i="40"/>
  <c r="S551" i="40"/>
  <c r="S552" i="40"/>
  <c r="S553" i="40"/>
  <c r="S554" i="40"/>
  <c r="S555" i="40"/>
  <c r="S556" i="40"/>
  <c r="S557" i="40"/>
  <c r="S558" i="40"/>
  <c r="S559" i="40"/>
  <c r="S560" i="40"/>
  <c r="S561" i="40"/>
  <c r="S562" i="40"/>
  <c r="S563" i="40"/>
  <c r="S564" i="40"/>
  <c r="S565" i="40"/>
  <c r="S566" i="40"/>
  <c r="S567" i="40"/>
  <c r="S568" i="40"/>
  <c r="S569" i="40"/>
  <c r="S570" i="40"/>
  <c r="S571" i="40"/>
  <c r="S572" i="40"/>
  <c r="S573" i="40"/>
  <c r="S574" i="40"/>
  <c r="S575" i="40"/>
  <c r="S576" i="40"/>
  <c r="S577" i="40"/>
  <c r="S578" i="40"/>
  <c r="S579" i="40"/>
  <c r="S580" i="40"/>
  <c r="S581" i="40"/>
  <c r="S582" i="40"/>
  <c r="S583" i="40"/>
  <c r="S584" i="40"/>
  <c r="S585" i="40"/>
  <c r="S586" i="40"/>
  <c r="S587" i="40"/>
  <c r="S588" i="40"/>
  <c r="S589" i="40"/>
  <c r="S590" i="40"/>
  <c r="S591" i="40"/>
  <c r="S592" i="40"/>
  <c r="S593" i="40"/>
  <c r="S594" i="40"/>
  <c r="S595" i="40"/>
  <c r="S596" i="40"/>
  <c r="S597" i="40"/>
  <c r="S598" i="40"/>
  <c r="S599" i="40"/>
  <c r="S600" i="40"/>
  <c r="S601" i="40"/>
  <c r="S602" i="40"/>
  <c r="S603" i="40"/>
  <c r="S604" i="40"/>
  <c r="S605" i="40"/>
  <c r="S606" i="40"/>
  <c r="S607" i="40"/>
  <c r="S608" i="40"/>
  <c r="S609" i="40"/>
  <c r="S610" i="40"/>
  <c r="S611" i="40"/>
  <c r="S612" i="40"/>
  <c r="S613" i="40"/>
  <c r="S614" i="40"/>
  <c r="S615" i="40"/>
  <c r="S616" i="40"/>
  <c r="S617" i="40"/>
  <c r="S618" i="40"/>
  <c r="S619" i="40"/>
  <c r="S620" i="40"/>
  <c r="S621" i="40"/>
  <c r="S622" i="40"/>
  <c r="S623" i="40"/>
  <c r="S624" i="40"/>
  <c r="S625" i="40"/>
  <c r="S626" i="40"/>
  <c r="S627" i="40"/>
  <c r="S628" i="40"/>
  <c r="S629" i="40"/>
  <c r="S630" i="40"/>
  <c r="S631" i="40"/>
  <c r="S632" i="40"/>
  <c r="S633" i="40"/>
  <c r="S634" i="40"/>
  <c r="S635" i="40"/>
  <c r="S636" i="40"/>
  <c r="S637" i="40"/>
  <c r="S638" i="40"/>
  <c r="S639" i="40"/>
  <c r="S640" i="40"/>
  <c r="S641" i="40"/>
  <c r="S642" i="40"/>
  <c r="S643" i="40"/>
  <c r="S644" i="40"/>
  <c r="S645" i="40"/>
  <c r="S646" i="40"/>
  <c r="S647" i="40"/>
  <c r="S648" i="40"/>
  <c r="S649" i="40"/>
  <c r="S650" i="40"/>
  <c r="S651" i="40"/>
  <c r="S652" i="40"/>
  <c r="S653" i="40"/>
  <c r="S654" i="40"/>
  <c r="S655" i="40"/>
  <c r="S656" i="40"/>
  <c r="S657" i="40"/>
  <c r="S658" i="40"/>
  <c r="S659" i="40"/>
  <c r="S660" i="40"/>
  <c r="S661" i="40"/>
  <c r="S662" i="40"/>
  <c r="S663" i="40"/>
  <c r="S664" i="40"/>
  <c r="S665" i="40"/>
  <c r="S666" i="40"/>
  <c r="S667" i="40"/>
  <c r="S668" i="40"/>
  <c r="S669" i="40"/>
  <c r="S670" i="40"/>
  <c r="S671" i="40"/>
  <c r="S672" i="40"/>
  <c r="S673" i="40"/>
  <c r="S674" i="40"/>
  <c r="S675" i="40"/>
  <c r="S676" i="40"/>
  <c r="S677" i="40"/>
  <c r="S678" i="40"/>
  <c r="S679" i="40"/>
  <c r="S680" i="40"/>
  <c r="S681" i="40"/>
  <c r="S682" i="40"/>
  <c r="S683" i="40"/>
  <c r="S684" i="40"/>
  <c r="S685" i="40"/>
  <c r="S686" i="40"/>
  <c r="S687" i="40"/>
  <c r="S688" i="40"/>
  <c r="S689" i="40"/>
  <c r="S690" i="40"/>
  <c r="S691" i="40"/>
  <c r="S692" i="40"/>
  <c r="S693" i="40"/>
  <c r="S694" i="40"/>
  <c r="S695" i="40"/>
  <c r="S696" i="40"/>
  <c r="S697" i="40"/>
  <c r="S698" i="40"/>
  <c r="S699" i="40"/>
  <c r="S700" i="40"/>
  <c r="S701" i="40"/>
  <c r="S702" i="40"/>
  <c r="S703" i="40"/>
  <c r="S704" i="40"/>
  <c r="S705" i="40"/>
  <c r="S706" i="40"/>
  <c r="S707" i="40"/>
  <c r="S708" i="40"/>
  <c r="S709" i="40"/>
  <c r="S710" i="40"/>
  <c r="S711" i="40"/>
  <c r="S712" i="40"/>
  <c r="S713" i="40"/>
  <c r="S714" i="40"/>
  <c r="S715" i="40"/>
  <c r="S716" i="40"/>
  <c r="S717" i="40"/>
  <c r="S718" i="40"/>
  <c r="S719" i="40"/>
  <c r="S720" i="40"/>
  <c r="S721" i="40"/>
  <c r="S722" i="40"/>
  <c r="S723" i="40"/>
  <c r="S724" i="40"/>
  <c r="S725" i="40"/>
  <c r="S726" i="40"/>
  <c r="S727" i="40"/>
  <c r="S728" i="40"/>
  <c r="S729" i="40"/>
  <c r="S730" i="40"/>
  <c r="S731" i="40"/>
  <c r="S732" i="40"/>
  <c r="S733" i="40"/>
  <c r="S734" i="40"/>
  <c r="S735" i="40"/>
  <c r="S736" i="40"/>
  <c r="S737" i="40"/>
  <c r="S738" i="40"/>
  <c r="S739" i="40"/>
  <c r="S740" i="40"/>
  <c r="S741" i="40"/>
  <c r="S742" i="40"/>
  <c r="S743" i="40"/>
  <c r="S744" i="40"/>
  <c r="S745" i="40"/>
  <c r="S746" i="40"/>
  <c r="S747" i="40"/>
  <c r="S748" i="40"/>
  <c r="S749" i="40"/>
  <c r="S750" i="40"/>
  <c r="S751" i="40"/>
  <c r="S752" i="40"/>
  <c r="S753" i="40"/>
  <c r="S754" i="40"/>
  <c r="S755" i="40"/>
  <c r="S756" i="40"/>
  <c r="S757" i="40"/>
  <c r="S758" i="40"/>
  <c r="S759" i="40"/>
  <c r="S760" i="40"/>
  <c r="S761" i="40"/>
  <c r="S762" i="40"/>
  <c r="S763" i="40"/>
  <c r="S764" i="40"/>
  <c r="S765" i="40"/>
  <c r="S766" i="40"/>
  <c r="S767" i="40"/>
  <c r="S768" i="40"/>
  <c r="S769" i="40"/>
  <c r="S770" i="40"/>
  <c r="S771" i="40"/>
  <c r="S772" i="40"/>
  <c r="S773" i="40"/>
  <c r="S774" i="40"/>
  <c r="S775" i="40"/>
  <c r="S776" i="40"/>
  <c r="S777" i="40"/>
  <c r="S778" i="40"/>
  <c r="S779" i="40"/>
  <c r="S780" i="40"/>
  <c r="S781" i="40"/>
  <c r="S782" i="40"/>
  <c r="S783" i="40"/>
  <c r="S784" i="40"/>
  <c r="S785" i="40"/>
  <c r="S786" i="40"/>
  <c r="S787" i="40"/>
  <c r="S788" i="40"/>
  <c r="S789" i="40"/>
  <c r="S790" i="40"/>
  <c r="S791" i="40"/>
  <c r="S792" i="40"/>
  <c r="S793" i="40"/>
  <c r="S794" i="40"/>
  <c r="S795" i="40"/>
  <c r="S796" i="40"/>
  <c r="S797" i="40"/>
  <c r="S798" i="40"/>
  <c r="S799" i="40"/>
  <c r="S800" i="40"/>
  <c r="S801" i="40"/>
  <c r="S802" i="40"/>
  <c r="S803" i="40"/>
  <c r="S804" i="40"/>
  <c r="S805" i="40"/>
  <c r="S806" i="40"/>
  <c r="S807" i="40"/>
  <c r="S808" i="40"/>
  <c r="S809" i="40"/>
  <c r="S810" i="40"/>
  <c r="S811" i="40"/>
  <c r="S812" i="40"/>
  <c r="S813" i="40"/>
  <c r="S814" i="40"/>
  <c r="S815" i="40"/>
  <c r="S816" i="40"/>
  <c r="S817" i="40"/>
  <c r="S818" i="40"/>
  <c r="S819" i="40"/>
  <c r="S820" i="40"/>
  <c r="S821" i="40"/>
  <c r="S822" i="40"/>
  <c r="S823" i="40"/>
  <c r="S824" i="40"/>
  <c r="S825" i="40"/>
  <c r="S826" i="40"/>
  <c r="S827" i="40"/>
  <c r="S828" i="40"/>
  <c r="S829" i="40"/>
  <c r="S830" i="40"/>
  <c r="S831" i="40"/>
  <c r="S832" i="40"/>
  <c r="S833" i="40"/>
  <c r="S834" i="40"/>
  <c r="S835" i="40"/>
  <c r="S836" i="40"/>
  <c r="S837" i="40"/>
  <c r="S838" i="40"/>
  <c r="S839" i="40"/>
  <c r="S840" i="40"/>
  <c r="S841" i="40"/>
  <c r="S842" i="40"/>
  <c r="S843" i="40"/>
  <c r="S844" i="40"/>
  <c r="S845" i="40"/>
  <c r="S846" i="40"/>
  <c r="S847" i="40"/>
  <c r="S848" i="40"/>
  <c r="S849" i="40"/>
  <c r="S850" i="40"/>
  <c r="S851" i="40"/>
  <c r="S852" i="40"/>
  <c r="S853" i="40"/>
  <c r="S854" i="40"/>
  <c r="S855" i="40"/>
  <c r="S856" i="40"/>
  <c r="S857" i="40"/>
  <c r="S858" i="40"/>
  <c r="S859" i="40"/>
  <c r="S860" i="40"/>
  <c r="S861" i="40"/>
  <c r="S862" i="40"/>
  <c r="S863" i="40"/>
  <c r="S864" i="40"/>
  <c r="S865" i="40"/>
  <c r="S866" i="40"/>
  <c r="S867" i="40"/>
  <c r="S868" i="40"/>
  <c r="S869" i="40"/>
  <c r="S870" i="40"/>
  <c r="S871" i="40"/>
  <c r="S872" i="40"/>
  <c r="S873" i="40"/>
  <c r="S874" i="40"/>
  <c r="S875" i="40"/>
  <c r="S876" i="40"/>
  <c r="S877" i="40"/>
  <c r="S878" i="40"/>
  <c r="S879" i="40"/>
  <c r="S880" i="40"/>
  <c r="S881" i="40"/>
  <c r="S882" i="40"/>
  <c r="S883" i="40"/>
  <c r="S884" i="40"/>
  <c r="S885" i="40"/>
  <c r="S886" i="40"/>
  <c r="S887" i="40"/>
  <c r="S888" i="40"/>
  <c r="S889" i="40"/>
  <c r="S890" i="40"/>
  <c r="S891" i="40"/>
  <c r="S892" i="40"/>
  <c r="S893" i="40"/>
  <c r="S894" i="40"/>
  <c r="S895" i="40"/>
  <c r="S896" i="40"/>
  <c r="S897" i="40"/>
  <c r="S898" i="40"/>
  <c r="S899" i="40"/>
  <c r="S900" i="40"/>
  <c r="S901" i="40"/>
  <c r="S902" i="40"/>
  <c r="S903" i="40"/>
  <c r="S904" i="40"/>
  <c r="S905" i="40"/>
  <c r="S906" i="40"/>
  <c r="S907" i="40"/>
  <c r="S908" i="40"/>
  <c r="S909" i="40"/>
  <c r="S910" i="40"/>
  <c r="S911" i="40"/>
  <c r="S912" i="40"/>
  <c r="S913" i="40"/>
  <c r="S914" i="40"/>
  <c r="S915" i="40"/>
  <c r="S916" i="40"/>
  <c r="S917" i="40"/>
  <c r="S918" i="40"/>
  <c r="S919" i="40"/>
  <c r="S920" i="40"/>
  <c r="S921" i="40"/>
  <c r="S922" i="40"/>
  <c r="S923" i="40"/>
  <c r="S924" i="40"/>
  <c r="S925" i="40"/>
  <c r="S926" i="40"/>
  <c r="S927" i="40"/>
  <c r="S928" i="40"/>
  <c r="S929" i="40"/>
  <c r="S930" i="40"/>
  <c r="S931" i="40"/>
  <c r="S932" i="40"/>
  <c r="S933" i="40"/>
  <c r="S934" i="40"/>
  <c r="S935" i="40"/>
  <c r="S936" i="40"/>
  <c r="S937" i="40"/>
  <c r="S938" i="40"/>
  <c r="S939" i="40"/>
  <c r="S940" i="40"/>
  <c r="S941" i="40"/>
  <c r="S942" i="40"/>
  <c r="S943" i="40"/>
  <c r="S944" i="40"/>
  <c r="S945" i="40"/>
  <c r="S946" i="40"/>
  <c r="S947" i="40"/>
  <c r="S948" i="40"/>
  <c r="S949" i="40"/>
  <c r="S950" i="40"/>
  <c r="S951" i="40"/>
  <c r="S952" i="40"/>
  <c r="S953" i="40"/>
  <c r="S954" i="40"/>
  <c r="S955" i="40"/>
  <c r="S956" i="40"/>
  <c r="S957" i="40"/>
  <c r="S958" i="40"/>
  <c r="S959" i="40"/>
  <c r="S960" i="40"/>
  <c r="S961" i="40"/>
  <c r="S962" i="40"/>
  <c r="S963" i="40"/>
  <c r="S964" i="40"/>
  <c r="S965" i="40"/>
  <c r="S966" i="40"/>
  <c r="S967" i="40"/>
  <c r="S968" i="40"/>
  <c r="S969" i="40"/>
  <c r="S970" i="40"/>
  <c r="S971" i="40"/>
  <c r="S972" i="40"/>
  <c r="S973" i="40"/>
  <c r="S974" i="40"/>
  <c r="S975" i="40"/>
  <c r="S976" i="40"/>
  <c r="S977" i="40"/>
  <c r="S978" i="40"/>
  <c r="S979" i="40"/>
  <c r="S980" i="40"/>
  <c r="S981" i="40"/>
  <c r="S982" i="40"/>
  <c r="S983" i="40"/>
  <c r="S984" i="40"/>
  <c r="S985" i="40"/>
  <c r="S986" i="40"/>
  <c r="S987" i="40"/>
  <c r="S988" i="40"/>
  <c r="S989" i="40"/>
  <c r="S990" i="40"/>
  <c r="S991" i="40"/>
  <c r="S992" i="40"/>
  <c r="S993" i="40"/>
  <c r="S994" i="40"/>
  <c r="S995" i="40"/>
  <c r="S996" i="40"/>
  <c r="S997" i="40"/>
  <c r="S998" i="40"/>
  <c r="S999" i="40"/>
  <c r="S1000" i="40"/>
  <c r="S1001" i="40"/>
  <c r="S1002" i="40"/>
  <c r="S1003" i="40"/>
  <c r="S1004" i="40"/>
  <c r="S1005" i="40"/>
  <c r="S1006" i="40"/>
  <c r="S1007" i="40"/>
  <c r="S1008" i="40"/>
  <c r="S4" i="40"/>
  <c r="R4" i="40"/>
  <c r="R5" i="40"/>
  <c r="R6" i="40"/>
  <c r="R7" i="40"/>
  <c r="R8" i="40"/>
  <c r="R9" i="40"/>
  <c r="R10" i="40"/>
  <c r="R11" i="40"/>
  <c r="R12" i="40"/>
  <c r="R13" i="40"/>
  <c r="R14" i="40"/>
  <c r="R15" i="40"/>
  <c r="R16" i="40"/>
  <c r="R17" i="40"/>
  <c r="R18" i="40"/>
  <c r="R19" i="40"/>
  <c r="R20" i="40"/>
  <c r="R21" i="40"/>
  <c r="R22" i="40"/>
  <c r="R23" i="40"/>
  <c r="R24" i="40"/>
  <c r="R25" i="40"/>
  <c r="R26" i="40"/>
  <c r="R27" i="40"/>
  <c r="R28" i="40"/>
  <c r="R29" i="40"/>
  <c r="R30" i="40"/>
  <c r="R31" i="40"/>
  <c r="R32" i="40"/>
  <c r="R33" i="40"/>
  <c r="R34" i="40"/>
  <c r="R35" i="40"/>
  <c r="R36" i="40"/>
  <c r="R37" i="40"/>
  <c r="R38" i="40"/>
  <c r="R39" i="40"/>
  <c r="R40" i="40"/>
  <c r="R41" i="40"/>
  <c r="R42" i="40"/>
  <c r="R43" i="40"/>
  <c r="R44" i="40"/>
  <c r="R45" i="40"/>
  <c r="R46" i="40"/>
  <c r="R47" i="40"/>
  <c r="R48" i="40"/>
  <c r="R49" i="40"/>
  <c r="R50" i="40"/>
  <c r="R51" i="40"/>
  <c r="R52" i="40"/>
  <c r="R53" i="40"/>
  <c r="R54" i="40"/>
  <c r="R55" i="40"/>
  <c r="R56" i="40"/>
  <c r="R57" i="40"/>
  <c r="R58" i="40"/>
  <c r="R59" i="40"/>
  <c r="R60" i="40"/>
  <c r="R61" i="40"/>
  <c r="R62" i="40"/>
  <c r="R63" i="40"/>
  <c r="R64" i="40"/>
  <c r="R65" i="40"/>
  <c r="R66" i="40"/>
  <c r="R67" i="40"/>
  <c r="R68" i="40"/>
  <c r="R69" i="40"/>
  <c r="R70" i="40"/>
  <c r="R71" i="40"/>
  <c r="R72" i="40"/>
  <c r="R73" i="40"/>
  <c r="R74" i="40"/>
  <c r="R75" i="40"/>
  <c r="R76" i="40"/>
  <c r="R77" i="40"/>
  <c r="R78" i="40"/>
  <c r="R79" i="40"/>
  <c r="R80" i="40"/>
  <c r="R81" i="40"/>
  <c r="R82" i="40"/>
  <c r="R83" i="40"/>
  <c r="R84" i="40"/>
  <c r="R85" i="40"/>
  <c r="R86" i="40"/>
  <c r="R87" i="40"/>
  <c r="R88" i="40"/>
  <c r="R89" i="40"/>
  <c r="R90" i="40"/>
  <c r="R91" i="40"/>
  <c r="R92" i="40"/>
  <c r="R93" i="40"/>
  <c r="R94" i="40"/>
  <c r="R95" i="40"/>
  <c r="R96" i="40"/>
  <c r="R97" i="40"/>
  <c r="R98" i="40"/>
  <c r="R99" i="40"/>
  <c r="R100" i="40"/>
  <c r="R101" i="40"/>
  <c r="R102" i="40"/>
  <c r="R103" i="40"/>
  <c r="R104" i="40"/>
  <c r="R105" i="40"/>
  <c r="R106" i="40"/>
  <c r="R107" i="40"/>
  <c r="R108" i="40"/>
  <c r="R109" i="40"/>
  <c r="R110" i="40"/>
  <c r="R111" i="40"/>
  <c r="R112" i="40"/>
  <c r="R113" i="40"/>
  <c r="R114" i="40"/>
  <c r="R115" i="40"/>
  <c r="R116" i="40"/>
  <c r="R117" i="40"/>
  <c r="R118" i="40"/>
  <c r="R119" i="40"/>
  <c r="R120" i="40"/>
  <c r="R121" i="40"/>
  <c r="R122" i="40"/>
  <c r="R123" i="40"/>
  <c r="R124" i="40"/>
  <c r="R125" i="40"/>
  <c r="R126" i="40"/>
  <c r="R127" i="40"/>
  <c r="R128" i="40"/>
  <c r="R129" i="40"/>
  <c r="R130" i="40"/>
  <c r="R131" i="40"/>
  <c r="R132" i="40"/>
  <c r="R133" i="40"/>
  <c r="R134" i="40"/>
  <c r="R135" i="40"/>
  <c r="R136" i="40"/>
  <c r="R137" i="40"/>
  <c r="R138" i="40"/>
  <c r="R139" i="40"/>
  <c r="R140" i="40"/>
  <c r="R141" i="40"/>
  <c r="R142" i="40"/>
  <c r="R143" i="40"/>
  <c r="R144" i="40"/>
  <c r="R145" i="40"/>
  <c r="R146" i="40"/>
  <c r="R147" i="40"/>
  <c r="R148" i="40"/>
  <c r="R149" i="40"/>
  <c r="R150" i="40"/>
  <c r="R151" i="40"/>
  <c r="R152" i="40"/>
  <c r="R153" i="40"/>
  <c r="R154" i="40"/>
  <c r="R155" i="40"/>
  <c r="R156" i="40"/>
  <c r="R157" i="40"/>
  <c r="R158" i="40"/>
  <c r="R159" i="40"/>
  <c r="R160" i="40"/>
  <c r="R161" i="40"/>
  <c r="R162" i="40"/>
  <c r="R163" i="40"/>
  <c r="R164" i="40"/>
  <c r="R165" i="40"/>
  <c r="R166" i="40"/>
  <c r="R167" i="40"/>
  <c r="R168" i="40"/>
  <c r="R169" i="40"/>
  <c r="R170" i="40"/>
  <c r="R171" i="40"/>
  <c r="R172" i="40"/>
  <c r="R173" i="40"/>
  <c r="R174" i="40"/>
  <c r="R175" i="40"/>
  <c r="R176" i="40"/>
  <c r="R177" i="40"/>
  <c r="R178" i="40"/>
  <c r="R179" i="40"/>
  <c r="R180" i="40"/>
  <c r="R181" i="40"/>
  <c r="R182" i="40"/>
  <c r="R183" i="40"/>
  <c r="R184" i="40"/>
  <c r="R185" i="40"/>
  <c r="R186" i="40"/>
  <c r="R187" i="40"/>
  <c r="R188" i="40"/>
  <c r="R189" i="40"/>
  <c r="R190" i="40"/>
  <c r="R191" i="40"/>
  <c r="R192" i="40"/>
  <c r="R193" i="40"/>
  <c r="R194" i="40"/>
  <c r="R195" i="40"/>
  <c r="R196" i="40"/>
  <c r="R197" i="40"/>
  <c r="R198" i="40"/>
  <c r="R199" i="40"/>
  <c r="R200" i="40"/>
  <c r="R201" i="40"/>
  <c r="R202" i="40"/>
  <c r="R203" i="40"/>
  <c r="R204" i="40"/>
  <c r="R205" i="40"/>
  <c r="R206" i="40"/>
  <c r="R207" i="40"/>
  <c r="R208" i="40"/>
  <c r="R209" i="40"/>
  <c r="R210" i="40"/>
  <c r="R211" i="40"/>
  <c r="R212" i="40"/>
  <c r="R213" i="40"/>
  <c r="R214" i="40"/>
  <c r="R215" i="40"/>
  <c r="R216" i="40"/>
  <c r="R217" i="40"/>
  <c r="R218" i="40"/>
  <c r="R219" i="40"/>
  <c r="R220" i="40"/>
  <c r="R221" i="40"/>
  <c r="R222" i="40"/>
  <c r="R223" i="40"/>
  <c r="R224" i="40"/>
  <c r="R225" i="40"/>
  <c r="R226" i="40"/>
  <c r="R227" i="40"/>
  <c r="R228" i="40"/>
  <c r="R229" i="40"/>
  <c r="R230" i="40"/>
  <c r="R231" i="40"/>
  <c r="R232" i="40"/>
  <c r="R233" i="40"/>
  <c r="R234" i="40"/>
  <c r="R235" i="40"/>
  <c r="R236" i="40"/>
  <c r="R237" i="40"/>
  <c r="R238" i="40"/>
  <c r="R239" i="40"/>
  <c r="R240" i="40"/>
  <c r="R241" i="40"/>
  <c r="R242" i="40"/>
  <c r="R243" i="40"/>
  <c r="R244" i="40"/>
  <c r="R245" i="40"/>
  <c r="R246" i="40"/>
  <c r="R247" i="40"/>
  <c r="R248" i="40"/>
  <c r="R249" i="40"/>
  <c r="R250" i="40"/>
  <c r="R251" i="40"/>
  <c r="R252" i="40"/>
  <c r="R253" i="40"/>
  <c r="R254" i="40"/>
  <c r="R255" i="40"/>
  <c r="R256" i="40"/>
  <c r="R257" i="40"/>
  <c r="R258" i="40"/>
  <c r="R259" i="40"/>
  <c r="R260" i="40"/>
  <c r="R261" i="40"/>
  <c r="R262" i="40"/>
  <c r="R263" i="40"/>
  <c r="R264" i="40"/>
  <c r="R265" i="40"/>
  <c r="R266" i="40"/>
  <c r="R267" i="40"/>
  <c r="R268" i="40"/>
  <c r="R269" i="40"/>
  <c r="R270" i="40"/>
  <c r="R271" i="40"/>
  <c r="R272" i="40"/>
  <c r="R273" i="40"/>
  <c r="R274" i="40"/>
  <c r="R275" i="40"/>
  <c r="R276" i="40"/>
  <c r="R277" i="40"/>
  <c r="R278" i="40"/>
  <c r="R279" i="40"/>
  <c r="R280" i="40"/>
  <c r="R281" i="40"/>
  <c r="R282" i="40"/>
  <c r="R283" i="40"/>
  <c r="R284" i="40"/>
  <c r="R285" i="40"/>
  <c r="R286" i="40"/>
  <c r="R287" i="40"/>
  <c r="R288" i="40"/>
  <c r="R289" i="40"/>
  <c r="R290" i="40"/>
  <c r="R291" i="40"/>
  <c r="R292" i="40"/>
  <c r="R293" i="40"/>
  <c r="R294" i="40"/>
  <c r="R295" i="40"/>
  <c r="R296" i="40"/>
  <c r="R297" i="40"/>
  <c r="R298" i="40"/>
  <c r="R299" i="40"/>
  <c r="R300" i="40"/>
  <c r="R301" i="40"/>
  <c r="R302" i="40"/>
  <c r="R303" i="40"/>
  <c r="R304" i="40"/>
  <c r="R305" i="40"/>
  <c r="R306" i="40"/>
  <c r="R307" i="40"/>
  <c r="R308" i="40"/>
  <c r="R309" i="40"/>
  <c r="R310" i="40"/>
  <c r="R311" i="40"/>
  <c r="R312" i="40"/>
  <c r="R313" i="40"/>
  <c r="R314" i="40"/>
  <c r="R315" i="40"/>
  <c r="R316" i="40"/>
  <c r="R317" i="40"/>
  <c r="R318" i="40"/>
  <c r="R319" i="40"/>
  <c r="R320" i="40"/>
  <c r="R321" i="40"/>
  <c r="R322" i="40"/>
  <c r="R323" i="40"/>
  <c r="R324" i="40"/>
  <c r="R325" i="40"/>
  <c r="R326" i="40"/>
  <c r="R327" i="40"/>
  <c r="R328" i="40"/>
  <c r="R329" i="40"/>
  <c r="R330" i="40"/>
  <c r="R331" i="40"/>
  <c r="R332" i="40"/>
  <c r="R333" i="40"/>
  <c r="R334" i="40"/>
  <c r="R335" i="40"/>
  <c r="R336" i="40"/>
  <c r="R337" i="40"/>
  <c r="R338" i="40"/>
  <c r="R339" i="40"/>
  <c r="R340" i="40"/>
  <c r="R341" i="40"/>
  <c r="R342" i="40"/>
  <c r="R343" i="40"/>
  <c r="R344" i="40"/>
  <c r="R345" i="40"/>
  <c r="R346" i="40"/>
  <c r="R347" i="40"/>
  <c r="R348" i="40"/>
  <c r="R349" i="40"/>
  <c r="R350" i="40"/>
  <c r="R351" i="40"/>
  <c r="R352" i="40"/>
  <c r="R353" i="40"/>
  <c r="R354" i="40"/>
  <c r="R355" i="40"/>
  <c r="R356" i="40"/>
  <c r="R357" i="40"/>
  <c r="R358" i="40"/>
  <c r="R359" i="40"/>
  <c r="R360" i="40"/>
  <c r="R361" i="40"/>
  <c r="R362" i="40"/>
  <c r="R363" i="40"/>
  <c r="R364" i="40"/>
  <c r="R365" i="40"/>
  <c r="R366" i="40"/>
  <c r="R367" i="40"/>
  <c r="R368" i="40"/>
  <c r="R369" i="40"/>
  <c r="R370" i="40"/>
  <c r="R371" i="40"/>
  <c r="R372" i="40"/>
  <c r="R373" i="40"/>
  <c r="R374" i="40"/>
  <c r="R375" i="40"/>
  <c r="R376" i="40"/>
  <c r="R377" i="40"/>
  <c r="R378" i="40"/>
  <c r="R379" i="40"/>
  <c r="R380" i="40"/>
  <c r="R381" i="40"/>
  <c r="R382" i="40"/>
  <c r="R383" i="40"/>
  <c r="R384" i="40"/>
  <c r="R385" i="40"/>
  <c r="R386" i="40"/>
  <c r="R387" i="40"/>
  <c r="R388" i="40"/>
  <c r="R389" i="40"/>
  <c r="R390" i="40"/>
  <c r="R391" i="40"/>
  <c r="R392" i="40"/>
  <c r="R393" i="40"/>
  <c r="R394" i="40"/>
  <c r="R395" i="40"/>
  <c r="R396" i="40"/>
  <c r="R397" i="40"/>
  <c r="R398" i="40"/>
  <c r="R399" i="40"/>
  <c r="R400" i="40"/>
  <c r="R401" i="40"/>
  <c r="R402" i="40"/>
  <c r="R403" i="40"/>
  <c r="R404" i="40"/>
  <c r="R405" i="40"/>
  <c r="R406" i="40"/>
  <c r="R407" i="40"/>
  <c r="R408" i="40"/>
  <c r="R409" i="40"/>
  <c r="R410" i="40"/>
  <c r="R411" i="40"/>
  <c r="R412" i="40"/>
  <c r="R413" i="40"/>
  <c r="R414" i="40"/>
  <c r="R415" i="40"/>
  <c r="R416" i="40"/>
  <c r="R417" i="40"/>
  <c r="R418" i="40"/>
  <c r="R419" i="40"/>
  <c r="R420" i="40"/>
  <c r="R421" i="40"/>
  <c r="R422" i="40"/>
  <c r="R423" i="40"/>
  <c r="R424" i="40"/>
  <c r="R425" i="40"/>
  <c r="R426" i="40"/>
  <c r="R427" i="40"/>
  <c r="R428" i="40"/>
  <c r="R429" i="40"/>
  <c r="R430" i="40"/>
  <c r="R431" i="40"/>
  <c r="R432" i="40"/>
  <c r="R433" i="40"/>
  <c r="R434" i="40"/>
  <c r="R435" i="40"/>
  <c r="R436" i="40"/>
  <c r="R437" i="40"/>
  <c r="R438" i="40"/>
  <c r="R439" i="40"/>
  <c r="R440" i="40"/>
  <c r="R441" i="40"/>
  <c r="R442" i="40"/>
  <c r="R443" i="40"/>
  <c r="R444" i="40"/>
  <c r="R445" i="40"/>
  <c r="R446" i="40"/>
  <c r="R447" i="40"/>
  <c r="R448" i="40"/>
  <c r="R449" i="40"/>
  <c r="R450" i="40"/>
  <c r="R451" i="40"/>
  <c r="R452" i="40"/>
  <c r="R453" i="40"/>
  <c r="R454" i="40"/>
  <c r="R455" i="40"/>
  <c r="R456" i="40"/>
  <c r="R457" i="40"/>
  <c r="R458" i="40"/>
  <c r="R459" i="40"/>
  <c r="R460" i="40"/>
  <c r="R461" i="40"/>
  <c r="R462" i="40"/>
  <c r="R463" i="40"/>
  <c r="R464" i="40"/>
  <c r="R465" i="40"/>
  <c r="R466" i="40"/>
  <c r="R467" i="40"/>
  <c r="R468" i="40"/>
  <c r="R469" i="40"/>
  <c r="R470" i="40"/>
  <c r="R471" i="40"/>
  <c r="R472" i="40"/>
  <c r="R473" i="40"/>
  <c r="R474" i="40"/>
  <c r="R475" i="40"/>
  <c r="R476" i="40"/>
  <c r="R477" i="40"/>
  <c r="R478" i="40"/>
  <c r="R479" i="40"/>
  <c r="R480" i="40"/>
  <c r="R481" i="40"/>
  <c r="R482" i="40"/>
  <c r="R483" i="40"/>
  <c r="R484" i="40"/>
  <c r="R485" i="40"/>
  <c r="R486" i="40"/>
  <c r="R487" i="40"/>
  <c r="R488" i="40"/>
  <c r="R489" i="40"/>
  <c r="R490" i="40"/>
  <c r="R491" i="40"/>
  <c r="R492" i="40"/>
  <c r="R493" i="40"/>
  <c r="R494" i="40"/>
  <c r="R495" i="40"/>
  <c r="R496" i="40"/>
  <c r="R497" i="40"/>
  <c r="R498" i="40"/>
  <c r="R499" i="40"/>
  <c r="R500" i="40"/>
  <c r="R501" i="40"/>
  <c r="R502" i="40"/>
  <c r="R503" i="40"/>
  <c r="R504" i="40"/>
  <c r="R505" i="40"/>
  <c r="R506" i="40"/>
  <c r="R507" i="40"/>
  <c r="R508" i="40"/>
  <c r="R509" i="40"/>
  <c r="R510" i="40"/>
  <c r="R511" i="40"/>
  <c r="R512" i="40"/>
  <c r="R513" i="40"/>
  <c r="R514" i="40"/>
  <c r="R515" i="40"/>
  <c r="R516" i="40"/>
  <c r="R517" i="40"/>
  <c r="R518" i="40"/>
  <c r="R519" i="40"/>
  <c r="R520" i="40"/>
  <c r="R521" i="40"/>
  <c r="R522" i="40"/>
  <c r="R523" i="40"/>
  <c r="R524" i="40"/>
  <c r="R525" i="40"/>
  <c r="R526" i="40"/>
  <c r="R527" i="40"/>
  <c r="R528" i="40"/>
  <c r="R529" i="40"/>
  <c r="R530" i="40"/>
  <c r="R531" i="40"/>
  <c r="R532" i="40"/>
  <c r="R533" i="40"/>
  <c r="R534" i="40"/>
  <c r="R535" i="40"/>
  <c r="R536" i="40"/>
  <c r="R537" i="40"/>
  <c r="R538" i="40"/>
  <c r="R539" i="40"/>
  <c r="R540" i="40"/>
  <c r="R541" i="40"/>
  <c r="R542" i="40"/>
  <c r="R543" i="40"/>
  <c r="R544" i="40"/>
  <c r="R545" i="40"/>
  <c r="R546" i="40"/>
  <c r="R547" i="40"/>
  <c r="R548" i="40"/>
  <c r="R549" i="40"/>
  <c r="R550" i="40"/>
  <c r="R551" i="40"/>
  <c r="R552" i="40"/>
  <c r="R553" i="40"/>
  <c r="R554" i="40"/>
  <c r="R555" i="40"/>
  <c r="R556" i="40"/>
  <c r="R557" i="40"/>
  <c r="R558" i="40"/>
  <c r="R559" i="40"/>
  <c r="R560" i="40"/>
  <c r="R561" i="40"/>
  <c r="R562" i="40"/>
  <c r="R563" i="40"/>
  <c r="R564" i="40"/>
  <c r="R565" i="40"/>
  <c r="R566" i="40"/>
  <c r="R567" i="40"/>
  <c r="R568" i="40"/>
  <c r="R569" i="40"/>
  <c r="R570" i="40"/>
  <c r="R571" i="40"/>
  <c r="R572" i="40"/>
  <c r="R573" i="40"/>
  <c r="R574" i="40"/>
  <c r="R575" i="40"/>
  <c r="R576" i="40"/>
  <c r="R577" i="40"/>
  <c r="R578" i="40"/>
  <c r="R579" i="40"/>
  <c r="R580" i="40"/>
  <c r="R581" i="40"/>
  <c r="R582" i="40"/>
  <c r="R583" i="40"/>
  <c r="R584" i="40"/>
  <c r="R585" i="40"/>
  <c r="R586" i="40"/>
  <c r="R587" i="40"/>
  <c r="R588" i="40"/>
  <c r="R589" i="40"/>
  <c r="R590" i="40"/>
  <c r="R591" i="40"/>
  <c r="R592" i="40"/>
  <c r="R593" i="40"/>
  <c r="R594" i="40"/>
  <c r="R595" i="40"/>
  <c r="R596" i="40"/>
  <c r="R597" i="40"/>
  <c r="R598" i="40"/>
  <c r="R599" i="40"/>
  <c r="R600" i="40"/>
  <c r="R601" i="40"/>
  <c r="R602" i="40"/>
  <c r="R603" i="40"/>
  <c r="R604" i="40"/>
  <c r="R605" i="40"/>
  <c r="R606" i="40"/>
  <c r="R607" i="40"/>
  <c r="R608" i="40"/>
  <c r="R609" i="40"/>
  <c r="R610" i="40"/>
  <c r="R611" i="40"/>
  <c r="R612" i="40"/>
  <c r="R613" i="40"/>
  <c r="R614" i="40"/>
  <c r="R615" i="40"/>
  <c r="R616" i="40"/>
  <c r="R617" i="40"/>
  <c r="R618" i="40"/>
  <c r="R619" i="40"/>
  <c r="R620" i="40"/>
  <c r="R621" i="40"/>
  <c r="R622" i="40"/>
  <c r="R623" i="40"/>
  <c r="R624" i="40"/>
  <c r="R625" i="40"/>
  <c r="R626" i="40"/>
  <c r="R627" i="40"/>
  <c r="R628" i="40"/>
  <c r="R629" i="40"/>
  <c r="R630" i="40"/>
  <c r="R631" i="40"/>
  <c r="R632" i="40"/>
  <c r="R633" i="40"/>
  <c r="R634" i="40"/>
  <c r="R635" i="40"/>
  <c r="R636" i="40"/>
  <c r="R637" i="40"/>
  <c r="R638" i="40"/>
  <c r="R639" i="40"/>
  <c r="R640" i="40"/>
  <c r="R641" i="40"/>
  <c r="R642" i="40"/>
  <c r="R643" i="40"/>
  <c r="R644" i="40"/>
  <c r="R645" i="40"/>
  <c r="R646" i="40"/>
  <c r="R647" i="40"/>
  <c r="R648" i="40"/>
  <c r="R649" i="40"/>
  <c r="R650" i="40"/>
  <c r="R651" i="40"/>
  <c r="R652" i="40"/>
  <c r="R653" i="40"/>
  <c r="R654" i="40"/>
  <c r="R655" i="40"/>
  <c r="R656" i="40"/>
  <c r="R657" i="40"/>
  <c r="R658" i="40"/>
  <c r="R659" i="40"/>
  <c r="R660" i="40"/>
  <c r="R661" i="40"/>
  <c r="R662" i="40"/>
  <c r="R663" i="40"/>
  <c r="R664" i="40"/>
  <c r="R665" i="40"/>
  <c r="R666" i="40"/>
  <c r="R667" i="40"/>
  <c r="R668" i="40"/>
  <c r="R669" i="40"/>
  <c r="R670" i="40"/>
  <c r="R671" i="40"/>
  <c r="R672" i="40"/>
  <c r="R673" i="40"/>
  <c r="R674" i="40"/>
  <c r="R675" i="40"/>
  <c r="R676" i="40"/>
  <c r="R677" i="40"/>
  <c r="R678" i="40"/>
  <c r="R679" i="40"/>
  <c r="R680" i="40"/>
  <c r="R681" i="40"/>
  <c r="R682" i="40"/>
  <c r="R683" i="40"/>
  <c r="R684" i="40"/>
  <c r="R685" i="40"/>
  <c r="R686" i="40"/>
  <c r="R687" i="40"/>
  <c r="R688" i="40"/>
  <c r="R689" i="40"/>
  <c r="R690" i="40"/>
  <c r="R691" i="40"/>
  <c r="R692" i="40"/>
  <c r="R693" i="40"/>
  <c r="R694" i="40"/>
  <c r="R695" i="40"/>
  <c r="R696" i="40"/>
  <c r="R697" i="40"/>
  <c r="R698" i="40"/>
  <c r="R699" i="40"/>
  <c r="R700" i="40"/>
  <c r="R701" i="40"/>
  <c r="R702" i="40"/>
  <c r="R703" i="40"/>
  <c r="R704" i="40"/>
  <c r="R705" i="40"/>
  <c r="R706" i="40"/>
  <c r="R707" i="40"/>
  <c r="R708" i="40"/>
  <c r="R709" i="40"/>
  <c r="R710" i="40"/>
  <c r="R711" i="40"/>
  <c r="R712" i="40"/>
  <c r="R713" i="40"/>
  <c r="R714" i="40"/>
  <c r="R715" i="40"/>
  <c r="R716" i="40"/>
  <c r="R717" i="40"/>
  <c r="R718" i="40"/>
  <c r="R719" i="40"/>
  <c r="R720" i="40"/>
  <c r="R721" i="40"/>
  <c r="R722" i="40"/>
  <c r="R723" i="40"/>
  <c r="R724" i="40"/>
  <c r="R725" i="40"/>
  <c r="R726" i="40"/>
  <c r="R727" i="40"/>
  <c r="R728" i="40"/>
  <c r="R729" i="40"/>
  <c r="R730" i="40"/>
  <c r="R731" i="40"/>
  <c r="R732" i="40"/>
  <c r="R733" i="40"/>
  <c r="R734" i="40"/>
  <c r="R735" i="40"/>
  <c r="R736" i="40"/>
  <c r="R737" i="40"/>
  <c r="R738" i="40"/>
  <c r="R739" i="40"/>
  <c r="R740" i="40"/>
  <c r="R741" i="40"/>
  <c r="R742" i="40"/>
  <c r="R743" i="40"/>
  <c r="R744" i="40"/>
  <c r="R745" i="40"/>
  <c r="R746" i="40"/>
  <c r="R747" i="40"/>
  <c r="R748" i="40"/>
  <c r="R749" i="40"/>
  <c r="R750" i="40"/>
  <c r="R751" i="40"/>
  <c r="R752" i="40"/>
  <c r="R753" i="40"/>
  <c r="R754" i="40"/>
  <c r="R755" i="40"/>
  <c r="R756" i="40"/>
  <c r="R757" i="40"/>
  <c r="R758" i="40"/>
  <c r="R759" i="40"/>
  <c r="R760" i="40"/>
  <c r="R761" i="40"/>
  <c r="R762" i="40"/>
  <c r="R763" i="40"/>
  <c r="R764" i="40"/>
  <c r="R765" i="40"/>
  <c r="R766" i="40"/>
  <c r="R767" i="40"/>
  <c r="R768" i="40"/>
  <c r="R769" i="40"/>
  <c r="R770" i="40"/>
  <c r="R771" i="40"/>
  <c r="R772" i="40"/>
  <c r="R773" i="40"/>
  <c r="R774" i="40"/>
  <c r="R775" i="40"/>
  <c r="R776" i="40"/>
  <c r="R777" i="40"/>
  <c r="R778" i="40"/>
  <c r="R779" i="40"/>
  <c r="R780" i="40"/>
  <c r="R781" i="40"/>
  <c r="R782" i="40"/>
  <c r="R783" i="40"/>
  <c r="R784" i="40"/>
  <c r="R785" i="40"/>
  <c r="R786" i="40"/>
  <c r="R787" i="40"/>
  <c r="R788" i="40"/>
  <c r="R789" i="40"/>
  <c r="R790" i="40"/>
  <c r="R791" i="40"/>
  <c r="R792" i="40"/>
  <c r="R793" i="40"/>
  <c r="R794" i="40"/>
  <c r="R795" i="40"/>
  <c r="R796" i="40"/>
  <c r="R797" i="40"/>
  <c r="R798" i="40"/>
  <c r="R799" i="40"/>
  <c r="R800" i="40"/>
  <c r="R801" i="40"/>
  <c r="R802" i="40"/>
  <c r="R803" i="40"/>
  <c r="R804" i="40"/>
  <c r="R805" i="40"/>
  <c r="R806" i="40"/>
  <c r="R807" i="40"/>
  <c r="R808" i="40"/>
  <c r="R809" i="40"/>
  <c r="R810" i="40"/>
  <c r="R811" i="40"/>
  <c r="R812" i="40"/>
  <c r="R813" i="40"/>
  <c r="R814" i="40"/>
  <c r="R815" i="40"/>
  <c r="R816" i="40"/>
  <c r="R817" i="40"/>
  <c r="R818" i="40"/>
  <c r="R819" i="40"/>
  <c r="R820" i="40"/>
  <c r="R821" i="40"/>
  <c r="R822" i="40"/>
  <c r="R823" i="40"/>
  <c r="R824" i="40"/>
  <c r="R825" i="40"/>
  <c r="R826" i="40"/>
  <c r="R827" i="40"/>
  <c r="R828" i="40"/>
  <c r="R829" i="40"/>
  <c r="R830" i="40"/>
  <c r="R831" i="40"/>
  <c r="R832" i="40"/>
  <c r="R833" i="40"/>
  <c r="R834" i="40"/>
  <c r="R835" i="40"/>
  <c r="R836" i="40"/>
  <c r="R837" i="40"/>
  <c r="R838" i="40"/>
  <c r="R839" i="40"/>
  <c r="R840" i="40"/>
  <c r="R841" i="40"/>
  <c r="R842" i="40"/>
  <c r="R843" i="40"/>
  <c r="R844" i="40"/>
  <c r="R845" i="40"/>
  <c r="R846" i="40"/>
  <c r="R847" i="40"/>
  <c r="R848" i="40"/>
  <c r="R849" i="40"/>
  <c r="R850" i="40"/>
  <c r="R851" i="40"/>
  <c r="R852" i="40"/>
  <c r="R853" i="40"/>
  <c r="R854" i="40"/>
  <c r="R855" i="40"/>
  <c r="R856" i="40"/>
  <c r="R857" i="40"/>
  <c r="R858" i="40"/>
  <c r="R859" i="40"/>
  <c r="R860" i="40"/>
  <c r="R861" i="40"/>
  <c r="R862" i="40"/>
  <c r="R863" i="40"/>
  <c r="R864" i="40"/>
  <c r="R865" i="40"/>
  <c r="R866" i="40"/>
  <c r="R867" i="40"/>
  <c r="R868" i="40"/>
  <c r="R869" i="40"/>
  <c r="R870" i="40"/>
  <c r="R871" i="40"/>
  <c r="R872" i="40"/>
  <c r="R873" i="40"/>
  <c r="R874" i="40"/>
  <c r="R875" i="40"/>
  <c r="R876" i="40"/>
  <c r="R877" i="40"/>
  <c r="R878" i="40"/>
  <c r="R879" i="40"/>
  <c r="R880" i="40"/>
  <c r="R881" i="40"/>
  <c r="R882" i="40"/>
  <c r="R883" i="40"/>
  <c r="R884" i="40"/>
  <c r="R885" i="40"/>
  <c r="R886" i="40"/>
  <c r="R887" i="40"/>
  <c r="R888" i="40"/>
  <c r="R889" i="40"/>
  <c r="R890" i="40"/>
  <c r="R891" i="40"/>
  <c r="R892" i="40"/>
  <c r="R893" i="40"/>
  <c r="R894" i="40"/>
  <c r="R895" i="40"/>
  <c r="R896" i="40"/>
  <c r="R897" i="40"/>
  <c r="R898" i="40"/>
  <c r="R899" i="40"/>
  <c r="R900" i="40"/>
  <c r="R901" i="40"/>
  <c r="R902" i="40"/>
  <c r="R903" i="40"/>
  <c r="R904" i="40"/>
  <c r="R905" i="40"/>
  <c r="R906" i="40"/>
  <c r="R907" i="40"/>
  <c r="R908" i="40"/>
  <c r="R909" i="40"/>
  <c r="R910" i="40"/>
  <c r="R911" i="40"/>
  <c r="R912" i="40"/>
  <c r="R913" i="40"/>
  <c r="R914" i="40"/>
  <c r="R915" i="40"/>
  <c r="R916" i="40"/>
  <c r="R917" i="40"/>
  <c r="R918" i="40"/>
  <c r="R919" i="40"/>
  <c r="R920" i="40"/>
  <c r="R921" i="40"/>
  <c r="R922" i="40"/>
  <c r="R923" i="40"/>
  <c r="R924" i="40"/>
  <c r="R925" i="40"/>
  <c r="R926" i="40"/>
  <c r="R927" i="40"/>
  <c r="R928" i="40"/>
  <c r="R929" i="40"/>
  <c r="R930" i="40"/>
  <c r="R931" i="40"/>
  <c r="R932" i="40"/>
  <c r="R933" i="40"/>
  <c r="R934" i="40"/>
  <c r="R935" i="40"/>
  <c r="R936" i="40"/>
  <c r="R937" i="40"/>
  <c r="R938" i="40"/>
  <c r="R939" i="40"/>
  <c r="R940" i="40"/>
  <c r="R941" i="40"/>
  <c r="R942" i="40"/>
  <c r="R943" i="40"/>
  <c r="R944" i="40"/>
  <c r="R945" i="40"/>
  <c r="R946" i="40"/>
  <c r="R947" i="40"/>
  <c r="R948" i="40"/>
  <c r="R949" i="40"/>
  <c r="R950" i="40"/>
  <c r="R951" i="40"/>
  <c r="R952" i="40"/>
  <c r="R953" i="40"/>
  <c r="R954" i="40"/>
  <c r="R955" i="40"/>
  <c r="R956" i="40"/>
  <c r="R957" i="40"/>
  <c r="R958" i="40"/>
  <c r="R959" i="40"/>
  <c r="R960" i="40"/>
  <c r="R961" i="40"/>
  <c r="R962" i="40"/>
  <c r="R963" i="40"/>
  <c r="R964" i="40"/>
  <c r="R965" i="40"/>
  <c r="R966" i="40"/>
  <c r="R967" i="40"/>
  <c r="R968" i="40"/>
  <c r="R969" i="40"/>
  <c r="R970" i="40"/>
  <c r="R971" i="40"/>
  <c r="R972" i="40"/>
  <c r="R973" i="40"/>
  <c r="R974" i="40"/>
  <c r="R975" i="40"/>
  <c r="R976" i="40"/>
  <c r="R977" i="40"/>
  <c r="R978" i="40"/>
  <c r="R979" i="40"/>
  <c r="R980" i="40"/>
  <c r="R981" i="40"/>
  <c r="R982" i="40"/>
  <c r="R983" i="40"/>
  <c r="R984" i="40"/>
  <c r="R985" i="40"/>
  <c r="R986" i="40"/>
  <c r="R987" i="40"/>
  <c r="R988" i="40"/>
  <c r="R989" i="40"/>
  <c r="R990" i="40"/>
  <c r="R991" i="40"/>
  <c r="R992" i="40"/>
  <c r="R993" i="40"/>
  <c r="R994" i="40"/>
  <c r="R995" i="40"/>
  <c r="R996" i="40"/>
  <c r="R997" i="40"/>
  <c r="R998" i="40"/>
  <c r="R999" i="40"/>
  <c r="R1000" i="40"/>
  <c r="R1001" i="40"/>
  <c r="R1002" i="40"/>
  <c r="R1003" i="40"/>
  <c r="R1004" i="40"/>
  <c r="R1005" i="40"/>
  <c r="R1006" i="40"/>
  <c r="R1007" i="40"/>
  <c r="R1008" i="40"/>
  <c r="G384" i="44"/>
  <c r="G385" i="44"/>
  <c r="G386" i="44"/>
  <c r="G387" i="44"/>
  <c r="G388" i="44"/>
  <c r="H3" i="43"/>
  <c r="H4" i="43"/>
  <c r="H5" i="43"/>
  <c r="H6" i="43"/>
  <c r="H7" i="43"/>
  <c r="H8" i="43"/>
  <c r="H9" i="43"/>
  <c r="H10" i="43"/>
  <c r="H11" i="43"/>
  <c r="H12" i="43"/>
  <c r="H13" i="43"/>
  <c r="H14" i="43"/>
  <c r="H15" i="43"/>
  <c r="H16" i="43"/>
  <c r="H17" i="43"/>
  <c r="E61" i="55"/>
  <c r="F61" i="55" s="1"/>
  <c r="D53" i="55"/>
  <c r="E53" i="55"/>
  <c r="F53" i="55"/>
  <c r="G53" i="55"/>
  <c r="H53" i="55"/>
  <c r="I53" i="55"/>
  <c r="J53" i="55"/>
  <c r="K53" i="55"/>
  <c r="L53" i="55"/>
  <c r="C53" i="55"/>
  <c r="D52" i="55"/>
  <c r="E52" i="55"/>
  <c r="F52" i="55"/>
  <c r="G52" i="55"/>
  <c r="H52" i="55"/>
  <c r="I52" i="55"/>
  <c r="J52" i="55"/>
  <c r="K52" i="55"/>
  <c r="L52" i="55"/>
  <c r="C52" i="55"/>
  <c r="D50" i="55"/>
  <c r="E50" i="55"/>
  <c r="E60" i="55" s="1"/>
  <c r="F50" i="55"/>
  <c r="G50" i="55"/>
  <c r="H50" i="55"/>
  <c r="C50" i="55"/>
  <c r="D49" i="55"/>
  <c r="E49" i="55"/>
  <c r="F49" i="55"/>
  <c r="G49" i="55"/>
  <c r="H49" i="55"/>
  <c r="I49" i="55"/>
  <c r="J49" i="55"/>
  <c r="K49" i="55"/>
  <c r="L49" i="55"/>
  <c r="C49" i="55"/>
  <c r="D48" i="55"/>
  <c r="E48" i="55"/>
  <c r="F48" i="55"/>
  <c r="G48" i="55"/>
  <c r="H48" i="55"/>
  <c r="I48" i="55"/>
  <c r="J48" i="55"/>
  <c r="K48" i="55"/>
  <c r="L48" i="55"/>
  <c r="C48" i="55"/>
  <c r="D357" i="64" l="1"/>
  <c r="B357" i="65" s="1"/>
  <c r="D351" i="64"/>
  <c r="B351" i="65" s="1"/>
  <c r="D356" i="64"/>
  <c r="B356" i="65" s="1"/>
  <c r="D350" i="64"/>
  <c r="B350" i="65" s="1"/>
  <c r="D361" i="64"/>
  <c r="B361" i="65" s="1"/>
  <c r="D355" i="64"/>
  <c r="B355" i="65" s="1"/>
  <c r="D360" i="64"/>
  <c r="B360" i="65" s="1"/>
  <c r="D354" i="64"/>
  <c r="B354" i="65" s="1"/>
  <c r="D359" i="64"/>
  <c r="B359" i="65" s="1"/>
  <c r="D353" i="64"/>
  <c r="B353" i="65" s="1"/>
  <c r="D358" i="64"/>
  <c r="B358" i="65" s="1"/>
  <c r="D352" i="64"/>
  <c r="B352" i="65" s="1"/>
  <c r="C32" i="55"/>
  <c r="C31" i="55"/>
  <c r="C30" i="55"/>
  <c r="C29" i="55"/>
  <c r="C28" i="55"/>
  <c r="C50" i="60"/>
  <c r="C27" i="55"/>
  <c r="C66" i="59"/>
  <c r="G21" i="55"/>
  <c r="C21" i="55" s="1"/>
  <c r="G20" i="55"/>
  <c r="C20" i="55" s="1"/>
  <c r="G19" i="55"/>
  <c r="C19" i="55" s="1"/>
  <c r="G18" i="55"/>
  <c r="C18" i="55" s="1"/>
  <c r="G17" i="55"/>
  <c r="C17" i="55" s="1"/>
  <c r="G16" i="55"/>
  <c r="C10" i="55"/>
  <c r="C9" i="55"/>
  <c r="C8" i="55"/>
  <c r="C7" i="55"/>
  <c r="C6" i="55"/>
  <c r="C5" i="55"/>
  <c r="C11" i="55" l="1"/>
  <c r="D60" i="55"/>
  <c r="F60" i="55" s="1"/>
  <c r="C40" i="55"/>
  <c r="C42" i="55"/>
  <c r="C41" i="55"/>
  <c r="C43" i="55"/>
  <c r="C63" i="59" l="1"/>
  <c r="J50" i="55"/>
  <c r="I50" i="55"/>
  <c r="L34" i="70"/>
  <c r="K34" i="70"/>
  <c r="L23" i="71" l="1"/>
  <c r="K23" i="71"/>
  <c r="J23" i="71"/>
  <c r="I23" i="71"/>
  <c r="H23" i="71"/>
  <c r="G23" i="71"/>
  <c r="F23" i="71"/>
  <c r="E23" i="71"/>
  <c r="D23" i="71"/>
  <c r="C23" i="71"/>
  <c r="I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2" i="21"/>
  <c r="E170" i="21"/>
  <c r="E172" i="21" s="1"/>
  <c r="B166" i="21"/>
  <c r="E161" i="21"/>
  <c r="E163" i="21" s="1"/>
  <c r="B157" i="21"/>
  <c r="E154" i="21"/>
  <c r="E152" i="21"/>
  <c r="B148" i="21"/>
  <c r="E143" i="21"/>
  <c r="E145" i="21" s="1"/>
  <c r="B139" i="21"/>
  <c r="E136" i="21"/>
  <c r="E134" i="21"/>
  <c r="B130" i="21"/>
  <c r="E125" i="21"/>
  <c r="E127" i="21" s="1"/>
  <c r="B120" i="21"/>
  <c r="E117" i="21"/>
  <c r="E115" i="21"/>
  <c r="B107" i="21"/>
  <c r="E102" i="21"/>
  <c r="E104" i="21" s="1"/>
  <c r="B98" i="21"/>
  <c r="E95" i="21"/>
  <c r="E93" i="21"/>
  <c r="B88" i="21"/>
  <c r="E83" i="21"/>
  <c r="E85" i="21" s="1"/>
  <c r="B78" i="21"/>
  <c r="E75" i="21"/>
  <c r="E73" i="21"/>
  <c r="B69" i="21"/>
  <c r="E64" i="21"/>
  <c r="B60" i="21"/>
  <c r="E57" i="21"/>
  <c r="E55" i="21"/>
  <c r="B50" i="21"/>
  <c r="E47" i="21"/>
  <c r="E45" i="21"/>
  <c r="B40" i="21"/>
  <c r="E37" i="21"/>
  <c r="J3" i="21" s="1"/>
  <c r="B31" i="21"/>
  <c r="E28" i="21"/>
  <c r="M17" i="21"/>
  <c r="L17" i="21"/>
  <c r="K17" i="21"/>
  <c r="F17" i="21"/>
  <c r="G17" i="21" s="1"/>
  <c r="M16" i="21"/>
  <c r="L16" i="21"/>
  <c r="K16" i="21"/>
  <c r="F16" i="21"/>
  <c r="G16" i="21" s="1"/>
  <c r="K15" i="21"/>
  <c r="J15" i="21"/>
  <c r="I15" i="21"/>
  <c r="F15" i="21"/>
  <c r="E15" i="21"/>
  <c r="L15" i="21" s="1"/>
  <c r="D15" i="21"/>
  <c r="C15" i="21"/>
  <c r="F14" i="21"/>
  <c r="E14" i="21"/>
  <c r="M14" i="21" s="1"/>
  <c r="D14" i="21"/>
  <c r="L14" i="21" s="1"/>
  <c r="C14" i="21"/>
  <c r="G14" i="21" s="1"/>
  <c r="J13" i="21"/>
  <c r="I13" i="21"/>
  <c r="F13" i="21"/>
  <c r="E13" i="21"/>
  <c r="M13" i="21" s="1"/>
  <c r="D13" i="21"/>
  <c r="L13" i="21" s="1"/>
  <c r="C13" i="21"/>
  <c r="G13" i="21" s="1"/>
  <c r="F12" i="21"/>
  <c r="E12" i="21"/>
  <c r="D12" i="21"/>
  <c r="L12" i="21" s="1"/>
  <c r="C12" i="21"/>
  <c r="M12" i="21" s="1"/>
  <c r="M11" i="21"/>
  <c r="J11" i="21"/>
  <c r="I11" i="21"/>
  <c r="G11" i="21"/>
  <c r="F11" i="21"/>
  <c r="E11" i="21"/>
  <c r="D11" i="21"/>
  <c r="C11" i="21"/>
  <c r="L11" i="21" s="1"/>
  <c r="E10" i="21"/>
  <c r="G10" i="21" s="1"/>
  <c r="D10" i="21"/>
  <c r="K10" i="21" s="1"/>
  <c r="C10" i="21"/>
  <c r="J9" i="21"/>
  <c r="I9" i="21"/>
  <c r="F9" i="21"/>
  <c r="E9" i="21"/>
  <c r="M9" i="21" s="1"/>
  <c r="D9" i="21"/>
  <c r="L9" i="21" s="1"/>
  <c r="C9" i="21"/>
  <c r="G9" i="21" s="1"/>
  <c r="M8" i="21"/>
  <c r="L8" i="21"/>
  <c r="K8" i="21"/>
  <c r="G8" i="21"/>
  <c r="F8" i="21"/>
  <c r="F7" i="21"/>
  <c r="E7" i="21"/>
  <c r="M7" i="21" s="1"/>
  <c r="D7" i="21"/>
  <c r="L7" i="21" s="1"/>
  <c r="C7" i="21"/>
  <c r="G7" i="21" s="1"/>
  <c r="J6" i="21"/>
  <c r="I6" i="21"/>
  <c r="F6" i="21"/>
  <c r="E6" i="21"/>
  <c r="M6" i="21" s="1"/>
  <c r="D6" i="21"/>
  <c r="L6" i="21" s="1"/>
  <c r="C6" i="21"/>
  <c r="G6" i="21" s="1"/>
  <c r="M5" i="21"/>
  <c r="L5" i="21"/>
  <c r="K5" i="21"/>
  <c r="F5" i="21"/>
  <c r="G5" i="21" s="1"/>
  <c r="M4" i="21"/>
  <c r="J4" i="21"/>
  <c r="I4" i="21"/>
  <c r="G4" i="21"/>
  <c r="F4" i="21"/>
  <c r="E4" i="21"/>
  <c r="D4" i="21"/>
  <c r="L4" i="21" s="1"/>
  <c r="F3" i="21"/>
  <c r="E3" i="21"/>
  <c r="M3" i="21" s="1"/>
  <c r="D3" i="21"/>
  <c r="C3" i="21"/>
  <c r="J2" i="21"/>
  <c r="F2" i="21"/>
  <c r="E2" i="21"/>
  <c r="M2" i="21" s="1"/>
  <c r="D2" i="21"/>
  <c r="L2" i="21" s="1"/>
  <c r="C2" i="21"/>
  <c r="I14" i="21" l="1"/>
  <c r="J14" i="21"/>
  <c r="J10" i="21"/>
  <c r="I10" i="21"/>
  <c r="J7" i="21"/>
  <c r="I7" i="21"/>
  <c r="J12" i="21"/>
  <c r="I12" i="21"/>
  <c r="M10" i="21"/>
  <c r="M15" i="21"/>
  <c r="G2" i="21"/>
  <c r="K6" i="21"/>
  <c r="K12" i="21"/>
  <c r="L10" i="21"/>
  <c r="L3" i="21"/>
  <c r="K9" i="21"/>
  <c r="G3" i="21"/>
  <c r="K7" i="21"/>
  <c r="K13" i="21"/>
  <c r="G15" i="21"/>
  <c r="I3" i="21"/>
  <c r="K4" i="21"/>
  <c r="K11" i="21"/>
  <c r="K3" i="21"/>
  <c r="K2" i="21"/>
  <c r="K14" i="21"/>
  <c r="G12" i="21"/>
  <c r="G18" i="21" l="1"/>
  <c r="H18" i="21" s="1"/>
  <c r="G22" i="21" l="1"/>
  <c r="H22" i="21"/>
  <c r="J22" i="21" l="1"/>
  <c r="A2" i="8" s="1"/>
  <c r="L22" i="21"/>
  <c r="C2" i="8" s="1"/>
  <c r="K22" i="21"/>
  <c r="B2" i="8" s="1"/>
  <c r="D2" i="8" l="1"/>
  <c r="H43" i="40" l="1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C2" i="15" l="1"/>
  <c r="A2" i="15"/>
  <c r="U3" i="23"/>
  <c r="U4" i="23"/>
  <c r="B2" i="14"/>
  <c r="H77" i="23"/>
  <c r="O52" i="23"/>
  <c r="N24" i="23"/>
  <c r="N11" i="23"/>
  <c r="N5" i="23"/>
  <c r="K65" i="23"/>
  <c r="K67" i="23"/>
  <c r="K69" i="23"/>
  <c r="K47" i="23"/>
  <c r="K48" i="23"/>
  <c r="K49" i="23"/>
  <c r="K45" i="23"/>
  <c r="I46" i="23"/>
  <c r="N46" i="23" s="1"/>
  <c r="Q5" i="23" s="1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O46" i="23" s="1"/>
  <c r="I70" i="23"/>
  <c r="I71" i="23"/>
  <c r="I72" i="23"/>
  <c r="I73" i="23"/>
  <c r="I74" i="23"/>
  <c r="I75" i="23"/>
  <c r="I76" i="23"/>
  <c r="I45" i="23"/>
  <c r="M46" i="23" s="1"/>
  <c r="J46" i="23"/>
  <c r="N52" i="23" s="1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45" i="23"/>
  <c r="M52" i="23" s="1"/>
  <c r="I18" i="23"/>
  <c r="I19" i="23"/>
  <c r="I20" i="23"/>
  <c r="I21" i="23"/>
  <c r="I22" i="23"/>
  <c r="I23" i="23"/>
  <c r="I24" i="23"/>
  <c r="I25" i="23"/>
  <c r="I26" i="23"/>
  <c r="I27" i="23"/>
  <c r="I28" i="23"/>
  <c r="L18" i="23" s="1"/>
  <c r="I29" i="23"/>
  <c r="I30" i="23"/>
  <c r="I31" i="23"/>
  <c r="I32" i="23"/>
  <c r="N18" i="23" s="1"/>
  <c r="I33" i="23"/>
  <c r="I34" i="23"/>
  <c r="I35" i="23"/>
  <c r="I36" i="23"/>
  <c r="I37" i="23"/>
  <c r="I38" i="23"/>
  <c r="I39" i="23"/>
  <c r="I17" i="23"/>
  <c r="M18" i="23" s="1"/>
  <c r="J18" i="23"/>
  <c r="J19" i="23"/>
  <c r="J20" i="23"/>
  <c r="J21" i="23"/>
  <c r="J22" i="23"/>
  <c r="J23" i="23"/>
  <c r="J24" i="23"/>
  <c r="J25" i="23"/>
  <c r="J26" i="23"/>
  <c r="J27" i="23"/>
  <c r="J28" i="23"/>
  <c r="L24" i="23" s="1"/>
  <c r="J29" i="23"/>
  <c r="J30" i="23"/>
  <c r="J31" i="23"/>
  <c r="J32" i="23"/>
  <c r="J33" i="23"/>
  <c r="J34" i="23"/>
  <c r="J35" i="23"/>
  <c r="J36" i="23"/>
  <c r="J37" i="23"/>
  <c r="J38" i="23"/>
  <c r="J39" i="23"/>
  <c r="J17" i="23"/>
  <c r="M24" i="23" s="1"/>
  <c r="I5" i="23"/>
  <c r="M5" i="23" s="1"/>
  <c r="I6" i="23"/>
  <c r="I7" i="23"/>
  <c r="I8" i="23"/>
  <c r="I9" i="23"/>
  <c r="I10" i="23"/>
  <c r="I11" i="23"/>
  <c r="I12" i="23"/>
  <c r="I4" i="23"/>
  <c r="L5" i="23" s="1"/>
  <c r="J5" i="23"/>
  <c r="M11" i="23" s="1"/>
  <c r="J6" i="23"/>
  <c r="J7" i="23"/>
  <c r="J8" i="23"/>
  <c r="J9" i="23"/>
  <c r="J10" i="23"/>
  <c r="J11" i="23"/>
  <c r="J12" i="23"/>
  <c r="J4" i="23"/>
  <c r="L11" i="23" s="1"/>
  <c r="D76" i="23"/>
  <c r="E76" i="23" s="1"/>
  <c r="K76" i="23" s="1"/>
  <c r="D45" i="23"/>
  <c r="D46" i="23"/>
  <c r="D47" i="23"/>
  <c r="D48" i="23"/>
  <c r="D49" i="23"/>
  <c r="D50" i="23"/>
  <c r="E50" i="23" s="1"/>
  <c r="K50" i="23" s="1"/>
  <c r="D51" i="23"/>
  <c r="D52" i="23"/>
  <c r="E52" i="23" s="1"/>
  <c r="K52" i="23" s="1"/>
  <c r="D53" i="23"/>
  <c r="E53" i="23" s="1"/>
  <c r="K53" i="23" s="1"/>
  <c r="D54" i="23"/>
  <c r="E54" i="23" s="1"/>
  <c r="K54" i="23" s="1"/>
  <c r="D55" i="23"/>
  <c r="D56" i="23"/>
  <c r="E56" i="23" s="1"/>
  <c r="K56" i="23" s="1"/>
  <c r="D57" i="23"/>
  <c r="D58" i="23"/>
  <c r="E58" i="23" s="1"/>
  <c r="K58" i="23" s="1"/>
  <c r="D59" i="23"/>
  <c r="E59" i="23" s="1"/>
  <c r="K59" i="23" s="1"/>
  <c r="D60" i="23"/>
  <c r="D61" i="23"/>
  <c r="D62" i="23"/>
  <c r="E62" i="23" s="1"/>
  <c r="K62" i="23" s="1"/>
  <c r="D63" i="23"/>
  <c r="D64" i="23"/>
  <c r="E64" i="23" s="1"/>
  <c r="K64" i="23" s="1"/>
  <c r="D65" i="23"/>
  <c r="D66" i="23"/>
  <c r="E66" i="23" s="1"/>
  <c r="K66" i="23" s="1"/>
  <c r="D67" i="23"/>
  <c r="D68" i="23"/>
  <c r="E68" i="23" s="1"/>
  <c r="K68" i="23" s="1"/>
  <c r="D69" i="23"/>
  <c r="D70" i="23"/>
  <c r="E70" i="23" s="1"/>
  <c r="K70" i="23" s="1"/>
  <c r="D71" i="23"/>
  <c r="E71" i="23" s="1"/>
  <c r="K71" i="23" s="1"/>
  <c r="D72" i="23"/>
  <c r="E72" i="23" s="1"/>
  <c r="K72" i="23" s="1"/>
  <c r="D73" i="23"/>
  <c r="D74" i="23"/>
  <c r="E74" i="23" s="1"/>
  <c r="K74" i="23" s="1"/>
  <c r="D75" i="23"/>
  <c r="E75" i="23" s="1"/>
  <c r="K75" i="23" s="1"/>
  <c r="D30" i="23"/>
  <c r="D31" i="23"/>
  <c r="E31" i="23" s="1"/>
  <c r="D32" i="23"/>
  <c r="D33" i="23"/>
  <c r="E33" i="23" s="1"/>
  <c r="D34" i="23"/>
  <c r="E34" i="23" s="1"/>
  <c r="D35" i="23"/>
  <c r="E35" i="23" s="1"/>
  <c r="D36" i="23"/>
  <c r="E36" i="23" s="1"/>
  <c r="D37" i="23"/>
  <c r="E37" i="23" s="1"/>
  <c r="D38" i="23"/>
  <c r="D39" i="23"/>
  <c r="E39" i="23" s="1"/>
  <c r="D17" i="23"/>
  <c r="D18" i="23"/>
  <c r="E18" i="23" s="1"/>
  <c r="D19" i="23"/>
  <c r="D20" i="23"/>
  <c r="E20" i="23" s="1"/>
  <c r="D21" i="23"/>
  <c r="E21" i="23" s="1"/>
  <c r="D22" i="23"/>
  <c r="D23" i="23"/>
  <c r="E23" i="23" s="1"/>
  <c r="D24" i="23"/>
  <c r="E24" i="23" s="1"/>
  <c r="D25" i="23"/>
  <c r="E25" i="23" s="1"/>
  <c r="D26" i="23"/>
  <c r="E26" i="23" s="1"/>
  <c r="D27" i="23"/>
  <c r="E27" i="23" s="1"/>
  <c r="D28" i="23"/>
  <c r="D29" i="23"/>
  <c r="E29" i="23" s="1"/>
  <c r="D4" i="23"/>
  <c r="D6" i="23"/>
  <c r="D7" i="23"/>
  <c r="D8" i="23"/>
  <c r="D9" i="23"/>
  <c r="E9" i="23" s="1"/>
  <c r="D10" i="23"/>
  <c r="E10" i="23" s="1"/>
  <c r="D11" i="23"/>
  <c r="E11" i="23" s="1"/>
  <c r="D12" i="23"/>
  <c r="E12" i="23" s="1"/>
  <c r="D5" i="23"/>
  <c r="E73" i="23"/>
  <c r="K73" i="23" s="1"/>
  <c r="E63" i="23"/>
  <c r="K63" i="23" s="1"/>
  <c r="E61" i="23"/>
  <c r="K61" i="23" s="1"/>
  <c r="E60" i="23"/>
  <c r="K60" i="23" s="1"/>
  <c r="E57" i="23"/>
  <c r="K57" i="23" s="1"/>
  <c r="E55" i="23"/>
  <c r="K55" i="23" s="1"/>
  <c r="E51" i="23"/>
  <c r="K51" i="23" s="1"/>
  <c r="H40" i="23"/>
  <c r="E38" i="23"/>
  <c r="E22" i="23"/>
  <c r="E19" i="23"/>
  <c r="H13" i="23"/>
  <c r="B2" i="17"/>
  <c r="J3" i="36"/>
  <c r="A110" i="2"/>
  <c r="A111" i="2"/>
  <c r="A112" i="2"/>
  <c r="A110" i="51"/>
  <c r="A111" i="51"/>
  <c r="A112" i="51"/>
  <c r="B111" i="3"/>
  <c r="B112" i="3"/>
  <c r="B113" i="3"/>
  <c r="B114" i="3"/>
  <c r="B115" i="3"/>
  <c r="B116" i="3"/>
  <c r="B117" i="3"/>
  <c r="B118" i="3"/>
  <c r="B119" i="3"/>
  <c r="B120" i="3"/>
  <c r="B121" i="3"/>
  <c r="B110" i="3"/>
  <c r="B108" i="4"/>
  <c r="B109" i="4"/>
  <c r="B110" i="4"/>
  <c r="B111" i="4"/>
  <c r="B112" i="4"/>
  <c r="B113" i="4"/>
  <c r="B114" i="4"/>
  <c r="B115" i="4"/>
  <c r="B116" i="4"/>
  <c r="B117" i="4"/>
  <c r="B118" i="4"/>
  <c r="B119" i="4"/>
  <c r="J235" i="32"/>
  <c r="J226" i="32"/>
  <c r="J227" i="32"/>
  <c r="J228" i="32"/>
  <c r="J229" i="32"/>
  <c r="J230" i="32"/>
  <c r="J231" i="32"/>
  <c r="J232" i="32"/>
  <c r="J233" i="32"/>
  <c r="J234" i="32"/>
  <c r="H18" i="43"/>
  <c r="A349" i="65"/>
  <c r="A242" i="65"/>
  <c r="A243" i="65"/>
  <c r="A244" i="65"/>
  <c r="A245" i="65"/>
  <c r="A246" i="65"/>
  <c r="A247" i="65"/>
  <c r="A248" i="65"/>
  <c r="A249" i="65"/>
  <c r="A250" i="65"/>
  <c r="A251" i="65"/>
  <c r="A252" i="65"/>
  <c r="A253" i="65"/>
  <c r="A254" i="65"/>
  <c r="A255" i="65"/>
  <c r="A256" i="65"/>
  <c r="A257" i="65"/>
  <c r="A258" i="65"/>
  <c r="A259" i="65"/>
  <c r="A260" i="65"/>
  <c r="A261" i="65"/>
  <c r="A262" i="65"/>
  <c r="A263" i="65"/>
  <c r="A264" i="65"/>
  <c r="A265" i="65"/>
  <c r="A266" i="65"/>
  <c r="A267" i="65"/>
  <c r="A268" i="65"/>
  <c r="A269" i="65"/>
  <c r="A270" i="65"/>
  <c r="A271" i="65"/>
  <c r="A272" i="65"/>
  <c r="A273" i="65"/>
  <c r="A274" i="65"/>
  <c r="A275" i="65"/>
  <c r="A276" i="65"/>
  <c r="A277" i="65"/>
  <c r="A278" i="65"/>
  <c r="A279" i="65"/>
  <c r="A280" i="65"/>
  <c r="A281" i="65"/>
  <c r="A282" i="65"/>
  <c r="A283" i="65"/>
  <c r="A284" i="65"/>
  <c r="A285" i="65"/>
  <c r="A286" i="65"/>
  <c r="A287" i="65"/>
  <c r="A288" i="65"/>
  <c r="A289" i="65"/>
  <c r="A290" i="65"/>
  <c r="A291" i="65"/>
  <c r="A292" i="65"/>
  <c r="A293" i="65"/>
  <c r="A294" i="65"/>
  <c r="A295" i="65"/>
  <c r="A296" i="65"/>
  <c r="A297" i="65"/>
  <c r="A298" i="65"/>
  <c r="A299" i="65"/>
  <c r="A300" i="65"/>
  <c r="A301" i="65"/>
  <c r="A302" i="65"/>
  <c r="A303" i="65"/>
  <c r="A304" i="65"/>
  <c r="A305" i="65"/>
  <c r="A306" i="65"/>
  <c r="A307" i="65"/>
  <c r="A308" i="65"/>
  <c r="A309" i="65"/>
  <c r="A310" i="65"/>
  <c r="A311" i="65"/>
  <c r="A312" i="65"/>
  <c r="A313" i="65"/>
  <c r="A314" i="65"/>
  <c r="A315" i="65"/>
  <c r="A316" i="65"/>
  <c r="A317" i="65"/>
  <c r="A318" i="65"/>
  <c r="A319" i="65"/>
  <c r="A320" i="65"/>
  <c r="A321" i="65"/>
  <c r="A322" i="65"/>
  <c r="A323" i="65"/>
  <c r="A324" i="65"/>
  <c r="A325" i="65"/>
  <c r="A326" i="65"/>
  <c r="A327" i="65"/>
  <c r="A328" i="65"/>
  <c r="A329" i="65"/>
  <c r="A330" i="65"/>
  <c r="A331" i="65"/>
  <c r="A332" i="65"/>
  <c r="A333" i="65"/>
  <c r="A334" i="65"/>
  <c r="A335" i="65"/>
  <c r="A336" i="65"/>
  <c r="A337" i="65"/>
  <c r="A338" i="65"/>
  <c r="A339" i="65"/>
  <c r="A340" i="65"/>
  <c r="A341" i="65"/>
  <c r="A342" i="65"/>
  <c r="A343" i="65"/>
  <c r="A344" i="65"/>
  <c r="A345" i="65"/>
  <c r="A346" i="65"/>
  <c r="A347" i="65"/>
  <c r="A348" i="65"/>
  <c r="C2" i="64"/>
  <c r="C2" i="65" s="1"/>
  <c r="C3" i="64"/>
  <c r="C3" i="65" s="1"/>
  <c r="C4" i="64"/>
  <c r="C4" i="65" s="1"/>
  <c r="C5" i="64"/>
  <c r="C5" i="65" s="1"/>
  <c r="C6" i="64"/>
  <c r="C6" i="65" s="1"/>
  <c r="C7" i="64"/>
  <c r="C7" i="65" s="1"/>
  <c r="C8" i="64"/>
  <c r="C8" i="65" s="1"/>
  <c r="C9" i="64"/>
  <c r="C9" i="65" s="1"/>
  <c r="C10" i="64"/>
  <c r="C10" i="65" s="1"/>
  <c r="C11" i="64"/>
  <c r="C11" i="65" s="1"/>
  <c r="C12" i="64"/>
  <c r="C12" i="65" s="1"/>
  <c r="C13" i="64"/>
  <c r="C13" i="65" s="1"/>
  <c r="C14" i="64"/>
  <c r="C14" i="65" s="1"/>
  <c r="C15" i="64"/>
  <c r="C15" i="65" s="1"/>
  <c r="C16" i="64"/>
  <c r="C16" i="65" s="1"/>
  <c r="C17" i="64"/>
  <c r="C17" i="65" s="1"/>
  <c r="C18" i="64"/>
  <c r="C18" i="65" s="1"/>
  <c r="C19" i="64"/>
  <c r="C19" i="65" s="1"/>
  <c r="C20" i="64"/>
  <c r="C20" i="65" s="1"/>
  <c r="C21" i="64"/>
  <c r="C21" i="65" s="1"/>
  <c r="C22" i="64"/>
  <c r="C22" i="65" s="1"/>
  <c r="C23" i="64"/>
  <c r="C23" i="65" s="1"/>
  <c r="C24" i="64"/>
  <c r="C24" i="65" s="1"/>
  <c r="C25" i="64"/>
  <c r="C25" i="65" s="1"/>
  <c r="C26" i="64"/>
  <c r="C26" i="65" s="1"/>
  <c r="C27" i="64"/>
  <c r="C27" i="65" s="1"/>
  <c r="C28" i="64"/>
  <c r="C28" i="65" s="1"/>
  <c r="C29" i="64"/>
  <c r="C29" i="65" s="1"/>
  <c r="C30" i="64"/>
  <c r="C30" i="65" s="1"/>
  <c r="C31" i="64"/>
  <c r="C31" i="65" s="1"/>
  <c r="C32" i="64"/>
  <c r="C32" i="65" s="1"/>
  <c r="C33" i="64"/>
  <c r="C33" i="65" s="1"/>
  <c r="C34" i="64"/>
  <c r="C34" i="65" s="1"/>
  <c r="C35" i="64"/>
  <c r="C35" i="65" s="1"/>
  <c r="C36" i="64"/>
  <c r="C36" i="65" s="1"/>
  <c r="C37" i="64"/>
  <c r="C37" i="65" s="1"/>
  <c r="C38" i="64"/>
  <c r="C38" i="65" s="1"/>
  <c r="C39" i="64"/>
  <c r="C39" i="65" s="1"/>
  <c r="C40" i="64"/>
  <c r="C40" i="65" s="1"/>
  <c r="C41" i="64"/>
  <c r="C41" i="65" s="1"/>
  <c r="C42" i="64"/>
  <c r="C42" i="65" s="1"/>
  <c r="C43" i="64"/>
  <c r="C43" i="65" s="1"/>
  <c r="C44" i="64"/>
  <c r="C44" i="65" s="1"/>
  <c r="C45" i="64"/>
  <c r="C45" i="65" s="1"/>
  <c r="C46" i="64"/>
  <c r="C46" i="65" s="1"/>
  <c r="C47" i="64"/>
  <c r="C47" i="65" s="1"/>
  <c r="C48" i="64"/>
  <c r="C48" i="65" s="1"/>
  <c r="C49" i="64"/>
  <c r="C49" i="65" s="1"/>
  <c r="C50" i="64"/>
  <c r="C50" i="65" s="1"/>
  <c r="C51" i="64"/>
  <c r="C51" i="65" s="1"/>
  <c r="C52" i="64"/>
  <c r="C52" i="65" s="1"/>
  <c r="C53" i="64"/>
  <c r="C53" i="65" s="1"/>
  <c r="C54" i="64"/>
  <c r="C54" i="65" s="1"/>
  <c r="C55" i="64"/>
  <c r="C55" i="65" s="1"/>
  <c r="C56" i="64"/>
  <c r="C56" i="65" s="1"/>
  <c r="C57" i="64"/>
  <c r="C57" i="65" s="1"/>
  <c r="C58" i="64"/>
  <c r="C58" i="65" s="1"/>
  <c r="C59" i="64"/>
  <c r="C59" i="65" s="1"/>
  <c r="C60" i="64"/>
  <c r="C60" i="65" s="1"/>
  <c r="C61" i="64"/>
  <c r="C61" i="65" s="1"/>
  <c r="C62" i="64"/>
  <c r="C62" i="65" s="1"/>
  <c r="C63" i="64"/>
  <c r="C63" i="65" s="1"/>
  <c r="C64" i="64"/>
  <c r="C64" i="65" s="1"/>
  <c r="C65" i="64"/>
  <c r="C65" i="65" s="1"/>
  <c r="C66" i="64"/>
  <c r="C66" i="65" s="1"/>
  <c r="C67" i="64"/>
  <c r="C67" i="65" s="1"/>
  <c r="C68" i="64"/>
  <c r="C68" i="65" s="1"/>
  <c r="C69" i="64"/>
  <c r="C69" i="65" s="1"/>
  <c r="C70" i="64"/>
  <c r="C70" i="65" s="1"/>
  <c r="C71" i="64"/>
  <c r="C71" i="65" s="1"/>
  <c r="C72" i="64"/>
  <c r="C72" i="65" s="1"/>
  <c r="C73" i="64"/>
  <c r="C73" i="65" s="1"/>
  <c r="C74" i="64"/>
  <c r="C74" i="65" s="1"/>
  <c r="C75" i="64"/>
  <c r="C75" i="65" s="1"/>
  <c r="C76" i="64"/>
  <c r="C76" i="65" s="1"/>
  <c r="C77" i="64"/>
  <c r="C77" i="65" s="1"/>
  <c r="C78" i="64"/>
  <c r="C78" i="65" s="1"/>
  <c r="C79" i="64"/>
  <c r="C79" i="65" s="1"/>
  <c r="C80" i="64"/>
  <c r="C80" i="65" s="1"/>
  <c r="C81" i="64"/>
  <c r="C81" i="65" s="1"/>
  <c r="C82" i="64"/>
  <c r="C82" i="65" s="1"/>
  <c r="C83" i="64"/>
  <c r="C83" i="65" s="1"/>
  <c r="C84" i="64"/>
  <c r="C84" i="65" s="1"/>
  <c r="C85" i="64"/>
  <c r="C85" i="65" s="1"/>
  <c r="C86" i="64"/>
  <c r="C86" i="65" s="1"/>
  <c r="C87" i="64"/>
  <c r="C87" i="65" s="1"/>
  <c r="C88" i="64"/>
  <c r="C88" i="65" s="1"/>
  <c r="C89" i="64"/>
  <c r="C89" i="65" s="1"/>
  <c r="C90" i="64"/>
  <c r="C90" i="65" s="1"/>
  <c r="C91" i="64"/>
  <c r="C91" i="65" s="1"/>
  <c r="C92" i="64"/>
  <c r="C92" i="65" s="1"/>
  <c r="C93" i="64"/>
  <c r="C93" i="65" s="1"/>
  <c r="C94" i="64"/>
  <c r="C94" i="65" s="1"/>
  <c r="C95" i="64"/>
  <c r="C95" i="65" s="1"/>
  <c r="C96" i="64"/>
  <c r="C96" i="65" s="1"/>
  <c r="C97" i="64"/>
  <c r="C97" i="65" s="1"/>
  <c r="C98" i="64"/>
  <c r="C98" i="65" s="1"/>
  <c r="C99" i="64"/>
  <c r="C99" i="65" s="1"/>
  <c r="C100" i="64"/>
  <c r="C100" i="65" s="1"/>
  <c r="C101" i="64"/>
  <c r="C101" i="65" s="1"/>
  <c r="C102" i="64"/>
  <c r="C102" i="65" s="1"/>
  <c r="C103" i="64"/>
  <c r="C103" i="65" s="1"/>
  <c r="C104" i="64"/>
  <c r="C104" i="65" s="1"/>
  <c r="C105" i="64"/>
  <c r="C105" i="65" s="1"/>
  <c r="C106" i="64"/>
  <c r="C106" i="65" s="1"/>
  <c r="C107" i="64"/>
  <c r="C107" i="65" s="1"/>
  <c r="C108" i="64"/>
  <c r="C108" i="65" s="1"/>
  <c r="C109" i="64"/>
  <c r="C109" i="65" s="1"/>
  <c r="C110" i="64"/>
  <c r="C110" i="65" s="1"/>
  <c r="C111" i="64"/>
  <c r="C111" i="65" s="1"/>
  <c r="C112" i="64"/>
  <c r="C112" i="65" s="1"/>
  <c r="C113" i="64"/>
  <c r="C113" i="65" s="1"/>
  <c r="C114" i="64"/>
  <c r="C114" i="65" s="1"/>
  <c r="C115" i="64"/>
  <c r="C115" i="65" s="1"/>
  <c r="C116" i="64"/>
  <c r="C116" i="65" s="1"/>
  <c r="C117" i="64"/>
  <c r="C117" i="65" s="1"/>
  <c r="C118" i="64"/>
  <c r="C118" i="65" s="1"/>
  <c r="C119" i="64"/>
  <c r="C119" i="65" s="1"/>
  <c r="C120" i="64"/>
  <c r="C120" i="65" s="1"/>
  <c r="C121" i="64"/>
  <c r="C121" i="65" s="1"/>
  <c r="C122" i="64"/>
  <c r="C122" i="65" s="1"/>
  <c r="C123" i="64"/>
  <c r="C123" i="65" s="1"/>
  <c r="C124" i="64"/>
  <c r="C124" i="65" s="1"/>
  <c r="C125" i="64"/>
  <c r="C125" i="65" s="1"/>
  <c r="C126" i="64"/>
  <c r="C126" i="65" s="1"/>
  <c r="C127" i="64"/>
  <c r="C127" i="65" s="1"/>
  <c r="C128" i="64"/>
  <c r="C128" i="65" s="1"/>
  <c r="C129" i="64"/>
  <c r="C129" i="65" s="1"/>
  <c r="C130" i="64"/>
  <c r="C130" i="65" s="1"/>
  <c r="C131" i="64"/>
  <c r="C131" i="65" s="1"/>
  <c r="C132" i="64"/>
  <c r="C132" i="65" s="1"/>
  <c r="C133" i="64"/>
  <c r="C133" i="65" s="1"/>
  <c r="C134" i="64"/>
  <c r="C134" i="65" s="1"/>
  <c r="C135" i="64"/>
  <c r="C135" i="65" s="1"/>
  <c r="C136" i="64"/>
  <c r="C136" i="65" s="1"/>
  <c r="C137" i="64"/>
  <c r="C137" i="65" s="1"/>
  <c r="C138" i="64"/>
  <c r="C138" i="65" s="1"/>
  <c r="C139" i="64"/>
  <c r="C139" i="65" s="1"/>
  <c r="C140" i="64"/>
  <c r="C140" i="65" s="1"/>
  <c r="C141" i="64"/>
  <c r="C141" i="65" s="1"/>
  <c r="C142" i="64"/>
  <c r="C142" i="65" s="1"/>
  <c r="C143" i="64"/>
  <c r="C143" i="65" s="1"/>
  <c r="C144" i="64"/>
  <c r="C144" i="65" s="1"/>
  <c r="C145" i="64"/>
  <c r="C145" i="65" s="1"/>
  <c r="C146" i="64"/>
  <c r="C146" i="65" s="1"/>
  <c r="C147" i="64"/>
  <c r="C147" i="65" s="1"/>
  <c r="C148" i="64"/>
  <c r="C148" i="65" s="1"/>
  <c r="C149" i="64"/>
  <c r="C149" i="65" s="1"/>
  <c r="C150" i="64"/>
  <c r="C150" i="65" s="1"/>
  <c r="C151" i="64"/>
  <c r="C151" i="65" s="1"/>
  <c r="C152" i="64"/>
  <c r="C152" i="65" s="1"/>
  <c r="C153" i="64"/>
  <c r="C153" i="65" s="1"/>
  <c r="C154" i="64"/>
  <c r="C154" i="65" s="1"/>
  <c r="C155" i="64"/>
  <c r="C155" i="65" s="1"/>
  <c r="C156" i="64"/>
  <c r="C156" i="65" s="1"/>
  <c r="C157" i="64"/>
  <c r="C157" i="65" s="1"/>
  <c r="C158" i="64"/>
  <c r="C158" i="65" s="1"/>
  <c r="C159" i="64"/>
  <c r="C159" i="65" s="1"/>
  <c r="C160" i="64"/>
  <c r="C160" i="65" s="1"/>
  <c r="C161" i="64"/>
  <c r="C161" i="65" s="1"/>
  <c r="C162" i="64"/>
  <c r="C162" i="65" s="1"/>
  <c r="C163" i="64"/>
  <c r="C163" i="65" s="1"/>
  <c r="C164" i="64"/>
  <c r="C164" i="65" s="1"/>
  <c r="C165" i="64"/>
  <c r="C165" i="65" s="1"/>
  <c r="C166" i="64"/>
  <c r="C166" i="65" s="1"/>
  <c r="C167" i="64"/>
  <c r="C167" i="65" s="1"/>
  <c r="C168" i="64"/>
  <c r="C168" i="65" s="1"/>
  <c r="C169" i="64"/>
  <c r="C169" i="65" s="1"/>
  <c r="C170" i="64"/>
  <c r="C170" i="65" s="1"/>
  <c r="C171" i="64"/>
  <c r="C171" i="65" s="1"/>
  <c r="C172" i="64"/>
  <c r="C172" i="65" s="1"/>
  <c r="C173" i="64"/>
  <c r="C173" i="65" s="1"/>
  <c r="C174" i="64"/>
  <c r="C174" i="65" s="1"/>
  <c r="C175" i="64"/>
  <c r="C175" i="65" s="1"/>
  <c r="C176" i="64"/>
  <c r="C176" i="65" s="1"/>
  <c r="C177" i="64"/>
  <c r="C177" i="65" s="1"/>
  <c r="C178" i="64"/>
  <c r="C178" i="65" s="1"/>
  <c r="C179" i="64"/>
  <c r="C179" i="65" s="1"/>
  <c r="C180" i="64"/>
  <c r="C180" i="65" s="1"/>
  <c r="C181" i="64"/>
  <c r="C181" i="65" s="1"/>
  <c r="C182" i="64"/>
  <c r="C182" i="65" s="1"/>
  <c r="C183" i="64"/>
  <c r="C183" i="65" s="1"/>
  <c r="C184" i="64"/>
  <c r="C184" i="65" s="1"/>
  <c r="C185" i="64"/>
  <c r="C185" i="65" s="1"/>
  <c r="C186" i="64"/>
  <c r="C186" i="65" s="1"/>
  <c r="C187" i="64"/>
  <c r="C187" i="65" s="1"/>
  <c r="C188" i="64"/>
  <c r="C188" i="65" s="1"/>
  <c r="C189" i="64"/>
  <c r="C189" i="65" s="1"/>
  <c r="C190" i="64"/>
  <c r="C190" i="65" s="1"/>
  <c r="C191" i="64"/>
  <c r="C191" i="65" s="1"/>
  <c r="C192" i="64"/>
  <c r="C192" i="65" s="1"/>
  <c r="C193" i="64"/>
  <c r="C193" i="65" s="1"/>
  <c r="C194" i="64"/>
  <c r="C194" i="65" s="1"/>
  <c r="C195" i="64"/>
  <c r="C195" i="65" s="1"/>
  <c r="C196" i="64"/>
  <c r="C196" i="65" s="1"/>
  <c r="C197" i="64"/>
  <c r="C197" i="65" s="1"/>
  <c r="C198" i="64"/>
  <c r="C198" i="65" s="1"/>
  <c r="C199" i="64"/>
  <c r="C199" i="65" s="1"/>
  <c r="C200" i="64"/>
  <c r="C200" i="65" s="1"/>
  <c r="C201" i="64"/>
  <c r="C201" i="65" s="1"/>
  <c r="C202" i="64"/>
  <c r="C202" i="65" s="1"/>
  <c r="C203" i="64"/>
  <c r="C203" i="65" s="1"/>
  <c r="C204" i="64"/>
  <c r="C204" i="65" s="1"/>
  <c r="C205" i="64"/>
  <c r="C205" i="65" s="1"/>
  <c r="C206" i="64"/>
  <c r="C206" i="65" s="1"/>
  <c r="C207" i="64"/>
  <c r="C207" i="65" s="1"/>
  <c r="C208" i="64"/>
  <c r="C208" i="65" s="1"/>
  <c r="C209" i="64"/>
  <c r="C209" i="65" s="1"/>
  <c r="C210" i="64"/>
  <c r="C210" i="65" s="1"/>
  <c r="C211" i="64"/>
  <c r="C211" i="65" s="1"/>
  <c r="C212" i="64"/>
  <c r="C212" i="65" s="1"/>
  <c r="C213" i="64"/>
  <c r="C213" i="65" s="1"/>
  <c r="C214" i="64"/>
  <c r="C214" i="65" s="1"/>
  <c r="C215" i="64"/>
  <c r="C215" i="65" s="1"/>
  <c r="C216" i="64"/>
  <c r="C216" i="65" s="1"/>
  <c r="C217" i="64"/>
  <c r="C217" i="65" s="1"/>
  <c r="C218" i="64"/>
  <c r="C218" i="65" s="1"/>
  <c r="C219" i="64"/>
  <c r="C219" i="65" s="1"/>
  <c r="C220" i="64"/>
  <c r="C220" i="65" s="1"/>
  <c r="C221" i="64"/>
  <c r="C221" i="65" s="1"/>
  <c r="C222" i="64"/>
  <c r="C222" i="65" s="1"/>
  <c r="C223" i="64"/>
  <c r="C223" i="65" s="1"/>
  <c r="C224" i="64"/>
  <c r="C224" i="65" s="1"/>
  <c r="C225" i="64"/>
  <c r="C225" i="65" s="1"/>
  <c r="C226" i="64"/>
  <c r="C226" i="65" s="1"/>
  <c r="C227" i="64"/>
  <c r="C227" i="65" s="1"/>
  <c r="C228" i="64"/>
  <c r="C228" i="65" s="1"/>
  <c r="C229" i="64"/>
  <c r="C229" i="65" s="1"/>
  <c r="C230" i="64"/>
  <c r="C230" i="65" s="1"/>
  <c r="C231" i="64"/>
  <c r="C231" i="65" s="1"/>
  <c r="C232" i="64"/>
  <c r="C232" i="65" s="1"/>
  <c r="C233" i="64"/>
  <c r="C233" i="65" s="1"/>
  <c r="C234" i="64"/>
  <c r="C234" i="65" s="1"/>
  <c r="C235" i="64"/>
  <c r="C235" i="65" s="1"/>
  <c r="C236" i="64"/>
  <c r="C236" i="65" s="1"/>
  <c r="C237" i="64"/>
  <c r="C237" i="65" s="1"/>
  <c r="C238" i="64"/>
  <c r="C238" i="65" s="1"/>
  <c r="C239" i="64"/>
  <c r="C239" i="65" s="1"/>
  <c r="C240" i="64"/>
  <c r="C240" i="65" s="1"/>
  <c r="C241" i="64"/>
  <c r="C241" i="65" s="1"/>
  <c r="C242" i="64"/>
  <c r="C242" i="65" s="1"/>
  <c r="C243" i="64"/>
  <c r="C243" i="65" s="1"/>
  <c r="C244" i="64"/>
  <c r="C244" i="65" s="1"/>
  <c r="C245" i="64"/>
  <c r="C245" i="65" s="1"/>
  <c r="C246" i="64"/>
  <c r="C246" i="65" s="1"/>
  <c r="C247" i="64"/>
  <c r="C247" i="65" s="1"/>
  <c r="C248" i="64"/>
  <c r="C248" i="65" s="1"/>
  <c r="C249" i="64"/>
  <c r="C249" i="65" s="1"/>
  <c r="C250" i="64"/>
  <c r="C250" i="65" s="1"/>
  <c r="C251" i="64"/>
  <c r="C251" i="65" s="1"/>
  <c r="C252" i="64"/>
  <c r="C252" i="65" s="1"/>
  <c r="C253" i="64"/>
  <c r="C253" i="65" s="1"/>
  <c r="C254" i="64"/>
  <c r="C254" i="65" s="1"/>
  <c r="C255" i="64"/>
  <c r="C255" i="65" s="1"/>
  <c r="C256" i="64"/>
  <c r="C256" i="65" s="1"/>
  <c r="C257" i="64"/>
  <c r="C257" i="65" s="1"/>
  <c r="C258" i="64"/>
  <c r="C258" i="65" s="1"/>
  <c r="C259" i="64"/>
  <c r="C259" i="65" s="1"/>
  <c r="C260" i="64"/>
  <c r="C260" i="65" s="1"/>
  <c r="C261" i="64"/>
  <c r="C261" i="65" s="1"/>
  <c r="C262" i="64"/>
  <c r="C262" i="65" s="1"/>
  <c r="C263" i="64"/>
  <c r="C263" i="65" s="1"/>
  <c r="C264" i="64"/>
  <c r="C264" i="65" s="1"/>
  <c r="C265" i="64"/>
  <c r="C265" i="65" s="1"/>
  <c r="C266" i="64"/>
  <c r="C266" i="65" s="1"/>
  <c r="C267" i="64"/>
  <c r="C267" i="65" s="1"/>
  <c r="C268" i="64"/>
  <c r="C268" i="65" s="1"/>
  <c r="C269" i="64"/>
  <c r="C269" i="65" s="1"/>
  <c r="C270" i="64"/>
  <c r="C270" i="65" s="1"/>
  <c r="C271" i="64"/>
  <c r="C271" i="65" s="1"/>
  <c r="C272" i="64"/>
  <c r="C272" i="65" s="1"/>
  <c r="C273" i="64"/>
  <c r="C273" i="65" s="1"/>
  <c r="C274" i="64"/>
  <c r="C274" i="65" s="1"/>
  <c r="C275" i="64"/>
  <c r="C275" i="65" s="1"/>
  <c r="C276" i="64"/>
  <c r="C276" i="65" s="1"/>
  <c r="C277" i="64"/>
  <c r="C277" i="65" s="1"/>
  <c r="C278" i="64"/>
  <c r="C278" i="65" s="1"/>
  <c r="C279" i="64"/>
  <c r="C279" i="65" s="1"/>
  <c r="C280" i="64"/>
  <c r="C280" i="65" s="1"/>
  <c r="C281" i="64"/>
  <c r="C281" i="65" s="1"/>
  <c r="C282" i="64"/>
  <c r="C282" i="65" s="1"/>
  <c r="C283" i="64"/>
  <c r="C283" i="65" s="1"/>
  <c r="C284" i="64"/>
  <c r="C284" i="65" s="1"/>
  <c r="C285" i="64"/>
  <c r="C285" i="65" s="1"/>
  <c r="C286" i="64"/>
  <c r="C286" i="65" s="1"/>
  <c r="C287" i="64"/>
  <c r="C287" i="65" s="1"/>
  <c r="C288" i="64"/>
  <c r="C288" i="65" s="1"/>
  <c r="C289" i="64"/>
  <c r="C289" i="65" s="1"/>
  <c r="C290" i="64"/>
  <c r="C290" i="65" s="1"/>
  <c r="C291" i="64"/>
  <c r="C291" i="65" s="1"/>
  <c r="C292" i="64"/>
  <c r="C292" i="65" s="1"/>
  <c r="C293" i="64"/>
  <c r="C293" i="65" s="1"/>
  <c r="C294" i="64"/>
  <c r="C294" i="65" s="1"/>
  <c r="C295" i="64"/>
  <c r="C295" i="65" s="1"/>
  <c r="C296" i="64"/>
  <c r="C296" i="65" s="1"/>
  <c r="C297" i="64"/>
  <c r="C297" i="65" s="1"/>
  <c r="C298" i="64"/>
  <c r="C298" i="65" s="1"/>
  <c r="C299" i="64"/>
  <c r="C299" i="65" s="1"/>
  <c r="C300" i="64"/>
  <c r="C300" i="65" s="1"/>
  <c r="C301" i="64"/>
  <c r="C301" i="65" s="1"/>
  <c r="C302" i="64"/>
  <c r="C302" i="65" s="1"/>
  <c r="C303" i="64"/>
  <c r="C303" i="65" s="1"/>
  <c r="C304" i="64"/>
  <c r="C304" i="65" s="1"/>
  <c r="C305" i="64"/>
  <c r="C305" i="65" s="1"/>
  <c r="C306" i="64"/>
  <c r="C306" i="65" s="1"/>
  <c r="C307" i="64"/>
  <c r="C307" i="65" s="1"/>
  <c r="C308" i="64"/>
  <c r="C308" i="65" s="1"/>
  <c r="C309" i="64"/>
  <c r="C309" i="65" s="1"/>
  <c r="C310" i="64"/>
  <c r="C310" i="65" s="1"/>
  <c r="C311" i="64"/>
  <c r="C311" i="65" s="1"/>
  <c r="C312" i="64"/>
  <c r="C312" i="65" s="1"/>
  <c r="C313" i="64"/>
  <c r="C313" i="65" s="1"/>
  <c r="C314" i="64"/>
  <c r="C314" i="65" s="1"/>
  <c r="C315" i="64"/>
  <c r="C315" i="65" s="1"/>
  <c r="C316" i="64"/>
  <c r="C316" i="65" s="1"/>
  <c r="C317" i="64"/>
  <c r="C317" i="65" s="1"/>
  <c r="C318" i="64"/>
  <c r="C318" i="65" s="1"/>
  <c r="C319" i="64"/>
  <c r="C319" i="65" s="1"/>
  <c r="C320" i="64"/>
  <c r="C320" i="65" s="1"/>
  <c r="C321" i="64"/>
  <c r="C321" i="65" s="1"/>
  <c r="C322" i="64"/>
  <c r="C322" i="65" s="1"/>
  <c r="C323" i="64"/>
  <c r="C323" i="65" s="1"/>
  <c r="C324" i="64"/>
  <c r="C324" i="65" s="1"/>
  <c r="C325" i="64"/>
  <c r="C325" i="65" s="1"/>
  <c r="C326" i="64"/>
  <c r="C326" i="65" s="1"/>
  <c r="C327" i="64"/>
  <c r="C327" i="65" s="1"/>
  <c r="C328" i="64"/>
  <c r="C328" i="65" s="1"/>
  <c r="C329" i="64"/>
  <c r="C329" i="65" s="1"/>
  <c r="C330" i="64"/>
  <c r="C330" i="65" s="1"/>
  <c r="C331" i="64"/>
  <c r="C331" i="65" s="1"/>
  <c r="C332" i="64"/>
  <c r="C332" i="65" s="1"/>
  <c r="C333" i="64"/>
  <c r="C333" i="65" s="1"/>
  <c r="C334" i="64"/>
  <c r="C334" i="65" s="1"/>
  <c r="C335" i="64"/>
  <c r="C335" i="65" s="1"/>
  <c r="C336" i="64"/>
  <c r="C336" i="65" s="1"/>
  <c r="C337" i="64"/>
  <c r="C337" i="65" s="1"/>
  <c r="C338" i="64"/>
  <c r="C338" i="65" s="1"/>
  <c r="C339" i="64"/>
  <c r="C339" i="65" s="1"/>
  <c r="C340" i="64"/>
  <c r="C340" i="65" s="1"/>
  <c r="C341" i="64"/>
  <c r="C341" i="65" s="1"/>
  <c r="C342" i="64"/>
  <c r="C342" i="65" s="1"/>
  <c r="C343" i="64"/>
  <c r="C343" i="65" s="1"/>
  <c r="C344" i="64"/>
  <c r="C344" i="65" s="1"/>
  <c r="C345" i="64"/>
  <c r="C345" i="65" s="1"/>
  <c r="C346" i="64"/>
  <c r="C346" i="65" s="1"/>
  <c r="C347" i="64"/>
  <c r="C347" i="65" s="1"/>
  <c r="C348" i="64"/>
  <c r="C348" i="65" s="1"/>
  <c r="C349" i="64"/>
  <c r="C349" i="65" s="1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B48" i="64"/>
  <c r="B84" i="64"/>
  <c r="B120" i="64"/>
  <c r="B156" i="64"/>
  <c r="B192" i="64"/>
  <c r="B228" i="64"/>
  <c r="B264" i="64"/>
  <c r="B300" i="64"/>
  <c r="B336" i="64"/>
  <c r="H19" i="43"/>
  <c r="H20" i="43"/>
  <c r="H21" i="43"/>
  <c r="B346" i="64" s="1"/>
  <c r="H22" i="43"/>
  <c r="H23" i="43"/>
  <c r="B349" i="64" s="1"/>
  <c r="H24" i="43"/>
  <c r="H25" i="43"/>
  <c r="B347" i="64" s="1"/>
  <c r="H26" i="43"/>
  <c r="H27" i="43"/>
  <c r="B340" i="64" s="1"/>
  <c r="H28" i="43"/>
  <c r="H29" i="43"/>
  <c r="H30" i="43"/>
  <c r="H31" i="43"/>
  <c r="B341" i="64" s="1"/>
  <c r="H32" i="43"/>
  <c r="H33" i="43"/>
  <c r="B334" i="64" s="1"/>
  <c r="H34" i="43"/>
  <c r="H35" i="43"/>
  <c r="H36" i="43"/>
  <c r="H37" i="43"/>
  <c r="H38" i="43"/>
  <c r="H39" i="43"/>
  <c r="B328" i="64" s="1"/>
  <c r="H40" i="43"/>
  <c r="H41" i="43"/>
  <c r="H42" i="43"/>
  <c r="B325" i="64" s="1"/>
  <c r="H43" i="43"/>
  <c r="H44" i="43"/>
  <c r="H45" i="43"/>
  <c r="B322" i="64" s="1"/>
  <c r="H46" i="43"/>
  <c r="H47" i="43"/>
  <c r="H48" i="43"/>
  <c r="B319" i="64" s="1"/>
  <c r="D319" i="64" s="1"/>
  <c r="B319" i="65" s="1"/>
  <c r="H49" i="43"/>
  <c r="H50" i="43"/>
  <c r="H51" i="43"/>
  <c r="B316" i="64" s="1"/>
  <c r="H52" i="43"/>
  <c r="H53" i="43"/>
  <c r="H54" i="43"/>
  <c r="B313" i="64" s="1"/>
  <c r="H55" i="43"/>
  <c r="H56" i="43"/>
  <c r="H57" i="43"/>
  <c r="B310" i="64" s="1"/>
  <c r="H58" i="43"/>
  <c r="H59" i="43"/>
  <c r="H60" i="43"/>
  <c r="B307" i="64" s="1"/>
  <c r="D307" i="64" s="1"/>
  <c r="B307" i="65" s="1"/>
  <c r="H61" i="43"/>
  <c r="H62" i="43"/>
  <c r="H63" i="43"/>
  <c r="B304" i="64" s="1"/>
  <c r="H64" i="43"/>
  <c r="H65" i="43"/>
  <c r="H66" i="43"/>
  <c r="B301" i="64" s="1"/>
  <c r="H67" i="43"/>
  <c r="H68" i="43"/>
  <c r="H69" i="43"/>
  <c r="B298" i="64" s="1"/>
  <c r="H70" i="43"/>
  <c r="H71" i="43"/>
  <c r="H72" i="43"/>
  <c r="B295" i="64" s="1"/>
  <c r="D295" i="64" s="1"/>
  <c r="B295" i="65" s="1"/>
  <c r="H73" i="43"/>
  <c r="H74" i="43"/>
  <c r="H75" i="43"/>
  <c r="B292" i="64" s="1"/>
  <c r="H76" i="43"/>
  <c r="H77" i="43"/>
  <c r="H78" i="43"/>
  <c r="B289" i="64" s="1"/>
  <c r="H79" i="43"/>
  <c r="H80" i="43"/>
  <c r="H81" i="43"/>
  <c r="B286" i="64" s="1"/>
  <c r="H82" i="43"/>
  <c r="H83" i="43"/>
  <c r="H84" i="43"/>
  <c r="B283" i="64" s="1"/>
  <c r="D283" i="64" s="1"/>
  <c r="B283" i="65" s="1"/>
  <c r="H85" i="43"/>
  <c r="H86" i="43"/>
  <c r="H87" i="43"/>
  <c r="B280" i="64" s="1"/>
  <c r="H88" i="43"/>
  <c r="H89" i="43"/>
  <c r="H90" i="43"/>
  <c r="B277" i="64" s="1"/>
  <c r="D277" i="64" s="1"/>
  <c r="B277" i="65" s="1"/>
  <c r="H91" i="43"/>
  <c r="H92" i="43"/>
  <c r="H93" i="43"/>
  <c r="B274" i="64" s="1"/>
  <c r="H94" i="43"/>
  <c r="H95" i="43"/>
  <c r="H96" i="43"/>
  <c r="B271" i="64" s="1"/>
  <c r="D271" i="64" s="1"/>
  <c r="B271" i="65" s="1"/>
  <c r="H97" i="43"/>
  <c r="H98" i="43"/>
  <c r="H99" i="43"/>
  <c r="B268" i="64" s="1"/>
  <c r="H100" i="43"/>
  <c r="H101" i="43"/>
  <c r="H102" i="43"/>
  <c r="B265" i="64" s="1"/>
  <c r="D265" i="64" s="1"/>
  <c r="B265" i="65" s="1"/>
  <c r="H103" i="43"/>
  <c r="H104" i="43"/>
  <c r="H105" i="43"/>
  <c r="B262" i="64" s="1"/>
  <c r="H106" i="43"/>
  <c r="H107" i="43"/>
  <c r="H108" i="43"/>
  <c r="B259" i="64" s="1"/>
  <c r="D259" i="64" s="1"/>
  <c r="B259" i="65" s="1"/>
  <c r="H109" i="43"/>
  <c r="H110" i="43"/>
  <c r="H111" i="43"/>
  <c r="B256" i="64" s="1"/>
  <c r="H112" i="43"/>
  <c r="H113" i="43"/>
  <c r="H114" i="43"/>
  <c r="B253" i="64" s="1"/>
  <c r="D253" i="64" s="1"/>
  <c r="B253" i="65" s="1"/>
  <c r="H115" i="43"/>
  <c r="H116" i="43"/>
  <c r="H117" i="43"/>
  <c r="B250" i="64" s="1"/>
  <c r="H118" i="43"/>
  <c r="H119" i="43"/>
  <c r="H120" i="43"/>
  <c r="B247" i="64" s="1"/>
  <c r="D247" i="64" s="1"/>
  <c r="B247" i="65" s="1"/>
  <c r="H121" i="43"/>
  <c r="H122" i="43"/>
  <c r="H123" i="43"/>
  <c r="B244" i="64" s="1"/>
  <c r="H124" i="43"/>
  <c r="H125" i="43"/>
  <c r="H126" i="43"/>
  <c r="B241" i="64" s="1"/>
  <c r="D241" i="64" s="1"/>
  <c r="B241" i="65" s="1"/>
  <c r="H127" i="43"/>
  <c r="H128" i="43"/>
  <c r="H129" i="43"/>
  <c r="B238" i="64" s="1"/>
  <c r="H130" i="43"/>
  <c r="H131" i="43"/>
  <c r="H132" i="43"/>
  <c r="B235" i="64" s="1"/>
  <c r="D235" i="64" s="1"/>
  <c r="B235" i="65" s="1"/>
  <c r="H133" i="43"/>
  <c r="H134" i="43"/>
  <c r="H135" i="43"/>
  <c r="B232" i="64" s="1"/>
  <c r="H136" i="43"/>
  <c r="H137" i="43"/>
  <c r="H138" i="43"/>
  <c r="B229" i="64" s="1"/>
  <c r="D229" i="64" s="1"/>
  <c r="B229" i="65" s="1"/>
  <c r="H139" i="43"/>
  <c r="H140" i="43"/>
  <c r="H141" i="43"/>
  <c r="B226" i="64" s="1"/>
  <c r="H142" i="43"/>
  <c r="H143" i="43"/>
  <c r="H144" i="43"/>
  <c r="B223" i="64" s="1"/>
  <c r="D223" i="64" s="1"/>
  <c r="B223" i="65" s="1"/>
  <c r="H145" i="43"/>
  <c r="H146" i="43"/>
  <c r="H147" i="43"/>
  <c r="B220" i="64" s="1"/>
  <c r="H148" i="43"/>
  <c r="H149" i="43"/>
  <c r="H150" i="43"/>
  <c r="B217" i="64" s="1"/>
  <c r="D217" i="64" s="1"/>
  <c r="B217" i="65" s="1"/>
  <c r="H151" i="43"/>
  <c r="H152" i="43"/>
  <c r="H153" i="43"/>
  <c r="B214" i="64" s="1"/>
  <c r="H154" i="43"/>
  <c r="H155" i="43"/>
  <c r="H156" i="43"/>
  <c r="B211" i="64" s="1"/>
  <c r="D211" i="64" s="1"/>
  <c r="B211" i="65" s="1"/>
  <c r="H157" i="43"/>
  <c r="H158" i="43"/>
  <c r="H159" i="43"/>
  <c r="B208" i="64" s="1"/>
  <c r="H160" i="43"/>
  <c r="H161" i="43"/>
  <c r="H162" i="43"/>
  <c r="B205" i="64" s="1"/>
  <c r="D205" i="64" s="1"/>
  <c r="B205" i="65" s="1"/>
  <c r="H163" i="43"/>
  <c r="H164" i="43"/>
  <c r="H165" i="43"/>
  <c r="B202" i="64" s="1"/>
  <c r="H166" i="43"/>
  <c r="H167" i="43"/>
  <c r="H168" i="43"/>
  <c r="B199" i="64" s="1"/>
  <c r="D199" i="64" s="1"/>
  <c r="B199" i="65" s="1"/>
  <c r="H169" i="43"/>
  <c r="H170" i="43"/>
  <c r="H171" i="43"/>
  <c r="B196" i="64" s="1"/>
  <c r="H172" i="43"/>
  <c r="H173" i="43"/>
  <c r="H174" i="43"/>
  <c r="B193" i="64" s="1"/>
  <c r="D193" i="64" s="1"/>
  <c r="B193" i="65" s="1"/>
  <c r="H175" i="43"/>
  <c r="H176" i="43"/>
  <c r="H177" i="43"/>
  <c r="B190" i="64" s="1"/>
  <c r="H178" i="43"/>
  <c r="H179" i="43"/>
  <c r="H180" i="43"/>
  <c r="B187" i="64" s="1"/>
  <c r="D187" i="64" s="1"/>
  <c r="B187" i="65" s="1"/>
  <c r="H181" i="43"/>
  <c r="H182" i="43"/>
  <c r="H183" i="43"/>
  <c r="B184" i="64" s="1"/>
  <c r="H184" i="43"/>
  <c r="H185" i="43"/>
  <c r="H186" i="43"/>
  <c r="B181" i="64" s="1"/>
  <c r="D181" i="64" s="1"/>
  <c r="B181" i="65" s="1"/>
  <c r="H187" i="43"/>
  <c r="H188" i="43"/>
  <c r="H189" i="43"/>
  <c r="B178" i="64" s="1"/>
  <c r="H190" i="43"/>
  <c r="H191" i="43"/>
  <c r="H192" i="43"/>
  <c r="B175" i="64" s="1"/>
  <c r="D175" i="64" s="1"/>
  <c r="B175" i="65" s="1"/>
  <c r="H193" i="43"/>
  <c r="H194" i="43"/>
  <c r="H195" i="43"/>
  <c r="B172" i="64" s="1"/>
  <c r="H196" i="43"/>
  <c r="H197" i="43"/>
  <c r="H198" i="43"/>
  <c r="B169" i="64" s="1"/>
  <c r="D169" i="64" s="1"/>
  <c r="B169" i="65" s="1"/>
  <c r="H199" i="43"/>
  <c r="H200" i="43"/>
  <c r="H201" i="43"/>
  <c r="B166" i="64" s="1"/>
  <c r="H202" i="43"/>
  <c r="H203" i="43"/>
  <c r="H204" i="43"/>
  <c r="B163" i="64" s="1"/>
  <c r="D163" i="64" s="1"/>
  <c r="B163" i="65" s="1"/>
  <c r="H205" i="43"/>
  <c r="H206" i="43"/>
  <c r="H207" i="43"/>
  <c r="B160" i="64" s="1"/>
  <c r="H208" i="43"/>
  <c r="H209" i="43"/>
  <c r="H210" i="43"/>
  <c r="B157" i="64" s="1"/>
  <c r="D157" i="64" s="1"/>
  <c r="B157" i="65" s="1"/>
  <c r="H211" i="43"/>
  <c r="H212" i="43"/>
  <c r="H213" i="43"/>
  <c r="B154" i="64" s="1"/>
  <c r="H214" i="43"/>
  <c r="H215" i="43"/>
  <c r="H216" i="43"/>
  <c r="B151" i="64" s="1"/>
  <c r="D151" i="64" s="1"/>
  <c r="B151" i="65" s="1"/>
  <c r="H217" i="43"/>
  <c r="H218" i="43"/>
  <c r="H219" i="43"/>
  <c r="B148" i="64" s="1"/>
  <c r="H220" i="43"/>
  <c r="H221" i="43"/>
  <c r="H222" i="43"/>
  <c r="B145" i="64" s="1"/>
  <c r="D145" i="64" s="1"/>
  <c r="B145" i="65" s="1"/>
  <c r="H223" i="43"/>
  <c r="H224" i="43"/>
  <c r="H225" i="43"/>
  <c r="B142" i="64" s="1"/>
  <c r="H226" i="43"/>
  <c r="H227" i="43"/>
  <c r="H228" i="43"/>
  <c r="B139" i="64" s="1"/>
  <c r="D139" i="64" s="1"/>
  <c r="B139" i="65" s="1"/>
  <c r="H229" i="43"/>
  <c r="H230" i="43"/>
  <c r="H231" i="43"/>
  <c r="B136" i="64" s="1"/>
  <c r="D136" i="64" s="1"/>
  <c r="B136" i="65" s="1"/>
  <c r="H232" i="43"/>
  <c r="H233" i="43"/>
  <c r="H234" i="43"/>
  <c r="B133" i="64" s="1"/>
  <c r="D133" i="64" s="1"/>
  <c r="B133" i="65" s="1"/>
  <c r="H235" i="43"/>
  <c r="H236" i="43"/>
  <c r="H237" i="43"/>
  <c r="B130" i="64" s="1"/>
  <c r="D130" i="64" s="1"/>
  <c r="B130" i="65" s="1"/>
  <c r="H238" i="43"/>
  <c r="H239" i="43"/>
  <c r="H240" i="43"/>
  <c r="B127" i="64" s="1"/>
  <c r="D127" i="64" s="1"/>
  <c r="B127" i="65" s="1"/>
  <c r="H241" i="43"/>
  <c r="H242" i="43"/>
  <c r="H243" i="43"/>
  <c r="B124" i="64" s="1"/>
  <c r="D124" i="64" s="1"/>
  <c r="B124" i="65" s="1"/>
  <c r="H244" i="43"/>
  <c r="H245" i="43"/>
  <c r="H246" i="43"/>
  <c r="B121" i="64" s="1"/>
  <c r="D121" i="64" s="1"/>
  <c r="B121" i="65" s="1"/>
  <c r="H247" i="43"/>
  <c r="H248" i="43"/>
  <c r="H249" i="43"/>
  <c r="B118" i="64" s="1"/>
  <c r="D118" i="64" s="1"/>
  <c r="B118" i="65" s="1"/>
  <c r="H250" i="43"/>
  <c r="H251" i="43"/>
  <c r="H252" i="43"/>
  <c r="B115" i="64" s="1"/>
  <c r="D115" i="64" s="1"/>
  <c r="B115" i="65" s="1"/>
  <c r="H253" i="43"/>
  <c r="H254" i="43"/>
  <c r="H255" i="43"/>
  <c r="B112" i="64" s="1"/>
  <c r="D112" i="64" s="1"/>
  <c r="B112" i="65" s="1"/>
  <c r="H256" i="43"/>
  <c r="H257" i="43"/>
  <c r="H258" i="43"/>
  <c r="B109" i="64" s="1"/>
  <c r="D109" i="64" s="1"/>
  <c r="B109" i="65" s="1"/>
  <c r="H259" i="43"/>
  <c r="H260" i="43"/>
  <c r="H261" i="43"/>
  <c r="B106" i="64" s="1"/>
  <c r="D106" i="64" s="1"/>
  <c r="B106" i="65" s="1"/>
  <c r="H262" i="43"/>
  <c r="H263" i="43"/>
  <c r="H264" i="43"/>
  <c r="B103" i="64" s="1"/>
  <c r="D103" i="64" s="1"/>
  <c r="B103" i="65" s="1"/>
  <c r="H265" i="43"/>
  <c r="H266" i="43"/>
  <c r="H267" i="43"/>
  <c r="B100" i="64" s="1"/>
  <c r="D100" i="64" s="1"/>
  <c r="B100" i="65" s="1"/>
  <c r="H268" i="43"/>
  <c r="H269" i="43"/>
  <c r="H270" i="43"/>
  <c r="B97" i="64" s="1"/>
  <c r="D97" i="64" s="1"/>
  <c r="B97" i="65" s="1"/>
  <c r="H271" i="43"/>
  <c r="H272" i="43"/>
  <c r="H273" i="43"/>
  <c r="B94" i="64" s="1"/>
  <c r="D94" i="64" s="1"/>
  <c r="B94" i="65" s="1"/>
  <c r="H274" i="43"/>
  <c r="H275" i="43"/>
  <c r="H276" i="43"/>
  <c r="B91" i="64" s="1"/>
  <c r="D91" i="64" s="1"/>
  <c r="B91" i="65" s="1"/>
  <c r="H277" i="43"/>
  <c r="H278" i="43"/>
  <c r="H279" i="43"/>
  <c r="B88" i="64" s="1"/>
  <c r="D88" i="64" s="1"/>
  <c r="B88" i="65" s="1"/>
  <c r="H280" i="43"/>
  <c r="H281" i="43"/>
  <c r="H282" i="43"/>
  <c r="B85" i="64" s="1"/>
  <c r="D85" i="64" s="1"/>
  <c r="B85" i="65" s="1"/>
  <c r="H283" i="43"/>
  <c r="H284" i="43"/>
  <c r="H285" i="43"/>
  <c r="B82" i="64" s="1"/>
  <c r="D82" i="64" s="1"/>
  <c r="B82" i="65" s="1"/>
  <c r="H286" i="43"/>
  <c r="H287" i="43"/>
  <c r="H288" i="43"/>
  <c r="B79" i="64" s="1"/>
  <c r="D79" i="64" s="1"/>
  <c r="B79" i="65" s="1"/>
  <c r="H289" i="43"/>
  <c r="H290" i="43"/>
  <c r="H291" i="43"/>
  <c r="B76" i="64" s="1"/>
  <c r="D76" i="64" s="1"/>
  <c r="B76" i="65" s="1"/>
  <c r="H292" i="43"/>
  <c r="H293" i="43"/>
  <c r="H294" i="43"/>
  <c r="B73" i="64" s="1"/>
  <c r="D73" i="64" s="1"/>
  <c r="B73" i="65" s="1"/>
  <c r="H295" i="43"/>
  <c r="H296" i="43"/>
  <c r="H297" i="43"/>
  <c r="B70" i="64" s="1"/>
  <c r="D70" i="64" s="1"/>
  <c r="B70" i="65" s="1"/>
  <c r="H298" i="43"/>
  <c r="H299" i="43"/>
  <c r="H300" i="43"/>
  <c r="B67" i="64" s="1"/>
  <c r="D67" i="64" s="1"/>
  <c r="B67" i="65" s="1"/>
  <c r="H301" i="43"/>
  <c r="H302" i="43"/>
  <c r="H303" i="43"/>
  <c r="B64" i="64" s="1"/>
  <c r="D64" i="64" s="1"/>
  <c r="B64" i="65" s="1"/>
  <c r="H304" i="43"/>
  <c r="H305" i="43"/>
  <c r="H306" i="43"/>
  <c r="B61" i="64" s="1"/>
  <c r="D61" i="64" s="1"/>
  <c r="B61" i="65" s="1"/>
  <c r="H307" i="43"/>
  <c r="H308" i="43"/>
  <c r="H309" i="43"/>
  <c r="B58" i="64" s="1"/>
  <c r="D58" i="64" s="1"/>
  <c r="B58" i="65" s="1"/>
  <c r="H310" i="43"/>
  <c r="H311" i="43"/>
  <c r="H312" i="43"/>
  <c r="B55" i="64" s="1"/>
  <c r="D55" i="64" s="1"/>
  <c r="B55" i="65" s="1"/>
  <c r="H313" i="43"/>
  <c r="H314" i="43"/>
  <c r="H315" i="43"/>
  <c r="B52" i="64" s="1"/>
  <c r="D52" i="64" s="1"/>
  <c r="B52" i="65" s="1"/>
  <c r="H316" i="43"/>
  <c r="H317" i="43"/>
  <c r="B50" i="64" s="1"/>
  <c r="D50" i="64" s="1"/>
  <c r="B50" i="65" s="1"/>
  <c r="H318" i="43"/>
  <c r="B49" i="64" s="1"/>
  <c r="D49" i="64" s="1"/>
  <c r="B49" i="65" s="1"/>
  <c r="H319" i="43"/>
  <c r="H320" i="43"/>
  <c r="H321" i="43"/>
  <c r="B46" i="64" s="1"/>
  <c r="D46" i="64" s="1"/>
  <c r="B46" i="65" s="1"/>
  <c r="H322" i="43"/>
  <c r="H323" i="43"/>
  <c r="B44" i="64" s="1"/>
  <c r="D44" i="64" s="1"/>
  <c r="B44" i="65" s="1"/>
  <c r="H324" i="43"/>
  <c r="B43" i="64" s="1"/>
  <c r="D43" i="64" s="1"/>
  <c r="B43" i="65" s="1"/>
  <c r="H325" i="43"/>
  <c r="H326" i="43"/>
  <c r="H327" i="43"/>
  <c r="B40" i="64" s="1"/>
  <c r="D40" i="64" s="1"/>
  <c r="B40" i="65" s="1"/>
  <c r="H328" i="43"/>
  <c r="H329" i="43"/>
  <c r="B38" i="64" s="1"/>
  <c r="D38" i="64" s="1"/>
  <c r="B38" i="65" s="1"/>
  <c r="H330" i="43"/>
  <c r="B37" i="64" s="1"/>
  <c r="D37" i="64" s="1"/>
  <c r="B37" i="65" s="1"/>
  <c r="H331" i="43"/>
  <c r="H332" i="43"/>
  <c r="H333" i="43"/>
  <c r="B34" i="64" s="1"/>
  <c r="D34" i="64" s="1"/>
  <c r="B34" i="65" s="1"/>
  <c r="H334" i="43"/>
  <c r="H335" i="43"/>
  <c r="B32" i="64" s="1"/>
  <c r="D32" i="64" s="1"/>
  <c r="B32" i="65" s="1"/>
  <c r="H336" i="43"/>
  <c r="B31" i="64" s="1"/>
  <c r="D31" i="64" s="1"/>
  <c r="B31" i="65" s="1"/>
  <c r="H337" i="43"/>
  <c r="H338" i="43"/>
  <c r="H339" i="43"/>
  <c r="B28" i="64" s="1"/>
  <c r="D28" i="64" s="1"/>
  <c r="B28" i="65" s="1"/>
  <c r="H340" i="43"/>
  <c r="H341" i="43"/>
  <c r="B26" i="64" s="1"/>
  <c r="D26" i="64" s="1"/>
  <c r="B26" i="65" s="1"/>
  <c r="H342" i="43"/>
  <c r="B25" i="64" s="1"/>
  <c r="D25" i="64" s="1"/>
  <c r="B25" i="65" s="1"/>
  <c r="H343" i="43"/>
  <c r="H344" i="43"/>
  <c r="H345" i="43"/>
  <c r="B22" i="64" s="1"/>
  <c r="D22" i="64" s="1"/>
  <c r="B22" i="65" s="1"/>
  <c r="H346" i="43"/>
  <c r="H347" i="43"/>
  <c r="B20" i="64" s="1"/>
  <c r="D20" i="64" s="1"/>
  <c r="B20" i="65" s="1"/>
  <c r="H348" i="43"/>
  <c r="B19" i="64" s="1"/>
  <c r="D19" i="64" s="1"/>
  <c r="B19" i="65" s="1"/>
  <c r="H349" i="43"/>
  <c r="H350" i="43"/>
  <c r="H351" i="43"/>
  <c r="B16" i="64" s="1"/>
  <c r="D16" i="64" s="1"/>
  <c r="B16" i="65" s="1"/>
  <c r="H352" i="43"/>
  <c r="H353" i="43"/>
  <c r="B14" i="64" s="1"/>
  <c r="D14" i="64" s="1"/>
  <c r="B14" i="65" s="1"/>
  <c r="H354" i="43"/>
  <c r="B13" i="64" s="1"/>
  <c r="D13" i="64" s="1"/>
  <c r="B13" i="65" s="1"/>
  <c r="H355" i="43"/>
  <c r="H356" i="43"/>
  <c r="H357" i="43"/>
  <c r="B10" i="64" s="1"/>
  <c r="D10" i="64" s="1"/>
  <c r="B10" i="65" s="1"/>
  <c r="H358" i="43"/>
  <c r="H359" i="43"/>
  <c r="B8" i="64" s="1"/>
  <c r="D8" i="64" s="1"/>
  <c r="B8" i="65" s="1"/>
  <c r="H360" i="43"/>
  <c r="B7" i="64" s="1"/>
  <c r="D7" i="64" s="1"/>
  <c r="B7" i="65" s="1"/>
  <c r="H361" i="43"/>
  <c r="B6" i="64" s="1"/>
  <c r="H362" i="43"/>
  <c r="H363" i="43"/>
  <c r="B4" i="64" s="1"/>
  <c r="D4" i="64" s="1"/>
  <c r="B4" i="65" s="1"/>
  <c r="H364" i="43"/>
  <c r="H365" i="43"/>
  <c r="B2" i="64" s="1"/>
  <c r="D2" i="64" s="1"/>
  <c r="B2" i="65" s="1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H389" i="43"/>
  <c r="H390" i="43"/>
  <c r="H391" i="43"/>
  <c r="H392" i="43"/>
  <c r="H393" i="43"/>
  <c r="H394" i="43"/>
  <c r="H395" i="43"/>
  <c r="H396" i="43"/>
  <c r="H397" i="43"/>
  <c r="H398" i="43"/>
  <c r="H399" i="43"/>
  <c r="H400" i="43"/>
  <c r="H401" i="43"/>
  <c r="H402" i="43"/>
  <c r="H403" i="43"/>
  <c r="H404" i="43"/>
  <c r="H405" i="43"/>
  <c r="H406" i="43"/>
  <c r="H407" i="43"/>
  <c r="H408" i="43"/>
  <c r="H409" i="43"/>
  <c r="H410" i="43"/>
  <c r="H411" i="43"/>
  <c r="H412" i="43"/>
  <c r="H413" i="43"/>
  <c r="H414" i="43"/>
  <c r="H415" i="43"/>
  <c r="H416" i="43"/>
  <c r="H417" i="43"/>
  <c r="H418" i="43"/>
  <c r="H419" i="43"/>
  <c r="H420" i="43"/>
  <c r="H421" i="43"/>
  <c r="H422" i="43"/>
  <c r="H423" i="43"/>
  <c r="H424" i="43"/>
  <c r="H425" i="43"/>
  <c r="H426" i="43"/>
  <c r="H427" i="43"/>
  <c r="H428" i="43"/>
  <c r="H429" i="43"/>
  <c r="H430" i="43"/>
  <c r="H431" i="43"/>
  <c r="H432" i="43"/>
  <c r="H433" i="43"/>
  <c r="H434" i="43"/>
  <c r="H435" i="43"/>
  <c r="H436" i="43"/>
  <c r="H437" i="43"/>
  <c r="H438" i="43"/>
  <c r="H439" i="43"/>
  <c r="H440" i="43"/>
  <c r="H441" i="43"/>
  <c r="H442" i="43"/>
  <c r="H443" i="43"/>
  <c r="H444" i="43"/>
  <c r="H445" i="43"/>
  <c r="H446" i="43"/>
  <c r="H447" i="43"/>
  <c r="H448" i="43"/>
  <c r="H449" i="43"/>
  <c r="H450" i="43"/>
  <c r="H451" i="43"/>
  <c r="H452" i="43"/>
  <c r="H453" i="43"/>
  <c r="H454" i="43"/>
  <c r="H455" i="43"/>
  <c r="H456" i="43"/>
  <c r="H457" i="43"/>
  <c r="H458" i="43"/>
  <c r="H459" i="43"/>
  <c r="H460" i="43"/>
  <c r="H461" i="43"/>
  <c r="H462" i="43"/>
  <c r="H463" i="43"/>
  <c r="H464" i="43"/>
  <c r="H465" i="43"/>
  <c r="H466" i="43"/>
  <c r="H467" i="43"/>
  <c r="H468" i="43"/>
  <c r="H469" i="43"/>
  <c r="H470" i="43"/>
  <c r="H471" i="43"/>
  <c r="H472" i="43"/>
  <c r="H473" i="43"/>
  <c r="H474" i="43"/>
  <c r="H475" i="43"/>
  <c r="H476" i="43"/>
  <c r="H477" i="43"/>
  <c r="H478" i="43"/>
  <c r="H479" i="43"/>
  <c r="H480" i="43"/>
  <c r="H481" i="43"/>
  <c r="H482" i="43"/>
  <c r="H483" i="43"/>
  <c r="H484" i="43"/>
  <c r="H485" i="43"/>
  <c r="H486" i="43"/>
  <c r="H487" i="43"/>
  <c r="H488" i="43"/>
  <c r="H489" i="43"/>
  <c r="H490" i="43"/>
  <c r="H491" i="43"/>
  <c r="H492" i="43"/>
  <c r="H493" i="43"/>
  <c r="H494" i="43"/>
  <c r="H495" i="43"/>
  <c r="H496" i="43"/>
  <c r="H497" i="43"/>
  <c r="H498" i="43"/>
  <c r="H499" i="43"/>
  <c r="H500" i="43"/>
  <c r="H501" i="43"/>
  <c r="H502" i="43"/>
  <c r="H503" i="43"/>
  <c r="H504" i="43"/>
  <c r="H505" i="43"/>
  <c r="H506" i="43"/>
  <c r="H507" i="43"/>
  <c r="H508" i="43"/>
  <c r="H509" i="43"/>
  <c r="H510" i="43"/>
  <c r="H511" i="43"/>
  <c r="H512" i="43"/>
  <c r="H513" i="43"/>
  <c r="H514" i="43"/>
  <c r="H515" i="43"/>
  <c r="H516" i="43"/>
  <c r="H517" i="43"/>
  <c r="H518" i="43"/>
  <c r="H519" i="43"/>
  <c r="H520" i="43"/>
  <c r="H521" i="43"/>
  <c r="H522" i="43"/>
  <c r="H523" i="43"/>
  <c r="H524" i="43"/>
  <c r="H525" i="43"/>
  <c r="H526" i="43"/>
  <c r="H527" i="43"/>
  <c r="H528" i="43"/>
  <c r="H529" i="43"/>
  <c r="H530" i="43"/>
  <c r="H531" i="43"/>
  <c r="H532" i="43"/>
  <c r="H533" i="43"/>
  <c r="H534" i="43"/>
  <c r="H535" i="43"/>
  <c r="H536" i="43"/>
  <c r="H537" i="43"/>
  <c r="H538" i="43"/>
  <c r="H539" i="43"/>
  <c r="H540" i="43"/>
  <c r="H541" i="43"/>
  <c r="H542" i="43"/>
  <c r="H543" i="43"/>
  <c r="H544" i="43"/>
  <c r="H545" i="43"/>
  <c r="H546" i="43"/>
  <c r="H547" i="43"/>
  <c r="H548" i="43"/>
  <c r="H549" i="43"/>
  <c r="H550" i="43"/>
  <c r="H551" i="43"/>
  <c r="H552" i="43"/>
  <c r="H553" i="43"/>
  <c r="H554" i="43"/>
  <c r="H555" i="43"/>
  <c r="H556" i="43"/>
  <c r="H557" i="43"/>
  <c r="H558" i="43"/>
  <c r="H559" i="43"/>
  <c r="H560" i="43"/>
  <c r="H561" i="43"/>
  <c r="H562" i="43"/>
  <c r="H563" i="43"/>
  <c r="H564" i="43"/>
  <c r="H565" i="43"/>
  <c r="H566" i="43"/>
  <c r="H567" i="43"/>
  <c r="H568" i="43"/>
  <c r="H569" i="43"/>
  <c r="H570" i="43"/>
  <c r="H571" i="43"/>
  <c r="H572" i="43"/>
  <c r="H573" i="43"/>
  <c r="H574" i="43"/>
  <c r="H575" i="43"/>
  <c r="H576" i="43"/>
  <c r="H577" i="43"/>
  <c r="H578" i="43"/>
  <c r="H579" i="43"/>
  <c r="H580" i="43"/>
  <c r="H581" i="43"/>
  <c r="H582" i="43"/>
  <c r="H583" i="43"/>
  <c r="H584" i="43"/>
  <c r="H585" i="43"/>
  <c r="H586" i="43"/>
  <c r="H587" i="43"/>
  <c r="H588" i="43"/>
  <c r="H589" i="43"/>
  <c r="H590" i="43"/>
  <c r="H591" i="43"/>
  <c r="H592" i="43"/>
  <c r="H593" i="43"/>
  <c r="H594" i="43"/>
  <c r="H595" i="43"/>
  <c r="H596" i="43"/>
  <c r="H597" i="43"/>
  <c r="H598" i="43"/>
  <c r="H599" i="43"/>
  <c r="H600" i="43"/>
  <c r="H601" i="43"/>
  <c r="H602" i="43"/>
  <c r="H603" i="43"/>
  <c r="H604" i="43"/>
  <c r="H605" i="43"/>
  <c r="H606" i="43"/>
  <c r="H607" i="43"/>
  <c r="H608" i="43"/>
  <c r="H609" i="43"/>
  <c r="H610" i="43"/>
  <c r="H611" i="43"/>
  <c r="H612" i="43"/>
  <c r="H613" i="43"/>
  <c r="H614" i="43"/>
  <c r="H615" i="43"/>
  <c r="H616" i="43"/>
  <c r="H617" i="43"/>
  <c r="H618" i="43"/>
  <c r="H619" i="43"/>
  <c r="H620" i="43"/>
  <c r="H621" i="43"/>
  <c r="H622" i="43"/>
  <c r="H623" i="43"/>
  <c r="H624" i="43"/>
  <c r="H625" i="43"/>
  <c r="H626" i="43"/>
  <c r="H627" i="43"/>
  <c r="H628" i="43"/>
  <c r="H629" i="43"/>
  <c r="H630" i="43"/>
  <c r="H631" i="43"/>
  <c r="H632" i="43"/>
  <c r="H633" i="43"/>
  <c r="H634" i="43"/>
  <c r="H635" i="43"/>
  <c r="H636" i="43"/>
  <c r="H637" i="43"/>
  <c r="H638" i="43"/>
  <c r="H639" i="43"/>
  <c r="H640" i="43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09" i="6"/>
  <c r="D301" i="64" l="1"/>
  <c r="B301" i="65" s="1"/>
  <c r="D289" i="64"/>
  <c r="B289" i="65" s="1"/>
  <c r="D313" i="64"/>
  <c r="B313" i="65" s="1"/>
  <c r="D325" i="64"/>
  <c r="B325" i="65" s="1"/>
  <c r="D264" i="64"/>
  <c r="B264" i="65" s="1"/>
  <c r="D48" i="64"/>
  <c r="B48" i="65" s="1"/>
  <c r="D6" i="64"/>
  <c r="B6" i="65" s="1"/>
  <c r="D192" i="64"/>
  <c r="B192" i="65" s="1"/>
  <c r="D156" i="64"/>
  <c r="B156" i="65" s="1"/>
  <c r="D228" i="64"/>
  <c r="B228" i="65" s="1"/>
  <c r="D120" i="64"/>
  <c r="B120" i="65" s="1"/>
  <c r="D84" i="64"/>
  <c r="B84" i="65" s="1"/>
  <c r="D336" i="64"/>
  <c r="B336" i="65" s="1"/>
  <c r="D300" i="64"/>
  <c r="B300" i="65" s="1"/>
  <c r="D142" i="64"/>
  <c r="B142" i="65" s="1"/>
  <c r="D148" i="64"/>
  <c r="B148" i="65" s="1"/>
  <c r="D154" i="64"/>
  <c r="B154" i="65" s="1"/>
  <c r="D160" i="64"/>
  <c r="B160" i="65" s="1"/>
  <c r="D166" i="64"/>
  <c r="B166" i="65" s="1"/>
  <c r="D172" i="64"/>
  <c r="B172" i="65" s="1"/>
  <c r="D178" i="64"/>
  <c r="B178" i="65" s="1"/>
  <c r="D184" i="64"/>
  <c r="B184" i="65" s="1"/>
  <c r="D190" i="64"/>
  <c r="B190" i="65" s="1"/>
  <c r="D196" i="64"/>
  <c r="B196" i="65" s="1"/>
  <c r="D202" i="64"/>
  <c r="B202" i="65" s="1"/>
  <c r="D208" i="64"/>
  <c r="B208" i="65" s="1"/>
  <c r="D214" i="64"/>
  <c r="B214" i="65" s="1"/>
  <c r="D220" i="64"/>
  <c r="B220" i="65" s="1"/>
  <c r="D226" i="64"/>
  <c r="B226" i="65" s="1"/>
  <c r="D232" i="64"/>
  <c r="B232" i="65" s="1"/>
  <c r="D238" i="64"/>
  <c r="B238" i="65" s="1"/>
  <c r="D244" i="64"/>
  <c r="B244" i="65" s="1"/>
  <c r="D250" i="64"/>
  <c r="B250" i="65" s="1"/>
  <c r="D256" i="64"/>
  <c r="B256" i="65" s="1"/>
  <c r="D262" i="64"/>
  <c r="B262" i="65" s="1"/>
  <c r="D268" i="64"/>
  <c r="B268" i="65" s="1"/>
  <c r="D274" i="64"/>
  <c r="B274" i="65" s="1"/>
  <c r="D280" i="64"/>
  <c r="B280" i="65" s="1"/>
  <c r="D286" i="64"/>
  <c r="B286" i="65" s="1"/>
  <c r="D292" i="64"/>
  <c r="B292" i="65" s="1"/>
  <c r="D298" i="64"/>
  <c r="B298" i="65" s="1"/>
  <c r="D304" i="64"/>
  <c r="B304" i="65" s="1"/>
  <c r="D310" i="64"/>
  <c r="B310" i="65" s="1"/>
  <c r="D316" i="64"/>
  <c r="B316" i="65" s="1"/>
  <c r="D322" i="64"/>
  <c r="B322" i="65" s="1"/>
  <c r="D328" i="64"/>
  <c r="B328" i="65" s="1"/>
  <c r="D334" i="64"/>
  <c r="B334" i="65" s="1"/>
  <c r="D340" i="64"/>
  <c r="B340" i="65" s="1"/>
  <c r="D346" i="64"/>
  <c r="B346" i="65" s="1"/>
  <c r="D341" i="64"/>
  <c r="B341" i="65" s="1"/>
  <c r="D347" i="64"/>
  <c r="B347" i="65" s="1"/>
  <c r="D349" i="64"/>
  <c r="B349" i="65" s="1"/>
  <c r="B331" i="64"/>
  <c r="D331" i="64" s="1"/>
  <c r="B331" i="65" s="1"/>
  <c r="B337" i="64"/>
  <c r="D337" i="64" s="1"/>
  <c r="B337" i="65" s="1"/>
  <c r="B343" i="64"/>
  <c r="D343" i="64" s="1"/>
  <c r="B343" i="65" s="1"/>
  <c r="B330" i="64"/>
  <c r="D330" i="64" s="1"/>
  <c r="B330" i="65" s="1"/>
  <c r="B294" i="64"/>
  <c r="D294" i="64" s="1"/>
  <c r="B294" i="65" s="1"/>
  <c r="B258" i="64"/>
  <c r="D258" i="64" s="1"/>
  <c r="B258" i="65" s="1"/>
  <c r="B222" i="64"/>
  <c r="D222" i="64" s="1"/>
  <c r="B222" i="65" s="1"/>
  <c r="B186" i="64"/>
  <c r="D186" i="64" s="1"/>
  <c r="B186" i="65" s="1"/>
  <c r="B150" i="64"/>
  <c r="D150" i="64" s="1"/>
  <c r="B150" i="65" s="1"/>
  <c r="B114" i="64"/>
  <c r="D114" i="64" s="1"/>
  <c r="B114" i="65" s="1"/>
  <c r="B78" i="64"/>
  <c r="D78" i="64" s="1"/>
  <c r="B78" i="65" s="1"/>
  <c r="B42" i="64"/>
  <c r="D42" i="64" s="1"/>
  <c r="B42" i="65" s="1"/>
  <c r="B56" i="64"/>
  <c r="D56" i="64" s="1"/>
  <c r="B56" i="65" s="1"/>
  <c r="B62" i="64"/>
  <c r="D62" i="64" s="1"/>
  <c r="B62" i="65" s="1"/>
  <c r="B68" i="64"/>
  <c r="D68" i="64" s="1"/>
  <c r="B68" i="65" s="1"/>
  <c r="B74" i="64"/>
  <c r="D74" i="64" s="1"/>
  <c r="B74" i="65" s="1"/>
  <c r="B80" i="64"/>
  <c r="D80" i="64" s="1"/>
  <c r="B80" i="65" s="1"/>
  <c r="B86" i="64"/>
  <c r="D86" i="64" s="1"/>
  <c r="B86" i="65" s="1"/>
  <c r="B92" i="64"/>
  <c r="D92" i="64" s="1"/>
  <c r="B92" i="65" s="1"/>
  <c r="B98" i="64"/>
  <c r="D98" i="64" s="1"/>
  <c r="B98" i="65" s="1"/>
  <c r="B104" i="64"/>
  <c r="D104" i="64" s="1"/>
  <c r="B104" i="65" s="1"/>
  <c r="B110" i="64"/>
  <c r="D110" i="64" s="1"/>
  <c r="B110" i="65" s="1"/>
  <c r="B116" i="64"/>
  <c r="D116" i="64" s="1"/>
  <c r="B116" i="65" s="1"/>
  <c r="B122" i="64"/>
  <c r="D122" i="64" s="1"/>
  <c r="B122" i="65" s="1"/>
  <c r="B128" i="64"/>
  <c r="D128" i="64" s="1"/>
  <c r="B128" i="65" s="1"/>
  <c r="B134" i="64"/>
  <c r="D134" i="64" s="1"/>
  <c r="B134" i="65" s="1"/>
  <c r="B140" i="64"/>
  <c r="D140" i="64" s="1"/>
  <c r="B140" i="65" s="1"/>
  <c r="B146" i="64"/>
  <c r="D146" i="64" s="1"/>
  <c r="B146" i="65" s="1"/>
  <c r="B152" i="64"/>
  <c r="D152" i="64" s="1"/>
  <c r="B152" i="65" s="1"/>
  <c r="B158" i="64"/>
  <c r="D158" i="64" s="1"/>
  <c r="B158" i="65" s="1"/>
  <c r="B164" i="64"/>
  <c r="D164" i="64" s="1"/>
  <c r="B164" i="65" s="1"/>
  <c r="B170" i="64"/>
  <c r="D170" i="64" s="1"/>
  <c r="B170" i="65" s="1"/>
  <c r="B176" i="64"/>
  <c r="D176" i="64" s="1"/>
  <c r="B176" i="65" s="1"/>
  <c r="B182" i="64"/>
  <c r="D182" i="64" s="1"/>
  <c r="B182" i="65" s="1"/>
  <c r="B188" i="64"/>
  <c r="D188" i="64" s="1"/>
  <c r="B188" i="65" s="1"/>
  <c r="B194" i="64"/>
  <c r="D194" i="64" s="1"/>
  <c r="B194" i="65" s="1"/>
  <c r="B200" i="64"/>
  <c r="D200" i="64" s="1"/>
  <c r="B200" i="65" s="1"/>
  <c r="B206" i="64"/>
  <c r="D206" i="64" s="1"/>
  <c r="B206" i="65" s="1"/>
  <c r="B212" i="64"/>
  <c r="D212" i="64" s="1"/>
  <c r="B212" i="65" s="1"/>
  <c r="B218" i="64"/>
  <c r="D218" i="64" s="1"/>
  <c r="B218" i="65" s="1"/>
  <c r="B224" i="64"/>
  <c r="D224" i="64" s="1"/>
  <c r="B224" i="65" s="1"/>
  <c r="B230" i="64"/>
  <c r="D230" i="64" s="1"/>
  <c r="B230" i="65" s="1"/>
  <c r="B236" i="64"/>
  <c r="D236" i="64" s="1"/>
  <c r="B236" i="65" s="1"/>
  <c r="B242" i="64"/>
  <c r="D242" i="64" s="1"/>
  <c r="B242" i="65" s="1"/>
  <c r="B248" i="64"/>
  <c r="D248" i="64" s="1"/>
  <c r="B248" i="65" s="1"/>
  <c r="B254" i="64"/>
  <c r="D254" i="64" s="1"/>
  <c r="B254" i="65" s="1"/>
  <c r="B260" i="64"/>
  <c r="D260" i="64" s="1"/>
  <c r="B260" i="65" s="1"/>
  <c r="B266" i="64"/>
  <c r="D266" i="64" s="1"/>
  <c r="B266" i="65" s="1"/>
  <c r="B272" i="64"/>
  <c r="D272" i="64" s="1"/>
  <c r="B272" i="65" s="1"/>
  <c r="B278" i="64"/>
  <c r="D278" i="64" s="1"/>
  <c r="B278" i="65" s="1"/>
  <c r="B284" i="64"/>
  <c r="D284" i="64" s="1"/>
  <c r="B284" i="65" s="1"/>
  <c r="B290" i="64"/>
  <c r="D290" i="64" s="1"/>
  <c r="B290" i="65" s="1"/>
  <c r="B296" i="64"/>
  <c r="D296" i="64" s="1"/>
  <c r="B296" i="65" s="1"/>
  <c r="B302" i="64"/>
  <c r="D302" i="64" s="1"/>
  <c r="B302" i="65" s="1"/>
  <c r="B308" i="64"/>
  <c r="D308" i="64" s="1"/>
  <c r="B308" i="65" s="1"/>
  <c r="B314" i="64"/>
  <c r="D314" i="64" s="1"/>
  <c r="B314" i="65" s="1"/>
  <c r="B320" i="64"/>
  <c r="D320" i="64" s="1"/>
  <c r="B320" i="65" s="1"/>
  <c r="B326" i="64"/>
  <c r="D326" i="64" s="1"/>
  <c r="B326" i="65" s="1"/>
  <c r="B332" i="64"/>
  <c r="D332" i="64" s="1"/>
  <c r="B332" i="65" s="1"/>
  <c r="B338" i="64"/>
  <c r="D338" i="64" s="1"/>
  <c r="B338" i="65" s="1"/>
  <c r="B344" i="64"/>
  <c r="D344" i="64" s="1"/>
  <c r="B344" i="65" s="1"/>
  <c r="B348" i="64"/>
  <c r="D348" i="64" s="1"/>
  <c r="B348" i="65" s="1"/>
  <c r="B324" i="64"/>
  <c r="D324" i="64" s="1"/>
  <c r="B324" i="65" s="1"/>
  <c r="B288" i="64"/>
  <c r="D288" i="64" s="1"/>
  <c r="B288" i="65" s="1"/>
  <c r="B252" i="64"/>
  <c r="D252" i="64" s="1"/>
  <c r="B252" i="65" s="1"/>
  <c r="B216" i="64"/>
  <c r="D216" i="64" s="1"/>
  <c r="B216" i="65" s="1"/>
  <c r="B180" i="64"/>
  <c r="D180" i="64" s="1"/>
  <c r="B180" i="65" s="1"/>
  <c r="B144" i="64"/>
  <c r="D144" i="64" s="1"/>
  <c r="B144" i="65" s="1"/>
  <c r="B108" i="64"/>
  <c r="D108" i="64" s="1"/>
  <c r="B108" i="65" s="1"/>
  <c r="B72" i="64"/>
  <c r="D72" i="64" s="1"/>
  <c r="B72" i="65" s="1"/>
  <c r="B36" i="64"/>
  <c r="D36" i="64" s="1"/>
  <c r="B36" i="65" s="1"/>
  <c r="B3" i="64"/>
  <c r="D3" i="64" s="1"/>
  <c r="B3" i="65" s="1"/>
  <c r="B9" i="64"/>
  <c r="D9" i="64" s="1"/>
  <c r="B9" i="65" s="1"/>
  <c r="B15" i="64"/>
  <c r="D15" i="64" s="1"/>
  <c r="B15" i="65" s="1"/>
  <c r="B21" i="64"/>
  <c r="D21" i="64" s="1"/>
  <c r="B21" i="65" s="1"/>
  <c r="B27" i="64"/>
  <c r="D27" i="64" s="1"/>
  <c r="B27" i="65" s="1"/>
  <c r="B33" i="64"/>
  <c r="D33" i="64" s="1"/>
  <c r="B33" i="65" s="1"/>
  <c r="B39" i="64"/>
  <c r="D39" i="64" s="1"/>
  <c r="B39" i="65" s="1"/>
  <c r="B45" i="64"/>
  <c r="D45" i="64" s="1"/>
  <c r="B45" i="65" s="1"/>
  <c r="B51" i="64"/>
  <c r="D51" i="64" s="1"/>
  <c r="B51" i="65" s="1"/>
  <c r="B57" i="64"/>
  <c r="D57" i="64" s="1"/>
  <c r="B57" i="65" s="1"/>
  <c r="B63" i="64"/>
  <c r="D63" i="64" s="1"/>
  <c r="B63" i="65" s="1"/>
  <c r="B69" i="64"/>
  <c r="D69" i="64" s="1"/>
  <c r="B69" i="65" s="1"/>
  <c r="B75" i="64"/>
  <c r="D75" i="64" s="1"/>
  <c r="B75" i="65" s="1"/>
  <c r="B81" i="64"/>
  <c r="D81" i="64" s="1"/>
  <c r="B81" i="65" s="1"/>
  <c r="B87" i="64"/>
  <c r="D87" i="64" s="1"/>
  <c r="B87" i="65" s="1"/>
  <c r="B93" i="64"/>
  <c r="D93" i="64" s="1"/>
  <c r="B93" i="65" s="1"/>
  <c r="B99" i="64"/>
  <c r="D99" i="64" s="1"/>
  <c r="B99" i="65" s="1"/>
  <c r="B105" i="64"/>
  <c r="D105" i="64" s="1"/>
  <c r="B105" i="65" s="1"/>
  <c r="B111" i="64"/>
  <c r="D111" i="64" s="1"/>
  <c r="B111" i="65" s="1"/>
  <c r="B117" i="64"/>
  <c r="D117" i="64" s="1"/>
  <c r="B117" i="65" s="1"/>
  <c r="B123" i="64"/>
  <c r="D123" i="64" s="1"/>
  <c r="B123" i="65" s="1"/>
  <c r="B129" i="64"/>
  <c r="D129" i="64" s="1"/>
  <c r="B129" i="65" s="1"/>
  <c r="B135" i="64"/>
  <c r="D135" i="64" s="1"/>
  <c r="B135" i="65" s="1"/>
  <c r="B141" i="64"/>
  <c r="D141" i="64" s="1"/>
  <c r="B141" i="65" s="1"/>
  <c r="B147" i="64"/>
  <c r="D147" i="64" s="1"/>
  <c r="B147" i="65" s="1"/>
  <c r="B153" i="64"/>
  <c r="D153" i="64" s="1"/>
  <c r="B153" i="65" s="1"/>
  <c r="B159" i="64"/>
  <c r="D159" i="64" s="1"/>
  <c r="B159" i="65" s="1"/>
  <c r="B165" i="64"/>
  <c r="D165" i="64" s="1"/>
  <c r="B165" i="65" s="1"/>
  <c r="B171" i="64"/>
  <c r="D171" i="64" s="1"/>
  <c r="B171" i="65" s="1"/>
  <c r="B177" i="64"/>
  <c r="D177" i="64" s="1"/>
  <c r="B177" i="65" s="1"/>
  <c r="B183" i="64"/>
  <c r="D183" i="64" s="1"/>
  <c r="B183" i="65" s="1"/>
  <c r="B189" i="64"/>
  <c r="D189" i="64" s="1"/>
  <c r="B189" i="65" s="1"/>
  <c r="B195" i="64"/>
  <c r="D195" i="64" s="1"/>
  <c r="B195" i="65" s="1"/>
  <c r="B201" i="64"/>
  <c r="D201" i="64" s="1"/>
  <c r="B201" i="65" s="1"/>
  <c r="B207" i="64"/>
  <c r="D207" i="64" s="1"/>
  <c r="B207" i="65" s="1"/>
  <c r="B213" i="64"/>
  <c r="D213" i="64" s="1"/>
  <c r="B213" i="65" s="1"/>
  <c r="B219" i="64"/>
  <c r="D219" i="64" s="1"/>
  <c r="B219" i="65" s="1"/>
  <c r="B225" i="64"/>
  <c r="D225" i="64" s="1"/>
  <c r="B225" i="65" s="1"/>
  <c r="B231" i="64"/>
  <c r="D231" i="64" s="1"/>
  <c r="B231" i="65" s="1"/>
  <c r="B237" i="64"/>
  <c r="D237" i="64" s="1"/>
  <c r="B237" i="65" s="1"/>
  <c r="B243" i="64"/>
  <c r="D243" i="64" s="1"/>
  <c r="B243" i="65" s="1"/>
  <c r="B249" i="64"/>
  <c r="D249" i="64" s="1"/>
  <c r="B249" i="65" s="1"/>
  <c r="B255" i="64"/>
  <c r="D255" i="64" s="1"/>
  <c r="B255" i="65" s="1"/>
  <c r="B261" i="64"/>
  <c r="D261" i="64" s="1"/>
  <c r="B261" i="65" s="1"/>
  <c r="B267" i="64"/>
  <c r="D267" i="64" s="1"/>
  <c r="B267" i="65" s="1"/>
  <c r="B273" i="64"/>
  <c r="D273" i="64" s="1"/>
  <c r="B273" i="65" s="1"/>
  <c r="B279" i="64"/>
  <c r="D279" i="64" s="1"/>
  <c r="B279" i="65" s="1"/>
  <c r="B285" i="64"/>
  <c r="D285" i="64" s="1"/>
  <c r="B285" i="65" s="1"/>
  <c r="B291" i="64"/>
  <c r="D291" i="64" s="1"/>
  <c r="B291" i="65" s="1"/>
  <c r="B297" i="64"/>
  <c r="D297" i="64" s="1"/>
  <c r="B297" i="65" s="1"/>
  <c r="B303" i="64"/>
  <c r="D303" i="64" s="1"/>
  <c r="B303" i="65" s="1"/>
  <c r="B309" i="64"/>
  <c r="D309" i="64" s="1"/>
  <c r="B309" i="65" s="1"/>
  <c r="B315" i="64"/>
  <c r="D315" i="64" s="1"/>
  <c r="B315" i="65" s="1"/>
  <c r="B321" i="64"/>
  <c r="D321" i="64" s="1"/>
  <c r="B321" i="65" s="1"/>
  <c r="B327" i="64"/>
  <c r="D327" i="64" s="1"/>
  <c r="B327" i="65" s="1"/>
  <c r="B333" i="64"/>
  <c r="D333" i="64" s="1"/>
  <c r="B333" i="65" s="1"/>
  <c r="B339" i="64"/>
  <c r="D339" i="64" s="1"/>
  <c r="B339" i="65" s="1"/>
  <c r="B345" i="64"/>
  <c r="D345" i="64" s="1"/>
  <c r="B345" i="65" s="1"/>
  <c r="B318" i="64"/>
  <c r="D318" i="64" s="1"/>
  <c r="B318" i="65" s="1"/>
  <c r="B282" i="64"/>
  <c r="D282" i="64" s="1"/>
  <c r="B282" i="65" s="1"/>
  <c r="B246" i="64"/>
  <c r="D246" i="64" s="1"/>
  <c r="B246" i="65" s="1"/>
  <c r="B210" i="64"/>
  <c r="D210" i="64" s="1"/>
  <c r="B210" i="65" s="1"/>
  <c r="B174" i="64"/>
  <c r="D174" i="64" s="1"/>
  <c r="B174" i="65" s="1"/>
  <c r="B138" i="64"/>
  <c r="D138" i="64" s="1"/>
  <c r="B138" i="65" s="1"/>
  <c r="B102" i="64"/>
  <c r="D102" i="64" s="1"/>
  <c r="B102" i="65" s="1"/>
  <c r="B66" i="64"/>
  <c r="D66" i="64" s="1"/>
  <c r="B66" i="65" s="1"/>
  <c r="B30" i="64"/>
  <c r="D30" i="64" s="1"/>
  <c r="B30" i="65" s="1"/>
  <c r="B342" i="64"/>
  <c r="D342" i="64" s="1"/>
  <c r="B342" i="65" s="1"/>
  <c r="B312" i="64"/>
  <c r="D312" i="64" s="1"/>
  <c r="B312" i="65" s="1"/>
  <c r="B276" i="64"/>
  <c r="D276" i="64" s="1"/>
  <c r="B276" i="65" s="1"/>
  <c r="B240" i="64"/>
  <c r="D240" i="64" s="1"/>
  <c r="B240" i="65" s="1"/>
  <c r="B204" i="64"/>
  <c r="D204" i="64" s="1"/>
  <c r="B204" i="65" s="1"/>
  <c r="B168" i="64"/>
  <c r="D168" i="64" s="1"/>
  <c r="B168" i="65" s="1"/>
  <c r="B132" i="64"/>
  <c r="D132" i="64" s="1"/>
  <c r="B132" i="65" s="1"/>
  <c r="B96" i="64"/>
  <c r="D96" i="64" s="1"/>
  <c r="B96" i="65" s="1"/>
  <c r="B60" i="64"/>
  <c r="D60" i="64" s="1"/>
  <c r="B60" i="65" s="1"/>
  <c r="B24" i="64"/>
  <c r="D24" i="64" s="1"/>
  <c r="B24" i="65" s="1"/>
  <c r="B5" i="64"/>
  <c r="D5" i="64" s="1"/>
  <c r="B5" i="65" s="1"/>
  <c r="B11" i="64"/>
  <c r="D11" i="64" s="1"/>
  <c r="B11" i="65" s="1"/>
  <c r="B17" i="64"/>
  <c r="D17" i="64" s="1"/>
  <c r="B17" i="65" s="1"/>
  <c r="B23" i="64"/>
  <c r="D23" i="64" s="1"/>
  <c r="B23" i="65" s="1"/>
  <c r="B29" i="64"/>
  <c r="D29" i="64" s="1"/>
  <c r="B29" i="65" s="1"/>
  <c r="B35" i="64"/>
  <c r="D35" i="64" s="1"/>
  <c r="B35" i="65" s="1"/>
  <c r="B41" i="64"/>
  <c r="D41" i="64" s="1"/>
  <c r="B41" i="65" s="1"/>
  <c r="B47" i="64"/>
  <c r="D47" i="64" s="1"/>
  <c r="B47" i="65" s="1"/>
  <c r="B53" i="64"/>
  <c r="D53" i="64" s="1"/>
  <c r="B53" i="65" s="1"/>
  <c r="B59" i="64"/>
  <c r="D59" i="64" s="1"/>
  <c r="B59" i="65" s="1"/>
  <c r="B65" i="64"/>
  <c r="D65" i="64" s="1"/>
  <c r="B65" i="65" s="1"/>
  <c r="B71" i="64"/>
  <c r="D71" i="64" s="1"/>
  <c r="B71" i="65" s="1"/>
  <c r="B77" i="64"/>
  <c r="D77" i="64" s="1"/>
  <c r="B77" i="65" s="1"/>
  <c r="B83" i="64"/>
  <c r="D83" i="64" s="1"/>
  <c r="B83" i="65" s="1"/>
  <c r="B89" i="64"/>
  <c r="D89" i="64" s="1"/>
  <c r="B89" i="65" s="1"/>
  <c r="B95" i="64"/>
  <c r="D95" i="64" s="1"/>
  <c r="B95" i="65" s="1"/>
  <c r="B101" i="64"/>
  <c r="D101" i="64" s="1"/>
  <c r="B101" i="65" s="1"/>
  <c r="B107" i="64"/>
  <c r="D107" i="64" s="1"/>
  <c r="B107" i="65" s="1"/>
  <c r="B113" i="64"/>
  <c r="D113" i="64" s="1"/>
  <c r="B113" i="65" s="1"/>
  <c r="B119" i="64"/>
  <c r="D119" i="64" s="1"/>
  <c r="B119" i="65" s="1"/>
  <c r="B125" i="64"/>
  <c r="D125" i="64" s="1"/>
  <c r="B125" i="65" s="1"/>
  <c r="B131" i="64"/>
  <c r="D131" i="64" s="1"/>
  <c r="B131" i="65" s="1"/>
  <c r="B137" i="64"/>
  <c r="D137" i="64" s="1"/>
  <c r="B137" i="65" s="1"/>
  <c r="B143" i="64"/>
  <c r="D143" i="64" s="1"/>
  <c r="B143" i="65" s="1"/>
  <c r="B149" i="64"/>
  <c r="D149" i="64" s="1"/>
  <c r="B149" i="65" s="1"/>
  <c r="B155" i="64"/>
  <c r="D155" i="64" s="1"/>
  <c r="B155" i="65" s="1"/>
  <c r="B161" i="64"/>
  <c r="D161" i="64" s="1"/>
  <c r="B161" i="65" s="1"/>
  <c r="B167" i="64"/>
  <c r="D167" i="64" s="1"/>
  <c r="B167" i="65" s="1"/>
  <c r="B173" i="64"/>
  <c r="D173" i="64" s="1"/>
  <c r="B173" i="65" s="1"/>
  <c r="B179" i="64"/>
  <c r="D179" i="64" s="1"/>
  <c r="B179" i="65" s="1"/>
  <c r="B185" i="64"/>
  <c r="D185" i="64" s="1"/>
  <c r="B185" i="65" s="1"/>
  <c r="B191" i="64"/>
  <c r="D191" i="64" s="1"/>
  <c r="B191" i="65" s="1"/>
  <c r="B197" i="64"/>
  <c r="D197" i="64" s="1"/>
  <c r="B197" i="65" s="1"/>
  <c r="B203" i="64"/>
  <c r="D203" i="64" s="1"/>
  <c r="B203" i="65" s="1"/>
  <c r="B209" i="64"/>
  <c r="D209" i="64" s="1"/>
  <c r="B209" i="65" s="1"/>
  <c r="B215" i="64"/>
  <c r="D215" i="64" s="1"/>
  <c r="B215" i="65" s="1"/>
  <c r="B221" i="64"/>
  <c r="D221" i="64" s="1"/>
  <c r="B221" i="65" s="1"/>
  <c r="B227" i="64"/>
  <c r="D227" i="64" s="1"/>
  <c r="B227" i="65" s="1"/>
  <c r="B233" i="64"/>
  <c r="D233" i="64" s="1"/>
  <c r="B233" i="65" s="1"/>
  <c r="B239" i="64"/>
  <c r="D239" i="64" s="1"/>
  <c r="B239" i="65" s="1"/>
  <c r="B245" i="64"/>
  <c r="D245" i="64" s="1"/>
  <c r="B245" i="65" s="1"/>
  <c r="B251" i="64"/>
  <c r="D251" i="64" s="1"/>
  <c r="B251" i="65" s="1"/>
  <c r="B257" i="64"/>
  <c r="D257" i="64" s="1"/>
  <c r="B257" i="65" s="1"/>
  <c r="B263" i="64"/>
  <c r="D263" i="64" s="1"/>
  <c r="B263" i="65" s="1"/>
  <c r="B269" i="64"/>
  <c r="D269" i="64" s="1"/>
  <c r="B269" i="65" s="1"/>
  <c r="B275" i="64"/>
  <c r="D275" i="64" s="1"/>
  <c r="B275" i="65" s="1"/>
  <c r="B281" i="64"/>
  <c r="D281" i="64" s="1"/>
  <c r="B281" i="65" s="1"/>
  <c r="B287" i="64"/>
  <c r="D287" i="64" s="1"/>
  <c r="B287" i="65" s="1"/>
  <c r="B293" i="64"/>
  <c r="D293" i="64" s="1"/>
  <c r="B293" i="65" s="1"/>
  <c r="B299" i="64"/>
  <c r="D299" i="64" s="1"/>
  <c r="B299" i="65" s="1"/>
  <c r="B305" i="64"/>
  <c r="D305" i="64" s="1"/>
  <c r="B305" i="65" s="1"/>
  <c r="B311" i="64"/>
  <c r="D311" i="64" s="1"/>
  <c r="B311" i="65" s="1"/>
  <c r="B317" i="64"/>
  <c r="D317" i="64" s="1"/>
  <c r="B317" i="65" s="1"/>
  <c r="B323" i="64"/>
  <c r="D323" i="64" s="1"/>
  <c r="B323" i="65" s="1"/>
  <c r="B329" i="64"/>
  <c r="D329" i="64" s="1"/>
  <c r="B329" i="65" s="1"/>
  <c r="B335" i="64"/>
  <c r="D335" i="64" s="1"/>
  <c r="B335" i="65" s="1"/>
  <c r="B306" i="64"/>
  <c r="D306" i="64" s="1"/>
  <c r="B306" i="65" s="1"/>
  <c r="B270" i="64"/>
  <c r="D270" i="64" s="1"/>
  <c r="B270" i="65" s="1"/>
  <c r="B234" i="64"/>
  <c r="D234" i="64" s="1"/>
  <c r="B234" i="65" s="1"/>
  <c r="B198" i="64"/>
  <c r="D198" i="64" s="1"/>
  <c r="B198" i="65" s="1"/>
  <c r="B162" i="64"/>
  <c r="D162" i="64" s="1"/>
  <c r="B162" i="65" s="1"/>
  <c r="B126" i="64"/>
  <c r="D126" i="64" s="1"/>
  <c r="B126" i="65" s="1"/>
  <c r="B90" i="64"/>
  <c r="D90" i="64" s="1"/>
  <c r="B90" i="65" s="1"/>
  <c r="B54" i="64"/>
  <c r="D54" i="64" s="1"/>
  <c r="B54" i="65" s="1"/>
  <c r="B18" i="64"/>
  <c r="D18" i="64" s="1"/>
  <c r="B18" i="65" s="1"/>
  <c r="B12" i="64"/>
  <c r="D12" i="64" s="1"/>
  <c r="B12" i="65" s="1"/>
  <c r="E17" i="23"/>
  <c r="E46" i="23"/>
  <c r="K46" i="23" s="1"/>
  <c r="N54" i="23" s="1"/>
  <c r="Q4" i="23" s="1"/>
  <c r="E5" i="23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09" i="6"/>
  <c r="D376" i="52"/>
  <c r="D377" i="52"/>
  <c r="D378" i="52"/>
  <c r="D379" i="52"/>
  <c r="D380" i="52"/>
  <c r="D381" i="52"/>
  <c r="D382" i="52"/>
  <c r="D383" i="52"/>
  <c r="D384" i="52"/>
  <c r="D385" i="52"/>
  <c r="D386" i="52"/>
  <c r="D387" i="52"/>
  <c r="D388" i="52"/>
  <c r="D389" i="52"/>
  <c r="D390" i="52"/>
  <c r="D391" i="52"/>
  <c r="D392" i="52"/>
  <c r="D393" i="52"/>
  <c r="D394" i="52"/>
  <c r="D395" i="52"/>
  <c r="D396" i="52"/>
  <c r="D397" i="52"/>
  <c r="D398" i="52"/>
  <c r="D399" i="52"/>
  <c r="D400" i="52"/>
  <c r="D401" i="52"/>
  <c r="D402" i="52"/>
  <c r="D403" i="52"/>
  <c r="D404" i="52"/>
  <c r="D405" i="52"/>
  <c r="D406" i="52"/>
  <c r="D407" i="52"/>
  <c r="D408" i="52"/>
  <c r="D409" i="52"/>
  <c r="D410" i="52"/>
  <c r="D411" i="52"/>
  <c r="D412" i="52"/>
  <c r="D413" i="52"/>
  <c r="D414" i="52"/>
  <c r="D415" i="52"/>
  <c r="D416" i="52"/>
  <c r="D417" i="52"/>
  <c r="D418" i="52"/>
  <c r="D419" i="52"/>
  <c r="D420" i="52"/>
  <c r="D421" i="52"/>
  <c r="D422" i="52"/>
  <c r="D423" i="52"/>
  <c r="D424" i="52"/>
  <c r="D425" i="52"/>
  <c r="D426" i="52"/>
  <c r="D427" i="52"/>
  <c r="D428" i="52"/>
  <c r="D429" i="52"/>
  <c r="D430" i="52"/>
  <c r="D431" i="52"/>
  <c r="D432" i="52"/>
  <c r="D433" i="52"/>
  <c r="D434" i="52"/>
  <c r="D435" i="52"/>
  <c r="D436" i="52"/>
  <c r="D437" i="52"/>
  <c r="D438" i="52"/>
  <c r="D439" i="52"/>
  <c r="D440" i="52"/>
  <c r="D441" i="52"/>
  <c r="D442" i="52"/>
  <c r="D443" i="52"/>
  <c r="D444" i="52"/>
  <c r="D445" i="52"/>
  <c r="D446" i="52"/>
  <c r="D447" i="52"/>
  <c r="D448" i="52"/>
  <c r="D449" i="52"/>
  <c r="D450" i="52"/>
  <c r="D451" i="52"/>
  <c r="D452" i="52"/>
  <c r="D453" i="52"/>
  <c r="D454" i="52"/>
  <c r="D455" i="52"/>
  <c r="D456" i="52"/>
  <c r="D457" i="52"/>
  <c r="D458" i="52"/>
  <c r="D459" i="52"/>
  <c r="D460" i="52"/>
  <c r="D461" i="52"/>
  <c r="D462" i="52"/>
  <c r="D463" i="52"/>
  <c r="D464" i="52"/>
  <c r="D465" i="52"/>
  <c r="D466" i="52"/>
  <c r="D467" i="52"/>
  <c r="D468" i="52"/>
  <c r="D469" i="52"/>
  <c r="D470" i="52"/>
  <c r="D471" i="52"/>
  <c r="D472" i="52"/>
  <c r="D473" i="52"/>
  <c r="D474" i="52"/>
  <c r="D475" i="52"/>
  <c r="D476" i="52"/>
  <c r="D477" i="52"/>
  <c r="D478" i="52"/>
  <c r="D479" i="52"/>
  <c r="D480" i="52"/>
  <c r="D481" i="52"/>
  <c r="D482" i="52"/>
  <c r="D483" i="52"/>
  <c r="D484" i="52"/>
  <c r="D485" i="52"/>
  <c r="D486" i="52"/>
  <c r="D487" i="52"/>
  <c r="D488" i="52"/>
  <c r="D489" i="52"/>
  <c r="D490" i="52"/>
  <c r="D491" i="52"/>
  <c r="D492" i="52"/>
  <c r="D493" i="52"/>
  <c r="D494" i="52"/>
  <c r="D495" i="52"/>
  <c r="D496" i="52"/>
  <c r="D497" i="52"/>
  <c r="D498" i="52"/>
  <c r="D499" i="52"/>
  <c r="D500" i="52"/>
  <c r="D501" i="52"/>
  <c r="D502" i="52"/>
  <c r="D503" i="52"/>
  <c r="D504" i="52"/>
  <c r="D505" i="52"/>
  <c r="D506" i="52"/>
  <c r="D507" i="52"/>
  <c r="D508" i="52"/>
  <c r="D509" i="52"/>
  <c r="D510" i="52"/>
  <c r="D511" i="52"/>
  <c r="D512" i="52"/>
  <c r="D513" i="52"/>
  <c r="D514" i="52"/>
  <c r="D515" i="52"/>
  <c r="D516" i="52"/>
  <c r="D517" i="52"/>
  <c r="D518" i="52"/>
  <c r="D519" i="52"/>
  <c r="D520" i="52"/>
  <c r="D521" i="52"/>
  <c r="D522" i="52"/>
  <c r="D523" i="52"/>
  <c r="D524" i="52"/>
  <c r="D525" i="52"/>
  <c r="D526" i="52"/>
  <c r="D527" i="52"/>
  <c r="D528" i="52"/>
  <c r="D529" i="52"/>
  <c r="D530" i="52"/>
  <c r="D531" i="52"/>
  <c r="D532" i="52"/>
  <c r="D533" i="52"/>
  <c r="D534" i="52"/>
  <c r="D535" i="52"/>
  <c r="D536" i="52"/>
  <c r="D537" i="52"/>
  <c r="D538" i="52"/>
  <c r="D539" i="52"/>
  <c r="D540" i="52"/>
  <c r="D541" i="52"/>
  <c r="D542" i="52"/>
  <c r="D543" i="52"/>
  <c r="D544" i="52"/>
  <c r="D545" i="52"/>
  <c r="D546" i="52"/>
  <c r="D547" i="52"/>
  <c r="D548" i="52"/>
  <c r="D549" i="52"/>
  <c r="D550" i="52"/>
  <c r="D551" i="52"/>
  <c r="D552" i="52"/>
  <c r="D553" i="52"/>
  <c r="D554" i="52"/>
  <c r="D555" i="52"/>
  <c r="D556" i="52"/>
  <c r="D557" i="52"/>
  <c r="D558" i="52"/>
  <c r="D559" i="52"/>
  <c r="D560" i="52"/>
  <c r="D561" i="52"/>
  <c r="D562" i="52"/>
  <c r="D563" i="52"/>
  <c r="D564" i="52"/>
  <c r="D565" i="52"/>
  <c r="D566" i="52"/>
  <c r="D567" i="52"/>
  <c r="D568" i="52"/>
  <c r="D569" i="52"/>
  <c r="D570" i="52"/>
  <c r="D571" i="52"/>
  <c r="D572" i="52"/>
  <c r="D573" i="52"/>
  <c r="D574" i="52"/>
  <c r="D575" i="52"/>
  <c r="D576" i="52"/>
  <c r="D577" i="52"/>
  <c r="D578" i="52"/>
  <c r="D579" i="52"/>
  <c r="D580" i="52"/>
  <c r="D581" i="52"/>
  <c r="D582" i="52"/>
  <c r="D583" i="52"/>
  <c r="D584" i="52"/>
  <c r="D585" i="52"/>
  <c r="D586" i="52"/>
  <c r="D587" i="52"/>
  <c r="D588" i="52"/>
  <c r="D589" i="52"/>
  <c r="D590" i="52"/>
  <c r="D591" i="52"/>
  <c r="D592" i="52"/>
  <c r="D593" i="52"/>
  <c r="D594" i="52"/>
  <c r="D595" i="52"/>
  <c r="D596" i="52"/>
  <c r="D597" i="52"/>
  <c r="D598" i="52"/>
  <c r="D599" i="52"/>
  <c r="D600" i="52"/>
  <c r="D601" i="52"/>
  <c r="D602" i="52"/>
  <c r="D603" i="52"/>
  <c r="D604" i="52"/>
  <c r="D605" i="52"/>
  <c r="D606" i="52"/>
  <c r="D607" i="52"/>
  <c r="D608" i="52"/>
  <c r="D609" i="52"/>
  <c r="D610" i="52"/>
  <c r="D611" i="52"/>
  <c r="D612" i="52"/>
  <c r="D613" i="52"/>
  <c r="D614" i="52"/>
  <c r="D615" i="52"/>
  <c r="D616" i="52"/>
  <c r="D617" i="52"/>
  <c r="D618" i="52"/>
  <c r="D619" i="52"/>
  <c r="D620" i="52"/>
  <c r="D621" i="52"/>
  <c r="D622" i="52"/>
  <c r="D623" i="52"/>
  <c r="D624" i="52"/>
  <c r="D625" i="52"/>
  <c r="D626" i="52"/>
  <c r="D627" i="52"/>
  <c r="D628" i="52"/>
  <c r="D629" i="52"/>
  <c r="D630" i="52"/>
  <c r="D631" i="52"/>
  <c r="D632" i="52"/>
  <c r="D633" i="52"/>
  <c r="D634" i="52"/>
  <c r="D635" i="52"/>
  <c r="D636" i="52"/>
  <c r="D637" i="52"/>
  <c r="D638" i="52"/>
  <c r="D639" i="52"/>
  <c r="D640" i="52"/>
  <c r="D641" i="52"/>
  <c r="D642" i="52"/>
  <c r="D643" i="52"/>
  <c r="D644" i="52"/>
  <c r="D645" i="52"/>
  <c r="D646" i="52"/>
  <c r="D647" i="52"/>
  <c r="D648" i="52"/>
  <c r="D649" i="52"/>
  <c r="D650" i="52"/>
  <c r="D651" i="52"/>
  <c r="D652" i="52"/>
  <c r="D653" i="52"/>
  <c r="D654" i="52"/>
  <c r="D655" i="52"/>
  <c r="D656" i="52"/>
  <c r="D657" i="52"/>
  <c r="D658" i="52"/>
  <c r="D659" i="52"/>
  <c r="D660" i="52"/>
  <c r="D661" i="52"/>
  <c r="D662" i="52"/>
  <c r="D663" i="52"/>
  <c r="D664" i="52"/>
  <c r="D665" i="52"/>
  <c r="D666" i="52"/>
  <c r="D667" i="52"/>
  <c r="D668" i="52"/>
  <c r="D669" i="52"/>
  <c r="D670" i="52"/>
  <c r="D671" i="52"/>
  <c r="D672" i="52"/>
  <c r="D673" i="52"/>
  <c r="D674" i="52"/>
  <c r="D675" i="52"/>
  <c r="D676" i="52"/>
  <c r="D677" i="52"/>
  <c r="D678" i="52"/>
  <c r="D679" i="52"/>
  <c r="D680" i="52"/>
  <c r="D681" i="52"/>
  <c r="D682" i="52"/>
  <c r="D683" i="52"/>
  <c r="D684" i="52"/>
  <c r="D685" i="52"/>
  <c r="D686" i="52"/>
  <c r="D687" i="52"/>
  <c r="D688" i="52"/>
  <c r="D689" i="52"/>
  <c r="D690" i="52"/>
  <c r="D691" i="52"/>
  <c r="D692" i="52"/>
  <c r="D693" i="52"/>
  <c r="D694" i="52"/>
  <c r="D695" i="52"/>
  <c r="D696" i="52"/>
  <c r="D697" i="52"/>
  <c r="D698" i="52"/>
  <c r="D699" i="52"/>
  <c r="D700" i="52"/>
  <c r="D701" i="52"/>
  <c r="D702" i="52"/>
  <c r="D703" i="52"/>
  <c r="D704" i="52"/>
  <c r="D705" i="52"/>
  <c r="D706" i="52"/>
  <c r="D707" i="52"/>
  <c r="D708" i="52"/>
  <c r="D709" i="52"/>
  <c r="D710" i="52"/>
  <c r="D711" i="52"/>
  <c r="D712" i="52"/>
  <c r="D713" i="52"/>
  <c r="D714" i="52"/>
  <c r="D715" i="52"/>
  <c r="D716" i="52"/>
  <c r="D717" i="52"/>
  <c r="D718" i="52"/>
  <c r="D719" i="52"/>
  <c r="D720" i="52"/>
  <c r="D721" i="52"/>
  <c r="D722" i="52"/>
  <c r="D723" i="52"/>
  <c r="D724" i="52"/>
  <c r="D725" i="52"/>
  <c r="D726" i="52"/>
  <c r="D727" i="52"/>
  <c r="D728" i="52"/>
  <c r="D729" i="52"/>
  <c r="D730" i="52"/>
  <c r="D731" i="52"/>
  <c r="D732" i="52"/>
  <c r="D733" i="52"/>
  <c r="D734" i="52"/>
  <c r="D735" i="52"/>
  <c r="D736" i="52"/>
  <c r="D737" i="52"/>
  <c r="D738" i="52"/>
  <c r="D739" i="52"/>
  <c r="D740" i="52"/>
  <c r="D741" i="52"/>
  <c r="D742" i="52"/>
  <c r="D743" i="52"/>
  <c r="D744" i="52"/>
  <c r="D745" i="52"/>
  <c r="D746" i="52"/>
  <c r="D747" i="52"/>
  <c r="D748" i="52"/>
  <c r="D749" i="52"/>
  <c r="D750" i="52"/>
  <c r="D751" i="52"/>
  <c r="D752" i="52"/>
  <c r="D753" i="52"/>
  <c r="D754" i="52"/>
  <c r="D755" i="52"/>
  <c r="D756" i="52"/>
  <c r="D757" i="52"/>
  <c r="D758" i="52"/>
  <c r="D759" i="52"/>
  <c r="D760" i="52"/>
  <c r="D761" i="52"/>
  <c r="D762" i="52"/>
  <c r="D763" i="52"/>
  <c r="D764" i="52"/>
  <c r="D765" i="52"/>
  <c r="D766" i="52"/>
  <c r="D767" i="52"/>
  <c r="D768" i="52"/>
  <c r="D769" i="52"/>
  <c r="D770" i="52"/>
  <c r="D771" i="52"/>
  <c r="D772" i="52"/>
  <c r="D773" i="52"/>
  <c r="D774" i="52"/>
  <c r="D775" i="52"/>
  <c r="D776" i="52"/>
  <c r="D777" i="52"/>
  <c r="D778" i="52"/>
  <c r="D779" i="52"/>
  <c r="D780" i="52"/>
  <c r="D781" i="52"/>
  <c r="D782" i="52"/>
  <c r="D783" i="52"/>
  <c r="D784" i="52"/>
  <c r="D785" i="52"/>
  <c r="D786" i="52"/>
  <c r="D787" i="52"/>
  <c r="D788" i="52"/>
  <c r="D789" i="52"/>
  <c r="D790" i="52"/>
  <c r="D791" i="52"/>
  <c r="D792" i="52"/>
  <c r="D793" i="52"/>
  <c r="D794" i="52"/>
  <c r="D795" i="52"/>
  <c r="D796" i="52"/>
  <c r="D797" i="52"/>
  <c r="D798" i="52"/>
  <c r="D799" i="52"/>
  <c r="D800" i="52"/>
  <c r="D801" i="52"/>
  <c r="D802" i="52"/>
  <c r="D803" i="52"/>
  <c r="D804" i="52"/>
  <c r="D805" i="52"/>
  <c r="D806" i="52"/>
  <c r="D807" i="52"/>
  <c r="D808" i="52"/>
  <c r="D809" i="52"/>
  <c r="D810" i="52"/>
  <c r="D811" i="52"/>
  <c r="D812" i="52"/>
  <c r="D813" i="52"/>
  <c r="D814" i="52"/>
  <c r="D815" i="52"/>
  <c r="D816" i="52"/>
  <c r="D817" i="52"/>
  <c r="D818" i="52"/>
  <c r="D819" i="52"/>
  <c r="D820" i="52"/>
  <c r="D821" i="52"/>
  <c r="D822" i="52"/>
  <c r="D823" i="52"/>
  <c r="D824" i="52"/>
  <c r="D825" i="52"/>
  <c r="D826" i="52"/>
  <c r="D827" i="52"/>
  <c r="D828" i="52"/>
  <c r="D829" i="52"/>
  <c r="D830" i="52"/>
  <c r="D831" i="52"/>
  <c r="D832" i="52"/>
  <c r="D833" i="52"/>
  <c r="D834" i="52"/>
  <c r="D835" i="52"/>
  <c r="D836" i="52"/>
  <c r="D837" i="52"/>
  <c r="D838" i="52"/>
  <c r="D839" i="52"/>
  <c r="D840" i="52"/>
  <c r="D841" i="52"/>
  <c r="D842" i="52"/>
  <c r="D843" i="52"/>
  <c r="D844" i="52"/>
  <c r="D845" i="52"/>
  <c r="D846" i="52"/>
  <c r="D847" i="52"/>
  <c r="D848" i="52"/>
  <c r="D849" i="52"/>
  <c r="D850" i="52"/>
  <c r="D851" i="52"/>
  <c r="D852" i="52"/>
  <c r="D853" i="52"/>
  <c r="D854" i="52"/>
  <c r="D855" i="52"/>
  <c r="D856" i="52"/>
  <c r="D857" i="52"/>
  <c r="D858" i="52"/>
  <c r="D859" i="52"/>
  <c r="D860" i="52"/>
  <c r="D861" i="52"/>
  <c r="D862" i="52"/>
  <c r="D863" i="52"/>
  <c r="D864" i="52"/>
  <c r="D865" i="52"/>
  <c r="D866" i="52"/>
  <c r="D867" i="52"/>
  <c r="D868" i="52"/>
  <c r="D869" i="52"/>
  <c r="D870" i="52"/>
  <c r="D871" i="52"/>
  <c r="D872" i="52"/>
  <c r="D873" i="52"/>
  <c r="D874" i="52"/>
  <c r="D875" i="52"/>
  <c r="D876" i="52"/>
  <c r="D877" i="52"/>
  <c r="D878" i="52"/>
  <c r="D879" i="52"/>
  <c r="D880" i="52"/>
  <c r="D881" i="52"/>
  <c r="D882" i="52"/>
  <c r="D883" i="52"/>
  <c r="D884" i="52"/>
  <c r="D885" i="52"/>
  <c r="D886" i="52"/>
  <c r="D887" i="52"/>
  <c r="D888" i="52"/>
  <c r="D889" i="52"/>
  <c r="D890" i="52"/>
  <c r="D891" i="52"/>
  <c r="D892" i="52"/>
  <c r="D893" i="52"/>
  <c r="D894" i="52"/>
  <c r="D895" i="52"/>
  <c r="D896" i="52"/>
  <c r="D897" i="52"/>
  <c r="D898" i="52"/>
  <c r="D899" i="52"/>
  <c r="D900" i="52"/>
  <c r="D901" i="52"/>
  <c r="D902" i="52"/>
  <c r="D903" i="52"/>
  <c r="D904" i="52"/>
  <c r="D905" i="52"/>
  <c r="D906" i="52"/>
  <c r="D375" i="52"/>
  <c r="J127" i="45"/>
  <c r="J128" i="45"/>
  <c r="K128" i="45" s="1"/>
  <c r="J129" i="45"/>
  <c r="J130" i="45"/>
  <c r="K130" i="45" s="1"/>
  <c r="J131" i="45"/>
  <c r="J132" i="45"/>
  <c r="K132" i="45" s="1"/>
  <c r="J133" i="45"/>
  <c r="J134" i="45"/>
  <c r="K134" i="45" s="1"/>
  <c r="J135" i="45"/>
  <c r="J136" i="45"/>
  <c r="K136" i="45" s="1"/>
  <c r="J137" i="45"/>
  <c r="J138" i="45"/>
  <c r="K138" i="45" s="1"/>
  <c r="J139" i="45"/>
  <c r="J140" i="45"/>
  <c r="K140" i="45" s="1"/>
  <c r="J141" i="45"/>
  <c r="J142" i="45"/>
  <c r="K142" i="45" s="1"/>
  <c r="J143" i="45"/>
  <c r="J144" i="45"/>
  <c r="K144" i="45" s="1"/>
  <c r="J145" i="45"/>
  <c r="J146" i="45"/>
  <c r="K146" i="45" s="1"/>
  <c r="J147" i="45"/>
  <c r="J148" i="45"/>
  <c r="K148" i="45" s="1"/>
  <c r="J149" i="45"/>
  <c r="J150" i="45"/>
  <c r="K150" i="45" s="1"/>
  <c r="J151" i="45"/>
  <c r="J152" i="45"/>
  <c r="K152" i="45" s="1"/>
  <c r="J153" i="45"/>
  <c r="J154" i="45"/>
  <c r="K154" i="45" s="1"/>
  <c r="J155" i="45"/>
  <c r="J156" i="45"/>
  <c r="K156" i="45" s="1"/>
  <c r="J157" i="45"/>
  <c r="J158" i="45"/>
  <c r="K158" i="45" s="1"/>
  <c r="J159" i="45"/>
  <c r="J160" i="45"/>
  <c r="K160" i="45" s="1"/>
  <c r="J161" i="45"/>
  <c r="K161" i="45" s="1"/>
  <c r="J162" i="45"/>
  <c r="K162" i="45" s="1"/>
  <c r="J163" i="45"/>
  <c r="J164" i="45"/>
  <c r="K164" i="45" s="1"/>
  <c r="J165" i="45"/>
  <c r="J166" i="45"/>
  <c r="K166" i="45" s="1"/>
  <c r="J167" i="45"/>
  <c r="J168" i="45"/>
  <c r="K168" i="45" s="1"/>
  <c r="J169" i="45"/>
  <c r="K169" i="45" s="1"/>
  <c r="J170" i="45"/>
  <c r="K170" i="45" s="1"/>
  <c r="J171" i="45"/>
  <c r="J172" i="45"/>
  <c r="K172" i="45" s="1"/>
  <c r="J173" i="45"/>
  <c r="J174" i="45"/>
  <c r="K174" i="45" s="1"/>
  <c r="J175" i="45"/>
  <c r="J176" i="45"/>
  <c r="K176" i="45" s="1"/>
  <c r="J177" i="45"/>
  <c r="K177" i="45" s="1"/>
  <c r="J178" i="45"/>
  <c r="K178" i="45" s="1"/>
  <c r="J179" i="45"/>
  <c r="J180" i="45"/>
  <c r="K180" i="45" s="1"/>
  <c r="J181" i="45"/>
  <c r="J182" i="45"/>
  <c r="K182" i="45" s="1"/>
  <c r="J183" i="45"/>
  <c r="J184" i="45"/>
  <c r="K184" i="45" s="1"/>
  <c r="J185" i="45"/>
  <c r="K185" i="45" s="1"/>
  <c r="J186" i="45"/>
  <c r="K186" i="45" s="1"/>
  <c r="J187" i="45"/>
  <c r="J188" i="45"/>
  <c r="K188" i="45" s="1"/>
  <c r="J189" i="45"/>
  <c r="J190" i="45"/>
  <c r="K190" i="45" s="1"/>
  <c r="J191" i="45"/>
  <c r="J192" i="45"/>
  <c r="K192" i="45" s="1"/>
  <c r="J193" i="45"/>
  <c r="K193" i="45" s="1"/>
  <c r="J194" i="45"/>
  <c r="K194" i="45" s="1"/>
  <c r="J195" i="45"/>
  <c r="J196" i="45"/>
  <c r="K196" i="45" s="1"/>
  <c r="J197" i="45"/>
  <c r="J198" i="45"/>
  <c r="K198" i="45" s="1"/>
  <c r="J199" i="45"/>
  <c r="J200" i="45"/>
  <c r="K200" i="45" s="1"/>
  <c r="J201" i="45"/>
  <c r="K201" i="45" s="1"/>
  <c r="J202" i="45"/>
  <c r="K202" i="45" s="1"/>
  <c r="J203" i="45"/>
  <c r="J204" i="45"/>
  <c r="K204" i="45" s="1"/>
  <c r="J205" i="45"/>
  <c r="J206" i="45"/>
  <c r="K206" i="45" s="1"/>
  <c r="J207" i="45"/>
  <c r="J208" i="45"/>
  <c r="K208" i="45" s="1"/>
  <c r="J209" i="45"/>
  <c r="K209" i="45" s="1"/>
  <c r="J210" i="45"/>
  <c r="K210" i="45" s="1"/>
  <c r="J211" i="45"/>
  <c r="J212" i="45"/>
  <c r="K212" i="45" s="1"/>
  <c r="J213" i="45"/>
  <c r="J214" i="45"/>
  <c r="K214" i="45" s="1"/>
  <c r="J215" i="45"/>
  <c r="J216" i="45"/>
  <c r="K216" i="45" s="1"/>
  <c r="J217" i="45"/>
  <c r="K217" i="45" s="1"/>
  <c r="J218" i="45"/>
  <c r="K218" i="45" s="1"/>
  <c r="J219" i="45"/>
  <c r="J220" i="45"/>
  <c r="K220" i="45" s="1"/>
  <c r="J221" i="45"/>
  <c r="J222" i="45"/>
  <c r="K222" i="45" s="1"/>
  <c r="J223" i="45"/>
  <c r="J224" i="45"/>
  <c r="K224" i="45" s="1"/>
  <c r="J225" i="45"/>
  <c r="K225" i="45" s="1"/>
  <c r="J226" i="45"/>
  <c r="K226" i="45" s="1"/>
  <c r="J227" i="45"/>
  <c r="J228" i="45"/>
  <c r="K228" i="45" s="1"/>
  <c r="J229" i="45"/>
  <c r="J230" i="45"/>
  <c r="K230" i="45" s="1"/>
  <c r="J231" i="45"/>
  <c r="J232" i="45"/>
  <c r="K232" i="45" s="1"/>
  <c r="J233" i="45"/>
  <c r="K233" i="45" s="1"/>
  <c r="J234" i="45"/>
  <c r="K234" i="45" s="1"/>
  <c r="J235" i="45"/>
  <c r="J236" i="45"/>
  <c r="K236" i="45" s="1"/>
  <c r="J237" i="45"/>
  <c r="J238" i="45"/>
  <c r="K238" i="45" s="1"/>
  <c r="J239" i="45"/>
  <c r="J240" i="45"/>
  <c r="K240" i="45" s="1"/>
  <c r="J241" i="45"/>
  <c r="K241" i="45" s="1"/>
  <c r="J242" i="45"/>
  <c r="K242" i="45" s="1"/>
  <c r="J243" i="45"/>
  <c r="J244" i="45"/>
  <c r="K244" i="45" s="1"/>
  <c r="J245" i="45"/>
  <c r="J246" i="45"/>
  <c r="K246" i="45" s="1"/>
  <c r="J247" i="45"/>
  <c r="J248" i="45"/>
  <c r="K248" i="45" s="1"/>
  <c r="J249" i="45"/>
  <c r="K249" i="45" s="1"/>
  <c r="J250" i="45"/>
  <c r="K250" i="45" s="1"/>
  <c r="J251" i="45"/>
  <c r="J252" i="45"/>
  <c r="K252" i="45" s="1"/>
  <c r="J253" i="45"/>
  <c r="J254" i="45"/>
  <c r="K254" i="45" s="1"/>
  <c r="J255" i="45"/>
  <c r="J256" i="45"/>
  <c r="K256" i="45" s="1"/>
  <c r="J257" i="45"/>
  <c r="K257" i="45" s="1"/>
  <c r="J258" i="45"/>
  <c r="K258" i="45" s="1"/>
  <c r="J259" i="45"/>
  <c r="J260" i="45"/>
  <c r="K260" i="45" s="1"/>
  <c r="J261" i="45"/>
  <c r="J262" i="45"/>
  <c r="K262" i="45" s="1"/>
  <c r="J263" i="45"/>
  <c r="J264" i="45"/>
  <c r="K264" i="45" s="1"/>
  <c r="J265" i="45"/>
  <c r="K265" i="45" s="1"/>
  <c r="J266" i="45"/>
  <c r="K266" i="45" s="1"/>
  <c r="J267" i="45"/>
  <c r="J268" i="45"/>
  <c r="K268" i="45" s="1"/>
  <c r="J269" i="45"/>
  <c r="J270" i="45"/>
  <c r="K270" i="45" s="1"/>
  <c r="J271" i="45"/>
  <c r="J272" i="45"/>
  <c r="K272" i="45" s="1"/>
  <c r="J273" i="45"/>
  <c r="K273" i="45" s="1"/>
  <c r="J274" i="45"/>
  <c r="K274" i="45" s="1"/>
  <c r="J275" i="45"/>
  <c r="J276" i="45"/>
  <c r="K276" i="45" s="1"/>
  <c r="J277" i="45"/>
  <c r="J278" i="45"/>
  <c r="K278" i="45" s="1"/>
  <c r="J279" i="45"/>
  <c r="J280" i="45"/>
  <c r="K280" i="45" s="1"/>
  <c r="J281" i="45"/>
  <c r="K281" i="45" s="1"/>
  <c r="J282" i="45"/>
  <c r="K282" i="45" s="1"/>
  <c r="J283" i="45"/>
  <c r="J284" i="45"/>
  <c r="K284" i="45" s="1"/>
  <c r="J285" i="45"/>
  <c r="J286" i="45"/>
  <c r="K286" i="45" s="1"/>
  <c r="J287" i="45"/>
  <c r="J288" i="45"/>
  <c r="K288" i="45" s="1"/>
  <c r="J289" i="45"/>
  <c r="K289" i="45" s="1"/>
  <c r="J290" i="45"/>
  <c r="K290" i="45" s="1"/>
  <c r="J291" i="45"/>
  <c r="J292" i="45"/>
  <c r="K292" i="45" s="1"/>
  <c r="J293" i="45"/>
  <c r="J294" i="45"/>
  <c r="K294" i="45" s="1"/>
  <c r="J295" i="45"/>
  <c r="J296" i="45"/>
  <c r="K296" i="45" s="1"/>
  <c r="J297" i="45"/>
  <c r="K297" i="45" s="1"/>
  <c r="J298" i="45"/>
  <c r="K298" i="45" s="1"/>
  <c r="J299" i="45"/>
  <c r="J300" i="45"/>
  <c r="K300" i="45" s="1"/>
  <c r="J301" i="45"/>
  <c r="J302" i="45"/>
  <c r="K302" i="45" s="1"/>
  <c r="J303" i="45"/>
  <c r="J304" i="45"/>
  <c r="K304" i="45" s="1"/>
  <c r="J305" i="45"/>
  <c r="K305" i="45" s="1"/>
  <c r="J306" i="45"/>
  <c r="K306" i="45" s="1"/>
  <c r="J307" i="45"/>
  <c r="J308" i="45"/>
  <c r="K308" i="45" s="1"/>
  <c r="J309" i="45"/>
  <c r="J310" i="45"/>
  <c r="K310" i="45" s="1"/>
  <c r="J311" i="45"/>
  <c r="J312" i="45"/>
  <c r="K312" i="45" s="1"/>
  <c r="J313" i="45"/>
  <c r="K313" i="45" s="1"/>
  <c r="J314" i="45"/>
  <c r="K314" i="45" s="1"/>
  <c r="J315" i="45"/>
  <c r="J316" i="45"/>
  <c r="K316" i="45" s="1"/>
  <c r="J317" i="45"/>
  <c r="J318" i="45"/>
  <c r="K318" i="45" s="1"/>
  <c r="J319" i="45"/>
  <c r="J320" i="45"/>
  <c r="K320" i="45" s="1"/>
  <c r="J321" i="45"/>
  <c r="K321" i="45" s="1"/>
  <c r="J322" i="45"/>
  <c r="K322" i="45" s="1"/>
  <c r="J323" i="45"/>
  <c r="J324" i="45"/>
  <c r="K324" i="45" s="1"/>
  <c r="J325" i="45"/>
  <c r="J326" i="45"/>
  <c r="K326" i="45" s="1"/>
  <c r="J327" i="45"/>
  <c r="J328" i="45"/>
  <c r="K328" i="45" s="1"/>
  <c r="J329" i="45"/>
  <c r="K329" i="45" s="1"/>
  <c r="J330" i="45"/>
  <c r="K330" i="45" s="1"/>
  <c r="J331" i="45"/>
  <c r="J332" i="45"/>
  <c r="K332" i="45" s="1"/>
  <c r="J333" i="45"/>
  <c r="J334" i="45"/>
  <c r="K334" i="45" s="1"/>
  <c r="J335" i="45"/>
  <c r="J336" i="45"/>
  <c r="K336" i="45" s="1"/>
  <c r="J337" i="45"/>
  <c r="K337" i="45" s="1"/>
  <c r="J338" i="45"/>
  <c r="K338" i="45" s="1"/>
  <c r="J339" i="45"/>
  <c r="J340" i="45"/>
  <c r="K340" i="45" s="1"/>
  <c r="J341" i="45"/>
  <c r="J342" i="45"/>
  <c r="K342" i="45" s="1"/>
  <c r="J343" i="45"/>
  <c r="J344" i="45"/>
  <c r="K344" i="45" s="1"/>
  <c r="J345" i="45"/>
  <c r="K345" i="45" s="1"/>
  <c r="J346" i="45"/>
  <c r="K346" i="45" s="1"/>
  <c r="J347" i="45"/>
  <c r="J348" i="45"/>
  <c r="K348" i="45" s="1"/>
  <c r="J349" i="45"/>
  <c r="J350" i="45"/>
  <c r="K350" i="45" s="1"/>
  <c r="J351" i="45"/>
  <c r="J126" i="45"/>
  <c r="K126" i="45" s="1"/>
  <c r="J125" i="45"/>
  <c r="K125" i="45" s="1"/>
  <c r="X122" i="45"/>
  <c r="X121" i="45"/>
  <c r="K349" i="45" l="1"/>
  <c r="K331" i="45"/>
  <c r="K325" i="45"/>
  <c r="K307" i="45"/>
  <c r="K301" i="45"/>
  <c r="K283" i="45"/>
  <c r="K277" i="45"/>
  <c r="K259" i="45"/>
  <c r="K253" i="45"/>
  <c r="K235" i="45"/>
  <c r="K229" i="45"/>
  <c r="K211" i="45"/>
  <c r="K205" i="45"/>
  <c r="K187" i="45"/>
  <c r="K181" i="45"/>
  <c r="K163" i="45"/>
  <c r="K157" i="45"/>
  <c r="K139" i="45"/>
  <c r="K133" i="45"/>
  <c r="K347" i="45"/>
  <c r="K341" i="45"/>
  <c r="K323" i="45"/>
  <c r="K317" i="45"/>
  <c r="K299" i="45"/>
  <c r="K293" i="45"/>
  <c r="K275" i="45"/>
  <c r="K269" i="45"/>
  <c r="K251" i="45"/>
  <c r="K245" i="45"/>
  <c r="K227" i="45"/>
  <c r="K221" i="45"/>
  <c r="K203" i="45"/>
  <c r="K197" i="45"/>
  <c r="K179" i="45"/>
  <c r="K173" i="45"/>
  <c r="K155" i="45"/>
  <c r="K149" i="45"/>
  <c r="K131" i="45"/>
  <c r="K339" i="45"/>
  <c r="K333" i="45"/>
  <c r="K315" i="45"/>
  <c r="K309" i="45"/>
  <c r="K291" i="45"/>
  <c r="K285" i="45"/>
  <c r="K267" i="45"/>
  <c r="K261" i="45"/>
  <c r="K243" i="45"/>
  <c r="K237" i="45"/>
  <c r="K219" i="45"/>
  <c r="K213" i="45"/>
  <c r="K195" i="45"/>
  <c r="K189" i="45"/>
  <c r="K171" i="45"/>
  <c r="K165" i="45"/>
  <c r="K147" i="45"/>
  <c r="K141" i="45"/>
  <c r="K153" i="45"/>
  <c r="K145" i="45"/>
  <c r="K137" i="45"/>
  <c r="K129" i="45"/>
  <c r="K351" i="45"/>
  <c r="K343" i="45"/>
  <c r="K335" i="45"/>
  <c r="K327" i="45"/>
  <c r="K319" i="45"/>
  <c r="K311" i="45"/>
  <c r="K303" i="45"/>
  <c r="K295" i="45"/>
  <c r="K287" i="45"/>
  <c r="K279" i="45"/>
  <c r="K271" i="45"/>
  <c r="K263" i="45"/>
  <c r="K255" i="45"/>
  <c r="K247" i="45"/>
  <c r="K239" i="45"/>
  <c r="K231" i="45"/>
  <c r="K223" i="45"/>
  <c r="K215" i="45"/>
  <c r="K207" i="45"/>
  <c r="K199" i="45"/>
  <c r="K191" i="45"/>
  <c r="K183" i="45"/>
  <c r="K175" i="45"/>
  <c r="K167" i="45"/>
  <c r="K159" i="45"/>
  <c r="K151" i="45"/>
  <c r="K143" i="45"/>
  <c r="K135" i="45"/>
  <c r="K127" i="45"/>
  <c r="L218" i="45" l="1"/>
  <c r="L266" i="45"/>
  <c r="L267" i="45"/>
  <c r="L322" i="45"/>
  <c r="L330" i="45"/>
  <c r="L197" i="45"/>
  <c r="L188" i="45"/>
  <c r="L258" i="45"/>
  <c r="L277" i="45"/>
  <c r="L212" i="45"/>
  <c r="L186" i="45"/>
  <c r="L323" i="45"/>
  <c r="L229" i="45"/>
  <c r="L201" i="45"/>
  <c r="L309" i="45"/>
  <c r="L341" i="45"/>
  <c r="L348" i="45"/>
  <c r="L287" i="45"/>
  <c r="L185" i="45"/>
  <c r="L202" i="45"/>
  <c r="L194" i="45"/>
  <c r="L240" i="45"/>
  <c r="L217" i="45"/>
  <c r="L292" i="45"/>
  <c r="L187" i="45"/>
  <c r="L275" i="45"/>
  <c r="L206" i="45"/>
  <c r="L260" i="45"/>
  <c r="L279" i="45"/>
  <c r="L339" i="45"/>
  <c r="L228" i="45"/>
  <c r="L208" i="45"/>
  <c r="L269" i="45"/>
  <c r="L272" i="45"/>
  <c r="L256" i="45"/>
  <c r="L254" i="45"/>
  <c r="L247" i="45"/>
  <c r="L320" i="45"/>
  <c r="L230" i="45"/>
  <c r="L329" i="45"/>
  <c r="L278" i="45"/>
  <c r="L274" i="45"/>
  <c r="L316" i="45"/>
  <c r="L249" i="45"/>
  <c r="L317" i="45"/>
  <c r="L335" i="45"/>
  <c r="L347" i="45"/>
  <c r="L243" i="45"/>
  <c r="L276" i="45"/>
  <c r="L200" i="45"/>
  <c r="L198" i="45"/>
  <c r="L199" i="45"/>
  <c r="L250" i="45"/>
  <c r="L285" i="45"/>
  <c r="L270" i="45"/>
  <c r="L343" i="45"/>
  <c r="L298" i="45"/>
  <c r="L288" i="45"/>
  <c r="L268" i="45"/>
  <c r="L239" i="45"/>
  <c r="L252" i="45"/>
  <c r="L222" i="45"/>
  <c r="L326" i="45"/>
  <c r="L284" i="45"/>
  <c r="L257" i="45"/>
  <c r="L321" i="45"/>
  <c r="L227" i="45"/>
  <c r="L307" i="45"/>
  <c r="L223" i="45"/>
  <c r="L233" i="45"/>
  <c r="L296" i="45"/>
  <c r="L231" i="45"/>
  <c r="L214" i="45"/>
  <c r="L290" i="45"/>
  <c r="L325" i="45"/>
  <c r="L294" i="45"/>
  <c r="L282" i="45"/>
  <c r="L346" i="45"/>
  <c r="L312" i="45"/>
  <c r="L301" i="45"/>
  <c r="L302" i="45"/>
  <c r="L271" i="45"/>
  <c r="L242" i="45"/>
  <c r="L235" i="45"/>
  <c r="L319" i="45"/>
  <c r="L273" i="45"/>
  <c r="L337" i="45"/>
  <c r="L264" i="45"/>
  <c r="L220" i="45"/>
  <c r="L327" i="45"/>
  <c r="L237" i="45"/>
  <c r="L213" i="45"/>
  <c r="L338" i="45"/>
  <c r="L333" i="45"/>
  <c r="L334" i="45"/>
  <c r="L314" i="45"/>
  <c r="L203" i="45"/>
  <c r="L336" i="45"/>
  <c r="L331" i="45"/>
  <c r="L311" i="45"/>
  <c r="L293" i="45"/>
  <c r="L253" i="45"/>
  <c r="L299" i="45"/>
  <c r="L351" i="45"/>
  <c r="L281" i="45"/>
  <c r="L345" i="45"/>
  <c r="L286" i="45"/>
  <c r="L244" i="45"/>
  <c r="L300" i="45"/>
  <c r="L280" i="45"/>
  <c r="L262" i="45"/>
  <c r="L265" i="45"/>
  <c r="L255" i="45"/>
  <c r="L209" i="45"/>
  <c r="L192" i="45"/>
  <c r="L190" i="45"/>
  <c r="L195" i="45"/>
  <c r="L221" i="45"/>
  <c r="L349" i="45"/>
  <c r="L342" i="45"/>
  <c r="L297" i="45"/>
  <c r="L224" i="45"/>
  <c r="L251" i="45"/>
  <c r="L340" i="45"/>
  <c r="L332" i="45"/>
  <c r="L303" i="45"/>
  <c r="L263" i="45"/>
  <c r="L216" i="45"/>
  <c r="L225" i="45"/>
  <c r="L289" i="45"/>
  <c r="L295" i="45"/>
  <c r="L318" i="45"/>
  <c r="L310" i="45"/>
  <c r="L189" i="45"/>
  <c r="L193" i="45"/>
  <c r="L191" i="45"/>
  <c r="L207" i="45"/>
  <c r="L245" i="45"/>
  <c r="L234" i="45"/>
  <c r="L226" i="45"/>
  <c r="L232" i="45"/>
  <c r="L315" i="45"/>
  <c r="L259" i="45"/>
  <c r="L344" i="45"/>
  <c r="L324" i="45"/>
  <c r="L283" i="45"/>
  <c r="L236" i="45"/>
  <c r="L241" i="45"/>
  <c r="L305" i="45"/>
  <c r="L306" i="45"/>
  <c r="L328" i="45"/>
  <c r="L308" i="45"/>
  <c r="L291" i="45"/>
  <c r="L196" i="45"/>
  <c r="L204" i="45"/>
  <c r="L211" i="45"/>
  <c r="L205" i="45"/>
  <c r="L210" i="45"/>
  <c r="L261" i="45"/>
  <c r="L215" i="45"/>
  <c r="L248" i="45"/>
  <c r="L238" i="45"/>
  <c r="L219" i="45"/>
  <c r="L304" i="45"/>
  <c r="L246" i="45"/>
  <c r="L313" i="45"/>
  <c r="L350" i="45"/>
  <c r="E58" i="55" l="1"/>
  <c r="F58" i="55" s="1"/>
  <c r="C16" i="55" l="1"/>
  <c r="C38" i="55" s="1"/>
  <c r="D73" i="55"/>
  <c r="C39" i="55"/>
  <c r="E59" i="55"/>
  <c r="F59" i="55" s="1"/>
  <c r="H58" i="55" s="1"/>
  <c r="J58" i="55" s="1"/>
  <c r="D59" i="55" l="1"/>
  <c r="D58" i="55"/>
  <c r="G4019" i="31" l="1"/>
  <c r="G4020" i="31"/>
  <c r="B191" i="50" s="1"/>
  <c r="J20" i="32" l="1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14" i="32"/>
  <c r="J115" i="32"/>
  <c r="B2" i="4" s="1"/>
  <c r="J116" i="32"/>
  <c r="J117" i="32"/>
  <c r="B4" i="4" s="1"/>
  <c r="J118" i="32"/>
  <c r="J119" i="32"/>
  <c r="J120" i="32"/>
  <c r="J121" i="32"/>
  <c r="J122" i="32"/>
  <c r="B9" i="4" s="1"/>
  <c r="J123" i="32"/>
  <c r="B10" i="4" s="1"/>
  <c r="J124" i="32"/>
  <c r="J125" i="32"/>
  <c r="B12" i="4" s="1"/>
  <c r="J126" i="32"/>
  <c r="J127" i="32"/>
  <c r="J128" i="32"/>
  <c r="J129" i="32"/>
  <c r="J130" i="32"/>
  <c r="B17" i="4" s="1"/>
  <c r="J131" i="32"/>
  <c r="B18" i="4" s="1"/>
  <c r="J132" i="32"/>
  <c r="J133" i="32"/>
  <c r="B20" i="4" s="1"/>
  <c r="J134" i="32"/>
  <c r="J135" i="32"/>
  <c r="J136" i="32"/>
  <c r="J137" i="32"/>
  <c r="J138" i="32"/>
  <c r="B25" i="4" s="1"/>
  <c r="J139" i="32"/>
  <c r="B26" i="4" s="1"/>
  <c r="J140" i="32"/>
  <c r="J141" i="32"/>
  <c r="B28" i="4" s="1"/>
  <c r="J142" i="32"/>
  <c r="J143" i="32"/>
  <c r="J144" i="32"/>
  <c r="J145" i="32"/>
  <c r="J146" i="32"/>
  <c r="B33" i="4" s="1"/>
  <c r="J147" i="32"/>
  <c r="B34" i="4" s="1"/>
  <c r="J148" i="32"/>
  <c r="J149" i="32"/>
  <c r="B36" i="4" s="1"/>
  <c r="J150" i="32"/>
  <c r="J151" i="32"/>
  <c r="J152" i="32"/>
  <c r="J153" i="32"/>
  <c r="J154" i="32"/>
  <c r="B41" i="4" s="1"/>
  <c r="J155" i="32"/>
  <c r="B42" i="4" s="1"/>
  <c r="J156" i="32"/>
  <c r="J157" i="32"/>
  <c r="B44" i="4" s="1"/>
  <c r="J158" i="32"/>
  <c r="J159" i="32"/>
  <c r="J160" i="32"/>
  <c r="J161" i="32"/>
  <c r="J162" i="32"/>
  <c r="B49" i="4" s="1"/>
  <c r="J163" i="32"/>
  <c r="B50" i="4" s="1"/>
  <c r="J164" i="32"/>
  <c r="J165" i="32"/>
  <c r="B52" i="4" s="1"/>
  <c r="J166" i="32"/>
  <c r="J167" i="32"/>
  <c r="J168" i="32"/>
  <c r="J169" i="32"/>
  <c r="J170" i="32"/>
  <c r="B57" i="4" s="1"/>
  <c r="J171" i="32"/>
  <c r="B58" i="4" s="1"/>
  <c r="J172" i="32"/>
  <c r="J173" i="32"/>
  <c r="B60" i="4" s="1"/>
  <c r="J174" i="32"/>
  <c r="J175" i="32"/>
  <c r="J176" i="32"/>
  <c r="J177" i="32"/>
  <c r="J178" i="32"/>
  <c r="B65" i="4" s="1"/>
  <c r="J179" i="32"/>
  <c r="B66" i="4" s="1"/>
  <c r="J180" i="32"/>
  <c r="J181" i="32"/>
  <c r="B68" i="4" s="1"/>
  <c r="J182" i="32"/>
  <c r="J183" i="32"/>
  <c r="J184" i="32"/>
  <c r="J185" i="32"/>
  <c r="J186" i="32"/>
  <c r="B73" i="4" s="1"/>
  <c r="J187" i="32"/>
  <c r="B74" i="4" s="1"/>
  <c r="J188" i="32"/>
  <c r="J189" i="32"/>
  <c r="B76" i="4" s="1"/>
  <c r="J190" i="32"/>
  <c r="J191" i="32"/>
  <c r="J192" i="32"/>
  <c r="J193" i="32"/>
  <c r="J194" i="32"/>
  <c r="B81" i="4" s="1"/>
  <c r="J195" i="32"/>
  <c r="B82" i="4" s="1"/>
  <c r="J196" i="32"/>
  <c r="J197" i="32"/>
  <c r="B84" i="4" s="1"/>
  <c r="J198" i="32"/>
  <c r="J199" i="32"/>
  <c r="J200" i="32"/>
  <c r="J201" i="32"/>
  <c r="J202" i="32"/>
  <c r="B89" i="4" s="1"/>
  <c r="J203" i="32"/>
  <c r="B90" i="4" s="1"/>
  <c r="J204" i="32"/>
  <c r="J205" i="32"/>
  <c r="B92" i="4" s="1"/>
  <c r="J206" i="32"/>
  <c r="J207" i="32"/>
  <c r="J208" i="32"/>
  <c r="J209" i="32"/>
  <c r="J210" i="32"/>
  <c r="B97" i="4" s="1"/>
  <c r="J211" i="32"/>
  <c r="B98" i="4" s="1"/>
  <c r="J212" i="32"/>
  <c r="J213" i="32"/>
  <c r="B100" i="4" s="1"/>
  <c r="J214" i="32"/>
  <c r="J215" i="32"/>
  <c r="J216" i="32"/>
  <c r="J217" i="32"/>
  <c r="J218" i="32"/>
  <c r="B105" i="4" s="1"/>
  <c r="J219" i="32"/>
  <c r="B106" i="4" s="1"/>
  <c r="J220" i="32"/>
  <c r="J221" i="32"/>
  <c r="J222" i="32"/>
  <c r="J223" i="32"/>
  <c r="J224" i="32"/>
  <c r="J225" i="32"/>
  <c r="J19" i="3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100" i="52"/>
  <c r="C101" i="52"/>
  <c r="C102" i="52"/>
  <c r="C103" i="52"/>
  <c r="C104" i="52"/>
  <c r="C105" i="52"/>
  <c r="C106" i="52"/>
  <c r="C107" i="52"/>
  <c r="C108" i="52"/>
  <c r="C109" i="52"/>
  <c r="C110" i="52"/>
  <c r="C111" i="52"/>
  <c r="C112" i="52"/>
  <c r="C113" i="52"/>
  <c r="C114" i="52"/>
  <c r="C115" i="52"/>
  <c r="C116" i="52"/>
  <c r="C117" i="52"/>
  <c r="C118" i="52"/>
  <c r="C119" i="52"/>
  <c r="C120" i="52"/>
  <c r="C121" i="52"/>
  <c r="C122" i="52"/>
  <c r="C123" i="52"/>
  <c r="C124" i="52"/>
  <c r="C125" i="52"/>
  <c r="C126" i="52"/>
  <c r="C127" i="52"/>
  <c r="C128" i="52"/>
  <c r="C129" i="52"/>
  <c r="C130" i="52"/>
  <c r="C131" i="52"/>
  <c r="C132" i="52"/>
  <c r="C133" i="52"/>
  <c r="C134" i="52"/>
  <c r="C135" i="52"/>
  <c r="C136" i="52"/>
  <c r="C137" i="52"/>
  <c r="C138" i="52"/>
  <c r="C139" i="52"/>
  <c r="C140" i="52"/>
  <c r="C141" i="52"/>
  <c r="C142" i="52"/>
  <c r="C143" i="52"/>
  <c r="C144" i="52"/>
  <c r="C145" i="52"/>
  <c r="C146" i="52"/>
  <c r="C147" i="52"/>
  <c r="C148" i="52"/>
  <c r="C149" i="52"/>
  <c r="C150" i="52"/>
  <c r="C151" i="52"/>
  <c r="C152" i="52"/>
  <c r="C153" i="52"/>
  <c r="C154" i="52"/>
  <c r="C155" i="52"/>
  <c r="C156" i="52"/>
  <c r="C157" i="52"/>
  <c r="C158" i="52"/>
  <c r="C159" i="52"/>
  <c r="C160" i="52"/>
  <c r="C161" i="52"/>
  <c r="C162" i="52"/>
  <c r="C163" i="52"/>
  <c r="C164" i="52"/>
  <c r="C165" i="52"/>
  <c r="C166" i="52"/>
  <c r="C167" i="52"/>
  <c r="C168" i="52"/>
  <c r="C169" i="52"/>
  <c r="C170" i="52"/>
  <c r="C171" i="52"/>
  <c r="C172" i="52"/>
  <c r="C173" i="52"/>
  <c r="C174" i="52"/>
  <c r="C175" i="52"/>
  <c r="C176" i="52"/>
  <c r="C177" i="52"/>
  <c r="C178" i="52"/>
  <c r="C179" i="52"/>
  <c r="C180" i="52"/>
  <c r="C181" i="52"/>
  <c r="C182" i="52"/>
  <c r="C183" i="52"/>
  <c r="C184" i="52"/>
  <c r="C185" i="52"/>
  <c r="C186" i="52"/>
  <c r="C187" i="52"/>
  <c r="C188" i="52"/>
  <c r="C189" i="52"/>
  <c r="C190" i="52"/>
  <c r="C191" i="52"/>
  <c r="C192" i="52"/>
  <c r="C193" i="52"/>
  <c r="C194" i="52"/>
  <c r="C195" i="52"/>
  <c r="C196" i="52"/>
  <c r="C197" i="52"/>
  <c r="C198" i="52"/>
  <c r="C199" i="52"/>
  <c r="C200" i="52"/>
  <c r="C201" i="52"/>
  <c r="C202" i="52"/>
  <c r="C203" i="52"/>
  <c r="C204" i="52"/>
  <c r="C205" i="52"/>
  <c r="C206" i="52"/>
  <c r="C207" i="52"/>
  <c r="C208" i="52"/>
  <c r="C209" i="52"/>
  <c r="C210" i="52"/>
  <c r="C211" i="52"/>
  <c r="C212" i="52"/>
  <c r="C213" i="52"/>
  <c r="C214" i="52"/>
  <c r="C215" i="52"/>
  <c r="C216" i="52"/>
  <c r="C217" i="52"/>
  <c r="C218" i="52"/>
  <c r="C219" i="52"/>
  <c r="C220" i="52"/>
  <c r="C221" i="52"/>
  <c r="C222" i="52"/>
  <c r="C223" i="52"/>
  <c r="C224" i="52"/>
  <c r="C225" i="52"/>
  <c r="C226" i="52"/>
  <c r="C227" i="52"/>
  <c r="C228" i="52"/>
  <c r="C229" i="52"/>
  <c r="C230" i="52"/>
  <c r="C231" i="52"/>
  <c r="C232" i="52"/>
  <c r="C233" i="52"/>
  <c r="C234" i="52"/>
  <c r="C235" i="52"/>
  <c r="C236" i="52"/>
  <c r="C237" i="52"/>
  <c r="C238" i="52"/>
  <c r="C239" i="52"/>
  <c r="C240" i="52"/>
  <c r="C241" i="52"/>
  <c r="C242" i="52"/>
  <c r="C243" i="52"/>
  <c r="C244" i="52"/>
  <c r="C245" i="52"/>
  <c r="C246" i="52"/>
  <c r="C247" i="52"/>
  <c r="C248" i="52"/>
  <c r="C249" i="52"/>
  <c r="C250" i="52"/>
  <c r="C251" i="52"/>
  <c r="C252" i="52"/>
  <c r="C253" i="52"/>
  <c r="C254" i="52"/>
  <c r="C255" i="52"/>
  <c r="C256" i="52"/>
  <c r="C257" i="52"/>
  <c r="C258" i="52"/>
  <c r="C259" i="52"/>
  <c r="C260" i="52"/>
  <c r="C261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C289" i="52"/>
  <c r="C290" i="52"/>
  <c r="C291" i="52"/>
  <c r="C292" i="52"/>
  <c r="C293" i="52"/>
  <c r="C294" i="52"/>
  <c r="C295" i="52"/>
  <c r="C296" i="52"/>
  <c r="C297" i="52"/>
  <c r="C298" i="52"/>
  <c r="C299" i="52"/>
  <c r="C300" i="52"/>
  <c r="C301" i="52"/>
  <c r="C302" i="52"/>
  <c r="C303" i="52"/>
  <c r="C304" i="52"/>
  <c r="C305" i="52"/>
  <c r="C306" i="52"/>
  <c r="C307" i="52"/>
  <c r="C308" i="52"/>
  <c r="C309" i="52"/>
  <c r="C310" i="52"/>
  <c r="C311" i="52"/>
  <c r="C312" i="52"/>
  <c r="C313" i="52"/>
  <c r="C314" i="52"/>
  <c r="C315" i="52"/>
  <c r="C316" i="52"/>
  <c r="C317" i="52"/>
  <c r="C318" i="52"/>
  <c r="C319" i="52"/>
  <c r="C320" i="52"/>
  <c r="C321" i="52"/>
  <c r="C322" i="52"/>
  <c r="C323" i="52"/>
  <c r="C324" i="52"/>
  <c r="C325" i="52"/>
  <c r="C326" i="52"/>
  <c r="C327" i="52"/>
  <c r="C328" i="52"/>
  <c r="C329" i="52"/>
  <c r="C330" i="52"/>
  <c r="C331" i="52"/>
  <c r="C332" i="52"/>
  <c r="C333" i="52"/>
  <c r="C334" i="52"/>
  <c r="C335" i="52"/>
  <c r="C336" i="52"/>
  <c r="C337" i="52"/>
  <c r="C338" i="52"/>
  <c r="C339" i="52"/>
  <c r="C340" i="52"/>
  <c r="C341" i="52"/>
  <c r="C342" i="52"/>
  <c r="C343" i="52"/>
  <c r="C344" i="52"/>
  <c r="C345" i="52"/>
  <c r="C346" i="52"/>
  <c r="C347" i="52"/>
  <c r="C348" i="52"/>
  <c r="C349" i="52"/>
  <c r="C350" i="52"/>
  <c r="C351" i="52"/>
  <c r="C352" i="52"/>
  <c r="C353" i="52"/>
  <c r="C354" i="52"/>
  <c r="C355" i="52"/>
  <c r="C356" i="52"/>
  <c r="C357" i="52"/>
  <c r="C358" i="52"/>
  <c r="C359" i="52"/>
  <c r="C360" i="52"/>
  <c r="C361" i="52"/>
  <c r="C362" i="52"/>
  <c r="C363" i="52"/>
  <c r="C364" i="52"/>
  <c r="C365" i="52"/>
  <c r="C366" i="52"/>
  <c r="C367" i="52"/>
  <c r="C368" i="52"/>
  <c r="C369" i="52"/>
  <c r="C370" i="52"/>
  <c r="C371" i="52"/>
  <c r="C372" i="52"/>
  <c r="C373" i="52"/>
  <c r="C374" i="52"/>
  <c r="C375" i="52"/>
  <c r="C376" i="52"/>
  <c r="C377" i="52"/>
  <c r="C378" i="52"/>
  <c r="C379" i="52"/>
  <c r="C380" i="52"/>
  <c r="C381" i="52"/>
  <c r="C382" i="52"/>
  <c r="C383" i="52"/>
  <c r="C384" i="52"/>
  <c r="C385" i="52"/>
  <c r="C386" i="52"/>
  <c r="C387" i="52"/>
  <c r="C388" i="52"/>
  <c r="C389" i="52"/>
  <c r="C390" i="52"/>
  <c r="C391" i="52"/>
  <c r="C392" i="52"/>
  <c r="C393" i="52"/>
  <c r="C394" i="52"/>
  <c r="C395" i="52"/>
  <c r="C396" i="52"/>
  <c r="C397" i="52"/>
  <c r="C398" i="52"/>
  <c r="C399" i="52"/>
  <c r="C400" i="52"/>
  <c r="C401" i="52"/>
  <c r="C402" i="52"/>
  <c r="C403" i="52"/>
  <c r="C404" i="52"/>
  <c r="C405" i="52"/>
  <c r="C406" i="52"/>
  <c r="C407" i="52"/>
  <c r="C408" i="52"/>
  <c r="C409" i="52"/>
  <c r="C410" i="52"/>
  <c r="C411" i="52"/>
  <c r="C412" i="52"/>
  <c r="C413" i="52"/>
  <c r="C414" i="52"/>
  <c r="C415" i="52"/>
  <c r="C416" i="52"/>
  <c r="C417" i="52"/>
  <c r="C418" i="52"/>
  <c r="C419" i="52"/>
  <c r="C420" i="52"/>
  <c r="C421" i="52"/>
  <c r="C422" i="52"/>
  <c r="C423" i="52"/>
  <c r="C424" i="52"/>
  <c r="C425" i="52"/>
  <c r="C426" i="52"/>
  <c r="C427" i="52"/>
  <c r="C428" i="52"/>
  <c r="C429" i="52"/>
  <c r="C430" i="52"/>
  <c r="C431" i="52"/>
  <c r="C432" i="52"/>
  <c r="C433" i="52"/>
  <c r="C434" i="52"/>
  <c r="C435" i="52"/>
  <c r="C436" i="52"/>
  <c r="C437" i="52"/>
  <c r="C438" i="52"/>
  <c r="C439" i="52"/>
  <c r="C440" i="52"/>
  <c r="C441" i="52"/>
  <c r="C442" i="52"/>
  <c r="C443" i="52"/>
  <c r="C444" i="52"/>
  <c r="C445" i="52"/>
  <c r="C446" i="52"/>
  <c r="C447" i="52"/>
  <c r="C448" i="52"/>
  <c r="C449" i="52"/>
  <c r="C450" i="52"/>
  <c r="C451" i="52"/>
  <c r="C452" i="52"/>
  <c r="C453" i="52"/>
  <c r="C454" i="52"/>
  <c r="C455" i="52"/>
  <c r="C456" i="52"/>
  <c r="C457" i="52"/>
  <c r="C458" i="52"/>
  <c r="C459" i="52"/>
  <c r="C460" i="52"/>
  <c r="C461" i="52"/>
  <c r="C462" i="52"/>
  <c r="C463" i="52"/>
  <c r="C464" i="52"/>
  <c r="C465" i="52"/>
  <c r="C466" i="52"/>
  <c r="C467" i="52"/>
  <c r="C468" i="52"/>
  <c r="C469" i="52"/>
  <c r="C470" i="52"/>
  <c r="C471" i="52"/>
  <c r="C472" i="52"/>
  <c r="C473" i="52"/>
  <c r="C474" i="52"/>
  <c r="C475" i="52"/>
  <c r="C476" i="52"/>
  <c r="C477" i="52"/>
  <c r="C478" i="52"/>
  <c r="C479" i="52"/>
  <c r="C480" i="52"/>
  <c r="C481" i="52"/>
  <c r="C482" i="52"/>
  <c r="C483" i="52"/>
  <c r="C484" i="52"/>
  <c r="C485" i="52"/>
  <c r="C486" i="52"/>
  <c r="C487" i="52"/>
  <c r="C488" i="52"/>
  <c r="C489" i="52"/>
  <c r="C490" i="52"/>
  <c r="C491" i="52"/>
  <c r="C492" i="52"/>
  <c r="C493" i="52"/>
  <c r="C494" i="52"/>
  <c r="C495" i="52"/>
  <c r="C496" i="52"/>
  <c r="C497" i="52"/>
  <c r="C498" i="52"/>
  <c r="C499" i="52"/>
  <c r="C500" i="52"/>
  <c r="C501" i="52"/>
  <c r="C502" i="52"/>
  <c r="C503" i="52"/>
  <c r="C504" i="52"/>
  <c r="C505" i="52"/>
  <c r="C506" i="52"/>
  <c r="C507" i="52"/>
  <c r="C508" i="52"/>
  <c r="C509" i="52"/>
  <c r="C510" i="52"/>
  <c r="C511" i="52"/>
  <c r="C512" i="52"/>
  <c r="C513" i="52"/>
  <c r="C514" i="52"/>
  <c r="C515" i="52"/>
  <c r="C516" i="52"/>
  <c r="C517" i="52"/>
  <c r="C518" i="52"/>
  <c r="C519" i="52"/>
  <c r="C520" i="52"/>
  <c r="C521" i="52"/>
  <c r="C522" i="52"/>
  <c r="C523" i="52"/>
  <c r="C524" i="52"/>
  <c r="C525" i="52"/>
  <c r="C526" i="52"/>
  <c r="C527" i="52"/>
  <c r="C528" i="52"/>
  <c r="C529" i="52"/>
  <c r="C530" i="52"/>
  <c r="C531" i="52"/>
  <c r="C532" i="52"/>
  <c r="C533" i="52"/>
  <c r="C534" i="52"/>
  <c r="C535" i="52"/>
  <c r="C536" i="52"/>
  <c r="C537" i="52"/>
  <c r="C538" i="52"/>
  <c r="C539" i="52"/>
  <c r="C540" i="52"/>
  <c r="C541" i="52"/>
  <c r="C542" i="52"/>
  <c r="C543" i="52"/>
  <c r="C544" i="52"/>
  <c r="C545" i="52"/>
  <c r="C546" i="52"/>
  <c r="C547" i="52"/>
  <c r="C548" i="52"/>
  <c r="C549" i="52"/>
  <c r="C550" i="52"/>
  <c r="C551" i="52"/>
  <c r="C552" i="52"/>
  <c r="C553" i="52"/>
  <c r="C554" i="52"/>
  <c r="C555" i="52"/>
  <c r="C556" i="52"/>
  <c r="C557" i="52"/>
  <c r="C558" i="52"/>
  <c r="C559" i="52"/>
  <c r="C560" i="52"/>
  <c r="C561" i="52"/>
  <c r="C562" i="52"/>
  <c r="C563" i="52"/>
  <c r="C564" i="52"/>
  <c r="C565" i="52"/>
  <c r="C566" i="52"/>
  <c r="C567" i="52"/>
  <c r="C568" i="52"/>
  <c r="C569" i="52"/>
  <c r="C570" i="52"/>
  <c r="C571" i="52"/>
  <c r="C572" i="52"/>
  <c r="C573" i="52"/>
  <c r="C574" i="52"/>
  <c r="C575" i="52"/>
  <c r="C576" i="52"/>
  <c r="C577" i="52"/>
  <c r="C578" i="52"/>
  <c r="C579" i="52"/>
  <c r="C580" i="52"/>
  <c r="C581" i="52"/>
  <c r="C582" i="52"/>
  <c r="C583" i="52"/>
  <c r="C584" i="52"/>
  <c r="C585" i="52"/>
  <c r="C586" i="52"/>
  <c r="C587" i="52"/>
  <c r="C588" i="52"/>
  <c r="C589" i="52"/>
  <c r="C590" i="52"/>
  <c r="C591" i="52"/>
  <c r="C592" i="52"/>
  <c r="C593" i="52"/>
  <c r="C594" i="52"/>
  <c r="C595" i="52"/>
  <c r="C596" i="52"/>
  <c r="C597" i="52"/>
  <c r="C598" i="52"/>
  <c r="C599" i="52"/>
  <c r="C600" i="52"/>
  <c r="C601" i="52"/>
  <c r="C602" i="52"/>
  <c r="C603" i="52"/>
  <c r="C604" i="52"/>
  <c r="C605" i="52"/>
  <c r="C606" i="52"/>
  <c r="C607" i="52"/>
  <c r="C608" i="52"/>
  <c r="C609" i="52"/>
  <c r="C610" i="52"/>
  <c r="C611" i="52"/>
  <c r="C612" i="52"/>
  <c r="C613" i="52"/>
  <c r="C614" i="52"/>
  <c r="C615" i="52"/>
  <c r="C616" i="52"/>
  <c r="C617" i="52"/>
  <c r="C618" i="52"/>
  <c r="C619" i="52"/>
  <c r="C620" i="52"/>
  <c r="C621" i="52"/>
  <c r="C622" i="52"/>
  <c r="C623" i="52"/>
  <c r="C624" i="52"/>
  <c r="C625" i="52"/>
  <c r="C626" i="52"/>
  <c r="C627" i="52"/>
  <c r="C628" i="52"/>
  <c r="C629" i="52"/>
  <c r="C630" i="52"/>
  <c r="C631" i="52"/>
  <c r="C632" i="52"/>
  <c r="C633" i="52"/>
  <c r="C634" i="52"/>
  <c r="C635" i="52"/>
  <c r="C636" i="52"/>
  <c r="C637" i="52"/>
  <c r="C638" i="52"/>
  <c r="C639" i="52"/>
  <c r="C640" i="52"/>
  <c r="C641" i="52"/>
  <c r="C642" i="52"/>
  <c r="C643" i="52"/>
  <c r="C644" i="52"/>
  <c r="C645" i="52"/>
  <c r="C646" i="52"/>
  <c r="C647" i="52"/>
  <c r="C648" i="52"/>
  <c r="C649" i="52"/>
  <c r="C650" i="52"/>
  <c r="C651" i="52"/>
  <c r="C652" i="52"/>
  <c r="C653" i="52"/>
  <c r="C654" i="52"/>
  <c r="C655" i="52"/>
  <c r="C656" i="52"/>
  <c r="C657" i="52"/>
  <c r="C658" i="52"/>
  <c r="C659" i="52"/>
  <c r="C660" i="52"/>
  <c r="C661" i="52"/>
  <c r="C662" i="52"/>
  <c r="C663" i="52"/>
  <c r="C664" i="52"/>
  <c r="C665" i="52"/>
  <c r="C666" i="52"/>
  <c r="C667" i="52"/>
  <c r="C668" i="52"/>
  <c r="C669" i="52"/>
  <c r="C670" i="52"/>
  <c r="C671" i="52"/>
  <c r="C672" i="52"/>
  <c r="C673" i="52"/>
  <c r="C674" i="52"/>
  <c r="C675" i="52"/>
  <c r="C676" i="52"/>
  <c r="C677" i="52"/>
  <c r="C678" i="52"/>
  <c r="C679" i="52"/>
  <c r="C680" i="52"/>
  <c r="C681" i="52"/>
  <c r="C682" i="52"/>
  <c r="C683" i="52"/>
  <c r="C684" i="52"/>
  <c r="C685" i="52"/>
  <c r="C686" i="52"/>
  <c r="C687" i="52"/>
  <c r="C688" i="52"/>
  <c r="C689" i="52"/>
  <c r="C690" i="52"/>
  <c r="C691" i="52"/>
  <c r="C692" i="52"/>
  <c r="C693" i="52"/>
  <c r="C694" i="52"/>
  <c r="C695" i="52"/>
  <c r="C696" i="52"/>
  <c r="C697" i="52"/>
  <c r="C698" i="52"/>
  <c r="C699" i="52"/>
  <c r="C700" i="52"/>
  <c r="C701" i="52"/>
  <c r="C702" i="52"/>
  <c r="C703" i="52"/>
  <c r="C704" i="52"/>
  <c r="C705" i="52"/>
  <c r="C706" i="52"/>
  <c r="C707" i="52"/>
  <c r="C708" i="52"/>
  <c r="C709" i="52"/>
  <c r="C710" i="52"/>
  <c r="C711" i="52"/>
  <c r="C712" i="52"/>
  <c r="C713" i="52"/>
  <c r="C714" i="52"/>
  <c r="C715" i="52"/>
  <c r="C716" i="52"/>
  <c r="C717" i="52"/>
  <c r="C718" i="52"/>
  <c r="C719" i="52"/>
  <c r="C720" i="52"/>
  <c r="C721" i="52"/>
  <c r="C722" i="52"/>
  <c r="C723" i="52"/>
  <c r="C724" i="52"/>
  <c r="C725" i="52"/>
  <c r="C726" i="52"/>
  <c r="C727" i="52"/>
  <c r="C728" i="52"/>
  <c r="C729" i="52"/>
  <c r="C730" i="52"/>
  <c r="C731" i="52"/>
  <c r="C732" i="52"/>
  <c r="C733" i="52"/>
  <c r="C734" i="52"/>
  <c r="C735" i="52"/>
  <c r="C736" i="52"/>
  <c r="C737" i="52"/>
  <c r="C738" i="52"/>
  <c r="C739" i="52"/>
  <c r="C740" i="52"/>
  <c r="C741" i="52"/>
  <c r="C742" i="52"/>
  <c r="C743" i="52"/>
  <c r="C744" i="52"/>
  <c r="C745" i="52"/>
  <c r="C746" i="52"/>
  <c r="C747" i="52"/>
  <c r="C748" i="52"/>
  <c r="C749" i="52"/>
  <c r="C750" i="52"/>
  <c r="C751" i="52"/>
  <c r="C752" i="52"/>
  <c r="C753" i="52"/>
  <c r="C754" i="52"/>
  <c r="C755" i="52"/>
  <c r="C756" i="52"/>
  <c r="C757" i="52"/>
  <c r="C758" i="52"/>
  <c r="C759" i="52"/>
  <c r="C760" i="52"/>
  <c r="C761" i="52"/>
  <c r="C762" i="52"/>
  <c r="C763" i="52"/>
  <c r="C764" i="52"/>
  <c r="C765" i="52"/>
  <c r="C766" i="52"/>
  <c r="C767" i="52"/>
  <c r="C768" i="52"/>
  <c r="C769" i="52"/>
  <c r="C770" i="52"/>
  <c r="C771" i="52"/>
  <c r="C772" i="52"/>
  <c r="C773" i="52"/>
  <c r="C774" i="52"/>
  <c r="C775" i="52"/>
  <c r="C776" i="52"/>
  <c r="C777" i="52"/>
  <c r="C778" i="52"/>
  <c r="C779" i="52"/>
  <c r="C780" i="52"/>
  <c r="C781" i="52"/>
  <c r="C782" i="52"/>
  <c r="C783" i="52"/>
  <c r="C784" i="52"/>
  <c r="C785" i="52"/>
  <c r="C786" i="52"/>
  <c r="C787" i="52"/>
  <c r="C788" i="52"/>
  <c r="C789" i="52"/>
  <c r="C790" i="52"/>
  <c r="C791" i="52"/>
  <c r="C792" i="52"/>
  <c r="C793" i="52"/>
  <c r="C794" i="52"/>
  <c r="C795" i="52"/>
  <c r="C2" i="6" s="1"/>
  <c r="C796" i="52"/>
  <c r="C3" i="6" s="1"/>
  <c r="C797" i="52"/>
  <c r="C4" i="6" s="1"/>
  <c r="C798" i="52"/>
  <c r="C5" i="6" s="1"/>
  <c r="C799" i="52"/>
  <c r="C6" i="6" s="1"/>
  <c r="C800" i="52"/>
  <c r="C7" i="6" s="1"/>
  <c r="C801" i="52"/>
  <c r="C8" i="6" s="1"/>
  <c r="C802" i="52"/>
  <c r="C9" i="6" s="1"/>
  <c r="C803" i="52"/>
  <c r="C10" i="6" s="1"/>
  <c r="C804" i="52"/>
  <c r="C11" i="6" s="1"/>
  <c r="C805" i="52"/>
  <c r="C12" i="6" s="1"/>
  <c r="C806" i="52"/>
  <c r="C13" i="6" s="1"/>
  <c r="C807" i="52"/>
  <c r="C14" i="6" s="1"/>
  <c r="C808" i="52"/>
  <c r="C15" i="6" s="1"/>
  <c r="C809" i="52"/>
  <c r="C16" i="6" s="1"/>
  <c r="C810" i="52"/>
  <c r="C17" i="6" s="1"/>
  <c r="C811" i="52"/>
  <c r="C18" i="6" s="1"/>
  <c r="C812" i="52"/>
  <c r="C19" i="6" s="1"/>
  <c r="C813" i="52"/>
  <c r="C20" i="6" s="1"/>
  <c r="C814" i="52"/>
  <c r="C21" i="6" s="1"/>
  <c r="C815" i="52"/>
  <c r="C22" i="6" s="1"/>
  <c r="C816" i="52"/>
  <c r="C23" i="6" s="1"/>
  <c r="C817" i="52"/>
  <c r="C24" i="6" s="1"/>
  <c r="C818" i="52"/>
  <c r="C25" i="6" s="1"/>
  <c r="C819" i="52"/>
  <c r="C26" i="6" s="1"/>
  <c r="C820" i="52"/>
  <c r="C27" i="6" s="1"/>
  <c r="C821" i="52"/>
  <c r="C28" i="6" s="1"/>
  <c r="C822" i="52"/>
  <c r="C29" i="6" s="1"/>
  <c r="C823" i="52"/>
  <c r="C30" i="6" s="1"/>
  <c r="C824" i="52"/>
  <c r="C31" i="6" s="1"/>
  <c r="C825" i="52"/>
  <c r="C32" i="6" s="1"/>
  <c r="C826" i="52"/>
  <c r="C33" i="6" s="1"/>
  <c r="C827" i="52"/>
  <c r="C34" i="6" s="1"/>
  <c r="C828" i="52"/>
  <c r="C35" i="6" s="1"/>
  <c r="C829" i="52"/>
  <c r="C36" i="6" s="1"/>
  <c r="C830" i="52"/>
  <c r="C37" i="6" s="1"/>
  <c r="C831" i="52"/>
  <c r="C38" i="6" s="1"/>
  <c r="C832" i="52"/>
  <c r="C39" i="6" s="1"/>
  <c r="C833" i="52"/>
  <c r="C40" i="6" s="1"/>
  <c r="C834" i="52"/>
  <c r="C41" i="6" s="1"/>
  <c r="C835" i="52"/>
  <c r="C42" i="6" s="1"/>
  <c r="C836" i="52"/>
  <c r="C43" i="6" s="1"/>
  <c r="C837" i="52"/>
  <c r="C44" i="6" s="1"/>
  <c r="C838" i="52"/>
  <c r="C45" i="6" s="1"/>
  <c r="C839" i="52"/>
  <c r="C46" i="6" s="1"/>
  <c r="C840" i="52"/>
  <c r="C47" i="6" s="1"/>
  <c r="C841" i="52"/>
  <c r="C48" i="6" s="1"/>
  <c r="C842" i="52"/>
  <c r="C49" i="6" s="1"/>
  <c r="C843" i="52"/>
  <c r="C50" i="6" s="1"/>
  <c r="C844" i="52"/>
  <c r="C51" i="6" s="1"/>
  <c r="C845" i="52"/>
  <c r="C52" i="6" s="1"/>
  <c r="C846" i="52"/>
  <c r="C53" i="6" s="1"/>
  <c r="C847" i="52"/>
  <c r="C54" i="6" s="1"/>
  <c r="C848" i="52"/>
  <c r="C55" i="6" s="1"/>
  <c r="C849" i="52"/>
  <c r="C56" i="6" s="1"/>
  <c r="C850" i="52"/>
  <c r="C57" i="6" s="1"/>
  <c r="C851" i="52"/>
  <c r="C58" i="6" s="1"/>
  <c r="C852" i="52"/>
  <c r="C59" i="6" s="1"/>
  <c r="C853" i="52"/>
  <c r="C60" i="6" s="1"/>
  <c r="C854" i="52"/>
  <c r="C61" i="6" s="1"/>
  <c r="C855" i="52"/>
  <c r="C62" i="6" s="1"/>
  <c r="C856" i="52"/>
  <c r="C63" i="6" s="1"/>
  <c r="C857" i="52"/>
  <c r="C64" i="6" s="1"/>
  <c r="C858" i="52"/>
  <c r="C65" i="6" s="1"/>
  <c r="C859" i="52"/>
  <c r="C66" i="6" s="1"/>
  <c r="C860" i="52"/>
  <c r="C67" i="6" s="1"/>
  <c r="C861" i="52"/>
  <c r="C68" i="6" s="1"/>
  <c r="C862" i="52"/>
  <c r="C69" i="6" s="1"/>
  <c r="C863" i="52"/>
  <c r="C70" i="6" s="1"/>
  <c r="C864" i="52"/>
  <c r="C71" i="6" s="1"/>
  <c r="C865" i="52"/>
  <c r="C72" i="6" s="1"/>
  <c r="C866" i="52"/>
  <c r="C73" i="6" s="1"/>
  <c r="C867" i="52"/>
  <c r="C74" i="6" s="1"/>
  <c r="C868" i="52"/>
  <c r="C75" i="6" s="1"/>
  <c r="C869" i="52"/>
  <c r="C76" i="6" s="1"/>
  <c r="C870" i="52"/>
  <c r="C77" i="6" s="1"/>
  <c r="C871" i="52"/>
  <c r="C78" i="6" s="1"/>
  <c r="C872" i="52"/>
  <c r="C79" i="6" s="1"/>
  <c r="C873" i="52"/>
  <c r="C80" i="6" s="1"/>
  <c r="C874" i="52"/>
  <c r="C81" i="6" s="1"/>
  <c r="C875" i="52"/>
  <c r="C82" i="6" s="1"/>
  <c r="C876" i="52"/>
  <c r="C83" i="6" s="1"/>
  <c r="C877" i="52"/>
  <c r="C84" i="6" s="1"/>
  <c r="C878" i="52"/>
  <c r="C85" i="6" s="1"/>
  <c r="C879" i="52"/>
  <c r="C86" i="6" s="1"/>
  <c r="C880" i="52"/>
  <c r="C87" i="6" s="1"/>
  <c r="C881" i="52"/>
  <c r="C88" i="6" s="1"/>
  <c r="C882" i="52"/>
  <c r="C89" i="6" s="1"/>
  <c r="C883" i="52"/>
  <c r="C90" i="6" s="1"/>
  <c r="C884" i="52"/>
  <c r="C91" i="6" s="1"/>
  <c r="C885" i="52"/>
  <c r="C92" i="6" s="1"/>
  <c r="C886" i="52"/>
  <c r="C93" i="6" s="1"/>
  <c r="C887" i="52"/>
  <c r="C94" i="6" s="1"/>
  <c r="C888" i="52"/>
  <c r="C95" i="6" s="1"/>
  <c r="C889" i="52"/>
  <c r="C96" i="6" s="1"/>
  <c r="C890" i="52"/>
  <c r="C97" i="6" s="1"/>
  <c r="C891" i="52"/>
  <c r="C98" i="6" s="1"/>
  <c r="C892" i="52"/>
  <c r="C99" i="6" s="1"/>
  <c r="C893" i="52"/>
  <c r="C100" i="6" s="1"/>
  <c r="C894" i="52"/>
  <c r="C101" i="6" s="1"/>
  <c r="C895" i="52"/>
  <c r="C102" i="6" s="1"/>
  <c r="C896" i="52"/>
  <c r="C103" i="6" s="1"/>
  <c r="C897" i="52"/>
  <c r="C104" i="6" s="1"/>
  <c r="C898" i="52"/>
  <c r="C105" i="6" s="1"/>
  <c r="C899" i="52"/>
  <c r="C106" i="6" s="1"/>
  <c r="C900" i="52"/>
  <c r="C107" i="6" s="1"/>
  <c r="C901" i="52"/>
  <c r="C108" i="6" s="1"/>
  <c r="C902" i="52"/>
  <c r="C109" i="6" s="1"/>
  <c r="C903" i="52"/>
  <c r="C904" i="52"/>
  <c r="C905" i="52"/>
  <c r="C906" i="52"/>
  <c r="C15" i="52"/>
  <c r="B3" i="4"/>
  <c r="B5" i="4"/>
  <c r="B6" i="4"/>
  <c r="B7" i="4"/>
  <c r="B8" i="4"/>
  <c r="B11" i="4"/>
  <c r="B13" i="4"/>
  <c r="B14" i="4"/>
  <c r="B15" i="4"/>
  <c r="B16" i="4"/>
  <c r="B19" i="4"/>
  <c r="B21" i="4"/>
  <c r="B22" i="4"/>
  <c r="B23" i="4"/>
  <c r="B24" i="4"/>
  <c r="B27" i="4"/>
  <c r="B29" i="4"/>
  <c r="B30" i="4"/>
  <c r="B31" i="4"/>
  <c r="B32" i="4"/>
  <c r="B35" i="4"/>
  <c r="B37" i="4"/>
  <c r="B38" i="4"/>
  <c r="B39" i="4"/>
  <c r="B40" i="4"/>
  <c r="B43" i="4"/>
  <c r="B45" i="4"/>
  <c r="B46" i="4"/>
  <c r="B47" i="4"/>
  <c r="B48" i="4"/>
  <c r="B51" i="4"/>
  <c r="B53" i="4"/>
  <c r="B54" i="4"/>
  <c r="B55" i="4"/>
  <c r="B56" i="4"/>
  <c r="B59" i="4"/>
  <c r="B61" i="4"/>
  <c r="B62" i="4"/>
  <c r="B63" i="4"/>
  <c r="B64" i="4"/>
  <c r="B67" i="4"/>
  <c r="B69" i="4"/>
  <c r="B70" i="4"/>
  <c r="B71" i="4"/>
  <c r="B72" i="4"/>
  <c r="B75" i="4"/>
  <c r="B77" i="4"/>
  <c r="B78" i="4"/>
  <c r="B79" i="4"/>
  <c r="B80" i="4"/>
  <c r="B83" i="4"/>
  <c r="B85" i="4"/>
  <c r="B86" i="4"/>
  <c r="B87" i="4"/>
  <c r="B88" i="4"/>
  <c r="B91" i="4"/>
  <c r="B93" i="4"/>
  <c r="B94" i="4"/>
  <c r="B95" i="4"/>
  <c r="B96" i="4"/>
  <c r="B99" i="4"/>
  <c r="B101" i="4"/>
  <c r="B102" i="4"/>
  <c r="B103" i="4"/>
  <c r="B104" i="4"/>
  <c r="B107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A2" i="51"/>
  <c r="A3" i="51"/>
  <c r="A4" i="51"/>
  <c r="A5" i="51"/>
  <c r="A6" i="51"/>
  <c r="A7" i="51"/>
  <c r="A8" i="51"/>
  <c r="A9" i="51"/>
  <c r="A10" i="51"/>
  <c r="A11" i="51"/>
  <c r="A12" i="51"/>
  <c r="A13" i="51"/>
  <c r="A14" i="51"/>
  <c r="A15" i="51"/>
  <c r="A16" i="51"/>
  <c r="A17" i="51"/>
  <c r="A18" i="51"/>
  <c r="A19" i="51"/>
  <c r="A20" i="51"/>
  <c r="A21" i="51"/>
  <c r="A22" i="51"/>
  <c r="A23" i="51"/>
  <c r="A24" i="51"/>
  <c r="A25" i="51"/>
  <c r="A26" i="51"/>
  <c r="A27" i="51"/>
  <c r="A28" i="51"/>
  <c r="A29" i="51"/>
  <c r="A30" i="51"/>
  <c r="A31" i="51"/>
  <c r="A32" i="51"/>
  <c r="A33" i="51"/>
  <c r="A34" i="51"/>
  <c r="A35" i="51"/>
  <c r="A36" i="51"/>
  <c r="A37" i="51"/>
  <c r="A38" i="51"/>
  <c r="A39" i="51"/>
  <c r="A40" i="51"/>
  <c r="A41" i="51"/>
  <c r="A42" i="51"/>
  <c r="A43" i="51"/>
  <c r="A44" i="51"/>
  <c r="A45" i="51"/>
  <c r="A46" i="51"/>
  <c r="A47" i="51"/>
  <c r="A48" i="51"/>
  <c r="A49" i="51"/>
  <c r="A50" i="51"/>
  <c r="A51" i="51"/>
  <c r="A52" i="51"/>
  <c r="A53" i="51"/>
  <c r="A54" i="51"/>
  <c r="A55" i="51"/>
  <c r="A56" i="51"/>
  <c r="A57" i="51"/>
  <c r="A58" i="51"/>
  <c r="A59" i="51"/>
  <c r="A60" i="51"/>
  <c r="A61" i="51"/>
  <c r="A62" i="51"/>
  <c r="A63" i="51"/>
  <c r="A64" i="51"/>
  <c r="A65" i="51"/>
  <c r="A66" i="51"/>
  <c r="A67" i="51"/>
  <c r="A68" i="51"/>
  <c r="A69" i="51"/>
  <c r="A70" i="51"/>
  <c r="A71" i="51"/>
  <c r="A72" i="51"/>
  <c r="A73" i="51"/>
  <c r="A74" i="51"/>
  <c r="A75" i="51"/>
  <c r="A76" i="51"/>
  <c r="A77" i="51"/>
  <c r="A78" i="51"/>
  <c r="A79" i="51"/>
  <c r="A80" i="51"/>
  <c r="A81" i="51"/>
  <c r="A82" i="51"/>
  <c r="A83" i="51"/>
  <c r="A84" i="51"/>
  <c r="A85" i="51"/>
  <c r="A86" i="51"/>
  <c r="A87" i="51"/>
  <c r="A88" i="51"/>
  <c r="A89" i="51"/>
  <c r="A90" i="51"/>
  <c r="A91" i="51"/>
  <c r="A92" i="51"/>
  <c r="A93" i="51"/>
  <c r="A94" i="51"/>
  <c r="A95" i="51"/>
  <c r="A96" i="51"/>
  <c r="A97" i="51"/>
  <c r="A98" i="51"/>
  <c r="A99" i="51"/>
  <c r="A100" i="51"/>
  <c r="A101" i="51"/>
  <c r="A102" i="51"/>
  <c r="A103" i="51"/>
  <c r="A104" i="51"/>
  <c r="A105" i="51"/>
  <c r="A106" i="51"/>
  <c r="A107" i="51"/>
  <c r="A108" i="51"/>
  <c r="A109" i="51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B112" i="51"/>
  <c r="C148" i="50"/>
  <c r="B67" i="51" s="1"/>
  <c r="C146" i="50"/>
  <c r="B65" i="51" s="1"/>
  <c r="C133" i="50"/>
  <c r="B52" i="51" s="1"/>
  <c r="C86" i="50"/>
  <c r="B5" i="51" s="1"/>
  <c r="C3" i="50"/>
  <c r="C4" i="50"/>
  <c r="C5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77" i="50"/>
  <c r="C78" i="50"/>
  <c r="C79" i="50"/>
  <c r="C80" i="50"/>
  <c r="C81" i="50"/>
  <c r="C82" i="50"/>
  <c r="C83" i="50"/>
  <c r="B2" i="51" s="1"/>
  <c r="C84" i="50"/>
  <c r="B3" i="51" s="1"/>
  <c r="C85" i="50"/>
  <c r="B4" i="51" s="1"/>
  <c r="C87" i="50"/>
  <c r="B6" i="51" s="1"/>
  <c r="C88" i="50"/>
  <c r="B7" i="51" s="1"/>
  <c r="C89" i="50"/>
  <c r="B8" i="51" s="1"/>
  <c r="C90" i="50"/>
  <c r="B9" i="51" s="1"/>
  <c r="C91" i="50"/>
  <c r="B10" i="51" s="1"/>
  <c r="C92" i="50"/>
  <c r="B11" i="51" s="1"/>
  <c r="C93" i="50"/>
  <c r="B12" i="51" s="1"/>
  <c r="C94" i="50"/>
  <c r="B13" i="51" s="1"/>
  <c r="C95" i="50"/>
  <c r="B14" i="51" s="1"/>
  <c r="C96" i="50"/>
  <c r="B15" i="51" s="1"/>
  <c r="C97" i="50"/>
  <c r="B16" i="51" s="1"/>
  <c r="C98" i="50"/>
  <c r="B17" i="51" s="1"/>
  <c r="C99" i="50"/>
  <c r="B18" i="51" s="1"/>
  <c r="C100" i="50"/>
  <c r="B19" i="51" s="1"/>
  <c r="C101" i="50"/>
  <c r="B20" i="51" s="1"/>
  <c r="C102" i="50"/>
  <c r="B21" i="51" s="1"/>
  <c r="C103" i="50"/>
  <c r="B22" i="51" s="1"/>
  <c r="C104" i="50"/>
  <c r="B23" i="51" s="1"/>
  <c r="C105" i="50"/>
  <c r="B24" i="51" s="1"/>
  <c r="C106" i="50"/>
  <c r="B25" i="51" s="1"/>
  <c r="C107" i="50"/>
  <c r="B26" i="51" s="1"/>
  <c r="C108" i="50"/>
  <c r="B27" i="51" s="1"/>
  <c r="C109" i="50"/>
  <c r="B28" i="51" s="1"/>
  <c r="C110" i="50"/>
  <c r="B29" i="51" s="1"/>
  <c r="C111" i="50"/>
  <c r="B30" i="51" s="1"/>
  <c r="C112" i="50"/>
  <c r="B31" i="51" s="1"/>
  <c r="C113" i="50"/>
  <c r="B32" i="51" s="1"/>
  <c r="C114" i="50"/>
  <c r="B33" i="51" s="1"/>
  <c r="C115" i="50"/>
  <c r="B34" i="51" s="1"/>
  <c r="C116" i="50"/>
  <c r="B35" i="51" s="1"/>
  <c r="C117" i="50"/>
  <c r="B36" i="51" s="1"/>
  <c r="C118" i="50"/>
  <c r="B37" i="51" s="1"/>
  <c r="C119" i="50"/>
  <c r="B38" i="51" s="1"/>
  <c r="C120" i="50"/>
  <c r="B39" i="51" s="1"/>
  <c r="C121" i="50"/>
  <c r="B40" i="51" s="1"/>
  <c r="C122" i="50"/>
  <c r="B41" i="51" s="1"/>
  <c r="C123" i="50"/>
  <c r="B42" i="51" s="1"/>
  <c r="C124" i="50"/>
  <c r="B43" i="51" s="1"/>
  <c r="C125" i="50"/>
  <c r="B44" i="51" s="1"/>
  <c r="C126" i="50"/>
  <c r="B45" i="51" s="1"/>
  <c r="C127" i="50"/>
  <c r="B46" i="51" s="1"/>
  <c r="C128" i="50"/>
  <c r="B47" i="51" s="1"/>
  <c r="C129" i="50"/>
  <c r="B48" i="51" s="1"/>
  <c r="C130" i="50"/>
  <c r="B49" i="51" s="1"/>
  <c r="C131" i="50"/>
  <c r="B50" i="51" s="1"/>
  <c r="C132" i="50"/>
  <c r="B51" i="51" s="1"/>
  <c r="C134" i="50"/>
  <c r="B53" i="51" s="1"/>
  <c r="C135" i="50"/>
  <c r="B54" i="51" s="1"/>
  <c r="C136" i="50"/>
  <c r="B55" i="51" s="1"/>
  <c r="C137" i="50"/>
  <c r="B56" i="51" s="1"/>
  <c r="C138" i="50"/>
  <c r="B57" i="51" s="1"/>
  <c r="C139" i="50"/>
  <c r="B58" i="51" s="1"/>
  <c r="C140" i="50"/>
  <c r="B59" i="51" s="1"/>
  <c r="C141" i="50"/>
  <c r="B60" i="51" s="1"/>
  <c r="C142" i="50"/>
  <c r="B61" i="51" s="1"/>
  <c r="C143" i="50"/>
  <c r="B62" i="51" s="1"/>
  <c r="C144" i="50"/>
  <c r="B63" i="51" s="1"/>
  <c r="C145" i="50"/>
  <c r="B64" i="51" s="1"/>
  <c r="C147" i="50"/>
  <c r="B66" i="51" s="1"/>
  <c r="C149" i="50"/>
  <c r="B68" i="51" s="1"/>
  <c r="C150" i="50"/>
  <c r="B69" i="51" s="1"/>
  <c r="C151" i="50"/>
  <c r="B70" i="51" s="1"/>
  <c r="C152" i="50"/>
  <c r="B71" i="51" s="1"/>
  <c r="C153" i="50"/>
  <c r="B72" i="51" s="1"/>
  <c r="C154" i="50"/>
  <c r="B73" i="51" s="1"/>
  <c r="C155" i="50"/>
  <c r="B74" i="51" s="1"/>
  <c r="C156" i="50"/>
  <c r="B75" i="51" s="1"/>
  <c r="C157" i="50"/>
  <c r="B76" i="51" s="1"/>
  <c r="C158" i="50"/>
  <c r="B77" i="51" s="1"/>
  <c r="C159" i="50"/>
  <c r="B78" i="51" s="1"/>
  <c r="C160" i="50"/>
  <c r="B79" i="51" s="1"/>
  <c r="C161" i="50"/>
  <c r="B80" i="51" s="1"/>
  <c r="C162" i="50"/>
  <c r="B81" i="51" s="1"/>
  <c r="C163" i="50"/>
  <c r="B82" i="51" s="1"/>
  <c r="C164" i="50"/>
  <c r="B83" i="51" s="1"/>
  <c r="C165" i="50"/>
  <c r="B84" i="51" s="1"/>
  <c r="C166" i="50"/>
  <c r="B85" i="51" s="1"/>
  <c r="C167" i="50"/>
  <c r="B86" i="51" s="1"/>
  <c r="C168" i="50"/>
  <c r="B87" i="51" s="1"/>
  <c r="C169" i="50"/>
  <c r="B88" i="51" s="1"/>
  <c r="C170" i="50"/>
  <c r="B89" i="51" s="1"/>
  <c r="C171" i="50"/>
  <c r="B90" i="51" s="1"/>
  <c r="C172" i="50"/>
  <c r="B91" i="51" s="1"/>
  <c r="C173" i="50"/>
  <c r="B92" i="51" s="1"/>
  <c r="C174" i="50"/>
  <c r="B93" i="51" s="1"/>
  <c r="C175" i="50"/>
  <c r="B94" i="51" s="1"/>
  <c r="C176" i="50"/>
  <c r="B95" i="51" s="1"/>
  <c r="C177" i="50"/>
  <c r="B96" i="51" s="1"/>
  <c r="C178" i="50"/>
  <c r="B97" i="51" s="1"/>
  <c r="C179" i="50"/>
  <c r="B98" i="51" s="1"/>
  <c r="C180" i="50"/>
  <c r="B99" i="51" s="1"/>
  <c r="C181" i="50"/>
  <c r="B100" i="51" s="1"/>
  <c r="C182" i="50"/>
  <c r="B101" i="51" s="1"/>
  <c r="C183" i="50"/>
  <c r="B102" i="51" s="1"/>
  <c r="C184" i="50"/>
  <c r="B103" i="51" s="1"/>
  <c r="B104" i="51"/>
  <c r="B105" i="51"/>
  <c r="B106" i="51"/>
  <c r="B107" i="51"/>
  <c r="B108" i="51"/>
  <c r="B109" i="51"/>
  <c r="B110" i="51"/>
  <c r="B111" i="51"/>
  <c r="C2" i="50"/>
  <c r="G4041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B3" i="50" s="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B4" i="50" s="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B5" i="50" s="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B6" i="50" s="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B7" i="50" s="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B8" i="50" s="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B9" i="50" s="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B10" i="50" s="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B11" i="50" s="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B12" i="50" s="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B13" i="50" s="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B14" i="50" s="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B15" i="50" s="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B16" i="50" s="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B17" i="50" s="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B18" i="50" s="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B19" i="50" s="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B20" i="50" s="1"/>
  <c r="G441" i="31"/>
  <c r="G442" i="31"/>
  <c r="G443" i="31"/>
  <c r="G444" i="31"/>
  <c r="G445" i="31"/>
  <c r="G446" i="31"/>
  <c r="G447" i="31"/>
  <c r="G448" i="31"/>
  <c r="G449" i="31"/>
  <c r="G450" i="31"/>
  <c r="G451" i="31"/>
  <c r="G452" i="31"/>
  <c r="G453" i="31"/>
  <c r="G454" i="31"/>
  <c r="G455" i="31"/>
  <c r="G456" i="31"/>
  <c r="G457" i="31"/>
  <c r="G458" i="31"/>
  <c r="G459" i="31"/>
  <c r="G460" i="31"/>
  <c r="G461" i="31"/>
  <c r="G462" i="31"/>
  <c r="B21" i="50" s="1"/>
  <c r="G463" i="31"/>
  <c r="G464" i="31"/>
  <c r="G465" i="31"/>
  <c r="G466" i="31"/>
  <c r="G467" i="31"/>
  <c r="G468" i="31"/>
  <c r="G469" i="31"/>
  <c r="G470" i="31"/>
  <c r="G471" i="31"/>
  <c r="G472" i="31"/>
  <c r="G473" i="31"/>
  <c r="G474" i="31"/>
  <c r="G475" i="31"/>
  <c r="G476" i="31"/>
  <c r="G477" i="31"/>
  <c r="G478" i="31"/>
  <c r="G479" i="31"/>
  <c r="G480" i="31"/>
  <c r="G481" i="31"/>
  <c r="G482" i="31"/>
  <c r="B22" i="50" s="1"/>
  <c r="G483" i="31"/>
  <c r="G484" i="31"/>
  <c r="G485" i="31"/>
  <c r="G486" i="31"/>
  <c r="G487" i="31"/>
  <c r="G488" i="31"/>
  <c r="G489" i="31"/>
  <c r="G490" i="31"/>
  <c r="G491" i="31"/>
  <c r="G492" i="31"/>
  <c r="G493" i="31"/>
  <c r="G494" i="31"/>
  <c r="G495" i="31"/>
  <c r="G496" i="31"/>
  <c r="G497" i="31"/>
  <c r="G498" i="31"/>
  <c r="G499" i="31"/>
  <c r="G500" i="31"/>
  <c r="G501" i="31"/>
  <c r="G502" i="31"/>
  <c r="B23" i="50" s="1"/>
  <c r="G503" i="31"/>
  <c r="G504" i="31"/>
  <c r="G505" i="31"/>
  <c r="G506" i="31"/>
  <c r="G507" i="31"/>
  <c r="G508" i="31"/>
  <c r="G509" i="31"/>
  <c r="G510" i="31"/>
  <c r="G511" i="31"/>
  <c r="G512" i="31"/>
  <c r="G513" i="31"/>
  <c r="G514" i="31"/>
  <c r="G515" i="31"/>
  <c r="G516" i="31"/>
  <c r="G517" i="31"/>
  <c r="G518" i="31"/>
  <c r="G519" i="31"/>
  <c r="G520" i="31"/>
  <c r="G521" i="31"/>
  <c r="G522" i="31"/>
  <c r="G523" i="31"/>
  <c r="G524" i="31"/>
  <c r="B24" i="50" s="1"/>
  <c r="G525" i="31"/>
  <c r="G526" i="31"/>
  <c r="G527" i="31"/>
  <c r="G528" i="31"/>
  <c r="G529" i="31"/>
  <c r="G530" i="31"/>
  <c r="G531" i="31"/>
  <c r="G532" i="31"/>
  <c r="G533" i="31"/>
  <c r="G534" i="31"/>
  <c r="G535" i="31"/>
  <c r="G536" i="31"/>
  <c r="G537" i="31"/>
  <c r="G538" i="31"/>
  <c r="G539" i="31"/>
  <c r="G540" i="31"/>
  <c r="G541" i="31"/>
  <c r="G542" i="31"/>
  <c r="G543" i="31"/>
  <c r="B25" i="50" s="1"/>
  <c r="G544" i="31"/>
  <c r="G545" i="31"/>
  <c r="G546" i="31"/>
  <c r="G547" i="31"/>
  <c r="G548" i="31"/>
  <c r="G549" i="31"/>
  <c r="G550" i="31"/>
  <c r="G551" i="31"/>
  <c r="G552" i="31"/>
  <c r="G553" i="31"/>
  <c r="G554" i="31"/>
  <c r="G555" i="31"/>
  <c r="G556" i="31"/>
  <c r="G557" i="31"/>
  <c r="G558" i="31"/>
  <c r="G559" i="31"/>
  <c r="G560" i="31"/>
  <c r="G561" i="31"/>
  <c r="G562" i="31"/>
  <c r="G563" i="31"/>
  <c r="B26" i="50" s="1"/>
  <c r="G564" i="31"/>
  <c r="G565" i="31"/>
  <c r="G566" i="31"/>
  <c r="G567" i="31"/>
  <c r="G568" i="31"/>
  <c r="G569" i="31"/>
  <c r="G570" i="31"/>
  <c r="G571" i="31"/>
  <c r="G572" i="31"/>
  <c r="G573" i="31"/>
  <c r="G574" i="31"/>
  <c r="G575" i="31"/>
  <c r="G576" i="31"/>
  <c r="G577" i="31"/>
  <c r="G578" i="31"/>
  <c r="G579" i="31"/>
  <c r="G580" i="31"/>
  <c r="G581" i="31"/>
  <c r="G582" i="31"/>
  <c r="G583" i="31"/>
  <c r="G584" i="31"/>
  <c r="B27" i="50" s="1"/>
  <c r="G585" i="31"/>
  <c r="G586" i="31"/>
  <c r="G587" i="31"/>
  <c r="G588" i="31"/>
  <c r="G589" i="31"/>
  <c r="G590" i="31"/>
  <c r="G591" i="31"/>
  <c r="G592" i="31"/>
  <c r="G593" i="31"/>
  <c r="G594" i="31"/>
  <c r="G595" i="31"/>
  <c r="G596" i="31"/>
  <c r="G597" i="31"/>
  <c r="G598" i="31"/>
  <c r="G599" i="31"/>
  <c r="G600" i="31"/>
  <c r="G601" i="31"/>
  <c r="G602" i="31"/>
  <c r="G603" i="31"/>
  <c r="G604" i="31"/>
  <c r="B28" i="50" s="1"/>
  <c r="G605" i="31"/>
  <c r="G606" i="31"/>
  <c r="G607" i="31"/>
  <c r="G608" i="31"/>
  <c r="G609" i="31"/>
  <c r="G610" i="31"/>
  <c r="G611" i="31"/>
  <c r="G612" i="31"/>
  <c r="G613" i="31"/>
  <c r="G614" i="31"/>
  <c r="G615" i="31"/>
  <c r="G616" i="31"/>
  <c r="G617" i="31"/>
  <c r="G618" i="31"/>
  <c r="G619" i="31"/>
  <c r="G620" i="31"/>
  <c r="G621" i="31"/>
  <c r="G622" i="31"/>
  <c r="G623" i="31"/>
  <c r="G624" i="31"/>
  <c r="G625" i="31"/>
  <c r="B29" i="50" s="1"/>
  <c r="G626" i="31"/>
  <c r="G627" i="31"/>
  <c r="G628" i="31"/>
  <c r="G629" i="31"/>
  <c r="G630" i="31"/>
  <c r="G631" i="31"/>
  <c r="G632" i="31"/>
  <c r="G633" i="31"/>
  <c r="G634" i="31"/>
  <c r="G635" i="31"/>
  <c r="G636" i="31"/>
  <c r="G637" i="31"/>
  <c r="G638" i="31"/>
  <c r="G639" i="31"/>
  <c r="G640" i="31"/>
  <c r="G641" i="31"/>
  <c r="G642" i="31"/>
  <c r="G643" i="31"/>
  <c r="G644" i="31"/>
  <c r="G645" i="31"/>
  <c r="G646" i="31"/>
  <c r="G647" i="31"/>
  <c r="G648" i="31"/>
  <c r="B30" i="50" s="1"/>
  <c r="G649" i="31"/>
  <c r="G650" i="31"/>
  <c r="G651" i="31"/>
  <c r="G652" i="31"/>
  <c r="G653" i="31"/>
  <c r="G654" i="31"/>
  <c r="G655" i="31"/>
  <c r="G656" i="31"/>
  <c r="G657" i="31"/>
  <c r="G658" i="31"/>
  <c r="G659" i="31"/>
  <c r="G660" i="31"/>
  <c r="G661" i="31"/>
  <c r="G662" i="31"/>
  <c r="G663" i="31"/>
  <c r="G664" i="31"/>
  <c r="G665" i="31"/>
  <c r="G666" i="31"/>
  <c r="G667" i="31"/>
  <c r="G668" i="31"/>
  <c r="G669" i="31"/>
  <c r="B31" i="50" s="1"/>
  <c r="G670" i="31"/>
  <c r="G671" i="31"/>
  <c r="G672" i="31"/>
  <c r="G673" i="31"/>
  <c r="G674" i="31"/>
  <c r="G675" i="31"/>
  <c r="G676" i="31"/>
  <c r="G677" i="31"/>
  <c r="G678" i="31"/>
  <c r="G679" i="31"/>
  <c r="G680" i="31"/>
  <c r="G681" i="31"/>
  <c r="G682" i="31"/>
  <c r="G683" i="31"/>
  <c r="G684" i="31"/>
  <c r="G685" i="31"/>
  <c r="G686" i="31"/>
  <c r="G687" i="31"/>
  <c r="G688" i="31"/>
  <c r="G689" i="31"/>
  <c r="G690" i="31"/>
  <c r="G691" i="31"/>
  <c r="B32" i="50" s="1"/>
  <c r="G692" i="31"/>
  <c r="G693" i="31"/>
  <c r="G694" i="31"/>
  <c r="G695" i="31"/>
  <c r="G696" i="31"/>
  <c r="G697" i="31"/>
  <c r="G698" i="31"/>
  <c r="G699" i="31"/>
  <c r="G700" i="31"/>
  <c r="G701" i="31"/>
  <c r="G702" i="31"/>
  <c r="G703" i="31"/>
  <c r="G704" i="31"/>
  <c r="G705" i="31"/>
  <c r="G706" i="31"/>
  <c r="G707" i="31"/>
  <c r="G708" i="31"/>
  <c r="G709" i="31"/>
  <c r="G710" i="31"/>
  <c r="G711" i="31"/>
  <c r="G712" i="31"/>
  <c r="G713" i="31"/>
  <c r="G714" i="31"/>
  <c r="B33" i="50" s="1"/>
  <c r="G715" i="31"/>
  <c r="G716" i="31"/>
  <c r="G717" i="31"/>
  <c r="G718" i="31"/>
  <c r="G719" i="31"/>
  <c r="G720" i="31"/>
  <c r="G721" i="31"/>
  <c r="G722" i="31"/>
  <c r="G723" i="31"/>
  <c r="G724" i="31"/>
  <c r="G725" i="31"/>
  <c r="G726" i="31"/>
  <c r="G727" i="31"/>
  <c r="G728" i="31"/>
  <c r="G729" i="31"/>
  <c r="G730" i="31"/>
  <c r="G731" i="31"/>
  <c r="G732" i="31"/>
  <c r="G733" i="31"/>
  <c r="G734" i="31"/>
  <c r="B34" i="50" s="1"/>
  <c r="G735" i="31"/>
  <c r="G736" i="31"/>
  <c r="G737" i="31"/>
  <c r="G738" i="31"/>
  <c r="G739" i="31"/>
  <c r="G740" i="31"/>
  <c r="G741" i="31"/>
  <c r="G742" i="31"/>
  <c r="G743" i="31"/>
  <c r="G744" i="31"/>
  <c r="G745" i="31"/>
  <c r="G746" i="31"/>
  <c r="G747" i="31"/>
  <c r="G748" i="31"/>
  <c r="G749" i="31"/>
  <c r="G750" i="31"/>
  <c r="G751" i="31"/>
  <c r="G752" i="31"/>
  <c r="G753" i="31"/>
  <c r="G754" i="31"/>
  <c r="G755" i="31"/>
  <c r="G756" i="31"/>
  <c r="B35" i="50" s="1"/>
  <c r="G757" i="31"/>
  <c r="G758" i="31"/>
  <c r="G759" i="31"/>
  <c r="G760" i="31"/>
  <c r="G761" i="31"/>
  <c r="G762" i="31"/>
  <c r="G763" i="31"/>
  <c r="G764" i="31"/>
  <c r="G765" i="31"/>
  <c r="G766" i="31"/>
  <c r="G767" i="31"/>
  <c r="G768" i="31"/>
  <c r="G769" i="31"/>
  <c r="G770" i="31"/>
  <c r="G771" i="31"/>
  <c r="G772" i="31"/>
  <c r="G773" i="31"/>
  <c r="G774" i="31"/>
  <c r="G775" i="31"/>
  <c r="G776" i="31"/>
  <c r="G777" i="31"/>
  <c r="B36" i="50" s="1"/>
  <c r="G778" i="31"/>
  <c r="G779" i="31"/>
  <c r="G780" i="31"/>
  <c r="G781" i="31"/>
  <c r="G782" i="31"/>
  <c r="G783" i="31"/>
  <c r="G784" i="31"/>
  <c r="G785" i="31"/>
  <c r="G786" i="31"/>
  <c r="G787" i="31"/>
  <c r="G788" i="31"/>
  <c r="G789" i="31"/>
  <c r="G790" i="31"/>
  <c r="G791" i="31"/>
  <c r="G792" i="31"/>
  <c r="G793" i="31"/>
  <c r="G794" i="31"/>
  <c r="G795" i="31"/>
  <c r="B37" i="50" s="1"/>
  <c r="G796" i="31"/>
  <c r="G797" i="31"/>
  <c r="G798" i="31"/>
  <c r="G799" i="31"/>
  <c r="G800" i="31"/>
  <c r="G801" i="31"/>
  <c r="G802" i="31"/>
  <c r="G803" i="31"/>
  <c r="G804" i="31"/>
  <c r="G805" i="31"/>
  <c r="G806" i="31"/>
  <c r="G807" i="31"/>
  <c r="G808" i="31"/>
  <c r="G809" i="31"/>
  <c r="G810" i="31"/>
  <c r="G811" i="31"/>
  <c r="G812" i="31"/>
  <c r="G813" i="31"/>
  <c r="G814" i="31"/>
  <c r="G815" i="31"/>
  <c r="G816" i="31"/>
  <c r="G817" i="31"/>
  <c r="B38" i="50" s="1"/>
  <c r="G818" i="31"/>
  <c r="G819" i="31"/>
  <c r="G820" i="31"/>
  <c r="G821" i="31"/>
  <c r="G822" i="31"/>
  <c r="G823" i="31"/>
  <c r="G824" i="31"/>
  <c r="G825" i="31"/>
  <c r="G826" i="31"/>
  <c r="G827" i="31"/>
  <c r="G828" i="31"/>
  <c r="G829" i="31"/>
  <c r="G830" i="31"/>
  <c r="G831" i="31"/>
  <c r="G832" i="31"/>
  <c r="G833" i="31"/>
  <c r="G834" i="31"/>
  <c r="G835" i="31"/>
  <c r="G836" i="31"/>
  <c r="G837" i="31"/>
  <c r="B39" i="50" s="1"/>
  <c r="G838" i="31"/>
  <c r="G839" i="31"/>
  <c r="G840" i="31"/>
  <c r="G841" i="31"/>
  <c r="G842" i="31"/>
  <c r="G843" i="31"/>
  <c r="G844" i="31"/>
  <c r="G845" i="31"/>
  <c r="G846" i="31"/>
  <c r="G847" i="31"/>
  <c r="G848" i="31"/>
  <c r="G849" i="31"/>
  <c r="G850" i="31"/>
  <c r="G851" i="31"/>
  <c r="G852" i="31"/>
  <c r="G853" i="31"/>
  <c r="G854" i="31"/>
  <c r="G855" i="31"/>
  <c r="G856" i="31"/>
  <c r="G857" i="31"/>
  <c r="B40" i="50" s="1"/>
  <c r="G858" i="31"/>
  <c r="G859" i="31"/>
  <c r="G860" i="31"/>
  <c r="G861" i="31"/>
  <c r="G862" i="31"/>
  <c r="G863" i="31"/>
  <c r="G864" i="31"/>
  <c r="G865" i="31"/>
  <c r="G866" i="31"/>
  <c r="G867" i="31"/>
  <c r="G868" i="31"/>
  <c r="G869" i="31"/>
  <c r="G870" i="31"/>
  <c r="G871" i="31"/>
  <c r="G872" i="31"/>
  <c r="G873" i="31"/>
  <c r="G874" i="31"/>
  <c r="G875" i="31"/>
  <c r="G876" i="31"/>
  <c r="G877" i="31"/>
  <c r="G878" i="31"/>
  <c r="B41" i="50" s="1"/>
  <c r="G879" i="31"/>
  <c r="G880" i="31"/>
  <c r="G881" i="31"/>
  <c r="G882" i="31"/>
  <c r="G883" i="31"/>
  <c r="G884" i="31"/>
  <c r="G885" i="31"/>
  <c r="G886" i="31"/>
  <c r="G887" i="31"/>
  <c r="G888" i="31"/>
  <c r="G889" i="31"/>
  <c r="G890" i="31"/>
  <c r="G891" i="31"/>
  <c r="G892" i="31"/>
  <c r="G893" i="31"/>
  <c r="G894" i="31"/>
  <c r="G895" i="31"/>
  <c r="G896" i="31"/>
  <c r="G897" i="31"/>
  <c r="G898" i="31"/>
  <c r="G899" i="31"/>
  <c r="G900" i="31"/>
  <c r="G901" i="31"/>
  <c r="B42" i="50" s="1"/>
  <c r="G902" i="31"/>
  <c r="G903" i="31"/>
  <c r="G904" i="31"/>
  <c r="G905" i="31"/>
  <c r="G906" i="31"/>
  <c r="G907" i="31"/>
  <c r="G908" i="31"/>
  <c r="G909" i="31"/>
  <c r="G910" i="31"/>
  <c r="G911" i="31"/>
  <c r="G912" i="31"/>
  <c r="G913" i="31"/>
  <c r="G914" i="31"/>
  <c r="G915" i="31"/>
  <c r="G916" i="31"/>
  <c r="G917" i="31"/>
  <c r="G918" i="31"/>
  <c r="G919" i="31"/>
  <c r="G920" i="31"/>
  <c r="G921" i="31"/>
  <c r="G922" i="31"/>
  <c r="B43" i="50" s="1"/>
  <c r="G923" i="31"/>
  <c r="G924" i="31"/>
  <c r="G925" i="31"/>
  <c r="G926" i="31"/>
  <c r="G927" i="31"/>
  <c r="G928" i="31"/>
  <c r="G929" i="31"/>
  <c r="G930" i="31"/>
  <c r="G931" i="31"/>
  <c r="G932" i="31"/>
  <c r="G933" i="31"/>
  <c r="G934" i="31"/>
  <c r="G935" i="31"/>
  <c r="G936" i="31"/>
  <c r="G937" i="31"/>
  <c r="G938" i="31"/>
  <c r="G939" i="31"/>
  <c r="G940" i="31"/>
  <c r="G941" i="31"/>
  <c r="G942" i="31"/>
  <c r="G943" i="31"/>
  <c r="B44" i="50" s="1"/>
  <c r="G944" i="31"/>
  <c r="G945" i="31"/>
  <c r="G946" i="31"/>
  <c r="G947" i="31"/>
  <c r="G948" i="31"/>
  <c r="G949" i="31"/>
  <c r="G950" i="31"/>
  <c r="G951" i="31"/>
  <c r="G952" i="31"/>
  <c r="G953" i="31"/>
  <c r="G954" i="31"/>
  <c r="G955" i="31"/>
  <c r="G956" i="31"/>
  <c r="G957" i="31"/>
  <c r="G958" i="31"/>
  <c r="G959" i="31"/>
  <c r="G960" i="31"/>
  <c r="G961" i="31"/>
  <c r="G962" i="31"/>
  <c r="G963" i="31"/>
  <c r="G964" i="31"/>
  <c r="B45" i="50" s="1"/>
  <c r="G965" i="31"/>
  <c r="G966" i="31"/>
  <c r="G967" i="31"/>
  <c r="G968" i="31"/>
  <c r="G969" i="31"/>
  <c r="G970" i="31"/>
  <c r="G971" i="31"/>
  <c r="G972" i="31"/>
  <c r="G973" i="31"/>
  <c r="G974" i="31"/>
  <c r="G975" i="31"/>
  <c r="G976" i="31"/>
  <c r="G977" i="31"/>
  <c r="G978" i="31"/>
  <c r="G979" i="31"/>
  <c r="G980" i="31"/>
  <c r="G981" i="31"/>
  <c r="G982" i="31"/>
  <c r="G983" i="31"/>
  <c r="G984" i="31"/>
  <c r="B46" i="50" s="1"/>
  <c r="G985" i="31"/>
  <c r="G986" i="31"/>
  <c r="G987" i="31"/>
  <c r="G988" i="31"/>
  <c r="G989" i="31"/>
  <c r="G990" i="31"/>
  <c r="G991" i="31"/>
  <c r="G992" i="31"/>
  <c r="G993" i="31"/>
  <c r="G994" i="31"/>
  <c r="G995" i="31"/>
  <c r="G996" i="31"/>
  <c r="G997" i="31"/>
  <c r="G998" i="31"/>
  <c r="G999" i="31"/>
  <c r="G1000" i="31"/>
  <c r="G1001" i="31"/>
  <c r="G1002" i="31"/>
  <c r="G1003" i="31"/>
  <c r="G1004" i="31"/>
  <c r="G1005" i="31"/>
  <c r="G1006" i="31"/>
  <c r="B47" i="50" s="1"/>
  <c r="G1007" i="31"/>
  <c r="G1008" i="31"/>
  <c r="G1009" i="31"/>
  <c r="G1010" i="31"/>
  <c r="G1011" i="31"/>
  <c r="G1012" i="31"/>
  <c r="G1013" i="31"/>
  <c r="G1014" i="31"/>
  <c r="G1015" i="31"/>
  <c r="G1016" i="31"/>
  <c r="G1017" i="31"/>
  <c r="G1018" i="31"/>
  <c r="G1019" i="31"/>
  <c r="G1020" i="31"/>
  <c r="G1021" i="31"/>
  <c r="G1022" i="31"/>
  <c r="G1023" i="31"/>
  <c r="G1024" i="31"/>
  <c r="G1025" i="31"/>
  <c r="G1026" i="31"/>
  <c r="B48" i="50" s="1"/>
  <c r="G1027" i="31"/>
  <c r="G1028" i="31"/>
  <c r="G1029" i="31"/>
  <c r="G1030" i="31"/>
  <c r="G1031" i="31"/>
  <c r="G1032" i="31"/>
  <c r="G1033" i="31"/>
  <c r="G1034" i="31"/>
  <c r="G1035" i="31"/>
  <c r="G1036" i="31"/>
  <c r="G1037" i="31"/>
  <c r="G1038" i="31"/>
  <c r="G1039" i="31"/>
  <c r="G1040" i="31"/>
  <c r="G1041" i="31"/>
  <c r="G1042" i="31"/>
  <c r="G1043" i="31"/>
  <c r="G1044" i="31"/>
  <c r="B49" i="50" s="1"/>
  <c r="G1045" i="31"/>
  <c r="G1046" i="31"/>
  <c r="G1047" i="31"/>
  <c r="G1048" i="31"/>
  <c r="G1049" i="31"/>
  <c r="G1050" i="31"/>
  <c r="G1051" i="31"/>
  <c r="G1052" i="31"/>
  <c r="G1053" i="31"/>
  <c r="G1054" i="31"/>
  <c r="G1055" i="31"/>
  <c r="G1056" i="31"/>
  <c r="G1057" i="31"/>
  <c r="G1058" i="31"/>
  <c r="G1059" i="31"/>
  <c r="G1060" i="31"/>
  <c r="G1061" i="31"/>
  <c r="G1062" i="31"/>
  <c r="G1063" i="31"/>
  <c r="G1064" i="31"/>
  <c r="G1065" i="31"/>
  <c r="G1066" i="31"/>
  <c r="G1067" i="31"/>
  <c r="B50" i="50" s="1"/>
  <c r="G1068" i="31"/>
  <c r="G1069" i="31"/>
  <c r="G1070" i="31"/>
  <c r="G1071" i="31"/>
  <c r="G1072" i="31"/>
  <c r="G1073" i="31"/>
  <c r="G1074" i="31"/>
  <c r="G1075" i="31"/>
  <c r="G1076" i="31"/>
  <c r="G1077" i="31"/>
  <c r="G1078" i="31"/>
  <c r="G1079" i="31"/>
  <c r="G1080" i="31"/>
  <c r="G1081" i="31"/>
  <c r="G1082" i="31"/>
  <c r="G1083" i="31"/>
  <c r="G1084" i="31"/>
  <c r="G1085" i="31"/>
  <c r="G1086" i="31"/>
  <c r="G1087" i="31"/>
  <c r="B51" i="50" s="1"/>
  <c r="G1088" i="31"/>
  <c r="G1089" i="31"/>
  <c r="G1090" i="31"/>
  <c r="G1091" i="31"/>
  <c r="G1092" i="31"/>
  <c r="G1093" i="31"/>
  <c r="G1094" i="31"/>
  <c r="G1095" i="31"/>
  <c r="G1096" i="31"/>
  <c r="G1097" i="31"/>
  <c r="G1098" i="31"/>
  <c r="G1099" i="31"/>
  <c r="G1100" i="31"/>
  <c r="G1101" i="31"/>
  <c r="G1102" i="31"/>
  <c r="G1103" i="31"/>
  <c r="G1104" i="31"/>
  <c r="G1105" i="31"/>
  <c r="G1106" i="31"/>
  <c r="G1107" i="31"/>
  <c r="G1108" i="31"/>
  <c r="B52" i="50" s="1"/>
  <c r="G1109" i="31"/>
  <c r="G1110" i="31"/>
  <c r="G1111" i="31"/>
  <c r="G1112" i="31"/>
  <c r="G1113" i="31"/>
  <c r="G1114" i="31"/>
  <c r="G1115" i="31"/>
  <c r="G1116" i="31"/>
  <c r="G1117" i="31"/>
  <c r="G1118" i="31"/>
  <c r="G1119" i="31"/>
  <c r="G1120" i="31"/>
  <c r="G1121" i="31"/>
  <c r="G1122" i="31"/>
  <c r="G1123" i="31"/>
  <c r="G1124" i="31"/>
  <c r="G1125" i="31"/>
  <c r="G1126" i="31"/>
  <c r="G1127" i="31"/>
  <c r="G1128" i="31"/>
  <c r="G1129" i="31"/>
  <c r="B53" i="50" s="1"/>
  <c r="G1130" i="31"/>
  <c r="G1131" i="31"/>
  <c r="G1132" i="31"/>
  <c r="G1133" i="31"/>
  <c r="G1134" i="31"/>
  <c r="G1135" i="31"/>
  <c r="G1136" i="31"/>
  <c r="G1137" i="31"/>
  <c r="G1138" i="31"/>
  <c r="G1139" i="31"/>
  <c r="G1140" i="31"/>
  <c r="G1141" i="31"/>
  <c r="G1142" i="31"/>
  <c r="G1143" i="31"/>
  <c r="G1144" i="31"/>
  <c r="G1145" i="31"/>
  <c r="G1146" i="31"/>
  <c r="G1147" i="31"/>
  <c r="G1148" i="31"/>
  <c r="G1149" i="31"/>
  <c r="G1150" i="31"/>
  <c r="G1151" i="31"/>
  <c r="B54" i="50" s="1"/>
  <c r="G1152" i="31"/>
  <c r="G1153" i="31"/>
  <c r="G1154" i="31"/>
  <c r="G1155" i="31"/>
  <c r="G1156" i="31"/>
  <c r="G1157" i="31"/>
  <c r="G1158" i="31"/>
  <c r="G1159" i="31"/>
  <c r="G1160" i="31"/>
  <c r="G1161" i="31"/>
  <c r="G1162" i="31"/>
  <c r="G1163" i="31"/>
  <c r="G1164" i="31"/>
  <c r="G1165" i="31"/>
  <c r="G1166" i="31"/>
  <c r="G1167" i="31"/>
  <c r="G1168" i="31"/>
  <c r="G1169" i="31"/>
  <c r="G1170" i="31"/>
  <c r="G1171" i="31"/>
  <c r="G1172" i="31"/>
  <c r="G1173" i="31"/>
  <c r="B55" i="50" s="1"/>
  <c r="G1174" i="31"/>
  <c r="G1175" i="31"/>
  <c r="G1176" i="31"/>
  <c r="G1177" i="31"/>
  <c r="G1178" i="31"/>
  <c r="G1179" i="31"/>
  <c r="G1180" i="31"/>
  <c r="G1181" i="31"/>
  <c r="G1182" i="31"/>
  <c r="G1183" i="31"/>
  <c r="G1184" i="31"/>
  <c r="G1185" i="31"/>
  <c r="G1186" i="31"/>
  <c r="G1187" i="31"/>
  <c r="G1188" i="31"/>
  <c r="G1189" i="31"/>
  <c r="G1190" i="31"/>
  <c r="G1191" i="31"/>
  <c r="G1192" i="31"/>
  <c r="G1193" i="31"/>
  <c r="G1194" i="31"/>
  <c r="B56" i="50" s="1"/>
  <c r="G1195" i="31"/>
  <c r="G1196" i="31"/>
  <c r="G1197" i="31"/>
  <c r="G1198" i="31"/>
  <c r="G1199" i="31"/>
  <c r="G1200" i="31"/>
  <c r="G1201" i="31"/>
  <c r="G1202" i="31"/>
  <c r="G1203" i="31"/>
  <c r="G1204" i="31"/>
  <c r="G1205" i="31"/>
  <c r="G1206" i="31"/>
  <c r="G1207" i="31"/>
  <c r="G1208" i="31"/>
  <c r="G1209" i="31"/>
  <c r="G1210" i="31"/>
  <c r="G1211" i="31"/>
  <c r="G1212" i="31"/>
  <c r="G1213" i="31"/>
  <c r="G1214" i="31"/>
  <c r="B57" i="50" s="1"/>
  <c r="G1215" i="31"/>
  <c r="G1216" i="31"/>
  <c r="G1217" i="31"/>
  <c r="G1218" i="31"/>
  <c r="G1219" i="31"/>
  <c r="G1220" i="31"/>
  <c r="G1221" i="31"/>
  <c r="G1222" i="31"/>
  <c r="G1223" i="31"/>
  <c r="G1224" i="31"/>
  <c r="G1225" i="31"/>
  <c r="G1226" i="31"/>
  <c r="G1227" i="31"/>
  <c r="G1228" i="31"/>
  <c r="G1229" i="31"/>
  <c r="G1230" i="31"/>
  <c r="G1231" i="31"/>
  <c r="G1232" i="31"/>
  <c r="G1233" i="31"/>
  <c r="G1234" i="31"/>
  <c r="B58" i="50" s="1"/>
  <c r="G1235" i="31"/>
  <c r="G1236" i="31"/>
  <c r="G1237" i="31"/>
  <c r="G1238" i="31"/>
  <c r="G1239" i="31"/>
  <c r="G1240" i="31"/>
  <c r="G1241" i="31"/>
  <c r="G1242" i="31"/>
  <c r="G1243" i="31"/>
  <c r="G1244" i="31"/>
  <c r="G1245" i="31"/>
  <c r="G1246" i="31"/>
  <c r="G1247" i="31"/>
  <c r="G1248" i="31"/>
  <c r="G1249" i="31"/>
  <c r="G1250" i="31"/>
  <c r="G1251" i="31"/>
  <c r="G1252" i="31"/>
  <c r="G1253" i="31"/>
  <c r="G1254" i="31"/>
  <c r="G1255" i="31"/>
  <c r="G1256" i="31"/>
  <c r="G1257" i="31"/>
  <c r="B59" i="50" s="1"/>
  <c r="G1258" i="31"/>
  <c r="G1259" i="31"/>
  <c r="G1260" i="31"/>
  <c r="G1261" i="31"/>
  <c r="G1262" i="31"/>
  <c r="G1263" i="31"/>
  <c r="G1264" i="31"/>
  <c r="G1265" i="31"/>
  <c r="G1266" i="31"/>
  <c r="G1267" i="31"/>
  <c r="G1268" i="31"/>
  <c r="G1269" i="31"/>
  <c r="G1270" i="31"/>
  <c r="G1271" i="31"/>
  <c r="G1272" i="31"/>
  <c r="G1273" i="31"/>
  <c r="G1274" i="31"/>
  <c r="G1275" i="31"/>
  <c r="G1276" i="31"/>
  <c r="G1277" i="31"/>
  <c r="G1278" i="31"/>
  <c r="B60" i="50" s="1"/>
  <c r="G1279" i="31"/>
  <c r="G1280" i="31"/>
  <c r="G1281" i="31"/>
  <c r="G1282" i="31"/>
  <c r="G1283" i="31"/>
  <c r="G1284" i="31"/>
  <c r="G1285" i="31"/>
  <c r="G1286" i="31"/>
  <c r="G1287" i="31"/>
  <c r="G1288" i="31"/>
  <c r="G1289" i="31"/>
  <c r="G1290" i="31"/>
  <c r="G1291" i="31"/>
  <c r="G1292" i="31"/>
  <c r="G1293" i="31"/>
  <c r="G1294" i="31"/>
  <c r="G1295" i="31"/>
  <c r="G1296" i="31"/>
  <c r="G1297" i="31"/>
  <c r="G1298" i="31"/>
  <c r="B61" i="50" s="1"/>
  <c r="G1299" i="31"/>
  <c r="G1300" i="31"/>
  <c r="G1301" i="31"/>
  <c r="G1302" i="31"/>
  <c r="G1303" i="31"/>
  <c r="G1304" i="31"/>
  <c r="G1305" i="31"/>
  <c r="G1306" i="31"/>
  <c r="G1307" i="31"/>
  <c r="G1308" i="31"/>
  <c r="G1309" i="31"/>
  <c r="G1310" i="31"/>
  <c r="G1311" i="31"/>
  <c r="G1312" i="31"/>
  <c r="G1313" i="31"/>
  <c r="G1314" i="31"/>
  <c r="G1315" i="31"/>
  <c r="G1316" i="31"/>
  <c r="G1317" i="31"/>
  <c r="G1318" i="31"/>
  <c r="G1319" i="31"/>
  <c r="B62" i="50" s="1"/>
  <c r="G1320" i="31"/>
  <c r="G1321" i="31"/>
  <c r="G1322" i="31"/>
  <c r="G1323" i="31"/>
  <c r="G1324" i="31"/>
  <c r="G1325" i="31"/>
  <c r="G1326" i="31"/>
  <c r="G1327" i="31"/>
  <c r="G1328" i="31"/>
  <c r="G1329" i="31"/>
  <c r="G1330" i="31"/>
  <c r="G1331" i="31"/>
  <c r="G1332" i="31"/>
  <c r="G1333" i="31"/>
  <c r="G1334" i="31"/>
  <c r="G1335" i="31"/>
  <c r="G1336" i="31"/>
  <c r="G1337" i="31"/>
  <c r="G1338" i="31"/>
  <c r="B63" i="50" s="1"/>
  <c r="G1339" i="31"/>
  <c r="G1340" i="31"/>
  <c r="G1341" i="31"/>
  <c r="G1342" i="31"/>
  <c r="G1343" i="31"/>
  <c r="G1344" i="31"/>
  <c r="G1345" i="31"/>
  <c r="G1346" i="31"/>
  <c r="G1347" i="31"/>
  <c r="G1348" i="31"/>
  <c r="G1349" i="31"/>
  <c r="G1350" i="31"/>
  <c r="G1351" i="31"/>
  <c r="G1352" i="31"/>
  <c r="G1353" i="31"/>
  <c r="G1354" i="31"/>
  <c r="G1355" i="31"/>
  <c r="G1356" i="31"/>
  <c r="G1357" i="31"/>
  <c r="G1358" i="31"/>
  <c r="G1359" i="31"/>
  <c r="G1360" i="31"/>
  <c r="B64" i="50" s="1"/>
  <c r="G1361" i="31"/>
  <c r="G1362" i="31"/>
  <c r="G1363" i="31"/>
  <c r="G1364" i="31"/>
  <c r="G1365" i="31"/>
  <c r="G1366" i="31"/>
  <c r="G1367" i="31"/>
  <c r="G1368" i="31"/>
  <c r="G1369" i="31"/>
  <c r="G1370" i="31"/>
  <c r="G1371" i="31"/>
  <c r="G1372" i="31"/>
  <c r="G1373" i="31"/>
  <c r="G1374" i="31"/>
  <c r="G1375" i="31"/>
  <c r="G1376" i="31"/>
  <c r="G1377" i="31"/>
  <c r="G1378" i="31"/>
  <c r="G1379" i="31"/>
  <c r="G1380" i="31"/>
  <c r="G1381" i="31"/>
  <c r="B65" i="50" s="1"/>
  <c r="G1382" i="31"/>
  <c r="G1383" i="31"/>
  <c r="G1384" i="31"/>
  <c r="G1385" i="31"/>
  <c r="G1386" i="31"/>
  <c r="G1387" i="31"/>
  <c r="G1388" i="31"/>
  <c r="G1389" i="31"/>
  <c r="G1390" i="31"/>
  <c r="G1391" i="31"/>
  <c r="G1392" i="31"/>
  <c r="G1393" i="31"/>
  <c r="G1394" i="31"/>
  <c r="G1395" i="31"/>
  <c r="G1396" i="31"/>
  <c r="G1397" i="31"/>
  <c r="G1398" i="31"/>
  <c r="G1399" i="31"/>
  <c r="G1400" i="31"/>
  <c r="G1401" i="31"/>
  <c r="G1402" i="31"/>
  <c r="B66" i="50" s="1"/>
  <c r="G1403" i="31"/>
  <c r="G1404" i="31"/>
  <c r="G1405" i="31"/>
  <c r="G1406" i="31"/>
  <c r="G1407" i="31"/>
  <c r="G1408" i="31"/>
  <c r="G1409" i="31"/>
  <c r="G1410" i="31"/>
  <c r="G1411" i="31"/>
  <c r="G1412" i="31"/>
  <c r="G1413" i="31"/>
  <c r="G1414" i="31"/>
  <c r="G1415" i="31"/>
  <c r="G1416" i="31"/>
  <c r="G1417" i="31"/>
  <c r="G1418" i="31"/>
  <c r="G1419" i="31"/>
  <c r="G1420" i="31"/>
  <c r="G1421" i="31"/>
  <c r="G1422" i="31"/>
  <c r="G1423" i="31"/>
  <c r="G1424" i="31"/>
  <c r="G1425" i="31"/>
  <c r="B67" i="50" s="1"/>
  <c r="G1426" i="31"/>
  <c r="G1427" i="31"/>
  <c r="G1428" i="31"/>
  <c r="G1429" i="31"/>
  <c r="G1430" i="31"/>
  <c r="G1431" i="31"/>
  <c r="G1432" i="31"/>
  <c r="G1433" i="31"/>
  <c r="G1434" i="31"/>
  <c r="G1435" i="31"/>
  <c r="G1436" i="31"/>
  <c r="G1437" i="31"/>
  <c r="G1438" i="31"/>
  <c r="G1439" i="31"/>
  <c r="G1440" i="31"/>
  <c r="G1441" i="31"/>
  <c r="G1442" i="31"/>
  <c r="G1443" i="31"/>
  <c r="G1444" i="31"/>
  <c r="G1445" i="31"/>
  <c r="G1446" i="31"/>
  <c r="B68" i="50" s="1"/>
  <c r="G1447" i="31"/>
  <c r="G1448" i="31"/>
  <c r="G1449" i="31"/>
  <c r="G1450" i="31"/>
  <c r="G1451" i="31"/>
  <c r="G1452" i="31"/>
  <c r="G1453" i="31"/>
  <c r="G1454" i="31"/>
  <c r="G1455" i="31"/>
  <c r="G1456" i="31"/>
  <c r="G1457" i="31"/>
  <c r="G1458" i="31"/>
  <c r="G1459" i="31"/>
  <c r="G1460" i="31"/>
  <c r="G1461" i="31"/>
  <c r="G1462" i="31"/>
  <c r="G1463" i="31"/>
  <c r="G1464" i="31"/>
  <c r="G1465" i="31"/>
  <c r="G1466" i="31"/>
  <c r="B69" i="50" s="1"/>
  <c r="G1467" i="31"/>
  <c r="G1468" i="31"/>
  <c r="G1469" i="31"/>
  <c r="G1470" i="31"/>
  <c r="G1471" i="31"/>
  <c r="G1472" i="31"/>
  <c r="G1473" i="31"/>
  <c r="G1474" i="31"/>
  <c r="G1475" i="31"/>
  <c r="G1476" i="31"/>
  <c r="G1477" i="31"/>
  <c r="G1478" i="31"/>
  <c r="G1479" i="31"/>
  <c r="G1480" i="31"/>
  <c r="G1481" i="31"/>
  <c r="G1482" i="31"/>
  <c r="G1483" i="31"/>
  <c r="G1484" i="31"/>
  <c r="G1485" i="31"/>
  <c r="G1486" i="31"/>
  <c r="B70" i="50" s="1"/>
  <c r="G1487" i="31"/>
  <c r="G1488" i="31"/>
  <c r="G1489" i="31"/>
  <c r="G1490" i="31"/>
  <c r="G1491" i="31"/>
  <c r="G1492" i="31"/>
  <c r="G1493" i="31"/>
  <c r="G1494" i="31"/>
  <c r="G1495" i="31"/>
  <c r="G1496" i="31"/>
  <c r="G1497" i="31"/>
  <c r="G1498" i="31"/>
  <c r="G1499" i="31"/>
  <c r="G1500" i="31"/>
  <c r="G1501" i="31"/>
  <c r="G1502" i="31"/>
  <c r="G1503" i="31"/>
  <c r="G1504" i="31"/>
  <c r="G1505" i="31"/>
  <c r="G1506" i="31"/>
  <c r="G1507" i="31"/>
  <c r="G1508" i="31"/>
  <c r="B71" i="50" s="1"/>
  <c r="G1509" i="31"/>
  <c r="G1510" i="31"/>
  <c r="G1511" i="31"/>
  <c r="G1512" i="31"/>
  <c r="G1513" i="31"/>
  <c r="G1514" i="31"/>
  <c r="G1515" i="31"/>
  <c r="G1516" i="31"/>
  <c r="G1517" i="31"/>
  <c r="G1518" i="31"/>
  <c r="G1519" i="31"/>
  <c r="G1520" i="31"/>
  <c r="G1521" i="31"/>
  <c r="G1522" i="31"/>
  <c r="G1523" i="31"/>
  <c r="G1524" i="31"/>
  <c r="G1525" i="31"/>
  <c r="G1526" i="31"/>
  <c r="G1527" i="31"/>
  <c r="G1528" i="31"/>
  <c r="G1529" i="31"/>
  <c r="G1530" i="31"/>
  <c r="B72" i="50" s="1"/>
  <c r="G1531" i="31"/>
  <c r="G1532" i="31"/>
  <c r="G1533" i="31"/>
  <c r="G1534" i="31"/>
  <c r="G1535" i="31"/>
  <c r="G1536" i="31"/>
  <c r="G1537" i="31"/>
  <c r="G1538" i="31"/>
  <c r="G1539" i="31"/>
  <c r="G1540" i="31"/>
  <c r="G1541" i="31"/>
  <c r="G1542" i="31"/>
  <c r="G1543" i="31"/>
  <c r="G1544" i="31"/>
  <c r="G1545" i="31"/>
  <c r="G1546" i="31"/>
  <c r="G1547" i="31"/>
  <c r="G1548" i="31"/>
  <c r="G1549" i="31"/>
  <c r="B73" i="50" s="1"/>
  <c r="G1550" i="31"/>
  <c r="G1551" i="31"/>
  <c r="G1552" i="31"/>
  <c r="G1553" i="31"/>
  <c r="G1554" i="31"/>
  <c r="G1555" i="31"/>
  <c r="G1556" i="31"/>
  <c r="G1557" i="31"/>
  <c r="G1558" i="31"/>
  <c r="G1559" i="31"/>
  <c r="G1560" i="31"/>
  <c r="G1561" i="31"/>
  <c r="G1562" i="31"/>
  <c r="G1563" i="31"/>
  <c r="G1564" i="31"/>
  <c r="G1565" i="31"/>
  <c r="G1566" i="31"/>
  <c r="G1567" i="31"/>
  <c r="G1568" i="31"/>
  <c r="G1569" i="31"/>
  <c r="G1570" i="31"/>
  <c r="G1571" i="31"/>
  <c r="B74" i="50" s="1"/>
  <c r="G1572" i="31"/>
  <c r="G1573" i="31"/>
  <c r="G1574" i="31"/>
  <c r="G1575" i="31"/>
  <c r="G1576" i="31"/>
  <c r="G1577" i="31"/>
  <c r="G1578" i="31"/>
  <c r="G1579" i="31"/>
  <c r="G1580" i="31"/>
  <c r="G1581" i="31"/>
  <c r="G1582" i="31"/>
  <c r="G1583" i="31"/>
  <c r="G1584" i="31"/>
  <c r="G1585" i="31"/>
  <c r="G1586" i="31"/>
  <c r="G1587" i="31"/>
  <c r="G1588" i="31"/>
  <c r="G1589" i="31"/>
  <c r="G1590" i="31"/>
  <c r="G1591" i="31"/>
  <c r="B75" i="50" s="1"/>
  <c r="G1592" i="31"/>
  <c r="G1593" i="31"/>
  <c r="G1594" i="31"/>
  <c r="G1595" i="31"/>
  <c r="G1596" i="31"/>
  <c r="G1597" i="31"/>
  <c r="G1598" i="31"/>
  <c r="G1599" i="31"/>
  <c r="G1600" i="31"/>
  <c r="G1601" i="31"/>
  <c r="G1602" i="31"/>
  <c r="G1603" i="31"/>
  <c r="G1604" i="31"/>
  <c r="G1605" i="31"/>
  <c r="G1606" i="31"/>
  <c r="G1607" i="31"/>
  <c r="G1608" i="31"/>
  <c r="G1609" i="31"/>
  <c r="G1610" i="31"/>
  <c r="G1611" i="31"/>
  <c r="G1612" i="31"/>
  <c r="G1613" i="31"/>
  <c r="B76" i="50" s="1"/>
  <c r="G1614" i="31"/>
  <c r="G1615" i="31"/>
  <c r="G1616" i="31"/>
  <c r="G1617" i="31"/>
  <c r="G1618" i="31"/>
  <c r="G1619" i="31"/>
  <c r="G1620" i="31"/>
  <c r="G1621" i="31"/>
  <c r="G1622" i="31"/>
  <c r="G1623" i="31"/>
  <c r="G1624" i="31"/>
  <c r="G1625" i="31"/>
  <c r="G1626" i="31"/>
  <c r="G1627" i="31"/>
  <c r="G1628" i="31"/>
  <c r="G1629" i="31"/>
  <c r="G1630" i="31"/>
  <c r="G1631" i="31"/>
  <c r="G1632" i="31"/>
  <c r="G1633" i="31"/>
  <c r="B77" i="50" s="1"/>
  <c r="G1634" i="31"/>
  <c r="G1635" i="31"/>
  <c r="G1636" i="31"/>
  <c r="G1637" i="31"/>
  <c r="G1638" i="31"/>
  <c r="G1639" i="31"/>
  <c r="G1640" i="31"/>
  <c r="G1641" i="31"/>
  <c r="G1642" i="31"/>
  <c r="G1643" i="31"/>
  <c r="G1644" i="31"/>
  <c r="G1645" i="31"/>
  <c r="G1646" i="31"/>
  <c r="G1647" i="31"/>
  <c r="G1648" i="31"/>
  <c r="G1649" i="31"/>
  <c r="G1650" i="31"/>
  <c r="G1651" i="31"/>
  <c r="G1652" i="31"/>
  <c r="G1653" i="31"/>
  <c r="G1654" i="31"/>
  <c r="G1655" i="31"/>
  <c r="B78" i="50" s="1"/>
  <c r="G1656" i="31"/>
  <c r="G1657" i="31"/>
  <c r="G1658" i="31"/>
  <c r="G1659" i="31"/>
  <c r="G1660" i="31"/>
  <c r="G1661" i="31"/>
  <c r="G1662" i="31"/>
  <c r="G1663" i="31"/>
  <c r="G1664" i="31"/>
  <c r="G1665" i="31"/>
  <c r="G1666" i="31"/>
  <c r="G1667" i="31"/>
  <c r="G1668" i="31"/>
  <c r="G1669" i="31"/>
  <c r="G1670" i="31"/>
  <c r="G1671" i="31"/>
  <c r="G1672" i="31"/>
  <c r="G1673" i="31"/>
  <c r="G1674" i="31"/>
  <c r="G1675" i="31"/>
  <c r="G1676" i="31"/>
  <c r="G1677" i="31"/>
  <c r="G1678" i="31"/>
  <c r="B79" i="50" s="1"/>
  <c r="G1679" i="31"/>
  <c r="G1680" i="31"/>
  <c r="G1681" i="31"/>
  <c r="G1682" i="31"/>
  <c r="G1683" i="31"/>
  <c r="G1684" i="31"/>
  <c r="G1685" i="31"/>
  <c r="G1686" i="31"/>
  <c r="G1687" i="31"/>
  <c r="G1688" i="31"/>
  <c r="G1689" i="31"/>
  <c r="G1690" i="31"/>
  <c r="G1691" i="31"/>
  <c r="G1692" i="31"/>
  <c r="G1693" i="31"/>
  <c r="G1694" i="31"/>
  <c r="G1695" i="31"/>
  <c r="G1696" i="31"/>
  <c r="G1697" i="31"/>
  <c r="B80" i="50" s="1"/>
  <c r="G1698" i="31"/>
  <c r="G1699" i="31"/>
  <c r="G1700" i="31"/>
  <c r="G1701" i="31"/>
  <c r="G1702" i="31"/>
  <c r="G1703" i="31"/>
  <c r="G1704" i="31"/>
  <c r="G1705" i="31"/>
  <c r="G1706" i="31"/>
  <c r="G1707" i="31"/>
  <c r="G1708" i="31"/>
  <c r="G1709" i="31"/>
  <c r="G1710" i="31"/>
  <c r="G1711" i="31"/>
  <c r="G1712" i="31"/>
  <c r="G1713" i="31"/>
  <c r="G1714" i="31"/>
  <c r="G1715" i="31"/>
  <c r="G1716" i="31"/>
  <c r="G1717" i="31"/>
  <c r="G1718" i="31"/>
  <c r="G1719" i="31"/>
  <c r="B81" i="50" s="1"/>
  <c r="G1720" i="31"/>
  <c r="G1721" i="31"/>
  <c r="G1722" i="31"/>
  <c r="G1723" i="31"/>
  <c r="G1724" i="31"/>
  <c r="G1725" i="31"/>
  <c r="G1726" i="31"/>
  <c r="G1727" i="31"/>
  <c r="G1728" i="31"/>
  <c r="G1729" i="31"/>
  <c r="G1730" i="31"/>
  <c r="G1731" i="31"/>
  <c r="G1732" i="31"/>
  <c r="G1733" i="31"/>
  <c r="G1734" i="31"/>
  <c r="G1735" i="31"/>
  <c r="G1736" i="31"/>
  <c r="G1737" i="31"/>
  <c r="G1738" i="31"/>
  <c r="G1739" i="31"/>
  <c r="B82" i="50" s="1"/>
  <c r="G1740" i="31"/>
  <c r="G1741" i="31"/>
  <c r="G1742" i="31"/>
  <c r="G1743" i="31"/>
  <c r="G1744" i="31"/>
  <c r="G1745" i="31"/>
  <c r="G1746" i="31"/>
  <c r="G1747" i="31"/>
  <c r="G1748" i="31"/>
  <c r="G1749" i="31"/>
  <c r="G1750" i="31"/>
  <c r="G1751" i="31"/>
  <c r="G1752" i="31"/>
  <c r="G1753" i="31"/>
  <c r="G1754" i="31"/>
  <c r="G1755" i="31"/>
  <c r="G1756" i="31"/>
  <c r="G1757" i="31"/>
  <c r="G1758" i="31"/>
  <c r="G1759" i="31"/>
  <c r="B83" i="50" s="1"/>
  <c r="B2" i="2" s="1"/>
  <c r="G1760" i="31"/>
  <c r="G1761" i="31"/>
  <c r="G1762" i="31"/>
  <c r="G1763" i="31"/>
  <c r="G1764" i="31"/>
  <c r="G1765" i="31"/>
  <c r="G1766" i="31"/>
  <c r="G1767" i="31"/>
  <c r="G1768" i="31"/>
  <c r="G1769" i="31"/>
  <c r="G1770" i="31"/>
  <c r="G1771" i="31"/>
  <c r="G1772" i="31"/>
  <c r="G1773" i="31"/>
  <c r="G1774" i="31"/>
  <c r="G1775" i="31"/>
  <c r="G1776" i="31"/>
  <c r="G1777" i="31"/>
  <c r="G1778" i="31"/>
  <c r="G1779" i="31"/>
  <c r="G1780" i="31"/>
  <c r="G1781" i="31"/>
  <c r="B84" i="50" s="1"/>
  <c r="B3" i="2" s="1"/>
  <c r="G1782" i="31"/>
  <c r="G1783" i="31"/>
  <c r="G1784" i="31"/>
  <c r="G1785" i="31"/>
  <c r="G1786" i="31"/>
  <c r="G1787" i="31"/>
  <c r="G1788" i="31"/>
  <c r="G1789" i="31"/>
  <c r="G1790" i="31"/>
  <c r="G1791" i="31"/>
  <c r="G1792" i="31"/>
  <c r="G1793" i="31"/>
  <c r="G1794" i="31"/>
  <c r="G1795" i="31"/>
  <c r="G1796" i="31"/>
  <c r="G1797" i="31"/>
  <c r="G1798" i="31"/>
  <c r="G1799" i="31"/>
  <c r="B85" i="50" s="1"/>
  <c r="B4" i="2" s="1"/>
  <c r="G1800" i="31"/>
  <c r="G1801" i="31"/>
  <c r="G1802" i="31"/>
  <c r="G1803" i="31"/>
  <c r="G1804" i="31"/>
  <c r="G1805" i="31"/>
  <c r="G1806" i="31"/>
  <c r="G1807" i="31"/>
  <c r="G1808" i="31"/>
  <c r="G1809" i="31"/>
  <c r="G1810" i="31"/>
  <c r="G1811" i="31"/>
  <c r="G1812" i="31"/>
  <c r="G1813" i="31"/>
  <c r="G1814" i="31"/>
  <c r="G1815" i="31"/>
  <c r="G1816" i="31"/>
  <c r="G1817" i="31"/>
  <c r="G1818" i="31"/>
  <c r="G1819" i="31"/>
  <c r="B86" i="50" s="1"/>
  <c r="B5" i="2" s="1"/>
  <c r="G1820" i="31"/>
  <c r="G1821" i="31"/>
  <c r="G1822" i="31"/>
  <c r="G1823" i="31"/>
  <c r="G1824" i="31"/>
  <c r="G1825" i="31"/>
  <c r="G1826" i="31"/>
  <c r="G1827" i="31"/>
  <c r="G1828" i="31"/>
  <c r="G1829" i="31"/>
  <c r="G1830" i="31"/>
  <c r="G1831" i="31"/>
  <c r="G1832" i="31"/>
  <c r="G1833" i="31"/>
  <c r="G1834" i="31"/>
  <c r="G1835" i="31"/>
  <c r="G1836" i="31"/>
  <c r="G1837" i="31"/>
  <c r="G1838" i="31"/>
  <c r="G1839" i="31"/>
  <c r="G1840" i="31"/>
  <c r="G1841" i="31"/>
  <c r="B87" i="50" s="1"/>
  <c r="B6" i="2" s="1"/>
  <c r="G1842" i="31"/>
  <c r="G1843" i="31"/>
  <c r="G1844" i="31"/>
  <c r="G1845" i="31"/>
  <c r="G1846" i="31"/>
  <c r="G1847" i="31"/>
  <c r="G1848" i="31"/>
  <c r="G1849" i="31"/>
  <c r="G1850" i="31"/>
  <c r="G1851" i="31"/>
  <c r="G1852" i="31"/>
  <c r="G1853" i="31"/>
  <c r="G1854" i="31"/>
  <c r="G1855" i="31"/>
  <c r="G1856" i="31"/>
  <c r="G1857" i="31"/>
  <c r="G1858" i="31"/>
  <c r="G1859" i="31"/>
  <c r="G1860" i="31"/>
  <c r="G1861" i="31"/>
  <c r="G1862" i="31"/>
  <c r="B88" i="50" s="1"/>
  <c r="B7" i="2" s="1"/>
  <c r="G1863" i="31"/>
  <c r="G1864" i="31"/>
  <c r="G1865" i="31"/>
  <c r="G1866" i="31"/>
  <c r="G1867" i="31"/>
  <c r="G1868" i="31"/>
  <c r="G1869" i="31"/>
  <c r="G1870" i="31"/>
  <c r="G1871" i="31"/>
  <c r="G1872" i="31"/>
  <c r="G1873" i="31"/>
  <c r="G1874" i="31"/>
  <c r="G1875" i="31"/>
  <c r="G1876" i="31"/>
  <c r="G1877" i="31"/>
  <c r="G1878" i="31"/>
  <c r="G1879" i="31"/>
  <c r="G1880" i="31"/>
  <c r="G1881" i="31"/>
  <c r="G1882" i="31"/>
  <c r="B89" i="50" s="1"/>
  <c r="B8" i="2" s="1"/>
  <c r="G1883" i="31"/>
  <c r="G1884" i="31"/>
  <c r="G1885" i="31"/>
  <c r="G1886" i="31"/>
  <c r="G1887" i="31"/>
  <c r="G1888" i="31"/>
  <c r="G1889" i="31"/>
  <c r="G1890" i="31"/>
  <c r="G1891" i="31"/>
  <c r="G1892" i="31"/>
  <c r="G1893" i="31"/>
  <c r="G1894" i="31"/>
  <c r="G1895" i="31"/>
  <c r="G1896" i="31"/>
  <c r="G1897" i="31"/>
  <c r="G1898" i="31"/>
  <c r="G1899" i="31"/>
  <c r="G1900" i="31"/>
  <c r="G1901" i="31"/>
  <c r="G1902" i="31"/>
  <c r="G1903" i="31"/>
  <c r="G1904" i="31"/>
  <c r="G1905" i="31"/>
  <c r="B90" i="50" s="1"/>
  <c r="B9" i="2" s="1"/>
  <c r="G1906" i="31"/>
  <c r="G1907" i="31"/>
  <c r="G1908" i="31"/>
  <c r="G1909" i="31"/>
  <c r="G1910" i="31"/>
  <c r="G1911" i="31"/>
  <c r="G1912" i="31"/>
  <c r="G1913" i="31"/>
  <c r="G1914" i="31"/>
  <c r="G1915" i="31"/>
  <c r="G1916" i="31"/>
  <c r="G1917" i="31"/>
  <c r="G1918" i="31"/>
  <c r="G1919" i="31"/>
  <c r="G1920" i="31"/>
  <c r="G1921" i="31"/>
  <c r="G1922" i="31"/>
  <c r="G1923" i="31"/>
  <c r="G1924" i="31"/>
  <c r="G1925" i="31"/>
  <c r="G1926" i="31"/>
  <c r="G1927" i="31"/>
  <c r="B91" i="50" s="1"/>
  <c r="B10" i="2" s="1"/>
  <c r="G1928" i="31"/>
  <c r="G1929" i="31"/>
  <c r="G1930" i="31"/>
  <c r="G1931" i="31"/>
  <c r="G1932" i="31"/>
  <c r="G1933" i="31"/>
  <c r="G1934" i="31"/>
  <c r="G1935" i="31"/>
  <c r="G1936" i="31"/>
  <c r="G1937" i="31"/>
  <c r="G1938" i="31"/>
  <c r="G1939" i="31"/>
  <c r="G1940" i="31"/>
  <c r="G1941" i="31"/>
  <c r="G1942" i="31"/>
  <c r="G1943" i="31"/>
  <c r="G1944" i="31"/>
  <c r="G1945" i="31"/>
  <c r="G1946" i="31"/>
  <c r="G1947" i="31"/>
  <c r="G1948" i="31"/>
  <c r="B92" i="50" s="1"/>
  <c r="B11" i="2" s="1"/>
  <c r="G1949" i="31"/>
  <c r="G1950" i="31"/>
  <c r="G1951" i="31"/>
  <c r="G1952" i="31"/>
  <c r="G1953" i="31"/>
  <c r="G1954" i="31"/>
  <c r="G1955" i="31"/>
  <c r="G1956" i="31"/>
  <c r="G1957" i="31"/>
  <c r="G1958" i="31"/>
  <c r="G1959" i="31"/>
  <c r="G1960" i="31"/>
  <c r="G1961" i="31"/>
  <c r="G1962" i="31"/>
  <c r="G1963" i="31"/>
  <c r="G1964" i="31"/>
  <c r="G1965" i="31"/>
  <c r="G1966" i="31"/>
  <c r="G1967" i="31"/>
  <c r="G1968" i="31"/>
  <c r="G1969" i="31"/>
  <c r="G1970" i="31"/>
  <c r="G1971" i="31"/>
  <c r="B93" i="50" s="1"/>
  <c r="B12" i="2" s="1"/>
  <c r="G1972" i="31"/>
  <c r="G1973" i="31"/>
  <c r="G1974" i="31"/>
  <c r="G1975" i="31"/>
  <c r="G1976" i="31"/>
  <c r="G1977" i="31"/>
  <c r="G1978" i="31"/>
  <c r="G1979" i="31"/>
  <c r="G1980" i="31"/>
  <c r="G1981" i="31"/>
  <c r="G1982" i="31"/>
  <c r="G1983" i="31"/>
  <c r="G1984" i="31"/>
  <c r="G1985" i="31"/>
  <c r="G1986" i="31"/>
  <c r="G1987" i="31"/>
  <c r="G1988" i="31"/>
  <c r="G1989" i="31"/>
  <c r="G1990" i="31"/>
  <c r="G1991" i="31"/>
  <c r="B94" i="50" s="1"/>
  <c r="B13" i="2" s="1"/>
  <c r="G1992" i="31"/>
  <c r="G1993" i="31"/>
  <c r="G1994" i="31"/>
  <c r="G1995" i="31"/>
  <c r="G1996" i="31"/>
  <c r="G1997" i="31"/>
  <c r="G1998" i="31"/>
  <c r="G1999" i="31"/>
  <c r="G2000" i="31"/>
  <c r="G2001" i="31"/>
  <c r="G2002" i="31"/>
  <c r="G2003" i="31"/>
  <c r="G2004" i="31"/>
  <c r="G2005" i="31"/>
  <c r="G2006" i="31"/>
  <c r="G2007" i="31"/>
  <c r="G2008" i="31"/>
  <c r="G2009" i="31"/>
  <c r="G2010" i="31"/>
  <c r="G2011" i="31"/>
  <c r="G2012" i="31"/>
  <c r="B95" i="50" s="1"/>
  <c r="B14" i="2" s="1"/>
  <c r="G2013" i="31"/>
  <c r="G2014" i="31"/>
  <c r="G2015" i="31"/>
  <c r="G2016" i="31"/>
  <c r="G2017" i="31"/>
  <c r="G2018" i="31"/>
  <c r="G2019" i="31"/>
  <c r="G2020" i="31"/>
  <c r="G2021" i="31"/>
  <c r="G2022" i="31"/>
  <c r="G2023" i="31"/>
  <c r="G2024" i="31"/>
  <c r="G2025" i="31"/>
  <c r="G2026" i="31"/>
  <c r="G2027" i="31"/>
  <c r="G2028" i="31"/>
  <c r="G2029" i="31"/>
  <c r="G2030" i="31"/>
  <c r="G2031" i="31"/>
  <c r="G2032" i="31"/>
  <c r="G2033" i="31"/>
  <c r="G2034" i="31"/>
  <c r="B96" i="50" s="1"/>
  <c r="B15" i="2" s="1"/>
  <c r="G2035" i="31"/>
  <c r="G2036" i="31"/>
  <c r="G2037" i="31"/>
  <c r="G2038" i="31"/>
  <c r="G2039" i="31"/>
  <c r="G2040" i="31"/>
  <c r="G2041" i="31"/>
  <c r="G2042" i="31"/>
  <c r="G2043" i="31"/>
  <c r="G2044" i="31"/>
  <c r="G2045" i="31"/>
  <c r="G2046" i="31"/>
  <c r="G2047" i="31"/>
  <c r="G2048" i="31"/>
  <c r="G2049" i="31"/>
  <c r="G2050" i="31"/>
  <c r="G2051" i="31"/>
  <c r="G2052" i="31"/>
  <c r="G2053" i="31"/>
  <c r="G2054" i="31"/>
  <c r="B97" i="50" s="1"/>
  <c r="B16" i="2" s="1"/>
  <c r="G2055" i="31"/>
  <c r="G2056" i="31"/>
  <c r="G2057" i="31"/>
  <c r="G2058" i="31"/>
  <c r="G2059" i="31"/>
  <c r="G2060" i="31"/>
  <c r="G2061" i="31"/>
  <c r="G2062" i="31"/>
  <c r="G2063" i="31"/>
  <c r="G2064" i="31"/>
  <c r="G2065" i="31"/>
  <c r="G2066" i="31"/>
  <c r="G2067" i="31"/>
  <c r="G2068" i="31"/>
  <c r="G2069" i="31"/>
  <c r="G2070" i="31"/>
  <c r="G2071" i="31"/>
  <c r="G2072" i="31"/>
  <c r="G2073" i="31"/>
  <c r="B98" i="50" s="1"/>
  <c r="B17" i="2" s="1"/>
  <c r="G2074" i="31"/>
  <c r="G2075" i="31"/>
  <c r="G2076" i="31"/>
  <c r="G2077" i="31"/>
  <c r="G2078" i="31"/>
  <c r="G2079" i="31"/>
  <c r="G2080" i="31"/>
  <c r="G2081" i="31"/>
  <c r="G2082" i="31"/>
  <c r="G2083" i="31"/>
  <c r="G2084" i="31"/>
  <c r="G2085" i="31"/>
  <c r="G2086" i="31"/>
  <c r="G2087" i="31"/>
  <c r="G2088" i="31"/>
  <c r="G2089" i="31"/>
  <c r="G2090" i="31"/>
  <c r="G2091" i="31"/>
  <c r="G2092" i="31"/>
  <c r="G2093" i="31"/>
  <c r="B99" i="50" s="1"/>
  <c r="B18" i="2" s="1"/>
  <c r="G2094" i="31"/>
  <c r="G2095" i="31"/>
  <c r="G2096" i="31"/>
  <c r="G2097" i="31"/>
  <c r="G2098" i="31"/>
  <c r="G2099" i="31"/>
  <c r="G2100" i="31"/>
  <c r="G2101" i="31"/>
  <c r="G2102" i="31"/>
  <c r="G2103" i="31"/>
  <c r="G2104" i="31"/>
  <c r="G2105" i="31"/>
  <c r="G2106" i="31"/>
  <c r="G2107" i="31"/>
  <c r="G2108" i="31"/>
  <c r="G2109" i="31"/>
  <c r="G2110" i="31"/>
  <c r="G2111" i="31"/>
  <c r="G2112" i="31"/>
  <c r="G2113" i="31"/>
  <c r="G2114" i="31"/>
  <c r="B100" i="50" s="1"/>
  <c r="B19" i="2" s="1"/>
  <c r="G2115" i="31"/>
  <c r="G2116" i="31"/>
  <c r="G2117" i="31"/>
  <c r="G2118" i="31"/>
  <c r="G2119" i="31"/>
  <c r="G2120" i="31"/>
  <c r="G2121" i="31"/>
  <c r="G2122" i="31"/>
  <c r="G2123" i="31"/>
  <c r="G2124" i="31"/>
  <c r="G2125" i="31"/>
  <c r="G2126" i="31"/>
  <c r="G2127" i="31"/>
  <c r="G2128" i="31"/>
  <c r="G2129" i="31"/>
  <c r="G2130" i="31"/>
  <c r="G2131" i="31"/>
  <c r="G2132" i="31"/>
  <c r="G2133" i="31"/>
  <c r="G2134" i="31"/>
  <c r="B101" i="50" s="1"/>
  <c r="B20" i="2" s="1"/>
  <c r="G2135" i="31"/>
  <c r="G2136" i="31"/>
  <c r="G2137" i="31"/>
  <c r="G2138" i="31"/>
  <c r="G2139" i="31"/>
  <c r="G2140" i="31"/>
  <c r="G2141" i="31"/>
  <c r="G2142" i="31"/>
  <c r="G2143" i="31"/>
  <c r="G2144" i="31"/>
  <c r="G2145" i="31"/>
  <c r="G2146" i="31"/>
  <c r="G2147" i="31"/>
  <c r="G2148" i="31"/>
  <c r="G2149" i="31"/>
  <c r="G2150" i="31"/>
  <c r="G2151" i="31"/>
  <c r="G2152" i="31"/>
  <c r="G2153" i="31"/>
  <c r="G2154" i="31"/>
  <c r="G2155" i="31"/>
  <c r="G2156" i="31"/>
  <c r="G2157" i="31"/>
  <c r="B102" i="50" s="1"/>
  <c r="B21" i="2" s="1"/>
  <c r="G2158" i="31"/>
  <c r="G2159" i="31"/>
  <c r="G2160" i="31"/>
  <c r="G2161" i="31"/>
  <c r="G2162" i="31"/>
  <c r="G2163" i="31"/>
  <c r="G2164" i="31"/>
  <c r="G2165" i="31"/>
  <c r="G2166" i="31"/>
  <c r="G2167" i="31"/>
  <c r="G2168" i="31"/>
  <c r="G2169" i="31"/>
  <c r="G2170" i="31"/>
  <c r="G2171" i="31"/>
  <c r="G2172" i="31"/>
  <c r="G2173" i="31"/>
  <c r="G2174" i="31"/>
  <c r="G2175" i="31"/>
  <c r="G2176" i="31"/>
  <c r="G2177" i="31"/>
  <c r="G2178" i="31"/>
  <c r="B103" i="50" s="1"/>
  <c r="B22" i="2" s="1"/>
  <c r="G2179" i="31"/>
  <c r="G2180" i="31"/>
  <c r="G2181" i="31"/>
  <c r="G2182" i="31"/>
  <c r="G2183" i="31"/>
  <c r="G2184" i="31"/>
  <c r="G2185" i="31"/>
  <c r="G2186" i="31"/>
  <c r="G2187" i="31"/>
  <c r="G2188" i="31"/>
  <c r="G2189" i="31"/>
  <c r="G2190" i="31"/>
  <c r="G2191" i="31"/>
  <c r="G2192" i="31"/>
  <c r="G2193" i="31"/>
  <c r="G2194" i="31"/>
  <c r="G2195" i="31"/>
  <c r="G2196" i="31"/>
  <c r="G2197" i="31"/>
  <c r="G2198" i="31"/>
  <c r="G2199" i="31"/>
  <c r="G2200" i="31"/>
  <c r="B104" i="50" s="1"/>
  <c r="B23" i="2" s="1"/>
  <c r="G2201" i="31"/>
  <c r="G2202" i="31"/>
  <c r="G2203" i="31"/>
  <c r="G2204" i="31"/>
  <c r="G2205" i="31"/>
  <c r="G2206" i="31"/>
  <c r="G2207" i="31"/>
  <c r="G2208" i="31"/>
  <c r="G2209" i="31"/>
  <c r="G2210" i="31"/>
  <c r="G2211" i="31"/>
  <c r="G2212" i="31"/>
  <c r="G2213" i="31"/>
  <c r="G2214" i="31"/>
  <c r="G2215" i="31"/>
  <c r="G2216" i="31"/>
  <c r="G2217" i="31"/>
  <c r="G2218" i="31"/>
  <c r="G2219" i="31"/>
  <c r="G2220" i="31"/>
  <c r="G2221" i="31"/>
  <c r="G2222" i="31"/>
  <c r="G2223" i="31"/>
  <c r="B105" i="50" s="1"/>
  <c r="B24" i="2" s="1"/>
  <c r="G2224" i="31"/>
  <c r="G2225" i="31"/>
  <c r="G2226" i="31"/>
  <c r="G2227" i="31"/>
  <c r="G2228" i="31"/>
  <c r="G2229" i="31"/>
  <c r="G2230" i="31"/>
  <c r="G2231" i="31"/>
  <c r="G2232" i="31"/>
  <c r="G2233" i="31"/>
  <c r="G2234" i="31"/>
  <c r="G2235" i="31"/>
  <c r="G2236" i="31"/>
  <c r="G2237" i="31"/>
  <c r="G2238" i="31"/>
  <c r="G2239" i="31"/>
  <c r="G2240" i="31"/>
  <c r="G2241" i="31"/>
  <c r="G2242" i="31"/>
  <c r="G2243" i="31"/>
  <c r="B106" i="50" s="1"/>
  <c r="B25" i="2" s="1"/>
  <c r="G2244" i="31"/>
  <c r="G2245" i="31"/>
  <c r="G2246" i="31"/>
  <c r="G2247" i="31"/>
  <c r="G2248" i="31"/>
  <c r="G2249" i="31"/>
  <c r="G2250" i="31"/>
  <c r="G2251" i="31"/>
  <c r="G2252" i="31"/>
  <c r="G2253" i="31"/>
  <c r="G2254" i="31"/>
  <c r="G2255" i="31"/>
  <c r="G2256" i="31"/>
  <c r="G2257" i="31"/>
  <c r="G2258" i="31"/>
  <c r="G2259" i="31"/>
  <c r="G2260" i="31"/>
  <c r="G2261" i="31"/>
  <c r="G2262" i="31"/>
  <c r="G2263" i="31"/>
  <c r="G2264" i="31"/>
  <c r="G2265" i="31"/>
  <c r="B107" i="50" s="1"/>
  <c r="B26" i="2" s="1"/>
  <c r="G2266" i="31"/>
  <c r="G2267" i="31"/>
  <c r="G2268" i="31"/>
  <c r="G2269" i="31"/>
  <c r="G2270" i="31"/>
  <c r="G2271" i="31"/>
  <c r="G2272" i="31"/>
  <c r="G2273" i="31"/>
  <c r="G2274" i="31"/>
  <c r="G2275" i="31"/>
  <c r="G2276" i="31"/>
  <c r="G2277" i="31"/>
  <c r="G2278" i="31"/>
  <c r="G2279" i="31"/>
  <c r="G2280" i="31"/>
  <c r="G2281" i="31"/>
  <c r="G2282" i="31"/>
  <c r="G2283" i="31"/>
  <c r="G2284" i="31"/>
  <c r="G2285" i="31"/>
  <c r="G2286" i="31"/>
  <c r="B108" i="50" s="1"/>
  <c r="B27" i="2" s="1"/>
  <c r="G2287" i="31"/>
  <c r="G2288" i="31"/>
  <c r="G2289" i="31"/>
  <c r="G2290" i="31"/>
  <c r="G2291" i="31"/>
  <c r="G2292" i="31"/>
  <c r="G2293" i="31"/>
  <c r="G2294" i="31"/>
  <c r="G2295" i="31"/>
  <c r="G2296" i="31"/>
  <c r="G2297" i="31"/>
  <c r="G2298" i="31"/>
  <c r="G2299" i="31"/>
  <c r="G2300" i="31"/>
  <c r="G2301" i="31"/>
  <c r="G2302" i="31"/>
  <c r="G2303" i="31"/>
  <c r="G2304" i="31"/>
  <c r="B109" i="50" s="1"/>
  <c r="B28" i="2" s="1"/>
  <c r="G2305" i="31"/>
  <c r="G2306" i="31"/>
  <c r="G2307" i="31"/>
  <c r="G2308" i="31"/>
  <c r="G2309" i="31"/>
  <c r="G2310" i="31"/>
  <c r="G2311" i="31"/>
  <c r="G2312" i="31"/>
  <c r="G2313" i="31"/>
  <c r="G2314" i="31"/>
  <c r="G2315" i="31"/>
  <c r="G2316" i="31"/>
  <c r="G2317" i="31"/>
  <c r="G2318" i="31"/>
  <c r="G2319" i="31"/>
  <c r="G2320" i="31"/>
  <c r="G2321" i="31"/>
  <c r="G2322" i="31"/>
  <c r="G2323" i="31"/>
  <c r="G2324" i="31"/>
  <c r="G2325" i="31"/>
  <c r="G2326" i="31"/>
  <c r="B110" i="50" s="1"/>
  <c r="B29" i="2" s="1"/>
  <c r="G2327" i="31"/>
  <c r="G2328" i="31"/>
  <c r="G2329" i="31"/>
  <c r="G2330" i="31"/>
  <c r="G2331" i="31"/>
  <c r="G2332" i="31"/>
  <c r="G2333" i="31"/>
  <c r="G2334" i="31"/>
  <c r="G2335" i="31"/>
  <c r="G2336" i="31"/>
  <c r="G2337" i="31"/>
  <c r="G2338" i="31"/>
  <c r="G2339" i="31"/>
  <c r="G2340" i="31"/>
  <c r="G2341" i="31"/>
  <c r="G2342" i="31"/>
  <c r="G2343" i="31"/>
  <c r="G2344" i="31"/>
  <c r="G2345" i="31"/>
  <c r="G2346" i="31"/>
  <c r="B111" i="50" s="1"/>
  <c r="B30" i="2" s="1"/>
  <c r="G2347" i="31"/>
  <c r="G2348" i="31"/>
  <c r="G2349" i="31"/>
  <c r="G2350" i="31"/>
  <c r="G2351" i="31"/>
  <c r="G2352" i="31"/>
  <c r="G2353" i="31"/>
  <c r="G2354" i="31"/>
  <c r="G2355" i="31"/>
  <c r="G2356" i="31"/>
  <c r="G2357" i="31"/>
  <c r="G2358" i="31"/>
  <c r="G2359" i="31"/>
  <c r="G2360" i="31"/>
  <c r="G2361" i="31"/>
  <c r="G2362" i="31"/>
  <c r="G2363" i="31"/>
  <c r="G2364" i="31"/>
  <c r="G2365" i="31"/>
  <c r="G2366" i="31"/>
  <c r="B112" i="50" s="1"/>
  <c r="B31" i="2" s="1"/>
  <c r="G2367" i="31"/>
  <c r="G2368" i="31"/>
  <c r="G2369" i="31"/>
  <c r="G2370" i="31"/>
  <c r="G2371" i="31"/>
  <c r="G2372" i="31"/>
  <c r="G2373" i="31"/>
  <c r="G2374" i="31"/>
  <c r="G2375" i="31"/>
  <c r="G2376" i="31"/>
  <c r="G2377" i="31"/>
  <c r="G2378" i="31"/>
  <c r="G2379" i="31"/>
  <c r="G2380" i="31"/>
  <c r="G2381" i="31"/>
  <c r="G2382" i="31"/>
  <c r="G2383" i="31"/>
  <c r="G2384" i="31"/>
  <c r="G2385" i="31"/>
  <c r="G2386" i="31"/>
  <c r="G2387" i="31"/>
  <c r="B113" i="50" s="1"/>
  <c r="B32" i="2" s="1"/>
  <c r="G2388" i="31"/>
  <c r="G2389" i="31"/>
  <c r="G2390" i="31"/>
  <c r="G2391" i="31"/>
  <c r="G2392" i="31"/>
  <c r="G2393" i="31"/>
  <c r="G2394" i="31"/>
  <c r="G2395" i="31"/>
  <c r="G2396" i="31"/>
  <c r="G2397" i="31"/>
  <c r="G2398" i="31"/>
  <c r="G2399" i="31"/>
  <c r="G2400" i="31"/>
  <c r="G2401" i="31"/>
  <c r="G2402" i="31"/>
  <c r="G2403" i="31"/>
  <c r="G2404" i="31"/>
  <c r="G2405" i="31"/>
  <c r="G2406" i="31"/>
  <c r="G2407" i="31"/>
  <c r="G2408" i="31"/>
  <c r="G2409" i="31"/>
  <c r="G2410" i="31"/>
  <c r="B114" i="50" s="1"/>
  <c r="B33" i="2" s="1"/>
  <c r="G2411" i="31"/>
  <c r="G2412" i="31"/>
  <c r="G2413" i="31"/>
  <c r="G2414" i="31"/>
  <c r="G2415" i="31"/>
  <c r="G2416" i="31"/>
  <c r="G2417" i="31"/>
  <c r="G2418" i="31"/>
  <c r="G2419" i="31"/>
  <c r="G2420" i="31"/>
  <c r="G2421" i="31"/>
  <c r="G2422" i="31"/>
  <c r="G2423" i="31"/>
  <c r="G2424" i="31"/>
  <c r="G2425" i="31"/>
  <c r="G2426" i="31"/>
  <c r="G2427" i="31"/>
  <c r="G2428" i="31"/>
  <c r="G2429" i="31"/>
  <c r="G2430" i="31"/>
  <c r="G2431" i="31"/>
  <c r="B115" i="50" s="1"/>
  <c r="B34" i="2" s="1"/>
  <c r="G2432" i="31"/>
  <c r="G2433" i="31"/>
  <c r="G2434" i="31"/>
  <c r="G2435" i="31"/>
  <c r="G2436" i="31"/>
  <c r="G2437" i="31"/>
  <c r="G2438" i="31"/>
  <c r="G2439" i="31"/>
  <c r="G2440" i="31"/>
  <c r="G2441" i="31"/>
  <c r="G2442" i="31"/>
  <c r="G2443" i="31"/>
  <c r="G2444" i="31"/>
  <c r="G2445" i="31"/>
  <c r="G2446" i="31"/>
  <c r="G2447" i="31"/>
  <c r="G2448" i="31"/>
  <c r="G2449" i="31"/>
  <c r="G2450" i="31"/>
  <c r="G2451" i="31"/>
  <c r="G2452" i="31"/>
  <c r="B116" i="50" s="1"/>
  <c r="B35" i="2" s="1"/>
  <c r="G2453" i="31"/>
  <c r="G2454" i="31"/>
  <c r="G2455" i="31"/>
  <c r="G2456" i="31"/>
  <c r="G2457" i="31"/>
  <c r="G2458" i="31"/>
  <c r="G2459" i="31"/>
  <c r="G2460" i="31"/>
  <c r="G2461" i="31"/>
  <c r="G2462" i="31"/>
  <c r="G2463" i="31"/>
  <c r="G2464" i="31"/>
  <c r="G2465" i="31"/>
  <c r="G2466" i="31"/>
  <c r="G2467" i="31"/>
  <c r="G2468" i="31"/>
  <c r="G2469" i="31"/>
  <c r="G2470" i="31"/>
  <c r="G2471" i="31"/>
  <c r="G2472" i="31"/>
  <c r="G2473" i="31"/>
  <c r="B117" i="50" s="1"/>
  <c r="B36" i="2" s="1"/>
  <c r="G2474" i="31"/>
  <c r="G2475" i="31"/>
  <c r="G2476" i="31"/>
  <c r="G2477" i="31"/>
  <c r="G2478" i="31"/>
  <c r="G2479" i="31"/>
  <c r="G2480" i="31"/>
  <c r="G2481" i="31"/>
  <c r="G2482" i="31"/>
  <c r="G2483" i="31"/>
  <c r="G2484" i="31"/>
  <c r="G2485" i="31"/>
  <c r="G2486" i="31"/>
  <c r="G2487" i="31"/>
  <c r="G2488" i="31"/>
  <c r="G2489" i="31"/>
  <c r="G2490" i="31"/>
  <c r="G2491" i="31"/>
  <c r="G2492" i="31"/>
  <c r="G2493" i="31"/>
  <c r="B118" i="50" s="1"/>
  <c r="B37" i="2" s="1"/>
  <c r="G2494" i="31"/>
  <c r="G2495" i="31"/>
  <c r="G2496" i="31"/>
  <c r="G2497" i="31"/>
  <c r="G2498" i="31"/>
  <c r="G2499" i="31"/>
  <c r="G2500" i="31"/>
  <c r="G2501" i="31"/>
  <c r="G2502" i="31"/>
  <c r="G2503" i="31"/>
  <c r="G2504" i="31"/>
  <c r="G2505" i="31"/>
  <c r="G2506" i="31"/>
  <c r="G2507" i="31"/>
  <c r="G2508" i="31"/>
  <c r="G2509" i="31"/>
  <c r="G2510" i="31"/>
  <c r="G2511" i="31"/>
  <c r="G2512" i="31"/>
  <c r="G2513" i="31"/>
  <c r="G2514" i="31"/>
  <c r="G2515" i="31"/>
  <c r="B119" i="50" s="1"/>
  <c r="B38" i="2" s="1"/>
  <c r="G2516" i="31"/>
  <c r="G2517" i="31"/>
  <c r="G2518" i="31"/>
  <c r="G2519" i="31"/>
  <c r="G2520" i="31"/>
  <c r="G2521" i="31"/>
  <c r="G2522" i="31"/>
  <c r="G2523" i="31"/>
  <c r="G2524" i="31"/>
  <c r="G2525" i="31"/>
  <c r="G2526" i="31"/>
  <c r="G2527" i="31"/>
  <c r="G2528" i="31"/>
  <c r="G2529" i="31"/>
  <c r="G2530" i="31"/>
  <c r="G2531" i="31"/>
  <c r="G2532" i="31"/>
  <c r="G2533" i="31"/>
  <c r="G2534" i="31"/>
  <c r="G2535" i="31"/>
  <c r="B120" i="50" s="1"/>
  <c r="B39" i="2" s="1"/>
  <c r="G2536" i="31"/>
  <c r="G2537" i="31"/>
  <c r="G2538" i="31"/>
  <c r="G2539" i="31"/>
  <c r="G2540" i="31"/>
  <c r="G2541" i="31"/>
  <c r="G2542" i="31"/>
  <c r="G2543" i="31"/>
  <c r="G2544" i="31"/>
  <c r="G2545" i="31"/>
  <c r="G2546" i="31"/>
  <c r="G2547" i="31"/>
  <c r="G2548" i="31"/>
  <c r="G2549" i="31"/>
  <c r="G2550" i="31"/>
  <c r="G2551" i="31"/>
  <c r="G2552" i="31"/>
  <c r="G2553" i="31"/>
  <c r="G2554" i="31"/>
  <c r="B121" i="50" s="1"/>
  <c r="B40" i="2" s="1"/>
  <c r="G2555" i="31"/>
  <c r="G2556" i="31"/>
  <c r="G2557" i="31"/>
  <c r="G2558" i="31"/>
  <c r="G2559" i="31"/>
  <c r="G2560" i="31"/>
  <c r="G2561" i="31"/>
  <c r="G2562" i="31"/>
  <c r="G2563" i="31"/>
  <c r="G2564" i="31"/>
  <c r="G2565" i="31"/>
  <c r="G2566" i="31"/>
  <c r="G2567" i="31"/>
  <c r="G2568" i="31"/>
  <c r="G2569" i="31"/>
  <c r="G2570" i="31"/>
  <c r="G2571" i="31"/>
  <c r="G2572" i="31"/>
  <c r="G2573" i="31"/>
  <c r="G2574" i="31"/>
  <c r="G2575" i="31"/>
  <c r="G2576" i="31"/>
  <c r="B122" i="50" s="1"/>
  <c r="B41" i="2" s="1"/>
  <c r="G2577" i="31"/>
  <c r="G2578" i="31"/>
  <c r="G2579" i="31"/>
  <c r="G2580" i="31"/>
  <c r="G2581" i="31"/>
  <c r="G2582" i="31"/>
  <c r="G2583" i="31"/>
  <c r="G2584" i="31"/>
  <c r="G2585" i="31"/>
  <c r="G2586" i="31"/>
  <c r="G2587" i="31"/>
  <c r="G2588" i="31"/>
  <c r="G2589" i="31"/>
  <c r="G2590" i="31"/>
  <c r="G2591" i="31"/>
  <c r="G2592" i="31"/>
  <c r="G2593" i="31"/>
  <c r="G2594" i="31"/>
  <c r="G2595" i="31"/>
  <c r="G2596" i="31"/>
  <c r="B123" i="50" s="1"/>
  <c r="B42" i="2" s="1"/>
  <c r="G2597" i="31"/>
  <c r="G2598" i="31"/>
  <c r="G2599" i="31"/>
  <c r="G2600" i="31"/>
  <c r="G2601" i="31"/>
  <c r="G2602" i="31"/>
  <c r="G2603" i="31"/>
  <c r="G2604" i="31"/>
  <c r="G2605" i="31"/>
  <c r="G2606" i="31"/>
  <c r="G2607" i="31"/>
  <c r="G2608" i="31"/>
  <c r="G2609" i="31"/>
  <c r="G2610" i="31"/>
  <c r="G2611" i="31"/>
  <c r="G2612" i="31"/>
  <c r="G2613" i="31"/>
  <c r="G2614" i="31"/>
  <c r="G2615" i="31"/>
  <c r="G2616" i="31"/>
  <c r="G2617" i="31"/>
  <c r="B124" i="50" s="1"/>
  <c r="B43" i="2" s="1"/>
  <c r="G2618" i="31"/>
  <c r="G2619" i="31"/>
  <c r="G2620" i="31"/>
  <c r="G2621" i="31"/>
  <c r="G2622" i="31"/>
  <c r="G2623" i="31"/>
  <c r="G2624" i="31"/>
  <c r="G2625" i="31"/>
  <c r="G2626" i="31"/>
  <c r="G2627" i="31"/>
  <c r="G2628" i="31"/>
  <c r="G2629" i="31"/>
  <c r="G2630" i="31"/>
  <c r="G2631" i="31"/>
  <c r="G2632" i="31"/>
  <c r="G2633" i="31"/>
  <c r="G2634" i="31"/>
  <c r="G2635" i="31"/>
  <c r="G2636" i="31"/>
  <c r="G2637" i="31"/>
  <c r="G2638" i="31"/>
  <c r="G2639" i="31"/>
  <c r="B125" i="50" s="1"/>
  <c r="B44" i="2" s="1"/>
  <c r="G2640" i="31"/>
  <c r="G2641" i="31"/>
  <c r="G2642" i="31"/>
  <c r="G2643" i="31"/>
  <c r="G2644" i="31"/>
  <c r="G2645" i="31"/>
  <c r="G2646" i="31"/>
  <c r="G2647" i="31"/>
  <c r="G2648" i="31"/>
  <c r="G2649" i="31"/>
  <c r="G2650" i="31"/>
  <c r="G2651" i="31"/>
  <c r="G2652" i="31"/>
  <c r="G2653" i="31"/>
  <c r="G2654" i="31"/>
  <c r="G2655" i="31"/>
  <c r="G2656" i="31"/>
  <c r="G2657" i="31"/>
  <c r="G2658" i="31"/>
  <c r="G2659" i="31"/>
  <c r="G2660" i="31"/>
  <c r="B126" i="50" s="1"/>
  <c r="B45" i="2" s="1"/>
  <c r="G2661" i="31"/>
  <c r="G2662" i="31"/>
  <c r="G2663" i="31"/>
  <c r="G2664" i="31"/>
  <c r="G2665" i="31"/>
  <c r="G2666" i="31"/>
  <c r="G2667" i="31"/>
  <c r="G2668" i="31"/>
  <c r="G2669" i="31"/>
  <c r="G2670" i="31"/>
  <c r="G2671" i="31"/>
  <c r="G2672" i="31"/>
  <c r="G2673" i="31"/>
  <c r="G2674" i="31"/>
  <c r="G2675" i="31"/>
  <c r="G2676" i="31"/>
  <c r="G2677" i="31"/>
  <c r="G2678" i="31"/>
  <c r="G2679" i="31"/>
  <c r="G2680" i="31"/>
  <c r="G2681" i="31"/>
  <c r="G2682" i="31"/>
  <c r="G2683" i="31"/>
  <c r="B127" i="50" s="1"/>
  <c r="B46" i="2" s="1"/>
  <c r="G2684" i="31"/>
  <c r="G2685" i="31"/>
  <c r="G2686" i="31"/>
  <c r="G2687" i="31"/>
  <c r="G2688" i="31"/>
  <c r="G2689" i="31"/>
  <c r="G2690" i="31"/>
  <c r="G2691" i="31"/>
  <c r="G2692" i="31"/>
  <c r="G2693" i="31"/>
  <c r="G2694" i="31"/>
  <c r="G2695" i="31"/>
  <c r="G2696" i="31"/>
  <c r="G2697" i="31"/>
  <c r="G2698" i="31"/>
  <c r="G2699" i="31"/>
  <c r="G2700" i="31"/>
  <c r="G2701" i="31"/>
  <c r="G2702" i="31"/>
  <c r="G2703" i="31"/>
  <c r="G2704" i="31"/>
  <c r="B128" i="50" s="1"/>
  <c r="B47" i="2" s="1"/>
  <c r="G2705" i="31"/>
  <c r="G2706" i="31"/>
  <c r="G2707" i="31"/>
  <c r="G2708" i="31"/>
  <c r="G2709" i="31"/>
  <c r="G2710" i="31"/>
  <c r="G2711" i="31"/>
  <c r="G2712" i="31"/>
  <c r="G2713" i="31"/>
  <c r="G2714" i="31"/>
  <c r="G2715" i="31"/>
  <c r="G2716" i="31"/>
  <c r="G2717" i="31"/>
  <c r="G2718" i="31"/>
  <c r="G2719" i="31"/>
  <c r="G2720" i="31"/>
  <c r="G2721" i="31"/>
  <c r="G2722" i="31"/>
  <c r="G2723" i="31"/>
  <c r="G2724" i="31"/>
  <c r="B129" i="50" s="1"/>
  <c r="B48" i="2" s="1"/>
  <c r="G2725" i="31"/>
  <c r="G2726" i="31"/>
  <c r="G2727" i="31"/>
  <c r="G2728" i="31"/>
  <c r="G2729" i="31"/>
  <c r="G2730" i="31"/>
  <c r="G2731" i="31"/>
  <c r="G2732" i="31"/>
  <c r="G2733" i="31"/>
  <c r="G2734" i="31"/>
  <c r="G2735" i="31"/>
  <c r="G2736" i="31"/>
  <c r="G2737" i="31"/>
  <c r="G2738" i="31"/>
  <c r="G2739" i="31"/>
  <c r="G2740" i="31"/>
  <c r="G2741" i="31"/>
  <c r="G2742" i="31"/>
  <c r="G2743" i="31"/>
  <c r="G2744" i="31"/>
  <c r="B130" i="50" s="1"/>
  <c r="B49" i="2" s="1"/>
  <c r="G2745" i="31"/>
  <c r="G2746" i="31"/>
  <c r="G2747" i="31"/>
  <c r="G2748" i="31"/>
  <c r="G2749" i="31"/>
  <c r="G2750" i="31"/>
  <c r="G2751" i="31"/>
  <c r="G2752" i="31"/>
  <c r="G2753" i="31"/>
  <c r="G2754" i="31"/>
  <c r="G2755" i="31"/>
  <c r="G2756" i="31"/>
  <c r="G2757" i="31"/>
  <c r="G2758" i="31"/>
  <c r="G2759" i="31"/>
  <c r="G2760" i="31"/>
  <c r="G2761" i="31"/>
  <c r="G2762" i="31"/>
  <c r="G2763" i="31"/>
  <c r="G2764" i="31"/>
  <c r="G2765" i="31"/>
  <c r="G2766" i="31"/>
  <c r="B131" i="50" s="1"/>
  <c r="B50" i="2" s="1"/>
  <c r="G2767" i="31"/>
  <c r="G2768" i="31"/>
  <c r="G2769" i="31"/>
  <c r="G2770" i="31"/>
  <c r="G2771" i="31"/>
  <c r="G2772" i="31"/>
  <c r="G2773" i="31"/>
  <c r="G2774" i="31"/>
  <c r="G2775" i="31"/>
  <c r="G2776" i="31"/>
  <c r="G2777" i="31"/>
  <c r="G2778" i="31"/>
  <c r="G2779" i="31"/>
  <c r="G2780" i="31"/>
  <c r="G2781" i="31"/>
  <c r="G2782" i="31"/>
  <c r="G2783" i="31"/>
  <c r="G2784" i="31"/>
  <c r="G2785" i="31"/>
  <c r="G2786" i="31"/>
  <c r="G2787" i="31"/>
  <c r="G2788" i="31"/>
  <c r="B132" i="50" s="1"/>
  <c r="B51" i="2" s="1"/>
  <c r="G2789" i="31"/>
  <c r="G2790" i="31"/>
  <c r="G2791" i="31"/>
  <c r="G2792" i="31"/>
  <c r="G2793" i="31"/>
  <c r="G2794" i="31"/>
  <c r="G2795" i="31"/>
  <c r="G2796" i="31"/>
  <c r="G2797" i="31"/>
  <c r="G2798" i="31"/>
  <c r="G2799" i="31"/>
  <c r="G2800" i="31"/>
  <c r="G2801" i="31"/>
  <c r="G2802" i="31"/>
  <c r="G2803" i="31"/>
  <c r="G2804" i="31"/>
  <c r="G2805" i="31"/>
  <c r="G2806" i="31"/>
  <c r="B133" i="50" s="1"/>
  <c r="B52" i="2" s="1"/>
  <c r="G2807" i="31"/>
  <c r="G2808" i="31"/>
  <c r="G2809" i="31"/>
  <c r="G2810" i="31"/>
  <c r="G2811" i="31"/>
  <c r="G2812" i="31"/>
  <c r="G2813" i="31"/>
  <c r="G2814" i="31"/>
  <c r="G2815" i="31"/>
  <c r="G2816" i="31"/>
  <c r="G2817" i="31"/>
  <c r="G2818" i="31"/>
  <c r="G2819" i="31"/>
  <c r="G2820" i="31"/>
  <c r="G2821" i="31"/>
  <c r="G2822" i="31"/>
  <c r="G2823" i="31"/>
  <c r="G2824" i="31"/>
  <c r="G2825" i="31"/>
  <c r="G2826" i="31"/>
  <c r="G2827" i="31"/>
  <c r="G2828" i="31"/>
  <c r="G2829" i="31"/>
  <c r="B134" i="50" s="1"/>
  <c r="B53" i="2" s="1"/>
  <c r="G2830" i="31"/>
  <c r="G2831" i="31"/>
  <c r="G2832" i="31"/>
  <c r="G2833" i="31"/>
  <c r="G2834" i="31"/>
  <c r="G2835" i="31"/>
  <c r="G2836" i="31"/>
  <c r="G2837" i="31"/>
  <c r="G2838" i="31"/>
  <c r="G2839" i="31"/>
  <c r="G2840" i="31"/>
  <c r="G2841" i="31"/>
  <c r="G2842" i="31"/>
  <c r="G2843" i="31"/>
  <c r="G2844" i="31"/>
  <c r="G2845" i="31"/>
  <c r="G2846" i="31"/>
  <c r="G2847" i="31"/>
  <c r="B135" i="50" s="1"/>
  <c r="B54" i="2" s="1"/>
  <c r="G2848" i="31"/>
  <c r="G2849" i="31"/>
  <c r="G2850" i="31"/>
  <c r="G2851" i="31"/>
  <c r="G2852" i="31"/>
  <c r="G2853" i="31"/>
  <c r="G2854" i="31"/>
  <c r="G2855" i="31"/>
  <c r="G2856" i="31"/>
  <c r="G2857" i="31"/>
  <c r="G2858" i="31"/>
  <c r="G2859" i="31"/>
  <c r="G2860" i="31"/>
  <c r="G2861" i="31"/>
  <c r="G2862" i="31"/>
  <c r="G2863" i="31"/>
  <c r="G2864" i="31"/>
  <c r="G2865" i="31"/>
  <c r="G2866" i="31"/>
  <c r="G2867" i="31"/>
  <c r="G2868" i="31"/>
  <c r="G2869" i="31"/>
  <c r="B136" i="50" s="1"/>
  <c r="B55" i="2" s="1"/>
  <c r="G2870" i="31"/>
  <c r="G2871" i="31"/>
  <c r="G2872" i="31"/>
  <c r="G2873" i="31"/>
  <c r="G2874" i="31"/>
  <c r="G2875" i="31"/>
  <c r="G2876" i="31"/>
  <c r="G2877" i="31"/>
  <c r="G2878" i="31"/>
  <c r="G2879" i="31"/>
  <c r="G2880" i="31"/>
  <c r="G2881" i="31"/>
  <c r="G2882" i="31"/>
  <c r="G2883" i="31"/>
  <c r="G2884" i="31"/>
  <c r="G2885" i="31"/>
  <c r="G2886" i="31"/>
  <c r="G2887" i="31"/>
  <c r="G2888" i="31"/>
  <c r="G2889" i="31"/>
  <c r="G2890" i="31"/>
  <c r="B137" i="50" s="1"/>
  <c r="B56" i="2" s="1"/>
  <c r="G2891" i="31"/>
  <c r="G2892" i="31"/>
  <c r="G2893" i="31"/>
  <c r="G2894" i="31"/>
  <c r="G2895" i="31"/>
  <c r="G2896" i="31"/>
  <c r="G2897" i="31"/>
  <c r="G2898" i="31"/>
  <c r="G2899" i="31"/>
  <c r="G2900" i="31"/>
  <c r="G2901" i="31"/>
  <c r="G2902" i="31"/>
  <c r="G2903" i="31"/>
  <c r="G2904" i="31"/>
  <c r="G2905" i="31"/>
  <c r="G2906" i="31"/>
  <c r="G2907" i="31"/>
  <c r="G2908" i="31"/>
  <c r="G2909" i="31"/>
  <c r="G2910" i="31"/>
  <c r="G2911" i="31"/>
  <c r="B138" i="50" s="1"/>
  <c r="B57" i="2" s="1"/>
  <c r="G2912" i="31"/>
  <c r="G2913" i="31"/>
  <c r="G2914" i="31"/>
  <c r="G2915" i="31"/>
  <c r="G2916" i="31"/>
  <c r="G2917" i="31"/>
  <c r="G2918" i="31"/>
  <c r="G2919" i="31"/>
  <c r="G2920" i="31"/>
  <c r="G2921" i="31"/>
  <c r="G2922" i="31"/>
  <c r="G2923" i="31"/>
  <c r="G2924" i="31"/>
  <c r="G2925" i="31"/>
  <c r="G2926" i="31"/>
  <c r="G2927" i="31"/>
  <c r="G2928" i="31"/>
  <c r="G2929" i="31"/>
  <c r="G2930" i="31"/>
  <c r="G2931" i="31"/>
  <c r="G2932" i="31"/>
  <c r="G2933" i="31"/>
  <c r="G2934" i="31"/>
  <c r="B139" i="50" s="1"/>
  <c r="B58" i="2" s="1"/>
  <c r="G2935" i="31"/>
  <c r="G2936" i="31"/>
  <c r="G2937" i="31"/>
  <c r="G2938" i="31"/>
  <c r="G2939" i="31"/>
  <c r="G2940" i="31"/>
  <c r="G2941" i="31"/>
  <c r="G2942" i="31"/>
  <c r="G2943" i="31"/>
  <c r="G2944" i="31"/>
  <c r="G2945" i="31"/>
  <c r="G2946" i="31"/>
  <c r="G2947" i="31"/>
  <c r="G2948" i="31"/>
  <c r="G2949" i="31"/>
  <c r="G2950" i="31"/>
  <c r="G2951" i="31"/>
  <c r="G2952" i="31"/>
  <c r="G2953" i="31"/>
  <c r="G2954" i="31"/>
  <c r="B140" i="50" s="1"/>
  <c r="B59" i="2" s="1"/>
  <c r="G2955" i="31"/>
  <c r="G2956" i="31"/>
  <c r="G2957" i="31"/>
  <c r="G2958" i="31"/>
  <c r="G2959" i="31"/>
  <c r="G2960" i="31"/>
  <c r="G2961" i="31"/>
  <c r="G2962" i="31"/>
  <c r="G2963" i="31"/>
  <c r="G2964" i="31"/>
  <c r="G2965" i="31"/>
  <c r="G2966" i="31"/>
  <c r="G2967" i="31"/>
  <c r="G2968" i="31"/>
  <c r="G2969" i="31"/>
  <c r="G2970" i="31"/>
  <c r="G2971" i="31"/>
  <c r="G2972" i="31"/>
  <c r="G2973" i="31"/>
  <c r="G2974" i="31"/>
  <c r="G2975" i="31"/>
  <c r="B141" i="50" s="1"/>
  <c r="B60" i="2" s="1"/>
  <c r="G2976" i="31"/>
  <c r="G2977" i="31"/>
  <c r="G2978" i="31"/>
  <c r="G2979" i="31"/>
  <c r="G2980" i="31"/>
  <c r="G2981" i="31"/>
  <c r="G2982" i="31"/>
  <c r="G2983" i="31"/>
  <c r="G2984" i="31"/>
  <c r="G2985" i="31"/>
  <c r="G2986" i="31"/>
  <c r="G2987" i="31"/>
  <c r="G2988" i="31"/>
  <c r="G2989" i="31"/>
  <c r="G2990" i="31"/>
  <c r="G2991" i="31"/>
  <c r="G2992" i="31"/>
  <c r="G2993" i="31"/>
  <c r="G2994" i="31"/>
  <c r="G2995" i="31"/>
  <c r="B142" i="50" s="1"/>
  <c r="B61" i="2" s="1"/>
  <c r="G2996" i="31"/>
  <c r="G2997" i="31"/>
  <c r="G2998" i="31"/>
  <c r="G2999" i="31"/>
  <c r="G3000" i="31"/>
  <c r="G3001" i="31"/>
  <c r="G3002" i="31"/>
  <c r="G3003" i="31"/>
  <c r="G3004" i="31"/>
  <c r="G3005" i="31"/>
  <c r="G3006" i="31"/>
  <c r="G3007" i="31"/>
  <c r="G3008" i="31"/>
  <c r="G3009" i="31"/>
  <c r="G3010" i="31"/>
  <c r="G3011" i="31"/>
  <c r="G3012" i="31"/>
  <c r="G3013" i="31"/>
  <c r="G3014" i="31"/>
  <c r="G3015" i="31"/>
  <c r="B143" i="50" s="1"/>
  <c r="B62" i="2" s="1"/>
  <c r="G3016" i="31"/>
  <c r="G3017" i="31"/>
  <c r="G3018" i="31"/>
  <c r="G3019" i="31"/>
  <c r="G3020" i="31"/>
  <c r="G3021" i="31"/>
  <c r="G3022" i="31"/>
  <c r="G3023" i="31"/>
  <c r="G3024" i="31"/>
  <c r="G3025" i="31"/>
  <c r="G3026" i="31"/>
  <c r="G3027" i="31"/>
  <c r="G3028" i="31"/>
  <c r="G3029" i="31"/>
  <c r="G3030" i="31"/>
  <c r="G3031" i="31"/>
  <c r="G3032" i="31"/>
  <c r="G3033" i="31"/>
  <c r="G3034" i="31"/>
  <c r="G3035" i="31"/>
  <c r="G3036" i="31"/>
  <c r="G3037" i="31"/>
  <c r="B144" i="50" s="1"/>
  <c r="B63" i="2" s="1"/>
  <c r="G3038" i="31"/>
  <c r="G3039" i="31"/>
  <c r="G3040" i="31"/>
  <c r="G3041" i="31"/>
  <c r="G3042" i="31"/>
  <c r="G3043" i="31"/>
  <c r="G3044" i="31"/>
  <c r="G3045" i="31"/>
  <c r="G3046" i="31"/>
  <c r="G3047" i="31"/>
  <c r="G3048" i="31"/>
  <c r="G3049" i="31"/>
  <c r="G3050" i="31"/>
  <c r="G3051" i="31"/>
  <c r="G3052" i="31"/>
  <c r="G3053" i="31"/>
  <c r="G3054" i="31"/>
  <c r="G3055" i="31"/>
  <c r="B145" i="50" s="1"/>
  <c r="B64" i="2" s="1"/>
  <c r="G3056" i="31"/>
  <c r="G3057" i="31"/>
  <c r="G3058" i="31"/>
  <c r="G3059" i="31"/>
  <c r="G3060" i="31"/>
  <c r="G3061" i="31"/>
  <c r="G3062" i="31"/>
  <c r="G3063" i="31"/>
  <c r="G3064" i="31"/>
  <c r="G3065" i="31"/>
  <c r="G3066" i="31"/>
  <c r="G3067" i="31"/>
  <c r="G3068" i="31"/>
  <c r="G3069" i="31"/>
  <c r="G3070" i="31"/>
  <c r="G3071" i="31"/>
  <c r="G3072" i="31"/>
  <c r="G3073" i="31"/>
  <c r="G3074" i="31"/>
  <c r="G3075" i="31"/>
  <c r="G3076" i="31"/>
  <c r="B146" i="50" s="1"/>
  <c r="B65" i="2" s="1"/>
  <c r="G3077" i="31"/>
  <c r="G3078" i="31"/>
  <c r="G3079" i="31"/>
  <c r="G3080" i="31"/>
  <c r="G3081" i="31"/>
  <c r="G3082" i="31"/>
  <c r="G3083" i="31"/>
  <c r="G3084" i="31"/>
  <c r="G3085" i="31"/>
  <c r="G3086" i="31"/>
  <c r="G3087" i="31"/>
  <c r="G3088" i="31"/>
  <c r="G3089" i="31"/>
  <c r="G3090" i="31"/>
  <c r="G3091" i="31"/>
  <c r="G3092" i="31"/>
  <c r="G3093" i="31"/>
  <c r="G3094" i="31"/>
  <c r="G3095" i="31"/>
  <c r="G3096" i="31"/>
  <c r="G3097" i="31"/>
  <c r="B147" i="50" s="1"/>
  <c r="B66" i="2" s="1"/>
  <c r="G3098" i="31"/>
  <c r="G3099" i="31"/>
  <c r="G3100" i="31"/>
  <c r="G3101" i="31"/>
  <c r="G3102" i="31"/>
  <c r="G3103" i="31"/>
  <c r="G3104" i="31"/>
  <c r="G3105" i="31"/>
  <c r="G3106" i="31"/>
  <c r="G3107" i="31"/>
  <c r="G3108" i="31"/>
  <c r="G3109" i="31"/>
  <c r="G3110" i="31"/>
  <c r="G3111" i="31"/>
  <c r="G3112" i="31"/>
  <c r="G3113" i="31"/>
  <c r="G3114" i="31"/>
  <c r="G3115" i="31"/>
  <c r="G3116" i="31"/>
  <c r="G3117" i="31"/>
  <c r="G3118" i="31"/>
  <c r="B148" i="50" s="1"/>
  <c r="B67" i="2" s="1"/>
  <c r="G3119" i="31"/>
  <c r="G3120" i="31"/>
  <c r="G3121" i="31"/>
  <c r="G3122" i="31"/>
  <c r="G3123" i="31"/>
  <c r="G3124" i="31"/>
  <c r="G3125" i="31"/>
  <c r="G3126" i="31"/>
  <c r="G3127" i="31"/>
  <c r="G3128" i="31"/>
  <c r="G3129" i="31"/>
  <c r="G3130" i="31"/>
  <c r="G3131" i="31"/>
  <c r="G3132" i="31"/>
  <c r="G3133" i="31"/>
  <c r="G3134" i="31"/>
  <c r="G3135" i="31"/>
  <c r="G3136" i="31"/>
  <c r="G3137" i="31"/>
  <c r="G3138" i="31"/>
  <c r="G3139" i="31"/>
  <c r="B149" i="50" s="1"/>
  <c r="B68" i="2" s="1"/>
  <c r="G3140" i="31"/>
  <c r="G3141" i="31"/>
  <c r="G3142" i="31"/>
  <c r="G3143" i="31"/>
  <c r="G3144" i="31"/>
  <c r="G3145" i="31"/>
  <c r="G3146" i="31"/>
  <c r="G3147" i="31"/>
  <c r="G3148" i="31"/>
  <c r="G3149" i="31"/>
  <c r="G3150" i="31"/>
  <c r="G3151" i="31"/>
  <c r="G3152" i="31"/>
  <c r="G3153" i="31"/>
  <c r="G3154" i="31"/>
  <c r="G3155" i="31"/>
  <c r="G3156" i="31"/>
  <c r="G3157" i="31"/>
  <c r="G3158" i="31"/>
  <c r="G3159" i="31"/>
  <c r="G3160" i="31"/>
  <c r="G3161" i="31"/>
  <c r="B150" i="50" s="1"/>
  <c r="B69" i="2" s="1"/>
  <c r="G3162" i="31"/>
  <c r="G3163" i="31"/>
  <c r="G3164" i="31"/>
  <c r="G3165" i="31"/>
  <c r="G3166" i="31"/>
  <c r="G3167" i="31"/>
  <c r="G3168" i="31"/>
  <c r="G3169" i="31"/>
  <c r="G3170" i="31"/>
  <c r="G3171" i="31"/>
  <c r="G3172" i="31"/>
  <c r="G3173" i="31"/>
  <c r="G3174" i="31"/>
  <c r="G3175" i="31"/>
  <c r="G3176" i="31"/>
  <c r="G3177" i="31"/>
  <c r="G3178" i="31"/>
  <c r="G3179" i="31"/>
  <c r="G3180" i="31"/>
  <c r="G3181" i="31"/>
  <c r="G3182" i="31"/>
  <c r="G3183" i="31"/>
  <c r="G3184" i="31"/>
  <c r="B151" i="50" s="1"/>
  <c r="B70" i="2" s="1"/>
  <c r="G3185" i="31"/>
  <c r="G3186" i="31"/>
  <c r="G3187" i="31"/>
  <c r="G3188" i="31"/>
  <c r="G3189" i="31"/>
  <c r="G3190" i="31"/>
  <c r="G3191" i="31"/>
  <c r="G3192" i="31"/>
  <c r="G3193" i="31"/>
  <c r="G3194" i="31"/>
  <c r="G3195" i="31"/>
  <c r="G3196" i="31"/>
  <c r="G3197" i="31"/>
  <c r="G3198" i="31"/>
  <c r="G3199" i="31"/>
  <c r="G3200" i="31"/>
  <c r="G3201" i="31"/>
  <c r="G3202" i="31"/>
  <c r="G3203" i="31"/>
  <c r="B152" i="50" s="1"/>
  <c r="B71" i="2" s="1"/>
  <c r="G3204" i="31"/>
  <c r="G3205" i="31"/>
  <c r="G3206" i="31"/>
  <c r="G3207" i="31"/>
  <c r="G3208" i="31"/>
  <c r="G3209" i="31"/>
  <c r="G3210" i="31"/>
  <c r="G3211" i="31"/>
  <c r="G3212" i="31"/>
  <c r="G3213" i="31"/>
  <c r="G3214" i="31"/>
  <c r="G3215" i="31"/>
  <c r="G3216" i="31"/>
  <c r="G3217" i="31"/>
  <c r="G3218" i="31"/>
  <c r="G3219" i="31"/>
  <c r="G3220" i="31"/>
  <c r="G3221" i="31"/>
  <c r="G3222" i="31"/>
  <c r="G3223" i="31"/>
  <c r="G3224" i="31"/>
  <c r="G3225" i="31"/>
  <c r="B153" i="50" s="1"/>
  <c r="B72" i="2" s="1"/>
  <c r="G3226" i="31"/>
  <c r="G3227" i="31"/>
  <c r="G3228" i="31"/>
  <c r="G3229" i="31"/>
  <c r="G3230" i="31"/>
  <c r="G3231" i="31"/>
  <c r="G3232" i="31"/>
  <c r="G3233" i="31"/>
  <c r="G3234" i="31"/>
  <c r="G3235" i="31"/>
  <c r="G3236" i="31"/>
  <c r="G3237" i="31"/>
  <c r="G3238" i="31"/>
  <c r="G3239" i="31"/>
  <c r="G3240" i="31"/>
  <c r="G3241" i="31"/>
  <c r="G3242" i="31"/>
  <c r="G3243" i="31"/>
  <c r="G3244" i="31"/>
  <c r="G3245" i="31"/>
  <c r="B154" i="50" s="1"/>
  <c r="B73" i="2" s="1"/>
  <c r="G3246" i="31"/>
  <c r="G3247" i="31"/>
  <c r="G3248" i="31"/>
  <c r="G3249" i="31"/>
  <c r="G3250" i="31"/>
  <c r="G3251" i="31"/>
  <c r="G3252" i="31"/>
  <c r="G3253" i="31"/>
  <c r="G3254" i="31"/>
  <c r="G3255" i="31"/>
  <c r="G3256" i="31"/>
  <c r="G3257" i="31"/>
  <c r="G3258" i="31"/>
  <c r="G3259" i="31"/>
  <c r="G3260" i="31"/>
  <c r="G3261" i="31"/>
  <c r="G3262" i="31"/>
  <c r="G3263" i="31"/>
  <c r="G3264" i="31"/>
  <c r="G3265" i="31"/>
  <c r="B155" i="50" s="1"/>
  <c r="B74" i="2" s="1"/>
  <c r="G3266" i="31"/>
  <c r="G3267" i="31"/>
  <c r="G3268" i="31"/>
  <c r="G3269" i="31"/>
  <c r="G3270" i="31"/>
  <c r="G3271" i="31"/>
  <c r="G3272" i="31"/>
  <c r="G3273" i="31"/>
  <c r="G3274" i="31"/>
  <c r="G3275" i="31"/>
  <c r="G3276" i="31"/>
  <c r="G3277" i="31"/>
  <c r="G3278" i="31"/>
  <c r="G3279" i="31"/>
  <c r="G3280" i="31"/>
  <c r="G3281" i="31"/>
  <c r="G3282" i="31"/>
  <c r="G3283" i="31"/>
  <c r="G3284" i="31"/>
  <c r="G3285" i="31"/>
  <c r="G3286" i="31"/>
  <c r="G3287" i="31"/>
  <c r="B156" i="50" s="1"/>
  <c r="B75" i="2" s="1"/>
  <c r="G3288" i="31"/>
  <c r="G3289" i="31"/>
  <c r="G3290" i="31"/>
  <c r="G3291" i="31"/>
  <c r="G3292" i="31"/>
  <c r="G3293" i="31"/>
  <c r="G3294" i="31"/>
  <c r="G3295" i="31"/>
  <c r="G3296" i="31"/>
  <c r="G3297" i="31"/>
  <c r="G3298" i="31"/>
  <c r="G3299" i="31"/>
  <c r="G3300" i="31"/>
  <c r="G3301" i="31"/>
  <c r="G3302" i="31"/>
  <c r="G3303" i="31"/>
  <c r="G3304" i="31"/>
  <c r="G3305" i="31"/>
  <c r="G3306" i="31"/>
  <c r="G3307" i="31"/>
  <c r="B157" i="50" s="1"/>
  <c r="B76" i="2" s="1"/>
  <c r="G3308" i="31"/>
  <c r="G3309" i="31"/>
  <c r="G3310" i="31"/>
  <c r="G3311" i="31"/>
  <c r="G3312" i="31"/>
  <c r="G3313" i="31"/>
  <c r="G3314" i="31"/>
  <c r="G3315" i="31"/>
  <c r="G3316" i="31"/>
  <c r="G3317" i="31"/>
  <c r="G3318" i="31"/>
  <c r="G3319" i="31"/>
  <c r="G3320" i="31"/>
  <c r="G3321" i="31"/>
  <c r="G3322" i="31"/>
  <c r="G3323" i="31"/>
  <c r="G3324" i="31"/>
  <c r="G3325" i="31"/>
  <c r="G3326" i="31"/>
  <c r="B158" i="50" s="1"/>
  <c r="B77" i="2" s="1"/>
  <c r="G3327" i="31"/>
  <c r="G3328" i="31"/>
  <c r="G3329" i="31"/>
  <c r="G3330" i="31"/>
  <c r="G3331" i="31"/>
  <c r="G3332" i="31"/>
  <c r="G3333" i="31"/>
  <c r="G3334" i="31"/>
  <c r="G3335" i="31"/>
  <c r="G3336" i="31"/>
  <c r="G3337" i="31"/>
  <c r="G3338" i="31"/>
  <c r="G3339" i="31"/>
  <c r="G3340" i="31"/>
  <c r="G3341" i="31"/>
  <c r="G3342" i="31"/>
  <c r="G3343" i="31"/>
  <c r="G3344" i="31"/>
  <c r="G3345" i="31"/>
  <c r="G3346" i="31"/>
  <c r="G3347" i="31"/>
  <c r="B159" i="50" s="1"/>
  <c r="B78" i="2" s="1"/>
  <c r="G3348" i="31"/>
  <c r="G3349" i="31"/>
  <c r="G3350" i="31"/>
  <c r="G3351" i="31"/>
  <c r="G3352" i="31"/>
  <c r="G3353" i="31"/>
  <c r="G3354" i="31"/>
  <c r="G3355" i="31"/>
  <c r="G3356" i="31"/>
  <c r="G3357" i="31"/>
  <c r="G3358" i="31"/>
  <c r="G3359" i="31"/>
  <c r="G3360" i="31"/>
  <c r="G3361" i="31"/>
  <c r="G3362" i="31"/>
  <c r="G3363" i="31"/>
  <c r="G3364" i="31"/>
  <c r="G3365" i="31"/>
  <c r="G3366" i="31"/>
  <c r="G3367" i="31"/>
  <c r="G3368" i="31"/>
  <c r="G3369" i="31"/>
  <c r="B160" i="50" s="1"/>
  <c r="B79" i="2" s="1"/>
  <c r="G3370" i="31"/>
  <c r="G3371" i="31"/>
  <c r="G3372" i="31"/>
  <c r="G3373" i="31"/>
  <c r="G3374" i="31"/>
  <c r="G3375" i="31"/>
  <c r="G3376" i="31"/>
  <c r="G3377" i="31"/>
  <c r="G3378" i="31"/>
  <c r="G3379" i="31"/>
  <c r="G3380" i="31"/>
  <c r="G3381" i="31"/>
  <c r="G3382" i="31"/>
  <c r="G3383" i="31"/>
  <c r="G3384" i="31"/>
  <c r="G3385" i="31"/>
  <c r="G3386" i="31"/>
  <c r="G3387" i="31"/>
  <c r="G3388" i="31"/>
  <c r="B161" i="50" s="1"/>
  <c r="B80" i="2" s="1"/>
  <c r="G3389" i="31"/>
  <c r="G3390" i="31"/>
  <c r="G3391" i="31"/>
  <c r="G3392" i="31"/>
  <c r="G3393" i="31"/>
  <c r="G3394" i="31"/>
  <c r="G3395" i="31"/>
  <c r="G3396" i="31"/>
  <c r="G3397" i="31"/>
  <c r="G3398" i="31"/>
  <c r="G3399" i="31"/>
  <c r="G3400" i="31"/>
  <c r="G3401" i="31"/>
  <c r="G3402" i="31"/>
  <c r="G3403" i="31"/>
  <c r="G3404" i="31"/>
  <c r="G3405" i="31"/>
  <c r="G3406" i="31"/>
  <c r="G3407" i="31"/>
  <c r="G3408" i="31"/>
  <c r="G3409" i="31"/>
  <c r="G3410" i="31"/>
  <c r="G3411" i="31"/>
  <c r="B162" i="50" s="1"/>
  <c r="B81" i="2" s="1"/>
  <c r="G3412" i="31"/>
  <c r="G3413" i="31"/>
  <c r="G3414" i="31"/>
  <c r="G3415" i="31"/>
  <c r="G3416" i="31"/>
  <c r="G3417" i="31"/>
  <c r="G3418" i="31"/>
  <c r="G3419" i="31"/>
  <c r="G3420" i="31"/>
  <c r="G3421" i="31"/>
  <c r="G3422" i="31"/>
  <c r="G3423" i="31"/>
  <c r="G3424" i="31"/>
  <c r="G3425" i="31"/>
  <c r="G3426" i="31"/>
  <c r="G3427" i="31"/>
  <c r="G3428" i="31"/>
  <c r="G3429" i="31"/>
  <c r="G3430" i="31"/>
  <c r="G3431" i="31"/>
  <c r="G3432" i="31"/>
  <c r="G3433" i="31"/>
  <c r="B163" i="50" s="1"/>
  <c r="B82" i="2" s="1"/>
  <c r="G3434" i="31"/>
  <c r="G3435" i="31"/>
  <c r="G3436" i="31"/>
  <c r="G3437" i="31"/>
  <c r="G3438" i="31"/>
  <c r="G3439" i="31"/>
  <c r="G3440" i="31"/>
  <c r="G3441" i="31"/>
  <c r="G3442" i="31"/>
  <c r="G3443" i="31"/>
  <c r="G3444" i="31"/>
  <c r="G3445" i="31"/>
  <c r="G3446" i="31"/>
  <c r="G3447" i="31"/>
  <c r="G3448" i="31"/>
  <c r="G3449" i="31"/>
  <c r="G3450" i="31"/>
  <c r="G3451" i="31"/>
  <c r="G3452" i="31"/>
  <c r="G3453" i="31"/>
  <c r="G3454" i="31"/>
  <c r="B164" i="50" s="1"/>
  <c r="B83" i="2" s="1"/>
  <c r="G3455" i="31"/>
  <c r="G3456" i="31"/>
  <c r="G3457" i="31"/>
  <c r="G3458" i="31"/>
  <c r="G3459" i="31"/>
  <c r="G3460" i="31"/>
  <c r="G3461" i="31"/>
  <c r="G3462" i="31"/>
  <c r="G3463" i="31"/>
  <c r="G3464" i="31"/>
  <c r="G3465" i="31"/>
  <c r="G3466" i="31"/>
  <c r="G3467" i="31"/>
  <c r="G3468" i="31"/>
  <c r="G3469" i="31"/>
  <c r="G3470" i="31"/>
  <c r="G3471" i="31"/>
  <c r="G3472" i="31"/>
  <c r="G3473" i="31"/>
  <c r="G3474" i="31"/>
  <c r="G3475" i="31"/>
  <c r="G3476" i="31"/>
  <c r="G3477" i="31"/>
  <c r="B165" i="50" s="1"/>
  <c r="B84" i="2" s="1"/>
  <c r="G3478" i="31"/>
  <c r="G3479" i="31"/>
  <c r="G3480" i="31"/>
  <c r="G3481" i="31"/>
  <c r="G3482" i="31"/>
  <c r="G3483" i="31"/>
  <c r="G3484" i="31"/>
  <c r="G3485" i="31"/>
  <c r="G3486" i="31"/>
  <c r="G3487" i="31"/>
  <c r="G3488" i="31"/>
  <c r="G3489" i="31"/>
  <c r="G3490" i="31"/>
  <c r="G3491" i="31"/>
  <c r="G3492" i="31"/>
  <c r="G3493" i="31"/>
  <c r="G3494" i="31"/>
  <c r="G3495" i="31"/>
  <c r="G3496" i="31"/>
  <c r="G3497" i="31"/>
  <c r="B166" i="50" s="1"/>
  <c r="B85" i="2" s="1"/>
  <c r="G3498" i="31"/>
  <c r="G3499" i="31"/>
  <c r="G3500" i="31"/>
  <c r="G3501" i="31"/>
  <c r="G3502" i="31"/>
  <c r="G3503" i="31"/>
  <c r="G3504" i="31"/>
  <c r="G3505" i="31"/>
  <c r="G3506" i="31"/>
  <c r="G3507" i="31"/>
  <c r="G3508" i="31"/>
  <c r="G3509" i="31"/>
  <c r="G3510" i="31"/>
  <c r="G3511" i="31"/>
  <c r="G3512" i="31"/>
  <c r="G3513" i="31"/>
  <c r="G3514" i="31"/>
  <c r="G3515" i="31"/>
  <c r="G3516" i="31"/>
  <c r="G3517" i="31"/>
  <c r="G3518" i="31"/>
  <c r="B167" i="50" s="1"/>
  <c r="B86" i="2" s="1"/>
  <c r="G3519" i="31"/>
  <c r="G3520" i="31"/>
  <c r="G3521" i="31"/>
  <c r="G3522" i="31"/>
  <c r="G3523" i="31"/>
  <c r="G3524" i="31"/>
  <c r="G3525" i="31"/>
  <c r="G3526" i="31"/>
  <c r="G3527" i="31"/>
  <c r="G3528" i="31"/>
  <c r="G3529" i="31"/>
  <c r="G3530" i="31"/>
  <c r="G3531" i="31"/>
  <c r="G3532" i="31"/>
  <c r="G3533" i="31"/>
  <c r="G3534" i="31"/>
  <c r="G3535" i="31"/>
  <c r="G3536" i="31"/>
  <c r="G3537" i="31"/>
  <c r="G3538" i="31"/>
  <c r="G3539" i="31"/>
  <c r="G3540" i="31"/>
  <c r="B168" i="50" s="1"/>
  <c r="B87" i="2" s="1"/>
  <c r="G3541" i="31"/>
  <c r="G3542" i="31"/>
  <c r="G3543" i="31"/>
  <c r="G3544" i="31"/>
  <c r="G3545" i="31"/>
  <c r="G3546" i="31"/>
  <c r="G3547" i="31"/>
  <c r="G3548" i="31"/>
  <c r="G3549" i="31"/>
  <c r="G3550" i="31"/>
  <c r="G3551" i="31"/>
  <c r="G3552" i="31"/>
  <c r="G3553" i="31"/>
  <c r="G3554" i="31"/>
  <c r="G3555" i="31"/>
  <c r="G3556" i="31"/>
  <c r="G3557" i="31"/>
  <c r="G3558" i="31"/>
  <c r="B169" i="50" s="1"/>
  <c r="B88" i="2" s="1"/>
  <c r="G3559" i="31"/>
  <c r="G3560" i="31"/>
  <c r="G3561" i="31"/>
  <c r="G3562" i="31"/>
  <c r="G3563" i="31"/>
  <c r="G3564" i="31"/>
  <c r="G3565" i="31"/>
  <c r="G3566" i="31"/>
  <c r="G3567" i="31"/>
  <c r="G3568" i="31"/>
  <c r="G3569" i="31"/>
  <c r="G3570" i="31"/>
  <c r="G3571" i="31"/>
  <c r="G3572" i="31"/>
  <c r="G3573" i="31"/>
  <c r="G3574" i="31"/>
  <c r="G3575" i="31"/>
  <c r="G3576" i="31"/>
  <c r="G3577" i="31"/>
  <c r="G3578" i="31"/>
  <c r="G3579" i="31"/>
  <c r="G3580" i="31"/>
  <c r="B170" i="50" s="1"/>
  <c r="B89" i="2" s="1"/>
  <c r="G3581" i="31"/>
  <c r="G3582" i="31"/>
  <c r="G3583" i="31"/>
  <c r="G3584" i="31"/>
  <c r="G3585" i="31"/>
  <c r="G3586" i="31"/>
  <c r="G3587" i="31"/>
  <c r="G3588" i="31"/>
  <c r="G3589" i="31"/>
  <c r="G3590" i="31"/>
  <c r="G3591" i="31"/>
  <c r="G3592" i="31"/>
  <c r="G3593" i="31"/>
  <c r="G3594" i="31"/>
  <c r="G3595" i="31"/>
  <c r="G3596" i="31"/>
  <c r="G3597" i="31"/>
  <c r="G3598" i="31"/>
  <c r="G3599" i="31"/>
  <c r="G3600" i="31"/>
  <c r="B171" i="50" s="1"/>
  <c r="B90" i="2" s="1"/>
  <c r="G3601" i="31"/>
  <c r="G3602" i="31"/>
  <c r="G3603" i="31"/>
  <c r="G3604" i="31"/>
  <c r="G3605" i="31"/>
  <c r="G3606" i="31"/>
  <c r="G3607" i="31"/>
  <c r="G3608" i="31"/>
  <c r="G3609" i="31"/>
  <c r="G3610" i="31"/>
  <c r="G3611" i="31"/>
  <c r="G3612" i="31"/>
  <c r="G3613" i="31"/>
  <c r="G3614" i="31"/>
  <c r="G3615" i="31"/>
  <c r="G3616" i="31"/>
  <c r="G3617" i="31"/>
  <c r="G3618" i="31"/>
  <c r="G3619" i="31"/>
  <c r="G3620" i="31"/>
  <c r="B172" i="50" s="1"/>
  <c r="B91" i="2" s="1"/>
  <c r="G3621" i="31"/>
  <c r="G3622" i="31"/>
  <c r="G3623" i="31"/>
  <c r="G3624" i="31"/>
  <c r="G3625" i="31"/>
  <c r="G3626" i="31"/>
  <c r="G3627" i="31"/>
  <c r="G3628" i="31"/>
  <c r="G3629" i="31"/>
  <c r="G3630" i="31"/>
  <c r="G3631" i="31"/>
  <c r="G3632" i="31"/>
  <c r="G3633" i="31"/>
  <c r="G3634" i="31"/>
  <c r="G3635" i="31"/>
  <c r="G3636" i="31"/>
  <c r="G3637" i="31"/>
  <c r="G3638" i="31"/>
  <c r="G3639" i="31"/>
  <c r="G3640" i="31"/>
  <c r="G3641" i="31"/>
  <c r="B173" i="50" s="1"/>
  <c r="B92" i="2" s="1"/>
  <c r="G3642" i="31"/>
  <c r="G3643" i="31"/>
  <c r="G3644" i="31"/>
  <c r="G3645" i="31"/>
  <c r="G3646" i="31"/>
  <c r="G3647" i="31"/>
  <c r="G3648" i="31"/>
  <c r="G3649" i="31"/>
  <c r="G3650" i="31"/>
  <c r="G3651" i="31"/>
  <c r="G3652" i="31"/>
  <c r="G3653" i="31"/>
  <c r="G3654" i="31"/>
  <c r="G3655" i="31"/>
  <c r="G3656" i="31"/>
  <c r="G3657" i="31"/>
  <c r="G3658" i="31"/>
  <c r="G3659" i="31"/>
  <c r="G3660" i="31"/>
  <c r="G3661" i="31"/>
  <c r="G3662" i="31"/>
  <c r="G3663" i="31"/>
  <c r="G3664" i="31"/>
  <c r="B174" i="50" s="1"/>
  <c r="B93" i="2" s="1"/>
  <c r="G3665" i="31"/>
  <c r="G3666" i="31"/>
  <c r="G3667" i="31"/>
  <c r="G3668" i="31"/>
  <c r="G3669" i="31"/>
  <c r="G3670" i="31"/>
  <c r="G3671" i="31"/>
  <c r="G3672" i="31"/>
  <c r="G3673" i="31"/>
  <c r="G3674" i="31"/>
  <c r="G3675" i="31"/>
  <c r="G3676" i="31"/>
  <c r="G3677" i="31"/>
  <c r="G3678" i="31"/>
  <c r="G3679" i="31"/>
  <c r="G3680" i="31"/>
  <c r="G3681" i="31"/>
  <c r="G3682" i="31"/>
  <c r="G3683" i="31"/>
  <c r="G3684" i="31"/>
  <c r="G3685" i="31"/>
  <c r="B175" i="50" s="1"/>
  <c r="B94" i="2" s="1"/>
  <c r="G3686" i="31"/>
  <c r="G3687" i="31"/>
  <c r="G3688" i="31"/>
  <c r="G3689" i="31"/>
  <c r="G3690" i="31"/>
  <c r="G3691" i="31"/>
  <c r="G3692" i="31"/>
  <c r="G3693" i="31"/>
  <c r="G3694" i="31"/>
  <c r="G3695" i="31"/>
  <c r="G3696" i="31"/>
  <c r="G3697" i="31"/>
  <c r="G3698" i="31"/>
  <c r="G3699" i="31"/>
  <c r="G3700" i="31"/>
  <c r="G3701" i="31"/>
  <c r="G3702" i="31"/>
  <c r="G3703" i="31"/>
  <c r="G3704" i="31"/>
  <c r="G3705" i="31"/>
  <c r="G3706" i="31"/>
  <c r="B176" i="50" s="1"/>
  <c r="B95" i="2" s="1"/>
  <c r="G3707" i="31"/>
  <c r="G3708" i="31"/>
  <c r="G3709" i="31"/>
  <c r="G3710" i="31"/>
  <c r="G3711" i="31"/>
  <c r="G3712" i="31"/>
  <c r="G3713" i="31"/>
  <c r="G3714" i="31"/>
  <c r="G3715" i="31"/>
  <c r="G3716" i="31"/>
  <c r="G3717" i="31"/>
  <c r="G3718" i="31"/>
  <c r="G3719" i="31"/>
  <c r="G3720" i="31"/>
  <c r="G3721" i="31"/>
  <c r="G3722" i="31"/>
  <c r="G3723" i="31"/>
  <c r="G3724" i="31"/>
  <c r="G3725" i="31"/>
  <c r="G3726" i="31"/>
  <c r="G3727" i="31"/>
  <c r="B177" i="50" s="1"/>
  <c r="B96" i="2" s="1"/>
  <c r="G3728" i="31"/>
  <c r="G3729" i="31"/>
  <c r="G3730" i="31"/>
  <c r="G3731" i="31"/>
  <c r="G3732" i="31"/>
  <c r="G3733" i="31"/>
  <c r="G3734" i="31"/>
  <c r="G3735" i="31"/>
  <c r="G3736" i="31"/>
  <c r="G3737" i="31"/>
  <c r="G3738" i="31"/>
  <c r="G3739" i="31"/>
  <c r="G3740" i="31"/>
  <c r="G3741" i="31"/>
  <c r="G3742" i="31"/>
  <c r="G3743" i="31"/>
  <c r="G3744" i="31"/>
  <c r="G3745" i="31"/>
  <c r="G3746" i="31"/>
  <c r="G3747" i="31"/>
  <c r="B178" i="50" s="1"/>
  <c r="B97" i="2" s="1"/>
  <c r="G3748" i="31"/>
  <c r="G3749" i="31"/>
  <c r="G3750" i="31"/>
  <c r="G3751" i="31"/>
  <c r="G3752" i="31"/>
  <c r="G3753" i="31"/>
  <c r="G3754" i="31"/>
  <c r="G3755" i="31"/>
  <c r="G3756" i="31"/>
  <c r="G3757" i="31"/>
  <c r="G3758" i="31"/>
  <c r="G3759" i="31"/>
  <c r="G3760" i="31"/>
  <c r="G3761" i="31"/>
  <c r="G3762" i="31"/>
  <c r="G3763" i="31"/>
  <c r="G3764" i="31"/>
  <c r="G3765" i="31"/>
  <c r="G3766" i="31"/>
  <c r="G3767" i="31"/>
  <c r="G3768" i="31"/>
  <c r="G3769" i="31"/>
  <c r="B179" i="50" s="1"/>
  <c r="B98" i="2" s="1"/>
  <c r="G3770" i="31"/>
  <c r="G3771" i="31"/>
  <c r="G3772" i="31"/>
  <c r="G3773" i="31"/>
  <c r="G3774" i="31"/>
  <c r="G3775" i="31"/>
  <c r="G3776" i="31"/>
  <c r="G3777" i="31"/>
  <c r="G3778" i="31"/>
  <c r="G3779" i="31"/>
  <c r="G3780" i="31"/>
  <c r="G3781" i="31"/>
  <c r="G3782" i="31"/>
  <c r="G3783" i="31"/>
  <c r="G3784" i="31"/>
  <c r="G3785" i="31"/>
  <c r="G3786" i="31"/>
  <c r="G3787" i="31"/>
  <c r="G3788" i="31"/>
  <c r="G3789" i="31"/>
  <c r="B180" i="50" s="1"/>
  <c r="B99" i="2" s="1"/>
  <c r="G3790" i="31"/>
  <c r="G3791" i="31"/>
  <c r="G3792" i="31"/>
  <c r="G3793" i="31"/>
  <c r="G3794" i="31"/>
  <c r="G3795" i="31"/>
  <c r="G3796" i="31"/>
  <c r="G3797" i="31"/>
  <c r="G3798" i="31"/>
  <c r="G3799" i="31"/>
  <c r="G3800" i="31"/>
  <c r="G3801" i="31"/>
  <c r="G3802" i="31"/>
  <c r="G3803" i="31"/>
  <c r="G3804" i="31"/>
  <c r="G3805" i="31"/>
  <c r="G3806" i="31"/>
  <c r="G3807" i="31"/>
  <c r="B181" i="50" s="1"/>
  <c r="B100" i="2" s="1"/>
  <c r="G3808" i="31"/>
  <c r="G3809" i="31"/>
  <c r="G3810" i="31"/>
  <c r="G3811" i="31"/>
  <c r="G3812" i="31"/>
  <c r="G3813" i="31"/>
  <c r="G3814" i="31"/>
  <c r="G3815" i="31"/>
  <c r="G3816" i="31"/>
  <c r="G3817" i="31"/>
  <c r="G3818" i="31"/>
  <c r="G3819" i="31"/>
  <c r="G3820" i="31"/>
  <c r="G3821" i="31"/>
  <c r="G3822" i="31"/>
  <c r="G3823" i="31"/>
  <c r="G3824" i="31"/>
  <c r="G3825" i="31"/>
  <c r="G3826" i="31"/>
  <c r="G3827" i="31"/>
  <c r="G3828" i="31"/>
  <c r="G3829" i="31"/>
  <c r="G3830" i="31"/>
  <c r="B182" i="50" s="1"/>
  <c r="B101" i="2" s="1"/>
  <c r="G3831" i="31"/>
  <c r="G3832" i="31"/>
  <c r="G3833" i="31"/>
  <c r="G3834" i="31"/>
  <c r="G3835" i="31"/>
  <c r="G3836" i="31"/>
  <c r="G3837" i="31"/>
  <c r="G3838" i="31"/>
  <c r="G3839" i="31"/>
  <c r="G3840" i="31"/>
  <c r="G3841" i="31"/>
  <c r="G3842" i="31"/>
  <c r="G3843" i="31"/>
  <c r="G3844" i="31"/>
  <c r="G3845" i="31"/>
  <c r="G3846" i="31"/>
  <c r="G3847" i="31"/>
  <c r="G3848" i="31"/>
  <c r="G3849" i="31"/>
  <c r="G3850" i="31"/>
  <c r="B183" i="50" s="1"/>
  <c r="B102" i="2" s="1"/>
  <c r="G3851" i="31"/>
  <c r="G3852" i="31"/>
  <c r="G3853" i="31"/>
  <c r="G3854" i="31"/>
  <c r="G3855" i="31"/>
  <c r="G3856" i="31"/>
  <c r="G3857" i="31"/>
  <c r="G3858" i="31"/>
  <c r="G3859" i="31"/>
  <c r="G3860" i="31"/>
  <c r="G3861" i="31"/>
  <c r="G3862" i="31"/>
  <c r="G3863" i="31"/>
  <c r="G3864" i="31"/>
  <c r="G3865" i="31"/>
  <c r="G3866" i="31"/>
  <c r="G3867" i="31"/>
  <c r="G3868" i="31"/>
  <c r="G3869" i="31"/>
  <c r="G3870" i="31"/>
  <c r="G3871" i="31"/>
  <c r="G3872" i="31"/>
  <c r="G3873" i="31"/>
  <c r="G3874" i="31"/>
  <c r="G3875" i="31"/>
  <c r="G3876" i="31"/>
  <c r="G3877" i="31"/>
  <c r="G3878" i="31"/>
  <c r="G3879" i="31"/>
  <c r="G3880" i="31"/>
  <c r="G3881" i="31"/>
  <c r="G3882" i="31"/>
  <c r="G3883" i="31"/>
  <c r="G3884" i="31"/>
  <c r="G3885" i="31"/>
  <c r="G3886" i="31"/>
  <c r="G3887" i="31"/>
  <c r="G3888" i="31"/>
  <c r="G3889" i="31"/>
  <c r="G3890" i="31"/>
  <c r="G3891" i="31"/>
  <c r="G3892" i="31"/>
  <c r="G3893" i="31"/>
  <c r="G3894" i="31"/>
  <c r="G3895" i="31"/>
  <c r="G3896" i="31"/>
  <c r="G3897" i="31"/>
  <c r="G3898" i="31"/>
  <c r="G3899" i="31"/>
  <c r="G3900" i="31"/>
  <c r="G3901" i="31"/>
  <c r="G3902" i="31"/>
  <c r="G3903" i="31"/>
  <c r="G3904" i="31"/>
  <c r="G3905" i="31"/>
  <c r="G3906" i="31"/>
  <c r="G3907" i="31"/>
  <c r="G3908" i="31"/>
  <c r="G3909" i="31"/>
  <c r="G3910" i="31"/>
  <c r="G3911" i="31"/>
  <c r="G3912" i="31"/>
  <c r="G3913" i="31"/>
  <c r="G3914" i="31"/>
  <c r="G3915" i="31"/>
  <c r="G3916" i="31"/>
  <c r="G3917" i="31"/>
  <c r="G3918" i="31"/>
  <c r="G3919" i="31"/>
  <c r="G3920" i="31"/>
  <c r="G3921" i="31"/>
  <c r="G3922" i="31"/>
  <c r="G3923" i="31"/>
  <c r="G3924" i="31"/>
  <c r="G3925" i="31"/>
  <c r="G3926" i="31"/>
  <c r="G3927" i="31"/>
  <c r="G3928" i="31"/>
  <c r="G3929" i="31"/>
  <c r="G3930" i="31"/>
  <c r="G3931" i="31"/>
  <c r="G3932" i="31"/>
  <c r="G3933" i="31"/>
  <c r="G3934" i="31"/>
  <c r="G3935" i="31"/>
  <c r="G3936" i="31"/>
  <c r="G3937" i="31"/>
  <c r="G3938" i="31"/>
  <c r="G3939" i="31"/>
  <c r="G3940" i="31"/>
  <c r="G3941" i="31"/>
  <c r="G3942" i="31"/>
  <c r="G3943" i="31"/>
  <c r="G3944" i="31"/>
  <c r="G3945" i="31"/>
  <c r="G3946" i="31"/>
  <c r="G3947" i="31"/>
  <c r="G3948" i="31"/>
  <c r="G3949" i="31"/>
  <c r="G3950" i="31"/>
  <c r="G3951" i="31"/>
  <c r="G3952" i="31"/>
  <c r="G3953" i="31"/>
  <c r="G3954" i="31"/>
  <c r="G3955" i="31"/>
  <c r="G3956" i="31"/>
  <c r="G3957" i="31"/>
  <c r="G3958" i="31"/>
  <c r="G3959" i="31"/>
  <c r="G3960" i="31"/>
  <c r="G3961" i="31"/>
  <c r="G3962" i="31"/>
  <c r="G3963" i="31"/>
  <c r="G3964" i="31"/>
  <c r="G3965" i="31"/>
  <c r="G3966" i="31"/>
  <c r="G3967" i="31"/>
  <c r="G3968" i="31"/>
  <c r="G3969" i="31"/>
  <c r="G3970" i="31"/>
  <c r="G3971" i="31"/>
  <c r="G3972" i="31"/>
  <c r="G3973" i="31"/>
  <c r="G3974" i="31"/>
  <c r="G3975" i="31"/>
  <c r="G3976" i="31"/>
  <c r="G3977" i="31"/>
  <c r="G3978" i="31"/>
  <c r="G3979" i="31"/>
  <c r="G3980" i="31"/>
  <c r="G3981" i="31"/>
  <c r="G3982" i="31"/>
  <c r="G3983" i="31"/>
  <c r="G3984" i="31"/>
  <c r="G3985" i="31"/>
  <c r="G3986" i="31"/>
  <c r="G3987" i="31"/>
  <c r="G3988" i="31"/>
  <c r="G3989" i="31"/>
  <c r="G3990" i="31"/>
  <c r="G3991" i="31"/>
  <c r="G3992" i="31"/>
  <c r="G3993" i="31"/>
  <c r="G3994" i="31"/>
  <c r="G3995" i="31"/>
  <c r="G3996" i="31"/>
  <c r="G3997" i="31"/>
  <c r="G3998" i="31"/>
  <c r="G3999" i="31"/>
  <c r="G4000" i="31"/>
  <c r="G4001" i="31"/>
  <c r="G4002" i="31"/>
  <c r="G4003" i="31"/>
  <c r="G4004" i="31"/>
  <c r="G4005" i="31"/>
  <c r="G4006" i="31"/>
  <c r="G4007" i="31"/>
  <c r="G4008" i="31"/>
  <c r="G4009" i="31"/>
  <c r="G4010" i="31"/>
  <c r="G4011" i="31"/>
  <c r="G4012" i="31"/>
  <c r="G4013" i="31"/>
  <c r="G4014" i="31"/>
  <c r="G4015" i="31"/>
  <c r="G4016" i="31"/>
  <c r="G4017" i="31"/>
  <c r="G4018" i="31"/>
  <c r="B110" i="2"/>
  <c r="G4021" i="31"/>
  <c r="G4022" i="31"/>
  <c r="G4023" i="31"/>
  <c r="G4024" i="31"/>
  <c r="G4025" i="31"/>
  <c r="G4026" i="31"/>
  <c r="G4027" i="31"/>
  <c r="G4028" i="31"/>
  <c r="G4029" i="31"/>
  <c r="G4030" i="31"/>
  <c r="G4031" i="31"/>
  <c r="G4032" i="31"/>
  <c r="G4033" i="31"/>
  <c r="G4034" i="31"/>
  <c r="G4035" i="31"/>
  <c r="G4036" i="31"/>
  <c r="G4037" i="31"/>
  <c r="G4038" i="31"/>
  <c r="G4039" i="31"/>
  <c r="G4040" i="31"/>
  <c r="G4042" i="31"/>
  <c r="G4043" i="31"/>
  <c r="G4044" i="31"/>
  <c r="G4045" i="31"/>
  <c r="G4046" i="31"/>
  <c r="G4047" i="31"/>
  <c r="G4048" i="31"/>
  <c r="G4049" i="31"/>
  <c r="G4050" i="31"/>
  <c r="G4051" i="31"/>
  <c r="G4052" i="31"/>
  <c r="G4053" i="31"/>
  <c r="G4054" i="31"/>
  <c r="G4055" i="31"/>
  <c r="G4056" i="31"/>
  <c r="G4057" i="31"/>
  <c r="G4058" i="31"/>
  <c r="G4059" i="31"/>
  <c r="G4060" i="31"/>
  <c r="G4061" i="31"/>
  <c r="G4062" i="31"/>
  <c r="G4063" i="31"/>
  <c r="G4064" i="31"/>
  <c r="G4065" i="31"/>
  <c r="G4066" i="31"/>
  <c r="G4067" i="31"/>
  <c r="G4068" i="31"/>
  <c r="G4069" i="31"/>
  <c r="G4070" i="31"/>
  <c r="G4071" i="31"/>
  <c r="G4072" i="31"/>
  <c r="G4073" i="31"/>
  <c r="G4074" i="31"/>
  <c r="G4075" i="31"/>
  <c r="B112" i="2" s="1"/>
  <c r="G66" i="31"/>
  <c r="B2" i="50" s="1"/>
  <c r="B190" i="50" l="1"/>
  <c r="B109" i="2" s="1"/>
  <c r="B192" i="50"/>
  <c r="B111" i="2" s="1"/>
  <c r="B187" i="50"/>
  <c r="B106" i="2" s="1"/>
  <c r="B184" i="50"/>
  <c r="B103" i="2" s="1"/>
  <c r="B189" i="50"/>
  <c r="B108" i="2" s="1"/>
  <c r="B185" i="50"/>
  <c r="B104" i="2" s="1"/>
  <c r="B188" i="50"/>
  <c r="B107" i="2" s="1"/>
  <c r="B186" i="50"/>
  <c r="B105" i="2" s="1"/>
  <c r="W1438" i="45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R369" i="41"/>
  <c r="R370" i="41"/>
  <c r="R371" i="41"/>
  <c r="R372" i="41"/>
  <c r="R373" i="41"/>
  <c r="R374" i="41"/>
  <c r="R375" i="41"/>
  <c r="R376" i="41"/>
  <c r="R377" i="41"/>
  <c r="R378" i="41"/>
  <c r="R379" i="41"/>
  <c r="R380" i="41"/>
  <c r="R381" i="41"/>
  <c r="R382" i="41"/>
  <c r="R383" i="41"/>
  <c r="R384" i="41"/>
  <c r="R385" i="41"/>
  <c r="R386" i="41"/>
  <c r="R387" i="41"/>
  <c r="R388" i="41"/>
  <c r="R389" i="41"/>
  <c r="R390" i="41"/>
  <c r="R391" i="41"/>
  <c r="R392" i="41"/>
  <c r="R393" i="41"/>
  <c r="R394" i="41"/>
  <c r="R395" i="41"/>
  <c r="R396" i="41"/>
  <c r="R397" i="41"/>
  <c r="R398" i="41"/>
  <c r="R399" i="41"/>
  <c r="R400" i="41"/>
  <c r="R401" i="41"/>
  <c r="R402" i="41"/>
  <c r="R403" i="41"/>
  <c r="R404" i="41"/>
  <c r="R405" i="41"/>
  <c r="R406" i="41"/>
  <c r="R407" i="41"/>
  <c r="R408" i="41"/>
  <c r="R409" i="41"/>
  <c r="R410" i="41"/>
  <c r="R411" i="41"/>
  <c r="R412" i="41"/>
  <c r="R413" i="41"/>
  <c r="R414" i="41"/>
  <c r="R415" i="41"/>
  <c r="R416" i="41"/>
  <c r="R417" i="41"/>
  <c r="R4" i="41"/>
  <c r="H5" i="41"/>
  <c r="H6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4" i="41"/>
  <c r="H3" i="40"/>
  <c r="H4" i="40"/>
  <c r="H5" i="40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U247" i="45"/>
  <c r="U248" i="45"/>
  <c r="U249" i="45"/>
  <c r="U250" i="45"/>
  <c r="U251" i="45"/>
  <c r="U252" i="45"/>
  <c r="U253" i="45"/>
  <c r="U254" i="45"/>
  <c r="U255" i="45"/>
  <c r="U256" i="45"/>
  <c r="U257" i="45"/>
  <c r="U258" i="45"/>
  <c r="U259" i="45"/>
  <c r="U260" i="45"/>
  <c r="U261" i="45"/>
  <c r="U262" i="45"/>
  <c r="U263" i="45"/>
  <c r="U264" i="45"/>
  <c r="U265" i="45"/>
  <c r="U266" i="45"/>
  <c r="U267" i="45"/>
  <c r="U268" i="45"/>
  <c r="U269" i="45"/>
  <c r="U270" i="45"/>
  <c r="U271" i="45"/>
  <c r="U272" i="45"/>
  <c r="U273" i="45"/>
  <c r="U274" i="45"/>
  <c r="U275" i="45"/>
  <c r="U276" i="45"/>
  <c r="U277" i="45"/>
  <c r="U278" i="45"/>
  <c r="U279" i="45"/>
  <c r="U280" i="45"/>
  <c r="U281" i="45"/>
  <c r="U282" i="45"/>
  <c r="U283" i="45"/>
  <c r="U284" i="45"/>
  <c r="U285" i="45"/>
  <c r="U286" i="45"/>
  <c r="U287" i="45"/>
  <c r="U288" i="45"/>
  <c r="U289" i="45"/>
  <c r="U290" i="45"/>
  <c r="U291" i="45"/>
  <c r="U292" i="45"/>
  <c r="U293" i="45"/>
  <c r="U294" i="45"/>
  <c r="U295" i="45"/>
  <c r="U296" i="45"/>
  <c r="U297" i="45"/>
  <c r="U298" i="45"/>
  <c r="U299" i="45"/>
  <c r="U300" i="45"/>
  <c r="U301" i="45"/>
  <c r="U302" i="45"/>
  <c r="U303" i="45"/>
  <c r="U304" i="45"/>
  <c r="U305" i="45"/>
  <c r="U306" i="45"/>
  <c r="U307" i="45"/>
  <c r="U308" i="45"/>
  <c r="U309" i="45"/>
  <c r="U310" i="45"/>
  <c r="U311" i="45"/>
  <c r="U312" i="45"/>
  <c r="U313" i="45"/>
  <c r="U314" i="45"/>
  <c r="U315" i="45"/>
  <c r="U316" i="45"/>
  <c r="U317" i="45"/>
  <c r="U318" i="45"/>
  <c r="U319" i="45"/>
  <c r="U320" i="45"/>
  <c r="U321" i="45"/>
  <c r="U322" i="45"/>
  <c r="U323" i="45"/>
  <c r="U324" i="45"/>
  <c r="U325" i="45"/>
  <c r="U326" i="45"/>
  <c r="U327" i="45"/>
  <c r="U328" i="45"/>
  <c r="U329" i="45"/>
  <c r="U330" i="45"/>
  <c r="U331" i="45"/>
  <c r="U332" i="45"/>
  <c r="U333" i="45"/>
  <c r="U334" i="45"/>
  <c r="U335" i="45"/>
  <c r="U336" i="45"/>
  <c r="U337" i="45"/>
  <c r="U338" i="45"/>
  <c r="U339" i="45"/>
  <c r="U340" i="45"/>
  <c r="U341" i="45"/>
  <c r="U342" i="45"/>
  <c r="U343" i="45"/>
  <c r="U344" i="45"/>
  <c r="U345" i="45"/>
  <c r="U346" i="45"/>
  <c r="U347" i="45"/>
  <c r="U348" i="45"/>
  <c r="U349" i="45"/>
  <c r="U350" i="45"/>
  <c r="U351" i="45"/>
  <c r="U352" i="45"/>
  <c r="U353" i="45"/>
  <c r="U354" i="45"/>
  <c r="U355" i="45"/>
  <c r="U356" i="45"/>
  <c r="U357" i="45"/>
  <c r="U358" i="45"/>
  <c r="U359" i="45"/>
  <c r="U360" i="45"/>
  <c r="U361" i="45"/>
  <c r="U362" i="45"/>
  <c r="U363" i="45"/>
  <c r="U364" i="45"/>
  <c r="U365" i="45"/>
  <c r="U366" i="45"/>
  <c r="U367" i="45"/>
  <c r="U368" i="45"/>
  <c r="U369" i="45"/>
  <c r="U370" i="45"/>
  <c r="U371" i="45"/>
  <c r="U372" i="45"/>
  <c r="U373" i="45"/>
  <c r="U374" i="45"/>
  <c r="U375" i="45"/>
  <c r="U376" i="45"/>
  <c r="U377" i="45"/>
  <c r="U378" i="45"/>
  <c r="U379" i="45"/>
  <c r="U380" i="45"/>
  <c r="U381" i="45"/>
  <c r="U382" i="45"/>
  <c r="U383" i="45"/>
  <c r="U384" i="45"/>
  <c r="U385" i="45"/>
  <c r="U386" i="45"/>
  <c r="U387" i="45"/>
  <c r="U388" i="45"/>
  <c r="U389" i="45"/>
  <c r="U390" i="45"/>
  <c r="U391" i="45"/>
  <c r="U392" i="45"/>
  <c r="U393" i="45"/>
  <c r="U394" i="45"/>
  <c r="U395" i="45"/>
  <c r="U396" i="45"/>
  <c r="U397" i="45"/>
  <c r="U398" i="45"/>
  <c r="U399" i="45"/>
  <c r="U400" i="45"/>
  <c r="U401" i="45"/>
  <c r="U402" i="45"/>
  <c r="U403" i="45"/>
  <c r="U404" i="45"/>
  <c r="U405" i="45"/>
  <c r="U406" i="45"/>
  <c r="U407" i="45"/>
  <c r="U408" i="45"/>
  <c r="U409" i="45"/>
  <c r="U410" i="45"/>
  <c r="U411" i="45"/>
  <c r="U412" i="45"/>
  <c r="U413" i="45"/>
  <c r="U414" i="45"/>
  <c r="U415" i="45"/>
  <c r="U416" i="45"/>
  <c r="U417" i="45"/>
  <c r="U418" i="45"/>
  <c r="U419" i="45"/>
  <c r="U420" i="45"/>
  <c r="U421" i="45"/>
  <c r="U422" i="45"/>
  <c r="U423" i="45"/>
  <c r="U424" i="45"/>
  <c r="U425" i="45"/>
  <c r="U426" i="45"/>
  <c r="U427" i="45"/>
  <c r="U428" i="45"/>
  <c r="U429" i="45"/>
  <c r="U430" i="45"/>
  <c r="U431" i="45"/>
  <c r="U432" i="45"/>
  <c r="U433" i="45"/>
  <c r="U434" i="45"/>
  <c r="U435" i="45"/>
  <c r="U436" i="45"/>
  <c r="U437" i="45"/>
  <c r="U438" i="45"/>
  <c r="U439" i="45"/>
  <c r="U440" i="45"/>
  <c r="U441" i="45"/>
  <c r="U442" i="45"/>
  <c r="U443" i="45"/>
  <c r="U444" i="45"/>
  <c r="U445" i="45"/>
  <c r="U446" i="45"/>
  <c r="U447" i="45"/>
  <c r="U448" i="45"/>
  <c r="U449" i="45"/>
  <c r="U450" i="45"/>
  <c r="U451" i="45"/>
  <c r="U452" i="45"/>
  <c r="U453" i="45"/>
  <c r="U454" i="45"/>
  <c r="U455" i="45"/>
  <c r="U456" i="45"/>
  <c r="U457" i="45"/>
  <c r="U458" i="45"/>
  <c r="U459" i="45"/>
  <c r="U460" i="45"/>
  <c r="U461" i="45"/>
  <c r="U462" i="45"/>
  <c r="U463" i="45"/>
  <c r="U464" i="45"/>
  <c r="U465" i="45"/>
  <c r="U466" i="45"/>
  <c r="U467" i="45"/>
  <c r="U468" i="45"/>
  <c r="U469" i="45"/>
  <c r="U470" i="45"/>
  <c r="U471" i="45"/>
  <c r="U472" i="45"/>
  <c r="U473" i="45"/>
  <c r="U474" i="45"/>
  <c r="U475" i="45"/>
  <c r="U476" i="45"/>
  <c r="U477" i="45"/>
  <c r="U478" i="45"/>
  <c r="U479" i="45"/>
  <c r="U480" i="45"/>
  <c r="U481" i="45"/>
  <c r="U482" i="45"/>
  <c r="U483" i="45"/>
  <c r="U484" i="45"/>
  <c r="U485" i="45"/>
  <c r="U486" i="45"/>
  <c r="U487" i="45"/>
  <c r="U488" i="45"/>
  <c r="U489" i="45"/>
  <c r="U490" i="45"/>
  <c r="U491" i="45"/>
  <c r="U492" i="45"/>
  <c r="U493" i="45"/>
  <c r="U494" i="45"/>
  <c r="U495" i="45"/>
  <c r="U496" i="45"/>
  <c r="U497" i="45"/>
  <c r="U498" i="45"/>
  <c r="U499" i="45"/>
  <c r="U500" i="45"/>
  <c r="U501" i="45"/>
  <c r="U502" i="45"/>
  <c r="U503" i="45"/>
  <c r="U504" i="45"/>
  <c r="U505" i="45"/>
  <c r="U506" i="45"/>
  <c r="U507" i="45"/>
  <c r="U508" i="45"/>
  <c r="U509" i="45"/>
  <c r="U510" i="45"/>
  <c r="U511" i="45"/>
  <c r="U512" i="45"/>
  <c r="U513" i="45"/>
  <c r="U514" i="45"/>
  <c r="U515" i="45"/>
  <c r="U516" i="45"/>
  <c r="U517" i="45"/>
  <c r="U518" i="45"/>
  <c r="U519" i="45"/>
  <c r="U520" i="45"/>
  <c r="U521" i="45"/>
  <c r="U522" i="45"/>
  <c r="U523" i="45"/>
  <c r="U524" i="45"/>
  <c r="U525" i="45"/>
  <c r="U526" i="45"/>
  <c r="U527" i="45"/>
  <c r="U528" i="45"/>
  <c r="U529" i="45"/>
  <c r="U530" i="45"/>
  <c r="U531" i="45"/>
  <c r="U532" i="45"/>
  <c r="U533" i="45"/>
  <c r="U534" i="45"/>
  <c r="U535" i="45"/>
  <c r="U536" i="45"/>
  <c r="U537" i="45"/>
  <c r="U538" i="45"/>
  <c r="U539" i="45"/>
  <c r="U540" i="45"/>
  <c r="U541" i="45"/>
  <c r="U542" i="45"/>
  <c r="U543" i="45"/>
  <c r="U544" i="45"/>
  <c r="U545" i="45"/>
  <c r="U546" i="45"/>
  <c r="U547" i="45"/>
  <c r="U548" i="45"/>
  <c r="U549" i="45"/>
  <c r="U550" i="45"/>
  <c r="U551" i="45"/>
  <c r="U552" i="45"/>
  <c r="U553" i="45"/>
  <c r="U554" i="45"/>
  <c r="U555" i="45"/>
  <c r="U556" i="45"/>
  <c r="V556" i="45" s="1"/>
  <c r="U557" i="45"/>
  <c r="V557" i="45" s="1"/>
  <c r="U558" i="45"/>
  <c r="V558" i="45" s="1"/>
  <c r="U559" i="45"/>
  <c r="V559" i="45" s="1"/>
  <c r="U560" i="45"/>
  <c r="V560" i="45" s="1"/>
  <c r="U561" i="45"/>
  <c r="V561" i="45" s="1"/>
  <c r="U562" i="45"/>
  <c r="V562" i="45" s="1"/>
  <c r="U563" i="45"/>
  <c r="V563" i="45" s="1"/>
  <c r="U564" i="45"/>
  <c r="V564" i="45" s="1"/>
  <c r="U565" i="45"/>
  <c r="V565" i="45" s="1"/>
  <c r="U566" i="45"/>
  <c r="V566" i="45" s="1"/>
  <c r="U567" i="45"/>
  <c r="V567" i="45" s="1"/>
  <c r="U568" i="45"/>
  <c r="V568" i="45" s="1"/>
  <c r="U569" i="45"/>
  <c r="V569" i="45" s="1"/>
  <c r="U570" i="45"/>
  <c r="V570" i="45" s="1"/>
  <c r="U571" i="45"/>
  <c r="V571" i="45" s="1"/>
  <c r="U572" i="45"/>
  <c r="V572" i="45" s="1"/>
  <c r="U573" i="45"/>
  <c r="V573" i="45" s="1"/>
  <c r="U574" i="45"/>
  <c r="V574" i="45" s="1"/>
  <c r="U575" i="45"/>
  <c r="V575" i="45" s="1"/>
  <c r="U576" i="45"/>
  <c r="V576" i="45" s="1"/>
  <c r="U577" i="45"/>
  <c r="V577" i="45" s="1"/>
  <c r="U578" i="45"/>
  <c r="V578" i="45" s="1"/>
  <c r="U579" i="45"/>
  <c r="V579" i="45" s="1"/>
  <c r="U580" i="45"/>
  <c r="V580" i="45" s="1"/>
  <c r="U581" i="45"/>
  <c r="V581" i="45" s="1"/>
  <c r="U582" i="45"/>
  <c r="V582" i="45" s="1"/>
  <c r="U583" i="45"/>
  <c r="V583" i="45" s="1"/>
  <c r="U584" i="45"/>
  <c r="V584" i="45" s="1"/>
  <c r="U585" i="45"/>
  <c r="V585" i="45" s="1"/>
  <c r="U586" i="45"/>
  <c r="V586" i="45" s="1"/>
  <c r="U587" i="45"/>
  <c r="V587" i="45" s="1"/>
  <c r="U588" i="45"/>
  <c r="V588" i="45" s="1"/>
  <c r="U589" i="45"/>
  <c r="V589" i="45" s="1"/>
  <c r="U590" i="45"/>
  <c r="V590" i="45" s="1"/>
  <c r="U591" i="45"/>
  <c r="V591" i="45" s="1"/>
  <c r="U592" i="45"/>
  <c r="V592" i="45" s="1"/>
  <c r="U593" i="45"/>
  <c r="V593" i="45" s="1"/>
  <c r="U594" i="45"/>
  <c r="V594" i="45" s="1"/>
  <c r="U595" i="45"/>
  <c r="V595" i="45" s="1"/>
  <c r="U596" i="45"/>
  <c r="V596" i="45" s="1"/>
  <c r="U597" i="45"/>
  <c r="V597" i="45" s="1"/>
  <c r="U598" i="45"/>
  <c r="V598" i="45" s="1"/>
  <c r="U599" i="45"/>
  <c r="V599" i="45" s="1"/>
  <c r="U600" i="45"/>
  <c r="V600" i="45" s="1"/>
  <c r="U601" i="45"/>
  <c r="V601" i="45" s="1"/>
  <c r="U602" i="45"/>
  <c r="V602" i="45" s="1"/>
  <c r="U603" i="45"/>
  <c r="V603" i="45" s="1"/>
  <c r="U604" i="45"/>
  <c r="V604" i="45" s="1"/>
  <c r="U605" i="45"/>
  <c r="V605" i="45" s="1"/>
  <c r="U606" i="45"/>
  <c r="V606" i="45" s="1"/>
  <c r="U607" i="45"/>
  <c r="V607" i="45" s="1"/>
  <c r="U608" i="45"/>
  <c r="V608" i="45" s="1"/>
  <c r="U609" i="45"/>
  <c r="V609" i="45" s="1"/>
  <c r="U610" i="45"/>
  <c r="V610" i="45" s="1"/>
  <c r="U611" i="45"/>
  <c r="V611" i="45" s="1"/>
  <c r="U612" i="45"/>
  <c r="V612" i="45" s="1"/>
  <c r="U613" i="45"/>
  <c r="V613" i="45" s="1"/>
  <c r="U614" i="45"/>
  <c r="V614" i="45" s="1"/>
  <c r="U615" i="45"/>
  <c r="V615" i="45" s="1"/>
  <c r="U616" i="45"/>
  <c r="V616" i="45" s="1"/>
  <c r="U617" i="45"/>
  <c r="V617" i="45" s="1"/>
  <c r="U618" i="45"/>
  <c r="V618" i="45" s="1"/>
  <c r="U619" i="45"/>
  <c r="V619" i="45" s="1"/>
  <c r="U620" i="45"/>
  <c r="V620" i="45" s="1"/>
  <c r="U621" i="45"/>
  <c r="V621" i="45" s="1"/>
  <c r="U622" i="45"/>
  <c r="V622" i="45" s="1"/>
  <c r="U623" i="45"/>
  <c r="V623" i="45" s="1"/>
  <c r="U624" i="45"/>
  <c r="V624" i="45" s="1"/>
  <c r="U625" i="45"/>
  <c r="V625" i="45" s="1"/>
  <c r="U626" i="45"/>
  <c r="V626" i="45" s="1"/>
  <c r="U627" i="45"/>
  <c r="V627" i="45" s="1"/>
  <c r="U628" i="45"/>
  <c r="V628" i="45" s="1"/>
  <c r="U629" i="45"/>
  <c r="V629" i="45" s="1"/>
  <c r="U630" i="45"/>
  <c r="V630" i="45" s="1"/>
  <c r="U631" i="45"/>
  <c r="V631" i="45" s="1"/>
  <c r="U632" i="45"/>
  <c r="V632" i="45" s="1"/>
  <c r="U633" i="45"/>
  <c r="V633" i="45" s="1"/>
  <c r="U634" i="45"/>
  <c r="V634" i="45" s="1"/>
  <c r="U635" i="45"/>
  <c r="V635" i="45" s="1"/>
  <c r="U636" i="45"/>
  <c r="V636" i="45" s="1"/>
  <c r="U637" i="45"/>
  <c r="V637" i="45" s="1"/>
  <c r="U638" i="45"/>
  <c r="V638" i="45" s="1"/>
  <c r="U639" i="45"/>
  <c r="V639" i="45" s="1"/>
  <c r="U640" i="45"/>
  <c r="V640" i="45" s="1"/>
  <c r="U641" i="45"/>
  <c r="V641" i="45" s="1"/>
  <c r="U642" i="45"/>
  <c r="V642" i="45" s="1"/>
  <c r="U643" i="45"/>
  <c r="V643" i="45" s="1"/>
  <c r="U644" i="45"/>
  <c r="V644" i="45" s="1"/>
  <c r="U645" i="45"/>
  <c r="V645" i="45" s="1"/>
  <c r="U646" i="45"/>
  <c r="V646" i="45" s="1"/>
  <c r="U647" i="45"/>
  <c r="V647" i="45" s="1"/>
  <c r="U648" i="45"/>
  <c r="V648" i="45" s="1"/>
  <c r="U649" i="45"/>
  <c r="V649" i="45" s="1"/>
  <c r="U650" i="45"/>
  <c r="V650" i="45" s="1"/>
  <c r="U651" i="45"/>
  <c r="V651" i="45" s="1"/>
  <c r="U652" i="45"/>
  <c r="V652" i="45" s="1"/>
  <c r="U653" i="45"/>
  <c r="V653" i="45" s="1"/>
  <c r="U654" i="45"/>
  <c r="V654" i="45" s="1"/>
  <c r="U655" i="45"/>
  <c r="V655" i="45" s="1"/>
  <c r="U656" i="45"/>
  <c r="V656" i="45" s="1"/>
  <c r="U657" i="45"/>
  <c r="V657" i="45" s="1"/>
  <c r="U658" i="45"/>
  <c r="V658" i="45" s="1"/>
  <c r="U659" i="45"/>
  <c r="V659" i="45" s="1"/>
  <c r="U660" i="45"/>
  <c r="V660" i="45" s="1"/>
  <c r="U661" i="45"/>
  <c r="V661" i="45" s="1"/>
  <c r="U662" i="45"/>
  <c r="V662" i="45" s="1"/>
  <c r="U663" i="45"/>
  <c r="V663" i="45" s="1"/>
  <c r="U664" i="45"/>
  <c r="V664" i="45" s="1"/>
  <c r="U665" i="45"/>
  <c r="V665" i="45" s="1"/>
  <c r="U666" i="45"/>
  <c r="V666" i="45" s="1"/>
  <c r="U667" i="45"/>
  <c r="V667" i="45" s="1"/>
  <c r="U668" i="45"/>
  <c r="V668" i="45" s="1"/>
  <c r="U669" i="45"/>
  <c r="V669" i="45" s="1"/>
  <c r="U670" i="45"/>
  <c r="V670" i="45" s="1"/>
  <c r="U671" i="45"/>
  <c r="V671" i="45" s="1"/>
  <c r="U672" i="45"/>
  <c r="V672" i="45" s="1"/>
  <c r="U673" i="45"/>
  <c r="V673" i="45" s="1"/>
  <c r="U674" i="45"/>
  <c r="V674" i="45" s="1"/>
  <c r="U675" i="45"/>
  <c r="V675" i="45" s="1"/>
  <c r="U676" i="45"/>
  <c r="V676" i="45" s="1"/>
  <c r="U677" i="45"/>
  <c r="V677" i="45" s="1"/>
  <c r="U678" i="45"/>
  <c r="V678" i="45" s="1"/>
  <c r="U679" i="45"/>
  <c r="V679" i="45" s="1"/>
  <c r="U680" i="45"/>
  <c r="V680" i="45" s="1"/>
  <c r="U681" i="45"/>
  <c r="V681" i="45" s="1"/>
  <c r="U682" i="45"/>
  <c r="V682" i="45" s="1"/>
  <c r="U683" i="45"/>
  <c r="V683" i="45" s="1"/>
  <c r="U684" i="45"/>
  <c r="V684" i="45" s="1"/>
  <c r="U685" i="45"/>
  <c r="V685" i="45" s="1"/>
  <c r="U686" i="45"/>
  <c r="V686" i="45" s="1"/>
  <c r="U687" i="45"/>
  <c r="V687" i="45" s="1"/>
  <c r="U688" i="45"/>
  <c r="V688" i="45" s="1"/>
  <c r="U689" i="45"/>
  <c r="V689" i="45" s="1"/>
  <c r="U690" i="45"/>
  <c r="V690" i="45" s="1"/>
  <c r="U691" i="45"/>
  <c r="V691" i="45" s="1"/>
  <c r="U692" i="45"/>
  <c r="V692" i="45" s="1"/>
  <c r="U693" i="45"/>
  <c r="V693" i="45" s="1"/>
  <c r="U694" i="45"/>
  <c r="V694" i="45" s="1"/>
  <c r="U695" i="45"/>
  <c r="V695" i="45" s="1"/>
  <c r="U696" i="45"/>
  <c r="V696" i="45" s="1"/>
  <c r="U697" i="45"/>
  <c r="V697" i="45" s="1"/>
  <c r="U698" i="45"/>
  <c r="V698" i="45" s="1"/>
  <c r="U699" i="45"/>
  <c r="V699" i="45" s="1"/>
  <c r="U700" i="45"/>
  <c r="V700" i="45" s="1"/>
  <c r="U701" i="45"/>
  <c r="V701" i="45" s="1"/>
  <c r="U702" i="45"/>
  <c r="V702" i="45" s="1"/>
  <c r="U703" i="45"/>
  <c r="V703" i="45" s="1"/>
  <c r="U704" i="45"/>
  <c r="V704" i="45" s="1"/>
  <c r="U705" i="45"/>
  <c r="V705" i="45" s="1"/>
  <c r="U706" i="45"/>
  <c r="V706" i="45" s="1"/>
  <c r="U707" i="45"/>
  <c r="V707" i="45" s="1"/>
  <c r="U708" i="45"/>
  <c r="V708" i="45" s="1"/>
  <c r="U709" i="45"/>
  <c r="V709" i="45" s="1"/>
  <c r="U710" i="45"/>
  <c r="V710" i="45" s="1"/>
  <c r="U711" i="45"/>
  <c r="V711" i="45" s="1"/>
  <c r="U712" i="45"/>
  <c r="V712" i="45" s="1"/>
  <c r="U713" i="45"/>
  <c r="V713" i="45" s="1"/>
  <c r="U714" i="45"/>
  <c r="V714" i="45" s="1"/>
  <c r="U715" i="45"/>
  <c r="V715" i="45" s="1"/>
  <c r="U716" i="45"/>
  <c r="V716" i="45" s="1"/>
  <c r="U717" i="45"/>
  <c r="V717" i="45" s="1"/>
  <c r="U718" i="45"/>
  <c r="V718" i="45" s="1"/>
  <c r="U719" i="45"/>
  <c r="V719" i="45" s="1"/>
  <c r="U720" i="45"/>
  <c r="V720" i="45" s="1"/>
  <c r="U721" i="45"/>
  <c r="V721" i="45" s="1"/>
  <c r="U722" i="45"/>
  <c r="V722" i="45" s="1"/>
  <c r="U723" i="45"/>
  <c r="V723" i="45" s="1"/>
  <c r="U724" i="45"/>
  <c r="V724" i="45" s="1"/>
  <c r="U725" i="45"/>
  <c r="V725" i="45" s="1"/>
  <c r="U726" i="45"/>
  <c r="V726" i="45" s="1"/>
  <c r="U727" i="45"/>
  <c r="V727" i="45" s="1"/>
  <c r="U728" i="45"/>
  <c r="V728" i="45" s="1"/>
  <c r="U729" i="45"/>
  <c r="V729" i="45" s="1"/>
  <c r="U730" i="45"/>
  <c r="V730" i="45" s="1"/>
  <c r="U731" i="45"/>
  <c r="V731" i="45" s="1"/>
  <c r="U732" i="45"/>
  <c r="V732" i="45" s="1"/>
  <c r="U733" i="45"/>
  <c r="V733" i="45" s="1"/>
  <c r="U734" i="45"/>
  <c r="V734" i="45" s="1"/>
  <c r="U735" i="45"/>
  <c r="V735" i="45" s="1"/>
  <c r="U736" i="45"/>
  <c r="V736" i="45" s="1"/>
  <c r="U737" i="45"/>
  <c r="V737" i="45" s="1"/>
  <c r="U738" i="45"/>
  <c r="V738" i="45" s="1"/>
  <c r="U739" i="45"/>
  <c r="V739" i="45" s="1"/>
  <c r="U740" i="45"/>
  <c r="V740" i="45" s="1"/>
  <c r="U741" i="45"/>
  <c r="V741" i="45" s="1"/>
  <c r="U742" i="45"/>
  <c r="V742" i="45" s="1"/>
  <c r="U743" i="45"/>
  <c r="V743" i="45" s="1"/>
  <c r="U744" i="45"/>
  <c r="V744" i="45" s="1"/>
  <c r="U745" i="45"/>
  <c r="V745" i="45" s="1"/>
  <c r="U746" i="45"/>
  <c r="V746" i="45" s="1"/>
  <c r="U747" i="45"/>
  <c r="V747" i="45" s="1"/>
  <c r="U748" i="45"/>
  <c r="V748" i="45" s="1"/>
  <c r="U749" i="45"/>
  <c r="V749" i="45" s="1"/>
  <c r="U750" i="45"/>
  <c r="V750" i="45" s="1"/>
  <c r="U751" i="45"/>
  <c r="V751" i="45" s="1"/>
  <c r="U752" i="45"/>
  <c r="V752" i="45" s="1"/>
  <c r="U753" i="45"/>
  <c r="V753" i="45" s="1"/>
  <c r="U754" i="45"/>
  <c r="V754" i="45" s="1"/>
  <c r="U755" i="45"/>
  <c r="V755" i="45" s="1"/>
  <c r="U756" i="45"/>
  <c r="V756" i="45" s="1"/>
  <c r="U757" i="45"/>
  <c r="V757" i="45" s="1"/>
  <c r="U758" i="45"/>
  <c r="V758" i="45" s="1"/>
  <c r="U759" i="45"/>
  <c r="V759" i="45" s="1"/>
  <c r="U760" i="45"/>
  <c r="V760" i="45" s="1"/>
  <c r="U761" i="45"/>
  <c r="V761" i="45" s="1"/>
  <c r="U762" i="45"/>
  <c r="V762" i="45" s="1"/>
  <c r="U763" i="45"/>
  <c r="V763" i="45" s="1"/>
  <c r="U764" i="45"/>
  <c r="V764" i="45" s="1"/>
  <c r="U765" i="45"/>
  <c r="V765" i="45" s="1"/>
  <c r="U766" i="45"/>
  <c r="V766" i="45" s="1"/>
  <c r="U767" i="45"/>
  <c r="V767" i="45" s="1"/>
  <c r="U768" i="45"/>
  <c r="V768" i="45" s="1"/>
  <c r="U769" i="45"/>
  <c r="V769" i="45" s="1"/>
  <c r="U770" i="45"/>
  <c r="V770" i="45" s="1"/>
  <c r="U771" i="45"/>
  <c r="V771" i="45" s="1"/>
  <c r="U772" i="45"/>
  <c r="V772" i="45" s="1"/>
  <c r="U773" i="45"/>
  <c r="V773" i="45" s="1"/>
  <c r="U774" i="45"/>
  <c r="V774" i="45" s="1"/>
  <c r="U775" i="45"/>
  <c r="V775" i="45" s="1"/>
  <c r="U776" i="45"/>
  <c r="V776" i="45" s="1"/>
  <c r="U777" i="45"/>
  <c r="V777" i="45" s="1"/>
  <c r="U778" i="45"/>
  <c r="V778" i="45" s="1"/>
  <c r="U779" i="45"/>
  <c r="V779" i="45" s="1"/>
  <c r="U780" i="45"/>
  <c r="V780" i="45" s="1"/>
  <c r="U781" i="45"/>
  <c r="V781" i="45" s="1"/>
  <c r="U782" i="45"/>
  <c r="V782" i="45" s="1"/>
  <c r="U783" i="45"/>
  <c r="V783" i="45" s="1"/>
  <c r="U784" i="45"/>
  <c r="V784" i="45" s="1"/>
  <c r="U785" i="45"/>
  <c r="V785" i="45" s="1"/>
  <c r="U786" i="45"/>
  <c r="V786" i="45" s="1"/>
  <c r="U787" i="45"/>
  <c r="V787" i="45" s="1"/>
  <c r="U788" i="45"/>
  <c r="V788" i="45" s="1"/>
  <c r="U789" i="45"/>
  <c r="V789" i="45" s="1"/>
  <c r="U790" i="45"/>
  <c r="V790" i="45" s="1"/>
  <c r="U791" i="45"/>
  <c r="V791" i="45" s="1"/>
  <c r="U792" i="45"/>
  <c r="V792" i="45" s="1"/>
  <c r="U793" i="45"/>
  <c r="V793" i="45" s="1"/>
  <c r="U794" i="45"/>
  <c r="V794" i="45" s="1"/>
  <c r="U795" i="45"/>
  <c r="V795" i="45" s="1"/>
  <c r="U796" i="45"/>
  <c r="V796" i="45" s="1"/>
  <c r="U797" i="45"/>
  <c r="V797" i="45" s="1"/>
  <c r="U798" i="45"/>
  <c r="V798" i="45" s="1"/>
  <c r="U799" i="45"/>
  <c r="V799" i="45" s="1"/>
  <c r="U800" i="45"/>
  <c r="V800" i="45" s="1"/>
  <c r="U801" i="45"/>
  <c r="V801" i="45" s="1"/>
  <c r="U802" i="45"/>
  <c r="V802" i="45" s="1"/>
  <c r="U803" i="45"/>
  <c r="V803" i="45" s="1"/>
  <c r="U804" i="45"/>
  <c r="V804" i="45" s="1"/>
  <c r="U805" i="45"/>
  <c r="V805" i="45" s="1"/>
  <c r="U806" i="45"/>
  <c r="V806" i="45" s="1"/>
  <c r="U807" i="45"/>
  <c r="V807" i="45" s="1"/>
  <c r="U808" i="45"/>
  <c r="V808" i="45" s="1"/>
  <c r="U809" i="45"/>
  <c r="V809" i="45" s="1"/>
  <c r="U810" i="45"/>
  <c r="V810" i="45" s="1"/>
  <c r="U811" i="45"/>
  <c r="V811" i="45" s="1"/>
  <c r="U812" i="45"/>
  <c r="V812" i="45" s="1"/>
  <c r="U813" i="45"/>
  <c r="V813" i="45" s="1"/>
  <c r="U814" i="45"/>
  <c r="V814" i="45" s="1"/>
  <c r="U815" i="45"/>
  <c r="V815" i="45" s="1"/>
  <c r="U816" i="45"/>
  <c r="V816" i="45" s="1"/>
  <c r="U817" i="45"/>
  <c r="V817" i="45" s="1"/>
  <c r="U818" i="45"/>
  <c r="V818" i="45" s="1"/>
  <c r="U819" i="45"/>
  <c r="V819" i="45" s="1"/>
  <c r="U820" i="45"/>
  <c r="V820" i="45" s="1"/>
  <c r="U821" i="45"/>
  <c r="V821" i="45" s="1"/>
  <c r="U822" i="45"/>
  <c r="V822" i="45" s="1"/>
  <c r="U823" i="45"/>
  <c r="V823" i="45" s="1"/>
  <c r="U824" i="45"/>
  <c r="V824" i="45" s="1"/>
  <c r="U825" i="45"/>
  <c r="V825" i="45" s="1"/>
  <c r="U826" i="45"/>
  <c r="V826" i="45" s="1"/>
  <c r="U827" i="45"/>
  <c r="V827" i="45" s="1"/>
  <c r="U828" i="45"/>
  <c r="V828" i="45" s="1"/>
  <c r="U829" i="45"/>
  <c r="V829" i="45" s="1"/>
  <c r="U830" i="45"/>
  <c r="V830" i="45" s="1"/>
  <c r="U831" i="45"/>
  <c r="V831" i="45" s="1"/>
  <c r="U832" i="45"/>
  <c r="V832" i="45" s="1"/>
  <c r="U833" i="45"/>
  <c r="V833" i="45" s="1"/>
  <c r="U834" i="45"/>
  <c r="V834" i="45" s="1"/>
  <c r="U835" i="45"/>
  <c r="V835" i="45" s="1"/>
  <c r="U836" i="45"/>
  <c r="V836" i="45" s="1"/>
  <c r="U837" i="45"/>
  <c r="V837" i="45" s="1"/>
  <c r="U838" i="45"/>
  <c r="V838" i="45" s="1"/>
  <c r="U839" i="45"/>
  <c r="V839" i="45" s="1"/>
  <c r="U840" i="45"/>
  <c r="V840" i="45" s="1"/>
  <c r="U841" i="45"/>
  <c r="V841" i="45" s="1"/>
  <c r="U842" i="45"/>
  <c r="V842" i="45" s="1"/>
  <c r="U843" i="45"/>
  <c r="V843" i="45" s="1"/>
  <c r="U844" i="45"/>
  <c r="V844" i="45" s="1"/>
  <c r="U845" i="45"/>
  <c r="V845" i="45" s="1"/>
  <c r="U846" i="45"/>
  <c r="V846" i="45" s="1"/>
  <c r="U847" i="45"/>
  <c r="V847" i="45" s="1"/>
  <c r="U848" i="45"/>
  <c r="V848" i="45" s="1"/>
  <c r="U849" i="45"/>
  <c r="V849" i="45" s="1"/>
  <c r="U850" i="45"/>
  <c r="V850" i="45" s="1"/>
  <c r="U851" i="45"/>
  <c r="V851" i="45" s="1"/>
  <c r="U852" i="45"/>
  <c r="V852" i="45" s="1"/>
  <c r="U853" i="45"/>
  <c r="V853" i="45" s="1"/>
  <c r="U854" i="45"/>
  <c r="V854" i="45" s="1"/>
  <c r="U855" i="45"/>
  <c r="V855" i="45" s="1"/>
  <c r="U856" i="45"/>
  <c r="V856" i="45" s="1"/>
  <c r="U857" i="45"/>
  <c r="V857" i="45" s="1"/>
  <c r="U858" i="45"/>
  <c r="V858" i="45" s="1"/>
  <c r="U859" i="45"/>
  <c r="V859" i="45" s="1"/>
  <c r="U860" i="45"/>
  <c r="V860" i="45" s="1"/>
  <c r="U861" i="45"/>
  <c r="V861" i="45" s="1"/>
  <c r="U862" i="45"/>
  <c r="V862" i="45" s="1"/>
  <c r="U863" i="45"/>
  <c r="V863" i="45" s="1"/>
  <c r="U864" i="45"/>
  <c r="V864" i="45" s="1"/>
  <c r="U865" i="45"/>
  <c r="V865" i="45" s="1"/>
  <c r="U866" i="45"/>
  <c r="V866" i="45" s="1"/>
  <c r="U867" i="45"/>
  <c r="V867" i="45" s="1"/>
  <c r="U868" i="45"/>
  <c r="V868" i="45" s="1"/>
  <c r="U869" i="45"/>
  <c r="V869" i="45" s="1"/>
  <c r="U870" i="45"/>
  <c r="V870" i="45" s="1"/>
  <c r="U871" i="45"/>
  <c r="V871" i="45" s="1"/>
  <c r="U872" i="45"/>
  <c r="V872" i="45" s="1"/>
  <c r="U873" i="45"/>
  <c r="V873" i="45" s="1"/>
  <c r="U874" i="45"/>
  <c r="V874" i="45" s="1"/>
  <c r="U875" i="45"/>
  <c r="V875" i="45" s="1"/>
  <c r="U876" i="45"/>
  <c r="V876" i="45" s="1"/>
  <c r="U877" i="45"/>
  <c r="V877" i="45" s="1"/>
  <c r="U878" i="45"/>
  <c r="V878" i="45" s="1"/>
  <c r="U879" i="45"/>
  <c r="V879" i="45" s="1"/>
  <c r="U880" i="45"/>
  <c r="V880" i="45" s="1"/>
  <c r="U881" i="45"/>
  <c r="V881" i="45" s="1"/>
  <c r="U882" i="45"/>
  <c r="V882" i="45" s="1"/>
  <c r="U883" i="45"/>
  <c r="V883" i="45" s="1"/>
  <c r="U884" i="45"/>
  <c r="V884" i="45" s="1"/>
  <c r="U885" i="45"/>
  <c r="V885" i="45" s="1"/>
  <c r="U886" i="45"/>
  <c r="V886" i="45" s="1"/>
  <c r="U887" i="45"/>
  <c r="V887" i="45" s="1"/>
  <c r="U888" i="45"/>
  <c r="V888" i="45" s="1"/>
  <c r="U889" i="45"/>
  <c r="V889" i="45" s="1"/>
  <c r="U890" i="45"/>
  <c r="V890" i="45" s="1"/>
  <c r="U891" i="45"/>
  <c r="V891" i="45" s="1"/>
  <c r="U892" i="45"/>
  <c r="V892" i="45" s="1"/>
  <c r="U893" i="45"/>
  <c r="V893" i="45" s="1"/>
  <c r="U894" i="45"/>
  <c r="V894" i="45" s="1"/>
  <c r="U895" i="45"/>
  <c r="V895" i="45" s="1"/>
  <c r="U896" i="45"/>
  <c r="V896" i="45" s="1"/>
  <c r="U897" i="45"/>
  <c r="V897" i="45" s="1"/>
  <c r="U898" i="45"/>
  <c r="V898" i="45" s="1"/>
  <c r="U899" i="45"/>
  <c r="V899" i="45" s="1"/>
  <c r="U900" i="45"/>
  <c r="V900" i="45" s="1"/>
  <c r="U901" i="45"/>
  <c r="V901" i="45" s="1"/>
  <c r="U902" i="45"/>
  <c r="V902" i="45" s="1"/>
  <c r="U903" i="45"/>
  <c r="V903" i="45" s="1"/>
  <c r="U904" i="45"/>
  <c r="V904" i="45" s="1"/>
  <c r="U905" i="45"/>
  <c r="V905" i="45" s="1"/>
  <c r="U906" i="45"/>
  <c r="V906" i="45" s="1"/>
  <c r="U907" i="45"/>
  <c r="V907" i="45" s="1"/>
  <c r="U908" i="45"/>
  <c r="V908" i="45" s="1"/>
  <c r="U909" i="45"/>
  <c r="V909" i="45" s="1"/>
  <c r="U910" i="45"/>
  <c r="V910" i="45" s="1"/>
  <c r="U911" i="45"/>
  <c r="V911" i="45" s="1"/>
  <c r="U912" i="45"/>
  <c r="V912" i="45" s="1"/>
  <c r="U913" i="45"/>
  <c r="V913" i="45" s="1"/>
  <c r="U914" i="45"/>
  <c r="V914" i="45" s="1"/>
  <c r="U915" i="45"/>
  <c r="V915" i="45" s="1"/>
  <c r="U916" i="45"/>
  <c r="V916" i="45" s="1"/>
  <c r="U917" i="45"/>
  <c r="V917" i="45" s="1"/>
  <c r="U918" i="45"/>
  <c r="V918" i="45" s="1"/>
  <c r="U919" i="45"/>
  <c r="V919" i="45" s="1"/>
  <c r="U920" i="45"/>
  <c r="V920" i="45" s="1"/>
  <c r="U921" i="45"/>
  <c r="V921" i="45" s="1"/>
  <c r="U922" i="45"/>
  <c r="V922" i="45" s="1"/>
  <c r="U923" i="45"/>
  <c r="V923" i="45" s="1"/>
  <c r="U924" i="45"/>
  <c r="V924" i="45" s="1"/>
  <c r="U925" i="45"/>
  <c r="V925" i="45" s="1"/>
  <c r="U926" i="45"/>
  <c r="V926" i="45" s="1"/>
  <c r="U927" i="45"/>
  <c r="V927" i="45" s="1"/>
  <c r="U928" i="45"/>
  <c r="V928" i="45" s="1"/>
  <c r="U929" i="45"/>
  <c r="V929" i="45" s="1"/>
  <c r="U930" i="45"/>
  <c r="V930" i="45" s="1"/>
  <c r="U931" i="45"/>
  <c r="V931" i="45" s="1"/>
  <c r="U932" i="45"/>
  <c r="V932" i="45" s="1"/>
  <c r="U933" i="45"/>
  <c r="V933" i="45" s="1"/>
  <c r="U934" i="45"/>
  <c r="V934" i="45" s="1"/>
  <c r="U935" i="45"/>
  <c r="V935" i="45" s="1"/>
  <c r="U936" i="45"/>
  <c r="V936" i="45" s="1"/>
  <c r="U937" i="45"/>
  <c r="V937" i="45" s="1"/>
  <c r="U938" i="45"/>
  <c r="V938" i="45" s="1"/>
  <c r="U939" i="45"/>
  <c r="V939" i="45" s="1"/>
  <c r="U940" i="45"/>
  <c r="V940" i="45" s="1"/>
  <c r="U941" i="45"/>
  <c r="V941" i="45" s="1"/>
  <c r="U942" i="45"/>
  <c r="V942" i="45" s="1"/>
  <c r="U943" i="45"/>
  <c r="V943" i="45" s="1"/>
  <c r="U944" i="45"/>
  <c r="V944" i="45" s="1"/>
  <c r="U945" i="45"/>
  <c r="V945" i="45" s="1"/>
  <c r="U946" i="45"/>
  <c r="V946" i="45" s="1"/>
  <c r="U947" i="45"/>
  <c r="V947" i="45" s="1"/>
  <c r="U948" i="45"/>
  <c r="V948" i="45" s="1"/>
  <c r="U949" i="45"/>
  <c r="V949" i="45" s="1"/>
  <c r="U950" i="45"/>
  <c r="V950" i="45" s="1"/>
  <c r="U951" i="45"/>
  <c r="V951" i="45" s="1"/>
  <c r="U952" i="45"/>
  <c r="V952" i="45" s="1"/>
  <c r="U953" i="45"/>
  <c r="V953" i="45" s="1"/>
  <c r="U954" i="45"/>
  <c r="V954" i="45" s="1"/>
  <c r="U955" i="45"/>
  <c r="V955" i="45" s="1"/>
  <c r="U956" i="45"/>
  <c r="V956" i="45" s="1"/>
  <c r="U957" i="45"/>
  <c r="V957" i="45" s="1"/>
  <c r="U958" i="45"/>
  <c r="V958" i="45" s="1"/>
  <c r="U959" i="45"/>
  <c r="V959" i="45" s="1"/>
  <c r="U960" i="45"/>
  <c r="V960" i="45" s="1"/>
  <c r="U961" i="45"/>
  <c r="V961" i="45" s="1"/>
  <c r="U962" i="45"/>
  <c r="V962" i="45" s="1"/>
  <c r="U963" i="45"/>
  <c r="V963" i="45" s="1"/>
  <c r="U964" i="45"/>
  <c r="V964" i="45" s="1"/>
  <c r="U965" i="45"/>
  <c r="V965" i="45" s="1"/>
  <c r="U966" i="45"/>
  <c r="V966" i="45" s="1"/>
  <c r="U967" i="45"/>
  <c r="V967" i="45" s="1"/>
  <c r="U968" i="45"/>
  <c r="V968" i="45" s="1"/>
  <c r="U969" i="45"/>
  <c r="V969" i="45" s="1"/>
  <c r="U970" i="45"/>
  <c r="V970" i="45" s="1"/>
  <c r="U971" i="45"/>
  <c r="V971" i="45" s="1"/>
  <c r="U972" i="45"/>
  <c r="V972" i="45" s="1"/>
  <c r="U973" i="45"/>
  <c r="V973" i="45" s="1"/>
  <c r="U974" i="45"/>
  <c r="V974" i="45" s="1"/>
  <c r="U975" i="45"/>
  <c r="V975" i="45" s="1"/>
  <c r="U976" i="45"/>
  <c r="V976" i="45" s="1"/>
  <c r="U977" i="45"/>
  <c r="V977" i="45" s="1"/>
  <c r="U978" i="45"/>
  <c r="V978" i="45" s="1"/>
  <c r="U979" i="45"/>
  <c r="V979" i="45" s="1"/>
  <c r="U980" i="45"/>
  <c r="V980" i="45" s="1"/>
  <c r="U981" i="45"/>
  <c r="V981" i="45" s="1"/>
  <c r="U982" i="45"/>
  <c r="V982" i="45" s="1"/>
  <c r="U983" i="45"/>
  <c r="V983" i="45" s="1"/>
  <c r="U984" i="45"/>
  <c r="V984" i="45" s="1"/>
  <c r="U985" i="45"/>
  <c r="V985" i="45" s="1"/>
  <c r="U986" i="45"/>
  <c r="V986" i="45" s="1"/>
  <c r="U987" i="45"/>
  <c r="V987" i="45" s="1"/>
  <c r="U988" i="45"/>
  <c r="V988" i="45" s="1"/>
  <c r="U989" i="45"/>
  <c r="V989" i="45" s="1"/>
  <c r="U990" i="45"/>
  <c r="V990" i="45" s="1"/>
  <c r="U991" i="45"/>
  <c r="V991" i="45" s="1"/>
  <c r="U992" i="45"/>
  <c r="V992" i="45" s="1"/>
  <c r="U993" i="45"/>
  <c r="V993" i="45" s="1"/>
  <c r="U994" i="45"/>
  <c r="V994" i="45" s="1"/>
  <c r="U995" i="45"/>
  <c r="V995" i="45" s="1"/>
  <c r="U996" i="45"/>
  <c r="V996" i="45" s="1"/>
  <c r="U997" i="45"/>
  <c r="V997" i="45" s="1"/>
  <c r="U998" i="45"/>
  <c r="V998" i="45" s="1"/>
  <c r="U999" i="45"/>
  <c r="V999" i="45" s="1"/>
  <c r="U1000" i="45"/>
  <c r="V1000" i="45" s="1"/>
  <c r="U1001" i="45"/>
  <c r="V1001" i="45" s="1"/>
  <c r="U1002" i="45"/>
  <c r="V1002" i="45" s="1"/>
  <c r="U1003" i="45"/>
  <c r="V1003" i="45" s="1"/>
  <c r="U1004" i="45"/>
  <c r="V1004" i="45" s="1"/>
  <c r="U1005" i="45"/>
  <c r="V1005" i="45" s="1"/>
  <c r="U1006" i="45"/>
  <c r="V1006" i="45" s="1"/>
  <c r="U1007" i="45"/>
  <c r="V1007" i="45" s="1"/>
  <c r="U1008" i="45"/>
  <c r="V1008" i="45" s="1"/>
  <c r="U1009" i="45"/>
  <c r="V1009" i="45" s="1"/>
  <c r="U1010" i="45"/>
  <c r="V1010" i="45" s="1"/>
  <c r="U1011" i="45"/>
  <c r="V1011" i="45" s="1"/>
  <c r="U1012" i="45"/>
  <c r="V1012" i="45" s="1"/>
  <c r="U1013" i="45"/>
  <c r="V1013" i="45" s="1"/>
  <c r="U1014" i="45"/>
  <c r="V1014" i="45" s="1"/>
  <c r="U1015" i="45"/>
  <c r="V1015" i="45" s="1"/>
  <c r="U1016" i="45"/>
  <c r="V1016" i="45" s="1"/>
  <c r="U1017" i="45"/>
  <c r="V1017" i="45" s="1"/>
  <c r="U1018" i="45"/>
  <c r="V1018" i="45" s="1"/>
  <c r="U1019" i="45"/>
  <c r="V1019" i="45" s="1"/>
  <c r="U1020" i="45"/>
  <c r="V1020" i="45" s="1"/>
  <c r="U1021" i="45"/>
  <c r="V1021" i="45" s="1"/>
  <c r="U1022" i="45"/>
  <c r="V1022" i="45" s="1"/>
  <c r="U1023" i="45"/>
  <c r="V1023" i="45" s="1"/>
  <c r="U1024" i="45"/>
  <c r="V1024" i="45" s="1"/>
  <c r="U1025" i="45"/>
  <c r="V1025" i="45" s="1"/>
  <c r="U1026" i="45"/>
  <c r="V1026" i="45" s="1"/>
  <c r="U1027" i="45"/>
  <c r="V1027" i="45" s="1"/>
  <c r="U1028" i="45"/>
  <c r="V1028" i="45" s="1"/>
  <c r="U1029" i="45"/>
  <c r="V1029" i="45" s="1"/>
  <c r="U1030" i="45"/>
  <c r="V1030" i="45" s="1"/>
  <c r="U1031" i="45"/>
  <c r="V1031" i="45" s="1"/>
  <c r="U1032" i="45"/>
  <c r="V1032" i="45" s="1"/>
  <c r="U1033" i="45"/>
  <c r="V1033" i="45" s="1"/>
  <c r="U1034" i="45"/>
  <c r="V1034" i="45" s="1"/>
  <c r="U1035" i="45"/>
  <c r="V1035" i="45" s="1"/>
  <c r="U1036" i="45"/>
  <c r="V1036" i="45" s="1"/>
  <c r="U1037" i="45"/>
  <c r="V1037" i="45" s="1"/>
  <c r="U1038" i="45"/>
  <c r="V1038" i="45" s="1"/>
  <c r="U1039" i="45"/>
  <c r="V1039" i="45" s="1"/>
  <c r="U1040" i="45"/>
  <c r="V1040" i="45" s="1"/>
  <c r="U1041" i="45"/>
  <c r="V1041" i="45" s="1"/>
  <c r="U1042" i="45"/>
  <c r="V1042" i="45" s="1"/>
  <c r="U1043" i="45"/>
  <c r="V1043" i="45" s="1"/>
  <c r="U1044" i="45"/>
  <c r="V1044" i="45" s="1"/>
  <c r="U1045" i="45"/>
  <c r="V1045" i="45" s="1"/>
  <c r="U1046" i="45"/>
  <c r="V1046" i="45" s="1"/>
  <c r="U1047" i="45"/>
  <c r="V1047" i="45" s="1"/>
  <c r="U1048" i="45"/>
  <c r="V1048" i="45" s="1"/>
  <c r="U1049" i="45"/>
  <c r="V1049" i="45" s="1"/>
  <c r="U1050" i="45"/>
  <c r="V1050" i="45" s="1"/>
  <c r="U1051" i="45"/>
  <c r="V1051" i="45" s="1"/>
  <c r="U1052" i="45"/>
  <c r="V1052" i="45" s="1"/>
  <c r="U1053" i="45"/>
  <c r="V1053" i="45" s="1"/>
  <c r="U1054" i="45"/>
  <c r="V1054" i="45" s="1"/>
  <c r="U1055" i="45"/>
  <c r="V1055" i="45" s="1"/>
  <c r="U1056" i="45"/>
  <c r="V1056" i="45" s="1"/>
  <c r="U1057" i="45"/>
  <c r="V1057" i="45" s="1"/>
  <c r="U1058" i="45"/>
  <c r="V1058" i="45" s="1"/>
  <c r="U1059" i="45"/>
  <c r="V1059" i="45" s="1"/>
  <c r="U1060" i="45"/>
  <c r="V1060" i="45" s="1"/>
  <c r="U1061" i="45"/>
  <c r="V1061" i="45" s="1"/>
  <c r="U1062" i="45"/>
  <c r="V1062" i="45" s="1"/>
  <c r="U1063" i="45"/>
  <c r="V1063" i="45" s="1"/>
  <c r="U1064" i="45"/>
  <c r="V1064" i="45" s="1"/>
  <c r="U1065" i="45"/>
  <c r="V1065" i="45" s="1"/>
  <c r="U1066" i="45"/>
  <c r="V1066" i="45" s="1"/>
  <c r="U1067" i="45"/>
  <c r="V1067" i="45" s="1"/>
  <c r="U1068" i="45"/>
  <c r="V1068" i="45" s="1"/>
  <c r="U1069" i="45"/>
  <c r="V1069" i="45" s="1"/>
  <c r="U1070" i="45"/>
  <c r="V1070" i="45" s="1"/>
  <c r="U1071" i="45"/>
  <c r="V1071" i="45" s="1"/>
  <c r="U1072" i="45"/>
  <c r="V1072" i="45" s="1"/>
  <c r="U1073" i="45"/>
  <c r="V1073" i="45" s="1"/>
  <c r="U1074" i="45"/>
  <c r="V1074" i="45" s="1"/>
  <c r="U1075" i="45"/>
  <c r="V1075" i="45" s="1"/>
  <c r="U1076" i="45"/>
  <c r="V1076" i="45" s="1"/>
  <c r="U1077" i="45"/>
  <c r="V1077" i="45" s="1"/>
  <c r="U1078" i="45"/>
  <c r="V1078" i="45" s="1"/>
  <c r="U1079" i="45"/>
  <c r="V1079" i="45" s="1"/>
  <c r="U1080" i="45"/>
  <c r="V1080" i="45" s="1"/>
  <c r="U1081" i="45"/>
  <c r="V1081" i="45" s="1"/>
  <c r="U1082" i="45"/>
  <c r="V1082" i="45" s="1"/>
  <c r="U1083" i="45"/>
  <c r="V1083" i="45" s="1"/>
  <c r="U1084" i="45"/>
  <c r="V1084" i="45" s="1"/>
  <c r="U1085" i="45"/>
  <c r="V1085" i="45" s="1"/>
  <c r="U1086" i="45"/>
  <c r="V1086" i="45" s="1"/>
  <c r="U1087" i="45"/>
  <c r="V1087" i="45" s="1"/>
  <c r="U1088" i="45"/>
  <c r="V1088" i="45" s="1"/>
  <c r="U1089" i="45"/>
  <c r="V1089" i="45" s="1"/>
  <c r="U1090" i="45"/>
  <c r="V1090" i="45" s="1"/>
  <c r="U1091" i="45"/>
  <c r="V1091" i="45" s="1"/>
  <c r="U1092" i="45"/>
  <c r="V1092" i="45" s="1"/>
  <c r="U1093" i="45"/>
  <c r="V1093" i="45" s="1"/>
  <c r="U1094" i="45"/>
  <c r="V1094" i="45" s="1"/>
  <c r="U1095" i="45"/>
  <c r="V1095" i="45" s="1"/>
  <c r="U1096" i="45"/>
  <c r="V1096" i="45" s="1"/>
  <c r="U1097" i="45"/>
  <c r="V1097" i="45" s="1"/>
  <c r="U1098" i="45"/>
  <c r="V1098" i="45" s="1"/>
  <c r="U1099" i="45"/>
  <c r="V1099" i="45" s="1"/>
  <c r="U1100" i="45"/>
  <c r="V1100" i="45" s="1"/>
  <c r="U1101" i="45"/>
  <c r="V1101" i="45" s="1"/>
  <c r="U1102" i="45"/>
  <c r="V1102" i="45" s="1"/>
  <c r="U1103" i="45"/>
  <c r="V1103" i="45" s="1"/>
  <c r="U1104" i="45"/>
  <c r="V1104" i="45" s="1"/>
  <c r="U1105" i="45"/>
  <c r="V1105" i="45" s="1"/>
  <c r="U1106" i="45"/>
  <c r="V1106" i="45" s="1"/>
  <c r="U1107" i="45"/>
  <c r="V1107" i="45" s="1"/>
  <c r="U1108" i="45"/>
  <c r="V1108" i="45" s="1"/>
  <c r="U1109" i="45"/>
  <c r="V1109" i="45" s="1"/>
  <c r="U1110" i="45"/>
  <c r="V1110" i="45" s="1"/>
  <c r="U1111" i="45"/>
  <c r="V1111" i="45" s="1"/>
  <c r="U1112" i="45"/>
  <c r="V1112" i="45" s="1"/>
  <c r="U1113" i="45"/>
  <c r="V1113" i="45" s="1"/>
  <c r="U1114" i="45"/>
  <c r="V1114" i="45" s="1"/>
  <c r="U1115" i="45"/>
  <c r="V1115" i="45" s="1"/>
  <c r="U1116" i="45"/>
  <c r="V1116" i="45" s="1"/>
  <c r="U1117" i="45"/>
  <c r="V1117" i="45" s="1"/>
  <c r="U1118" i="45"/>
  <c r="V1118" i="45" s="1"/>
  <c r="U1119" i="45"/>
  <c r="V1119" i="45" s="1"/>
  <c r="U1120" i="45"/>
  <c r="V1120" i="45" s="1"/>
  <c r="U1121" i="45"/>
  <c r="V1121" i="45" s="1"/>
  <c r="U1122" i="45"/>
  <c r="V1122" i="45" s="1"/>
  <c r="U1123" i="45"/>
  <c r="V1123" i="45" s="1"/>
  <c r="U1124" i="45"/>
  <c r="V1124" i="45" s="1"/>
  <c r="U1125" i="45"/>
  <c r="V1125" i="45" s="1"/>
  <c r="U1126" i="45"/>
  <c r="V1126" i="45" s="1"/>
  <c r="U1127" i="45"/>
  <c r="V1127" i="45" s="1"/>
  <c r="U1128" i="45"/>
  <c r="V1128" i="45" s="1"/>
  <c r="U1129" i="45"/>
  <c r="V1129" i="45" s="1"/>
  <c r="U1130" i="45"/>
  <c r="V1130" i="45" s="1"/>
  <c r="U1131" i="45"/>
  <c r="V1131" i="45" s="1"/>
  <c r="U1132" i="45"/>
  <c r="V1132" i="45" s="1"/>
  <c r="U1133" i="45"/>
  <c r="V1133" i="45" s="1"/>
  <c r="U1134" i="45"/>
  <c r="V1134" i="45" s="1"/>
  <c r="U1135" i="45"/>
  <c r="V1135" i="45" s="1"/>
  <c r="U1136" i="45"/>
  <c r="V1136" i="45" s="1"/>
  <c r="U1137" i="45"/>
  <c r="V1137" i="45" s="1"/>
  <c r="U1138" i="45"/>
  <c r="V1138" i="45" s="1"/>
  <c r="U1139" i="45"/>
  <c r="V1139" i="45" s="1"/>
  <c r="U1140" i="45"/>
  <c r="V1140" i="45" s="1"/>
  <c r="U1141" i="45"/>
  <c r="V1141" i="45" s="1"/>
  <c r="U1142" i="45"/>
  <c r="V1142" i="45" s="1"/>
  <c r="U1143" i="45"/>
  <c r="V1143" i="45" s="1"/>
  <c r="U1144" i="45"/>
  <c r="V1144" i="45" s="1"/>
  <c r="U1145" i="45"/>
  <c r="V1145" i="45" s="1"/>
  <c r="U1146" i="45"/>
  <c r="V1146" i="45" s="1"/>
  <c r="U1147" i="45"/>
  <c r="V1147" i="45" s="1"/>
  <c r="U1148" i="45"/>
  <c r="V1148" i="45" s="1"/>
  <c r="U1149" i="45"/>
  <c r="V1149" i="45" s="1"/>
  <c r="U1150" i="45"/>
  <c r="V1150" i="45" s="1"/>
  <c r="U1151" i="45"/>
  <c r="V1151" i="45" s="1"/>
  <c r="U1152" i="45"/>
  <c r="V1152" i="45" s="1"/>
  <c r="U1153" i="45"/>
  <c r="V1153" i="45" s="1"/>
  <c r="U1154" i="45"/>
  <c r="V1154" i="45" s="1"/>
  <c r="U1155" i="45"/>
  <c r="V1155" i="45" s="1"/>
  <c r="U1156" i="45"/>
  <c r="V1156" i="45" s="1"/>
  <c r="U1157" i="45"/>
  <c r="V1157" i="45" s="1"/>
  <c r="U1158" i="45"/>
  <c r="V1158" i="45" s="1"/>
  <c r="U1159" i="45"/>
  <c r="V1159" i="45" s="1"/>
  <c r="U1160" i="45"/>
  <c r="V1160" i="45" s="1"/>
  <c r="U1161" i="45"/>
  <c r="V1161" i="45" s="1"/>
  <c r="U1162" i="45"/>
  <c r="V1162" i="45" s="1"/>
  <c r="U1163" i="45"/>
  <c r="V1163" i="45" s="1"/>
  <c r="U1164" i="45"/>
  <c r="V1164" i="45" s="1"/>
  <c r="U1165" i="45"/>
  <c r="V1165" i="45" s="1"/>
  <c r="U1166" i="45"/>
  <c r="V1166" i="45" s="1"/>
  <c r="U1167" i="45"/>
  <c r="V1167" i="45" s="1"/>
  <c r="U1168" i="45"/>
  <c r="V1168" i="45" s="1"/>
  <c r="U1169" i="45"/>
  <c r="V1169" i="45" s="1"/>
  <c r="U1170" i="45"/>
  <c r="V1170" i="45" s="1"/>
  <c r="U1171" i="45"/>
  <c r="V1171" i="45" s="1"/>
  <c r="U1172" i="45"/>
  <c r="V1172" i="45" s="1"/>
  <c r="U1173" i="45"/>
  <c r="V1173" i="45" s="1"/>
  <c r="U1174" i="45"/>
  <c r="V1174" i="45" s="1"/>
  <c r="U1175" i="45"/>
  <c r="V1175" i="45" s="1"/>
  <c r="U1176" i="45"/>
  <c r="V1176" i="45" s="1"/>
  <c r="U1177" i="45"/>
  <c r="V1177" i="45" s="1"/>
  <c r="U1178" i="45"/>
  <c r="V1178" i="45" s="1"/>
  <c r="U1179" i="45"/>
  <c r="V1179" i="45" s="1"/>
  <c r="U1180" i="45"/>
  <c r="V1180" i="45" s="1"/>
  <c r="U1181" i="45"/>
  <c r="V1181" i="45" s="1"/>
  <c r="U1182" i="45"/>
  <c r="V1182" i="45" s="1"/>
  <c r="U1183" i="45"/>
  <c r="V1183" i="45" s="1"/>
  <c r="U1184" i="45"/>
  <c r="V1184" i="45" s="1"/>
  <c r="U1185" i="45"/>
  <c r="V1185" i="45" s="1"/>
  <c r="U1186" i="45"/>
  <c r="V1186" i="45" s="1"/>
  <c r="U1187" i="45"/>
  <c r="V1187" i="45" s="1"/>
  <c r="U1188" i="45"/>
  <c r="V1188" i="45" s="1"/>
  <c r="U1189" i="45"/>
  <c r="V1189" i="45" s="1"/>
  <c r="U1190" i="45"/>
  <c r="V1190" i="45" s="1"/>
  <c r="U1191" i="45"/>
  <c r="V1191" i="45" s="1"/>
  <c r="U1192" i="45"/>
  <c r="V1192" i="45" s="1"/>
  <c r="U1193" i="45"/>
  <c r="V1193" i="45" s="1"/>
  <c r="U1194" i="45"/>
  <c r="V1194" i="45" s="1"/>
  <c r="U1195" i="45"/>
  <c r="V1195" i="45" s="1"/>
  <c r="U1196" i="45"/>
  <c r="V1196" i="45" s="1"/>
  <c r="U1197" i="45"/>
  <c r="V1197" i="45" s="1"/>
  <c r="U1198" i="45"/>
  <c r="V1198" i="45" s="1"/>
  <c r="U1199" i="45"/>
  <c r="V1199" i="45" s="1"/>
  <c r="U1200" i="45"/>
  <c r="V1200" i="45" s="1"/>
  <c r="U1201" i="45"/>
  <c r="V1201" i="45" s="1"/>
  <c r="U1202" i="45"/>
  <c r="V1202" i="45" s="1"/>
  <c r="U1203" i="45"/>
  <c r="V1203" i="45" s="1"/>
  <c r="U1204" i="45"/>
  <c r="V1204" i="45" s="1"/>
  <c r="U1205" i="45"/>
  <c r="V1205" i="45" s="1"/>
  <c r="U1206" i="45"/>
  <c r="V1206" i="45" s="1"/>
  <c r="U1207" i="45"/>
  <c r="V1207" i="45" s="1"/>
  <c r="U1208" i="45"/>
  <c r="V1208" i="45" s="1"/>
  <c r="U1209" i="45"/>
  <c r="V1209" i="45" s="1"/>
  <c r="U1210" i="45"/>
  <c r="V1210" i="45" s="1"/>
  <c r="U1211" i="45"/>
  <c r="V1211" i="45" s="1"/>
  <c r="U1212" i="45"/>
  <c r="V1212" i="45" s="1"/>
  <c r="U1213" i="45"/>
  <c r="V1213" i="45" s="1"/>
  <c r="U1214" i="45"/>
  <c r="V1214" i="45" s="1"/>
  <c r="U1215" i="45"/>
  <c r="V1215" i="45" s="1"/>
  <c r="U1216" i="45"/>
  <c r="V1216" i="45" s="1"/>
  <c r="U1217" i="45"/>
  <c r="V1217" i="45" s="1"/>
  <c r="U1218" i="45"/>
  <c r="V1218" i="45" s="1"/>
  <c r="U1219" i="45"/>
  <c r="V1219" i="45" s="1"/>
  <c r="U1220" i="45"/>
  <c r="V1220" i="45" s="1"/>
  <c r="U1221" i="45"/>
  <c r="V1221" i="45" s="1"/>
  <c r="U1222" i="45"/>
  <c r="V1222" i="45" s="1"/>
  <c r="U1223" i="45"/>
  <c r="V1223" i="45" s="1"/>
  <c r="U1224" i="45"/>
  <c r="V1224" i="45" s="1"/>
  <c r="U1225" i="45"/>
  <c r="V1225" i="45" s="1"/>
  <c r="U1226" i="45"/>
  <c r="V1226" i="45" s="1"/>
  <c r="U1227" i="45"/>
  <c r="V1227" i="45" s="1"/>
  <c r="U1228" i="45"/>
  <c r="V1228" i="45" s="1"/>
  <c r="U1229" i="45"/>
  <c r="V1229" i="45" s="1"/>
  <c r="U1230" i="45"/>
  <c r="V1230" i="45" s="1"/>
  <c r="U1231" i="45"/>
  <c r="V1231" i="45" s="1"/>
  <c r="U1232" i="45"/>
  <c r="V1232" i="45" s="1"/>
  <c r="U1233" i="45"/>
  <c r="V1233" i="45" s="1"/>
  <c r="U1234" i="45"/>
  <c r="V1234" i="45" s="1"/>
  <c r="U1235" i="45"/>
  <c r="V1235" i="45" s="1"/>
  <c r="U1236" i="45"/>
  <c r="V1236" i="45" s="1"/>
  <c r="U1237" i="45"/>
  <c r="V1237" i="45" s="1"/>
  <c r="U1238" i="45"/>
  <c r="V1238" i="45" s="1"/>
  <c r="U1239" i="45"/>
  <c r="V1239" i="45" s="1"/>
  <c r="U1240" i="45"/>
  <c r="V1240" i="45" s="1"/>
  <c r="U1241" i="45"/>
  <c r="V1241" i="45" s="1"/>
  <c r="U1242" i="45"/>
  <c r="V1242" i="45" s="1"/>
  <c r="U1243" i="45"/>
  <c r="V1243" i="45" s="1"/>
  <c r="U1244" i="45"/>
  <c r="V1244" i="45" s="1"/>
  <c r="U1245" i="45"/>
  <c r="V1245" i="45" s="1"/>
  <c r="U1246" i="45"/>
  <c r="V1246" i="45" s="1"/>
  <c r="U1247" i="45"/>
  <c r="V1247" i="45" s="1"/>
  <c r="U1248" i="45"/>
  <c r="V1248" i="45" s="1"/>
  <c r="U1249" i="45"/>
  <c r="V1249" i="45" s="1"/>
  <c r="U1250" i="45"/>
  <c r="V1250" i="45" s="1"/>
  <c r="U1251" i="45"/>
  <c r="V1251" i="45" s="1"/>
  <c r="U1252" i="45"/>
  <c r="V1252" i="45" s="1"/>
  <c r="U1253" i="45"/>
  <c r="V1253" i="45" s="1"/>
  <c r="U1254" i="45"/>
  <c r="V1254" i="45" s="1"/>
  <c r="U1255" i="45"/>
  <c r="V1255" i="45" s="1"/>
  <c r="U1256" i="45"/>
  <c r="V1256" i="45" s="1"/>
  <c r="U1257" i="45"/>
  <c r="V1257" i="45" s="1"/>
  <c r="U1258" i="45"/>
  <c r="V1258" i="45" s="1"/>
  <c r="U1259" i="45"/>
  <c r="V1259" i="45" s="1"/>
  <c r="U1260" i="45"/>
  <c r="V1260" i="45" s="1"/>
  <c r="U1261" i="45"/>
  <c r="V1261" i="45" s="1"/>
  <c r="U1262" i="45"/>
  <c r="V1262" i="45" s="1"/>
  <c r="U1263" i="45"/>
  <c r="V1263" i="45" s="1"/>
  <c r="U1264" i="45"/>
  <c r="V1264" i="45" s="1"/>
  <c r="U1265" i="45"/>
  <c r="V1265" i="45" s="1"/>
  <c r="U1266" i="45"/>
  <c r="V1266" i="45" s="1"/>
  <c r="U1267" i="45"/>
  <c r="V1267" i="45" s="1"/>
  <c r="U1268" i="45"/>
  <c r="V1268" i="45" s="1"/>
  <c r="U1269" i="45"/>
  <c r="V1269" i="45" s="1"/>
  <c r="U1270" i="45"/>
  <c r="V1270" i="45" s="1"/>
  <c r="U1271" i="45"/>
  <c r="V1271" i="45" s="1"/>
  <c r="U1272" i="45"/>
  <c r="V1272" i="45" s="1"/>
  <c r="U1273" i="45"/>
  <c r="V1273" i="45" s="1"/>
  <c r="U1274" i="45"/>
  <c r="V1274" i="45" s="1"/>
  <c r="U1275" i="45"/>
  <c r="V1275" i="45" s="1"/>
  <c r="U1276" i="45"/>
  <c r="V1276" i="45" s="1"/>
  <c r="U1277" i="45"/>
  <c r="V1277" i="45" s="1"/>
  <c r="U1278" i="45"/>
  <c r="V1278" i="45" s="1"/>
  <c r="U1279" i="45"/>
  <c r="V1279" i="45" s="1"/>
  <c r="U1280" i="45"/>
  <c r="V1280" i="45" s="1"/>
  <c r="U1281" i="45"/>
  <c r="V1281" i="45" s="1"/>
  <c r="U1282" i="45"/>
  <c r="V1282" i="45" s="1"/>
  <c r="U1283" i="45"/>
  <c r="V1283" i="45" s="1"/>
  <c r="U1284" i="45"/>
  <c r="V1284" i="45" s="1"/>
  <c r="U1285" i="45"/>
  <c r="V1285" i="45" s="1"/>
  <c r="U1286" i="45"/>
  <c r="V1286" i="45" s="1"/>
  <c r="U1287" i="45"/>
  <c r="V1287" i="45" s="1"/>
  <c r="U1288" i="45"/>
  <c r="V1288" i="45" s="1"/>
  <c r="U1289" i="45"/>
  <c r="V1289" i="45" s="1"/>
  <c r="U1290" i="45"/>
  <c r="V1290" i="45" s="1"/>
  <c r="U1291" i="45"/>
  <c r="V1291" i="45" s="1"/>
  <c r="U1292" i="45"/>
  <c r="V1292" i="45" s="1"/>
  <c r="U1293" i="45"/>
  <c r="V1293" i="45" s="1"/>
  <c r="U1294" i="45"/>
  <c r="V1294" i="45" s="1"/>
  <c r="U1295" i="45"/>
  <c r="V1295" i="45" s="1"/>
  <c r="U1296" i="45"/>
  <c r="V1296" i="45" s="1"/>
  <c r="U1297" i="45"/>
  <c r="V1297" i="45" s="1"/>
  <c r="U1298" i="45"/>
  <c r="V1298" i="45" s="1"/>
  <c r="U1299" i="45"/>
  <c r="V1299" i="45" s="1"/>
  <c r="U1300" i="45"/>
  <c r="V1300" i="45" s="1"/>
  <c r="U1301" i="45"/>
  <c r="V1301" i="45" s="1"/>
  <c r="U1302" i="45"/>
  <c r="V1302" i="45" s="1"/>
  <c r="U1303" i="45"/>
  <c r="V1303" i="45" s="1"/>
  <c r="U1304" i="45"/>
  <c r="V1304" i="45" s="1"/>
  <c r="U1305" i="45"/>
  <c r="V1305" i="45" s="1"/>
  <c r="U1306" i="45"/>
  <c r="V1306" i="45" s="1"/>
  <c r="U1307" i="45"/>
  <c r="V1307" i="45" s="1"/>
  <c r="U1308" i="45"/>
  <c r="V1308" i="45" s="1"/>
  <c r="U1309" i="45"/>
  <c r="V1309" i="45" s="1"/>
  <c r="U1310" i="45"/>
  <c r="V1310" i="45" s="1"/>
  <c r="U1311" i="45"/>
  <c r="V1311" i="45" s="1"/>
  <c r="U1312" i="45"/>
  <c r="V1312" i="45" s="1"/>
  <c r="U1313" i="45"/>
  <c r="V1313" i="45" s="1"/>
  <c r="U1314" i="45"/>
  <c r="V1314" i="45" s="1"/>
  <c r="U1315" i="45"/>
  <c r="V1315" i="45" s="1"/>
  <c r="U1316" i="45"/>
  <c r="V1316" i="45" s="1"/>
  <c r="U1317" i="45"/>
  <c r="V1317" i="45" s="1"/>
  <c r="U1318" i="45"/>
  <c r="V1318" i="45" s="1"/>
  <c r="U1319" i="45"/>
  <c r="V1319" i="45" s="1"/>
  <c r="U1320" i="45"/>
  <c r="V1320" i="45" s="1"/>
  <c r="U1321" i="45"/>
  <c r="V1321" i="45" s="1"/>
  <c r="U1322" i="45"/>
  <c r="V1322" i="45" s="1"/>
  <c r="U1323" i="45"/>
  <c r="V1323" i="45" s="1"/>
  <c r="U1324" i="45"/>
  <c r="V1324" i="45" s="1"/>
  <c r="U1325" i="45"/>
  <c r="V1325" i="45" s="1"/>
  <c r="U1326" i="45"/>
  <c r="V1326" i="45" s="1"/>
  <c r="U1327" i="45"/>
  <c r="V1327" i="45" s="1"/>
  <c r="U1328" i="45"/>
  <c r="V1328" i="45" s="1"/>
  <c r="U1329" i="45"/>
  <c r="V1329" i="45" s="1"/>
  <c r="U1330" i="45"/>
  <c r="V1330" i="45" s="1"/>
  <c r="U1331" i="45"/>
  <c r="V1331" i="45" s="1"/>
  <c r="U1332" i="45"/>
  <c r="V1332" i="45" s="1"/>
  <c r="U1333" i="45"/>
  <c r="V1333" i="45" s="1"/>
  <c r="U1334" i="45"/>
  <c r="V1334" i="45" s="1"/>
  <c r="U1335" i="45"/>
  <c r="V1335" i="45" s="1"/>
  <c r="U1336" i="45"/>
  <c r="V1336" i="45" s="1"/>
  <c r="U1337" i="45"/>
  <c r="V1337" i="45" s="1"/>
  <c r="U1338" i="45"/>
  <c r="V1338" i="45" s="1"/>
  <c r="U1339" i="45"/>
  <c r="V1339" i="45" s="1"/>
  <c r="U1340" i="45"/>
  <c r="V1340" i="45" s="1"/>
  <c r="U1341" i="45"/>
  <c r="V1341" i="45" s="1"/>
  <c r="U1342" i="45"/>
  <c r="V1342" i="45" s="1"/>
  <c r="U1343" i="45"/>
  <c r="V1343" i="45" s="1"/>
  <c r="U1344" i="45"/>
  <c r="V1344" i="45" s="1"/>
  <c r="U1345" i="45"/>
  <c r="V1345" i="45" s="1"/>
  <c r="U1346" i="45"/>
  <c r="V1346" i="45" s="1"/>
  <c r="U1347" i="45"/>
  <c r="V1347" i="45" s="1"/>
  <c r="U1348" i="45"/>
  <c r="V1348" i="45" s="1"/>
  <c r="U1349" i="45"/>
  <c r="V1349" i="45" s="1"/>
  <c r="U1350" i="45"/>
  <c r="V1350" i="45" s="1"/>
  <c r="U1351" i="45"/>
  <c r="V1351" i="45" s="1"/>
  <c r="U1352" i="45"/>
  <c r="V1352" i="45" s="1"/>
  <c r="U1353" i="45"/>
  <c r="V1353" i="45" s="1"/>
  <c r="U1354" i="45"/>
  <c r="V1354" i="45" s="1"/>
  <c r="U1355" i="45"/>
  <c r="V1355" i="45" s="1"/>
  <c r="U1356" i="45"/>
  <c r="V1356" i="45" s="1"/>
  <c r="U1357" i="45"/>
  <c r="V1357" i="45" s="1"/>
  <c r="U1358" i="45"/>
  <c r="V1358" i="45" s="1"/>
  <c r="U1359" i="45"/>
  <c r="V1359" i="45" s="1"/>
  <c r="U1360" i="45"/>
  <c r="V1360" i="45" s="1"/>
  <c r="U1361" i="45"/>
  <c r="V1361" i="45" s="1"/>
  <c r="U1362" i="45"/>
  <c r="V1362" i="45" s="1"/>
  <c r="U1363" i="45"/>
  <c r="V1363" i="45" s="1"/>
  <c r="U1364" i="45"/>
  <c r="V1364" i="45" s="1"/>
  <c r="U1365" i="45"/>
  <c r="V1365" i="45" s="1"/>
  <c r="U1366" i="45"/>
  <c r="V1366" i="45" s="1"/>
  <c r="U1367" i="45"/>
  <c r="V1367" i="45" s="1"/>
  <c r="U1368" i="45"/>
  <c r="V1368" i="45" s="1"/>
  <c r="U1369" i="45"/>
  <c r="V1369" i="45" s="1"/>
  <c r="U1370" i="45"/>
  <c r="V1370" i="45" s="1"/>
  <c r="U1371" i="45"/>
  <c r="V1371" i="45" s="1"/>
  <c r="U1372" i="45"/>
  <c r="V1372" i="45" s="1"/>
  <c r="U1373" i="45"/>
  <c r="V1373" i="45" s="1"/>
  <c r="U1374" i="45"/>
  <c r="V1374" i="45" s="1"/>
  <c r="U1375" i="45"/>
  <c r="V1375" i="45" s="1"/>
  <c r="U1376" i="45"/>
  <c r="V1376" i="45" s="1"/>
  <c r="U1377" i="45"/>
  <c r="V1377" i="45" s="1"/>
  <c r="U1378" i="45"/>
  <c r="V1378" i="45" s="1"/>
  <c r="U1379" i="45"/>
  <c r="V1379" i="45" s="1"/>
  <c r="U1380" i="45"/>
  <c r="V1380" i="45" s="1"/>
  <c r="U1381" i="45"/>
  <c r="V1381" i="45" s="1"/>
  <c r="U1382" i="45"/>
  <c r="V1382" i="45" s="1"/>
  <c r="U1383" i="45"/>
  <c r="V1383" i="45" s="1"/>
  <c r="U1384" i="45"/>
  <c r="V1384" i="45" s="1"/>
  <c r="U1385" i="45"/>
  <c r="V1385" i="45" s="1"/>
  <c r="U1386" i="45"/>
  <c r="V1386" i="45" s="1"/>
  <c r="U1387" i="45"/>
  <c r="V1387" i="45" s="1"/>
  <c r="U1388" i="45"/>
  <c r="V1388" i="45" s="1"/>
  <c r="U1389" i="45"/>
  <c r="V1389" i="45" s="1"/>
  <c r="U1390" i="45"/>
  <c r="V1390" i="45" s="1"/>
  <c r="U1391" i="45"/>
  <c r="V1391" i="45" s="1"/>
  <c r="U1392" i="45"/>
  <c r="V1392" i="45" s="1"/>
  <c r="U1393" i="45"/>
  <c r="V1393" i="45" s="1"/>
  <c r="U1394" i="45"/>
  <c r="V1394" i="45" s="1"/>
  <c r="U1395" i="45"/>
  <c r="V1395" i="45" s="1"/>
  <c r="U1396" i="45"/>
  <c r="V1396" i="45" s="1"/>
  <c r="U1397" i="45"/>
  <c r="V1397" i="45" s="1"/>
  <c r="U1398" i="45"/>
  <c r="V1398" i="45" s="1"/>
  <c r="U1399" i="45"/>
  <c r="V1399" i="45" s="1"/>
  <c r="U1400" i="45"/>
  <c r="V1400" i="45" s="1"/>
  <c r="U1401" i="45"/>
  <c r="V1401" i="45" s="1"/>
  <c r="U1402" i="45"/>
  <c r="V1402" i="45" s="1"/>
  <c r="U1403" i="45"/>
  <c r="V1403" i="45" s="1"/>
  <c r="U1404" i="45"/>
  <c r="V1404" i="45" s="1"/>
  <c r="U1405" i="45"/>
  <c r="V1405" i="45" s="1"/>
  <c r="U1406" i="45"/>
  <c r="V1406" i="45" s="1"/>
  <c r="U1407" i="45"/>
  <c r="V1407" i="45" s="1"/>
  <c r="U1408" i="45"/>
  <c r="V1408" i="45" s="1"/>
  <c r="U1409" i="45"/>
  <c r="V1409" i="45" s="1"/>
  <c r="U1410" i="45"/>
  <c r="V1410" i="45" s="1"/>
  <c r="U1411" i="45"/>
  <c r="V1411" i="45" s="1"/>
  <c r="U1412" i="45"/>
  <c r="V1412" i="45" s="1"/>
  <c r="U1413" i="45"/>
  <c r="V1413" i="45" s="1"/>
  <c r="U1414" i="45"/>
  <c r="V1414" i="45" s="1"/>
  <c r="U1415" i="45"/>
  <c r="V1415" i="45" s="1"/>
  <c r="U1416" i="45"/>
  <c r="V1416" i="45" s="1"/>
  <c r="U1417" i="45"/>
  <c r="V1417" i="45" s="1"/>
  <c r="U1418" i="45"/>
  <c r="V1418" i="45" s="1"/>
  <c r="U1419" i="45"/>
  <c r="V1419" i="45" s="1"/>
  <c r="U1420" i="45"/>
  <c r="V1420" i="45" s="1"/>
  <c r="U1421" i="45"/>
  <c r="V1421" i="45" s="1"/>
  <c r="U1422" i="45"/>
  <c r="V1422" i="45" s="1"/>
  <c r="U1423" i="45"/>
  <c r="V1423" i="45" s="1"/>
  <c r="U1424" i="45"/>
  <c r="V1424" i="45" s="1"/>
  <c r="U1425" i="45"/>
  <c r="V1425" i="45" s="1"/>
  <c r="U1426" i="45"/>
  <c r="V1426" i="45" s="1"/>
  <c r="U1427" i="45"/>
  <c r="V1427" i="45" s="1"/>
  <c r="U1428" i="45"/>
  <c r="V1428" i="45" s="1"/>
  <c r="U1429" i="45"/>
  <c r="V1429" i="45" s="1"/>
  <c r="U1430" i="45"/>
  <c r="V1430" i="45" s="1"/>
  <c r="U1431" i="45"/>
  <c r="V1431" i="45" s="1"/>
  <c r="U1432" i="45"/>
  <c r="V1432" i="45" s="1"/>
  <c r="U1433" i="45"/>
  <c r="V1433" i="45" s="1"/>
  <c r="U1434" i="45"/>
  <c r="V1434" i="45" s="1"/>
  <c r="U1435" i="45"/>
  <c r="V1435" i="45" s="1"/>
  <c r="U1436" i="45"/>
  <c r="V1436" i="45" s="1"/>
  <c r="U1437" i="45"/>
  <c r="V1437" i="45" s="1"/>
  <c r="U1438" i="45"/>
  <c r="V1438" i="45" s="1"/>
  <c r="U1439" i="45"/>
  <c r="V1439" i="45" s="1"/>
  <c r="U1440" i="45"/>
  <c r="V1440" i="45" s="1"/>
  <c r="U1441" i="45"/>
  <c r="V1441" i="45" s="1"/>
  <c r="U1442" i="45"/>
  <c r="V1442" i="45" s="1"/>
  <c r="U1443" i="45"/>
  <c r="V1443" i="45" s="1"/>
  <c r="U1444" i="45"/>
  <c r="V1444" i="45" s="1"/>
  <c r="U1445" i="45"/>
  <c r="V1445" i="45" s="1"/>
  <c r="U1446" i="45"/>
  <c r="V1446" i="45" s="1"/>
  <c r="U1447" i="45"/>
  <c r="V1447" i="45" s="1"/>
  <c r="U1448" i="45"/>
  <c r="V1448" i="45" s="1"/>
  <c r="U1449" i="45"/>
  <c r="V1449" i="45" s="1"/>
  <c r="U1450" i="45"/>
  <c r="V1450" i="45" s="1"/>
  <c r="U1451" i="45"/>
  <c r="V1451" i="45" s="1"/>
  <c r="U1452" i="45"/>
  <c r="V1452" i="45" s="1"/>
  <c r="U1453" i="45"/>
  <c r="V1453" i="45" s="1"/>
  <c r="U1454" i="45"/>
  <c r="V1454" i="45" s="1"/>
  <c r="U1455" i="45"/>
  <c r="V1455" i="45" s="1"/>
  <c r="U1456" i="45"/>
  <c r="V1456" i="45" s="1"/>
  <c r="U1457" i="45"/>
  <c r="V1457" i="45" s="1"/>
  <c r="U1458" i="45"/>
  <c r="V1458" i="45" s="1"/>
  <c r="U1459" i="45"/>
  <c r="V1459" i="45" s="1"/>
  <c r="U1460" i="45"/>
  <c r="V1460" i="45" s="1"/>
  <c r="U1461" i="45"/>
  <c r="V1461" i="45" s="1"/>
  <c r="U1462" i="45"/>
  <c r="V1462" i="45" s="1"/>
  <c r="U1463" i="45"/>
  <c r="V1463" i="45" s="1"/>
  <c r="U1464" i="45"/>
  <c r="V1464" i="45" s="1"/>
  <c r="U1465" i="45"/>
  <c r="V1465" i="45" s="1"/>
  <c r="U1466" i="45"/>
  <c r="V1466" i="45" s="1"/>
  <c r="U1467" i="45"/>
  <c r="V1467" i="45" s="1"/>
  <c r="U1468" i="45"/>
  <c r="V1468" i="45" s="1"/>
  <c r="U1469" i="45"/>
  <c r="V1469" i="45" s="1"/>
  <c r="U1470" i="45"/>
  <c r="V1470" i="45" s="1"/>
  <c r="U1471" i="45"/>
  <c r="V1471" i="45" s="1"/>
  <c r="U1472" i="45"/>
  <c r="V1472" i="45" s="1"/>
  <c r="U1473" i="45"/>
  <c r="V1473" i="45" s="1"/>
  <c r="U1474" i="45"/>
  <c r="V1474" i="45" s="1"/>
  <c r="U1475" i="45"/>
  <c r="V1475" i="45" s="1"/>
  <c r="U1476" i="45"/>
  <c r="V1476" i="45" s="1"/>
  <c r="U1477" i="45"/>
  <c r="V1477" i="45" s="1"/>
  <c r="U1478" i="45"/>
  <c r="V1478" i="45" s="1"/>
  <c r="U1479" i="45"/>
  <c r="V1479" i="45" s="1"/>
  <c r="U1480" i="45"/>
  <c r="V1480" i="45" s="1"/>
  <c r="U1481" i="45"/>
  <c r="V1481" i="45" s="1"/>
  <c r="U1482" i="45"/>
  <c r="V1482" i="45" s="1"/>
  <c r="U1483" i="45"/>
  <c r="V1483" i="45" s="1"/>
  <c r="U1484" i="45"/>
  <c r="V1484" i="45" s="1"/>
  <c r="U1485" i="45"/>
  <c r="V1485" i="45" s="1"/>
  <c r="U1486" i="45"/>
  <c r="V1486" i="45" s="1"/>
  <c r="U1487" i="45"/>
  <c r="V1487" i="45" s="1"/>
  <c r="U1488" i="45"/>
  <c r="V1488" i="45" s="1"/>
  <c r="U1489" i="45"/>
  <c r="V1489" i="45" s="1"/>
  <c r="U1490" i="45"/>
  <c r="V1490" i="45" s="1"/>
  <c r="U1491" i="45"/>
  <c r="V1491" i="45" s="1"/>
  <c r="U1492" i="45"/>
  <c r="V1492" i="45" s="1"/>
  <c r="U1493" i="45"/>
  <c r="V1493" i="45" s="1"/>
  <c r="U1494" i="45"/>
  <c r="V1494" i="45" s="1"/>
  <c r="U1495" i="45"/>
  <c r="V1495" i="45" s="1"/>
  <c r="U1496" i="45"/>
  <c r="V1496" i="45" s="1"/>
  <c r="U1497" i="45"/>
  <c r="V1497" i="45" s="1"/>
  <c r="U1498" i="45"/>
  <c r="V1498" i="45" s="1"/>
  <c r="U1499" i="45"/>
  <c r="V1499" i="45" s="1"/>
  <c r="U1500" i="45"/>
  <c r="V1500" i="45" s="1"/>
  <c r="U1501" i="45"/>
  <c r="V1501" i="45" s="1"/>
  <c r="U1502" i="45"/>
  <c r="V1502" i="45" s="1"/>
  <c r="U1503" i="45"/>
  <c r="V1503" i="45" s="1"/>
  <c r="U1504" i="45"/>
  <c r="V1504" i="45" s="1"/>
  <c r="U1505" i="45"/>
  <c r="V1505" i="45" s="1"/>
  <c r="U1506" i="45"/>
  <c r="V1506" i="45" s="1"/>
  <c r="U1507" i="45"/>
  <c r="V1507" i="45" s="1"/>
  <c r="U1508" i="45"/>
  <c r="V1508" i="45" s="1"/>
  <c r="U1509" i="45"/>
  <c r="V1509" i="45" s="1"/>
  <c r="U1510" i="45"/>
  <c r="V1510" i="45" s="1"/>
  <c r="U1511" i="45"/>
  <c r="V1511" i="45" s="1"/>
  <c r="U1512" i="45"/>
  <c r="V1512" i="45" s="1"/>
  <c r="U1513" i="45"/>
  <c r="V1513" i="45" s="1"/>
  <c r="U1514" i="45"/>
  <c r="V1514" i="45" s="1"/>
  <c r="U1515" i="45"/>
  <c r="V1515" i="45" s="1"/>
  <c r="U1516" i="45"/>
  <c r="V1516" i="45" s="1"/>
  <c r="U1517" i="45"/>
  <c r="V1517" i="45" s="1"/>
  <c r="U1518" i="45"/>
  <c r="V1518" i="45" s="1"/>
  <c r="U1519" i="45"/>
  <c r="V1519" i="45" s="1"/>
  <c r="U1520" i="45"/>
  <c r="V1520" i="45" s="1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U5" i="45"/>
  <c r="U6" i="45"/>
  <c r="U7" i="45"/>
  <c r="U8" i="45"/>
  <c r="U9" i="45"/>
  <c r="U10" i="45"/>
  <c r="U11" i="45"/>
  <c r="U12" i="45"/>
  <c r="U13" i="45"/>
  <c r="U14" i="45"/>
  <c r="U15" i="45"/>
  <c r="U16" i="45"/>
  <c r="U17" i="45"/>
  <c r="U18" i="45"/>
  <c r="U19" i="45"/>
  <c r="U20" i="45"/>
  <c r="U21" i="45"/>
  <c r="U22" i="45"/>
  <c r="U23" i="45"/>
  <c r="U24" i="45"/>
  <c r="U25" i="45"/>
  <c r="U26" i="45"/>
  <c r="U27" i="45"/>
  <c r="U28" i="45"/>
  <c r="U29" i="45"/>
  <c r="U30" i="45"/>
  <c r="U31" i="45"/>
  <c r="U32" i="45"/>
  <c r="U33" i="45"/>
  <c r="U34" i="45"/>
  <c r="U35" i="45"/>
  <c r="U36" i="45"/>
  <c r="U37" i="45"/>
  <c r="U38" i="45"/>
  <c r="U39" i="45"/>
  <c r="U40" i="45"/>
  <c r="U41" i="45"/>
  <c r="U42" i="45"/>
  <c r="U43" i="45"/>
  <c r="U44" i="45"/>
  <c r="U45" i="45"/>
  <c r="U46" i="45"/>
  <c r="U47" i="45"/>
  <c r="U48" i="45"/>
  <c r="U49" i="45"/>
  <c r="U50" i="45"/>
  <c r="U51" i="45"/>
  <c r="U52" i="45"/>
  <c r="U53" i="45"/>
  <c r="U54" i="45"/>
  <c r="U55" i="45"/>
  <c r="U56" i="45"/>
  <c r="U57" i="45"/>
  <c r="U58" i="45"/>
  <c r="U59" i="45"/>
  <c r="U60" i="45"/>
  <c r="U61" i="45"/>
  <c r="U62" i="45"/>
  <c r="U63" i="45"/>
  <c r="U64" i="45"/>
  <c r="U65" i="45"/>
  <c r="U66" i="45"/>
  <c r="U67" i="45"/>
  <c r="U68" i="45"/>
  <c r="U69" i="45"/>
  <c r="U70" i="45"/>
  <c r="U71" i="45"/>
  <c r="U72" i="45"/>
  <c r="U73" i="45"/>
  <c r="U74" i="45"/>
  <c r="U75" i="45"/>
  <c r="U76" i="45"/>
  <c r="U77" i="45"/>
  <c r="U78" i="45"/>
  <c r="U79" i="45"/>
  <c r="U80" i="45"/>
  <c r="U81" i="45"/>
  <c r="U82" i="45"/>
  <c r="U83" i="45"/>
  <c r="U84" i="45"/>
  <c r="U85" i="45"/>
  <c r="U86" i="45"/>
  <c r="U87" i="45"/>
  <c r="U88" i="45"/>
  <c r="U89" i="45"/>
  <c r="U90" i="45"/>
  <c r="U91" i="45"/>
  <c r="U92" i="45"/>
  <c r="U93" i="45"/>
  <c r="U94" i="45"/>
  <c r="U95" i="45"/>
  <c r="U96" i="45"/>
  <c r="U97" i="45"/>
  <c r="U98" i="45"/>
  <c r="U99" i="45"/>
  <c r="U100" i="45"/>
  <c r="U101" i="45"/>
  <c r="U102" i="45"/>
  <c r="U103" i="45"/>
  <c r="U104" i="45"/>
  <c r="U105" i="45"/>
  <c r="U106" i="45"/>
  <c r="U107" i="45"/>
  <c r="U108" i="45"/>
  <c r="U109" i="45"/>
  <c r="U110" i="45"/>
  <c r="U111" i="45"/>
  <c r="U112" i="45"/>
  <c r="U113" i="45"/>
  <c r="U114" i="45"/>
  <c r="U115" i="45"/>
  <c r="U116" i="45"/>
  <c r="U117" i="45"/>
  <c r="U118" i="45"/>
  <c r="U119" i="45"/>
  <c r="U120" i="45"/>
  <c r="U121" i="45"/>
  <c r="U122" i="45"/>
  <c r="U123" i="45"/>
  <c r="U124" i="45"/>
  <c r="U125" i="45"/>
  <c r="U126" i="45"/>
  <c r="U127" i="45"/>
  <c r="U128" i="45"/>
  <c r="U129" i="45"/>
  <c r="U130" i="45"/>
  <c r="U131" i="45"/>
  <c r="U132" i="45"/>
  <c r="U133" i="45"/>
  <c r="U134" i="45"/>
  <c r="U135" i="45"/>
  <c r="U136" i="45"/>
  <c r="U137" i="45"/>
  <c r="U138" i="45"/>
  <c r="U139" i="45"/>
  <c r="U140" i="45"/>
  <c r="U141" i="45"/>
  <c r="U142" i="45"/>
  <c r="U143" i="45"/>
  <c r="U144" i="45"/>
  <c r="U145" i="45"/>
  <c r="U146" i="45"/>
  <c r="U147" i="45"/>
  <c r="U148" i="45"/>
  <c r="U149" i="45"/>
  <c r="U150" i="45"/>
  <c r="U151" i="45"/>
  <c r="U152" i="45"/>
  <c r="U153" i="45"/>
  <c r="U154" i="45"/>
  <c r="U155" i="45"/>
  <c r="U156" i="45"/>
  <c r="U157" i="45"/>
  <c r="U158" i="45"/>
  <c r="U159" i="45"/>
  <c r="U160" i="45"/>
  <c r="U161" i="45"/>
  <c r="U162" i="45"/>
  <c r="U163" i="45"/>
  <c r="U164" i="45"/>
  <c r="U165" i="45"/>
  <c r="U166" i="45"/>
  <c r="U167" i="45"/>
  <c r="U168" i="45"/>
  <c r="U169" i="45"/>
  <c r="U170" i="45"/>
  <c r="U171" i="45"/>
  <c r="U172" i="45"/>
  <c r="U173" i="45"/>
  <c r="U174" i="45"/>
  <c r="U175" i="45"/>
  <c r="U176" i="45"/>
  <c r="U177" i="45"/>
  <c r="U178" i="45"/>
  <c r="U179" i="45"/>
  <c r="U180" i="45"/>
  <c r="U181" i="45"/>
  <c r="U182" i="45"/>
  <c r="U183" i="45"/>
  <c r="U184" i="45"/>
  <c r="U185" i="45"/>
  <c r="U186" i="45"/>
  <c r="U187" i="45"/>
  <c r="U188" i="45"/>
  <c r="U189" i="45"/>
  <c r="U190" i="45"/>
  <c r="U191" i="45"/>
  <c r="U192" i="45"/>
  <c r="U193" i="45"/>
  <c r="U194" i="45"/>
  <c r="U195" i="45"/>
  <c r="U196" i="45"/>
  <c r="U197" i="45"/>
  <c r="U198" i="45"/>
  <c r="U199" i="45"/>
  <c r="U200" i="45"/>
  <c r="U201" i="45"/>
  <c r="U202" i="45"/>
  <c r="U203" i="45"/>
  <c r="U204" i="45"/>
  <c r="U205" i="45"/>
  <c r="U206" i="45"/>
  <c r="U207" i="45"/>
  <c r="U208" i="45"/>
  <c r="U209" i="45"/>
  <c r="U210" i="45"/>
  <c r="U211" i="45"/>
  <c r="U212" i="45"/>
  <c r="U213" i="45"/>
  <c r="U214" i="45"/>
  <c r="U215" i="45"/>
  <c r="U216" i="45"/>
  <c r="U217" i="45"/>
  <c r="U218" i="45"/>
  <c r="U219" i="45"/>
  <c r="U220" i="45"/>
  <c r="U221" i="45"/>
  <c r="U222" i="45"/>
  <c r="U223" i="45"/>
  <c r="U224" i="45"/>
  <c r="U225" i="45"/>
  <c r="U226" i="45"/>
  <c r="U227" i="45"/>
  <c r="U228" i="45"/>
  <c r="U229" i="45"/>
  <c r="U230" i="45"/>
  <c r="U231" i="45"/>
  <c r="U232" i="45"/>
  <c r="U233" i="45"/>
  <c r="U234" i="45"/>
  <c r="U235" i="45"/>
  <c r="U236" i="45"/>
  <c r="U237" i="45"/>
  <c r="U238" i="45"/>
  <c r="U239" i="45"/>
  <c r="U240" i="45"/>
  <c r="U241" i="45"/>
  <c r="U242" i="45"/>
  <c r="U243" i="45"/>
  <c r="U244" i="45"/>
  <c r="U245" i="45"/>
  <c r="U246" i="45"/>
  <c r="U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4" i="45"/>
  <c r="B2" i="15" l="1"/>
</calcChain>
</file>

<file path=xl/sharedStrings.xml><?xml version="1.0" encoding="utf-8"?>
<sst xmlns="http://schemas.openxmlformats.org/spreadsheetml/2006/main" count="15987" uniqueCount="3596">
  <si>
    <t>SUMÁRIO</t>
  </si>
  <si>
    <t>Lista de dados</t>
  </si>
  <si>
    <t>Conteúdo</t>
  </si>
  <si>
    <t>1.</t>
  </si>
  <si>
    <t>Fontes de financiamento</t>
  </si>
  <si>
    <t>Fontes de financiamento das concessionárias reguladas pela ANTT (saldo em 12/2020)</t>
  </si>
  <si>
    <t>2.</t>
  </si>
  <si>
    <t>Custo BNDES</t>
  </si>
  <si>
    <t>Remuneração e taxa de risco cobrados pelo BNDES</t>
  </si>
  <si>
    <t>3.</t>
  </si>
  <si>
    <t>Estrutura de capital</t>
  </si>
  <si>
    <t>Proporção de equity e dívida na estrutura de capital das concessionárias reguladas pela ANTT</t>
  </si>
  <si>
    <t>4.</t>
  </si>
  <si>
    <t>Debêntures (DI)</t>
  </si>
  <si>
    <t>Debêntures emitidas com remuneração atrelada ao DI</t>
  </si>
  <si>
    <t>5.</t>
  </si>
  <si>
    <t>Debêntures (IPCA)</t>
  </si>
  <si>
    <t>Debêntures emitidas com remuneração atrelada ao IPCA</t>
  </si>
  <si>
    <t>6.</t>
  </si>
  <si>
    <t>Beta</t>
  </si>
  <si>
    <t>Cálculo do Beta realavancado, com base nas ações do setor de rodovias</t>
  </si>
  <si>
    <t>7.</t>
  </si>
  <si>
    <t>Beta CCRO3</t>
  </si>
  <si>
    <t xml:space="preserve">Cálculo do Beta de CCRO3 </t>
  </si>
  <si>
    <t>8.</t>
  </si>
  <si>
    <t>Beta ECOR3</t>
  </si>
  <si>
    <t>Cálculo do Beta de ECOR3</t>
  </si>
  <si>
    <t>9.</t>
  </si>
  <si>
    <t>Taxa ECOR3</t>
  </si>
  <si>
    <t>10.</t>
  </si>
  <si>
    <t>Taxa CCRO3</t>
  </si>
  <si>
    <t>11.</t>
  </si>
  <si>
    <t>12.</t>
  </si>
  <si>
    <t>TLP</t>
  </si>
  <si>
    <t>13.</t>
  </si>
  <si>
    <t>IPCA</t>
  </si>
  <si>
    <t>Histórico do IPCA (dados mensais)</t>
  </si>
  <si>
    <t>14.</t>
  </si>
  <si>
    <t>CDI</t>
  </si>
  <si>
    <t>Histórico do CDI (dados mensais)</t>
  </si>
  <si>
    <t>15.</t>
  </si>
  <si>
    <t>16.</t>
  </si>
  <si>
    <t>17.</t>
  </si>
  <si>
    <t>18.</t>
  </si>
  <si>
    <t>19.</t>
  </si>
  <si>
    <t>Imputs para o algortimo (abas em vermelho)</t>
  </si>
  <si>
    <t>Fontes_financiamento</t>
  </si>
  <si>
    <t>Custo_BNDES</t>
  </si>
  <si>
    <t>Remuneração e taxa de risco de crédito do BNDES</t>
  </si>
  <si>
    <t>Efeito_Trib</t>
  </si>
  <si>
    <t>Rfeito tributário sobre o custo da dívida no capital de terceiros</t>
  </si>
  <si>
    <t>Estrutura_capital</t>
  </si>
  <si>
    <t>Deb_DI</t>
  </si>
  <si>
    <t>Deb_IPCA</t>
  </si>
  <si>
    <t>Histórico da TLP (dados mensais)</t>
  </si>
  <si>
    <t>iteracoes</t>
  </si>
  <si>
    <t>Quantidade de iterações a ser realizada na simulação de Monte Carlo</t>
  </si>
  <si>
    <t>BNDES</t>
  </si>
  <si>
    <t>Debêntures</t>
  </si>
  <si>
    <t>Outros</t>
  </si>
  <si>
    <t>Total</t>
  </si>
  <si>
    <t>Fonte:</t>
  </si>
  <si>
    <t>Patrimônio Líquido</t>
  </si>
  <si>
    <t>BNDES/</t>
  </si>
  <si>
    <t>Debentures/</t>
  </si>
  <si>
    <t>Outros/</t>
  </si>
  <si>
    <t>Totais/</t>
  </si>
  <si>
    <t>Remuneracao do BNDES - apoio direto</t>
  </si>
  <si>
    <t>Taxa de risco de credito - apoio direto</t>
  </si>
  <si>
    <t>Efeito_Tributario</t>
  </si>
  <si>
    <t>Proporcao_Equity</t>
  </si>
  <si>
    <t>Proporcao_Debt</t>
  </si>
  <si>
    <t>https://data.anbima.com.br/debentures</t>
  </si>
  <si>
    <t>Ativo</t>
  </si>
  <si>
    <t>Spread</t>
  </si>
  <si>
    <t>Volume</t>
  </si>
  <si>
    <t>Observação</t>
  </si>
  <si>
    <t>média custo de distribuição</t>
  </si>
  <si>
    <t>Aumento no custo efetivo pelo custo de distribuição obtido (quando disponível) das emissões dos últimos 3 anos</t>
  </si>
  <si>
    <t>Média spread</t>
  </si>
  <si>
    <t>Média dos spread das emissões dos últimos 3 anos</t>
  </si>
  <si>
    <t>Volume títulos</t>
  </si>
  <si>
    <t>Soma dos valores emitidos nos últimos 3 anos</t>
  </si>
  <si>
    <t>media_spread_DI</t>
  </si>
  <si>
    <t>media_cust_DI</t>
  </si>
  <si>
    <t>Quant_DI</t>
  </si>
  <si>
    <t>media_spread_IPCA</t>
  </si>
  <si>
    <t>media_cust_IPCA</t>
  </si>
  <si>
    <t>Quant_IPCA</t>
  </si>
  <si>
    <t>método:  extraído do balanço</t>
  </si>
  <si>
    <t>Método: quantidade de ações x preço das ações</t>
  </si>
  <si>
    <t>ALÍQUOTA EFETIVA</t>
  </si>
  <si>
    <t>COMPANHIA</t>
  </si>
  <si>
    <t>BETA</t>
  </si>
  <si>
    <t>D/E*</t>
  </si>
  <si>
    <t>IR**</t>
  </si>
  <si>
    <t>Beta Desalavancado</t>
  </si>
  <si>
    <t>Beta Des. Ponderado</t>
  </si>
  <si>
    <t>Estrutura de Capital (Kp e Kt)</t>
  </si>
  <si>
    <t>Beta Realavancado</t>
  </si>
  <si>
    <t>Lambda</t>
  </si>
  <si>
    <t>Participação das exportações no PIB</t>
  </si>
  <si>
    <t>DADOS MENSAIS</t>
  </si>
  <si>
    <t>DADOS SEMANAIS</t>
  </si>
  <si>
    <t>Date</t>
  </si>
  <si>
    <t>Open</t>
  </si>
  <si>
    <t>High</t>
  </si>
  <si>
    <t>Low</t>
  </si>
  <si>
    <t>Close</t>
  </si>
  <si>
    <t>Adj Close</t>
  </si>
  <si>
    <t>Variação</t>
  </si>
  <si>
    <t>Variação em dólar</t>
  </si>
  <si>
    <t>https://br.financas.yahoo.com/quote/ECOR3.SA/history?p=ECOR3.SA</t>
  </si>
  <si>
    <t>https://br.financas.yahoo.com/quote/%5EBVSP/history?p=%5EBVSP</t>
  </si>
  <si>
    <t>em dólar</t>
  </si>
  <si>
    <t>Data</t>
  </si>
  <si>
    <t>Último</t>
  </si>
  <si>
    <t>Abertura</t>
  </si>
  <si>
    <t>Máxima</t>
  </si>
  <si>
    <t>Mínima</t>
  </si>
  <si>
    <t>Var%</t>
  </si>
  <si>
    <t>https://br.investing.com/indices/us-spx-500-historical-data</t>
  </si>
  <si>
    <t>Vol.</t>
  </si>
  <si>
    <t>-</t>
  </si>
  <si>
    <t>4,90B</t>
  </si>
  <si>
    <t>4,83B</t>
  </si>
  <si>
    <t>5,60B</t>
  </si>
  <si>
    <t>3,35B</t>
  </si>
  <si>
    <t>4,81B</t>
  </si>
  <si>
    <t>4,76B</t>
  </si>
  <si>
    <t>5,22B</t>
  </si>
  <si>
    <t>4,94B</t>
  </si>
  <si>
    <t>4,68B</t>
  </si>
  <si>
    <t>4,35B</t>
  </si>
  <si>
    <t>3,94B</t>
  </si>
  <si>
    <t>4,17B</t>
  </si>
  <si>
    <t>3,78B</t>
  </si>
  <si>
    <t>5,24B</t>
  </si>
  <si>
    <t>5,38B</t>
  </si>
  <si>
    <t>5,67B</t>
  </si>
  <si>
    <t>5,64B</t>
  </si>
  <si>
    <t>5,76B</t>
  </si>
  <si>
    <t>6,08B</t>
  </si>
  <si>
    <t>5,91B</t>
  </si>
  <si>
    <t>5,93B</t>
  </si>
  <si>
    <t>4,79B</t>
  </si>
  <si>
    <t>5,34B</t>
  </si>
  <si>
    <t>3,46B</t>
  </si>
  <si>
    <t>5,89B</t>
  </si>
  <si>
    <t>6,10B</t>
  </si>
  <si>
    <t>6,47B</t>
  </si>
  <si>
    <t>3,95B</t>
  </si>
  <si>
    <t>6,57B</t>
  </si>
  <si>
    <t>6,29B</t>
  </si>
  <si>
    <t>5,41B</t>
  </si>
  <si>
    <t>6,06B</t>
  </si>
  <si>
    <t>5,68B</t>
  </si>
  <si>
    <t>4,92B</t>
  </si>
  <si>
    <t>5,35B</t>
  </si>
  <si>
    <t>6,79B</t>
  </si>
  <si>
    <t>6,80B</t>
  </si>
  <si>
    <t>6,28B</t>
  </si>
  <si>
    <t>6,70B</t>
  </si>
  <si>
    <t>4,80B</t>
  </si>
  <si>
    <t>6,77B</t>
  </si>
  <si>
    <t>5,87B</t>
  </si>
  <si>
    <t>6,01B</t>
  </si>
  <si>
    <t>5,05B</t>
  </si>
  <si>
    <t>5,82B</t>
  </si>
  <si>
    <t>5,50B</t>
  </si>
  <si>
    <t>4,43B</t>
  </si>
  <si>
    <t>5,95B</t>
  </si>
  <si>
    <t>6,38B</t>
  </si>
  <si>
    <t>3,74B</t>
  </si>
  <si>
    <t>6,21B</t>
  </si>
  <si>
    <t>6,11B</t>
  </si>
  <si>
    <t>5,70B</t>
  </si>
  <si>
    <t>5,54B</t>
  </si>
  <si>
    <t>5,01B</t>
  </si>
  <si>
    <t>5,08B</t>
  </si>
  <si>
    <t>4,87B</t>
  </si>
  <si>
    <t>1,28B</t>
  </si>
  <si>
    <t>10,42B</t>
  </si>
  <si>
    <t>7,98B</t>
  </si>
  <si>
    <t>7,03B</t>
  </si>
  <si>
    <t>6,56B</t>
  </si>
  <si>
    <t>6,25B</t>
  </si>
  <si>
    <t>6,37B</t>
  </si>
  <si>
    <t>6,20B</t>
  </si>
  <si>
    <t>6,65B</t>
  </si>
  <si>
    <t>6,60B</t>
  </si>
  <si>
    <t>4,09B</t>
  </si>
  <si>
    <t>7,02B</t>
  </si>
  <si>
    <t>6,85B</t>
  </si>
  <si>
    <t>7,28B</t>
  </si>
  <si>
    <t>3,02B</t>
  </si>
  <si>
    <t>5,03B</t>
  </si>
  <si>
    <t>6,53B</t>
  </si>
  <si>
    <t>6,87B</t>
  </si>
  <si>
    <t>5,69B</t>
  </si>
  <si>
    <t>7,94B</t>
  </si>
  <si>
    <t>7,70B</t>
  </si>
  <si>
    <t>5,42B</t>
  </si>
  <si>
    <t>6,92B</t>
  </si>
  <si>
    <t>7,61B</t>
  </si>
  <si>
    <t>6,31B</t>
  </si>
  <si>
    <t>4,61B</t>
  </si>
  <si>
    <t>5,84B</t>
  </si>
  <si>
    <t>6,84B</t>
  </si>
  <si>
    <t>7,04B</t>
  </si>
  <si>
    <t>6,30B</t>
  </si>
  <si>
    <t>6,45B</t>
  </si>
  <si>
    <t>5,40B</t>
  </si>
  <si>
    <t>4,64B</t>
  </si>
  <si>
    <t>7,19B</t>
  </si>
  <si>
    <t>9,11B</t>
  </si>
  <si>
    <t>5,48B</t>
  </si>
  <si>
    <t>8,04B</t>
  </si>
  <si>
    <t>11,38B</t>
  </si>
  <si>
    <t>11,69B</t>
  </si>
  <si>
    <t>8,86B</t>
  </si>
  <si>
    <t>7,37B</t>
  </si>
  <si>
    <t>6,64B</t>
  </si>
  <si>
    <t>6,41B</t>
  </si>
  <si>
    <t>5,25B</t>
  </si>
  <si>
    <t>5,63B</t>
  </si>
  <si>
    <t>7,27B</t>
  </si>
  <si>
    <t>7,86B</t>
  </si>
  <si>
    <t>8,68B</t>
  </si>
  <si>
    <t>9,34B</t>
  </si>
  <si>
    <t>7,63B</t>
  </si>
  <si>
    <t>7,43B</t>
  </si>
  <si>
    <t>7,59B</t>
  </si>
  <si>
    <t>8,18B</t>
  </si>
  <si>
    <t>5,11B</t>
  </si>
  <si>
    <t>7,18B</t>
  </si>
  <si>
    <t>6,48B</t>
  </si>
  <si>
    <t>7,14B</t>
  </si>
  <si>
    <t>3,05B</t>
  </si>
  <si>
    <t>4,51B</t>
  </si>
  <si>
    <t>7,49B</t>
  </si>
  <si>
    <t>7,10B</t>
  </si>
  <si>
    <t>6,22B</t>
  </si>
  <si>
    <t>7,58B</t>
  </si>
  <si>
    <t>6,75B</t>
  </si>
  <si>
    <t>7,66B</t>
  </si>
  <si>
    <t>8,05B</t>
  </si>
  <si>
    <t>7,13B</t>
  </si>
  <si>
    <t>6,44B</t>
  </si>
  <si>
    <t>5,61B</t>
  </si>
  <si>
    <t>7,40B</t>
  </si>
  <si>
    <t>7,54B</t>
  </si>
  <si>
    <t>7,33B</t>
  </si>
  <si>
    <t>7,21B</t>
  </si>
  <si>
    <t>6,99B</t>
  </si>
  <si>
    <t>8,26B</t>
  </si>
  <si>
    <t>6,93B</t>
  </si>
  <si>
    <t>6,90B</t>
  </si>
  <si>
    <t>7,29B</t>
  </si>
  <si>
    <t>7,01B</t>
  </si>
  <si>
    <t>7,23B</t>
  </si>
  <si>
    <t>5,19B</t>
  </si>
  <si>
    <t>6,35B</t>
  </si>
  <si>
    <t>5,31B</t>
  </si>
  <si>
    <t>6,07B</t>
  </si>
  <si>
    <t>6,91B</t>
  </si>
  <si>
    <t>7,36B</t>
  </si>
  <si>
    <t>7,34B</t>
  </si>
  <si>
    <t>7,69B</t>
  </si>
  <si>
    <t>7,09B</t>
  </si>
  <si>
    <t>6,49B</t>
  </si>
  <si>
    <t>6,66B</t>
  </si>
  <si>
    <t>4,22B</t>
  </si>
  <si>
    <t>7,75B</t>
  </si>
  <si>
    <t>3,27B</t>
  </si>
  <si>
    <t>4,25B</t>
  </si>
  <si>
    <t>8,37B</t>
  </si>
  <si>
    <t>6,71B</t>
  </si>
  <si>
    <t>8,55B</t>
  </si>
  <si>
    <t>7,76B</t>
  </si>
  <si>
    <t>7,20B</t>
  </si>
  <si>
    <t>6,97B</t>
  </si>
  <si>
    <t>7,68B</t>
  </si>
  <si>
    <t>7,42B</t>
  </si>
  <si>
    <t>5,47B</t>
  </si>
  <si>
    <t>8,16B</t>
  </si>
  <si>
    <t>7,87B</t>
  </si>
  <si>
    <t>7,90B</t>
  </si>
  <si>
    <t>6,76B</t>
  </si>
  <si>
    <t>4,84B</t>
  </si>
  <si>
    <t>7,16B</t>
  </si>
  <si>
    <t>6,78B</t>
  </si>
  <si>
    <t>5,20B</t>
  </si>
  <si>
    <t>7,46B</t>
  </si>
  <si>
    <t>7,41B</t>
  </si>
  <si>
    <t>6,32B</t>
  </si>
  <si>
    <t>5,18B</t>
  </si>
  <si>
    <t>5,17B</t>
  </si>
  <si>
    <t>5,09B</t>
  </si>
  <si>
    <t>7,39B</t>
  </si>
  <si>
    <t>7,11B</t>
  </si>
  <si>
    <t>6,94B</t>
  </si>
  <si>
    <t>8,33B</t>
  </si>
  <si>
    <t>7,24B</t>
  </si>
  <si>
    <t>4,48B</t>
  </si>
  <si>
    <t>7,48B</t>
  </si>
  <si>
    <t>8,81B</t>
  </si>
  <si>
    <t>4,45B</t>
  </si>
  <si>
    <t>8,02B</t>
  </si>
  <si>
    <t>6,43B</t>
  </si>
  <si>
    <t>8,13B</t>
  </si>
  <si>
    <t>7,44B</t>
  </si>
  <si>
    <t>7,77B</t>
  </si>
  <si>
    <t>8,53B</t>
  </si>
  <si>
    <t>10,45B</t>
  </si>
  <si>
    <t>9,31B</t>
  </si>
  <si>
    <t>10,60B</t>
  </si>
  <si>
    <t>10,89B</t>
  </si>
  <si>
    <t>10,16B</t>
  </si>
  <si>
    <t>9,77B</t>
  </si>
  <si>
    <t>9,42B</t>
  </si>
  <si>
    <t>8,14B</t>
  </si>
  <si>
    <t>8,60B</t>
  </si>
  <si>
    <t>9,38B</t>
  </si>
  <si>
    <t>9,71B</t>
  </si>
  <si>
    <t>8,98B</t>
  </si>
  <si>
    <t>9,36B</t>
  </si>
  <si>
    <t>9,58B</t>
  </si>
  <si>
    <t>9,39B</t>
  </si>
  <si>
    <t>9,67B</t>
  </si>
  <si>
    <t>9,52B</t>
  </si>
  <si>
    <t>8,61B</t>
  </si>
  <si>
    <t>8,34B</t>
  </si>
  <si>
    <t>9,75B</t>
  </si>
  <si>
    <t>7,95B</t>
  </si>
  <si>
    <t>11,24B</t>
  </si>
  <si>
    <t>11,34B</t>
  </si>
  <si>
    <t>10,38B</t>
  </si>
  <si>
    <t>11,90B</t>
  </si>
  <si>
    <t>11,53B</t>
  </si>
  <si>
    <t>12,04B</t>
  </si>
  <si>
    <t>11,75B</t>
  </si>
  <si>
    <t>12,44B</t>
  </si>
  <si>
    <t>10,32B</t>
  </si>
  <si>
    <t>11,13B</t>
  </si>
  <si>
    <t>7,12B</t>
  </si>
  <si>
    <t>11,40B</t>
  </si>
  <si>
    <t>11,18B</t>
  </si>
  <si>
    <t>9,44B</t>
  </si>
  <si>
    <t>5,79B</t>
  </si>
  <si>
    <t>9,95B</t>
  </si>
  <si>
    <t>11,61B</t>
  </si>
  <si>
    <t>9,70B</t>
  </si>
  <si>
    <t>12,96B</t>
  </si>
  <si>
    <t>12,43B</t>
  </si>
  <si>
    <t>10,99B</t>
  </si>
  <si>
    <t>8,40B</t>
  </si>
  <si>
    <t>11,30B</t>
  </si>
  <si>
    <t>11,25B</t>
  </si>
  <si>
    <t>11,37B</t>
  </si>
  <si>
    <t>10,47B</t>
  </si>
  <si>
    <t>10,85B</t>
  </si>
  <si>
    <t>11,43B</t>
  </si>
  <si>
    <t>7,96B</t>
  </si>
  <si>
    <t>11,74B</t>
  </si>
  <si>
    <t>12,18B</t>
  </si>
  <si>
    <t>11,96B</t>
  </si>
  <si>
    <t>11,68B</t>
  </si>
  <si>
    <t>13,24B</t>
  </si>
  <si>
    <t>12,56B</t>
  </si>
  <si>
    <t>13,41B</t>
  </si>
  <si>
    <t>13,69B</t>
  </si>
  <si>
    <t>11,28B</t>
  </si>
  <si>
    <t>11,84B</t>
  </si>
  <si>
    <t>12,38B</t>
  </si>
  <si>
    <t>12,80B</t>
  </si>
  <si>
    <t>12,86B</t>
  </si>
  <si>
    <t>11,47B</t>
  </si>
  <si>
    <t>11,50B</t>
  </si>
  <si>
    <t>9,16B</t>
  </si>
  <si>
    <t>9,76B</t>
  </si>
  <si>
    <t>8,90B</t>
  </si>
  <si>
    <t>13,44B</t>
  </si>
  <si>
    <t>12,05B</t>
  </si>
  <si>
    <t>13,20B</t>
  </si>
  <si>
    <t>11,83B</t>
  </si>
  <si>
    <t>12,63B</t>
  </si>
  <si>
    <t>13,56B</t>
  </si>
  <si>
    <t>13,46B</t>
  </si>
  <si>
    <t>13,29B</t>
  </si>
  <si>
    <t>13,81B</t>
  </si>
  <si>
    <t>8,21B</t>
  </si>
  <si>
    <t>14,95B</t>
  </si>
  <si>
    <t>13,43B</t>
  </si>
  <si>
    <t>13,54B</t>
  </si>
  <si>
    <t>11,64B</t>
  </si>
  <si>
    <t>6,16B</t>
  </si>
  <si>
    <t>9,35B</t>
  </si>
  <si>
    <t>14,11B</t>
  </si>
  <si>
    <t>13,92B</t>
  </si>
  <si>
    <t>13,90B</t>
  </si>
  <si>
    <t>12,64B</t>
  </si>
  <si>
    <t>9,48B</t>
  </si>
  <si>
    <t>18,00B</t>
  </si>
  <si>
    <t>15,62B</t>
  </si>
  <si>
    <t>16,12B</t>
  </si>
  <si>
    <t>14,51B</t>
  </si>
  <si>
    <t>14,19B</t>
  </si>
  <si>
    <t>10,77B</t>
  </si>
  <si>
    <t>13,27B</t>
  </si>
  <si>
    <t>15,01B</t>
  </si>
  <si>
    <t>14,89B</t>
  </si>
  <si>
    <t>15,45B</t>
  </si>
  <si>
    <t>14,03B</t>
  </si>
  <si>
    <t>14,59B</t>
  </si>
  <si>
    <t>15,09B</t>
  </si>
  <si>
    <t>11,81B</t>
  </si>
  <si>
    <t>15,17B</t>
  </si>
  <si>
    <t>14,88B</t>
  </si>
  <si>
    <t>16,09B</t>
  </si>
  <si>
    <t>16,26B</t>
  </si>
  <si>
    <t>9,27B</t>
  </si>
  <si>
    <t>15,33B</t>
  </si>
  <si>
    <t>16,32B</t>
  </si>
  <si>
    <t>20,76B</t>
  </si>
  <si>
    <t>22,55B</t>
  </si>
  <si>
    <t>26,71B</t>
  </si>
  <si>
    <t>21,88B</t>
  </si>
  <si>
    <t>15,27B</t>
  </si>
  <si>
    <t>13,62B</t>
  </si>
  <si>
    <t>11,41B</t>
  </si>
  <si>
    <t>14,26B</t>
  </si>
  <si>
    <t>16,79B</t>
  </si>
  <si>
    <t>15,35B</t>
  </si>
  <si>
    <t>15,06B</t>
  </si>
  <si>
    <t>14,72B</t>
  </si>
  <si>
    <t>17,38B</t>
  </si>
  <si>
    <t>18,58B</t>
  </si>
  <si>
    <t>18,82B</t>
  </si>
  <si>
    <t>22,08B</t>
  </si>
  <si>
    <t>20,48B</t>
  </si>
  <si>
    <t>14,68B</t>
  </si>
  <si>
    <t>17,08B</t>
  </si>
  <si>
    <t>18,51B</t>
  </si>
  <si>
    <t>18,73B</t>
  </si>
  <si>
    <t>8,06B</t>
  </si>
  <si>
    <t>13,49B</t>
  </si>
  <si>
    <t>23,94B</t>
  </si>
  <si>
    <t>25,03B</t>
  </si>
  <si>
    <t>20,40B</t>
  </si>
  <si>
    <t>22,70B</t>
  </si>
  <si>
    <t>20,18B</t>
  </si>
  <si>
    <t>18,72B</t>
  </si>
  <si>
    <t>14,75B</t>
  </si>
  <si>
    <t>20,23B</t>
  </si>
  <si>
    <t>22,04B</t>
  </si>
  <si>
    <t>24,01B</t>
  </si>
  <si>
    <t>22,52B</t>
  </si>
  <si>
    <t>20,42B</t>
  </si>
  <si>
    <t>20,88B</t>
  </si>
  <si>
    <t>18,32B</t>
  </si>
  <si>
    <t>19,34B</t>
  </si>
  <si>
    <t>19,70B</t>
  </si>
  <si>
    <t>20,33B</t>
  </si>
  <si>
    <t>18,76B</t>
  </si>
  <si>
    <t>19,05B</t>
  </si>
  <si>
    <t>19,53B</t>
  </si>
  <si>
    <t>15,26B</t>
  </si>
  <si>
    <t>21,57B</t>
  </si>
  <si>
    <t>22,63B</t>
  </si>
  <si>
    <t>22,22B</t>
  </si>
  <si>
    <t>25,16B</t>
  </si>
  <si>
    <t>19,40B</t>
  </si>
  <si>
    <t>29,06B</t>
  </si>
  <si>
    <t>32,56B</t>
  </si>
  <si>
    <t>28,32B</t>
  </si>
  <si>
    <t>25,36B</t>
  </si>
  <si>
    <t>20,94B</t>
  </si>
  <si>
    <t>22,67B</t>
  </si>
  <si>
    <t>20,32B</t>
  </si>
  <si>
    <t>17,65B</t>
  </si>
  <si>
    <t>20,07B</t>
  </si>
  <si>
    <t>34,42B</t>
  </si>
  <si>
    <t>46,64B</t>
  </si>
  <si>
    <t>26,64B</t>
  </si>
  <si>
    <t>31,03B</t>
  </si>
  <si>
    <t>42,02B</t>
  </si>
  <si>
    <t>36,53B</t>
  </si>
  <si>
    <t>30,19B</t>
  </si>
  <si>
    <t>32,30B</t>
  </si>
  <si>
    <t>26,48B</t>
  </si>
  <si>
    <t>36,75B</t>
  </si>
  <si>
    <t>23,37B</t>
  </si>
  <si>
    <t>30,47B</t>
  </si>
  <si>
    <t>29,66B</t>
  </si>
  <si>
    <t>29,28B</t>
  </si>
  <si>
    <t>12,35B</t>
  </si>
  <si>
    <t>25,22B</t>
  </si>
  <si>
    <t>30,29B</t>
  </si>
  <si>
    <t>24,52B</t>
  </si>
  <si>
    <t>28,01B</t>
  </si>
  <si>
    <t>31,09B</t>
  </si>
  <si>
    <t>30,04B</t>
  </si>
  <si>
    <t>25,61B</t>
  </si>
  <si>
    <t>37,75B</t>
  </si>
  <si>
    <t>37,96B</t>
  </si>
  <si>
    <t>37,30B</t>
  </si>
  <si>
    <t>39,82B</t>
  </si>
  <si>
    <t>34,76B</t>
  </si>
  <si>
    <t>31,43B</t>
  </si>
  <si>
    <t>24,90B</t>
  </si>
  <si>
    <t>34,20B</t>
  </si>
  <si>
    <t>35,42B</t>
  </si>
  <si>
    <t>30,22B</t>
  </si>
  <si>
    <t>39,76B</t>
  </si>
  <si>
    <t>31,69B</t>
  </si>
  <si>
    <t>31,70B</t>
  </si>
  <si>
    <t>https://br.financas.yahoo.com/quote/BRL%3DX?p=BRL%3DX&amp;.tsrc=fin-srch</t>
  </si>
  <si>
    <t>null</t>
  </si>
  <si>
    <t>https://fred.stlouisfed.org/series/CPIAUCSL</t>
  </si>
  <si>
    <t>Mês</t>
  </si>
  <si>
    <t>número-índice</t>
  </si>
  <si>
    <t>variação UDM</t>
  </si>
  <si>
    <t>DATA</t>
  </si>
  <si>
    <t>CPI</t>
  </si>
  <si>
    <t>TLP (a.a)</t>
  </si>
  <si>
    <t>IDkA 5 anos</t>
  </si>
  <si>
    <t>Consulta BNDES</t>
  </si>
  <si>
    <t>Data de Referência</t>
  </si>
  <si>
    <t>  Indexador  </t>
  </si>
  <si>
    <t>Índices</t>
  </si>
  <si>
    <t>Nº Índice</t>
  </si>
  <si>
    <t>Taxa de Juros (% a.a.)</t>
  </si>
  <si>
    <t>TLP real calculada (alfa = 1)</t>
  </si>
  <si>
    <t>Compra (D-1)</t>
  </si>
  <si>
    <t>Venda (D-0)</t>
  </si>
  <si>
    <t>IDkA IPCA 5A</t>
  </si>
  <si>
    <t>idka5</t>
  </si>
  <si>
    <t>https://www.ibge.gov.br/estatisticas/economicas/precos-e-custos/9256-indice-nacional-de-precos-ao-consumidor-amplo.html?=&amp;t=series-historicas</t>
  </si>
  <si>
    <t xml:space="preserve">    VARIAÇÃO</t>
  </si>
  <si>
    <t>ANO</t>
  </si>
  <si>
    <t>MÊS</t>
  </si>
  <si>
    <t>NÚMERO ÍNDICE</t>
  </si>
  <si>
    <t>(%)</t>
  </si>
  <si>
    <t>(DEZ 93 = 100)</t>
  </si>
  <si>
    <t>NO</t>
  </si>
  <si>
    <t>MESES</t>
  </si>
  <si>
    <t>Variação UDM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</si>
  <si>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</si>
  <si>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</si>
  <si>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</si>
  <si>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</si>
  <si>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</si>
  <si>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</si>
  <si>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</si>
  <si>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</si>
  <si>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</si>
  <si>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</si>
  <si>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</si>
  <si>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</si>
  <si>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ipca</t>
  </si>
  <si>
    <t>https://br.investing.com/equities/cdi-corp-historical-data</t>
  </si>
  <si>
    <t>CDI mensal</t>
  </si>
  <si>
    <t>último dia do mês</t>
  </si>
  <si>
    <t>Média</t>
  </si>
  <si>
    <t>Fator Diário</t>
  </si>
  <si>
    <t>Moda</t>
  </si>
  <si>
    <t>Dsv Pdr</t>
  </si>
  <si>
    <t>Taxa SELIC</t>
  </si>
  <si>
    <t>cdi</t>
  </si>
  <si>
    <t>Qtd_iteracoes</t>
  </si>
  <si>
    <t>Mediana</t>
  </si>
  <si>
    <t>PRM</t>
  </si>
  <si>
    <t>RP</t>
  </si>
  <si>
    <t>tlp_pre</t>
  </si>
  <si>
    <t>Histórico da taxa efetiva de T paga pela Ecorodovias</t>
  </si>
  <si>
    <t>Histórico da taxa efetiva de T paga pela CCR</t>
  </si>
  <si>
    <t>IBOV</t>
  </si>
  <si>
    <t>S&amp;P500</t>
  </si>
  <si>
    <t>câmbio USD-BRL</t>
  </si>
  <si>
    <t>PE ratio S&amp;P500</t>
  </si>
  <si>
    <t>Yield 5Y US - Mensal</t>
  </si>
  <si>
    <t>IDKA 5 anos</t>
  </si>
  <si>
    <t>Dados históricos de rentabilidade do  índice Ibovespa</t>
  </si>
  <si>
    <t>Cálculo do prêmio de risco de mercado (PRM) e PR</t>
  </si>
  <si>
    <t>Dados históricos de rentabilidade do  índice S&amp;P500</t>
  </si>
  <si>
    <t>Dados históricos da cotação do dólar</t>
  </si>
  <si>
    <t>Dados históricos de preço-lucro do índice S&amp;P500</t>
  </si>
  <si>
    <t>Dados históricos da inflação americana</t>
  </si>
  <si>
    <t>Dados históricos da inflação no Brasil</t>
  </si>
  <si>
    <t>20.</t>
  </si>
  <si>
    <t>21.</t>
  </si>
  <si>
    <t>TLP e IDkA 5anos</t>
  </si>
  <si>
    <t>Dados históricos da taxa DI</t>
  </si>
  <si>
    <t>Dados históricos da rentabilidade do título de 5 anos dos EUA</t>
  </si>
  <si>
    <t>Dados históricos de TLP e IDkA de 5 anos</t>
  </si>
  <si>
    <t>Dados históricos de IDkA de 5 anos</t>
  </si>
  <si>
    <t>RF</t>
  </si>
  <si>
    <t>Variação mensal</t>
  </si>
  <si>
    <t>Variação Semanal</t>
  </si>
  <si>
    <t>Obs. Beta de 5 anos semanal</t>
  </si>
  <si>
    <t>Caixa (milhões)</t>
  </si>
  <si>
    <t>Valor de mercado equity (milhões)</t>
  </si>
  <si>
    <t>Dívida Bruta (milhões)</t>
  </si>
  <si>
    <t>Atlantia SpA (ATL.MI)
Milan - Milan Preço Adiado. Moeda em EUR</t>
  </si>
  <si>
    <t>https://br.financas.yahoo.com/quote/ATL.MI/history?p=ATL.MI</t>
  </si>
  <si>
    <t>Qtde de ações em circulação.</t>
  </si>
  <si>
    <t>*</t>
  </si>
  <si>
    <t>Total Geral</t>
  </si>
  <si>
    <t>Grupo</t>
  </si>
  <si>
    <t>Concessionária</t>
  </si>
  <si>
    <t>USD/EUR (EUR=X)
CCY - CCY Preço Adiado. Moeda em EUR</t>
  </si>
  <si>
    <t>https://br.financas.yahoo.com/quote/EUR%3DX/history?period1=1070236800&amp;period2=1665100800&amp;interval=1wk&amp;filter=history&amp;frequency=1wk&amp;includeAdjustedClose=true</t>
  </si>
  <si>
    <t>R$/US$</t>
  </si>
  <si>
    <t>média anual dos últimos 10 anos</t>
  </si>
  <si>
    <t>Variação média anual do câmbio R$/US$ em 10 anos</t>
  </si>
  <si>
    <t>Retorno anual médio dos últimos 5 anos, em US$ (% a.a.)</t>
  </si>
  <si>
    <t>Volatilidade do retorno de 5 anos, em US$, dos últimos 5 anos</t>
  </si>
  <si>
    <t>https://finance.yahoo.com/quote/%5ETNX/history?period1=-252374400&amp;period2=1666224000&amp;interval=1mo&amp;filter=history&amp;frequency=1mo&amp;includeAdjustedClose=true</t>
  </si>
  <si>
    <t>https://br.investing.com/rates-bonds/brazil-cds-10-years-usd-historical-data</t>
  </si>
  <si>
    <t>Taxa Atlantia</t>
  </si>
  <si>
    <t>Histórico da taxa efetiva de T paga pela Atlantia</t>
  </si>
  <si>
    <t>Beta Atlantia</t>
  </si>
  <si>
    <t>Cálculo do Beta de ATL</t>
  </si>
  <si>
    <t>22.</t>
  </si>
  <si>
    <t>23.</t>
  </si>
  <si>
    <t>24.</t>
  </si>
  <si>
    <t>câmbio USD-EUR</t>
  </si>
  <si>
    <t>Dados históricos da cotação do euro</t>
  </si>
  <si>
    <t>Cálculo do Beta realavancado, com base nas ações do setor de rodovias, e lambda</t>
  </si>
  <si>
    <t xml:space="preserve"> </t>
  </si>
  <si>
    <t>https://fred.stlouisfed.org/series/RIFLGFCY10NA</t>
  </si>
  <si>
    <t>RIFLGFCY10NA</t>
  </si>
  <si>
    <t>DADOS SEMANAIS (para cálculo do Beta)</t>
  </si>
  <si>
    <t>Dados Anuais</t>
  </si>
  <si>
    <t>https://pages.stern.nyu.edu/~adamodar/New_Home_Page/datafile/histretSP.html</t>
  </si>
  <si>
    <t>EV (milhões)</t>
  </si>
  <si>
    <t>SP500</t>
  </si>
  <si>
    <t>Média móvel 12 meses</t>
  </si>
  <si>
    <t>Série</t>
  </si>
  <si>
    <t>PRM.1</t>
  </si>
  <si>
    <t>RF, RP e CPI</t>
  </si>
  <si>
    <t>Prêmio de risco de mercado</t>
  </si>
  <si>
    <t>Planilha com dados de inputs para cálculo do Custo Médio Ponderado de Capital do setor rodoviário</t>
  </si>
  <si>
    <t>Ano de execução do cálculo</t>
  </si>
  <si>
    <t>Final da série histórica utilizada nos dados</t>
  </si>
  <si>
    <t>Nome do Cliente</t>
  </si>
  <si>
    <t>Data da Contratacao</t>
  </si>
  <si>
    <t>Valor Contratado</t>
  </si>
  <si>
    <t>Valor Desembolsado</t>
  </si>
  <si>
    <t>Custo Financeiro</t>
  </si>
  <si>
    <t>Taxa de Juros</t>
  </si>
  <si>
    <t>Proporção valor</t>
  </si>
  <si>
    <t>Taxa de Juros/100</t>
  </si>
  <si>
    <t>MRS LOGISTICA S/A</t>
  </si>
  <si>
    <t>11/01/22</t>
  </si>
  <si>
    <t>18069784,00</t>
  </si>
  <si>
    <t>15/12/21</t>
  </si>
  <si>
    <t>61930216,00</t>
  </si>
  <si>
    <t>RUMO MALHA NORTE S.A</t>
  </si>
  <si>
    <t>16/10/18</t>
  </si>
  <si>
    <t>24837000,00</t>
  </si>
  <si>
    <t>TJLP</t>
  </si>
  <si>
    <t>261955000,00</t>
  </si>
  <si>
    <t>287205000,00</t>
  </si>
  <si>
    <t>411490000,00</t>
  </si>
  <si>
    <t>85343000,00</t>
  </si>
  <si>
    <t>90776000,00</t>
  </si>
  <si>
    <t>31/08/18</t>
  </si>
  <si>
    <t>177884000,00</t>
  </si>
  <si>
    <t>74472000,00</t>
  </si>
  <si>
    <t>VLI MULTIMODAL S.A.</t>
  </si>
  <si>
    <t>14/03/18</t>
  </si>
  <si>
    <t>63722603,00</t>
  </si>
  <si>
    <t>06/07/17</t>
  </si>
  <si>
    <t>153571000,00</t>
  </si>
  <si>
    <t>768000,00</t>
  </si>
  <si>
    <t>28/12/16</t>
  </si>
  <si>
    <t>175912000,00</t>
  </si>
  <si>
    <t>224489000,00</t>
  </si>
  <si>
    <t>234734000,00</t>
  </si>
  <si>
    <t>30118000,00</t>
  </si>
  <si>
    <t>32715000,00</t>
  </si>
  <si>
    <t>4918000,00</t>
  </si>
  <si>
    <t>100000000,00</t>
  </si>
  <si>
    <t>115725000,00</t>
  </si>
  <si>
    <t>70000000,00</t>
  </si>
  <si>
    <t>17/12/15</t>
  </si>
  <si>
    <t>289000,00</t>
  </si>
  <si>
    <t>57740000,00</t>
  </si>
  <si>
    <t>16/12/15</t>
  </si>
  <si>
    <t>2924450,00</t>
  </si>
  <si>
    <t>389926600,00</t>
  </si>
  <si>
    <t>08/12/15</t>
  </si>
  <si>
    <t>194963300,00</t>
  </si>
  <si>
    <t>21/11/14</t>
  </si>
  <si>
    <t>107701000,00</t>
  </si>
  <si>
    <t>541000,00</t>
  </si>
  <si>
    <t>VALE S.A.</t>
  </si>
  <si>
    <t>19/05/14</t>
  </si>
  <si>
    <t>2418471000,00</t>
  </si>
  <si>
    <t>800000000,00</t>
  </si>
  <si>
    <t>13/02/14</t>
  </si>
  <si>
    <t>55770000,00</t>
  </si>
  <si>
    <t>570000,00</t>
  </si>
  <si>
    <t>58220000,00</t>
  </si>
  <si>
    <t>23/05/13</t>
  </si>
  <si>
    <t>109014984,00</t>
  </si>
  <si>
    <t>187017000,00</t>
  </si>
  <si>
    <t>2113000,00</t>
  </si>
  <si>
    <t>51429716,00</t>
  </si>
  <si>
    <t>6649518,00</t>
  </si>
  <si>
    <t>10/10/12</t>
  </si>
  <si>
    <t>146056000,00</t>
  </si>
  <si>
    <t>4562000,00</t>
  </si>
  <si>
    <t>24/09/12</t>
  </si>
  <si>
    <t>20000000,00</t>
  </si>
  <si>
    <t>548219000,00</t>
  </si>
  <si>
    <t>620035000,00</t>
  </si>
  <si>
    <t>641143000,00</t>
  </si>
  <si>
    <t>676949000,00</t>
  </si>
  <si>
    <t>680686000,00</t>
  </si>
  <si>
    <t>28/12/09</t>
  </si>
  <si>
    <t>1232143,00</t>
  </si>
  <si>
    <t>263171228,00</t>
  </si>
  <si>
    <t>58315776,00</t>
  </si>
  <si>
    <t>11/09/09</t>
  </si>
  <si>
    <t>34223070,00</t>
  </si>
  <si>
    <t>42466622,00</t>
  </si>
  <si>
    <t>4860820,00</t>
  </si>
  <si>
    <t>5875036,00</t>
  </si>
  <si>
    <t>06/08/09</t>
  </si>
  <si>
    <t>117839700,00</t>
  </si>
  <si>
    <t>122787000,00</t>
  </si>
  <si>
    <t>176090400,00</t>
  </si>
  <si>
    <t>22788000,00</t>
  </si>
  <si>
    <t>5450400,00</t>
  </si>
  <si>
    <t>73855800,00</t>
  </si>
  <si>
    <t>91960200,00</t>
  </si>
  <si>
    <t>28/08/07</t>
  </si>
  <si>
    <t>256929890,00</t>
  </si>
  <si>
    <t>29173287,00</t>
  </si>
  <si>
    <t>488465233,00</t>
  </si>
  <si>
    <t>26/04/07</t>
  </si>
  <si>
    <t>49997700,00</t>
  </si>
  <si>
    <t>16/12/05</t>
  </si>
  <si>
    <t>232633000,00</t>
  </si>
  <si>
    <t>32367000,00</t>
  </si>
  <si>
    <t>Juro médio</t>
  </si>
  <si>
    <t>Consulta a operações do BNDES</t>
  </si>
  <si>
    <t>Remuneração / Parcela do volume no índice</t>
  </si>
  <si>
    <t>Parcela do índice no volume total (%)</t>
  </si>
  <si>
    <t>Indicador</t>
  </si>
  <si>
    <t>Remuneração</t>
  </si>
  <si>
    <t>IdkA 5 anos</t>
  </si>
  <si>
    <t>Data de Emissão</t>
  </si>
  <si>
    <t>Data de Vencimento</t>
  </si>
  <si>
    <t>Volume (R$)</t>
  </si>
  <si>
    <t>% Total</t>
  </si>
  <si>
    <t>FERROVIA NORTE SUL S/A</t>
  </si>
  <si>
    <t>DI+</t>
  </si>
  <si>
    <t>IPCA+</t>
  </si>
  <si>
    <t>%DI</t>
  </si>
  <si>
    <t>SUPERVIA-CONCESSIONARIA DE TRANSPORTE FERROVIARIO S.A</t>
  </si>
  <si>
    <t>FERROVIA CENTRO ATLANTICA S/A</t>
  </si>
  <si>
    <t>RUMO MALHA PAULISTA S/A</t>
  </si>
  <si>
    <t>Custo médio ponderado pela participação no total</t>
  </si>
  <si>
    <t>RUMO MALHA NORTE S/A</t>
  </si>
  <si>
    <t>RUMO S.A.</t>
  </si>
  <si>
    <t>VALE S/A</t>
  </si>
  <si>
    <t>Spread / Parcela do volume no índice</t>
  </si>
  <si>
    <t>Concessionária + Grupo</t>
  </si>
  <si>
    <t>Lambda Ferrovias</t>
  </si>
  <si>
    <t>Exposição ferrovias ao mercado externo</t>
  </si>
  <si>
    <t>Vale (em R$ MM)</t>
  </si>
  <si>
    <t>Rumo (em R$ MM)</t>
  </si>
  <si>
    <t>Cosan (em R$ MM)</t>
  </si>
  <si>
    <t>CSN (em R$ MM)</t>
  </si>
  <si>
    <t>Usiminas (em R$ MM)</t>
  </si>
  <si>
    <t>Gerdau (em R$ MM)</t>
  </si>
  <si>
    <t>Preços e dados históricos de ações da Vale S.A. (VALE3.SA) - Yahoo Finanças</t>
  </si>
  <si>
    <t>4.311595</t>
  </si>
  <si>
    <t>5.176873</t>
  </si>
  <si>
    <t>4.264264</t>
  </si>
  <si>
    <t>5.038576</t>
  </si>
  <si>
    <t>3.406308</t>
  </si>
  <si>
    <t>5.028962</t>
  </si>
  <si>
    <t>7.395533</t>
  </si>
  <si>
    <t>4.919508</t>
  </si>
  <si>
    <t>6.600513</t>
  </si>
  <si>
    <t>4.462249</t>
  </si>
  <si>
    <t>6.573889</t>
  </si>
  <si>
    <t>9.169721</t>
  </si>
  <si>
    <t>6.448905</t>
  </si>
  <si>
    <t>8.371743</t>
  </si>
  <si>
    <t>5.659682</t>
  </si>
  <si>
    <t>8.356952</t>
  </si>
  <si>
    <t>11.463076</t>
  </si>
  <si>
    <t>7.691354</t>
  </si>
  <si>
    <t>10.974971</t>
  </si>
  <si>
    <t>7.419583</t>
  </si>
  <si>
    <t>11.167255</t>
  </si>
  <si>
    <t>12.645622</t>
  </si>
  <si>
    <t>9.628984</t>
  </si>
  <si>
    <t>11.877226</t>
  </si>
  <si>
    <t>8.029552</t>
  </si>
  <si>
    <t>14.035982</t>
  </si>
  <si>
    <t>8.726729</t>
  </si>
  <si>
    <t>10.612590</t>
  </si>
  <si>
    <t>7.174598</t>
  </si>
  <si>
    <t>10.797478</t>
  </si>
  <si>
    <t>10.798218</t>
  </si>
  <si>
    <t>10.316769</t>
  </si>
  <si>
    <t>6.974608</t>
  </si>
  <si>
    <t>10.220627</t>
  </si>
  <si>
    <t>11.529636</t>
  </si>
  <si>
    <t>9.624547</t>
  </si>
  <si>
    <t>10.409213</t>
  </si>
  <si>
    <t>7.037105</t>
  </si>
  <si>
    <t>10.346351</t>
  </si>
  <si>
    <t>11.089602</t>
  </si>
  <si>
    <t>8.010102</t>
  </si>
  <si>
    <t>5.649683</t>
  </si>
  <si>
    <t>8.535185</t>
  </si>
  <si>
    <t>8.916794</t>
  </si>
  <si>
    <t>6.025880</t>
  </si>
  <si>
    <t>7.776403</t>
  </si>
  <si>
    <t>5.257206</t>
  </si>
  <si>
    <t>7.987176</t>
  </si>
  <si>
    <t>8.730427</t>
  </si>
  <si>
    <t>6.955499</t>
  </si>
  <si>
    <t>8.098109</t>
  </si>
  <si>
    <t>5.474693</t>
  </si>
  <si>
    <t>8.319975</t>
  </si>
  <si>
    <t>8.719333</t>
  </si>
  <si>
    <t>7.698750</t>
  </si>
  <si>
    <t>8.359910</t>
  </si>
  <si>
    <t>5.651683</t>
  </si>
  <si>
    <t>8.364348</t>
  </si>
  <si>
    <t>10.174774</t>
  </si>
  <si>
    <t>8.109202</t>
  </si>
  <si>
    <t>9.917410</t>
  </si>
  <si>
    <t>6.704624</t>
  </si>
  <si>
    <t>10.574133</t>
  </si>
  <si>
    <t>8.042642</t>
  </si>
  <si>
    <t>9.029946</t>
  </si>
  <si>
    <t>6.104657</t>
  </si>
  <si>
    <t>9.174159</t>
  </si>
  <si>
    <t>9.562424</t>
  </si>
  <si>
    <t>8.100327</t>
  </si>
  <si>
    <t>8.701584</t>
  </si>
  <si>
    <t>5.882670</t>
  </si>
  <si>
    <t>8.464187</t>
  </si>
  <si>
    <t>8.978917</t>
  </si>
  <si>
    <t>7.798589</t>
  </si>
  <si>
    <t>8.275601</t>
  </si>
  <si>
    <t>5.594686</t>
  </si>
  <si>
    <t>9.975095</t>
  </si>
  <si>
    <t>8.186855</t>
  </si>
  <si>
    <t>8.674960</t>
  </si>
  <si>
    <t>5.864671</t>
  </si>
  <si>
    <t>9.449272</t>
  </si>
  <si>
    <t>8.386534</t>
  </si>
  <si>
    <t>9.107599</t>
  </si>
  <si>
    <t>6.157155</t>
  </si>
  <si>
    <t>9.096506</t>
  </si>
  <si>
    <t>9.187471</t>
  </si>
  <si>
    <t>6.633793</t>
  </si>
  <si>
    <t>6.993216</t>
  </si>
  <si>
    <t>4.727735</t>
  </si>
  <si>
    <t>7.010965</t>
  </si>
  <si>
    <t>7.998269</t>
  </si>
  <si>
    <t>6.667073</t>
  </si>
  <si>
    <t>7.033152</t>
  </si>
  <si>
    <t>4.754734</t>
  </si>
  <si>
    <t>6.944405</t>
  </si>
  <si>
    <t>7.421417</t>
  </si>
  <si>
    <t>4.770119</t>
  </si>
  <si>
    <t>4.836678</t>
  </si>
  <si>
    <t>3.315874</t>
  </si>
  <si>
    <t>4.903238</t>
  </si>
  <si>
    <t>5.881667</t>
  </si>
  <si>
    <t>4.550471</t>
  </si>
  <si>
    <t>5.546650</t>
  </si>
  <si>
    <t>3.802608</t>
  </si>
  <si>
    <t>5.568836</t>
  </si>
  <si>
    <t>6.460737</t>
  </si>
  <si>
    <t>5.335877</t>
  </si>
  <si>
    <t>6.039192</t>
  </si>
  <si>
    <t>4.140279</t>
  </si>
  <si>
    <t>5.890542</t>
  </si>
  <si>
    <t>5.979288</t>
  </si>
  <si>
    <t>4.104521</t>
  </si>
  <si>
    <t>4.656967</t>
  </si>
  <si>
    <t>3.192669</t>
  </si>
  <si>
    <t>4.672497</t>
  </si>
  <si>
    <t>5.019170</t>
  </si>
  <si>
    <t>4.450375</t>
  </si>
  <si>
    <t>4.621458</t>
  </si>
  <si>
    <t>3.168326</t>
  </si>
  <si>
    <t>6.243412</t>
  </si>
  <si>
    <t>4.497034</t>
  </si>
  <si>
    <t>6.107879</t>
  </si>
  <si>
    <t>4.187369</t>
  </si>
  <si>
    <t>6.198975</t>
  </si>
  <si>
    <t>6.532253</t>
  </si>
  <si>
    <t>5.145815</t>
  </si>
  <si>
    <t>6.421160</t>
  </si>
  <si>
    <t>4.402145</t>
  </si>
  <si>
    <t>6.418938</t>
  </si>
  <si>
    <t>7.154372</t>
  </si>
  <si>
    <t>5.332451</t>
  </si>
  <si>
    <t>5.776822</t>
  </si>
  <si>
    <t>3.960406</t>
  </si>
  <si>
    <t>5.823481</t>
  </si>
  <si>
    <t>6.643346</t>
  </si>
  <si>
    <t>5.121375</t>
  </si>
  <si>
    <t>4.554469</t>
  </si>
  <si>
    <t>6.654455</t>
  </si>
  <si>
    <t>5.554637</t>
  </si>
  <si>
    <t>5.687948</t>
  </si>
  <si>
    <t>3.899477</t>
  </si>
  <si>
    <t>5.681282</t>
  </si>
  <si>
    <t>6.354504</t>
  </si>
  <si>
    <t>5.268017</t>
  </si>
  <si>
    <t>6.154538</t>
  </si>
  <si>
    <t>4.219357</t>
  </si>
  <si>
    <t>5.999008</t>
  </si>
  <si>
    <t>7.587634</t>
  </si>
  <si>
    <t>6.841091</t>
  </si>
  <si>
    <t>4.690035</t>
  </si>
  <si>
    <t>6.758882</t>
  </si>
  <si>
    <t>6.907746</t>
  </si>
  <si>
    <t>5.690170</t>
  </si>
  <si>
    <t>5.770157</t>
  </si>
  <si>
    <t>3.955838</t>
  </si>
  <si>
    <t>5.665729</t>
  </si>
  <si>
    <t>5.754604</t>
  </si>
  <si>
    <t>2.743990</t>
  </si>
  <si>
    <t>2.821755</t>
  </si>
  <si>
    <t>1.934506</t>
  </si>
  <si>
    <t>2.892855</t>
  </si>
  <si>
    <t>3.108374</t>
  </si>
  <si>
    <t>1.777483</t>
  </si>
  <si>
    <t>2.344056</t>
  </si>
  <si>
    <t>1.607011</t>
  </si>
  <si>
    <t>2.368497</t>
  </si>
  <si>
    <t>2.795093</t>
  </si>
  <si>
    <t>2.021887</t>
  </si>
  <si>
    <t>2.488477</t>
  </si>
  <si>
    <t>1.706021</t>
  </si>
  <si>
    <t>2.472924</t>
  </si>
  <si>
    <t>2.732881</t>
  </si>
  <si>
    <t>2.046328</t>
  </si>
  <si>
    <t>2.497364</t>
  </si>
  <si>
    <t>1.712114</t>
  </si>
  <si>
    <t>2.930626</t>
  </si>
  <si>
    <t>1.977450</t>
  </si>
  <si>
    <t>2.332947</t>
  </si>
  <si>
    <t>1.599395</t>
  </si>
  <si>
    <t>2.301841</t>
  </si>
  <si>
    <t>2.699553</t>
  </si>
  <si>
    <t>2.166308</t>
  </si>
  <si>
    <t>2.288510</t>
  </si>
  <si>
    <t>1.568931</t>
  </si>
  <si>
    <t>2.241851</t>
  </si>
  <si>
    <t>2.521805</t>
  </si>
  <si>
    <t>2.055215</t>
  </si>
  <si>
    <t>2.141868</t>
  </si>
  <si>
    <t>1.468397</t>
  </si>
  <si>
    <t>2.132980</t>
  </si>
  <si>
    <t>3.355000</t>
  </si>
  <si>
    <t>2.075212</t>
  </si>
  <si>
    <t>2.990616</t>
  </si>
  <si>
    <t>2.050272</t>
  </si>
  <si>
    <t>3.752712</t>
  </si>
  <si>
    <t>3.521639</t>
  </si>
  <si>
    <t>2.415668</t>
  </si>
  <si>
    <t>3.532749</t>
  </si>
  <si>
    <t>3.692722</t>
  </si>
  <si>
    <t>2.939514</t>
  </si>
  <si>
    <t>3.199471</t>
  </si>
  <si>
    <t>2.194677</t>
  </si>
  <si>
    <t>3.223911</t>
  </si>
  <si>
    <t>4.006004</t>
  </si>
  <si>
    <t>3.077269</t>
  </si>
  <si>
    <t>3.779375</t>
  </si>
  <si>
    <t>2.592462</t>
  </si>
  <si>
    <t>3.888246</t>
  </si>
  <si>
    <t>4.796984</t>
  </si>
  <si>
    <t>3.701610</t>
  </si>
  <si>
    <t>4.690335</t>
  </si>
  <si>
    <t>3.217336</t>
  </si>
  <si>
    <t>4.721441</t>
  </si>
  <si>
    <t>4.770322</t>
  </si>
  <si>
    <t>4.225967</t>
  </si>
  <si>
    <t>4.345948</t>
  </si>
  <si>
    <t>2.981103</t>
  </si>
  <si>
    <t>4.688113</t>
  </si>
  <si>
    <t>3.954901</t>
  </si>
  <si>
    <t>4.121540</t>
  </si>
  <si>
    <t>2.827170</t>
  </si>
  <si>
    <t>4.856974</t>
  </si>
  <si>
    <t>4.034888</t>
  </si>
  <si>
    <t>4.577021</t>
  </si>
  <si>
    <t>3.139607</t>
  </si>
  <si>
    <t>4.654785</t>
  </si>
  <si>
    <t>4.601461</t>
  </si>
  <si>
    <t>3.810203</t>
  </si>
  <si>
    <t>5.750160</t>
  </si>
  <si>
    <t>4.703666</t>
  </si>
  <si>
    <t>4.732550</t>
  </si>
  <si>
    <t>3.246293</t>
  </si>
  <si>
    <t>4.999173</t>
  </si>
  <si>
    <t>5.627958</t>
  </si>
  <si>
    <t>4.945848</t>
  </si>
  <si>
    <t>5.230246</t>
  </si>
  <si>
    <t>3.587687</t>
  </si>
  <si>
    <t>5.232468</t>
  </si>
  <si>
    <t>5.310233</t>
  </si>
  <si>
    <t>4.783653</t>
  </si>
  <si>
    <t>4.816981</t>
  </si>
  <si>
    <t>3.304208</t>
  </si>
  <si>
    <t>4.885858</t>
  </si>
  <si>
    <t>5.276905</t>
  </si>
  <si>
    <t>4.672560</t>
  </si>
  <si>
    <t>4.910299</t>
  </si>
  <si>
    <t>3.368219</t>
  </si>
  <si>
    <t>5.021392</t>
  </si>
  <si>
    <t>5.085825</t>
  </si>
  <si>
    <t>4.610348</t>
  </si>
  <si>
    <t>3.162468</t>
  </si>
  <si>
    <t>4.523696</t>
  </si>
  <si>
    <t>5.103600</t>
  </si>
  <si>
    <t>4.310398</t>
  </si>
  <si>
    <t>5.016948</t>
  </si>
  <si>
    <t>3.441375</t>
  </si>
  <si>
    <t>4.972511</t>
  </si>
  <si>
    <t>4.965845</t>
  </si>
  <si>
    <t>5.572412</t>
  </si>
  <si>
    <t>5.676839</t>
  </si>
  <si>
    <t>4.921408</t>
  </si>
  <si>
    <t>3.488622</t>
  </si>
  <si>
    <t>5.039166</t>
  </si>
  <si>
    <t>5.585743</t>
  </si>
  <si>
    <t>3.918271</t>
  </si>
  <si>
    <t>5.576855</t>
  </si>
  <si>
    <t>6.221193</t>
  </si>
  <si>
    <t>5.454653</t>
  </si>
  <si>
    <t>5.965680</t>
  </si>
  <si>
    <t>4.184788</t>
  </si>
  <si>
    <t>6.043445</t>
  </si>
  <si>
    <t>6.487816</t>
  </si>
  <si>
    <t>5.510200</t>
  </si>
  <si>
    <t>5.832369</t>
  </si>
  <si>
    <t>4.091274</t>
  </si>
  <si>
    <t>5.892359</t>
  </si>
  <si>
    <t>5.463541</t>
  </si>
  <si>
    <t>6.134541</t>
  </si>
  <si>
    <t>4.303239</t>
  </si>
  <si>
    <t>6.232302</t>
  </si>
  <si>
    <t>6.365614</t>
  </si>
  <si>
    <t>5.783488</t>
  </si>
  <si>
    <t>4.056984</t>
  </si>
  <si>
    <t>6.045667</t>
  </si>
  <si>
    <t>5.305789</t>
  </si>
  <si>
    <t>5.774600</t>
  </si>
  <si>
    <t>4.050750</t>
  </si>
  <si>
    <t>6.019004</t>
  </si>
  <si>
    <t>5.452431</t>
  </si>
  <si>
    <t>5.643511</t>
  </si>
  <si>
    <t>3.958794</t>
  </si>
  <si>
    <t>5.974567</t>
  </si>
  <si>
    <t>5.132484</t>
  </si>
  <si>
    <t>5.376888</t>
  </si>
  <si>
    <t>3.771764</t>
  </si>
  <si>
    <t>5.387998</t>
  </si>
  <si>
    <t>4.679226</t>
  </si>
  <si>
    <t>5.365779</t>
  </si>
  <si>
    <t>3.763971</t>
  </si>
  <si>
    <t>5.308011</t>
  </si>
  <si>
    <t>5.134706</t>
  </si>
  <si>
    <t>5.465762</t>
  </si>
  <si>
    <t>3.834107</t>
  </si>
  <si>
    <t>5.467984</t>
  </si>
  <si>
    <t>3.740592</t>
  </si>
  <si>
    <t>5.183587</t>
  </si>
  <si>
    <t>5.354670</t>
  </si>
  <si>
    <t>4.185974</t>
  </si>
  <si>
    <t>3.725007</t>
  </si>
  <si>
    <t>5.739051</t>
  </si>
  <si>
    <t>5.090269</t>
  </si>
  <si>
    <t>5.325786</t>
  </si>
  <si>
    <t>3.824175</t>
  </si>
  <si>
    <t>5.265796</t>
  </si>
  <si>
    <t>6.061220</t>
  </si>
  <si>
    <t>4.934739</t>
  </si>
  <si>
    <t>5.954571</t>
  </si>
  <si>
    <t>4.275673</t>
  </si>
  <si>
    <t>6.101213</t>
  </si>
  <si>
    <t>5.976789</t>
  </si>
  <si>
    <t>4.291628</t>
  </si>
  <si>
    <t>6.063441</t>
  </si>
  <si>
    <t>6.290071</t>
  </si>
  <si>
    <t>5.787931</t>
  </si>
  <si>
    <t>4.307581</t>
  </si>
  <si>
    <t>5.996786</t>
  </si>
  <si>
    <t>6.281183</t>
  </si>
  <si>
    <t>5.856809</t>
  </si>
  <si>
    <t>4.510198</t>
  </si>
  <si>
    <t>6.310067</t>
  </si>
  <si>
    <t>6.952183</t>
  </si>
  <si>
    <t>6.250077</t>
  </si>
  <si>
    <t>6.832203</t>
  </si>
  <si>
    <t>4.905856</t>
  </si>
  <si>
    <t>6.809985</t>
  </si>
  <si>
    <t>7.763160</t>
  </si>
  <si>
    <t>7.545419</t>
  </si>
  <si>
    <t>5.417981</t>
  </si>
  <si>
    <t>7.552084</t>
  </si>
  <si>
    <t>7.732054</t>
  </si>
  <si>
    <t>6.834425</t>
  </si>
  <si>
    <t>7.354339</t>
  </si>
  <si>
    <t>5.280776</t>
  </si>
  <si>
    <t>7.509869</t>
  </si>
  <si>
    <t>6.316733</t>
  </si>
  <si>
    <t>6.656677</t>
  </si>
  <si>
    <t>4.779819</t>
  </si>
  <si>
    <t>6.598908</t>
  </si>
  <si>
    <t>7.101048</t>
  </si>
  <si>
    <t>6.885528</t>
  </si>
  <si>
    <t>4.944146</t>
  </si>
  <si>
    <t>6.821094</t>
  </si>
  <si>
    <t>7.165481</t>
  </si>
  <si>
    <t>6.932187</t>
  </si>
  <si>
    <t>4.977650</t>
  </si>
  <si>
    <t>6.854422</t>
  </si>
  <si>
    <t>7.598743</t>
  </si>
  <si>
    <t>6.705558</t>
  </si>
  <si>
    <t>5.392455</t>
  </si>
  <si>
    <t>7.472097</t>
  </si>
  <si>
    <t>8.323068</t>
  </si>
  <si>
    <t>7.303236</t>
  </si>
  <si>
    <t>8.227528</t>
  </si>
  <si>
    <t>6.042515</t>
  </si>
  <si>
    <t>8.196422</t>
  </si>
  <si>
    <t>8.765217</t>
  </si>
  <si>
    <t>8.034227</t>
  </si>
  <si>
    <t>8.654124</t>
  </si>
  <si>
    <t>6.355819</t>
  </si>
  <si>
    <t>8.736333</t>
  </si>
  <si>
    <t>8.962962</t>
  </si>
  <si>
    <t>8.549697</t>
  </si>
  <si>
    <t>8.729667</t>
  </si>
  <si>
    <t>6.411299</t>
  </si>
  <si>
    <t>8.769661</t>
  </si>
  <si>
    <t>9.531757</t>
  </si>
  <si>
    <t>8.445270</t>
  </si>
  <si>
    <t>9.276244</t>
  </si>
  <si>
    <t>6.812719</t>
  </si>
  <si>
    <t>10.633797</t>
  </si>
  <si>
    <t>9.240694</t>
  </si>
  <si>
    <t>10.442717</t>
  </si>
  <si>
    <t>7.669409</t>
  </si>
  <si>
    <t>10.487155</t>
  </si>
  <si>
    <t>10.762665</t>
  </si>
  <si>
    <t>9.940578</t>
  </si>
  <si>
    <t>10.367174</t>
  </si>
  <si>
    <t>7.613927</t>
  </si>
  <si>
    <t>10.378284</t>
  </si>
  <si>
    <t>10.860426</t>
  </si>
  <si>
    <t>9.782827</t>
  </si>
  <si>
    <t>10.260525</t>
  </si>
  <si>
    <t>7.535601</t>
  </si>
  <si>
    <t>10.027231</t>
  </si>
  <si>
    <t>10.576029</t>
  </si>
  <si>
    <t>9.331790</t>
  </si>
  <si>
    <t>7.767317</t>
  </si>
  <si>
    <t>10.975963</t>
  </si>
  <si>
    <t>10.162764</t>
  </si>
  <si>
    <t>10.509373</t>
  </si>
  <si>
    <t>7.718362</t>
  </si>
  <si>
    <t>10.516039</t>
  </si>
  <si>
    <t>10.520482</t>
  </si>
  <si>
    <t>9.022952</t>
  </si>
  <si>
    <t>9.620631</t>
  </si>
  <si>
    <t>7.065647</t>
  </si>
  <si>
    <t>9.631740</t>
  </si>
  <si>
    <t>9.887254</t>
  </si>
  <si>
    <t>9.174038</t>
  </si>
  <si>
    <t>9.445105</t>
  </si>
  <si>
    <t>6.936736</t>
  </si>
  <si>
    <t>9.518426</t>
  </si>
  <si>
    <t>9.836151</t>
  </si>
  <si>
    <t>9.242916</t>
  </si>
  <si>
    <t>6.788243</t>
  </si>
  <si>
    <t>9.811711</t>
  </si>
  <si>
    <t>8.987402</t>
  </si>
  <si>
    <t>9.491764</t>
  </si>
  <si>
    <t>7.110631</t>
  </si>
  <si>
    <t>9.591747</t>
  </si>
  <si>
    <t>10.018343</t>
  </si>
  <si>
    <t>9.980572</t>
  </si>
  <si>
    <t>7.476812</t>
  </si>
  <si>
    <t>9.876144</t>
  </si>
  <si>
    <t>10.051671</t>
  </si>
  <si>
    <t>9.269578</t>
  </si>
  <si>
    <t>9.553975</t>
  </si>
  <si>
    <t>7.157234</t>
  </si>
  <si>
    <t>9.473989</t>
  </si>
  <si>
    <t>8.665234</t>
  </si>
  <si>
    <t>8.794101</t>
  </si>
  <si>
    <t>6.587985</t>
  </si>
  <si>
    <t>8.811876</t>
  </si>
  <si>
    <t>7.609852</t>
  </si>
  <si>
    <t>7.985346</t>
  </si>
  <si>
    <t>5.982116</t>
  </si>
  <si>
    <t>7.923134</t>
  </si>
  <si>
    <t>8.300849</t>
  </si>
  <si>
    <t>7.343230</t>
  </si>
  <si>
    <t>7.707614</t>
  </si>
  <si>
    <t>5.774057</t>
  </si>
  <si>
    <t>7.858700</t>
  </si>
  <si>
    <t>7.238803</t>
  </si>
  <si>
    <t>7.834260</t>
  </si>
  <si>
    <t>5.868933</t>
  </si>
  <si>
    <t>7.776492</t>
  </si>
  <si>
    <t>8.789657</t>
  </si>
  <si>
    <t>7.627627</t>
  </si>
  <si>
    <t>8.454157</t>
  </si>
  <si>
    <t>6.333320</t>
  </si>
  <si>
    <t>8.874088</t>
  </si>
  <si>
    <t>8.118657</t>
  </si>
  <si>
    <t>8.387502</t>
  </si>
  <si>
    <t>6.283386</t>
  </si>
  <si>
    <t>8.365283</t>
  </si>
  <si>
    <t>9.296240</t>
  </si>
  <si>
    <t>8.331955</t>
  </si>
  <si>
    <t>8.909638</t>
  </si>
  <si>
    <t>6.748591</t>
  </si>
  <si>
    <t>8.918525</t>
  </si>
  <si>
    <t>9.027396</t>
  </si>
  <si>
    <t>8.060889</t>
  </si>
  <si>
    <t>8.258634</t>
  </si>
  <si>
    <t>6.255489</t>
  </si>
  <si>
    <t>8.229750</t>
  </si>
  <si>
    <t>10.398280</t>
  </si>
  <si>
    <t>7.969793</t>
  </si>
  <si>
    <t>10.373840</t>
  </si>
  <si>
    <t>7.857650</t>
  </si>
  <si>
    <t>10.593804</t>
  </si>
  <si>
    <t>10.616022</t>
  </si>
  <si>
    <t>8.443048</t>
  </si>
  <si>
    <t>8.740777</t>
  </si>
  <si>
    <t>6.620688</t>
  </si>
  <si>
    <t>8.600800</t>
  </si>
  <si>
    <t>9.725000</t>
  </si>
  <si>
    <t>7.627500</t>
  </si>
  <si>
    <t>8.647500</t>
  </si>
  <si>
    <t>6.550035</t>
  </si>
  <si>
    <t>8.625000</t>
  </si>
  <si>
    <t>8.660000</t>
  </si>
  <si>
    <t>7.237500</t>
  </si>
  <si>
    <t>7.950000</t>
  </si>
  <si>
    <t>6.081606</t>
  </si>
  <si>
    <t>7.852500</t>
  </si>
  <si>
    <t>8.092500</t>
  </si>
  <si>
    <t>6.252500</t>
  </si>
  <si>
    <t>7.212500</t>
  </si>
  <si>
    <t>5.517431</t>
  </si>
  <si>
    <t>5.827500</t>
  </si>
  <si>
    <t>6.132500</t>
  </si>
  <si>
    <t>4.691250</t>
  </si>
  <si>
    <t>6.152500</t>
  </si>
  <si>
    <t>7.167500</t>
  </si>
  <si>
    <t>5.950000</t>
  </si>
  <si>
    <t>7.072500</t>
  </si>
  <si>
    <t>5.410334</t>
  </si>
  <si>
    <t>7.277500</t>
  </si>
  <si>
    <t>6.322500</t>
  </si>
  <si>
    <t>6.972500</t>
  </si>
  <si>
    <t>5.333836</t>
  </si>
  <si>
    <t>6.990000</t>
  </si>
  <si>
    <t>7.607500</t>
  </si>
  <si>
    <t>7.375000</t>
  </si>
  <si>
    <t>5.641741</t>
  </si>
  <si>
    <t>7.412500</t>
  </si>
  <si>
    <t>6.187500</t>
  </si>
  <si>
    <t>6.290000</t>
  </si>
  <si>
    <t>4.811736</t>
  </si>
  <si>
    <t>6.275000</t>
  </si>
  <si>
    <t>6.742500</t>
  </si>
  <si>
    <t>6.195000</t>
  </si>
  <si>
    <t>6.287500</t>
  </si>
  <si>
    <t>4.860569</t>
  </si>
  <si>
    <t>6.305000</t>
  </si>
  <si>
    <t>6.317500</t>
  </si>
  <si>
    <t>5.002500</t>
  </si>
  <si>
    <t>5.200000</t>
  </si>
  <si>
    <t>4.019874</t>
  </si>
  <si>
    <t>5.150000</t>
  </si>
  <si>
    <t>5.287500</t>
  </si>
  <si>
    <t>4.262500</t>
  </si>
  <si>
    <t>4.537500</t>
  </si>
  <si>
    <t>3.507727</t>
  </si>
  <si>
    <t>4.427500</t>
  </si>
  <si>
    <t>5.222500</t>
  </si>
  <si>
    <t>4.325000</t>
  </si>
  <si>
    <t>5.032500</t>
  </si>
  <si>
    <t>3.890388</t>
  </si>
  <si>
    <t>5.120000</t>
  </si>
  <si>
    <t>6.177500</t>
  </si>
  <si>
    <t>4.877500</t>
  </si>
  <si>
    <t>4.868966</t>
  </si>
  <si>
    <t>6.735000</t>
  </si>
  <si>
    <t>6.025000</t>
  </si>
  <si>
    <t>4.748770</t>
  </si>
  <si>
    <t>5.962500</t>
  </si>
  <si>
    <t>6.560000</t>
  </si>
  <si>
    <t>5.890000</t>
  </si>
  <si>
    <t>6.300000</t>
  </si>
  <si>
    <t>4.965518</t>
  </si>
  <si>
    <t>6.372500</t>
  </si>
  <si>
    <t>5.402500</t>
  </si>
  <si>
    <t>6.285000</t>
  </si>
  <si>
    <t>4.953695</t>
  </si>
  <si>
    <t>6.250000</t>
  </si>
  <si>
    <t>5.610000</t>
  </si>
  <si>
    <t>6.687500</t>
  </si>
  <si>
    <t>5.270936</t>
  </si>
  <si>
    <t>6.722500</t>
  </si>
  <si>
    <t>8.215000</t>
  </si>
  <si>
    <t>6.700000</t>
  </si>
  <si>
    <t>7.847500</t>
  </si>
  <si>
    <t>6.368505</t>
  </si>
  <si>
    <t>7.962500</t>
  </si>
  <si>
    <t>8.332500</t>
  </si>
  <si>
    <t>7.157500</t>
  </si>
  <si>
    <t>7.960000</t>
  </si>
  <si>
    <t>6.459802</t>
  </si>
  <si>
    <t>8.025000</t>
  </si>
  <si>
    <t>9.015000</t>
  </si>
  <si>
    <t>7.540000</t>
  </si>
  <si>
    <t>8.207500</t>
  </si>
  <si>
    <t>6.660657</t>
  </si>
  <si>
    <t>8.212500</t>
  </si>
  <si>
    <t>7.775000</t>
  </si>
  <si>
    <t>8.327500</t>
  </si>
  <si>
    <t>6.901949</t>
  </si>
  <si>
    <t>8.427500</t>
  </si>
  <si>
    <t>8.792500</t>
  </si>
  <si>
    <t>8.287500</t>
  </si>
  <si>
    <t>8.512500</t>
  </si>
  <si>
    <t>7.055279</t>
  </si>
  <si>
    <t>8.545000</t>
  </si>
  <si>
    <t>9.637500</t>
  </si>
  <si>
    <t>7.987500</t>
  </si>
  <si>
    <t>9.405000</t>
  </si>
  <si>
    <t>7.794995</t>
  </si>
  <si>
    <t>9.400000</t>
  </si>
  <si>
    <t>9.662500</t>
  </si>
  <si>
    <t>8.835000</t>
  </si>
  <si>
    <t>9.427500</t>
  </si>
  <si>
    <t>7.813644</t>
  </si>
  <si>
    <t>9.437500</t>
  </si>
  <si>
    <t>11.092500</t>
  </si>
  <si>
    <t>9.402500</t>
  </si>
  <si>
    <t>10.730000</t>
  </si>
  <si>
    <t>8.893173</t>
  </si>
  <si>
    <t>10.775000</t>
  </si>
  <si>
    <t>10.822500</t>
  </si>
  <si>
    <t>9.870000</t>
  </si>
  <si>
    <t>8.180394</t>
  </si>
  <si>
    <t>9.747500</t>
  </si>
  <si>
    <t>9.945000</t>
  </si>
  <si>
    <t>8.752500</t>
  </si>
  <si>
    <t>9.537500</t>
  </si>
  <si>
    <t>7.904816</t>
  </si>
  <si>
    <t>10.347500</t>
  </si>
  <si>
    <t>9.212500</t>
  </si>
  <si>
    <t>10.067500</t>
  </si>
  <si>
    <t>8.508237</t>
  </si>
  <si>
    <t>10.152500</t>
  </si>
  <si>
    <t>10.875000</t>
  </si>
  <si>
    <t>9.812500</t>
  </si>
  <si>
    <t>9.975000</t>
  </si>
  <si>
    <t>8.430064</t>
  </si>
  <si>
    <t>9.980000</t>
  </si>
  <si>
    <t>10.065000</t>
  </si>
  <si>
    <t>8.982500</t>
  </si>
  <si>
    <t>9.715000</t>
  </si>
  <si>
    <t>8.210334</t>
  </si>
  <si>
    <t>9.707500</t>
  </si>
  <si>
    <t>9.957500</t>
  </si>
  <si>
    <t>8.820000</t>
  </si>
  <si>
    <t>9.277500</t>
  </si>
  <si>
    <t>7.840594</t>
  </si>
  <si>
    <t>9.792500</t>
  </si>
  <si>
    <t>8.252500</t>
  </si>
  <si>
    <t>9.007500</t>
  </si>
  <si>
    <t>7.612412</t>
  </si>
  <si>
    <t>9.100000</t>
  </si>
  <si>
    <t>9.350000</t>
  </si>
  <si>
    <t>7.477500</t>
  </si>
  <si>
    <t>8.645000</t>
  </si>
  <si>
    <t>7.494201</t>
  </si>
  <si>
    <t>9.125000</t>
  </si>
  <si>
    <t>8.192500</t>
  </si>
  <si>
    <t>9.025000</t>
  </si>
  <si>
    <t>7.823616</t>
  </si>
  <si>
    <t>9.010000</t>
  </si>
  <si>
    <t>9.750000</t>
  </si>
  <si>
    <t>9.647500</t>
  </si>
  <si>
    <t>8.363251</t>
  </si>
  <si>
    <t>9.670000</t>
  </si>
  <si>
    <t>9.995000</t>
  </si>
  <si>
    <t>8.912500</t>
  </si>
  <si>
    <t>9.050000</t>
  </si>
  <si>
    <t>7.845288</t>
  </si>
  <si>
    <t>9.000000</t>
  </si>
  <si>
    <t>9.917500</t>
  </si>
  <si>
    <t>8.887500</t>
  </si>
  <si>
    <t>8.105354</t>
  </si>
  <si>
    <t>9.397500</t>
  </si>
  <si>
    <t>9.462500</t>
  </si>
  <si>
    <t>8.742500</t>
  </si>
  <si>
    <t>8.957500</t>
  </si>
  <si>
    <t>7.765102</t>
  </si>
  <si>
    <t>8.945000</t>
  </si>
  <si>
    <t>10.445000</t>
  </si>
  <si>
    <t>8.527500</t>
  </si>
  <si>
    <t>10.375000</t>
  </si>
  <si>
    <t>8.993907</t>
  </si>
  <si>
    <t>11.445000</t>
  </si>
  <si>
    <t>10.082500</t>
  </si>
  <si>
    <t>10.910000</t>
  </si>
  <si>
    <t>9.457689</t>
  </si>
  <si>
    <t>10.890000</t>
  </si>
  <si>
    <t>12.087500</t>
  </si>
  <si>
    <t>10.410000</t>
  </si>
  <si>
    <t>10.842500</t>
  </si>
  <si>
    <t>9.399175</t>
  </si>
  <si>
    <t>10.787500</t>
  </si>
  <si>
    <t>11.407500</t>
  </si>
  <si>
    <t>10.102500</t>
  </si>
  <si>
    <t>10.377500</t>
  </si>
  <si>
    <t>8.996076</t>
  </si>
  <si>
    <t>10.380000</t>
  </si>
  <si>
    <t>8.621148</t>
  </si>
  <si>
    <t>10.437500</t>
  </si>
  <si>
    <t>9.700000</t>
  </si>
  <si>
    <t>8.408762</t>
  </si>
  <si>
    <t>9.875000</t>
  </si>
  <si>
    <t>10.100000</t>
  </si>
  <si>
    <t>8.477500</t>
  </si>
  <si>
    <t>8.795000</t>
  </si>
  <si>
    <t>7.843144</t>
  </si>
  <si>
    <t>8.897500</t>
  </si>
  <si>
    <t>9.985000</t>
  </si>
  <si>
    <t>8.615000</t>
  </si>
  <si>
    <t>9.217500</t>
  </si>
  <si>
    <t>8.219918</t>
  </si>
  <si>
    <t>9.150000</t>
  </si>
  <si>
    <t>10.002500</t>
  </si>
  <si>
    <t>8.632500</t>
  </si>
  <si>
    <t>8.700000</t>
  </si>
  <si>
    <t>7.758426</t>
  </si>
  <si>
    <t>8.857500</t>
  </si>
  <si>
    <t>8.002500</t>
  </si>
  <si>
    <t>8.102500</t>
  </si>
  <si>
    <t>7.225592</t>
  </si>
  <si>
    <t>8.105000</t>
  </si>
  <si>
    <t>9.500000</t>
  </si>
  <si>
    <t>7.880000</t>
  </si>
  <si>
    <t>8.062500</t>
  </si>
  <si>
    <t>7.189920</t>
  </si>
  <si>
    <t>8.085000</t>
  </si>
  <si>
    <t>9.192500</t>
  </si>
  <si>
    <t>7.682625</t>
  </si>
  <si>
    <t>8.797500</t>
  </si>
  <si>
    <t>8.922500</t>
  </si>
  <si>
    <t>7.915000</t>
  </si>
  <si>
    <t>8.365000</t>
  </si>
  <si>
    <t>7.459681</t>
  </si>
  <si>
    <t>11.450000</t>
  </si>
  <si>
    <t>8.315000</t>
  </si>
  <si>
    <t>11.097500</t>
  </si>
  <si>
    <t>9.896451</t>
  </si>
  <si>
    <t>11.392500</t>
  </si>
  <si>
    <t>10.402500</t>
  </si>
  <si>
    <t>10.925000</t>
  </si>
  <si>
    <t>9.742622</t>
  </si>
  <si>
    <t>10.872500</t>
  </si>
  <si>
    <t>11.750000</t>
  </si>
  <si>
    <t>10.265000</t>
  </si>
  <si>
    <t>10.662500</t>
  </si>
  <si>
    <t>9.508532</t>
  </si>
  <si>
    <t>10.765000</t>
  </si>
  <si>
    <t>12.100000</t>
  </si>
  <si>
    <t>10.650000</t>
  </si>
  <si>
    <t>11.717500</t>
  </si>
  <si>
    <t>10.449351</t>
  </si>
  <si>
    <t>11.975000</t>
  </si>
  <si>
    <t>10.500000</t>
  </si>
  <si>
    <t>11.785000</t>
  </si>
  <si>
    <t>10.509546</t>
  </si>
  <si>
    <t>11.872500</t>
  </si>
  <si>
    <t>12.290000</t>
  </si>
  <si>
    <t>11.292500</t>
  </si>
  <si>
    <t>11.537500</t>
  </si>
  <si>
    <t>10.513721</t>
  </si>
  <si>
    <t>11.667500</t>
  </si>
  <si>
    <t>12.872500</t>
  </si>
  <si>
    <t>11.522500</t>
  </si>
  <si>
    <t>12.720000</t>
  </si>
  <si>
    <t>11.591293</t>
  </si>
  <si>
    <t>12.842500</t>
  </si>
  <si>
    <t>13.332500</t>
  </si>
  <si>
    <t>11.685000</t>
  </si>
  <si>
    <t>12.497500</t>
  </si>
  <si>
    <t>11.388535</t>
  </si>
  <si>
    <t>12.495000</t>
  </si>
  <si>
    <t>13.920000</t>
  </si>
  <si>
    <t>12.202500</t>
  </si>
  <si>
    <t>13.300000</t>
  </si>
  <si>
    <t>12.119827</t>
  </si>
  <si>
    <t>13.350000</t>
  </si>
  <si>
    <t>14.750000</t>
  </si>
  <si>
    <t>12.762500</t>
  </si>
  <si>
    <t>14.447500</t>
  </si>
  <si>
    <t>13.165503</t>
  </si>
  <si>
    <t>14.365000</t>
  </si>
  <si>
    <t>15.772500</t>
  </si>
  <si>
    <t>14.250000</t>
  </si>
  <si>
    <t>15.525000</t>
  </si>
  <si>
    <t>14.147390</t>
  </si>
  <si>
    <t>15.707500</t>
  </si>
  <si>
    <t>17.635000</t>
  </si>
  <si>
    <t>15.542500</t>
  </si>
  <si>
    <t>17.392500</t>
  </si>
  <si>
    <t>15.849180</t>
  </si>
  <si>
    <t>20.440001</t>
  </si>
  <si>
    <t>19.924999</t>
  </si>
  <si>
    <t>18.156958</t>
  </si>
  <si>
    <t>20.357500</t>
  </si>
  <si>
    <t>21.372499</t>
  </si>
  <si>
    <t>17.400000</t>
  </si>
  <si>
    <t>18.292500</t>
  </si>
  <si>
    <t>16.669319</t>
  </si>
  <si>
    <t>18.290001</t>
  </si>
  <si>
    <t>19.687500</t>
  </si>
  <si>
    <t>13.440000</t>
  </si>
  <si>
    <t>12.247402</t>
  </si>
  <si>
    <t>13.000000</t>
  </si>
  <si>
    <t>16.004999</t>
  </si>
  <si>
    <t>11.725000</t>
  </si>
  <si>
    <t>15.085000</t>
  </si>
  <si>
    <t>13.746435</t>
  </si>
  <si>
    <t>16.815001</t>
  </si>
  <si>
    <t>14.297500</t>
  </si>
  <si>
    <t>16.462500</t>
  </si>
  <si>
    <t>15.001701</t>
  </si>
  <si>
    <t>16.552500</t>
  </si>
  <si>
    <t>18.162500</t>
  </si>
  <si>
    <t>15.877500</t>
  </si>
  <si>
    <t>17.730000</t>
  </si>
  <si>
    <t>16.156729</t>
  </si>
  <si>
    <t>17.870001</t>
  </si>
  <si>
    <t>22.677500</t>
  </si>
  <si>
    <t>17.799999</t>
  </si>
  <si>
    <t>22.600000</t>
  </si>
  <si>
    <t>21.033159</t>
  </si>
  <si>
    <t>22.950001</t>
  </si>
  <si>
    <t>22.990000</t>
  </si>
  <si>
    <t>20.105000</t>
  </si>
  <si>
    <t>20.812500</t>
  </si>
  <si>
    <t>19.369589</t>
  </si>
  <si>
    <t>21.017500</t>
  </si>
  <si>
    <t>21.370001</t>
  </si>
  <si>
    <t>16.232500</t>
  </si>
  <si>
    <t>17.082500</t>
  </si>
  <si>
    <t>15.898186</t>
  </si>
  <si>
    <t>18.187500</t>
  </si>
  <si>
    <t>16.162500</t>
  </si>
  <si>
    <t>16.247499</t>
  </si>
  <si>
    <t>15.121074</t>
  </si>
  <si>
    <t>21.612499</t>
  </si>
  <si>
    <t>16.125000</t>
  </si>
  <si>
    <t>19.385000</t>
  </si>
  <si>
    <t>18.041056</t>
  </si>
  <si>
    <t>19.575001</t>
  </si>
  <si>
    <t>19.965000</t>
  </si>
  <si>
    <t>17.150000</t>
  </si>
  <si>
    <t>18.932501</t>
  </si>
  <si>
    <t>17.619926</t>
  </si>
  <si>
    <t>21.317499</t>
  </si>
  <si>
    <t>18.764999</t>
  </si>
  <si>
    <t>17.464037</t>
  </si>
  <si>
    <t>19.065001</t>
  </si>
  <si>
    <t>22.160000</t>
  </si>
  <si>
    <t>18.762501</t>
  </si>
  <si>
    <t>20.350000</t>
  </si>
  <si>
    <t>18.939152</t>
  </si>
  <si>
    <t>20.625000</t>
  </si>
  <si>
    <t>24.129999</t>
  </si>
  <si>
    <t>19.212500</t>
  </si>
  <si>
    <t>22.855000</t>
  </si>
  <si>
    <t>21.270479</t>
  </si>
  <si>
    <t>23.032499</t>
  </si>
  <si>
    <t>23.625000</t>
  </si>
  <si>
    <t>22.052500</t>
  </si>
  <si>
    <t>22.514999</t>
  </si>
  <si>
    <t>20.954052</t>
  </si>
  <si>
    <t>22.752501</t>
  </si>
  <si>
    <t>23.840000</t>
  </si>
  <si>
    <t>21.170000</t>
  </si>
  <si>
    <t>23.370001</t>
  </si>
  <si>
    <t>21.749779</t>
  </si>
  <si>
    <t>24.000000</t>
  </si>
  <si>
    <t>25.920000</t>
  </si>
  <si>
    <t>23.410000</t>
  </si>
  <si>
    <t>23.959999</t>
  </si>
  <si>
    <t>22.559607</t>
  </si>
  <si>
    <t>23.809999</t>
  </si>
  <si>
    <t>27.389999</t>
  </si>
  <si>
    <t>23.260000</t>
  </si>
  <si>
    <t>25.549999</t>
  </si>
  <si>
    <t>24.056677</t>
  </si>
  <si>
    <t>25.910000</t>
  </si>
  <si>
    <t>26.250000</t>
  </si>
  <si>
    <t>21.730000</t>
  </si>
  <si>
    <t>22.049999</t>
  </si>
  <si>
    <t>20.761240</t>
  </si>
  <si>
    <t>21.879999</t>
  </si>
  <si>
    <t>24.200001</t>
  </si>
  <si>
    <t>21.420000</t>
  </si>
  <si>
    <t>22.980000</t>
  </si>
  <si>
    <t>21.636885</t>
  </si>
  <si>
    <t>23.040001</t>
  </si>
  <si>
    <t>23.910000</t>
  </si>
  <si>
    <t>19.530001</t>
  </si>
  <si>
    <t>19.790001</t>
  </si>
  <si>
    <t>18.633331</t>
  </si>
  <si>
    <t>20.049999</t>
  </si>
  <si>
    <t>22.410000</t>
  </si>
  <si>
    <t>21.250000</t>
  </si>
  <si>
    <t>20.007999</t>
  </si>
  <si>
    <t>21.400000</t>
  </si>
  <si>
    <t>23.100000</t>
  </si>
  <si>
    <t>21.020000</t>
  </si>
  <si>
    <t>21.629999</t>
  </si>
  <si>
    <t>20.365789</t>
  </si>
  <si>
    <t>21.770000</t>
  </si>
  <si>
    <t>24.100000</t>
  </si>
  <si>
    <t>19.389999</t>
  </si>
  <si>
    <t>23.770000</t>
  </si>
  <si>
    <t>22.764866</t>
  </si>
  <si>
    <t>19.990000</t>
  </si>
  <si>
    <t>21.110001</t>
  </si>
  <si>
    <t>20.217344</t>
  </si>
  <si>
    <t>25.219999</t>
  </si>
  <si>
    <t>20.510000</t>
  </si>
  <si>
    <t>23.650000</t>
  </si>
  <si>
    <t>22.649937</t>
  </si>
  <si>
    <t>23.780001</t>
  </si>
  <si>
    <t>24.059999</t>
  </si>
  <si>
    <t>20.879999</t>
  </si>
  <si>
    <t>21.000000</t>
  </si>
  <si>
    <t>20.111996</t>
  </si>
  <si>
    <t>22.040001</t>
  </si>
  <si>
    <t>17.030001</t>
  </si>
  <si>
    <t>21.610001</t>
  </si>
  <si>
    <t>20.696201</t>
  </si>
  <si>
    <t>21.910000</t>
  </si>
  <si>
    <t>22.400000</t>
  </si>
  <si>
    <t>17.940001</t>
  </si>
  <si>
    <t>18.200001</t>
  </si>
  <si>
    <t>18.100000</t>
  </si>
  <si>
    <t>19.020000</t>
  </si>
  <si>
    <t>16.440001</t>
  </si>
  <si>
    <t>18.670000</t>
  </si>
  <si>
    <t>21.760000</t>
  </si>
  <si>
    <t>18.490000</t>
  </si>
  <si>
    <t>19.980000</t>
  </si>
  <si>
    <t>20.000000</t>
  </si>
  <si>
    <t>20.070000</t>
  </si>
  <si>
    <t>16.740000</t>
  </si>
  <si>
    <t>17.379999</t>
  </si>
  <si>
    <t>17.969999</t>
  </si>
  <si>
    <t>19.180000</t>
  </si>
  <si>
    <t>15.230000</t>
  </si>
  <si>
    <t>16.860001</t>
  </si>
  <si>
    <t>17.049999</t>
  </si>
  <si>
    <t>19.030001</t>
  </si>
  <si>
    <t>16.340000</t>
  </si>
  <si>
    <t>18.030001</t>
  </si>
  <si>
    <t>18.080000</t>
  </si>
  <si>
    <t>15.530000</t>
  </si>
  <si>
    <t>17.120001</t>
  </si>
  <si>
    <t>16.980000</t>
  </si>
  <si>
    <t>18.070000</t>
  </si>
  <si>
    <t>15.350000</t>
  </si>
  <si>
    <t>16.700001</t>
  </si>
  <si>
    <t>16.629999</t>
  </si>
  <si>
    <t>16.870001</t>
  </si>
  <si>
    <t>14.580000</t>
  </si>
  <si>
    <t>14.980000</t>
  </si>
  <si>
    <t>15.120000</t>
  </si>
  <si>
    <t>15.550000</t>
  </si>
  <si>
    <t>14.520000</t>
  </si>
  <si>
    <t>15.500000</t>
  </si>
  <si>
    <t>Preços e dados históricos de ações da Usinas Siderúrgicas de Minas Gerais S.A. (USIM5.SA) - Yahoo Finanças</t>
  </si>
  <si>
    <t>2.377777</t>
  </si>
  <si>
    <t>2.622222</t>
  </si>
  <si>
    <t>2.088888</t>
  </si>
  <si>
    <t>2.111111</t>
  </si>
  <si>
    <t>1.566250</t>
  </si>
  <si>
    <t>2.244444</t>
  </si>
  <si>
    <t>1.900000</t>
  </si>
  <si>
    <t>1.922222</t>
  </si>
  <si>
    <t>1.426112</t>
  </si>
  <si>
    <t>1.944444</t>
  </si>
  <si>
    <t>2.066666</t>
  </si>
  <si>
    <t>1.546666</t>
  </si>
  <si>
    <t>1.677777</t>
  </si>
  <si>
    <t>1.244756</t>
  </si>
  <si>
    <t>2.044444</t>
  </si>
  <si>
    <t>1.611111</t>
  </si>
  <si>
    <t>1.777777</t>
  </si>
  <si>
    <t>1.318947</t>
  </si>
  <si>
    <t>1.800000</t>
  </si>
  <si>
    <t>1.955555</t>
  </si>
  <si>
    <t>1.602222</t>
  </si>
  <si>
    <t>1.853333</t>
  </si>
  <si>
    <t>1.375003</t>
  </si>
  <si>
    <t>1.866666</t>
  </si>
  <si>
    <t>2.277777</t>
  </si>
  <si>
    <t>2.177777</t>
  </si>
  <si>
    <t>1.615710</t>
  </si>
  <si>
    <t>2.640000</t>
  </si>
  <si>
    <t>2.068888</t>
  </si>
  <si>
    <t>2.355555</t>
  </si>
  <si>
    <t>1.747605</t>
  </si>
  <si>
    <t>2.595555</t>
  </si>
  <si>
    <t>2.333333</t>
  </si>
  <si>
    <t>1.731118</t>
  </si>
  <si>
    <t>1.844444</t>
  </si>
  <si>
    <t>2.200000</t>
  </si>
  <si>
    <t>2.100000</t>
  </si>
  <si>
    <t>1.755555</t>
  </si>
  <si>
    <t>1.951111</t>
  </si>
  <si>
    <t>1.447545</t>
  </si>
  <si>
    <t>2.666666</t>
  </si>
  <si>
    <t>1.933333</t>
  </si>
  <si>
    <t>2.644444</t>
  </si>
  <si>
    <t>1.961934</t>
  </si>
  <si>
    <t>2.560000</t>
  </si>
  <si>
    <t>2.311111</t>
  </si>
  <si>
    <t>1.714632</t>
  </si>
  <si>
    <t>2.313333</t>
  </si>
  <si>
    <t>2.553333</t>
  </si>
  <si>
    <t>1.857777</t>
  </si>
  <si>
    <t>1.908888</t>
  </si>
  <si>
    <t>1.416219</t>
  </si>
  <si>
    <t>1.875555</t>
  </si>
  <si>
    <t>2.151111</t>
  </si>
  <si>
    <t>1.811111</t>
  </si>
  <si>
    <t>1.893333</t>
  </si>
  <si>
    <t>1.404679</t>
  </si>
  <si>
    <t>1.991111</t>
  </si>
  <si>
    <t>1.300000</t>
  </si>
  <si>
    <t>1.444444</t>
  </si>
  <si>
    <t>1.071645</t>
  </si>
  <si>
    <t>1.566666</t>
  </si>
  <si>
    <t>1.355555</t>
  </si>
  <si>
    <t>1.453333</t>
  </si>
  <si>
    <t>1.078239</t>
  </si>
  <si>
    <t>1.486666</t>
  </si>
  <si>
    <t>1.311111</t>
  </si>
  <si>
    <t>1.397777</t>
  </si>
  <si>
    <t>1.037022</t>
  </si>
  <si>
    <t>1.384444</t>
  </si>
  <si>
    <t>1.455555</t>
  </si>
  <si>
    <t>1.266666</t>
  </si>
  <si>
    <t>0.939750</t>
  </si>
  <si>
    <t>1.284444</t>
  </si>
  <si>
    <t>1.326666</t>
  </si>
  <si>
    <t>0.835555</t>
  </si>
  <si>
    <t>0.882222</t>
  </si>
  <si>
    <t>0.654528</t>
  </si>
  <si>
    <t>0.860000</t>
  </si>
  <si>
    <t>0.953333</t>
  </si>
  <si>
    <t>0.800000</t>
  </si>
  <si>
    <t>0.871111</t>
  </si>
  <si>
    <t>0.646284</t>
  </si>
  <si>
    <t>0.868888</t>
  </si>
  <si>
    <t>1.511111</t>
  </si>
  <si>
    <t>0.853333</t>
  </si>
  <si>
    <t>1.277777</t>
  </si>
  <si>
    <t>0.947993</t>
  </si>
  <si>
    <t>1.488888</t>
  </si>
  <si>
    <t>1.446666</t>
  </si>
  <si>
    <t>1.073293</t>
  </si>
  <si>
    <t>1.620000</t>
  </si>
  <si>
    <t>1.402222</t>
  </si>
  <si>
    <t>1.593333</t>
  </si>
  <si>
    <t>1.182106</t>
  </si>
  <si>
    <t>1.577777</t>
  </si>
  <si>
    <t>1.855555</t>
  </si>
  <si>
    <t>1.533333</t>
  </si>
  <si>
    <t>1.822222</t>
  </si>
  <si>
    <t>1.351921</t>
  </si>
  <si>
    <t>1.733333</t>
  </si>
  <si>
    <t>1.824444</t>
  </si>
  <si>
    <t>1.537777</t>
  </si>
  <si>
    <t>1.668888</t>
  </si>
  <si>
    <t>1.238162</t>
  </si>
  <si>
    <t>1.604444</t>
  </si>
  <si>
    <t>1.795555</t>
  </si>
  <si>
    <t>1.535555</t>
  </si>
  <si>
    <t>1.700000</t>
  </si>
  <si>
    <t>1.261244</t>
  </si>
  <si>
    <t>1.744444</t>
  </si>
  <si>
    <t>1.121105</t>
  </si>
  <si>
    <t>1.555555</t>
  </si>
  <si>
    <t>1.122222</t>
  </si>
  <si>
    <t>1.166666</t>
  </si>
  <si>
    <t>0.865559</t>
  </si>
  <si>
    <t>1.351111</t>
  </si>
  <si>
    <t>1.068888</t>
  </si>
  <si>
    <t>1.271111</t>
  </si>
  <si>
    <t>0.943047</t>
  </si>
  <si>
    <t>1.288888</t>
  </si>
  <si>
    <t>1.306666</t>
  </si>
  <si>
    <t>0.975555</t>
  </si>
  <si>
    <t>0.991111</t>
  </si>
  <si>
    <t>0.735313</t>
  </si>
  <si>
    <t>1.000000</t>
  </si>
  <si>
    <t>1.248888</t>
  </si>
  <si>
    <t>0.888888</t>
  </si>
  <si>
    <t>1.186666</t>
  </si>
  <si>
    <t>0.880397</t>
  </si>
  <si>
    <t>1.188888</t>
  </si>
  <si>
    <t>1.406666</t>
  </si>
  <si>
    <t>1.093333</t>
  </si>
  <si>
    <t>1.357777</t>
  </si>
  <si>
    <t>1.007346</t>
  </si>
  <si>
    <t>1.366666</t>
  </si>
  <si>
    <t>1.500000</t>
  </si>
  <si>
    <t>1.457777</t>
  </si>
  <si>
    <t>1.081536</t>
  </si>
  <si>
    <t>1.693333</t>
  </si>
  <si>
    <t>1.644444</t>
  </si>
  <si>
    <t>1.220026</t>
  </si>
  <si>
    <t>1.666666</t>
  </si>
  <si>
    <t>1.742222</t>
  </si>
  <si>
    <t>1.562222</t>
  </si>
  <si>
    <t>1.682222</t>
  </si>
  <si>
    <t>1.248054</t>
  </si>
  <si>
    <t>2.082222</t>
  </si>
  <si>
    <t>2.035555</t>
  </si>
  <si>
    <t>1.510195</t>
  </si>
  <si>
    <t>2.055555</t>
  </si>
  <si>
    <t>1.977777</t>
  </si>
  <si>
    <t>2.382222</t>
  </si>
  <si>
    <t>1.767390</t>
  </si>
  <si>
    <t>2.497777</t>
  </si>
  <si>
    <t>2.155555</t>
  </si>
  <si>
    <t>2.420000</t>
  </si>
  <si>
    <t>1.795418</t>
  </si>
  <si>
    <t>2.426666</t>
  </si>
  <si>
    <t>2.924444</t>
  </si>
  <si>
    <t>2.922222</t>
  </si>
  <si>
    <t>2.168019</t>
  </si>
  <si>
    <t>2.946666</t>
  </si>
  <si>
    <t>3.633333</t>
  </si>
  <si>
    <t>2.800000</t>
  </si>
  <si>
    <t>3.377777</t>
  </si>
  <si>
    <t>2.506000</t>
  </si>
  <si>
    <t>3.388888</t>
  </si>
  <si>
    <t>4.133333</t>
  </si>
  <si>
    <t>3.068888</t>
  </si>
  <si>
    <t>3.777777</t>
  </si>
  <si>
    <t>2.802763</t>
  </si>
  <si>
    <t>3.802222</t>
  </si>
  <si>
    <t>4.382222</t>
  </si>
  <si>
    <t>4.333333</t>
  </si>
  <si>
    <t>3.214935</t>
  </si>
  <si>
    <t>5.877777</t>
  </si>
  <si>
    <t>5.097777</t>
  </si>
  <si>
    <t>3.782082</t>
  </si>
  <si>
    <t>5.222222</t>
  </si>
  <si>
    <t>6.277777</t>
  </si>
  <si>
    <t>5.004444</t>
  </si>
  <si>
    <t>6.200000</t>
  </si>
  <si>
    <t>4.599829</t>
  </si>
  <si>
    <t>6.251111</t>
  </si>
  <si>
    <t>7.611111</t>
  </si>
  <si>
    <t>6.104444</t>
  </si>
  <si>
    <t>7.544444</t>
  </si>
  <si>
    <t>5.597283</t>
  </si>
  <si>
    <t>9.155555</t>
  </si>
  <si>
    <t>6.622222</t>
  </si>
  <si>
    <t>6.835555</t>
  </si>
  <si>
    <t>5.071352</t>
  </si>
  <si>
    <t>6.691111</t>
  </si>
  <si>
    <t>8.040000</t>
  </si>
  <si>
    <t>6.044444</t>
  </si>
  <si>
    <t>7.388888</t>
  </si>
  <si>
    <t>5.481874</t>
  </si>
  <si>
    <t>9.044444</t>
  </si>
  <si>
    <t>7.444444</t>
  </si>
  <si>
    <t>8.777777</t>
  </si>
  <si>
    <t>6.512302</t>
  </si>
  <si>
    <t>8.844444</t>
  </si>
  <si>
    <t>9.444444</t>
  </si>
  <si>
    <t>6.380000</t>
  </si>
  <si>
    <t>6.444444</t>
  </si>
  <si>
    <t>4.781184</t>
  </si>
  <si>
    <t>6.988888</t>
  </si>
  <si>
    <t>5.264444</t>
  </si>
  <si>
    <t>6.588888</t>
  </si>
  <si>
    <t>4.888349</t>
  </si>
  <si>
    <t>6.466666</t>
  </si>
  <si>
    <t>7.233333</t>
  </si>
  <si>
    <t>6.400000</t>
  </si>
  <si>
    <t>7.155555</t>
  </si>
  <si>
    <t>5.308764</t>
  </si>
  <si>
    <t>7.180000</t>
  </si>
  <si>
    <t>9.666666</t>
  </si>
  <si>
    <t>7.013333</t>
  </si>
  <si>
    <t>9.588888</t>
  </si>
  <si>
    <t>7.114074</t>
  </si>
  <si>
    <t>9.488888</t>
  </si>
  <si>
    <t>10.600000</t>
  </si>
  <si>
    <t>8.957777</t>
  </si>
  <si>
    <t>10.288888</t>
  </si>
  <si>
    <t>7.633407</t>
  </si>
  <si>
    <t>10.224444</t>
  </si>
  <si>
    <t>10.431111</t>
  </si>
  <si>
    <t>9.004444</t>
  </si>
  <si>
    <t>9.844444</t>
  </si>
  <si>
    <t>7.303672</t>
  </si>
  <si>
    <t>9.955555</t>
  </si>
  <si>
    <t>10.800000</t>
  </si>
  <si>
    <t>8.488888</t>
  </si>
  <si>
    <t>9.562222</t>
  </si>
  <si>
    <t>7.094290</t>
  </si>
  <si>
    <t>9.711111</t>
  </si>
  <si>
    <t>12.211111</t>
  </si>
  <si>
    <t>9.464444</t>
  </si>
  <si>
    <t>9.059520</t>
  </si>
  <si>
    <t>12.066666</t>
  </si>
  <si>
    <t>12.400000</t>
  </si>
  <si>
    <t>10.888888</t>
  </si>
  <si>
    <t>11.988888</t>
  </si>
  <si>
    <t>8.894653</t>
  </si>
  <si>
    <t>12.044444</t>
  </si>
  <si>
    <t>12.133333</t>
  </si>
  <si>
    <t>10.522222</t>
  </si>
  <si>
    <t>11.888888</t>
  </si>
  <si>
    <t>8.820460</t>
  </si>
  <si>
    <t>11.866666</t>
  </si>
  <si>
    <t>15.777777</t>
  </si>
  <si>
    <t>11.826666</t>
  </si>
  <si>
    <t>15.311111</t>
  </si>
  <si>
    <t>11.359437</t>
  </si>
  <si>
    <t>15.126666</t>
  </si>
  <si>
    <t>15.666666</t>
  </si>
  <si>
    <t>12.155555</t>
  </si>
  <si>
    <t>12.777777</t>
  </si>
  <si>
    <t>9.479935</t>
  </si>
  <si>
    <t>12.944444</t>
  </si>
  <si>
    <t>13.180000</t>
  </si>
  <si>
    <t>10.244444</t>
  </si>
  <si>
    <t>11.111111</t>
  </si>
  <si>
    <t>8.243421</t>
  </si>
  <si>
    <t>11.155555</t>
  </si>
  <si>
    <t>8.666666</t>
  </si>
  <si>
    <t>10.022222</t>
  </si>
  <si>
    <t>7.435566</t>
  </si>
  <si>
    <t>10.113333</t>
  </si>
  <si>
    <t>10.340000</t>
  </si>
  <si>
    <t>8.224444</t>
  </si>
  <si>
    <t>8.466666</t>
  </si>
  <si>
    <t>6.281487</t>
  </si>
  <si>
    <t>8.555555</t>
  </si>
  <si>
    <t>9.777777</t>
  </si>
  <si>
    <t>7.691111</t>
  </si>
  <si>
    <t>9.504444</t>
  </si>
  <si>
    <t>7.051424</t>
  </si>
  <si>
    <t>9.333333</t>
  </si>
  <si>
    <t>10.995555</t>
  </si>
  <si>
    <t>9.237777</t>
  </si>
  <si>
    <t>10.857777</t>
  </si>
  <si>
    <t>8.055473</t>
  </si>
  <si>
    <t>10.377777</t>
  </si>
  <si>
    <t>12.444444</t>
  </si>
  <si>
    <t>10.133333</t>
  </si>
  <si>
    <t>11.533333</t>
  </si>
  <si>
    <t>8.556670</t>
  </si>
  <si>
    <t>11.886666</t>
  </si>
  <si>
    <t>8.784444</t>
  </si>
  <si>
    <t>10.108888</t>
  </si>
  <si>
    <t>7.499865</t>
  </si>
  <si>
    <t>10.211111</t>
  </si>
  <si>
    <t>11.488888</t>
  </si>
  <si>
    <t>9.791111</t>
  </si>
  <si>
    <t>8.523697</t>
  </si>
  <si>
    <t>11.511111</t>
  </si>
  <si>
    <t>12.677777</t>
  </si>
  <si>
    <t>11.224444</t>
  </si>
  <si>
    <t>12.355555</t>
  </si>
  <si>
    <t>9.166684</t>
  </si>
  <si>
    <t>11.775555</t>
  </si>
  <si>
    <t>16.593332</t>
  </si>
  <si>
    <t>11.553333</t>
  </si>
  <si>
    <t>16.068888</t>
  </si>
  <si>
    <t>11.921638</t>
  </si>
  <si>
    <t>15.997777</t>
  </si>
  <si>
    <t>16.886665</t>
  </si>
  <si>
    <t>13.833333</t>
  </si>
  <si>
    <t>15.588888</t>
  </si>
  <si>
    <t>11.565520</t>
  </si>
  <si>
    <t>15.557777</t>
  </si>
  <si>
    <t>17.886665</t>
  </si>
  <si>
    <t>14.908888</t>
  </si>
  <si>
    <t>17.833332</t>
  </si>
  <si>
    <t>13.230690</t>
  </si>
  <si>
    <t>17.777777</t>
  </si>
  <si>
    <t>18.642221</t>
  </si>
  <si>
    <t>16.677776</t>
  </si>
  <si>
    <t>17.666666</t>
  </si>
  <si>
    <t>13.107040</t>
  </si>
  <si>
    <t>20.088888</t>
  </si>
  <si>
    <t>15.133333</t>
  </si>
  <si>
    <t>16.777777</t>
  </si>
  <si>
    <t>12.447566</t>
  </si>
  <si>
    <t>16.782223</t>
  </si>
  <si>
    <t>17.933332</t>
  </si>
  <si>
    <t>14.622222</t>
  </si>
  <si>
    <t>17.255554</t>
  </si>
  <si>
    <t>12.802032</t>
  </si>
  <si>
    <t>17.286667</t>
  </si>
  <si>
    <t>18.222221</t>
  </si>
  <si>
    <t>15.782222</t>
  </si>
  <si>
    <t>16.666666</t>
  </si>
  <si>
    <t>12.365131</t>
  </si>
  <si>
    <t>16.442223</t>
  </si>
  <si>
    <t>16.799999</t>
  </si>
  <si>
    <t>14.422222</t>
  </si>
  <si>
    <t>14.937777</t>
  </si>
  <si>
    <t>11.082456</t>
  </si>
  <si>
    <t>14.666666</t>
  </si>
  <si>
    <t>15.793333</t>
  </si>
  <si>
    <t>13.342222</t>
  </si>
  <si>
    <t>14.444444</t>
  </si>
  <si>
    <t>10.716449</t>
  </si>
  <si>
    <t>14.555555</t>
  </si>
  <si>
    <t>16.844444</t>
  </si>
  <si>
    <t>14.244444</t>
  </si>
  <si>
    <t>16.177776</t>
  </si>
  <si>
    <t>12.002422</t>
  </si>
  <si>
    <t>16.266666</t>
  </si>
  <si>
    <t>17.195555</t>
  </si>
  <si>
    <t>15.888888</t>
  </si>
  <si>
    <t>16.255554</t>
  </si>
  <si>
    <t>12.060125</t>
  </si>
  <si>
    <t>16.224443</t>
  </si>
  <si>
    <t>17.977777</t>
  </si>
  <si>
    <t>15.977777</t>
  </si>
  <si>
    <t>17.888887</t>
  </si>
  <si>
    <t>13.271912</t>
  </si>
  <si>
    <t>18.144444</t>
  </si>
  <si>
    <t>15.677777</t>
  </si>
  <si>
    <t>17.822222</t>
  </si>
  <si>
    <t>13.222447</t>
  </si>
  <si>
    <t>17.866667</t>
  </si>
  <si>
    <t>22.000000</t>
  </si>
  <si>
    <t>19.646666</t>
  </si>
  <si>
    <t>14.576020</t>
  </si>
  <si>
    <t>18.888887</t>
  </si>
  <si>
    <t>22.200001</t>
  </si>
  <si>
    <t>17.402222</t>
  </si>
  <si>
    <t>22.173332</t>
  </si>
  <si>
    <t>16.450571</t>
  </si>
  <si>
    <t>21.777777</t>
  </si>
  <si>
    <t>22.544443</t>
  </si>
  <si>
    <t>19.977777</t>
  </si>
  <si>
    <t>21.444445</t>
  </si>
  <si>
    <t>15.909805</t>
  </si>
  <si>
    <t>24.977777</t>
  </si>
  <si>
    <t>23.777777</t>
  </si>
  <si>
    <t>17.640921</t>
  </si>
  <si>
    <t>24.846666</t>
  </si>
  <si>
    <t>23.071112</t>
  </si>
  <si>
    <t>24.444445</t>
  </si>
  <si>
    <t>18.135532</t>
  </si>
  <si>
    <t>26.888887</t>
  </si>
  <si>
    <t>24.355555</t>
  </si>
  <si>
    <t>25.713333</t>
  </si>
  <si>
    <t>19.076931</t>
  </si>
  <si>
    <t>25.235556</t>
  </si>
  <si>
    <t>26.299999</t>
  </si>
  <si>
    <t>19.911112</t>
  </si>
  <si>
    <t>25.971111</t>
  </si>
  <si>
    <t>19.268171</t>
  </si>
  <si>
    <t>29.044443</t>
  </si>
  <si>
    <t>24.426666</t>
  </si>
  <si>
    <t>28.444445</t>
  </si>
  <si>
    <t>21.103159</t>
  </si>
  <si>
    <t>28.766666</t>
  </si>
  <si>
    <t>31.111111</t>
  </si>
  <si>
    <t>28.051111</t>
  </si>
  <si>
    <t>30.222221</t>
  </si>
  <si>
    <t>22.422108</t>
  </si>
  <si>
    <t>29.888887</t>
  </si>
  <si>
    <t>30.600000</t>
  </si>
  <si>
    <t>26.168888</t>
  </si>
  <si>
    <t>30.299999</t>
  </si>
  <si>
    <t>22.479813</t>
  </si>
  <si>
    <t>30.400000</t>
  </si>
  <si>
    <t>30.516666</t>
  </si>
  <si>
    <t>24.830000</t>
  </si>
  <si>
    <t>27.166666</t>
  </si>
  <si>
    <t>20.155169</t>
  </si>
  <si>
    <t>27.500000</t>
  </si>
  <si>
    <t>23.376665</t>
  </si>
  <si>
    <t>20.513041</t>
  </si>
  <si>
    <t>27.799999</t>
  </si>
  <si>
    <t>35.333332</t>
  </si>
  <si>
    <t>32.666664</t>
  </si>
  <si>
    <t>24.367001</t>
  </si>
  <si>
    <t>32.823334</t>
  </si>
  <si>
    <t>35.366665</t>
  </si>
  <si>
    <t>31.750000</t>
  </si>
  <si>
    <t>32.799999</t>
  </si>
  <si>
    <t>24.466459</t>
  </si>
  <si>
    <t>33.233334</t>
  </si>
  <si>
    <t>40.580002</t>
  </si>
  <si>
    <t>32.893333</t>
  </si>
  <si>
    <t>30.458755</t>
  </si>
  <si>
    <t>47.900002</t>
  </si>
  <si>
    <t>39.930000</t>
  </si>
  <si>
    <t>44.750000</t>
  </si>
  <si>
    <t>33.588692</t>
  </si>
  <si>
    <t>44.445000</t>
  </si>
  <si>
    <t>44.555000</t>
  </si>
  <si>
    <t>38.240002</t>
  </si>
  <si>
    <t>39.500000</t>
  </si>
  <si>
    <t>29.648115</t>
  </si>
  <si>
    <t>38.470001</t>
  </si>
  <si>
    <t>38.974998</t>
  </si>
  <si>
    <t>31.285000</t>
  </si>
  <si>
    <t>34.500000</t>
  </si>
  <si>
    <t>25.895191</t>
  </si>
  <si>
    <t>34.125000</t>
  </si>
  <si>
    <t>34.474998</t>
  </si>
  <si>
    <t>26.055000</t>
  </si>
  <si>
    <t>28.600000</t>
  </si>
  <si>
    <t>21.466740</t>
  </si>
  <si>
    <t>28.500000</t>
  </si>
  <si>
    <t>28.674999</t>
  </si>
  <si>
    <t>20.254999</t>
  </si>
  <si>
    <t>15.426794</t>
  </si>
  <si>
    <t>20.355000</t>
  </si>
  <si>
    <t>20.450001</t>
  </si>
  <si>
    <t>10.930000</t>
  </si>
  <si>
    <t>14.000000</t>
  </si>
  <si>
    <t>10.662807</t>
  </si>
  <si>
    <t>14.195000</t>
  </si>
  <si>
    <t>14.725000</t>
  </si>
  <si>
    <t>9.325000</t>
  </si>
  <si>
    <t>8.899634</t>
  </si>
  <si>
    <t>11.205000</t>
  </si>
  <si>
    <t>14.845000</t>
  </si>
  <si>
    <t>10.710000</t>
  </si>
  <si>
    <t>13.260000</t>
  </si>
  <si>
    <t>10.099200</t>
  </si>
  <si>
    <t>15.900000</t>
  </si>
  <si>
    <t>14.430000</t>
  </si>
  <si>
    <t>11.325188</t>
  </si>
  <si>
    <t>14.155000</t>
  </si>
  <si>
    <t>16.375000</t>
  </si>
  <si>
    <t>12.675000</t>
  </si>
  <si>
    <t>12.965000</t>
  </si>
  <si>
    <t>10.175405</t>
  </si>
  <si>
    <t>12.690000</t>
  </si>
  <si>
    <t>11.435000</t>
  </si>
  <si>
    <t>14.075000</t>
  </si>
  <si>
    <t>11.046574</t>
  </si>
  <si>
    <t>14.425000</t>
  </si>
  <si>
    <t>17.440001</t>
  </si>
  <si>
    <t>14.260000</t>
  </si>
  <si>
    <t>15.925000</t>
  </si>
  <si>
    <t>12.736368</t>
  </si>
  <si>
    <t>19.750000</t>
  </si>
  <si>
    <t>15.895000</t>
  </si>
  <si>
    <t>15.795497</t>
  </si>
  <si>
    <t>20.025000</t>
  </si>
  <si>
    <t>21.719999</t>
  </si>
  <si>
    <t>18.355000</t>
  </si>
  <si>
    <t>20.805000</t>
  </si>
  <si>
    <t>16.639256</t>
  </si>
  <si>
    <t>20.945000</t>
  </si>
  <si>
    <t>22.240000</t>
  </si>
  <si>
    <t>17.510000</t>
  </si>
  <si>
    <t>22.139999</t>
  </si>
  <si>
    <t>17.706953</t>
  </si>
  <si>
    <t>22.500000</t>
  </si>
  <si>
    <t>25.065001</t>
  </si>
  <si>
    <t>22.055000</t>
  </si>
  <si>
    <t>22.150000</t>
  </si>
  <si>
    <t>17.714952</t>
  </si>
  <si>
    <t>22.075001</t>
  </si>
  <si>
    <t>21.405001</t>
  </si>
  <si>
    <t>23.355000</t>
  </si>
  <si>
    <t>18.757305</t>
  </si>
  <si>
    <t>23.549999</t>
  </si>
  <si>
    <t>27.299999</t>
  </si>
  <si>
    <t>22.504999</t>
  </si>
  <si>
    <t>23.000000</t>
  </si>
  <si>
    <t>18.472191</t>
  </si>
  <si>
    <t>25.799999</t>
  </si>
  <si>
    <t>22.195000</t>
  </si>
  <si>
    <t>25.600000</t>
  </si>
  <si>
    <t>20.560349</t>
  </si>
  <si>
    <t>25.855000</t>
  </si>
  <si>
    <t>26.350000</t>
  </si>
  <si>
    <t>23.350000</t>
  </si>
  <si>
    <t>24.695000</t>
  </si>
  <si>
    <t>19.833509</t>
  </si>
  <si>
    <t>25.900000</t>
  </si>
  <si>
    <t>22.934999</t>
  </si>
  <si>
    <t>24.799999</t>
  </si>
  <si>
    <t>20.183220</t>
  </si>
  <si>
    <t>24.900000</t>
  </si>
  <si>
    <t>25.660000</t>
  </si>
  <si>
    <t>22.959999</t>
  </si>
  <si>
    <t>20.883123</t>
  </si>
  <si>
    <t>25.750000</t>
  </si>
  <si>
    <t>30.900000</t>
  </si>
  <si>
    <t>25.405001</t>
  </si>
  <si>
    <t>30.459999</t>
  </si>
  <si>
    <t>24.789557</t>
  </si>
  <si>
    <t>32.224998</t>
  </si>
  <si>
    <t>27.650000</t>
  </si>
  <si>
    <t>28.055000</t>
  </si>
  <si>
    <t>22.894564</t>
  </si>
  <si>
    <t>21.305000</t>
  </si>
  <si>
    <t>18.728577</t>
  </si>
  <si>
    <t>22.450001</t>
  </si>
  <si>
    <t>26.025000</t>
  </si>
  <si>
    <t>20.754999</t>
  </si>
  <si>
    <t>24.055000</t>
  </si>
  <si>
    <t>19.630323</t>
  </si>
  <si>
    <t>27.230000</t>
  </si>
  <si>
    <t>24.740000</t>
  </si>
  <si>
    <t>20.189327</t>
  </si>
  <si>
    <t>25.129999</t>
  </si>
  <si>
    <t>26.100000</t>
  </si>
  <si>
    <t>21.764999</t>
  </si>
  <si>
    <t>22.014999</t>
  </si>
  <si>
    <t>17.965561</t>
  </si>
  <si>
    <t>22.230000</t>
  </si>
  <si>
    <t>23.430000</t>
  </si>
  <si>
    <t>21.815001</t>
  </si>
  <si>
    <t>22.700001</t>
  </si>
  <si>
    <t>18.524567</t>
  </si>
  <si>
    <t>23.090000</t>
  </si>
  <si>
    <t>19.570000</t>
  </si>
  <si>
    <t>21.230000</t>
  </si>
  <si>
    <t>17.324955</t>
  </si>
  <si>
    <t>18.700001</t>
  </si>
  <si>
    <t>15.435606</t>
  </si>
  <si>
    <t>19.010000</t>
  </si>
  <si>
    <t>18.299999</t>
  </si>
  <si>
    <t>19.160000</t>
  </si>
  <si>
    <t>15.815299</t>
  </si>
  <si>
    <t>19.350000</t>
  </si>
  <si>
    <t>18.270000</t>
  </si>
  <si>
    <t>19.430000</t>
  </si>
  <si>
    <t>16.201078</t>
  </si>
  <si>
    <t>19.700001</t>
  </si>
  <si>
    <t>18.600000</t>
  </si>
  <si>
    <t>19.000000</t>
  </si>
  <si>
    <t>15.842538</t>
  </si>
  <si>
    <t>19.129999</t>
  </si>
  <si>
    <t>21.799999</t>
  </si>
  <si>
    <t>18.250000</t>
  </si>
  <si>
    <t>20.469999</t>
  </si>
  <si>
    <t>17.068253</t>
  </si>
  <si>
    <t>15.940000</t>
  </si>
  <si>
    <t>16.150000</t>
  </si>
  <si>
    <t>13.561149</t>
  </si>
  <si>
    <t>16.230000</t>
  </si>
  <si>
    <t>16.379999</t>
  </si>
  <si>
    <t>14.310000</t>
  </si>
  <si>
    <t>15.150000</t>
  </si>
  <si>
    <t>12.721449</t>
  </si>
  <si>
    <t>15.050000</t>
  </si>
  <si>
    <t>15.380000</t>
  </si>
  <si>
    <t>12.850000</t>
  </si>
  <si>
    <t>13.700000</t>
  </si>
  <si>
    <t>11.503885</t>
  </si>
  <si>
    <t>14.240000</t>
  </si>
  <si>
    <t>10.660000</t>
  </si>
  <si>
    <t>11.000000</t>
  </si>
  <si>
    <t>9.236695</t>
  </si>
  <si>
    <t>11.300000</t>
  </si>
  <si>
    <t>9.860000</t>
  </si>
  <si>
    <t>12.000000</t>
  </si>
  <si>
    <t>10.076396</t>
  </si>
  <si>
    <t>12.210000</t>
  </si>
  <si>
    <t>12.790000</t>
  </si>
  <si>
    <t>10.510000</t>
  </si>
  <si>
    <t>10.520000</t>
  </si>
  <si>
    <t>8.833640</t>
  </si>
  <si>
    <t>10.460000</t>
  </si>
  <si>
    <t>12.650000</t>
  </si>
  <si>
    <t>10.010000</t>
  </si>
  <si>
    <t>11.800000</t>
  </si>
  <si>
    <t>9.908455</t>
  </si>
  <si>
    <t>11.310000</t>
  </si>
  <si>
    <t>12.500000</t>
  </si>
  <si>
    <t>10.170000</t>
  </si>
  <si>
    <t>10.360000</t>
  </si>
  <si>
    <t>8.699287</t>
  </si>
  <si>
    <t>10.590000</t>
  </si>
  <si>
    <t>11.230000</t>
  </si>
  <si>
    <t>9.710000</t>
  </si>
  <si>
    <t>10.150000</t>
  </si>
  <si>
    <t>8.522949</t>
  </si>
  <si>
    <t>11.950000</t>
  </si>
  <si>
    <t>10.080000</t>
  </si>
  <si>
    <t>11.720000</t>
  </si>
  <si>
    <t>9.841280</t>
  </si>
  <si>
    <t>11.840000</t>
  </si>
  <si>
    <t>12.430000</t>
  </si>
  <si>
    <t>11.580000</t>
  </si>
  <si>
    <t>11.650000</t>
  </si>
  <si>
    <t>9.782499</t>
  </si>
  <si>
    <t>12.010000</t>
  </si>
  <si>
    <t>10.084793</t>
  </si>
  <si>
    <t>12.070000</t>
  </si>
  <si>
    <t>12.520000</t>
  </si>
  <si>
    <t>10.840000</t>
  </si>
  <si>
    <t>10.920000</t>
  </si>
  <si>
    <t>9.228270</t>
  </si>
  <si>
    <t>11.080000</t>
  </si>
  <si>
    <t>8.500000</t>
  </si>
  <si>
    <t>7.183178</t>
  </si>
  <si>
    <t>8.200000</t>
  </si>
  <si>
    <t>8.540000</t>
  </si>
  <si>
    <t>6.020000</t>
  </si>
  <si>
    <t>6.320000</t>
  </si>
  <si>
    <t>5.340903</t>
  </si>
  <si>
    <t>7.490000</t>
  </si>
  <si>
    <t>5.570000</t>
  </si>
  <si>
    <t>7.380000</t>
  </si>
  <si>
    <t>6.236689</t>
  </si>
  <si>
    <t>7.500000</t>
  </si>
  <si>
    <t>8.950000</t>
  </si>
  <si>
    <t>7.050000</t>
  </si>
  <si>
    <t>8.150000</t>
  </si>
  <si>
    <t>6.887399</t>
  </si>
  <si>
    <t>8.270000</t>
  </si>
  <si>
    <t>12.960000</t>
  </si>
  <si>
    <t>10.120000</t>
  </si>
  <si>
    <t>8.552207</t>
  </si>
  <si>
    <t>9.810000</t>
  </si>
  <si>
    <t>8.290233</t>
  </si>
  <si>
    <t>9.650000</t>
  </si>
  <si>
    <t>12.980000</t>
  </si>
  <si>
    <t>9.420000</t>
  </si>
  <si>
    <t>10.563496</t>
  </si>
  <si>
    <t>12.620000</t>
  </si>
  <si>
    <t>13.330000</t>
  </si>
  <si>
    <t>11.210000</t>
  </si>
  <si>
    <t>12.800000</t>
  </si>
  <si>
    <t>10.817020</t>
  </si>
  <si>
    <t>13.640000</t>
  </si>
  <si>
    <t>8.738123</t>
  </si>
  <si>
    <t>10.470000</t>
  </si>
  <si>
    <t>10.570000</t>
  </si>
  <si>
    <t>9.800000</t>
  </si>
  <si>
    <t>8.281782</t>
  </si>
  <si>
    <t>9.690000</t>
  </si>
  <si>
    <t>10.900000</t>
  </si>
  <si>
    <t>9.510000</t>
  </si>
  <si>
    <t>10.760000</t>
  </si>
  <si>
    <t>9.093057</t>
  </si>
  <si>
    <t>10.820000</t>
  </si>
  <si>
    <t>11.570000</t>
  </si>
  <si>
    <t>9.450000</t>
  </si>
  <si>
    <t>9.850000</t>
  </si>
  <si>
    <t>8.324035</t>
  </si>
  <si>
    <t>9.940000</t>
  </si>
  <si>
    <t>8.900000</t>
  </si>
  <si>
    <t>7.521209</t>
  </si>
  <si>
    <t>9.280000</t>
  </si>
  <si>
    <t>7.390000</t>
  </si>
  <si>
    <t>7.480000</t>
  </si>
  <si>
    <t>6.321196</t>
  </si>
  <si>
    <t>7.900000</t>
  </si>
  <si>
    <t>9.890000</t>
  </si>
  <si>
    <t>6.500000</t>
  </si>
  <si>
    <t>8.710000</t>
  </si>
  <si>
    <t>7.360644</t>
  </si>
  <si>
    <t>8.530000</t>
  </si>
  <si>
    <t>11.330000</t>
  </si>
  <si>
    <t>8.410000</t>
  </si>
  <si>
    <t>10.390000</t>
  </si>
  <si>
    <t>8.780379</t>
  </si>
  <si>
    <t>10.790000</t>
  </si>
  <si>
    <t>10.030000</t>
  </si>
  <si>
    <t>8.890238</t>
  </si>
  <si>
    <t>12.480000</t>
  </si>
  <si>
    <t>11.880000</t>
  </si>
  <si>
    <t>10.039547</t>
  </si>
  <si>
    <t>13.290000</t>
  </si>
  <si>
    <t>11.460000</t>
  </si>
  <si>
    <t>12.450000</t>
  </si>
  <si>
    <t>10.521242</t>
  </si>
  <si>
    <t>12.360000</t>
  </si>
  <si>
    <t>14.870000</t>
  </si>
  <si>
    <t>12.090000</t>
  </si>
  <si>
    <t>14.210000</t>
  </si>
  <si>
    <t>12.008583</t>
  </si>
  <si>
    <t>14.340000</t>
  </si>
  <si>
    <t>11.690000</t>
  </si>
  <si>
    <t>11.900000</t>
  </si>
  <si>
    <t>10.056449</t>
  </si>
  <si>
    <t>11.860000</t>
  </si>
  <si>
    <t>12.590000</t>
  </si>
  <si>
    <t>9.770000</t>
  </si>
  <si>
    <t>8.256429</t>
  </si>
  <si>
    <t>10.700000</t>
  </si>
  <si>
    <t>8.440000</t>
  </si>
  <si>
    <t>10.230000</t>
  </si>
  <si>
    <t>8.645165</t>
  </si>
  <si>
    <t>10.280000</t>
  </si>
  <si>
    <t>8.750000</t>
  </si>
  <si>
    <t>7.394448</t>
  </si>
  <si>
    <t>9.160000</t>
  </si>
  <si>
    <t>7.860000</t>
  </si>
  <si>
    <t>6.659228</t>
  </si>
  <si>
    <t>7.970000</t>
  </si>
  <si>
    <t>8.380000</t>
  </si>
  <si>
    <t>7.580000</t>
  </si>
  <si>
    <t>6.405704</t>
  </si>
  <si>
    <t>7.660000</t>
  </si>
  <si>
    <t>9.190000</t>
  </si>
  <si>
    <t>7.630000</t>
  </si>
  <si>
    <t>8.050000</t>
  </si>
  <si>
    <t>6.802892</t>
  </si>
  <si>
    <t>8.020000</t>
  </si>
  <si>
    <t>8.090000</t>
  </si>
  <si>
    <t>6.836694</t>
  </si>
  <si>
    <t>9.040000</t>
  </si>
  <si>
    <t>6.280000</t>
  </si>
  <si>
    <t>6.370000</t>
  </si>
  <si>
    <t>5.383158</t>
  </si>
  <si>
    <t>6.330000</t>
  </si>
  <si>
    <t>7.190000</t>
  </si>
  <si>
    <t>5.190000</t>
  </si>
  <si>
    <t>5.700000</t>
  </si>
  <si>
    <t>4.816955</t>
  </si>
  <si>
    <t>5.690000</t>
  </si>
  <si>
    <t>5.920000</t>
  </si>
  <si>
    <t>4.950000</t>
  </si>
  <si>
    <t>5.250000</t>
  </si>
  <si>
    <t>4.436669</t>
  </si>
  <si>
    <t>5.020000</t>
  </si>
  <si>
    <t>5.630000</t>
  </si>
  <si>
    <t>4.240000</t>
  </si>
  <si>
    <t>5.050000</t>
  </si>
  <si>
    <t>4.267653</t>
  </si>
  <si>
    <t>5.160000</t>
  </si>
  <si>
    <t>3.350000</t>
  </si>
  <si>
    <t>2.831016</t>
  </si>
  <si>
    <t>3.420000</t>
  </si>
  <si>
    <t>4.320000</t>
  </si>
  <si>
    <t>3.370000</t>
  </si>
  <si>
    <t>4.130000</t>
  </si>
  <si>
    <t>3.490179</t>
  </si>
  <si>
    <t>4.140000</t>
  </si>
  <si>
    <t>5.320000</t>
  </si>
  <si>
    <t>4.070000</t>
  </si>
  <si>
    <t>4.970000</t>
  </si>
  <si>
    <t>4.200046</t>
  </si>
  <si>
    <t>5.010000</t>
  </si>
  <si>
    <t>6.420000</t>
  </si>
  <si>
    <t>4.530000</t>
  </si>
  <si>
    <t>5.970000</t>
  </si>
  <si>
    <t>5.045126</t>
  </si>
  <si>
    <t>7.090000</t>
  </si>
  <si>
    <t>4.990000</t>
  </si>
  <si>
    <t>5.100000</t>
  </si>
  <si>
    <t>4.333780</t>
  </si>
  <si>
    <t>5.060000</t>
  </si>
  <si>
    <t>4.120000</t>
  </si>
  <si>
    <t>3.501015</t>
  </si>
  <si>
    <t>4.150000</t>
  </si>
  <si>
    <t>4.390000</t>
  </si>
  <si>
    <t>3.660000</t>
  </si>
  <si>
    <t>3.930000</t>
  </si>
  <si>
    <t>3.339561</t>
  </si>
  <si>
    <t>3.940000</t>
  </si>
  <si>
    <t>4.450000</t>
  </si>
  <si>
    <t>2.650000</t>
  </si>
  <si>
    <t>2.980000</t>
  </si>
  <si>
    <t>2.532288</t>
  </si>
  <si>
    <t>2.870000</t>
  </si>
  <si>
    <t>4.880000</t>
  </si>
  <si>
    <t>2.846699</t>
  </si>
  <si>
    <t>3.360000</t>
  </si>
  <si>
    <t>3.880000</t>
  </si>
  <si>
    <t>2.760000</t>
  </si>
  <si>
    <t>2.780000</t>
  </si>
  <si>
    <t>2.362336</t>
  </si>
  <si>
    <t>3.070000</t>
  </si>
  <si>
    <t>1.869474</t>
  </si>
  <si>
    <t>2.250000</t>
  </si>
  <si>
    <t>2.270000</t>
  </si>
  <si>
    <t>1.420000</t>
  </si>
  <si>
    <t>1.550000</t>
  </si>
  <si>
    <t>1.317129</t>
  </si>
  <si>
    <t>0.840000</t>
  </si>
  <si>
    <t>0.850000</t>
  </si>
  <si>
    <t>0.722297</t>
  </si>
  <si>
    <t>1.060000</t>
  </si>
  <si>
    <t>0.820000</t>
  </si>
  <si>
    <t>0.900000</t>
  </si>
  <si>
    <t>0.764785</t>
  </si>
  <si>
    <t>0.910000</t>
  </si>
  <si>
    <t>2.280000</t>
  </si>
  <si>
    <t>1.810000</t>
  </si>
  <si>
    <t>1.538067</t>
  </si>
  <si>
    <t>1.780000</t>
  </si>
  <si>
    <t>2.700000</t>
  </si>
  <si>
    <t>2.500000</t>
  </si>
  <si>
    <t>2.124403</t>
  </si>
  <si>
    <t>2.540000</t>
  </si>
  <si>
    <t>2.570000</t>
  </si>
  <si>
    <t>1.590000</t>
  </si>
  <si>
    <t>1.670000</t>
  </si>
  <si>
    <t>1.419101</t>
  </si>
  <si>
    <t>1.690000</t>
  </si>
  <si>
    <t>1.970000</t>
  </si>
  <si>
    <t>1.674029</t>
  </si>
  <si>
    <t>3.760000</t>
  </si>
  <si>
    <t>1.930000</t>
  </si>
  <si>
    <t>3.750000</t>
  </si>
  <si>
    <t>3.186604</t>
  </si>
  <si>
    <t>3.840000</t>
  </si>
  <si>
    <t>4.300000</t>
  </si>
  <si>
    <t>3.320000</t>
  </si>
  <si>
    <t>3.470000</t>
  </si>
  <si>
    <t>2.948671</t>
  </si>
  <si>
    <t>3.500000</t>
  </si>
  <si>
    <t>4.090000</t>
  </si>
  <si>
    <t>3.230000</t>
  </si>
  <si>
    <t>3.530000</t>
  </si>
  <si>
    <t>2.999656</t>
  </si>
  <si>
    <t>3.560000</t>
  </si>
  <si>
    <t>4.830000</t>
  </si>
  <si>
    <t>4.510000</t>
  </si>
  <si>
    <t>3.832422</t>
  </si>
  <si>
    <t>4.580000</t>
  </si>
  <si>
    <t>4.660000</t>
  </si>
  <si>
    <t>3.770000</t>
  </si>
  <si>
    <t>3.526508</t>
  </si>
  <si>
    <t>4.230000</t>
  </si>
  <si>
    <t>4.280000</t>
  </si>
  <si>
    <t>3.820000</t>
  </si>
  <si>
    <t>4.100000</t>
  </si>
  <si>
    <t>3.484020</t>
  </si>
  <si>
    <t>5.380000</t>
  </si>
  <si>
    <t>4.050000</t>
  </si>
  <si>
    <t>4.461245</t>
  </si>
  <si>
    <t>5.350000</t>
  </si>
  <si>
    <t>5.620000</t>
  </si>
  <si>
    <t>4.930000</t>
  </si>
  <si>
    <t>4.189322</t>
  </si>
  <si>
    <t>5.030000</t>
  </si>
  <si>
    <t>5.310000</t>
  </si>
  <si>
    <t>3.910000</t>
  </si>
  <si>
    <t>4.440000</t>
  </si>
  <si>
    <t>3.772939</t>
  </si>
  <si>
    <t>4.460000</t>
  </si>
  <si>
    <t>4.480000</t>
  </si>
  <si>
    <t>3.650000</t>
  </si>
  <si>
    <t>4.260000</t>
  </si>
  <si>
    <t>3.619982</t>
  </si>
  <si>
    <t>4.570000</t>
  </si>
  <si>
    <t>3.600000</t>
  </si>
  <si>
    <t>3.970000</t>
  </si>
  <si>
    <t>3.373551</t>
  </si>
  <si>
    <t>4.000000</t>
  </si>
  <si>
    <t>4.620000</t>
  </si>
  <si>
    <t>3.860000</t>
  </si>
  <si>
    <t>4.600000</t>
  </si>
  <si>
    <t>3.908900</t>
  </si>
  <si>
    <t>4.640000</t>
  </si>
  <si>
    <t>5.280000</t>
  </si>
  <si>
    <t>4.610000</t>
  </si>
  <si>
    <t>5.170000</t>
  </si>
  <si>
    <t>4.393264</t>
  </si>
  <si>
    <t>5.220000</t>
  </si>
  <si>
    <t>6.930000</t>
  </si>
  <si>
    <t>6.890000</t>
  </si>
  <si>
    <t>5.854853</t>
  </si>
  <si>
    <t>6.960000</t>
  </si>
  <si>
    <t>9.630000</t>
  </si>
  <si>
    <t>7.780000</t>
  </si>
  <si>
    <t>6.611141</t>
  </si>
  <si>
    <t>7.840000</t>
  </si>
  <si>
    <t>10.580000</t>
  </si>
  <si>
    <t>7.690000</t>
  </si>
  <si>
    <t>8.810000</t>
  </si>
  <si>
    <t>7.486395</t>
  </si>
  <si>
    <t>9.590000</t>
  </si>
  <si>
    <t>7.800000</t>
  </si>
  <si>
    <t>8.560000</t>
  </si>
  <si>
    <t>7.273954</t>
  </si>
  <si>
    <t>8.520000</t>
  </si>
  <si>
    <t>9.200000</t>
  </si>
  <si>
    <t>8.420000</t>
  </si>
  <si>
    <t>7.732825</t>
  </si>
  <si>
    <t>12.120000</t>
  </si>
  <si>
    <t>10.078165</t>
  </si>
  <si>
    <t>12.880000</t>
  </si>
  <si>
    <t>10.830000</t>
  </si>
  <si>
    <t>12.320000</t>
  </si>
  <si>
    <t>10.469055</t>
  </si>
  <si>
    <t>10.450000</t>
  </si>
  <si>
    <t>9.279390</t>
  </si>
  <si>
    <t>10.940000</t>
  </si>
  <si>
    <t>11.660000</t>
  </si>
  <si>
    <t>9.262397</t>
  </si>
  <si>
    <t>11.400000</t>
  </si>
  <si>
    <t>8.250000</t>
  </si>
  <si>
    <t>7.041261</t>
  </si>
  <si>
    <t>8.400000</t>
  </si>
  <si>
    <t>9.730000</t>
  </si>
  <si>
    <t>7.020000</t>
  </si>
  <si>
    <t>7.320000</t>
  </si>
  <si>
    <t>6.247519</t>
  </si>
  <si>
    <t>7.280000</t>
  </si>
  <si>
    <t>9.340000</t>
  </si>
  <si>
    <t>7.150000</t>
  </si>
  <si>
    <t>8.870000</t>
  </si>
  <si>
    <t>7.570422</t>
  </si>
  <si>
    <t>7.600000</t>
  </si>
  <si>
    <t>8.070000</t>
  </si>
  <si>
    <t>6.887634</t>
  </si>
  <si>
    <t>8.650000</t>
  </si>
  <si>
    <t>6.880000</t>
  </si>
  <si>
    <t>8.320000</t>
  </si>
  <si>
    <t>7.101005</t>
  </si>
  <si>
    <t>7.930000</t>
  </si>
  <si>
    <t>8.773838</t>
  </si>
  <si>
    <t>10.350000</t>
  </si>
  <si>
    <t>8.370000</t>
  </si>
  <si>
    <t>7.980095</t>
  </si>
  <si>
    <t>9.990000</t>
  </si>
  <si>
    <t>8.570000</t>
  </si>
  <si>
    <t>9.220000</t>
  </si>
  <si>
    <t>7.869142</t>
  </si>
  <si>
    <t>9.120000</t>
  </si>
  <si>
    <t>8.372702</t>
  </si>
  <si>
    <t>10.300000</t>
  </si>
  <si>
    <t>9.660000</t>
  </si>
  <si>
    <t>8.309633</t>
  </si>
  <si>
    <t>11.220000</t>
  </si>
  <si>
    <t>9.410000</t>
  </si>
  <si>
    <t>10.040000</t>
  </si>
  <si>
    <t>8.636515</t>
  </si>
  <si>
    <t>8.470000</t>
  </si>
  <si>
    <t>8.630000</t>
  </si>
  <si>
    <t>7.423617</t>
  </si>
  <si>
    <t>9.020000</t>
  </si>
  <si>
    <t>7.700000</t>
  </si>
  <si>
    <t>7.108695</t>
  </si>
  <si>
    <t>9.070000</t>
  </si>
  <si>
    <t>8.940000</t>
  </si>
  <si>
    <t>7.750210</t>
  </si>
  <si>
    <t>9.080000</t>
  </si>
  <si>
    <t>8.610000</t>
  </si>
  <si>
    <t>7.585498</t>
  </si>
  <si>
    <t>8.760000</t>
  </si>
  <si>
    <t>8.850000</t>
  </si>
  <si>
    <t>6.870000</t>
  </si>
  <si>
    <t>6.857229</t>
  </si>
  <si>
    <t>7.940000</t>
  </si>
  <si>
    <t>8.490000</t>
  </si>
  <si>
    <t>7.550000</t>
  </si>
  <si>
    <t>7.810000</t>
  </si>
  <si>
    <t>6.779109</t>
  </si>
  <si>
    <t>7.680000</t>
  </si>
  <si>
    <t>7.820000</t>
  </si>
  <si>
    <t>7.120000</t>
  </si>
  <si>
    <t>7.260000</t>
  </si>
  <si>
    <t>6.301707</t>
  </si>
  <si>
    <t>7.350000</t>
  </si>
  <si>
    <t>8.830000</t>
  </si>
  <si>
    <t>7.310000</t>
  </si>
  <si>
    <t>8.510000</t>
  </si>
  <si>
    <t>7.386711</t>
  </si>
  <si>
    <t>8.254715</t>
  </si>
  <si>
    <t>11.530000</t>
  </si>
  <si>
    <t>9.090000</t>
  </si>
  <si>
    <t>8.358874</t>
  </si>
  <si>
    <t>8.170000</t>
  </si>
  <si>
    <t>7.091589</t>
  </si>
  <si>
    <t>8.390000</t>
  </si>
  <si>
    <t>3.780000</t>
  </si>
  <si>
    <t>4.920000</t>
  </si>
  <si>
    <t>4.270578</t>
  </si>
  <si>
    <t>4.700000</t>
  </si>
  <si>
    <t>4.010000</t>
  </si>
  <si>
    <t>4.800000</t>
  </si>
  <si>
    <t>4.166417</t>
  </si>
  <si>
    <t>6.150000</t>
  </si>
  <si>
    <t>5.387927</t>
  </si>
  <si>
    <t>6.220000</t>
  </si>
  <si>
    <t>7.710000</t>
  </si>
  <si>
    <t>6.030000</t>
  </si>
  <si>
    <t>7.270000</t>
  </si>
  <si>
    <t>6.369142</t>
  </si>
  <si>
    <t>8.740000</t>
  </si>
  <si>
    <t>8.130000</t>
  </si>
  <si>
    <t>7.122576</t>
  </si>
  <si>
    <t>8.350000</t>
  </si>
  <si>
    <t>10.190000</t>
  </si>
  <si>
    <t>7.980000</t>
  </si>
  <si>
    <t>8.892268</t>
  </si>
  <si>
    <t>10.200000</t>
  </si>
  <si>
    <t>11.640000</t>
  </si>
  <si>
    <t>9.780000</t>
  </si>
  <si>
    <t>8.787137</t>
  </si>
  <si>
    <t>10.050000</t>
  </si>
  <si>
    <t>12.180000</t>
  </si>
  <si>
    <t>9.820000</t>
  </si>
  <si>
    <t>9.549333</t>
  </si>
  <si>
    <t>14.230000</t>
  </si>
  <si>
    <t>13.650000</t>
  </si>
  <si>
    <t>11.958569</t>
  </si>
  <si>
    <t>13.790000</t>
  </si>
  <si>
    <t>15.200000</t>
  </si>
  <si>
    <t>13.110000</t>
  </si>
  <si>
    <t>14.610000</t>
  </si>
  <si>
    <t>12.799610</t>
  </si>
  <si>
    <t>17.309999</t>
  </si>
  <si>
    <t>12.810000</t>
  </si>
  <si>
    <t>13.200000</t>
  </si>
  <si>
    <t>11.564330</t>
  </si>
  <si>
    <t>13.450000</t>
  </si>
  <si>
    <t>17.600000</t>
  </si>
  <si>
    <t>16.240000</t>
  </si>
  <si>
    <t>14.227631</t>
  </si>
  <si>
    <t>16.490000</t>
  </si>
  <si>
    <t>18.900000</t>
  </si>
  <si>
    <t>15.850000</t>
  </si>
  <si>
    <t>17.100000</t>
  </si>
  <si>
    <t>14.981064</t>
  </si>
  <si>
    <t>17.260000</t>
  </si>
  <si>
    <t>23.570000</t>
  </si>
  <si>
    <t>16.559999</t>
  </si>
  <si>
    <t>19.668123</t>
  </si>
  <si>
    <t>22.520000</t>
  </si>
  <si>
    <t>24.360001</t>
  </si>
  <si>
    <t>19.860001</t>
  </si>
  <si>
    <t>17.499781</t>
  </si>
  <si>
    <t>20.309999</t>
  </si>
  <si>
    <t>20.520000</t>
  </si>
  <si>
    <t>17.520000</t>
  </si>
  <si>
    <t>19.100000</t>
  </si>
  <si>
    <t>16.834471</t>
  </si>
  <si>
    <t>19.500000</t>
  </si>
  <si>
    <t>18.520000</t>
  </si>
  <si>
    <t>20.570000</t>
  </si>
  <si>
    <t>18.130108</t>
  </si>
  <si>
    <t>20.920000</t>
  </si>
  <si>
    <t>22.430000</t>
  </si>
  <si>
    <t>16.750000</t>
  </si>
  <si>
    <t>16.296825</t>
  </si>
  <si>
    <t>13.100000</t>
  </si>
  <si>
    <t>16.120001</t>
  </si>
  <si>
    <t>14.207941</t>
  </si>
  <si>
    <t>16.160000</t>
  </si>
  <si>
    <t>17.370001</t>
  </si>
  <si>
    <t>13.130000</t>
  </si>
  <si>
    <t>13.250000</t>
  </si>
  <si>
    <t>12.414076</t>
  </si>
  <si>
    <t>13.380000</t>
  </si>
  <si>
    <t>14.130000</t>
  </si>
  <si>
    <t>11.850000</t>
  </si>
  <si>
    <t>13.590000</t>
  </si>
  <si>
    <t>12.732626</t>
  </si>
  <si>
    <t>13.960000</t>
  </si>
  <si>
    <t>15.890000</t>
  </si>
  <si>
    <t>15.220000</t>
  </si>
  <si>
    <t>14.259791</t>
  </si>
  <si>
    <t>15.260000</t>
  </si>
  <si>
    <t>17.110001</t>
  </si>
  <si>
    <t>13.850000</t>
  </si>
  <si>
    <t>15.970000</t>
  </si>
  <si>
    <t>15.151827</t>
  </si>
  <si>
    <t>16.020000</t>
  </si>
  <si>
    <t>17.559999</t>
  </si>
  <si>
    <t>14.710000</t>
  </si>
  <si>
    <t>13.956379</t>
  </si>
  <si>
    <t>16.180000</t>
  </si>
  <si>
    <t>13.970000</t>
  </si>
  <si>
    <t>13.254291</t>
  </si>
  <si>
    <t>14.060000</t>
  </si>
  <si>
    <t>14.200000</t>
  </si>
  <si>
    <t>10.730567</t>
  </si>
  <si>
    <t>11.250000</t>
  </si>
  <si>
    <t>11.910000</t>
  </si>
  <si>
    <t>9.680000</t>
  </si>
  <si>
    <t>10.960000</t>
  </si>
  <si>
    <t>10.980000</t>
  </si>
  <si>
    <t>11.940000</t>
  </si>
  <si>
    <t>9.300000</t>
  </si>
  <si>
    <t>8.010000</t>
  </si>
  <si>
    <t>7.990000</t>
  </si>
  <si>
    <t>8.730000</t>
  </si>
  <si>
    <t>7.520000</t>
  </si>
  <si>
    <t>8.110000</t>
  </si>
  <si>
    <t>7.100000</t>
  </si>
  <si>
    <t>7.230000</t>
  </si>
  <si>
    <t>7.410000</t>
  </si>
  <si>
    <t>7.750000</t>
  </si>
  <si>
    <t>6.860000</t>
  </si>
  <si>
    <t>7.160000</t>
  </si>
  <si>
    <t>8.670000</t>
  </si>
  <si>
    <t>6.770000</t>
  </si>
  <si>
    <t>6.830000</t>
  </si>
  <si>
    <t>6.850000</t>
  </si>
  <si>
    <t>7.290000</t>
  </si>
  <si>
    <t>Comunicados, Resultados, Apresentações e Relatórios - Vale</t>
  </si>
  <si>
    <t xml:space="preserve">Concessionárias </t>
  </si>
  <si>
    <t>Capital de Terceiros (D)</t>
  </si>
  <si>
    <t>Capital próprio (E)</t>
  </si>
  <si>
    <t>% BNDES/ Dívida Total</t>
  </si>
  <si>
    <t>% Debêntures/ Dívida Total</t>
  </si>
  <si>
    <t>% Outros/ Dívida Total</t>
  </si>
  <si>
    <t>Estrutura de capital ponderada</t>
  </si>
  <si>
    <t>Perfil da dívida (ponderado pelo capital total)</t>
  </si>
  <si>
    <t>Saldos em 31/12/2021 - Concessionárias reguladas pela ANTT</t>
  </si>
  <si>
    <t>Origem</t>
  </si>
  <si>
    <t>Encargos</t>
  </si>
  <si>
    <t>Saldo (31/12/2021)</t>
  </si>
  <si>
    <t>Capital de terceiros</t>
  </si>
  <si>
    <t>NCE</t>
  </si>
  <si>
    <t>Total (cap. Terceiros)</t>
  </si>
  <si>
    <t>Capital próprio</t>
  </si>
  <si>
    <t>ECA</t>
  </si>
  <si>
    <t>Moeda estrangeira</t>
  </si>
  <si>
    <t>Notas promissórias</t>
  </si>
  <si>
    <t>Estrada de Ferro Paraná Oeste S.A.</t>
  </si>
  <si>
    <t>Ferrovia Centro-Atlântica S.A.</t>
  </si>
  <si>
    <t>Ferrovia Norte Sul Tramo Norte (FNSTN)</t>
  </si>
  <si>
    <t>Ferrovia Tereza Cristina S.A.</t>
  </si>
  <si>
    <t>Ferrovia Transnordestina Logística S.A.</t>
  </si>
  <si>
    <t>MRS Logística S.A.</t>
  </si>
  <si>
    <t>Ferrovia Norte Sul Tramo Central (FNSTC)</t>
  </si>
  <si>
    <t>Rumo Malha Norte S.A.</t>
  </si>
  <si>
    <t>Rumo Malha Oeste S.A.</t>
  </si>
  <si>
    <t>Rumo Malha Paulista S.A.</t>
  </si>
  <si>
    <t>Rumo Malha Sul S.A.</t>
  </si>
  <si>
    <t>Transnordestina Logistica S.A.</t>
  </si>
  <si>
    <t>VALE - Estrada de Ferro Carajás</t>
  </si>
  <si>
    <t>VALE - Estrada de Ferro Vitória a Minas</t>
  </si>
  <si>
    <t>Ferrovia de Integração Oeste-Leste FIOL – Trecho 1</t>
  </si>
  <si>
    <t>VALEC S.A. – FNS/FIOL</t>
  </si>
  <si>
    <t>CDI + 1,70%</t>
  </si>
  <si>
    <t>Cédula de crédito bancário</t>
  </si>
  <si>
    <t>IPCA+ 1,04%</t>
  </si>
  <si>
    <t>Financiamento local</t>
  </si>
  <si>
    <t>CDI + 1,62%</t>
  </si>
  <si>
    <t>*Dados conflitantes no site da ANTT</t>
  </si>
  <si>
    <t>*Sem dados</t>
  </si>
  <si>
    <t>IPCA+ 4,68%</t>
  </si>
  <si>
    <t>Pré-fixado 5,69%</t>
  </si>
  <si>
    <t>CDI+ 0,80%</t>
  </si>
  <si>
    <t>IPCA+ 4,77</t>
  </si>
  <si>
    <t>CDI+ 1,79%</t>
  </si>
  <si>
    <t>IPCA+ 5,73%</t>
  </si>
  <si>
    <t>CDI+ 1,30%</t>
  </si>
  <si>
    <t>Euribor+ 0,58%</t>
  </si>
  <si>
    <t>Pré-fixado (US$) 5,25%</t>
  </si>
  <si>
    <t>Pré-fixado (US$) 2,53%</t>
  </si>
  <si>
    <t>TJLP + 1,30%</t>
  </si>
  <si>
    <t>BNB</t>
  </si>
  <si>
    <t>Pré-fixado 7,5%</t>
  </si>
  <si>
    <t>Banco Itaú</t>
  </si>
  <si>
    <t>Pré-fixado 5,5%</t>
  </si>
  <si>
    <t>Dívida Bruta:</t>
  </si>
  <si>
    <t>Alíquota efetiva</t>
  </si>
  <si>
    <t>Dívida Bruta</t>
  </si>
  <si>
    <t>Dólar (29/12/2022)</t>
  </si>
  <si>
    <t>Dívida Bruta (US$)</t>
  </si>
  <si>
    <t>Dívida Bruta (R$)</t>
  </si>
  <si>
    <t>Vale</t>
  </si>
  <si>
    <t>Rumo</t>
  </si>
  <si>
    <t>Cosan</t>
  </si>
  <si>
    <t>CSN</t>
  </si>
  <si>
    <t xml:space="preserve">Usiminas </t>
  </si>
  <si>
    <t xml:space="preserve">Gerdau </t>
  </si>
  <si>
    <t>preço ação 30/12/22</t>
  </si>
  <si>
    <t>Caixa</t>
  </si>
  <si>
    <t>Caixa (US$)</t>
  </si>
  <si>
    <t>Caixa (R$)</t>
  </si>
  <si>
    <t>Central de Resultados - CSN RI</t>
  </si>
  <si>
    <t>Central de Resultados - Usiminas | RI</t>
  </si>
  <si>
    <t>Vale3</t>
  </si>
  <si>
    <t>RAIL3</t>
  </si>
  <si>
    <t>CSAN 3</t>
  </si>
  <si>
    <t>CSNA3</t>
  </si>
  <si>
    <t>USIM5</t>
  </si>
  <si>
    <t>GGBR4</t>
  </si>
  <si>
    <t>Ação</t>
  </si>
  <si>
    <t>3,810,54</t>
  </si>
  <si>
    <t>3,937,30</t>
  </si>
  <si>
    <t>3,821,90</t>
  </si>
  <si>
    <t>3,869,60</t>
  </si>
  <si>
    <t>3,845,20</t>
  </si>
  <si>
    <t>4,078,60</t>
  </si>
  <si>
    <t>4,054,18</t>
  </si>
  <si>
    <t>3,861,59</t>
  </si>
  <si>
    <t>3,926,71</t>
  </si>
  <si>
    <t>4,048,61</t>
  </si>
  <si>
    <t>4,005,60</t>
  </si>
  <si>
    <t>4,045,64</t>
  </si>
  <si>
    <t>3,942,86</t>
  </si>
  <si>
    <t>4,046,98</t>
  </si>
  <si>
    <t>4,038,48</t>
  </si>
  <si>
    <t>3,970,04</t>
  </si>
  <si>
    <t>4,047,95</t>
  </si>
  <si>
    <t>4,159,93</t>
  </si>
  <si>
    <t>4,097,78</t>
  </si>
  <si>
    <t>4,079,09</t>
  </si>
  <si>
    <t>4,060,58</t>
  </si>
  <si>
    <t>4,177,10</t>
  </si>
  <si>
    <t>4,109,85</t>
  </si>
  <si>
    <t>4,090,46</t>
  </si>
  <si>
    <t>4,015,70</t>
  </si>
  <si>
    <t>4,195,34</t>
  </si>
  <si>
    <t>4,039,53</t>
  </si>
  <si>
    <t>4,136,48</t>
  </si>
  <si>
    <t>3,949,00</t>
  </si>
  <si>
    <t>4,094,32</t>
  </si>
  <si>
    <t>3,980,60</t>
  </si>
  <si>
    <t>4,070,56</t>
  </si>
  <si>
    <t>3,885,30</t>
  </si>
  <si>
    <t>4,015,63</t>
  </si>
  <si>
    <t>3,999,63</t>
  </si>
  <si>
    <t>3,972,61</t>
  </si>
  <si>
    <t>3,876,40</t>
  </si>
  <si>
    <t>4,004,20</t>
  </si>
  <si>
    <t>3,917,80</t>
  </si>
  <si>
    <t>3,999,09</t>
  </si>
  <si>
    <t>3,793,67</t>
  </si>
  <si>
    <t>3,907,00</t>
  </si>
  <si>
    <t>3,858,38</t>
  </si>
  <si>
    <t>3,895,08</t>
  </si>
  <si>
    <t>3,780,20</t>
  </si>
  <si>
    <t>3,858,31</t>
  </si>
  <si>
    <t>3,845,30</t>
  </si>
  <si>
    <t>3,839,50</t>
  </si>
  <si>
    <t>3,764,14</t>
  </si>
  <si>
    <t>3,890,80</t>
  </si>
  <si>
    <t>3,851,34</t>
  </si>
  <si>
    <t>3,844,82</t>
  </si>
  <si>
    <t>3,826,10</t>
  </si>
  <si>
    <t>4,103,05</t>
  </si>
  <si>
    <t>3,943,00</t>
  </si>
  <si>
    <t>3,852,36</t>
  </si>
  <si>
    <t>3,918,40</t>
  </si>
  <si>
    <t>4,051,75</t>
  </si>
  <si>
    <t>4,042,00</t>
  </si>
  <si>
    <t>3,934,38</t>
  </si>
  <si>
    <t>3,937,50</t>
  </si>
  <si>
    <t>4,099,40</t>
  </si>
  <si>
    <t>3,994,60</t>
  </si>
  <si>
    <t>4,071,70</t>
  </si>
  <si>
    <t>3,932,55</t>
  </si>
  <si>
    <t>4,034,00</t>
  </si>
  <si>
    <t>3,953,69</t>
  </si>
  <si>
    <t>4,026,12</t>
  </si>
  <si>
    <t>3,906,26</t>
  </si>
  <si>
    <t>4,029,99</t>
  </si>
  <si>
    <t>3,973,63</t>
  </si>
  <si>
    <t>3,965,34</t>
  </si>
  <si>
    <t>3,743,85</t>
  </si>
  <si>
    <t>4,001,60</t>
  </si>
  <si>
    <t>3,786,60</t>
  </si>
  <si>
    <t>3,992,93</t>
  </si>
  <si>
    <t>3,695,60</t>
  </si>
  <si>
    <t>3,913,62</t>
  </si>
  <si>
    <t>3,873,55</t>
  </si>
  <si>
    <t>3,770,55</t>
  </si>
  <si>
    <t>3,741,38</t>
  </si>
  <si>
    <t>3,906,05</t>
  </si>
  <si>
    <t>3,770,75</t>
  </si>
  <si>
    <t>3,901,06</t>
  </si>
  <si>
    <t>3,646,34</t>
  </si>
  <si>
    <t>3,764,55</t>
  </si>
  <si>
    <t>3,652,35</t>
  </si>
  <si>
    <t>3,752,75</t>
  </si>
  <si>
    <t>3,490,00</t>
  </si>
  <si>
    <t>3,711,73</t>
  </si>
  <si>
    <t>3,651,20</t>
  </si>
  <si>
    <t>3,583,07</t>
  </si>
  <si>
    <t>3,605,60</t>
  </si>
  <si>
    <t>3,807,35</t>
  </si>
  <si>
    <t>3,624,07</t>
  </si>
  <si>
    <t>3,639,66</t>
  </si>
  <si>
    <t>3,585,40</t>
  </si>
  <si>
    <t>3,736,65</t>
  </si>
  <si>
    <t>3,677,70</t>
  </si>
  <si>
    <t>3,585,62</t>
  </si>
  <si>
    <t>3,646,35</t>
  </si>
  <si>
    <t>3,907,68</t>
  </si>
  <si>
    <t>3,838,00</t>
  </si>
  <si>
    <t>3,693,23</t>
  </si>
  <si>
    <t>3,836,15</t>
  </si>
  <si>
    <t>4,119,69</t>
  </si>
  <si>
    <t>4,089,90</t>
  </si>
  <si>
    <t>3,873,33</t>
  </si>
  <si>
    <t>3,887,33</t>
  </si>
  <si>
    <t>4,077,00</t>
  </si>
  <si>
    <t>3,935,35</t>
  </si>
  <si>
    <t>4,067,36</t>
  </si>
  <si>
    <t>3,903,00</t>
  </si>
  <si>
    <t>4,063,55</t>
  </si>
  <si>
    <t>4,026,84</t>
  </si>
  <si>
    <t>3,924,26</t>
  </si>
  <si>
    <t>4,057,66</t>
  </si>
  <si>
    <t>4,204,63</t>
  </si>
  <si>
    <t>4,176,67</t>
  </si>
  <si>
    <t>4,218,60</t>
  </si>
  <si>
    <t>4,325,50</t>
  </si>
  <si>
    <t>4,256,53</t>
  </si>
  <si>
    <t>4,228,48</t>
  </si>
  <si>
    <t>4,111,49</t>
  </si>
  <si>
    <t>4,280,15</t>
  </si>
  <si>
    <t>4,162,69</t>
  </si>
  <si>
    <t>4,080,38</t>
  </si>
  <si>
    <t>4,167,63</t>
  </si>
  <si>
    <t>4,103,38</t>
  </si>
  <si>
    <t>4,145,19</t>
  </si>
  <si>
    <t>3,910,40</t>
  </si>
  <si>
    <t>4,140,00</t>
  </si>
  <si>
    <t>3,969,80</t>
  </si>
  <si>
    <t>4,130,29</t>
  </si>
  <si>
    <t>3,818,76</t>
  </si>
  <si>
    <t>4,013,12</t>
  </si>
  <si>
    <t>3,895,50</t>
  </si>
  <si>
    <t>3,961,63</t>
  </si>
  <si>
    <t>3,720,25</t>
  </si>
  <si>
    <t>3,881,22</t>
  </si>
  <si>
    <t>3,870,40</t>
  </si>
  <si>
    <t>3,863,16</t>
  </si>
  <si>
    <t>3,740,80</t>
  </si>
  <si>
    <t>3,918,25</t>
  </si>
  <si>
    <t>3,772,00</t>
  </si>
  <si>
    <t>3,899,38</t>
  </si>
  <si>
    <t>3,736,58</t>
  </si>
  <si>
    <t>3,945,98</t>
  </si>
  <si>
    <t>3,924,60</t>
  </si>
  <si>
    <t>3,825,33</t>
  </si>
  <si>
    <t>3,716,13</t>
  </si>
  <si>
    <t>3,912,87</t>
  </si>
  <si>
    <t>3,732,13</t>
  </si>
  <si>
    <t>3,911,74</t>
  </si>
  <si>
    <t>3,636,82</t>
  </si>
  <si>
    <t>3,837,97</t>
  </si>
  <si>
    <t>3,800,54</t>
  </si>
  <si>
    <t>3,674,84</t>
  </si>
  <si>
    <t>3,900,01</t>
  </si>
  <si>
    <t>4,169,04</t>
  </si>
  <si>
    <t>4,152,40</t>
  </si>
  <si>
    <t>3,900,86</t>
  </si>
  <si>
    <t>4,073,60</t>
  </si>
  <si>
    <t>4,177,60</t>
  </si>
  <si>
    <t>4,139,15</t>
  </si>
  <si>
    <t>4,108,54</t>
  </si>
  <si>
    <t>Var 12 meses</t>
  </si>
  <si>
    <t>Participação Proporcional no setor ferroviário</t>
  </si>
  <si>
    <t>Usiminas</t>
  </si>
  <si>
    <t>Gerdau</t>
  </si>
  <si>
    <t>VALE3</t>
  </si>
  <si>
    <t>Retorno anual</t>
  </si>
  <si>
    <t>Rf (US 10Y)</t>
  </si>
  <si>
    <t>PRM (SP500)</t>
  </si>
  <si>
    <t>Variação anual</t>
  </si>
  <si>
    <t>-5.57%</t>
  </si>
  <si>
    <t>-1.06%</t>
  </si>
  <si>
    <t xml:space="preserve">IDkA IPCA 5A   </t>
  </si>
  <si>
    <t>Participação no valor de mercado</t>
  </si>
  <si>
    <t>Participação valor mercado</t>
  </si>
  <si>
    <t>CSAN3</t>
  </si>
  <si>
    <t>Estrutura de capital por ativo</t>
  </si>
  <si>
    <t>Equity</t>
  </si>
  <si>
    <t>Debt</t>
  </si>
  <si>
    <t>SERCODIGO</t>
  </si>
  <si>
    <t>VALDATA</t>
  </si>
  <si>
    <t>BM12_CRDTJPJ12</t>
  </si>
  <si>
    <t>2013-01-01T00:00:00-02:00</t>
  </si>
  <si>
    <t>2013-02-01T00:00:00-02:00</t>
  </si>
  <si>
    <t>2013-03-01T00:00:00-03:00</t>
  </si>
  <si>
    <t>2013-04-01T00:00:00-03:00</t>
  </si>
  <si>
    <t>2013-05-01T00:00:00-03:00</t>
  </si>
  <si>
    <t>2013-06-01T00:00:00-03:00</t>
  </si>
  <si>
    <t>2013-07-01T00:00:00-03:00</t>
  </si>
  <si>
    <t>2013-08-01T00:00:00-03:00</t>
  </si>
  <si>
    <t>2013-09-01T00:00:00-03:00</t>
  </si>
  <si>
    <t>2013-10-01T00:00:00-03:00</t>
  </si>
  <si>
    <t>2013-11-01T00:00:00-02:00</t>
  </si>
  <si>
    <t>2013-12-01T00:00:00-02:00</t>
  </si>
  <si>
    <t>2014-01-01T00:00:00-02:00</t>
  </si>
  <si>
    <t>2014-02-01T00:00:00-02:00</t>
  </si>
  <si>
    <t>2014-03-01T00:00:00-03:00</t>
  </si>
  <si>
    <t>2014-04-01T00:00:00-03:00</t>
  </si>
  <si>
    <t>2014-05-01T00:00:00-03:00</t>
  </si>
  <si>
    <t>2014-06-01T00:00:00-03:00</t>
  </si>
  <si>
    <t>2014-07-01T00:00:00-03:00</t>
  </si>
  <si>
    <t>2014-08-01T00:00:00-03:00</t>
  </si>
  <si>
    <t>2014-09-01T00:00:00-03:00</t>
  </si>
  <si>
    <t>2014-10-01T00:00:00-03:00</t>
  </si>
  <si>
    <t>2014-11-01T00:00:00-02:00</t>
  </si>
  <si>
    <t>2014-12-01T00:00:00-02:00</t>
  </si>
  <si>
    <t>2015-01-01T00:00:00-02:00</t>
  </si>
  <si>
    <t>2015-02-01T00:00:00-02:00</t>
  </si>
  <si>
    <t>2015-03-01T00:00:00-03:00</t>
  </si>
  <si>
    <t>2015-04-01T00:00:00-03:00</t>
  </si>
  <si>
    <t>2015-05-01T00:00:00-03:00</t>
  </si>
  <si>
    <t>2015-06-01T00:00:00-03:00</t>
  </si>
  <si>
    <t>2015-07-01T00:00:00-03:00</t>
  </si>
  <si>
    <t>2015-08-01T00:00:00-03:00</t>
  </si>
  <si>
    <t>2015-09-01T00:00:00-03:00</t>
  </si>
  <si>
    <t>2015-10-01T00:00:00-03:00</t>
  </si>
  <si>
    <t>2015-11-01T00:00:00-02:00</t>
  </si>
  <si>
    <t>2015-12-01T00:00:00-02:00</t>
  </si>
  <si>
    <t>2016-01-01T00:00:00-02:00</t>
  </si>
  <si>
    <t>2016-02-01T00:00:00-02:00</t>
  </si>
  <si>
    <t>2016-03-01T00:00:00-03:00</t>
  </si>
  <si>
    <t>2016-04-01T00:00:00-03:00</t>
  </si>
  <si>
    <t>2016-05-01T00:00:00-03:00</t>
  </si>
  <si>
    <t>2016-06-01T00:00:00-03:00</t>
  </si>
  <si>
    <t>2016-07-01T00:00:00-03:00</t>
  </si>
  <si>
    <t>2016-08-01T00:00:00-03:00</t>
  </si>
  <si>
    <t>2016-09-01T00:00:00-03:00</t>
  </si>
  <si>
    <t>2016-10-01T00:00:00-03:00</t>
  </si>
  <si>
    <t>2016-11-01T00:00:00-02:00</t>
  </si>
  <si>
    <t>2016-12-01T00:00:00-02:00</t>
  </si>
  <si>
    <t>2017-01-01T00:00:00-02:00</t>
  </si>
  <si>
    <t>2017-02-01T00:00:00-02:00</t>
  </si>
  <si>
    <t>2017-03-01T00:00:00-03:00</t>
  </si>
  <si>
    <t>2017-04-01T00:00:00-03:00</t>
  </si>
  <si>
    <t>2017-05-01T00:00:00-03:00</t>
  </si>
  <si>
    <t>2017-06-01T00:00:00-03:00</t>
  </si>
  <si>
    <t>2017-07-01T00:00:00-03:00</t>
  </si>
  <si>
    <t>2017-08-01T00:00:00-03:00</t>
  </si>
  <si>
    <t>2017-09-01T00:00:00-03:00</t>
  </si>
  <si>
    <t>2017-10-01T00:00:00-03:00</t>
  </si>
  <si>
    <t>2017-11-01T00:00:00-02:00</t>
  </si>
  <si>
    <t>2017-12-01T00:00:00-02:00</t>
  </si>
  <si>
    <t>2018-01-01T00:00:00-02:00</t>
  </si>
  <si>
    <t>2018-02-01T00:00:00-02:00</t>
  </si>
  <si>
    <t>2018-03-01T00:00:00-03:00</t>
  </si>
  <si>
    <t>2018-04-01T00:00:00-03:00</t>
  </si>
  <si>
    <t>2018-05-01T00:00:00-03:00</t>
  </si>
  <si>
    <t>2018-06-01T00:00:00-03:00</t>
  </si>
  <si>
    <t>2018-07-01T00:00:00-03:00</t>
  </si>
  <si>
    <t>2018-08-01T00:00:00-03:00</t>
  </si>
  <si>
    <t>2018-09-01T00:00:00-03:00</t>
  </si>
  <si>
    <t>2018-10-01T00:00:00-03:00</t>
  </si>
  <si>
    <t>2018-11-01T00:00:00-03:00</t>
  </si>
  <si>
    <t>2018-12-01T00:00:00-02:00</t>
  </si>
  <si>
    <t>2019-01-01T00:00:00-02:00</t>
  </si>
  <si>
    <t>2019-02-01T00:00:00-02:00</t>
  </si>
  <si>
    <t>2019-03-01T00:00:00-03:00</t>
  </si>
  <si>
    <t>2019-04-01T00:00:00-03:00</t>
  </si>
  <si>
    <t>2019-05-01T00:00:00-03:00</t>
  </si>
  <si>
    <t>2019-06-01T00:00:00-03:00</t>
  </si>
  <si>
    <t>2019-07-01T00:00:00-03:00</t>
  </si>
  <si>
    <t>2019-08-01T00:00:00-03:00</t>
  </si>
  <si>
    <t>2019-09-01T00:00:00-03:00</t>
  </si>
  <si>
    <t>2019-10-01T00:00:00-03:00</t>
  </si>
  <si>
    <t>2019-11-01T00:00:00-03:00</t>
  </si>
  <si>
    <t>2019-12-01T00:00:00-03:00</t>
  </si>
  <si>
    <t>2020-01-01T00:00:00-03:00</t>
  </si>
  <si>
    <t>2020-02-01T00:00:00-03:00</t>
  </si>
  <si>
    <t>2020-03-01T00:00:00-03:00</t>
  </si>
  <si>
    <t>2020-04-01T00:00:00-03:00</t>
  </si>
  <si>
    <t>2020-05-01T00:00:00-03:00</t>
  </si>
  <si>
    <t>2020-06-01T00:00:00-03:00</t>
  </si>
  <si>
    <t>2020-07-01T00:00:00-03:00</t>
  </si>
  <si>
    <t>2020-08-01T00:00:00-03:00</t>
  </si>
  <si>
    <t>2020-09-01T00:00:00-03:00</t>
  </si>
  <si>
    <t>2020-10-01T00:00:00-03:00</t>
  </si>
  <si>
    <t>2020-11-01T00:00:00-03:00</t>
  </si>
  <si>
    <t>2020-12-01T00:00:00-03:00</t>
  </si>
  <si>
    <t>2021-01-01T00:00:00-03:00</t>
  </si>
  <si>
    <t>2021-02-01T00:00:00-03:00</t>
  </si>
  <si>
    <t>2021-03-01T00:00:00-03:00</t>
  </si>
  <si>
    <t>2021-04-01T00:00:00-03:00</t>
  </si>
  <si>
    <t>2021-05-01T00:00:00-03:00</t>
  </si>
  <si>
    <t>2021-06-01T00:00:00-03:00</t>
  </si>
  <si>
    <t>2021-07-01T00:00:00-03:00</t>
  </si>
  <si>
    <t>2021-08-01T00:00:00-03:00</t>
  </si>
  <si>
    <t>2021-09-01T00:00:00-03:00</t>
  </si>
  <si>
    <t>2021-10-01T00:00:00-03:00</t>
  </si>
  <si>
    <t>2021-11-01T00:00:00-03:00</t>
  </si>
  <si>
    <t>2021-12-01T00:00:00-03:00</t>
  </si>
  <si>
    <t>2022-01-01T00:00:00-03:00</t>
  </si>
  <si>
    <t>2022-02-01T00:00:00-03:00</t>
  </si>
  <si>
    <t>2022-03-01T00:00:00-03:00</t>
  </si>
  <si>
    <t>2022-04-01T00:00:00-03:00</t>
  </si>
  <si>
    <t>2022-05-01T00:00:00-03:00</t>
  </si>
  <si>
    <t>2022-06-01T00:00:00-03:00</t>
  </si>
  <si>
    <t>2022-07-01T00:00:00-03:00</t>
  </si>
  <si>
    <t>2022-08-01T00:00:00-03:00</t>
  </si>
  <si>
    <t>2022-09-01T00:00:00-03:00</t>
  </si>
  <si>
    <t>2022-10-01T00:00:00-03:00</t>
  </si>
  <si>
    <t>2022-11-01T00:00:00-03:00</t>
  </si>
  <si>
    <t>2022-12-01T00:00:00-03:00</t>
  </si>
  <si>
    <t>id</t>
  </si>
  <si>
    <t>DIRECIONADO</t>
  </si>
  <si>
    <t>data</t>
  </si>
  <si>
    <t>valor</t>
  </si>
  <si>
    <t>data_n</t>
  </si>
  <si>
    <t>valor_a</t>
  </si>
  <si>
    <t>01/01/2013</t>
  </si>
  <si>
    <t>12.64</t>
  </si>
  <si>
    <t>2013-01-01</t>
  </si>
  <si>
    <t>01/02/2013</t>
  </si>
  <si>
    <t>12.59</t>
  </si>
  <si>
    <t>2013-02-01</t>
  </si>
  <si>
    <t>01/03/2013</t>
  </si>
  <si>
    <t>12.52</t>
  </si>
  <si>
    <t>2013-03-01</t>
  </si>
  <si>
    <t>01/04/2013</t>
  </si>
  <si>
    <t>12.33</t>
  </si>
  <si>
    <t>2013-04-01</t>
  </si>
  <si>
    <t>01/05/2013</t>
  </si>
  <si>
    <t>12.44</t>
  </si>
  <si>
    <t>2013-05-01</t>
  </si>
  <si>
    <t>01/06/2013</t>
  </si>
  <si>
    <t>13.08</t>
  </si>
  <si>
    <t>2013-06-01</t>
  </si>
  <si>
    <t>01/07/2013</t>
  </si>
  <si>
    <t>13.64</t>
  </si>
  <si>
    <t>2013-07-01</t>
  </si>
  <si>
    <t>01/08/2013</t>
  </si>
  <si>
    <t>14.20</t>
  </si>
  <si>
    <t>2013-08-01</t>
  </si>
  <si>
    <t>01/09/2013</t>
  </si>
  <si>
    <t>14.65</t>
  </si>
  <si>
    <t>2013-09-01</t>
  </si>
  <si>
    <t>01/10/2013</t>
  </si>
  <si>
    <t>14.40</t>
  </si>
  <si>
    <t>2013-10-01</t>
  </si>
  <si>
    <t>01/11/2013</t>
  </si>
  <si>
    <t>14.52</t>
  </si>
  <si>
    <t>2013-11-01</t>
  </si>
  <si>
    <t>01/12/2013</t>
  </si>
  <si>
    <t>14.30</t>
  </si>
  <si>
    <t>2013-12-01</t>
  </si>
  <si>
    <t>01/01/2014</t>
  </si>
  <si>
    <t>15.12</t>
  </si>
  <si>
    <t>2014-01-01</t>
  </si>
  <si>
    <t>01/02/2014</t>
  </si>
  <si>
    <t>15.03</t>
  </si>
  <si>
    <t>2014-02-01</t>
  </si>
  <si>
    <t>01/03/2014</t>
  </si>
  <si>
    <t>15.30</t>
  </si>
  <si>
    <t>2014-03-01</t>
  </si>
  <si>
    <t>01/04/2014</t>
  </si>
  <si>
    <t>15.16</t>
  </si>
  <si>
    <t>2014-04-01</t>
  </si>
  <si>
    <t>01/05/2014</t>
  </si>
  <si>
    <t>15.37</t>
  </si>
  <si>
    <t>2014-05-01</t>
  </si>
  <si>
    <t>01/06/2014</t>
  </si>
  <si>
    <t>15.60</t>
  </si>
  <si>
    <t>2014-06-01</t>
  </si>
  <si>
    <t>01/07/2014</t>
  </si>
  <si>
    <t>15.99</t>
  </si>
  <si>
    <t>2014-07-01</t>
  </si>
  <si>
    <t>01/08/2014</t>
  </si>
  <si>
    <t>15.32</t>
  </si>
  <si>
    <t>2014-08-01</t>
  </si>
  <si>
    <t>01/09/2014</t>
  </si>
  <si>
    <t>15.39</t>
  </si>
  <si>
    <t>2014-09-01</t>
  </si>
  <si>
    <t>01/10/2014</t>
  </si>
  <si>
    <t>15.43</t>
  </si>
  <si>
    <t>2014-10-01</t>
  </si>
  <si>
    <t>01/11/2014</t>
  </si>
  <si>
    <t>15.98</t>
  </si>
  <si>
    <t>2014-11-01</t>
  </si>
  <si>
    <t>01/12/2014</t>
  </si>
  <si>
    <t>16.13</t>
  </si>
  <si>
    <t>2014-12-01</t>
  </si>
  <si>
    <t>01/01/2015</t>
  </si>
  <si>
    <t>16.36</t>
  </si>
  <si>
    <t>2015-01-01</t>
  </si>
  <si>
    <t>01/02/2015</t>
  </si>
  <si>
    <t>16.46</t>
  </si>
  <si>
    <t>2015-02-01</t>
  </si>
  <si>
    <t>01/03/2015</t>
  </si>
  <si>
    <t>16.99</t>
  </si>
  <si>
    <t>2015-03-01</t>
  </si>
  <si>
    <t>01/04/2015</t>
  </si>
  <si>
    <t>17.08</t>
  </si>
  <si>
    <t>2015-04-01</t>
  </si>
  <si>
    <t>01/05/2015</t>
  </si>
  <si>
    <t>17.26</t>
  </si>
  <si>
    <t>2015-05-01</t>
  </si>
  <si>
    <t>01/06/2015</t>
  </si>
  <si>
    <t>17.41</t>
  </si>
  <si>
    <t>2015-06-01</t>
  </si>
  <si>
    <t>01/07/2015</t>
  </si>
  <si>
    <t>17.68</t>
  </si>
  <si>
    <t>2015-07-01</t>
  </si>
  <si>
    <t>01/08/2015</t>
  </si>
  <si>
    <t>18.00</t>
  </si>
  <si>
    <t>2015-08-01</t>
  </si>
  <si>
    <t>01/09/2015</t>
  </si>
  <si>
    <t>18.27</t>
  </si>
  <si>
    <t>2015-09-01</t>
  </si>
  <si>
    <t>01/10/2015</t>
  </si>
  <si>
    <t>18.49</t>
  </si>
  <si>
    <t>2015-10-01</t>
  </si>
  <si>
    <t>01/11/2015</t>
  </si>
  <si>
    <t>18.68</t>
  </si>
  <si>
    <t>2015-11-01</t>
  </si>
  <si>
    <t>01/12/2015</t>
  </si>
  <si>
    <t>18.97</t>
  </si>
  <si>
    <t>2015-12-01</t>
  </si>
  <si>
    <t>01/01/2016</t>
  </si>
  <si>
    <t>19.25</t>
  </si>
  <si>
    <t>2016-01-01</t>
  </si>
  <si>
    <t>01/02/2016</t>
  </si>
  <si>
    <t>19.46</t>
  </si>
  <si>
    <t>2016-02-01</t>
  </si>
  <si>
    <t>01/03/2016</t>
  </si>
  <si>
    <t>19.31</t>
  </si>
  <si>
    <t>2016-03-01</t>
  </si>
  <si>
    <t>01/04/2016</t>
  </si>
  <si>
    <t>19.28</t>
  </si>
  <si>
    <t>2016-04-01</t>
  </si>
  <si>
    <t>01/05/2016</t>
  </si>
  <si>
    <t>18.87</t>
  </si>
  <si>
    <t>2016-05-01</t>
  </si>
  <si>
    <t>01/06/2016</t>
  </si>
  <si>
    <t>18.47</t>
  </si>
  <si>
    <t>2016-06-01</t>
  </si>
  <si>
    <t>01/07/2016</t>
  </si>
  <si>
    <t>18.34</t>
  </si>
  <si>
    <t>2016-07-01</t>
  </si>
  <si>
    <t>01/08/2016</t>
  </si>
  <si>
    <t>18.46</t>
  </si>
  <si>
    <t>2016-08-01</t>
  </si>
  <si>
    <t>01/09/2016</t>
  </si>
  <si>
    <t>18.50</t>
  </si>
  <si>
    <t>2016-09-01</t>
  </si>
  <si>
    <t>01/10/2016</t>
  </si>
  <si>
    <t>18.61</t>
  </si>
  <si>
    <t>2016-10-01</t>
  </si>
  <si>
    <t>01/11/2016</t>
  </si>
  <si>
    <t>18.48</t>
  </si>
  <si>
    <t>2016-11-01</t>
  </si>
  <si>
    <t>01/12/2016</t>
  </si>
  <si>
    <t>18.13</t>
  </si>
  <si>
    <t>2016-12-01</t>
  </si>
  <si>
    <t>01/01/2017</t>
  </si>
  <si>
    <t>17.39</t>
  </si>
  <si>
    <t>2017-01-01</t>
  </si>
  <si>
    <t>01/02/2017</t>
  </si>
  <si>
    <t>16.77</t>
  </si>
  <si>
    <t>2017-02-01</t>
  </si>
  <si>
    <t>01/03/2017</t>
  </si>
  <si>
    <t>16.00</t>
  </si>
  <si>
    <t>2017-03-01</t>
  </si>
  <si>
    <t>01/04/2017</t>
  </si>
  <si>
    <t>15.93</t>
  </si>
  <si>
    <t>2017-04-01</t>
  </si>
  <si>
    <t>01/05/2017</t>
  </si>
  <si>
    <t>15.46</t>
  </si>
  <si>
    <t>2017-05-01</t>
  </si>
  <si>
    <t>01/06/2017</t>
  </si>
  <si>
    <t>2017-06-01</t>
  </si>
  <si>
    <t>01/07/2017</t>
  </si>
  <si>
    <t>15.28</t>
  </si>
  <si>
    <t>2017-07-01</t>
  </si>
  <si>
    <t>01/08/2017</t>
  </si>
  <si>
    <t>14.81</t>
  </si>
  <si>
    <t>2017-08-01</t>
  </si>
  <si>
    <t>01/09/2017</t>
  </si>
  <si>
    <t>12.60</t>
  </si>
  <si>
    <t>2017-09-01</t>
  </si>
  <si>
    <t>01/10/2017</t>
  </si>
  <si>
    <t>12.14</t>
  </si>
  <si>
    <t>2017-10-01</t>
  </si>
  <si>
    <t>01/11/2017</t>
  </si>
  <si>
    <t>12.10</t>
  </si>
  <si>
    <t>2017-11-01</t>
  </si>
  <si>
    <t>01/12/2017</t>
  </si>
  <si>
    <t>12.13</t>
  </si>
  <si>
    <t>2017-12-01</t>
  </si>
  <si>
    <t>01/01/2018</t>
  </si>
  <si>
    <t>12.01</t>
  </si>
  <si>
    <t>2018-01-01</t>
  </si>
  <si>
    <t>01/02/2018</t>
  </si>
  <si>
    <t>11.79</t>
  </si>
  <si>
    <t>2018-02-01</t>
  </si>
  <si>
    <t>01/03/2018</t>
  </si>
  <si>
    <t>11.06</t>
  </si>
  <si>
    <t>2018-03-01</t>
  </si>
  <si>
    <t>01/04/2018</t>
  </si>
  <si>
    <t>10.23</t>
  </si>
  <si>
    <t>2018-04-01</t>
  </si>
  <si>
    <t>01/05/2018</t>
  </si>
  <si>
    <t>9.75</t>
  </si>
  <si>
    <t>2018-05-01</t>
  </si>
  <si>
    <t>01/06/2018</t>
  </si>
  <si>
    <t>9.89</t>
  </si>
  <si>
    <t>2018-06-01</t>
  </si>
  <si>
    <t>01/07/2018</t>
  </si>
  <si>
    <t>10.28</t>
  </si>
  <si>
    <t>2018-07-01</t>
  </si>
  <si>
    <t>01/08/2018</t>
  </si>
  <si>
    <t>10.37</t>
  </si>
  <si>
    <t>2018-08-01</t>
  </si>
  <si>
    <t>01/09/2018</t>
  </si>
  <si>
    <t>10.30</t>
  </si>
  <si>
    <t>2018-09-01</t>
  </si>
  <si>
    <t>01/10/2018</t>
  </si>
  <si>
    <t>10.17</t>
  </si>
  <si>
    <t>2018-10-01</t>
  </si>
  <si>
    <t>01/11/2018</t>
  </si>
  <si>
    <t>9.93</t>
  </si>
  <si>
    <t>2018-11-01</t>
  </si>
  <si>
    <t>01/12/2018</t>
  </si>
  <si>
    <t>9.68</t>
  </si>
  <si>
    <t>2018-12-01</t>
  </si>
  <si>
    <t>01/01/2019</t>
  </si>
  <si>
    <t>9.61</t>
  </si>
  <si>
    <t>2019-01-01</t>
  </si>
  <si>
    <t>01/02/2019</t>
  </si>
  <si>
    <t>9.38</t>
  </si>
  <si>
    <t>2019-02-01</t>
  </si>
  <si>
    <t>01/03/2019</t>
  </si>
  <si>
    <t>9.33</t>
  </si>
  <si>
    <t>2019-03-01</t>
  </si>
  <si>
    <t>01/04/2019</t>
  </si>
  <si>
    <t>2019-04-01</t>
  </si>
  <si>
    <t>01/05/2019</t>
  </si>
  <si>
    <t>9.81</t>
  </si>
  <si>
    <t>2019-05-01</t>
  </si>
  <si>
    <t>01/06/2019</t>
  </si>
  <si>
    <t>10.06</t>
  </si>
  <si>
    <t>2019-06-01</t>
  </si>
  <si>
    <t>01/07/2019</t>
  </si>
  <si>
    <t>10.10</t>
  </si>
  <si>
    <t>2019-07-01</t>
  </si>
  <si>
    <t>01/08/2019</t>
  </si>
  <si>
    <t>2019-08-01</t>
  </si>
  <si>
    <t>01/09/2019</t>
  </si>
  <si>
    <t>8.54</t>
  </si>
  <si>
    <t>2019-09-01</t>
  </si>
  <si>
    <t>01/10/2019</t>
  </si>
  <si>
    <t>8.29</t>
  </si>
  <si>
    <t>2019-10-01</t>
  </si>
  <si>
    <t>01/11/2019</t>
  </si>
  <si>
    <t>8.04</t>
  </si>
  <si>
    <t>2019-11-01</t>
  </si>
  <si>
    <t>01/12/2019</t>
  </si>
  <si>
    <t>8.14</t>
  </si>
  <si>
    <t>2019-12-01</t>
  </si>
  <si>
    <t>01/01/2020</t>
  </si>
  <si>
    <t>8.24</t>
  </si>
  <si>
    <t>2020-01-01</t>
  </si>
  <si>
    <t>01/02/2020</t>
  </si>
  <si>
    <t>8.18</t>
  </si>
  <si>
    <t>2020-02-01</t>
  </si>
  <si>
    <t>01/03/2020</t>
  </si>
  <si>
    <t>7.96</t>
  </si>
  <si>
    <t>2020-03-01</t>
  </si>
  <si>
    <t>01/04/2020</t>
  </si>
  <si>
    <t>8.28</t>
  </si>
  <si>
    <t>2020-04-01</t>
  </si>
  <si>
    <t>01/05/2020</t>
  </si>
  <si>
    <t>8.10</t>
  </si>
  <si>
    <t>2020-05-01</t>
  </si>
  <si>
    <t>01/06/2020</t>
  </si>
  <si>
    <t>7.89</t>
  </si>
  <si>
    <t>2020-06-01</t>
  </si>
  <si>
    <t>01/07/2020</t>
  </si>
  <si>
    <t>7.10</t>
  </si>
  <si>
    <t>2020-07-01</t>
  </si>
  <si>
    <t>01/08/2020</t>
  </si>
  <si>
    <t>6.68</t>
  </si>
  <si>
    <t>2020-08-01</t>
  </si>
  <si>
    <t>01/09/2020</t>
  </si>
  <si>
    <t>6.23</t>
  </si>
  <si>
    <t>2020-09-01</t>
  </si>
  <si>
    <t>01/10/2020</t>
  </si>
  <si>
    <t>6.30</t>
  </si>
  <si>
    <t>2020-10-01</t>
  </si>
  <si>
    <t>01/11/2020</t>
  </si>
  <si>
    <t>6.39</t>
  </si>
  <si>
    <t>2020-11-01</t>
  </si>
  <si>
    <t>01/12/2020</t>
  </si>
  <si>
    <t>6.41</t>
  </si>
  <si>
    <t>2020-12-01</t>
  </si>
  <si>
    <t>01/01/2021</t>
  </si>
  <si>
    <t>6.54</t>
  </si>
  <si>
    <t>2021-01-01</t>
  </si>
  <si>
    <t>01/02/2021</t>
  </si>
  <si>
    <t>2021-02-01</t>
  </si>
  <si>
    <t>01/03/2021</t>
  </si>
  <si>
    <t>7.05</t>
  </si>
  <si>
    <t>2021-03-01</t>
  </si>
  <si>
    <t>01/04/2021</t>
  </si>
  <si>
    <t>7.02</t>
  </si>
  <si>
    <t>2021-04-01</t>
  </si>
  <si>
    <t>01/05/2021</t>
  </si>
  <si>
    <t>7.07</t>
  </si>
  <si>
    <t>2021-05-01</t>
  </si>
  <si>
    <t>01/06/2021</t>
  </si>
  <si>
    <t>7.36</t>
  </si>
  <si>
    <t>2021-06-01</t>
  </si>
  <si>
    <t>01/07/2021</t>
  </si>
  <si>
    <t>7.80</t>
  </si>
  <si>
    <t>2021-07-01</t>
  </si>
  <si>
    <t>01/08/2021</t>
  </si>
  <si>
    <t>8.30</t>
  </si>
  <si>
    <t>2021-08-01</t>
  </si>
  <si>
    <t>01/09/2021</t>
  </si>
  <si>
    <t>9.02</t>
  </si>
  <si>
    <t>2021-09-01</t>
  </si>
  <si>
    <t>01/10/2021</t>
  </si>
  <si>
    <t>9.86</t>
  </si>
  <si>
    <t>2021-10-01</t>
  </si>
  <si>
    <t>01/11/2021</t>
  </si>
  <si>
    <t>10.91</t>
  </si>
  <si>
    <t>2021-11-01</t>
  </si>
  <si>
    <t>01/12/2021</t>
  </si>
  <si>
    <t>2021-12-01</t>
  </si>
  <si>
    <t>01/01/2022</t>
  </si>
  <si>
    <t>13.05</t>
  </si>
  <si>
    <t>2022-01-01</t>
  </si>
  <si>
    <t>01/02/2022</t>
  </si>
  <si>
    <t>13.68</t>
  </si>
  <si>
    <t>2022-02-01</t>
  </si>
  <si>
    <t>01/03/2022</t>
  </si>
  <si>
    <t>14.57</t>
  </si>
  <si>
    <t>2022-03-01</t>
  </si>
  <si>
    <t>01/04/2022</t>
  </si>
  <si>
    <t>14.78</t>
  </si>
  <si>
    <t>2022-04-01</t>
  </si>
  <si>
    <t>01/05/2022</t>
  </si>
  <si>
    <t>15.36</t>
  </si>
  <si>
    <t>2022-05-01</t>
  </si>
  <si>
    <t>01/06/2022</t>
  </si>
  <si>
    <t>15.97</t>
  </si>
  <si>
    <t>2022-06-01</t>
  </si>
  <si>
    <t>01/07/2022</t>
  </si>
  <si>
    <t>16.47</t>
  </si>
  <si>
    <t>2022-07-01</t>
  </si>
  <si>
    <t>01/08/2022</t>
  </si>
  <si>
    <t>16.81</t>
  </si>
  <si>
    <t>2022-08-01</t>
  </si>
  <si>
    <t>01/09/2022</t>
  </si>
  <si>
    <t>16.91</t>
  </si>
  <si>
    <t>2022-09-01</t>
  </si>
  <si>
    <t>01/10/2022</t>
  </si>
  <si>
    <t>16.93</t>
  </si>
  <si>
    <t>2022-10-01</t>
  </si>
  <si>
    <t>01/11/2022</t>
  </si>
  <si>
    <t>2022-11-01</t>
  </si>
  <si>
    <t>01/12/2022</t>
  </si>
  <si>
    <t>17.13</t>
  </si>
  <si>
    <t>2022-12-01</t>
  </si>
  <si>
    <t>dir</t>
  </si>
  <si>
    <t>tpb</t>
  </si>
  <si>
    <t>Problema de base no CPI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</si>
</sst>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.0000_-;\-* #,##0.0000_-;_-* &quot;-&quot;??_-;_-@"/>
    <numFmt numFmtId="165" formatCode="0.000"/>
    <numFmt numFmtId="166" formatCode="0.000%"/>
    <numFmt numFmtId="167" formatCode="0.0%"/>
    <numFmt numFmtId="168" formatCode="_-* #,##0_-;\-* #,##0_-;_-* &quot;-&quot;??_-;_-@_-"/>
    <numFmt numFmtId="169" formatCode="0.00000"/>
    <numFmt numFmtId="170" formatCode="0.0000"/>
    <numFmt numFmtId="171" formatCode="#,##0.0000"/>
    <numFmt numFmtId="172" formatCode="0.0000000000000"/>
    <numFmt numFmtId="173" formatCode="[$-416]mmm\-yy;@"/>
    <numFmt numFmtId="174" formatCode="0.000000"/>
    <numFmt numFmtId="175" formatCode="0.0"/>
    <numFmt numFmtId="176" formatCode="#,##0.000"/>
  </numFmts>
  <fonts count="7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0.14999847407452621"/>
      <name val="Calibri"/>
      <family val="2"/>
    </font>
    <font>
      <b/>
      <sz val="10"/>
      <color theme="0"/>
      <name val="Calibri"/>
      <family val="2"/>
    </font>
    <font>
      <b/>
      <sz val="12"/>
      <color theme="0"/>
      <name val="Calibri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565658"/>
      <name val="Arial"/>
      <family val="2"/>
    </font>
    <font>
      <b/>
      <sz val="10"/>
      <name val="Calibri"/>
      <family val="2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0"/>
      <name val="Arial"/>
      <family val="2"/>
    </font>
    <font>
      <b/>
      <sz val="10"/>
      <name val="Courier New"/>
      <family val="3"/>
    </font>
    <font>
      <b/>
      <sz val="8"/>
      <name val="Courier New"/>
      <family val="3"/>
    </font>
    <font>
      <sz val="8"/>
      <name val="Courier New"/>
      <family val="3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</font>
    <font>
      <b/>
      <sz val="10"/>
      <name val="Verdana"/>
      <family val="2"/>
    </font>
    <font>
      <b/>
      <sz val="10"/>
      <name val="Verdana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b/>
      <sz val="9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rgb="FF484A4D"/>
      <name val="Calibri"/>
      <family val="2"/>
      <scheme val="major"/>
    </font>
    <font>
      <b/>
      <sz val="11"/>
      <color rgb="FF484A4D"/>
      <name val="Calibri"/>
      <family val="2"/>
      <scheme val="major"/>
    </font>
    <font>
      <u/>
      <sz val="11"/>
      <color theme="1"/>
      <name val="Calibri"/>
      <family val="2"/>
      <scheme val="major"/>
    </font>
    <font>
      <sz val="11"/>
      <color rgb="FFFF0000"/>
      <name val="Calibri"/>
      <family val="2"/>
      <scheme val="major"/>
    </font>
    <font>
      <b/>
      <sz val="10"/>
      <color theme="1"/>
      <name val="Calibri"/>
      <family val="2"/>
      <scheme val="major"/>
    </font>
    <font>
      <sz val="11"/>
      <color rgb="FF333333"/>
      <name val="Calibri"/>
      <family val="2"/>
      <scheme val="major"/>
    </font>
    <font>
      <b/>
      <sz val="11"/>
      <color rgb="FF333333"/>
      <name val="Calibri"/>
      <family val="2"/>
      <scheme val="maj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DBDDDE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40">
    <xf numFmtId="0" fontId="0" fillId="0" borderId="0"/>
    <xf numFmtId="9" fontId="30" fillId="0" borderId="0" applyFont="0" applyFill="0" applyBorder="0" applyAlignment="0" applyProtection="0"/>
    <xf numFmtId="0" fontId="37" fillId="0" borderId="2">
      <alignment vertical="center"/>
    </xf>
    <xf numFmtId="0" fontId="26" fillId="0" borderId="2"/>
    <xf numFmtId="0" fontId="40" fillId="11" borderId="2" applyNumberFormat="0" applyBorder="0" applyAlignment="0" applyProtection="0"/>
    <xf numFmtId="0" fontId="36" fillId="5" borderId="2" applyNumberFormat="0" applyBorder="0" applyAlignment="0" applyProtection="0"/>
    <xf numFmtId="0" fontId="26" fillId="8" borderId="2" applyNumberFormat="0" applyBorder="0" applyAlignment="0" applyProtection="0"/>
    <xf numFmtId="0" fontId="26" fillId="7" borderId="2" applyNumberFormat="0" applyBorder="0" applyAlignment="0" applyProtection="0"/>
    <xf numFmtId="0" fontId="26" fillId="10" borderId="2" applyNumberFormat="0" applyBorder="0" applyAlignment="0" applyProtection="0"/>
    <xf numFmtId="0" fontId="26" fillId="9" borderId="2" applyNumberFormat="0" applyBorder="0" applyAlignment="0" applyProtection="0"/>
    <xf numFmtId="0" fontId="26" fillId="6" borderId="2" applyNumberFormat="0" applyBorder="0" applyAlignment="0" applyProtection="0"/>
    <xf numFmtId="0" fontId="32" fillId="3" borderId="2" applyNumberFormat="0" applyBorder="0" applyAlignment="0" applyProtection="0"/>
    <xf numFmtId="0" fontId="26" fillId="0" borderId="2"/>
    <xf numFmtId="43" fontId="26" fillId="0" borderId="2" applyFont="0" applyFill="0" applyBorder="0" applyAlignment="0" applyProtection="0"/>
    <xf numFmtId="0" fontId="43" fillId="0" borderId="2"/>
    <xf numFmtId="9" fontId="43" fillId="0" borderId="2" applyFont="0" applyFill="0" applyBorder="0" applyAlignment="0" applyProtection="0"/>
    <xf numFmtId="0" fontId="26" fillId="0" borderId="2"/>
    <xf numFmtId="44" fontId="43" fillId="0" borderId="2" applyFont="0" applyFill="0" applyBorder="0" applyAlignment="0" applyProtection="0"/>
    <xf numFmtId="9" fontId="26" fillId="0" borderId="2" applyFont="0" applyFill="0" applyBorder="0" applyAlignment="0" applyProtection="0"/>
    <xf numFmtId="0" fontId="44" fillId="0" borderId="2" applyNumberFormat="0" applyFill="0" applyBorder="0" applyAlignment="0" applyProtection="0"/>
    <xf numFmtId="44" fontId="26" fillId="0" borderId="2" applyFont="0" applyFill="0" applyBorder="0" applyAlignment="0" applyProtection="0"/>
    <xf numFmtId="0" fontId="43" fillId="0" borderId="2"/>
    <xf numFmtId="0" fontId="31" fillId="2" borderId="2" applyNumberFormat="0" applyBorder="0" applyAlignment="0" applyProtection="0"/>
    <xf numFmtId="0" fontId="33" fillId="4" borderId="2" applyNumberFormat="0" applyBorder="0" applyAlignment="0" applyProtection="0"/>
    <xf numFmtId="0" fontId="26" fillId="0" borderId="2"/>
    <xf numFmtId="0" fontId="25" fillId="7" borderId="0" applyNumberFormat="0" applyBorder="0" applyAlignment="0" applyProtection="0"/>
    <xf numFmtId="0" fontId="24" fillId="0" borderId="2"/>
    <xf numFmtId="9" fontId="24" fillId="0" borderId="2" applyFont="0" applyFill="0" applyBorder="0" applyAlignment="0" applyProtection="0"/>
    <xf numFmtId="0" fontId="24" fillId="0" borderId="2"/>
    <xf numFmtId="0" fontId="24" fillId="8" borderId="2" applyNumberFormat="0" applyBorder="0" applyAlignment="0" applyProtection="0"/>
    <xf numFmtId="0" fontId="24" fillId="7" borderId="2" applyNumberFormat="0" applyBorder="0" applyAlignment="0" applyProtection="0"/>
    <xf numFmtId="0" fontId="24" fillId="10" borderId="2" applyNumberFormat="0" applyBorder="0" applyAlignment="0" applyProtection="0"/>
    <xf numFmtId="0" fontId="24" fillId="9" borderId="2" applyNumberFormat="0" applyBorder="0" applyAlignment="0" applyProtection="0"/>
    <xf numFmtId="0" fontId="24" fillId="6" borderId="2" applyNumberFormat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44" fontId="43" fillId="0" borderId="2" applyFont="0" applyFill="0" applyBorder="0" applyAlignment="0" applyProtection="0"/>
    <xf numFmtId="9" fontId="24" fillId="0" borderId="2" applyFont="0" applyFill="0" applyBorder="0" applyAlignment="0" applyProtection="0"/>
    <xf numFmtId="44" fontId="24" fillId="0" borderId="2" applyFont="0" applyFill="0" applyBorder="0" applyAlignment="0" applyProtection="0"/>
    <xf numFmtId="0" fontId="24" fillId="0" borderId="2"/>
    <xf numFmtId="0" fontId="24" fillId="7" borderId="2" applyNumberFormat="0" applyBorder="0" applyAlignment="0" applyProtection="0"/>
    <xf numFmtId="0" fontId="36" fillId="15" borderId="2" applyNumberFormat="0" applyBorder="0" applyAlignment="0" applyProtection="0"/>
    <xf numFmtId="0" fontId="23" fillId="0" borderId="2"/>
    <xf numFmtId="0" fontId="23" fillId="8" borderId="2" applyNumberFormat="0" applyBorder="0" applyAlignment="0" applyProtection="0"/>
    <xf numFmtId="0" fontId="23" fillId="6" borderId="2" applyNumberFormat="0" applyBorder="0" applyAlignment="0" applyProtection="0"/>
    <xf numFmtId="9" fontId="23" fillId="0" borderId="2" applyFont="0" applyFill="0" applyBorder="0" applyAlignment="0" applyProtection="0"/>
    <xf numFmtId="0" fontId="49" fillId="0" borderId="2"/>
    <xf numFmtId="0" fontId="43" fillId="0" borderId="2"/>
    <xf numFmtId="0" fontId="21" fillId="0" borderId="2"/>
    <xf numFmtId="9" fontId="21" fillId="0" borderId="2" applyFont="0" applyFill="0" applyBorder="0" applyAlignment="0" applyProtection="0"/>
    <xf numFmtId="43" fontId="21" fillId="0" borderId="2" applyFont="0" applyFill="0" applyBorder="0" applyAlignment="0" applyProtection="0"/>
    <xf numFmtId="9" fontId="21" fillId="0" borderId="2" applyFont="0" applyFill="0" applyBorder="0" applyAlignment="0" applyProtection="0"/>
    <xf numFmtId="0" fontId="21" fillId="0" borderId="2"/>
    <xf numFmtId="44" fontId="21" fillId="0" borderId="2" applyFont="0" applyFill="0" applyBorder="0" applyAlignment="0" applyProtection="0"/>
    <xf numFmtId="0" fontId="21" fillId="0" borderId="2"/>
    <xf numFmtId="43" fontId="21" fillId="0" borderId="2" applyFont="0" applyFill="0" applyBorder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13" borderId="25" applyNumberFormat="0" applyFont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6" borderId="2" applyNumberFormat="0" applyBorder="0" applyAlignment="0" applyProtection="0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0" borderId="2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13" borderId="25" applyNumberFormat="0" applyFont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6" borderId="2" applyNumberFormat="0" applyBorder="0" applyAlignment="0" applyProtection="0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0" fontId="57" fillId="0" borderId="2" applyNumberFormat="0" applyFill="0" applyBorder="0" applyAlignment="0" applyProtection="0"/>
  </cellStyleXfs>
  <cellXfs count="540">
    <xf numFmtId="0" fontId="0" fillId="0" borderId="0" xfId="0"/>
    <xf numFmtId="0" fontId="27" fillId="0" borderId="0" xfId="0" applyFont="1"/>
    <xf numFmtId="0" fontId="28" fillId="0" borderId="0" xfId="0" applyFont="1"/>
    <xf numFmtId="0" fontId="29" fillId="0" borderId="0" xfId="0" applyFont="1" applyAlignment="1">
      <alignment horizontal="center"/>
    </xf>
    <xf numFmtId="0" fontId="27" fillId="0" borderId="0" xfId="0" applyFont="1" applyAlignment="1">
      <alignment vertical="center"/>
    </xf>
    <xf numFmtId="10" fontId="27" fillId="0" borderId="0" xfId="0" applyNumberFormat="1" applyFont="1" applyAlignment="1">
      <alignment vertical="center"/>
    </xf>
    <xf numFmtId="0" fontId="37" fillId="0" borderId="2" xfId="2">
      <alignment vertical="center"/>
    </xf>
    <xf numFmtId="0" fontId="37" fillId="0" borderId="2" xfId="2" applyAlignment="1"/>
    <xf numFmtId="0" fontId="38" fillId="0" borderId="2" xfId="2" applyFont="1" applyAlignment="1"/>
    <xf numFmtId="0" fontId="38" fillId="0" borderId="4" xfId="2" applyFont="1" applyBorder="1" applyAlignment="1"/>
    <xf numFmtId="0" fontId="38" fillId="0" borderId="4" xfId="2" applyFont="1" applyBorder="1" applyAlignment="1">
      <alignment horizontal="left" indent="1"/>
    </xf>
    <xf numFmtId="0" fontId="39" fillId="0" borderId="5" xfId="2" applyFont="1" applyBorder="1">
      <alignment vertical="center"/>
    </xf>
    <xf numFmtId="0" fontId="26" fillId="0" borderId="2" xfId="3"/>
    <xf numFmtId="0" fontId="40" fillId="11" borderId="2" xfId="4" applyAlignment="1">
      <alignment vertical="center"/>
    </xf>
    <xf numFmtId="0" fontId="41" fillId="11" borderId="2" xfId="4" applyFont="1" applyAlignment="1">
      <alignment vertical="center"/>
    </xf>
    <xf numFmtId="0" fontId="44" fillId="0" borderId="2" xfId="19"/>
    <xf numFmtId="0" fontId="26" fillId="0" borderId="2" xfId="3" applyAlignment="1">
      <alignment horizontal="center"/>
    </xf>
    <xf numFmtId="14" fontId="26" fillId="0" borderId="2" xfId="3" applyNumberFormat="1"/>
    <xf numFmtId="17" fontId="26" fillId="0" borderId="2" xfId="3" applyNumberFormat="1"/>
    <xf numFmtId="43" fontId="0" fillId="0" borderId="2" xfId="13" applyFont="1"/>
    <xf numFmtId="0" fontId="26" fillId="7" borderId="3" xfId="7" applyBorder="1"/>
    <xf numFmtId="14" fontId="26" fillId="7" borderId="3" xfId="7" applyNumberFormat="1" applyBorder="1"/>
    <xf numFmtId="0" fontId="40" fillId="11" borderId="1" xfId="4" applyBorder="1" applyAlignment="1">
      <alignment horizontal="center" wrapText="1"/>
    </xf>
    <xf numFmtId="0" fontId="0" fillId="0" borderId="2" xfId="0" applyBorder="1"/>
    <xf numFmtId="0" fontId="26" fillId="12" borderId="2" xfId="3" applyFill="1"/>
    <xf numFmtId="0" fontId="40" fillId="11" borderId="2" xfId="4" applyBorder="1"/>
    <xf numFmtId="0" fontId="33" fillId="12" borderId="2" xfId="23" applyFill="1"/>
    <xf numFmtId="14" fontId="26" fillId="12" borderId="2" xfId="3" applyNumberFormat="1" applyFill="1"/>
    <xf numFmtId="17" fontId="26" fillId="12" borderId="2" xfId="3" applyNumberFormat="1" applyFill="1"/>
    <xf numFmtId="0" fontId="0" fillId="12" borderId="0" xfId="0" applyFill="1"/>
    <xf numFmtId="0" fontId="38" fillId="0" borderId="2" xfId="2" applyFont="1" applyAlignment="1">
      <alignment horizontal="left" indent="1"/>
    </xf>
    <xf numFmtId="0" fontId="38" fillId="0" borderId="2" xfId="2" applyFont="1">
      <alignment vertical="center"/>
    </xf>
    <xf numFmtId="0" fontId="0" fillId="0" borderId="0" xfId="0" applyAlignment="1">
      <alignment horizontal="right"/>
    </xf>
    <xf numFmtId="2" fontId="27" fillId="0" borderId="0" xfId="0" applyNumberFormat="1" applyFont="1"/>
    <xf numFmtId="170" fontId="27" fillId="0" borderId="0" xfId="0" applyNumberFormat="1" applyFont="1"/>
    <xf numFmtId="8" fontId="0" fillId="0" borderId="0" xfId="0" applyNumberFormat="1"/>
    <xf numFmtId="0" fontId="40" fillId="11" borderId="2" xfId="4" applyBorder="1" applyAlignment="1">
      <alignment vertical="center"/>
    </xf>
    <xf numFmtId="0" fontId="40" fillId="11" borderId="2" xfId="4" applyBorder="1" applyAlignment="1">
      <alignment horizontal="center"/>
    </xf>
    <xf numFmtId="2" fontId="0" fillId="0" borderId="0" xfId="0" applyNumberFormat="1"/>
    <xf numFmtId="0" fontId="26" fillId="12" borderId="2" xfId="3" applyFill="1" applyAlignment="1">
      <alignment horizontal="center" vertical="center"/>
    </xf>
    <xf numFmtId="0" fontId="27" fillId="0" borderId="0" xfId="0" applyFont="1" applyAlignment="1">
      <alignment wrapText="1"/>
    </xf>
    <xf numFmtId="0" fontId="46" fillId="12" borderId="29" xfId="4" applyFont="1" applyFill="1" applyBorder="1" applyAlignment="1">
      <alignment horizontal="center" vertical="center"/>
    </xf>
    <xf numFmtId="0" fontId="46" fillId="12" borderId="20" xfId="4" applyFont="1" applyFill="1" applyBorder="1" applyAlignment="1">
      <alignment horizontal="center" vertical="center"/>
    </xf>
    <xf numFmtId="0" fontId="46" fillId="12" borderId="31" xfId="4" applyFont="1" applyFill="1" applyBorder="1" applyAlignment="1">
      <alignment horizontal="center" vertical="center" wrapText="1"/>
    </xf>
    <xf numFmtId="0" fontId="40" fillId="11" borderId="2" xfId="4" applyAlignment="1">
      <alignment horizontal="center" vertical="center"/>
    </xf>
    <xf numFmtId="0" fontId="23" fillId="12" borderId="2" xfId="43" applyFill="1"/>
    <xf numFmtId="14" fontId="0" fillId="12" borderId="0" xfId="0" applyNumberFormat="1" applyFill="1"/>
    <xf numFmtId="0" fontId="35" fillId="12" borderId="0" xfId="0" applyFont="1" applyFill="1" applyAlignment="1">
      <alignment horizontal="right" vertical="center"/>
    </xf>
    <xf numFmtId="0" fontId="35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14" fontId="0" fillId="14" borderId="0" xfId="0" applyNumberFormat="1" applyFill="1" applyAlignment="1">
      <alignment horizontal="center" vertical="center"/>
    </xf>
    <xf numFmtId="10" fontId="0" fillId="12" borderId="0" xfId="1" applyNumberFormat="1" applyFont="1" applyFill="1" applyAlignment="1">
      <alignment horizontal="center" vertical="center"/>
    </xf>
    <xf numFmtId="0" fontId="44" fillId="12" borderId="2" xfId="19" applyFill="1"/>
    <xf numFmtId="0" fontId="35" fillId="12" borderId="2" xfId="43" applyFont="1" applyFill="1"/>
    <xf numFmtId="17" fontId="0" fillId="14" borderId="0" xfId="0" applyNumberFormat="1" applyFill="1" applyAlignment="1">
      <alignment horizontal="center" vertical="center"/>
    </xf>
    <xf numFmtId="4" fontId="0" fillId="14" borderId="0" xfId="0" applyNumberFormat="1" applyFill="1" applyAlignment="1">
      <alignment horizontal="center" vertical="center"/>
    </xf>
    <xf numFmtId="10" fontId="0" fillId="14" borderId="0" xfId="0" applyNumberFormat="1" applyFill="1" applyAlignment="1">
      <alignment horizontal="center" vertical="center"/>
    </xf>
    <xf numFmtId="10" fontId="0" fillId="12" borderId="0" xfId="1" applyNumberFormat="1" applyFont="1" applyFill="1" applyAlignment="1"/>
    <xf numFmtId="0" fontId="36" fillId="11" borderId="0" xfId="0" applyFont="1" applyFill="1" applyAlignment="1">
      <alignment horizontal="center" vertical="center"/>
    </xf>
    <xf numFmtId="0" fontId="23" fillId="12" borderId="2" xfId="43" applyFill="1" applyAlignment="1">
      <alignment horizontal="center" vertical="center"/>
    </xf>
    <xf numFmtId="0" fontId="23" fillId="14" borderId="2" xfId="43" applyFill="1" applyAlignment="1">
      <alignment horizontal="center" vertical="center"/>
    </xf>
    <xf numFmtId="17" fontId="23" fillId="14" borderId="2" xfId="43" applyNumberFormat="1" applyFill="1" applyAlignment="1">
      <alignment horizontal="center" vertical="center"/>
    </xf>
    <xf numFmtId="0" fontId="36" fillId="12" borderId="0" xfId="0" applyFont="1" applyFill="1"/>
    <xf numFmtId="0" fontId="26" fillId="14" borderId="2" xfId="3" applyFill="1"/>
    <xf numFmtId="14" fontId="26" fillId="14" borderId="2" xfId="3" applyNumberFormat="1" applyFill="1"/>
    <xf numFmtId="166" fontId="25" fillId="12" borderId="20" xfId="25" applyNumberFormat="1" applyFill="1" applyBorder="1" applyAlignment="1">
      <alignment horizontal="center" vertical="center"/>
    </xf>
    <xf numFmtId="8" fontId="25" fillId="12" borderId="34" xfId="25" applyNumberFormat="1" applyFill="1" applyBorder="1" applyAlignment="1">
      <alignment horizontal="center" vertical="center"/>
    </xf>
    <xf numFmtId="0" fontId="36" fillId="11" borderId="29" xfId="25" applyFont="1" applyFill="1" applyBorder="1" applyAlignment="1">
      <alignment horizontal="center" vertical="center" wrapText="1"/>
    </xf>
    <xf numFmtId="0" fontId="36" fillId="11" borderId="32" xfId="25" applyFont="1" applyFill="1" applyBorder="1" applyAlignment="1">
      <alignment horizontal="center" vertical="center"/>
    </xf>
    <xf numFmtId="0" fontId="36" fillId="11" borderId="2" xfId="3" applyFont="1" applyFill="1" applyAlignment="1">
      <alignment horizontal="center" vertical="center"/>
    </xf>
    <xf numFmtId="0" fontId="36" fillId="11" borderId="26" xfId="0" applyFont="1" applyFill="1" applyBorder="1" applyAlignment="1">
      <alignment horizontal="center" vertical="center"/>
    </xf>
    <xf numFmtId="166" fontId="0" fillId="12" borderId="16" xfId="0" applyNumberFormat="1" applyFill="1" applyBorder="1" applyAlignment="1">
      <alignment horizontal="center" vertical="center"/>
    </xf>
    <xf numFmtId="0" fontId="35" fillId="12" borderId="2" xfId="3" applyFont="1" applyFill="1" applyAlignment="1">
      <alignment vertical="center"/>
    </xf>
    <xf numFmtId="14" fontId="45" fillId="14" borderId="2" xfId="3" applyNumberFormat="1" applyFont="1" applyFill="1" applyAlignment="1">
      <alignment vertical="center" wrapText="1"/>
    </xf>
    <xf numFmtId="0" fontId="45" fillId="14" borderId="2" xfId="3" applyFont="1" applyFill="1" applyAlignment="1">
      <alignment horizontal="center" vertical="center" wrapText="1"/>
    </xf>
    <xf numFmtId="14" fontId="45" fillId="14" borderId="21" xfId="3" applyNumberFormat="1" applyFont="1" applyFill="1" applyBorder="1" applyAlignment="1">
      <alignment vertical="center" wrapText="1"/>
    </xf>
    <xf numFmtId="0" fontId="45" fillId="14" borderId="21" xfId="3" applyFont="1" applyFill="1" applyBorder="1" applyAlignment="1">
      <alignment horizontal="center" vertical="center" wrapText="1"/>
    </xf>
    <xf numFmtId="171" fontId="45" fillId="14" borderId="2" xfId="3" applyNumberFormat="1" applyFont="1" applyFill="1" applyAlignment="1">
      <alignment horizontal="center" vertical="center" wrapText="1"/>
    </xf>
    <xf numFmtId="174" fontId="26" fillId="0" borderId="2" xfId="3" applyNumberFormat="1"/>
    <xf numFmtId="2" fontId="26" fillId="12" borderId="2" xfId="3" applyNumberFormat="1" applyFill="1"/>
    <xf numFmtId="2" fontId="26" fillId="12" borderId="20" xfId="3" applyNumberFormat="1" applyFill="1" applyBorder="1" applyAlignment="1">
      <alignment horizontal="center" vertical="center"/>
    </xf>
    <xf numFmtId="2" fontId="26" fillId="12" borderId="35" xfId="3" applyNumberFormat="1" applyFill="1" applyBorder="1" applyAlignment="1">
      <alignment horizontal="center" vertical="center"/>
    </xf>
    <xf numFmtId="2" fontId="26" fillId="0" borderId="2" xfId="3" applyNumberFormat="1"/>
    <xf numFmtId="0" fontId="50" fillId="11" borderId="22" xfId="3" applyFont="1" applyFill="1" applyBorder="1" applyAlignment="1">
      <alignment vertical="center" wrapText="1"/>
    </xf>
    <xf numFmtId="0" fontId="50" fillId="11" borderId="24" xfId="3" applyFont="1" applyFill="1" applyBorder="1" applyAlignment="1">
      <alignment vertical="center" wrapText="1"/>
    </xf>
    <xf numFmtId="0" fontId="50" fillId="11" borderId="23" xfId="3" applyFont="1" applyFill="1" applyBorder="1" applyAlignment="1">
      <alignment vertical="center" wrapText="1"/>
    </xf>
    <xf numFmtId="2" fontId="50" fillId="11" borderId="22" xfId="3" applyNumberFormat="1" applyFont="1" applyFill="1" applyBorder="1" applyAlignment="1">
      <alignment vertical="center" wrapText="1"/>
    </xf>
    <xf numFmtId="0" fontId="50" fillId="11" borderId="22" xfId="3" applyFont="1" applyFill="1" applyBorder="1" applyAlignment="1">
      <alignment horizontal="center" vertical="center" wrapText="1"/>
    </xf>
    <xf numFmtId="2" fontId="50" fillId="11" borderId="22" xfId="3" applyNumberFormat="1" applyFont="1" applyFill="1" applyBorder="1" applyAlignment="1">
      <alignment horizontal="center" vertical="center" wrapText="1"/>
    </xf>
    <xf numFmtId="17" fontId="0" fillId="12" borderId="0" xfId="0" applyNumberFormat="1" applyFill="1" applyAlignment="1">
      <alignment horizontal="center" vertical="center"/>
    </xf>
    <xf numFmtId="14" fontId="35" fillId="0" borderId="2" xfId="3" applyNumberFormat="1" applyFont="1"/>
    <xf numFmtId="0" fontId="38" fillId="0" borderId="2" xfId="2" applyFont="1" applyAlignment="1">
      <alignment horizontal="right" vertical="center"/>
    </xf>
    <xf numFmtId="0" fontId="35" fillId="12" borderId="2" xfId="3" applyFont="1" applyFill="1" applyAlignment="1">
      <alignment horizontal="center" vertical="center"/>
    </xf>
    <xf numFmtId="169" fontId="26" fillId="0" borderId="2" xfId="3" applyNumberFormat="1" applyAlignment="1">
      <alignment horizontal="center"/>
    </xf>
    <xf numFmtId="10" fontId="47" fillId="12" borderId="2" xfId="1" applyNumberFormat="1" applyFont="1" applyFill="1" applyBorder="1" applyAlignment="1">
      <alignment horizontal="center"/>
    </xf>
    <xf numFmtId="0" fontId="26" fillId="16" borderId="2" xfId="3" applyFill="1"/>
    <xf numFmtId="0" fontId="35" fillId="16" borderId="2" xfId="43" applyFont="1" applyFill="1"/>
    <xf numFmtId="0" fontId="51" fillId="14" borderId="36" xfId="48" applyFont="1" applyFill="1" applyBorder="1"/>
    <xf numFmtId="2" fontId="51" fillId="14" borderId="2" xfId="48" applyNumberFormat="1" applyFont="1" applyFill="1"/>
    <xf numFmtId="0" fontId="51" fillId="14" borderId="37" xfId="48" applyFont="1" applyFill="1" applyBorder="1"/>
    <xf numFmtId="0" fontId="51" fillId="14" borderId="2" xfId="48" applyFont="1" applyFill="1"/>
    <xf numFmtId="4" fontId="51" fillId="14" borderId="2" xfId="48" applyNumberFormat="1" applyFont="1" applyFill="1"/>
    <xf numFmtId="0" fontId="51" fillId="14" borderId="2" xfId="48" applyFont="1" applyFill="1" applyAlignment="1">
      <alignment horizontal="center"/>
    </xf>
    <xf numFmtId="0" fontId="51" fillId="14" borderId="37" xfId="48" applyFont="1" applyFill="1" applyBorder="1" applyAlignment="1">
      <alignment horizontal="center"/>
    </xf>
    <xf numFmtId="2" fontId="51" fillId="14" borderId="37" xfId="48" applyNumberFormat="1" applyFont="1" applyFill="1" applyBorder="1" applyAlignment="1">
      <alignment horizontal="center"/>
    </xf>
    <xf numFmtId="2" fontId="51" fillId="14" borderId="40" xfId="48" applyNumberFormat="1" applyFont="1" applyFill="1" applyBorder="1" applyAlignment="1">
      <alignment horizontal="center"/>
    </xf>
    <xf numFmtId="0" fontId="51" fillId="14" borderId="41" xfId="48" applyFont="1" applyFill="1" applyBorder="1" applyAlignment="1">
      <alignment horizontal="center"/>
    </xf>
    <xf numFmtId="49" fontId="51" fillId="14" borderId="2" xfId="48" applyNumberFormat="1" applyFont="1" applyFill="1" applyAlignment="1">
      <alignment horizontal="center"/>
    </xf>
    <xf numFmtId="0" fontId="51" fillId="14" borderId="42" xfId="48" applyFont="1" applyFill="1" applyBorder="1" applyAlignment="1">
      <alignment horizontal="center"/>
    </xf>
    <xf numFmtId="2" fontId="51" fillId="14" borderId="42" xfId="48" applyNumberFormat="1" applyFont="1" applyFill="1" applyBorder="1" applyAlignment="1">
      <alignment horizontal="center"/>
    </xf>
    <xf numFmtId="0" fontId="51" fillId="14" borderId="43" xfId="48" applyFont="1" applyFill="1" applyBorder="1" applyAlignment="1">
      <alignment horizontal="center"/>
    </xf>
    <xf numFmtId="0" fontId="51" fillId="14" borderId="44" xfId="48" applyFont="1" applyFill="1" applyBorder="1" applyAlignment="1">
      <alignment horizontal="center"/>
    </xf>
    <xf numFmtId="4" fontId="51" fillId="14" borderId="44" xfId="48" applyNumberFormat="1" applyFont="1" applyFill="1" applyBorder="1" applyAlignment="1">
      <alignment horizontal="center"/>
    </xf>
    <xf numFmtId="0" fontId="52" fillId="14" borderId="36" xfId="48" applyFont="1" applyFill="1" applyBorder="1" applyAlignment="1">
      <alignment horizontal="center"/>
    </xf>
    <xf numFmtId="2" fontId="52" fillId="14" borderId="36" xfId="48" applyNumberFormat="1" applyFont="1" applyFill="1" applyBorder="1" applyAlignment="1">
      <alignment horizontal="center"/>
    </xf>
    <xf numFmtId="0" fontId="52" fillId="14" borderId="2" xfId="48" applyFont="1" applyFill="1" applyAlignment="1">
      <alignment horizontal="center"/>
    </xf>
    <xf numFmtId="0" fontId="52" fillId="14" borderId="37" xfId="48" applyFont="1" applyFill="1" applyBorder="1" applyAlignment="1">
      <alignment horizontal="center"/>
    </xf>
    <xf numFmtId="4" fontId="52" fillId="14" borderId="37" xfId="48" applyNumberFormat="1" applyFont="1" applyFill="1" applyBorder="1" applyAlignment="1">
      <alignment horizontal="center"/>
    </xf>
    <xf numFmtId="0" fontId="53" fillId="14" borderId="40" xfId="48" applyFont="1" applyFill="1" applyBorder="1" applyAlignment="1">
      <alignment horizontal="center"/>
    </xf>
    <xf numFmtId="2" fontId="53" fillId="14" borderId="36" xfId="48" applyNumberFormat="1" applyFont="1" applyFill="1" applyBorder="1" applyAlignment="1">
      <alignment horizontal="right"/>
    </xf>
    <xf numFmtId="2" fontId="53" fillId="14" borderId="40" xfId="48" applyNumberFormat="1" applyFont="1" applyFill="1" applyBorder="1" applyAlignment="1">
      <alignment horizontal="right"/>
    </xf>
    <xf numFmtId="4" fontId="53" fillId="14" borderId="37" xfId="48" applyNumberFormat="1" applyFont="1" applyFill="1" applyBorder="1" applyAlignment="1">
      <alignment horizontal="right"/>
    </xf>
    <xf numFmtId="49" fontId="52" fillId="14" borderId="2" xfId="48" applyNumberFormat="1" applyFont="1" applyFill="1" applyAlignment="1">
      <alignment horizontal="center"/>
    </xf>
    <xf numFmtId="49" fontId="52" fillId="14" borderId="36" xfId="48" applyNumberFormat="1" applyFont="1" applyFill="1" applyBorder="1" applyAlignment="1">
      <alignment horizontal="center"/>
    </xf>
    <xf numFmtId="0" fontId="52" fillId="14" borderId="36" xfId="48" applyFont="1" applyFill="1" applyBorder="1"/>
    <xf numFmtId="4" fontId="53" fillId="14" borderId="2" xfId="48" applyNumberFormat="1" applyFont="1" applyFill="1" applyAlignment="1">
      <alignment horizontal="right"/>
    </xf>
    <xf numFmtId="0" fontId="53" fillId="14" borderId="36" xfId="48" applyFont="1" applyFill="1" applyBorder="1" applyAlignment="1">
      <alignment horizontal="center"/>
    </xf>
    <xf numFmtId="49" fontId="52" fillId="14" borderId="45" xfId="48" applyNumberFormat="1" applyFont="1" applyFill="1" applyBorder="1" applyAlignment="1">
      <alignment horizontal="center"/>
    </xf>
    <xf numFmtId="0" fontId="53" fillId="14" borderId="46" xfId="48" applyFont="1" applyFill="1" applyBorder="1" applyAlignment="1">
      <alignment horizontal="center"/>
    </xf>
    <xf numFmtId="2" fontId="53" fillId="14" borderId="47" xfId="48" applyNumberFormat="1" applyFont="1" applyFill="1" applyBorder="1" applyAlignment="1">
      <alignment horizontal="right"/>
    </xf>
    <xf numFmtId="2" fontId="53" fillId="14" borderId="46" xfId="48" applyNumberFormat="1" applyFont="1" applyFill="1" applyBorder="1" applyAlignment="1">
      <alignment horizontal="right"/>
    </xf>
    <xf numFmtId="4" fontId="53" fillId="14" borderId="45" xfId="48" applyNumberFormat="1" applyFont="1" applyFill="1" applyBorder="1" applyAlignment="1">
      <alignment horizontal="right"/>
    </xf>
    <xf numFmtId="0" fontId="53" fillId="14" borderId="18" xfId="48" applyFont="1" applyFill="1" applyBorder="1" applyAlignment="1">
      <alignment horizontal="center"/>
    </xf>
    <xf numFmtId="2" fontId="53" fillId="14" borderId="18" xfId="48" applyNumberFormat="1" applyFont="1" applyFill="1" applyBorder="1" applyAlignment="1">
      <alignment horizontal="right"/>
    </xf>
    <xf numFmtId="4" fontId="53" fillId="14" borderId="18" xfId="48" applyNumberFormat="1" applyFont="1" applyFill="1" applyBorder="1" applyAlignment="1">
      <alignment horizontal="right"/>
    </xf>
    <xf numFmtId="0" fontId="52" fillId="14" borderId="2" xfId="48" applyFont="1" applyFill="1"/>
    <xf numFmtId="0" fontId="53" fillId="14" borderId="35" xfId="48" applyFont="1" applyFill="1" applyBorder="1" applyAlignment="1">
      <alignment horizontal="center"/>
    </xf>
    <xf numFmtId="0" fontId="52" fillId="14" borderId="19" xfId="48" applyFont="1" applyFill="1" applyBorder="1" applyAlignment="1">
      <alignment horizontal="center"/>
    </xf>
    <xf numFmtId="0" fontId="53" fillId="14" borderId="2" xfId="48" applyFont="1" applyFill="1" applyAlignment="1">
      <alignment horizontal="center"/>
    </xf>
    <xf numFmtId="0" fontId="52" fillId="14" borderId="48" xfId="48" applyFont="1" applyFill="1" applyBorder="1" applyAlignment="1">
      <alignment horizontal="center"/>
    </xf>
    <xf numFmtId="0" fontId="53" fillId="14" borderId="45" xfId="48" applyFont="1" applyFill="1" applyBorder="1" applyAlignment="1">
      <alignment horizontal="center"/>
    </xf>
    <xf numFmtId="2" fontId="53" fillId="14" borderId="49" xfId="48" applyNumberFormat="1" applyFont="1" applyFill="1" applyBorder="1" applyAlignment="1">
      <alignment horizontal="right"/>
    </xf>
    <xf numFmtId="4" fontId="53" fillId="14" borderId="49" xfId="48" applyNumberFormat="1" applyFont="1" applyFill="1" applyBorder="1" applyAlignment="1">
      <alignment horizontal="right"/>
    </xf>
    <xf numFmtId="173" fontId="26" fillId="16" borderId="2" xfId="3" applyNumberFormat="1" applyFill="1" applyAlignment="1">
      <alignment horizontal="center"/>
    </xf>
    <xf numFmtId="167" fontId="0" fillId="12" borderId="0" xfId="1" applyNumberFormat="1" applyFont="1" applyFill="1" applyAlignment="1">
      <alignment horizontal="center" vertical="center"/>
    </xf>
    <xf numFmtId="0" fontId="35" fillId="12" borderId="0" xfId="0" applyFont="1" applyFill="1"/>
    <xf numFmtId="0" fontId="22" fillId="12" borderId="2" xfId="3" applyFont="1" applyFill="1"/>
    <xf numFmtId="0" fontId="22" fillId="12" borderId="20" xfId="3" applyFont="1" applyFill="1" applyBorder="1" applyAlignment="1">
      <alignment horizontal="center" wrapText="1"/>
    </xf>
    <xf numFmtId="167" fontId="22" fillId="12" borderId="16" xfId="1" applyNumberFormat="1" applyFont="1" applyFill="1" applyBorder="1" applyAlignment="1">
      <alignment horizontal="center" vertical="center"/>
    </xf>
    <xf numFmtId="0" fontId="22" fillId="12" borderId="34" xfId="3" applyFont="1" applyFill="1" applyBorder="1" applyAlignment="1">
      <alignment horizontal="center"/>
    </xf>
    <xf numFmtId="169" fontId="27" fillId="0" borderId="0" xfId="0" applyNumberFormat="1" applyFont="1"/>
    <xf numFmtId="10" fontId="27" fillId="0" borderId="0" xfId="0" applyNumberFormat="1" applyFont="1"/>
    <xf numFmtId="0" fontId="44" fillId="12" borderId="2" xfId="19" applyFill="1" applyBorder="1" applyAlignment="1"/>
    <xf numFmtId="0" fontId="22" fillId="12" borderId="0" xfId="0" applyFont="1" applyFill="1"/>
    <xf numFmtId="9" fontId="40" fillId="11" borderId="2" xfId="1" applyFont="1" applyFill="1" applyBorder="1" applyAlignment="1">
      <alignment horizontal="center" vertical="center"/>
    </xf>
    <xf numFmtId="0" fontId="22" fillId="16" borderId="2" xfId="3" applyFont="1" applyFill="1"/>
    <xf numFmtId="10" fontId="22" fillId="16" borderId="2" xfId="1" applyNumberFormat="1" applyFont="1" applyFill="1" applyBorder="1"/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10" fontId="0" fillId="14" borderId="0" xfId="0" applyNumberFormat="1" applyFill="1" applyAlignment="1">
      <alignment horizontal="center"/>
    </xf>
    <xf numFmtId="17" fontId="0" fillId="14" borderId="0" xfId="0" applyNumberFormat="1" applyFill="1" applyAlignment="1">
      <alignment horizontal="center"/>
    </xf>
    <xf numFmtId="10" fontId="47" fillId="12" borderId="0" xfId="1" applyNumberFormat="1" applyFont="1" applyFill="1" applyAlignment="1">
      <alignment horizontal="center" vertical="center"/>
    </xf>
    <xf numFmtId="17" fontId="26" fillId="12" borderId="2" xfId="3" applyNumberFormat="1" applyFill="1" applyAlignment="1">
      <alignment horizontal="center"/>
    </xf>
    <xf numFmtId="10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9" fontId="28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14" borderId="0" xfId="0" applyFill="1"/>
    <xf numFmtId="0" fontId="40" fillId="11" borderId="2" xfId="4" applyBorder="1" applyAlignment="1">
      <alignment horizontal="center" vertical="center"/>
    </xf>
    <xf numFmtId="164" fontId="27" fillId="12" borderId="0" xfId="0" applyNumberFormat="1" applyFont="1" applyFill="1" applyAlignment="1">
      <alignment horizontal="center" vertical="center"/>
    </xf>
    <xf numFmtId="0" fontId="21" fillId="12" borderId="2" xfId="49" applyFill="1"/>
    <xf numFmtId="0" fontId="48" fillId="12" borderId="2" xfId="49" applyFont="1" applyFill="1" applyAlignment="1">
      <alignment horizontal="right" vertical="center"/>
    </xf>
    <xf numFmtId="10" fontId="21" fillId="12" borderId="2" xfId="49" applyNumberFormat="1" applyFill="1"/>
    <xf numFmtId="2" fontId="35" fillId="12" borderId="28" xfId="49" applyNumberFormat="1" applyFont="1" applyFill="1" applyBorder="1" applyAlignment="1">
      <alignment horizontal="center" vertical="center"/>
    </xf>
    <xf numFmtId="0" fontId="35" fillId="12" borderId="27" xfId="49" applyFont="1" applyFill="1" applyBorder="1"/>
    <xf numFmtId="0" fontId="35" fillId="12" borderId="26" xfId="49" applyFont="1" applyFill="1" applyBorder="1"/>
    <xf numFmtId="0" fontId="48" fillId="12" borderId="2" xfId="49" applyFont="1" applyFill="1" applyAlignment="1">
      <alignment horizontal="left" vertical="center"/>
    </xf>
    <xf numFmtId="0" fontId="37" fillId="12" borderId="2" xfId="49" applyFont="1" applyFill="1" applyAlignment="1">
      <alignment horizontal="right" vertical="center"/>
    </xf>
    <xf numFmtId="0" fontId="21" fillId="12" borderId="18" xfId="49" applyFill="1" applyBorder="1"/>
    <xf numFmtId="10" fontId="0" fillId="14" borderId="31" xfId="51" applyNumberFormat="1" applyFont="1" applyFill="1" applyBorder="1" applyAlignment="1">
      <alignment horizontal="center" vertical="center"/>
    </xf>
    <xf numFmtId="0" fontId="21" fillId="12" borderId="29" xfId="49" applyFill="1" applyBorder="1" applyAlignment="1">
      <alignment horizontal="right" vertical="center"/>
    </xf>
    <xf numFmtId="0" fontId="21" fillId="12" borderId="29" xfId="49" applyFill="1" applyBorder="1"/>
    <xf numFmtId="0" fontId="21" fillId="12" borderId="2" xfId="49" applyFill="1" applyAlignment="1">
      <alignment horizontal="center" vertical="center"/>
    </xf>
    <xf numFmtId="172" fontId="21" fillId="12" borderId="2" xfId="49" applyNumberFormat="1" applyFill="1" applyAlignment="1">
      <alignment horizontal="center" vertical="center"/>
    </xf>
    <xf numFmtId="0" fontId="35" fillId="12" borderId="2" xfId="49" applyFont="1" applyFill="1" applyAlignment="1">
      <alignment horizontal="center" vertical="center"/>
    </xf>
    <xf numFmtId="0" fontId="21" fillId="12" borderId="2" xfId="49" applyFill="1" applyAlignment="1">
      <alignment vertical="center"/>
    </xf>
    <xf numFmtId="3" fontId="21" fillId="12" borderId="2" xfId="49" applyNumberFormat="1" applyFill="1" applyAlignment="1">
      <alignment horizontal="center" vertical="center"/>
    </xf>
    <xf numFmtId="0" fontId="42" fillId="12" borderId="2" xfId="49" applyFont="1" applyFill="1" applyAlignment="1">
      <alignment horizontal="center" vertical="center"/>
    </xf>
    <xf numFmtId="0" fontId="34" fillId="12" borderId="2" xfId="49" applyFont="1" applyFill="1"/>
    <xf numFmtId="10" fontId="0" fillId="12" borderId="2" xfId="52" applyNumberFormat="1" applyFont="1" applyFill="1"/>
    <xf numFmtId="9" fontId="21" fillId="12" borderId="2" xfId="49" applyNumberFormat="1" applyFill="1"/>
    <xf numFmtId="4" fontId="48" fillId="12" borderId="2" xfId="49" applyNumberFormat="1" applyFont="1" applyFill="1"/>
    <xf numFmtId="10" fontId="34" fillId="12" borderId="33" xfId="49" applyNumberFormat="1" applyFont="1" applyFill="1" applyBorder="1" applyAlignment="1">
      <alignment horizontal="center" vertical="center"/>
    </xf>
    <xf numFmtId="0" fontId="21" fillId="12" borderId="32" xfId="49" applyFill="1" applyBorder="1" applyAlignment="1">
      <alignment horizontal="center" vertical="center"/>
    </xf>
    <xf numFmtId="10" fontId="0" fillId="14" borderId="18" xfId="51" applyNumberFormat="1" applyFont="1" applyFill="1" applyBorder="1" applyAlignment="1">
      <alignment horizontal="center" vertical="center"/>
    </xf>
    <xf numFmtId="10" fontId="34" fillId="12" borderId="31" xfId="49" applyNumberFormat="1" applyFont="1" applyFill="1" applyBorder="1" applyAlignment="1">
      <alignment horizontal="center" vertical="center"/>
    </xf>
    <xf numFmtId="10" fontId="0" fillId="14" borderId="29" xfId="51" applyNumberFormat="1" applyFont="1" applyFill="1" applyBorder="1" applyAlignment="1">
      <alignment horizontal="center" vertical="center"/>
    </xf>
    <xf numFmtId="0" fontId="21" fillId="12" borderId="32" xfId="49" applyFill="1" applyBorder="1"/>
    <xf numFmtId="4" fontId="21" fillId="14" borderId="19" xfId="49" applyNumberFormat="1" applyFill="1" applyBorder="1"/>
    <xf numFmtId="0" fontId="35" fillId="12" borderId="2" xfId="49" applyFont="1" applyFill="1"/>
    <xf numFmtId="17" fontId="35" fillId="12" borderId="19" xfId="49" applyNumberFormat="1" applyFont="1" applyFill="1" applyBorder="1" applyAlignment="1">
      <alignment horizontal="center"/>
    </xf>
    <xf numFmtId="0" fontId="35" fillId="12" borderId="18" xfId="49" applyFont="1" applyFill="1" applyBorder="1"/>
    <xf numFmtId="4" fontId="21" fillId="14" borderId="33" xfId="49" applyNumberFormat="1" applyFill="1" applyBorder="1"/>
    <xf numFmtId="43" fontId="21" fillId="12" borderId="2" xfId="51" applyFont="1" applyFill="1" applyBorder="1"/>
    <xf numFmtId="43" fontId="21" fillId="12" borderId="2" xfId="49" applyNumberFormat="1" applyFill="1"/>
    <xf numFmtId="3" fontId="21" fillId="12" borderId="2" xfId="49" applyNumberFormat="1" applyFill="1"/>
    <xf numFmtId="168" fontId="21" fillId="12" borderId="2" xfId="51" applyNumberFormat="1" applyFont="1" applyFill="1" applyBorder="1"/>
    <xf numFmtId="0" fontId="21" fillId="0" borderId="2" xfId="53"/>
    <xf numFmtId="0" fontId="21" fillId="0" borderId="2" xfId="49"/>
    <xf numFmtId="10" fontId="0" fillId="0" borderId="2" xfId="52" applyNumberFormat="1" applyFont="1"/>
    <xf numFmtId="2" fontId="21" fillId="0" borderId="2" xfId="49" applyNumberFormat="1"/>
    <xf numFmtId="14" fontId="21" fillId="0" borderId="2" xfId="49" applyNumberFormat="1"/>
    <xf numFmtId="0" fontId="35" fillId="12" borderId="2" xfId="49" applyFont="1" applyFill="1" applyAlignment="1">
      <alignment horizontal="right" vertical="center"/>
    </xf>
    <xf numFmtId="0" fontId="21" fillId="11" borderId="30" xfId="49" applyFill="1" applyBorder="1"/>
    <xf numFmtId="0" fontId="21" fillId="11" borderId="31" xfId="49" applyFill="1" applyBorder="1"/>
    <xf numFmtId="10" fontId="0" fillId="14" borderId="32" xfId="51" applyNumberFormat="1" applyFont="1" applyFill="1" applyBorder="1" applyAlignment="1">
      <alignment horizontal="center" vertical="center"/>
    </xf>
    <xf numFmtId="10" fontId="0" fillId="14" borderId="34" xfId="51" applyNumberFormat="1" applyFont="1" applyFill="1" applyBorder="1" applyAlignment="1">
      <alignment horizontal="center" vertical="center"/>
    </xf>
    <xf numFmtId="10" fontId="0" fillId="14" borderId="5" xfId="51" applyNumberFormat="1" applyFont="1" applyFill="1" applyBorder="1" applyAlignment="1">
      <alignment horizontal="center" vertical="center"/>
    </xf>
    <xf numFmtId="10" fontId="0" fillId="14" borderId="34" xfId="52" applyNumberFormat="1" applyFont="1" applyFill="1" applyBorder="1" applyAlignment="1">
      <alignment horizontal="center" vertical="center"/>
    </xf>
    <xf numFmtId="10" fontId="0" fillId="14" borderId="5" xfId="52" applyNumberFormat="1" applyFont="1" applyFill="1" applyBorder="1" applyAlignment="1">
      <alignment horizontal="center" vertical="center"/>
    </xf>
    <xf numFmtId="0" fontId="21" fillId="12" borderId="2" xfId="49" applyFill="1" applyAlignment="1">
      <alignment horizontal="center"/>
    </xf>
    <xf numFmtId="0" fontId="40" fillId="11" borderId="29" xfId="4" applyBorder="1" applyAlignment="1">
      <alignment horizontal="center" vertical="center"/>
    </xf>
    <xf numFmtId="43" fontId="47" fillId="12" borderId="19" xfId="51" applyFont="1" applyFill="1" applyBorder="1" applyAlignment="1">
      <alignment horizontal="center"/>
    </xf>
    <xf numFmtId="43" fontId="47" fillId="12" borderId="33" xfId="51" applyFont="1" applyFill="1" applyBorder="1" applyAlignment="1">
      <alignment horizontal="center"/>
    </xf>
    <xf numFmtId="3" fontId="47" fillId="12" borderId="18" xfId="49" applyNumberFormat="1" applyFont="1" applyFill="1" applyBorder="1" applyAlignment="1">
      <alignment horizontal="center"/>
    </xf>
    <xf numFmtId="4" fontId="47" fillId="12" borderId="32" xfId="49" applyNumberFormat="1" applyFont="1" applyFill="1" applyBorder="1" applyAlignment="1">
      <alignment horizontal="center"/>
    </xf>
    <xf numFmtId="0" fontId="40" fillId="11" borderId="30" xfId="4" applyBorder="1" applyAlignment="1">
      <alignment horizontal="center" vertical="center"/>
    </xf>
    <xf numFmtId="0" fontId="40" fillId="11" borderId="30" xfId="4" applyBorder="1" applyAlignment="1">
      <alignment horizontal="center" vertical="center" wrapText="1"/>
    </xf>
    <xf numFmtId="0" fontId="40" fillId="11" borderId="31" xfId="4" applyBorder="1" applyAlignment="1">
      <alignment horizontal="center" vertical="center" wrapText="1"/>
    </xf>
    <xf numFmtId="165" fontId="21" fillId="12" borderId="2" xfId="49" applyNumberFormat="1" applyFill="1" applyAlignment="1">
      <alignment horizontal="center" vertical="center"/>
    </xf>
    <xf numFmtId="10" fontId="21" fillId="12" borderId="2" xfId="49" applyNumberFormat="1" applyFill="1" applyAlignment="1">
      <alignment horizontal="center" vertical="center"/>
    </xf>
    <xf numFmtId="0" fontId="21" fillId="12" borderId="19" xfId="49" applyFill="1" applyBorder="1" applyAlignment="1">
      <alignment horizontal="center" vertical="center"/>
    </xf>
    <xf numFmtId="2" fontId="21" fillId="12" borderId="5" xfId="49" applyNumberFormat="1" applyFill="1" applyBorder="1" applyAlignment="1">
      <alignment horizontal="center" vertical="center"/>
    </xf>
    <xf numFmtId="165" fontId="21" fillId="12" borderId="5" xfId="49" applyNumberFormat="1" applyFill="1" applyBorder="1" applyAlignment="1">
      <alignment horizontal="center" vertical="center"/>
    </xf>
    <xf numFmtId="10" fontId="21" fillId="12" borderId="5" xfId="49" applyNumberFormat="1" applyFill="1" applyBorder="1" applyAlignment="1">
      <alignment horizontal="center" vertical="center"/>
    </xf>
    <xf numFmtId="10" fontId="21" fillId="12" borderId="5" xfId="50" applyNumberFormat="1" applyFont="1" applyFill="1" applyBorder="1" applyAlignment="1">
      <alignment horizontal="center" vertical="center"/>
    </xf>
    <xf numFmtId="0" fontId="21" fillId="12" borderId="5" xfId="49" applyFill="1" applyBorder="1" applyAlignment="1">
      <alignment vertical="center"/>
    </xf>
    <xf numFmtId="165" fontId="32" fillId="12" borderId="5" xfId="11" applyNumberFormat="1" applyFill="1" applyBorder="1" applyAlignment="1">
      <alignment horizontal="center" vertical="center"/>
    </xf>
    <xf numFmtId="0" fontId="21" fillId="12" borderId="33" xfId="49" applyFill="1" applyBorder="1" applyAlignment="1">
      <alignment horizontal="center" vertical="center"/>
    </xf>
    <xf numFmtId="9" fontId="21" fillId="12" borderId="19" xfId="49" applyNumberFormat="1" applyFill="1" applyBorder="1" applyAlignment="1">
      <alignment horizontal="center" vertical="center"/>
    </xf>
    <xf numFmtId="10" fontId="21" fillId="12" borderId="19" xfId="49" applyNumberFormat="1" applyFill="1" applyBorder="1" applyAlignment="1">
      <alignment horizontal="center" vertical="center"/>
    </xf>
    <xf numFmtId="2" fontId="21" fillId="12" borderId="31" xfId="49" applyNumberFormat="1" applyFill="1" applyBorder="1" applyAlignment="1">
      <alignment horizontal="center" vertical="center"/>
    </xf>
    <xf numFmtId="10" fontId="21" fillId="12" borderId="30" xfId="50" applyNumberFormat="1" applyFont="1" applyFill="1" applyBorder="1" applyAlignment="1">
      <alignment horizontal="center" vertical="center"/>
    </xf>
    <xf numFmtId="2" fontId="21" fillId="12" borderId="30" xfId="49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37" fillId="12" borderId="0" xfId="0" applyFont="1" applyFill="1" applyAlignment="1">
      <alignment horizontal="center" vertical="center"/>
    </xf>
    <xf numFmtId="165" fontId="32" fillId="12" borderId="30" xfId="11" applyNumberFormat="1" applyFill="1" applyBorder="1" applyAlignment="1">
      <alignment horizontal="center" vertical="center"/>
    </xf>
    <xf numFmtId="14" fontId="37" fillId="12" borderId="0" xfId="0" applyNumberFormat="1" applyFont="1" applyFill="1" applyAlignment="1">
      <alignment horizontal="center" vertical="center"/>
    </xf>
    <xf numFmtId="165" fontId="21" fillId="12" borderId="30" xfId="49" applyNumberFormat="1" applyFill="1" applyBorder="1" applyAlignment="1">
      <alignment horizontal="center" vertical="center"/>
    </xf>
    <xf numFmtId="10" fontId="21" fillId="12" borderId="30" xfId="49" applyNumberFormat="1" applyFill="1" applyBorder="1" applyAlignment="1">
      <alignment horizontal="center" vertical="center"/>
    </xf>
    <xf numFmtId="0" fontId="19" fillId="0" borderId="2" xfId="57"/>
    <xf numFmtId="0" fontId="19" fillId="12" borderId="2" xfId="57" applyFill="1"/>
    <xf numFmtId="14" fontId="19" fillId="12" borderId="2" xfId="57" applyNumberFormat="1" applyFill="1"/>
    <xf numFmtId="0" fontId="35" fillId="12" borderId="2" xfId="57" applyFont="1" applyFill="1" applyAlignment="1">
      <alignment horizontal="right" vertical="center"/>
    </xf>
    <xf numFmtId="0" fontId="19" fillId="12" borderId="2" xfId="57" applyFill="1" applyAlignment="1">
      <alignment horizontal="center" vertical="center"/>
    </xf>
    <xf numFmtId="0" fontId="19" fillId="14" borderId="2" xfId="57" applyFill="1" applyAlignment="1">
      <alignment horizontal="center" vertical="center"/>
    </xf>
    <xf numFmtId="14" fontId="19" fillId="14" borderId="2" xfId="57" applyNumberFormat="1" applyFill="1" applyAlignment="1">
      <alignment horizontal="center" vertical="center"/>
    </xf>
    <xf numFmtId="0" fontId="19" fillId="17" borderId="2" xfId="57" applyFill="1"/>
    <xf numFmtId="2" fontId="23" fillId="14" borderId="2" xfId="43" applyNumberFormat="1" applyFill="1" applyAlignment="1">
      <alignment horizontal="center" vertical="center"/>
    </xf>
    <xf numFmtId="2" fontId="23" fillId="12" borderId="2" xfId="43" applyNumberFormat="1" applyFill="1" applyAlignment="1">
      <alignment horizontal="center" vertical="center"/>
    </xf>
    <xf numFmtId="10" fontId="0" fillId="12" borderId="2" xfId="46" applyNumberFormat="1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17" fontId="26" fillId="14" borderId="2" xfId="3" applyNumberFormat="1" applyFill="1" applyAlignment="1">
      <alignment horizontal="center" vertical="center"/>
    </xf>
    <xf numFmtId="0" fontId="36" fillId="12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 wrapText="1"/>
    </xf>
    <xf numFmtId="165" fontId="0" fillId="14" borderId="0" xfId="0" applyNumberFormat="1" applyFill="1" applyAlignment="1">
      <alignment horizontal="center" vertical="center"/>
    </xf>
    <xf numFmtId="166" fontId="0" fillId="12" borderId="0" xfId="1" applyNumberFormat="1" applyFont="1" applyFill="1" applyAlignment="1">
      <alignment horizontal="center" vertical="center"/>
    </xf>
    <xf numFmtId="0" fontId="0" fillId="12" borderId="2" xfId="0" applyFill="1" applyBorder="1"/>
    <xf numFmtId="10" fontId="0" fillId="12" borderId="2" xfId="1" applyNumberFormat="1" applyFon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10" fontId="0" fillId="0" borderId="0" xfId="1" applyNumberFormat="1" applyFont="1"/>
    <xf numFmtId="0" fontId="40" fillId="11" borderId="2" xfId="4" applyBorder="1" applyAlignment="1">
      <alignment horizontal="center" vertical="center" wrapText="1"/>
    </xf>
    <xf numFmtId="9" fontId="28" fillId="12" borderId="0" xfId="1" applyFont="1" applyFill="1" applyAlignment="1">
      <alignment horizontal="center"/>
    </xf>
    <xf numFmtId="0" fontId="0" fillId="12" borderId="0" xfId="0" applyFill="1" applyAlignment="1">
      <alignment horizontal="center" vertical="center" wrapText="1"/>
    </xf>
    <xf numFmtId="10" fontId="0" fillId="12" borderId="0" xfId="46" applyNumberFormat="1" applyFont="1" applyFill="1" applyBorder="1" applyAlignment="1">
      <alignment horizontal="center" vertical="center"/>
    </xf>
    <xf numFmtId="4" fontId="27" fillId="0" borderId="0" xfId="0" applyNumberFormat="1" applyFont="1" applyAlignment="1">
      <alignment horizontal="center" vertical="center"/>
    </xf>
    <xf numFmtId="2" fontId="23" fillId="12" borderId="2" xfId="43" applyNumberFormat="1" applyFill="1"/>
    <xf numFmtId="175" fontId="23" fillId="12" borderId="2" xfId="43" applyNumberFormat="1" applyFill="1" applyAlignment="1">
      <alignment horizontal="center" vertical="center"/>
    </xf>
    <xf numFmtId="0" fontId="23" fillId="12" borderId="2" xfId="43" applyFill="1" applyAlignment="1">
      <alignment horizontal="center"/>
    </xf>
    <xf numFmtId="175" fontId="17" fillId="12" borderId="2" xfId="43" applyNumberFormat="1" applyFont="1" applyFill="1" applyAlignment="1">
      <alignment horizontal="center"/>
    </xf>
    <xf numFmtId="169" fontId="23" fillId="12" borderId="2" xfId="43" applyNumberFormat="1" applyFill="1" applyAlignment="1">
      <alignment horizontal="center"/>
    </xf>
    <xf numFmtId="170" fontId="23" fillId="12" borderId="2" xfId="43" applyNumberFormat="1" applyFill="1" applyAlignment="1">
      <alignment horizontal="center"/>
    </xf>
    <xf numFmtId="169" fontId="23" fillId="12" borderId="2" xfId="43" applyNumberFormat="1" applyFill="1" applyAlignment="1">
      <alignment horizontal="center" vertical="center"/>
    </xf>
    <xf numFmtId="0" fontId="17" fillId="12" borderId="0" xfId="0" applyFont="1" applyFill="1" applyAlignment="1">
      <alignment horizontal="center" vertical="center"/>
    </xf>
    <xf numFmtId="1" fontId="23" fillId="12" borderId="2" xfId="43" applyNumberFormat="1" applyFill="1" applyAlignment="1">
      <alignment horizontal="center" vertical="center"/>
    </xf>
    <xf numFmtId="1" fontId="23" fillId="14" borderId="2" xfId="43" applyNumberFormat="1" applyFill="1" applyAlignment="1">
      <alignment horizontal="center" vertical="center"/>
    </xf>
    <xf numFmtId="0" fontId="16" fillId="12" borderId="0" xfId="0" applyFont="1" applyFill="1"/>
    <xf numFmtId="0" fontId="44" fillId="12" borderId="0" xfId="19" applyFill="1" applyBorder="1"/>
    <xf numFmtId="0" fontId="36" fillId="11" borderId="0" xfId="0" applyFont="1" applyFill="1" applyAlignment="1">
      <alignment vertical="center"/>
    </xf>
    <xf numFmtId="4" fontId="0" fillId="12" borderId="0" xfId="0" applyNumberFormat="1" applyFill="1" applyAlignment="1">
      <alignment horizontal="center"/>
    </xf>
    <xf numFmtId="0" fontId="15" fillId="12" borderId="2" xfId="49" applyFont="1" applyFill="1"/>
    <xf numFmtId="0" fontId="0" fillId="12" borderId="2" xfId="0" applyFill="1" applyBorder="1" applyAlignment="1">
      <alignment horizontal="center"/>
    </xf>
    <xf numFmtId="17" fontId="0" fillId="12" borderId="2" xfId="0" applyNumberFormat="1" applyFill="1" applyBorder="1" applyAlignment="1">
      <alignment horizontal="center"/>
    </xf>
    <xf numFmtId="167" fontId="0" fillId="12" borderId="2" xfId="1" applyNumberFormat="1" applyFont="1" applyFill="1" applyBorder="1" applyAlignment="1">
      <alignment horizontal="center" vertical="center"/>
    </xf>
    <xf numFmtId="4" fontId="0" fillId="12" borderId="0" xfId="0" applyNumberFormat="1" applyFill="1" applyAlignment="1">
      <alignment horizontal="center" vertical="center"/>
    </xf>
    <xf numFmtId="10" fontId="0" fillId="12" borderId="2" xfId="0" applyNumberFormat="1" applyFill="1" applyBorder="1" applyAlignment="1">
      <alignment horizontal="center"/>
    </xf>
    <xf numFmtId="173" fontId="0" fillId="12" borderId="0" xfId="0" applyNumberFormat="1" applyFill="1" applyAlignment="1">
      <alignment horizontal="center"/>
    </xf>
    <xf numFmtId="0" fontId="14" fillId="0" borderId="2" xfId="3" applyFont="1"/>
    <xf numFmtId="0" fontId="14" fillId="0" borderId="2" xfId="3" applyFont="1" applyAlignment="1">
      <alignment horizontal="left" indent="1"/>
    </xf>
    <xf numFmtId="0" fontId="56" fillId="0" borderId="0" xfId="0" applyFont="1"/>
    <xf numFmtId="0" fontId="44" fillId="16" borderId="2" xfId="19" applyFill="1"/>
    <xf numFmtId="0" fontId="52" fillId="0" borderId="19" xfId="48" applyFont="1" applyBorder="1" applyAlignment="1">
      <alignment horizontal="center"/>
    </xf>
    <xf numFmtId="0" fontId="53" fillId="0" borderId="2" xfId="48" applyFont="1" applyAlignment="1">
      <alignment horizontal="center"/>
    </xf>
    <xf numFmtId="2" fontId="53" fillId="0" borderId="18" xfId="48" applyNumberFormat="1" applyFont="1" applyBorder="1" applyAlignment="1">
      <alignment horizontal="right"/>
    </xf>
    <xf numFmtId="0" fontId="52" fillId="0" borderId="2" xfId="48" applyFont="1" applyAlignment="1">
      <alignment horizontal="center"/>
    </xf>
    <xf numFmtId="0" fontId="53" fillId="0" borderId="35" xfId="48" applyFont="1" applyBorder="1" applyAlignment="1">
      <alignment horizontal="center"/>
    </xf>
    <xf numFmtId="0" fontId="53" fillId="0" borderId="19" xfId="48" applyFont="1" applyBorder="1" applyAlignment="1">
      <alignment horizontal="center"/>
    </xf>
    <xf numFmtId="0" fontId="58" fillId="0" borderId="2" xfId="139" applyFont="1"/>
    <xf numFmtId="0" fontId="57" fillId="0" borderId="2" xfId="139"/>
    <xf numFmtId="4" fontId="35" fillId="0" borderId="0" xfId="0" applyNumberFormat="1" applyFont="1"/>
    <xf numFmtId="0" fontId="44" fillId="0" borderId="0" xfId="19" applyBorder="1"/>
    <xf numFmtId="170" fontId="59" fillId="0" borderId="0" xfId="0" applyNumberFormat="1" applyFont="1" applyAlignment="1">
      <alignment vertical="center"/>
    </xf>
    <xf numFmtId="0" fontId="60" fillId="0" borderId="0" xfId="0" applyFont="1"/>
    <xf numFmtId="0" fontId="60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0" fillId="0" borderId="0" xfId="0" applyFont="1" applyAlignment="1">
      <alignment horizontal="left"/>
    </xf>
    <xf numFmtId="10" fontId="60" fillId="0" borderId="0" xfId="0" applyNumberFormat="1" applyFont="1" applyAlignment="1">
      <alignment horizontal="center"/>
    </xf>
    <xf numFmtId="14" fontId="60" fillId="0" borderId="0" xfId="0" applyNumberFormat="1" applyFont="1" applyAlignment="1">
      <alignment horizontal="center"/>
    </xf>
    <xf numFmtId="4" fontId="63" fillId="0" borderId="0" xfId="0" applyNumberFormat="1" applyFont="1" applyAlignment="1">
      <alignment horizontal="center"/>
    </xf>
    <xf numFmtId="10" fontId="60" fillId="0" borderId="0" xfId="1" applyNumberFormat="1" applyFont="1"/>
    <xf numFmtId="0" fontId="62" fillId="0" borderId="18" xfId="0" applyFont="1" applyBorder="1" applyAlignment="1">
      <alignment horizontal="center"/>
    </xf>
    <xf numFmtId="0" fontId="62" fillId="0" borderId="19" xfId="0" applyFont="1" applyBorder="1" applyAlignment="1">
      <alignment horizontal="center"/>
    </xf>
    <xf numFmtId="14" fontId="63" fillId="0" borderId="0" xfId="0" applyNumberFormat="1" applyFont="1" applyAlignment="1">
      <alignment horizontal="center"/>
    </xf>
    <xf numFmtId="10" fontId="60" fillId="0" borderId="32" xfId="1" applyNumberFormat="1" applyFont="1" applyBorder="1" applyAlignment="1">
      <alignment horizontal="center"/>
    </xf>
    <xf numFmtId="10" fontId="60" fillId="0" borderId="5" xfId="1" applyNumberFormat="1" applyFont="1" applyBorder="1" applyAlignment="1">
      <alignment horizontal="center"/>
    </xf>
    <xf numFmtId="10" fontId="60" fillId="0" borderId="33" xfId="1" applyNumberFormat="1" applyFont="1" applyBorder="1" applyAlignment="1">
      <alignment horizontal="center"/>
    </xf>
    <xf numFmtId="0" fontId="63" fillId="0" borderId="0" xfId="0" applyFont="1" applyAlignment="1">
      <alignment horizontal="left"/>
    </xf>
    <xf numFmtId="0" fontId="63" fillId="0" borderId="0" xfId="0" applyFont="1" applyAlignment="1">
      <alignment horizontal="center"/>
    </xf>
    <xf numFmtId="10" fontId="63" fillId="0" borderId="0" xfId="0" applyNumberFormat="1" applyFont="1" applyAlignment="1">
      <alignment horizontal="center"/>
    </xf>
    <xf numFmtId="0" fontId="63" fillId="0" borderId="0" xfId="0" applyFont="1" applyAlignment="1">
      <alignment horizontal="left" vertical="center" wrapText="1"/>
    </xf>
    <xf numFmtId="14" fontId="63" fillId="0" borderId="0" xfId="0" applyNumberFormat="1" applyFont="1" applyAlignment="1">
      <alignment horizontal="center" vertical="center" wrapText="1"/>
    </xf>
    <xf numFmtId="4" fontId="64" fillId="0" borderId="0" xfId="0" applyNumberFormat="1" applyFont="1" applyAlignment="1">
      <alignment horizontal="center"/>
    </xf>
    <xf numFmtId="0" fontId="65" fillId="0" borderId="0" xfId="0" applyFont="1"/>
    <xf numFmtId="4" fontId="60" fillId="0" borderId="0" xfId="0" applyNumberFormat="1" applyFont="1" applyAlignment="1">
      <alignment horizontal="center"/>
    </xf>
    <xf numFmtId="10" fontId="60" fillId="0" borderId="0" xfId="0" applyNumberFormat="1" applyFont="1"/>
    <xf numFmtId="4" fontId="35" fillId="0" borderId="0" xfId="0" applyNumberFormat="1" applyFont="1" applyAlignment="1">
      <alignment horizontal="center"/>
    </xf>
    <xf numFmtId="10" fontId="60" fillId="17" borderId="32" xfId="1" applyNumberFormat="1" applyFont="1" applyFill="1" applyBorder="1" applyAlignment="1">
      <alignment horizontal="center"/>
    </xf>
    <xf numFmtId="0" fontId="35" fillId="0" borderId="20" xfId="0" applyFont="1" applyBorder="1" applyAlignment="1">
      <alignment horizontal="center"/>
    </xf>
    <xf numFmtId="10" fontId="60" fillId="17" borderId="34" xfId="1" applyNumberFormat="1" applyFont="1" applyFill="1" applyBorder="1" applyAlignment="1">
      <alignment horizontal="center"/>
    </xf>
    <xf numFmtId="10" fontId="66" fillId="0" borderId="0" xfId="0" applyNumberFormat="1" applyFont="1" applyAlignment="1">
      <alignment horizontal="center"/>
    </xf>
    <xf numFmtId="4" fontId="35" fillId="12" borderId="2" xfId="3" applyNumberFormat="1" applyFont="1" applyFill="1" applyAlignment="1">
      <alignment horizontal="center" vertical="center"/>
    </xf>
    <xf numFmtId="0" fontId="66" fillId="0" borderId="0" xfId="0" applyFont="1" applyAlignment="1">
      <alignment horizontal="left"/>
    </xf>
    <xf numFmtId="0" fontId="66" fillId="0" borderId="0" xfId="0" applyFont="1" applyAlignment="1">
      <alignment horizontal="center"/>
    </xf>
    <xf numFmtId="14" fontId="66" fillId="0" borderId="0" xfId="0" applyNumberFormat="1" applyFont="1" applyAlignment="1">
      <alignment horizontal="center"/>
    </xf>
    <xf numFmtId="4" fontId="66" fillId="0" borderId="0" xfId="0" applyNumberFormat="1" applyFont="1" applyAlignment="1">
      <alignment horizontal="center"/>
    </xf>
    <xf numFmtId="10" fontId="66" fillId="0" borderId="0" xfId="1" applyNumberFormat="1" applyFont="1"/>
    <xf numFmtId="0" fontId="66" fillId="0" borderId="0" xfId="0" applyFont="1"/>
    <xf numFmtId="10" fontId="21" fillId="12" borderId="2" xfId="1" applyNumberFormat="1" applyFont="1" applyFill="1" applyBorder="1"/>
    <xf numFmtId="0" fontId="12" fillId="12" borderId="30" xfId="49" applyFont="1" applyFill="1" applyBorder="1" applyAlignment="1">
      <alignment horizontal="right" vertical="center"/>
    </xf>
    <xf numFmtId="0" fontId="11" fillId="12" borderId="2" xfId="49" applyFont="1" applyFill="1"/>
    <xf numFmtId="0" fontId="11" fillId="12" borderId="18" xfId="49" applyFont="1" applyFill="1" applyBorder="1"/>
    <xf numFmtId="14" fontId="0" fillId="0" borderId="0" xfId="0" applyNumberFormat="1"/>
    <xf numFmtId="14" fontId="0" fillId="14" borderId="0" xfId="0" applyNumberFormat="1" applyFill="1"/>
    <xf numFmtId="10" fontId="60" fillId="0" borderId="16" xfId="1" applyNumberFormat="1" applyFont="1" applyBorder="1" applyAlignment="1">
      <alignment horizontal="center"/>
    </xf>
    <xf numFmtId="0" fontId="44" fillId="0" borderId="15" xfId="19" applyBorder="1"/>
    <xf numFmtId="4" fontId="60" fillId="0" borderId="0" xfId="0" applyNumberFormat="1" applyFont="1"/>
    <xf numFmtId="4" fontId="60" fillId="0" borderId="0" xfId="0" applyNumberFormat="1" applyFont="1" applyAlignment="1">
      <alignment horizontal="right"/>
    </xf>
    <xf numFmtId="9" fontId="60" fillId="0" borderId="2" xfId="1" applyFont="1" applyBorder="1" applyAlignment="1">
      <alignment horizontal="center"/>
    </xf>
    <xf numFmtId="10" fontId="60" fillId="0" borderId="14" xfId="1" applyNumberFormat="1" applyFont="1" applyBorder="1" applyAlignment="1">
      <alignment horizontal="center"/>
    </xf>
    <xf numFmtId="10" fontId="60" fillId="0" borderId="2" xfId="1" applyNumberFormat="1" applyFont="1" applyBorder="1" applyAlignment="1">
      <alignment horizontal="center"/>
    </xf>
    <xf numFmtId="10" fontId="60" fillId="0" borderId="17" xfId="1" applyNumberFormat="1" applyFont="1" applyBorder="1" applyAlignment="1">
      <alignment horizontal="center"/>
    </xf>
    <xf numFmtId="4" fontId="62" fillId="0" borderId="0" xfId="0" applyNumberFormat="1" applyFont="1" applyAlignment="1">
      <alignment horizontal="right"/>
    </xf>
    <xf numFmtId="0" fontId="60" fillId="0" borderId="16" xfId="0" applyFont="1" applyBorder="1" applyAlignment="1">
      <alignment horizontal="center" vertical="center" wrapText="1"/>
    </xf>
    <xf numFmtId="4" fontId="60" fillId="0" borderId="16" xfId="0" applyNumberFormat="1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10" fontId="60" fillId="0" borderId="16" xfId="1" applyNumberFormat="1" applyFont="1" applyBorder="1" applyAlignment="1">
      <alignment horizontal="center" vertical="center"/>
    </xf>
    <xf numFmtId="0" fontId="69" fillId="0" borderId="13" xfId="0" applyFont="1" applyBorder="1"/>
    <xf numFmtId="0" fontId="62" fillId="0" borderId="8" xfId="0" applyFont="1" applyBorder="1"/>
    <xf numFmtId="4" fontId="62" fillId="0" borderId="6" xfId="0" applyNumberFormat="1" applyFont="1" applyBorder="1"/>
    <xf numFmtId="4" fontId="60" fillId="0" borderId="15" xfId="0" applyNumberFormat="1" applyFont="1" applyBorder="1"/>
    <xf numFmtId="0" fontId="62" fillId="0" borderId="14" xfId="0" applyFont="1" applyBorder="1"/>
    <xf numFmtId="0" fontId="62" fillId="0" borderId="0" xfId="0" applyFont="1" applyAlignment="1">
      <alignment wrapText="1"/>
    </xf>
    <xf numFmtId="4" fontId="62" fillId="0" borderId="15" xfId="0" applyNumberFormat="1" applyFont="1" applyBorder="1" applyAlignment="1">
      <alignment vertical="center"/>
    </xf>
    <xf numFmtId="0" fontId="60" fillId="0" borderId="14" xfId="0" applyFont="1" applyBorder="1" applyAlignment="1">
      <alignment horizontal="center"/>
    </xf>
    <xf numFmtId="0" fontId="62" fillId="0" borderId="11" xfId="0" applyFont="1" applyBorder="1"/>
    <xf numFmtId="0" fontId="60" fillId="0" borderId="10" xfId="0" applyFont="1" applyBorder="1"/>
    <xf numFmtId="0" fontId="62" fillId="0" borderId="13" xfId="0" applyFont="1" applyBorder="1" applyAlignment="1">
      <alignment wrapText="1"/>
    </xf>
    <xf numFmtId="0" fontId="62" fillId="0" borderId="6" xfId="0" applyFont="1" applyBorder="1" applyAlignment="1">
      <alignment vertical="center"/>
    </xf>
    <xf numFmtId="0" fontId="62" fillId="0" borderId="8" xfId="0" applyFont="1" applyBorder="1" applyAlignment="1">
      <alignment horizontal="center" vertical="center"/>
    </xf>
    <xf numFmtId="4" fontId="62" fillId="0" borderId="8" xfId="0" applyNumberFormat="1" applyFont="1" applyBorder="1" applyAlignment="1">
      <alignment horizontal="center" vertical="center"/>
    </xf>
    <xf numFmtId="0" fontId="62" fillId="0" borderId="13" xfId="0" applyFont="1" applyBorder="1" applyAlignment="1">
      <alignment horizontal="center" wrapText="1"/>
    </xf>
    <xf numFmtId="0" fontId="62" fillId="0" borderId="7" xfId="0" applyFont="1" applyBorder="1" applyAlignment="1">
      <alignment horizontal="center" wrapText="1"/>
    </xf>
    <xf numFmtId="0" fontId="67" fillId="0" borderId="13" xfId="0" applyFont="1" applyBorder="1" applyAlignment="1">
      <alignment horizontal="center" wrapText="1"/>
    </xf>
    <xf numFmtId="0" fontId="67" fillId="0" borderId="8" xfId="0" applyFont="1" applyBorder="1" applyAlignment="1">
      <alignment horizontal="center" wrapText="1"/>
    </xf>
    <xf numFmtId="0" fontId="67" fillId="0" borderId="7" xfId="0" applyFont="1" applyBorder="1" applyAlignment="1">
      <alignment horizontal="center" wrapText="1"/>
    </xf>
    <xf numFmtId="9" fontId="60" fillId="0" borderId="14" xfId="1" applyFont="1" applyBorder="1" applyAlignment="1">
      <alignment horizontal="center"/>
    </xf>
    <xf numFmtId="9" fontId="60" fillId="0" borderId="17" xfId="1" applyFont="1" applyBorder="1" applyAlignment="1">
      <alignment horizontal="center"/>
    </xf>
    <xf numFmtId="0" fontId="44" fillId="17" borderId="15" xfId="19" applyFill="1" applyBorder="1"/>
    <xf numFmtId="9" fontId="60" fillId="17" borderId="14" xfId="1" applyFont="1" applyFill="1" applyBorder="1" applyAlignment="1">
      <alignment horizontal="center"/>
    </xf>
    <xf numFmtId="9" fontId="60" fillId="17" borderId="17" xfId="1" applyFont="1" applyFill="1" applyBorder="1" applyAlignment="1">
      <alignment horizontal="center"/>
    </xf>
    <xf numFmtId="10" fontId="60" fillId="17" borderId="14" xfId="1" applyNumberFormat="1" applyFont="1" applyFill="1" applyBorder="1" applyAlignment="1">
      <alignment horizontal="center"/>
    </xf>
    <xf numFmtId="10" fontId="60" fillId="17" borderId="2" xfId="1" applyNumberFormat="1" applyFont="1" applyFill="1" applyBorder="1" applyAlignment="1">
      <alignment horizontal="center"/>
    </xf>
    <xf numFmtId="10" fontId="60" fillId="17" borderId="17" xfId="1" applyNumberFormat="1" applyFont="1" applyFill="1" applyBorder="1" applyAlignment="1">
      <alignment horizontal="center"/>
    </xf>
    <xf numFmtId="0" fontId="44" fillId="17" borderId="12" xfId="19" applyFill="1" applyBorder="1"/>
    <xf numFmtId="4" fontId="60" fillId="17" borderId="10" xfId="0" applyNumberFormat="1" applyFont="1" applyFill="1" applyBorder="1" applyAlignment="1">
      <alignment horizontal="right"/>
    </xf>
    <xf numFmtId="9" fontId="60" fillId="17" borderId="11" xfId="1" applyFont="1" applyFill="1" applyBorder="1" applyAlignment="1">
      <alignment horizontal="center"/>
    </xf>
    <xf numFmtId="9" fontId="60" fillId="17" borderId="9" xfId="1" applyFont="1" applyFill="1" applyBorder="1" applyAlignment="1">
      <alignment horizontal="center"/>
    </xf>
    <xf numFmtId="10" fontId="60" fillId="17" borderId="11" xfId="1" applyNumberFormat="1" applyFont="1" applyFill="1" applyBorder="1" applyAlignment="1">
      <alignment horizontal="center"/>
    </xf>
    <xf numFmtId="10" fontId="60" fillId="17" borderId="10" xfId="1" applyNumberFormat="1" applyFont="1" applyFill="1" applyBorder="1" applyAlignment="1">
      <alignment horizontal="center"/>
    </xf>
    <xf numFmtId="10" fontId="60" fillId="17" borderId="9" xfId="1" applyNumberFormat="1" applyFont="1" applyFill="1" applyBorder="1" applyAlignment="1">
      <alignment horizontal="center"/>
    </xf>
    <xf numFmtId="0" fontId="68" fillId="0" borderId="0" xfId="0" applyFont="1"/>
    <xf numFmtId="0" fontId="69" fillId="0" borderId="0" xfId="0" applyFont="1" applyAlignment="1">
      <alignment horizontal="center"/>
    </xf>
    <xf numFmtId="0" fontId="60" fillId="0" borderId="16" xfId="0" applyFont="1" applyBorder="1" applyAlignment="1">
      <alignment horizontal="center" wrapText="1"/>
    </xf>
    <xf numFmtId="4" fontId="62" fillId="0" borderId="0" xfId="0" applyNumberFormat="1" applyFont="1"/>
    <xf numFmtId="4" fontId="62" fillId="0" borderId="0" xfId="0" applyNumberFormat="1" applyFont="1" applyAlignment="1">
      <alignment vertical="center"/>
    </xf>
    <xf numFmtId="3" fontId="60" fillId="0" borderId="0" xfId="0" applyNumberFormat="1" applyFont="1"/>
    <xf numFmtId="0" fontId="60" fillId="0" borderId="14" xfId="0" applyFont="1" applyBorder="1"/>
    <xf numFmtId="0" fontId="60" fillId="0" borderId="11" xfId="0" applyFont="1" applyBorder="1"/>
    <xf numFmtId="0" fontId="62" fillId="0" borderId="0" xfId="0" applyFont="1" applyAlignment="1">
      <alignment vertical="center" wrapText="1"/>
    </xf>
    <xf numFmtId="0" fontId="69" fillId="17" borderId="13" xfId="0" applyFont="1" applyFill="1" applyBorder="1"/>
    <xf numFmtId="0" fontId="62" fillId="17" borderId="8" xfId="0" applyFont="1" applyFill="1" applyBorder="1"/>
    <xf numFmtId="4" fontId="62" fillId="17" borderId="6" xfId="0" applyNumberFormat="1" applyFont="1" applyFill="1" applyBorder="1"/>
    <xf numFmtId="0" fontId="60" fillId="17" borderId="0" xfId="0" applyFont="1" applyFill="1"/>
    <xf numFmtId="4" fontId="60" fillId="17" borderId="15" xfId="0" applyNumberFormat="1" applyFont="1" applyFill="1" applyBorder="1" applyAlignment="1">
      <alignment vertical="center"/>
    </xf>
    <xf numFmtId="4" fontId="60" fillId="17" borderId="15" xfId="0" applyNumberFormat="1" applyFont="1" applyFill="1" applyBorder="1"/>
    <xf numFmtId="0" fontId="60" fillId="17" borderId="14" xfId="0" applyFont="1" applyFill="1" applyBorder="1"/>
    <xf numFmtId="0" fontId="62" fillId="17" borderId="0" xfId="0" applyFont="1" applyFill="1" applyAlignment="1">
      <alignment vertical="center" wrapText="1"/>
    </xf>
    <xf numFmtId="4" fontId="62" fillId="17" borderId="15" xfId="0" applyNumberFormat="1" applyFont="1" applyFill="1" applyBorder="1" applyAlignment="1">
      <alignment vertical="center"/>
    </xf>
    <xf numFmtId="0" fontId="60" fillId="17" borderId="14" xfId="0" applyFont="1" applyFill="1" applyBorder="1" applyAlignment="1">
      <alignment horizontal="center"/>
    </xf>
    <xf numFmtId="0" fontId="60" fillId="17" borderId="0" xfId="0" applyFont="1" applyFill="1" applyAlignment="1">
      <alignment vertical="center"/>
    </xf>
    <xf numFmtId="0" fontId="60" fillId="17" borderId="11" xfId="0" applyFont="1" applyFill="1" applyBorder="1"/>
    <xf numFmtId="0" fontId="60" fillId="17" borderId="10" xfId="0" applyFont="1" applyFill="1" applyBorder="1"/>
    <xf numFmtId="0" fontId="62" fillId="17" borderId="13" xfId="0" applyFont="1" applyFill="1" applyBorder="1" applyAlignment="1">
      <alignment vertical="center" wrapText="1"/>
    </xf>
    <xf numFmtId="0" fontId="62" fillId="17" borderId="0" xfId="0" applyFont="1" applyFill="1" applyAlignment="1">
      <alignment wrapText="1"/>
    </xf>
    <xf numFmtId="0" fontId="62" fillId="17" borderId="13" xfId="0" applyFont="1" applyFill="1" applyBorder="1" applyAlignment="1">
      <alignment wrapText="1"/>
    </xf>
    <xf numFmtId="4" fontId="60" fillId="0" borderId="15" xfId="0" applyNumberFormat="1" applyFont="1" applyBorder="1" applyAlignment="1">
      <alignment vertical="center"/>
    </xf>
    <xf numFmtId="4" fontId="60" fillId="0" borderId="0" xfId="0" applyNumberFormat="1" applyFont="1" applyAlignment="1">
      <alignment vertical="center"/>
    </xf>
    <xf numFmtId="3" fontId="60" fillId="0" borderId="15" xfId="0" applyNumberFormat="1" applyFont="1" applyBorder="1"/>
    <xf numFmtId="0" fontId="60" fillId="0" borderId="0" xfId="0" applyFont="1" applyAlignment="1">
      <alignment vertical="center"/>
    </xf>
    <xf numFmtId="0" fontId="62" fillId="0" borderId="13" xfId="0" applyFont="1" applyBorder="1" applyAlignment="1">
      <alignment vertical="center" wrapText="1"/>
    </xf>
    <xf numFmtId="0" fontId="62" fillId="17" borderId="14" xfId="0" applyFont="1" applyFill="1" applyBorder="1"/>
    <xf numFmtId="0" fontId="62" fillId="17" borderId="11" xfId="0" applyFont="1" applyFill="1" applyBorder="1"/>
    <xf numFmtId="0" fontId="18" fillId="12" borderId="2" xfId="0" applyFont="1" applyFill="1" applyBorder="1" applyAlignment="1">
      <alignment vertical="center" wrapText="1"/>
    </xf>
    <xf numFmtId="0" fontId="20" fillId="12" borderId="2" xfId="0" applyFont="1" applyFill="1" applyBorder="1" applyAlignment="1">
      <alignment vertical="center" wrapText="1"/>
    </xf>
    <xf numFmtId="4" fontId="62" fillId="0" borderId="7" xfId="0" applyNumberFormat="1" applyFont="1" applyBorder="1" applyAlignment="1">
      <alignment horizontal="center" vertical="center"/>
    </xf>
    <xf numFmtId="4" fontId="60" fillId="0" borderId="2" xfId="0" applyNumberFormat="1" applyFont="1" applyBorder="1" applyAlignment="1">
      <alignment horizontal="right"/>
    </xf>
    <xf numFmtId="10" fontId="60" fillId="0" borderId="17" xfId="1" applyNumberFormat="1" applyFont="1" applyBorder="1" applyAlignment="1">
      <alignment horizontal="right"/>
    </xf>
    <xf numFmtId="4" fontId="60" fillId="17" borderId="2" xfId="0" applyNumberFormat="1" applyFont="1" applyFill="1" applyBorder="1" applyAlignment="1">
      <alignment horizontal="right"/>
    </xf>
    <xf numFmtId="10" fontId="60" fillId="17" borderId="17" xfId="1" applyNumberFormat="1" applyFont="1" applyFill="1" applyBorder="1" applyAlignment="1">
      <alignment horizontal="right"/>
    </xf>
    <xf numFmtId="10" fontId="60" fillId="17" borderId="9" xfId="1" applyNumberFormat="1" applyFont="1" applyFill="1" applyBorder="1" applyAlignment="1">
      <alignment horizontal="right"/>
    </xf>
    <xf numFmtId="9" fontId="0" fillId="0" borderId="0" xfId="0" applyNumberFormat="1"/>
    <xf numFmtId="10" fontId="21" fillId="0" borderId="2" xfId="1" applyNumberFormat="1" applyFont="1" applyBorder="1"/>
    <xf numFmtId="10" fontId="21" fillId="0" borderId="2" xfId="53" applyNumberFormat="1"/>
    <xf numFmtId="0" fontId="10" fillId="0" borderId="2" xfId="53" applyFont="1"/>
    <xf numFmtId="167" fontId="21" fillId="12" borderId="2" xfId="1" applyNumberFormat="1" applyFont="1" applyFill="1" applyBorder="1"/>
    <xf numFmtId="0" fontId="10" fillId="12" borderId="2" xfId="49" applyFont="1" applyFill="1"/>
    <xf numFmtId="0" fontId="10" fillId="12" borderId="29" xfId="49" applyFont="1" applyFill="1" applyBorder="1" applyAlignment="1">
      <alignment horizontal="center" vertical="center"/>
    </xf>
    <xf numFmtId="0" fontId="10" fillId="12" borderId="18" xfId="49" applyFont="1" applyFill="1" applyBorder="1" applyAlignment="1">
      <alignment horizontal="center" vertical="center"/>
    </xf>
    <xf numFmtId="0" fontId="10" fillId="12" borderId="18" xfId="49" applyFont="1" applyFill="1" applyBorder="1" applyAlignment="1">
      <alignment horizontal="center"/>
    </xf>
    <xf numFmtId="0" fontId="9" fillId="12" borderId="2" xfId="49" applyFont="1" applyFill="1"/>
    <xf numFmtId="0" fontId="9" fillId="0" borderId="2" xfId="53" applyFont="1"/>
    <xf numFmtId="0" fontId="9" fillId="12" borderId="29" xfId="49" applyFont="1" applyFill="1" applyBorder="1" applyAlignment="1">
      <alignment horizontal="center" vertical="center"/>
    </xf>
    <xf numFmtId="0" fontId="9" fillId="12" borderId="18" xfId="49" applyFont="1" applyFill="1" applyBorder="1" applyAlignment="1">
      <alignment horizontal="center" vertical="center"/>
    </xf>
    <xf numFmtId="0" fontId="9" fillId="12" borderId="18" xfId="49" applyFont="1" applyFill="1" applyBorder="1"/>
    <xf numFmtId="0" fontId="9" fillId="12" borderId="18" xfId="49" applyFont="1" applyFill="1" applyBorder="1" applyAlignment="1">
      <alignment horizontal="center"/>
    </xf>
    <xf numFmtId="3" fontId="21" fillId="12" borderId="18" xfId="49" applyNumberFormat="1" applyFill="1" applyBorder="1" applyAlignment="1">
      <alignment horizontal="center"/>
    </xf>
    <xf numFmtId="0" fontId="21" fillId="12" borderId="19" xfId="49" applyFill="1" applyBorder="1"/>
    <xf numFmtId="0" fontId="9" fillId="12" borderId="35" xfId="49" applyFont="1" applyFill="1" applyBorder="1" applyAlignment="1">
      <alignment horizontal="center" vertical="center"/>
    </xf>
    <xf numFmtId="0" fontId="9" fillId="12" borderId="35" xfId="49" applyFont="1" applyFill="1" applyBorder="1" applyAlignment="1">
      <alignment horizontal="center"/>
    </xf>
    <xf numFmtId="0" fontId="21" fillId="12" borderId="34" xfId="49" applyFill="1" applyBorder="1"/>
    <xf numFmtId="0" fontId="40" fillId="11" borderId="26" xfId="4" applyBorder="1" applyAlignment="1">
      <alignment horizontal="center" vertical="center"/>
    </xf>
    <xf numFmtId="0" fontId="40" fillId="11" borderId="28" xfId="4" applyBorder="1" applyAlignment="1">
      <alignment horizontal="center" vertical="center"/>
    </xf>
    <xf numFmtId="10" fontId="21" fillId="14" borderId="19" xfId="1" applyNumberFormat="1" applyFont="1" applyFill="1" applyBorder="1" applyAlignment="1">
      <alignment horizontal="center"/>
    </xf>
    <xf numFmtId="10" fontId="0" fillId="0" borderId="0" xfId="0" applyNumberFormat="1"/>
    <xf numFmtId="4" fontId="0" fillId="12" borderId="0" xfId="0" applyNumberFormat="1" applyFill="1"/>
    <xf numFmtId="10" fontId="0" fillId="12" borderId="0" xfId="0" applyNumberFormat="1" applyFill="1"/>
    <xf numFmtId="10" fontId="9" fillId="12" borderId="0" xfId="0" applyNumberFormat="1" applyFont="1" applyFill="1"/>
    <xf numFmtId="0" fontId="9" fillId="0" borderId="0" xfId="0" applyFont="1" applyAlignment="1">
      <alignment horizontal="center" vertical="center"/>
    </xf>
    <xf numFmtId="14" fontId="0" fillId="12" borderId="0" xfId="0" applyNumberFormat="1" applyFill="1" applyAlignment="1">
      <alignment horizontal="center"/>
    </xf>
    <xf numFmtId="0" fontId="9" fillId="12" borderId="31" xfId="49" applyFont="1" applyFill="1" applyBorder="1"/>
    <xf numFmtId="10" fontId="21" fillId="12" borderId="19" xfId="49" applyNumberFormat="1" applyFill="1" applyBorder="1"/>
    <xf numFmtId="0" fontId="9" fillId="12" borderId="32" xfId="49" applyFont="1" applyFill="1" applyBorder="1"/>
    <xf numFmtId="10" fontId="21" fillId="12" borderId="33" xfId="49" applyNumberFormat="1" applyFill="1" applyBorder="1"/>
    <xf numFmtId="3" fontId="0" fillId="12" borderId="0" xfId="0" applyNumberFormat="1" applyFill="1"/>
    <xf numFmtId="0" fontId="8" fillId="12" borderId="2" xfId="49" applyFont="1" applyFill="1" applyAlignment="1">
      <alignment horizontal="center" vertical="center"/>
    </xf>
    <xf numFmtId="4" fontId="8" fillId="12" borderId="0" xfId="0" applyNumberFormat="1" applyFont="1" applyFill="1"/>
    <xf numFmtId="176" fontId="23" fillId="12" borderId="2" xfId="43" applyNumberFormat="1" applyFill="1" applyAlignment="1">
      <alignment horizontal="center" vertical="center"/>
    </xf>
    <xf numFmtId="167" fontId="34" fillId="12" borderId="0" xfId="1" applyNumberFormat="1" applyFont="1" applyFill="1" applyAlignment="1">
      <alignment horizontal="center" vertical="center"/>
    </xf>
    <xf numFmtId="4" fontId="35" fillId="14" borderId="33" xfId="49" applyNumberFormat="1" applyFont="1" applyFill="1" applyBorder="1"/>
    <xf numFmtId="0" fontId="7" fillId="12" borderId="30" xfId="49" applyFont="1" applyFill="1" applyBorder="1" applyAlignment="1">
      <alignment horizontal="right"/>
    </xf>
    <xf numFmtId="10" fontId="6" fillId="12" borderId="2" xfId="49" applyNumberFormat="1" applyFont="1" applyFill="1"/>
    <xf numFmtId="2" fontId="45" fillId="14" borderId="2" xfId="3" applyNumberFormat="1" applyFont="1" applyFill="1" applyAlignment="1">
      <alignment horizontal="center" vertical="center" wrapText="1"/>
    </xf>
    <xf numFmtId="2" fontId="45" fillId="14" borderId="21" xfId="3" applyNumberFormat="1" applyFont="1" applyFill="1" applyBorder="1" applyAlignment="1">
      <alignment horizontal="center" vertical="center" wrapText="1"/>
    </xf>
    <xf numFmtId="0" fontId="5" fillId="12" borderId="2" xfId="49" applyFont="1" applyFill="1" applyAlignment="1">
      <alignment horizontal="center"/>
    </xf>
    <xf numFmtId="10" fontId="21" fillId="12" borderId="2" xfId="49" applyNumberFormat="1" applyFill="1" applyAlignment="1">
      <alignment horizontal="center"/>
    </xf>
    <xf numFmtId="0" fontId="2" fillId="12" borderId="18" xfId="49" applyFont="1" applyFill="1" applyBorder="1" applyAlignment="1">
      <alignment horizontal="center"/>
    </xf>
    <xf numFmtId="0" fontId="3" fillId="12" borderId="20" xfId="49" applyFont="1" applyFill="1" applyBorder="1"/>
    <xf numFmtId="4" fontId="48" fillId="12" borderId="35" xfId="49" applyNumberFormat="1" applyFont="1" applyFill="1" applyBorder="1"/>
    <xf numFmtId="4" fontId="48" fillId="12" borderId="34" xfId="49" applyNumberFormat="1" applyFont="1" applyFill="1" applyBorder="1"/>
    <xf numFmtId="0" fontId="1" fillId="12" borderId="2" xfId="49" applyFont="1" applyFill="1" applyAlignment="1">
      <alignment horizontal="center"/>
    </xf>
    <xf numFmtId="0" fontId="1" fillId="12" borderId="18" xfId="49" applyFont="1" applyFill="1" applyBorder="1"/>
    <xf numFmtId="0" fontId="4" fillId="12" borderId="2" xfId="49" applyFont="1" applyFill="1"/>
    <xf numFmtId="0" fontId="1" fillId="12" borderId="2" xfId="49" applyFont="1" applyFill="1"/>
    <xf numFmtId="0" fontId="35" fillId="0" borderId="50" xfId="0" applyFont="1" applyBorder="1" applyAlignment="1">
      <alignment horizontal="center" vertical="top"/>
    </xf>
    <xf numFmtId="0" fontId="35" fillId="0" borderId="2" xfId="0" applyFont="1" applyBorder="1" applyAlignment="1">
      <alignment horizontal="center" vertical="top"/>
    </xf>
    <xf numFmtId="0" fontId="35" fillId="0" borderId="51" xfId="0" applyFont="1" applyBorder="1" applyAlignment="1">
      <alignment horizontal="center" vertical="top"/>
    </xf>
    <xf numFmtId="166" fontId="0" fillId="12" borderId="0" xfId="0" applyNumberFormat="1" applyFill="1" applyAlignment="1">
      <alignment horizontal="center"/>
    </xf>
    <xf numFmtId="0" fontId="1" fillId="12" borderId="0" xfId="0" applyFont="1" applyFill="1"/>
    <xf numFmtId="17" fontId="0" fillId="0" borderId="0" xfId="0" applyNumberFormat="1"/>
    <xf numFmtId="166" fontId="0" fillId="0" borderId="0" xfId="1" applyNumberFormat="1" applyFont="1"/>
    <xf numFmtId="0" fontId="60" fillId="0" borderId="14" xfId="0" applyFont="1" applyBorder="1" applyAlignment="1">
      <alignment horizontal="center" vertical="center"/>
    </xf>
    <xf numFmtId="0" fontId="60" fillId="17" borderId="14" xfId="0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/>
    </xf>
    <xf numFmtId="0" fontId="69" fillId="0" borderId="8" xfId="0" applyFont="1" applyBorder="1" applyAlignment="1">
      <alignment horizontal="center"/>
    </xf>
    <xf numFmtId="0" fontId="69" fillId="0" borderId="7" xfId="0" applyFont="1" applyBorder="1" applyAlignment="1">
      <alignment horizontal="center"/>
    </xf>
    <xf numFmtId="0" fontId="68" fillId="0" borderId="16" xfId="0" applyFont="1" applyBorder="1" applyAlignment="1">
      <alignment horizontal="center"/>
    </xf>
    <xf numFmtId="4" fontId="60" fillId="0" borderId="16" xfId="0" applyNumberFormat="1" applyFont="1" applyBorder="1" applyAlignment="1">
      <alignment horizontal="center"/>
    </xf>
    <xf numFmtId="0" fontId="13" fillId="12" borderId="5" xfId="3" applyFont="1" applyFill="1" applyBorder="1" applyAlignment="1">
      <alignment horizontal="center" vertical="center"/>
    </xf>
    <xf numFmtId="0" fontId="26" fillId="12" borderId="5" xfId="3" applyFill="1" applyBorder="1" applyAlignment="1">
      <alignment horizontal="center" vertical="center"/>
    </xf>
    <xf numFmtId="0" fontId="61" fillId="0" borderId="0" xfId="0" applyFont="1" applyAlignment="1">
      <alignment horizontal="center" wrapText="1"/>
    </xf>
    <xf numFmtId="0" fontId="62" fillId="0" borderId="29" xfId="0" applyFont="1" applyBorder="1" applyAlignment="1">
      <alignment horizontal="center" wrapText="1"/>
    </xf>
    <xf numFmtId="0" fontId="62" fillId="0" borderId="30" xfId="0" applyFont="1" applyBorder="1" applyAlignment="1">
      <alignment horizontal="center" wrapText="1"/>
    </xf>
    <xf numFmtId="0" fontId="62" fillId="0" borderId="31" xfId="0" applyFont="1" applyBorder="1" applyAlignment="1">
      <alignment horizontal="center" wrapText="1"/>
    </xf>
    <xf numFmtId="0" fontId="62" fillId="0" borderId="18" xfId="0" applyFont="1" applyBorder="1" applyAlignment="1">
      <alignment horizontal="center" wrapText="1"/>
    </xf>
    <xf numFmtId="0" fontId="62" fillId="0" borderId="0" xfId="0" applyFont="1" applyAlignment="1">
      <alignment horizontal="center" wrapText="1"/>
    </xf>
    <xf numFmtId="0" fontId="62" fillId="0" borderId="19" xfId="0" applyFont="1" applyBorder="1" applyAlignment="1">
      <alignment horizontal="center" wrapText="1"/>
    </xf>
    <xf numFmtId="0" fontId="35" fillId="0" borderId="19" xfId="0" applyFont="1" applyBorder="1" applyAlignment="1">
      <alignment horizontal="center" wrapText="1"/>
    </xf>
    <xf numFmtId="0" fontId="1" fillId="12" borderId="2" xfId="49" applyFont="1" applyFill="1" applyAlignment="1">
      <alignment horizontal="center"/>
    </xf>
    <xf numFmtId="0" fontId="21" fillId="12" borderId="2" xfId="49" applyFill="1" applyAlignment="1">
      <alignment horizontal="center"/>
    </xf>
    <xf numFmtId="0" fontId="36" fillId="11" borderId="26" xfId="22" applyFont="1" applyFill="1" applyBorder="1" applyAlignment="1">
      <alignment horizontal="left"/>
    </xf>
    <xf numFmtId="0" fontId="36" fillId="11" borderId="27" xfId="22" applyFont="1" applyFill="1" applyBorder="1" applyAlignment="1">
      <alignment horizontal="left"/>
    </xf>
    <xf numFmtId="0" fontId="40" fillId="11" borderId="29" xfId="4" applyBorder="1" applyAlignment="1">
      <alignment horizontal="center"/>
    </xf>
    <xf numFmtId="0" fontId="40" fillId="11" borderId="31" xfId="4" applyBorder="1" applyAlignment="1">
      <alignment horizontal="center"/>
    </xf>
    <xf numFmtId="0" fontId="42" fillId="12" borderId="18" xfId="49" applyFont="1" applyFill="1" applyBorder="1" applyAlignment="1">
      <alignment horizontal="center"/>
    </xf>
    <xf numFmtId="0" fontId="42" fillId="12" borderId="19" xfId="49" applyFont="1" applyFill="1" applyBorder="1" applyAlignment="1">
      <alignment horizontal="center"/>
    </xf>
    <xf numFmtId="0" fontId="36" fillId="11" borderId="0" xfId="0" applyFont="1" applyFill="1" applyAlignment="1">
      <alignment horizontal="center" vertical="center"/>
    </xf>
    <xf numFmtId="0" fontId="36" fillId="11" borderId="0" xfId="0" applyFont="1" applyFill="1" applyAlignment="1">
      <alignment horizontal="center"/>
    </xf>
    <xf numFmtId="0" fontId="36" fillId="11" borderId="2" xfId="49" applyFont="1" applyFill="1" applyAlignment="1">
      <alignment horizontal="center"/>
    </xf>
    <xf numFmtId="0" fontId="8" fillId="12" borderId="2" xfId="0" applyFont="1" applyFill="1" applyBorder="1" applyAlignment="1">
      <alignment horizontal="center" vertical="center" wrapText="1"/>
    </xf>
    <xf numFmtId="0" fontId="20" fillId="12" borderId="2" xfId="0" applyFont="1" applyFill="1" applyBorder="1" applyAlignment="1">
      <alignment horizontal="center" vertical="center" wrapText="1"/>
    </xf>
    <xf numFmtId="0" fontId="18" fillId="12" borderId="2" xfId="0" applyFont="1" applyFill="1" applyBorder="1" applyAlignment="1">
      <alignment horizontal="center" vertical="center" wrapText="1"/>
    </xf>
    <xf numFmtId="0" fontId="36" fillId="11" borderId="2" xfId="57" applyFont="1" applyFill="1" applyAlignment="1">
      <alignment horizontal="center"/>
    </xf>
    <xf numFmtId="0" fontId="51" fillId="14" borderId="38" xfId="48" applyFont="1" applyFill="1" applyBorder="1" applyAlignment="1">
      <alignment horizontal="center"/>
    </xf>
    <xf numFmtId="0" fontId="51" fillId="14" borderId="39" xfId="48" applyFont="1" applyFill="1" applyBorder="1" applyAlignment="1">
      <alignment horizontal="center"/>
    </xf>
    <xf numFmtId="14" fontId="40" fillId="11" borderId="2" xfId="4" applyNumberFormat="1" applyAlignment="1">
      <alignment horizontal="center"/>
    </xf>
    <xf numFmtId="10" fontId="1" fillId="12" borderId="0" xfId="1" applyNumberFormat="1" applyFont="1" applyFill="1"/>
    <xf numFmtId="10" fontId="0" fillId="12" borderId="0" xfId="1" applyNumberFormat="1" applyFont="1" applyFill="1"/>
  </cellXfs>
  <cellStyles count="140">
    <cellStyle name="20% - Ênfase4 2" xfId="6" xr:uid="{382FE816-8120-4198-9DDA-EBD40938E813}"/>
    <cellStyle name="20% - Ênfase4 2 2" xfId="29" xr:uid="{BE7B5867-A900-4DAF-BA73-CC11FF16FC4D}"/>
    <cellStyle name="20% - Ênfase4 2 2 2" xfId="44" xr:uid="{AF8B8950-127A-4127-9ABC-6CC716D7EE4B}"/>
    <cellStyle name="20% - Ênfase4 2 2 2 2" xfId="134" xr:uid="{D140EFBB-5628-4CE1-9A50-CDF6A546F095}"/>
    <cellStyle name="20% - Ênfase4 2 2 2 3" xfId="91" xr:uid="{C5C3122D-E806-4628-AB88-B264E2DB5F9D}"/>
    <cellStyle name="20% - Ênfase4 2 2 3" xfId="120" xr:uid="{7EDF29EA-04E7-4ADE-8A22-CD8EA2C82D49}"/>
    <cellStyle name="20% - Ênfase4 2 2 4" xfId="77" xr:uid="{F0084EF6-1202-4B00-95B0-EB2EEF04E232}"/>
    <cellStyle name="20% - Ênfase4 2 3" xfId="103" xr:uid="{E06EA016-D354-4756-A848-25FC809C9512}"/>
    <cellStyle name="20% - Ênfase4 2 4" xfId="60" xr:uid="{35ADF08A-7503-44EB-A5CE-164FE5820ABB}"/>
    <cellStyle name="40% - Ênfase2 2" xfId="10" xr:uid="{7EECC389-277D-425D-98E4-330EC7025037}"/>
    <cellStyle name="40% - Ênfase2 2 2" xfId="33" xr:uid="{27C85C5F-DB3F-4C73-B71A-CE855D8243D1}"/>
    <cellStyle name="40% - Ênfase2 2 2 2" xfId="124" xr:uid="{3D8DEF63-9D06-49B6-8B79-A946DEB607CA}"/>
    <cellStyle name="40% - Ênfase2 2 2 3" xfId="81" xr:uid="{DC631A70-3C1B-4535-B2B4-B61A997213DB}"/>
    <cellStyle name="40% - Ênfase2 2 3" xfId="45" xr:uid="{53E8FFA2-815A-4AD1-B301-FE72B6498AD1}"/>
    <cellStyle name="40% - Ênfase2 2 3 2" xfId="135" xr:uid="{739D949F-541F-4386-904B-D2402F13FD0B}"/>
    <cellStyle name="40% - Ênfase2 2 3 3" xfId="92" xr:uid="{369053B8-8E72-495A-9EAE-35F52781D902}"/>
    <cellStyle name="40% - Ênfase2 2 4" xfId="107" xr:uid="{E58D08F2-C583-41F4-927A-7AD340F4894F}"/>
    <cellStyle name="40% - Ênfase2 2 5" xfId="64" xr:uid="{D763F0A4-D7D5-4037-9DBC-D1B78A3206D2}"/>
    <cellStyle name="40% - Ênfase3" xfId="25" builtinId="39"/>
    <cellStyle name="40% - Ênfase3 2" xfId="7" xr:uid="{8DE6AD3A-B34E-443E-896B-859654C6957B}"/>
    <cellStyle name="40% - Ênfase3 2 2" xfId="30" xr:uid="{24E743B9-AE44-4E61-9DB5-D5116D90EFEF}"/>
    <cellStyle name="40% - Ênfase3 2 2 2" xfId="121" xr:uid="{963E5ABD-8825-405D-9039-F8EBB54C2855}"/>
    <cellStyle name="40% - Ênfase3 2 2 3" xfId="78" xr:uid="{B0B7F8E2-537D-453E-B5B4-86D35732BEF3}"/>
    <cellStyle name="40% - Ênfase3 2 3" xfId="104" xr:uid="{3FA3C7FB-1377-4A9E-9B36-7C68AC2CB123}"/>
    <cellStyle name="40% - Ênfase3 2 4" xfId="61" xr:uid="{73631A47-664B-473D-A398-1D2016BF06A9}"/>
    <cellStyle name="40% - Ênfase3 3" xfId="41" xr:uid="{79E8FC47-AA9C-495B-8755-451ADAE8A853}"/>
    <cellStyle name="40% - Ênfase3 3 2" xfId="132" xr:uid="{A55DAA18-9ECD-455E-A78D-5EB475D62BBA}"/>
    <cellStyle name="40% - Ênfase3 3 3" xfId="89" xr:uid="{01F26E15-C95C-49B6-A87E-C0F5CB87211D}"/>
    <cellStyle name="40% - Ênfase3 4" xfId="115" xr:uid="{429397BC-8850-4047-AC88-9FC445D9E383}"/>
    <cellStyle name="40% - Ênfase3 5" xfId="72" xr:uid="{AC45A6BF-F36A-48ED-BC13-596B84D81FB6}"/>
    <cellStyle name="40% - Ênfase4 2" xfId="9" xr:uid="{DEDDEE9A-48CD-4EF1-A76D-9BA2413A7804}"/>
    <cellStyle name="40% - Ênfase4 2 2" xfId="32" xr:uid="{7088EA82-9CCC-4D87-B511-4CD8C6E369EB}"/>
    <cellStyle name="40% - Ênfase4 2 2 2" xfId="123" xr:uid="{02D292E7-8926-4D78-BD47-A93C97140E8E}"/>
    <cellStyle name="40% - Ênfase4 2 2 3" xfId="80" xr:uid="{8E9658F1-CB37-4E29-8BE3-1944C1573C02}"/>
    <cellStyle name="40% - Ênfase4 2 3" xfId="106" xr:uid="{70D0C0C3-C86D-4C22-9A81-C416C7E76EB6}"/>
    <cellStyle name="40% - Ênfase4 2 4" xfId="63" xr:uid="{91752459-6D32-41B7-9608-9D8F86DB5163}"/>
    <cellStyle name="40% - Ênfase6 2" xfId="8" xr:uid="{393B5D9A-6719-4C03-BADD-E16515631D03}"/>
    <cellStyle name="40% - Ênfase6 2 2" xfId="31" xr:uid="{4E915178-4E14-4A86-88AC-3D5C98D5AFA2}"/>
    <cellStyle name="40% - Ênfase6 2 2 2" xfId="122" xr:uid="{0308774F-C4D4-4A7D-9184-1ECFF6B504B5}"/>
    <cellStyle name="40% - Ênfase6 2 2 3" xfId="79" xr:uid="{42D6C680-86C2-4B19-A4FB-AF2119D43E22}"/>
    <cellStyle name="40% - Ênfase6 2 3" xfId="105" xr:uid="{AC9E25D1-8804-4EFE-81B1-38043BDD09FC}"/>
    <cellStyle name="40% - Ênfase6 2 4" xfId="62" xr:uid="{200F513A-FA18-4771-9448-DF09DEBD09C7}"/>
    <cellStyle name="Bom 2" xfId="22" xr:uid="{0C80B585-FC0B-4561-896A-F041848A0B4B}"/>
    <cellStyle name="Ênfase1 2" xfId="5" xr:uid="{150A4748-547D-4F23-B07E-7211202972DB}"/>
    <cellStyle name="Ênfase2 2" xfId="42" xr:uid="{DA8BA0E8-DB7D-404A-B57F-987187F9F248}"/>
    <cellStyle name="Hiperlink" xfId="19" builtinId="8"/>
    <cellStyle name="Moeda 2" xfId="17" xr:uid="{4CA86DB1-1050-4C63-BCA0-4162D48EDC7F}"/>
    <cellStyle name="Moeda 2 2" xfId="37" xr:uid="{2D14F91A-793C-4159-8EB1-FBD65ED33E37}"/>
    <cellStyle name="Moeda 2 2 2" xfId="128" xr:uid="{4F7AD6A7-5BE1-43FC-885D-5E52597D40C6}"/>
    <cellStyle name="Moeda 2 2 3" xfId="85" xr:uid="{CCAA09CF-EC90-4F63-A04B-B66DCB76AE5D}"/>
    <cellStyle name="Moeda 2 3" xfId="111" xr:uid="{9ADD6866-36B5-48A1-9533-AFDF95E51240}"/>
    <cellStyle name="Moeda 2 4" xfId="68" xr:uid="{C84FDC34-F95B-4A02-BD5A-D7797B2CE2BC}"/>
    <cellStyle name="Moeda 3" xfId="20" xr:uid="{7B5FDB65-303D-44C0-9FF2-1AD0A8F2DA92}"/>
    <cellStyle name="Moeda 3 2" xfId="39" xr:uid="{56DEFFE4-130D-403B-82D7-92D44AAB2CC0}"/>
    <cellStyle name="Moeda 3 2 2" xfId="130" xr:uid="{F9419268-CFBA-4058-8BA5-A199EEEEA3A2}"/>
    <cellStyle name="Moeda 3 2 3" xfId="87" xr:uid="{015C95A6-7383-4FF6-A954-2D80DCFEE526}"/>
    <cellStyle name="Moeda 3 3" xfId="113" xr:uid="{AA82F0F2-EBF2-403C-88CD-FD48077D69B9}"/>
    <cellStyle name="Moeda 3 4" xfId="70" xr:uid="{9874E687-E0E7-44E7-AC13-4CD75B779D61}"/>
    <cellStyle name="Moeda 4" xfId="54" xr:uid="{18F11DA2-E99B-4DC8-BD68-CA527EF4E501}"/>
    <cellStyle name="Moeda 5" xfId="95" xr:uid="{0299473E-2195-43BE-BA7B-A6C1D6BB25B9}"/>
    <cellStyle name="Neutro 2" xfId="23" xr:uid="{6B0869B7-E3F4-4D32-8375-9F05A0EC2CAB}"/>
    <cellStyle name="Normal" xfId="0" builtinId="0"/>
    <cellStyle name="Normal 10" xfId="57" xr:uid="{0A8EDA4C-2077-4356-93E0-6F7892269EBF}"/>
    <cellStyle name="Normal 2" xfId="2" xr:uid="{A9BF5360-37B0-4993-B39A-8D5E13986A7A}"/>
    <cellStyle name="Normal 2 2" xfId="14" xr:uid="{E3AE28F3-FB29-48BF-83A4-684C7B0F4685}"/>
    <cellStyle name="Normal 3" xfId="3" xr:uid="{E94D3E09-7975-4DAC-B44F-0F455D6A45A3}"/>
    <cellStyle name="Normal 3 2" xfId="21" xr:uid="{95719FE1-5FC6-4146-A8AC-91903CD5CCD9}"/>
    <cellStyle name="Normal 3 3" xfId="28" xr:uid="{B46D6FE5-261E-4792-B916-7E8655947D98}"/>
    <cellStyle name="Normal 3 3 2" xfId="119" xr:uid="{247C6C32-A6DD-4134-9289-5CEF0A058C73}"/>
    <cellStyle name="Normal 3 3 3" xfId="76" xr:uid="{22944E6F-1577-43FC-9DBE-5AE9696A0F4D}"/>
    <cellStyle name="Normal 3 4" xfId="49" xr:uid="{96142347-75A3-4471-AA18-8DAFD29A705E}"/>
    <cellStyle name="Normal 3 4 2" xfId="102" xr:uid="{C5F80BDC-0477-4A36-A439-D251ED734651}"/>
    <cellStyle name="Normal 3 5" xfId="59" xr:uid="{2BD455D2-C9DE-4032-AD1E-AB2058760C62}"/>
    <cellStyle name="Normal 4" xfId="26" xr:uid="{A96CA78F-85DD-425D-A2B6-FE35DEE65D3B}"/>
    <cellStyle name="Normal 4 2" xfId="117" xr:uid="{667B3601-23F0-46D5-8819-42809417FE32}"/>
    <cellStyle name="Normal 4 3" xfId="74" xr:uid="{3A2A763A-85FE-4960-9343-5100D124FD49}"/>
    <cellStyle name="Normal 5" xfId="43" xr:uid="{250BAA86-C671-4999-A305-A91C0B4035E1}"/>
    <cellStyle name="Normal 5 2" xfId="133" xr:uid="{9725C838-4761-4760-A84D-88C0319070BF}"/>
    <cellStyle name="Normal 5 3" xfId="90" xr:uid="{1DE1C126-B2E1-4CC9-ABD1-3886F46DF862}"/>
    <cellStyle name="Normal 6" xfId="47" xr:uid="{3A4D14AB-B3BE-4053-A4CA-0F34E472CAE8}"/>
    <cellStyle name="Normal 7" xfId="53" xr:uid="{8646310A-EB93-4446-A81C-7486FF4BC243}"/>
    <cellStyle name="Normal 7 2" xfId="96" xr:uid="{059BF847-0120-422C-B79C-C07B59640F5E}"/>
    <cellStyle name="Normal 8" xfId="55" xr:uid="{FD6F3252-9090-482D-9B7B-5693C3E60ED2}"/>
    <cellStyle name="Normal 8 2" xfId="24" xr:uid="{A924A55A-D91B-48B7-975A-9B4DCEE9BA8D}"/>
    <cellStyle name="Normal 8 2 2" xfId="40" xr:uid="{57EB1428-3D6C-4DA0-B6A0-31875D5CB7E3}"/>
    <cellStyle name="Normal 8 2 2 2" xfId="131" xr:uid="{93AC7B6E-1FE2-4DD9-AABE-19AB29AB0747}"/>
    <cellStyle name="Normal 8 2 2 3" xfId="88" xr:uid="{5EFF5833-7449-4377-9714-04F5DF00869C}"/>
    <cellStyle name="Normal 8 2 3" xfId="114" xr:uid="{2853AB41-7707-42A7-96D5-8BB5ABE6D7E8}"/>
    <cellStyle name="Normal 8 2 4" xfId="71" xr:uid="{26586926-1525-4458-836D-D740C2014646}"/>
    <cellStyle name="Normal 8 3" xfId="97" xr:uid="{F7E64187-B944-4156-9AB2-E195685AAE57}"/>
    <cellStyle name="Normal 9" xfId="100" xr:uid="{DD953F84-6D28-4220-9BD4-9F529F913E69}"/>
    <cellStyle name="Normal 9 2" xfId="16" xr:uid="{B598FF77-E25C-4518-9858-368C0488A9F5}"/>
    <cellStyle name="Normal 9 2 2" xfId="36" xr:uid="{15499909-02E4-49B5-A9DA-7FD6427186B0}"/>
    <cellStyle name="Normal 9 2 2 2" xfId="127" xr:uid="{24962495-84F2-4B05-8C2A-954423FFC471}"/>
    <cellStyle name="Normal 9 2 2 3" xfId="84" xr:uid="{939C89D9-60E7-4E57-B7D1-59FBF18B582F}"/>
    <cellStyle name="Normal 9 2 3" xfId="110" xr:uid="{6517F861-0A7B-4477-87C1-2620A9F5106D}"/>
    <cellStyle name="Normal 9 2 4" xfId="67" xr:uid="{EB29A6A2-B2E0-4732-A4B4-F719CB9E4C06}"/>
    <cellStyle name="Normal 9 3" xfId="12" xr:uid="{FCFBC2AC-888B-4153-A4FF-5536FB5DD46F}"/>
    <cellStyle name="Normal 9 3 2" xfId="34" xr:uid="{AF52A0E0-4743-48E3-939C-26EAE6A084F6}"/>
    <cellStyle name="Normal 9 3 2 2" xfId="125" xr:uid="{D838CB3F-3AED-4DCB-8BD1-0094BC295E08}"/>
    <cellStyle name="Normal 9 3 2 3" xfId="82" xr:uid="{CECA0F2D-E3A4-49A0-B1F8-E7FD001819FA}"/>
    <cellStyle name="Normal 9 3 3" xfId="108" xr:uid="{90063F13-BD42-468A-ABEE-3225DAB020FB}"/>
    <cellStyle name="Normal 9 3 4" xfId="65" xr:uid="{852C7371-7DEB-4525-9938-11DC6B42B8EE}"/>
    <cellStyle name="Normal_" xfId="139" xr:uid="{52B1F57A-D296-4E7D-8CE1-D9D6EB1FF969}"/>
    <cellStyle name="Normal_ipca_201707SerieHist" xfId="48" xr:uid="{25A8B490-114E-40C5-9902-1F0901830BED}"/>
    <cellStyle name="Nota 2" xfId="116" xr:uid="{B462E84B-D7C8-4C6D-85C6-9D49ECAA4C87}"/>
    <cellStyle name="Nota 3" xfId="73" xr:uid="{0F0D0D8D-7F06-4420-8FE0-509CD9D7506D}"/>
    <cellStyle name="Porcentagem" xfId="1" builtinId="5"/>
    <cellStyle name="Porcentagem 2" xfId="18" xr:uid="{C2182FB9-4936-4206-857E-0905F8A828CC}"/>
    <cellStyle name="Porcentagem 2 2" xfId="38" xr:uid="{1A76A365-829F-4202-A3BA-7776623F449C}"/>
    <cellStyle name="Porcentagem 2 2 2" xfId="129" xr:uid="{EB8136AD-A154-4BCE-BAF4-808A9D713555}"/>
    <cellStyle name="Porcentagem 2 2 3" xfId="86" xr:uid="{0022B0B4-B275-4228-90E5-367DCE0A32BC}"/>
    <cellStyle name="Porcentagem 2 3" xfId="52" xr:uid="{3E7ADA65-359A-47B8-9AC3-CDF54CB9EE48}"/>
    <cellStyle name="Porcentagem 2 3 2" xfId="112" xr:uid="{DD90A159-85B6-4D82-BF84-42D542AFD6D6}"/>
    <cellStyle name="Porcentagem 2 4" xfId="69" xr:uid="{9B3B8EF2-8D91-4D7F-AA0C-DBBF1E273600}"/>
    <cellStyle name="Porcentagem 3" xfId="15" xr:uid="{5CB06E65-3DB3-4681-95EF-FADC669FF64F}"/>
    <cellStyle name="Porcentagem 4" xfId="27" xr:uid="{4326E051-EABA-4AF8-9A80-A1ECA7EDFB70}"/>
    <cellStyle name="Porcentagem 4 2" xfId="118" xr:uid="{ED84A2C1-ED7F-4594-A1D6-45F2733C0764}"/>
    <cellStyle name="Porcentagem 4 3" xfId="75" xr:uid="{967510AC-EE8C-4410-85B2-D1F893037F1B}"/>
    <cellStyle name="Porcentagem 5" xfId="46" xr:uid="{56B2D054-4D5C-44B2-ACE5-581538221EAC}"/>
    <cellStyle name="Porcentagem 5 2" xfId="136" xr:uid="{92825E90-078D-4C98-923B-356770656B4D}"/>
    <cellStyle name="Porcentagem 5 3" xfId="93" xr:uid="{75652447-9EE8-41DF-8C11-1869ECA3D375}"/>
    <cellStyle name="Porcentagem 6" xfId="50" xr:uid="{F3BBC8AD-E195-4573-8F0C-1272F9897C93}"/>
    <cellStyle name="Porcentagem 6 2" xfId="98" xr:uid="{72B74360-8CE7-4031-BDD5-905FE853158B}"/>
    <cellStyle name="Porcentagem 7" xfId="101" xr:uid="{E8904CA4-675E-4F73-B20F-89E83DFF84C2}"/>
    <cellStyle name="Porcentagem 8" xfId="58" xr:uid="{39F27C10-EBFA-4933-BB8B-3960ADDBC596}"/>
    <cellStyle name="Ruim 2" xfId="11" xr:uid="{B4B5F136-8EA7-4622-957B-EDA7CAB67202}"/>
    <cellStyle name="Título 5" xfId="4" xr:uid="{5659E66E-1FC5-42C8-A7AC-667A24402935}"/>
    <cellStyle name="Vírgula 2" xfId="13" xr:uid="{A090042E-D071-49E2-9246-DD509A61D8D6}"/>
    <cellStyle name="Vírgula 2 2" xfId="35" xr:uid="{BD57B84D-3FF8-49B0-A692-39FFB4C36E91}"/>
    <cellStyle name="Vírgula 2 2 2" xfId="126" xr:uid="{EA4C2361-659A-4698-9504-BC992CA88D5A}"/>
    <cellStyle name="Vírgula 2 2 3" xfId="83" xr:uid="{92C080DE-BEF9-4481-9354-754B55EA24CE}"/>
    <cellStyle name="Vírgula 2 3" xfId="51" xr:uid="{2E9FA2AA-3FF0-4DD4-AFA9-F56B4F4D4E24}"/>
    <cellStyle name="Vírgula 2 3 2" xfId="109" xr:uid="{11D4297B-0FA8-4BB8-ADE4-712CF983791D}"/>
    <cellStyle name="Vírgula 2 4" xfId="66" xr:uid="{7508B38B-E388-4489-8D7C-A47CFB3F5782}"/>
    <cellStyle name="Vírgula 3" xfId="56" xr:uid="{F57C106D-030A-4B3B-928F-6CF3A337BD57}"/>
    <cellStyle name="Vírgula 3 2" xfId="99" xr:uid="{F1E54774-8F2B-4C45-B61A-9A48B92578F9}"/>
    <cellStyle name="Vírgula 3 3" xfId="138" xr:uid="{77A620F7-A461-44F1-AF42-03BD24DD750D}"/>
    <cellStyle name="Vírgula 4" xfId="94" xr:uid="{B7D920ED-F25D-4B81-8895-14838B25A2A7}"/>
    <cellStyle name="Vírgula 5" xfId="137" xr:uid="{751B866C-16E5-4072-BF0D-5DB0A4F3E6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externalLink" Target="externalLinks/externalLink2.xml"/><Relationship Id="rId50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S$P 500 x US</a:t>
            </a:r>
            <a:r>
              <a:rPr lang="pt-BR" baseline="0"/>
              <a:t> 10y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 PRM'!$B$1</c:f>
              <c:strCache>
                <c:ptCount val="1"/>
                <c:pt idx="0">
                  <c:v>SP500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'14. PRM'!$A$2:$A$361</c:f>
              <c:numCache>
                <c:formatCode>mmm\-yy</c:formatCode>
                <c:ptCount val="360"/>
                <c:pt idx="0">
                  <c:v>33970</c:v>
                </c:pt>
                <c:pt idx="1">
                  <c:v>34001</c:v>
                </c:pt>
                <c:pt idx="2">
                  <c:v>34029</c:v>
                </c:pt>
                <c:pt idx="3">
                  <c:v>34060</c:v>
                </c:pt>
                <c:pt idx="4">
                  <c:v>34090</c:v>
                </c:pt>
                <c:pt idx="5">
                  <c:v>34121</c:v>
                </c:pt>
                <c:pt idx="6">
                  <c:v>34151</c:v>
                </c:pt>
                <c:pt idx="7">
                  <c:v>34182</c:v>
                </c:pt>
                <c:pt idx="8">
                  <c:v>34213</c:v>
                </c:pt>
                <c:pt idx="9">
                  <c:v>34243</c:v>
                </c:pt>
                <c:pt idx="10">
                  <c:v>34274</c:v>
                </c:pt>
                <c:pt idx="11">
                  <c:v>34304</c:v>
                </c:pt>
                <c:pt idx="12">
                  <c:v>34335</c:v>
                </c:pt>
                <c:pt idx="13">
                  <c:v>34366</c:v>
                </c:pt>
                <c:pt idx="14">
                  <c:v>34394</c:v>
                </c:pt>
                <c:pt idx="15">
                  <c:v>34425</c:v>
                </c:pt>
                <c:pt idx="16">
                  <c:v>34455</c:v>
                </c:pt>
                <c:pt idx="17">
                  <c:v>34486</c:v>
                </c:pt>
                <c:pt idx="18">
                  <c:v>34516</c:v>
                </c:pt>
                <c:pt idx="19">
                  <c:v>34547</c:v>
                </c:pt>
                <c:pt idx="20">
                  <c:v>34578</c:v>
                </c:pt>
                <c:pt idx="21">
                  <c:v>34608</c:v>
                </c:pt>
                <c:pt idx="22">
                  <c:v>34639</c:v>
                </c:pt>
                <c:pt idx="23">
                  <c:v>34669</c:v>
                </c:pt>
                <c:pt idx="24">
                  <c:v>34700</c:v>
                </c:pt>
                <c:pt idx="25">
                  <c:v>34731</c:v>
                </c:pt>
                <c:pt idx="26">
                  <c:v>34759</c:v>
                </c:pt>
                <c:pt idx="27">
                  <c:v>34790</c:v>
                </c:pt>
                <c:pt idx="28">
                  <c:v>34820</c:v>
                </c:pt>
                <c:pt idx="29">
                  <c:v>34851</c:v>
                </c:pt>
                <c:pt idx="30">
                  <c:v>34881</c:v>
                </c:pt>
                <c:pt idx="31">
                  <c:v>34912</c:v>
                </c:pt>
                <c:pt idx="32">
                  <c:v>34943</c:v>
                </c:pt>
                <c:pt idx="33">
                  <c:v>34973</c:v>
                </c:pt>
                <c:pt idx="34">
                  <c:v>35004</c:v>
                </c:pt>
                <c:pt idx="35">
                  <c:v>35034</c:v>
                </c:pt>
                <c:pt idx="36">
                  <c:v>35065</c:v>
                </c:pt>
                <c:pt idx="37">
                  <c:v>35096</c:v>
                </c:pt>
                <c:pt idx="38">
                  <c:v>35125</c:v>
                </c:pt>
                <c:pt idx="39">
                  <c:v>35156</c:v>
                </c:pt>
                <c:pt idx="40">
                  <c:v>35186</c:v>
                </c:pt>
                <c:pt idx="41">
                  <c:v>35217</c:v>
                </c:pt>
                <c:pt idx="42">
                  <c:v>35247</c:v>
                </c:pt>
                <c:pt idx="43">
                  <c:v>35278</c:v>
                </c:pt>
                <c:pt idx="44">
                  <c:v>35309</c:v>
                </c:pt>
                <c:pt idx="45">
                  <c:v>35339</c:v>
                </c:pt>
                <c:pt idx="46">
                  <c:v>35370</c:v>
                </c:pt>
                <c:pt idx="47">
                  <c:v>35400</c:v>
                </c:pt>
                <c:pt idx="48">
                  <c:v>35431</c:v>
                </c:pt>
                <c:pt idx="49">
                  <c:v>35462</c:v>
                </c:pt>
                <c:pt idx="50">
                  <c:v>35490</c:v>
                </c:pt>
                <c:pt idx="51">
                  <c:v>35521</c:v>
                </c:pt>
                <c:pt idx="52">
                  <c:v>35551</c:v>
                </c:pt>
                <c:pt idx="53">
                  <c:v>35582</c:v>
                </c:pt>
                <c:pt idx="54">
                  <c:v>35612</c:v>
                </c:pt>
                <c:pt idx="55">
                  <c:v>35643</c:v>
                </c:pt>
                <c:pt idx="56">
                  <c:v>35674</c:v>
                </c:pt>
                <c:pt idx="57">
                  <c:v>35704</c:v>
                </c:pt>
                <c:pt idx="58">
                  <c:v>35735</c:v>
                </c:pt>
                <c:pt idx="59">
                  <c:v>35765</c:v>
                </c:pt>
                <c:pt idx="60">
                  <c:v>35796</c:v>
                </c:pt>
                <c:pt idx="61">
                  <c:v>35827</c:v>
                </c:pt>
                <c:pt idx="62">
                  <c:v>35855</c:v>
                </c:pt>
                <c:pt idx="63">
                  <c:v>35886</c:v>
                </c:pt>
                <c:pt idx="64">
                  <c:v>35916</c:v>
                </c:pt>
                <c:pt idx="65">
                  <c:v>35947</c:v>
                </c:pt>
                <c:pt idx="66">
                  <c:v>35977</c:v>
                </c:pt>
                <c:pt idx="67">
                  <c:v>36008</c:v>
                </c:pt>
                <c:pt idx="68">
                  <c:v>36039</c:v>
                </c:pt>
                <c:pt idx="69">
                  <c:v>36069</c:v>
                </c:pt>
                <c:pt idx="70">
                  <c:v>36100</c:v>
                </c:pt>
                <c:pt idx="71">
                  <c:v>36130</c:v>
                </c:pt>
                <c:pt idx="72">
                  <c:v>36161</c:v>
                </c:pt>
                <c:pt idx="73">
                  <c:v>36192</c:v>
                </c:pt>
                <c:pt idx="74">
                  <c:v>36220</c:v>
                </c:pt>
                <c:pt idx="75">
                  <c:v>36251</c:v>
                </c:pt>
                <c:pt idx="76">
                  <c:v>36281</c:v>
                </c:pt>
                <c:pt idx="77">
                  <c:v>36312</c:v>
                </c:pt>
                <c:pt idx="78">
                  <c:v>36342</c:v>
                </c:pt>
                <c:pt idx="79">
                  <c:v>36373</c:v>
                </c:pt>
                <c:pt idx="80">
                  <c:v>36404</c:v>
                </c:pt>
                <c:pt idx="81">
                  <c:v>36434</c:v>
                </c:pt>
                <c:pt idx="82">
                  <c:v>36465</c:v>
                </c:pt>
                <c:pt idx="83">
                  <c:v>36495</c:v>
                </c:pt>
                <c:pt idx="84">
                  <c:v>36526</c:v>
                </c:pt>
                <c:pt idx="85">
                  <c:v>36557</c:v>
                </c:pt>
                <c:pt idx="86">
                  <c:v>36586</c:v>
                </c:pt>
                <c:pt idx="87">
                  <c:v>36617</c:v>
                </c:pt>
                <c:pt idx="88">
                  <c:v>36647</c:v>
                </c:pt>
                <c:pt idx="89">
                  <c:v>36678</c:v>
                </c:pt>
                <c:pt idx="90">
                  <c:v>36708</c:v>
                </c:pt>
                <c:pt idx="91">
                  <c:v>36739</c:v>
                </c:pt>
                <c:pt idx="92">
                  <c:v>36770</c:v>
                </c:pt>
                <c:pt idx="93">
                  <c:v>36800</c:v>
                </c:pt>
                <c:pt idx="94">
                  <c:v>36831</c:v>
                </c:pt>
                <c:pt idx="95">
                  <c:v>36861</c:v>
                </c:pt>
                <c:pt idx="96">
                  <c:v>36892</c:v>
                </c:pt>
                <c:pt idx="97">
                  <c:v>36923</c:v>
                </c:pt>
                <c:pt idx="98">
                  <c:v>36951</c:v>
                </c:pt>
                <c:pt idx="99">
                  <c:v>36982</c:v>
                </c:pt>
                <c:pt idx="100">
                  <c:v>37012</c:v>
                </c:pt>
                <c:pt idx="101">
                  <c:v>37043</c:v>
                </c:pt>
                <c:pt idx="102">
                  <c:v>37073</c:v>
                </c:pt>
                <c:pt idx="103">
                  <c:v>37104</c:v>
                </c:pt>
                <c:pt idx="104">
                  <c:v>37135</c:v>
                </c:pt>
                <c:pt idx="105">
                  <c:v>37165</c:v>
                </c:pt>
                <c:pt idx="106">
                  <c:v>37196</c:v>
                </c:pt>
                <c:pt idx="107">
                  <c:v>37226</c:v>
                </c:pt>
                <c:pt idx="108">
                  <c:v>37257</c:v>
                </c:pt>
                <c:pt idx="109">
                  <c:v>37288</c:v>
                </c:pt>
                <c:pt idx="110">
                  <c:v>37316</c:v>
                </c:pt>
                <c:pt idx="111">
                  <c:v>37347</c:v>
                </c:pt>
                <c:pt idx="112">
                  <c:v>37377</c:v>
                </c:pt>
                <c:pt idx="113">
                  <c:v>37408</c:v>
                </c:pt>
                <c:pt idx="114">
                  <c:v>37438</c:v>
                </c:pt>
                <c:pt idx="115">
                  <c:v>37469</c:v>
                </c:pt>
                <c:pt idx="116">
                  <c:v>37500</c:v>
                </c:pt>
                <c:pt idx="117">
                  <c:v>37530</c:v>
                </c:pt>
                <c:pt idx="118">
                  <c:v>37561</c:v>
                </c:pt>
                <c:pt idx="119">
                  <c:v>37591</c:v>
                </c:pt>
                <c:pt idx="120">
                  <c:v>37622</c:v>
                </c:pt>
                <c:pt idx="121">
                  <c:v>37653</c:v>
                </c:pt>
                <c:pt idx="122">
                  <c:v>37681</c:v>
                </c:pt>
                <c:pt idx="123">
                  <c:v>37712</c:v>
                </c:pt>
                <c:pt idx="124">
                  <c:v>37742</c:v>
                </c:pt>
                <c:pt idx="125">
                  <c:v>37773</c:v>
                </c:pt>
                <c:pt idx="126">
                  <c:v>37803</c:v>
                </c:pt>
                <c:pt idx="127">
                  <c:v>37834</c:v>
                </c:pt>
                <c:pt idx="128">
                  <c:v>37865</c:v>
                </c:pt>
                <c:pt idx="129">
                  <c:v>37895</c:v>
                </c:pt>
                <c:pt idx="130">
                  <c:v>37926</c:v>
                </c:pt>
                <c:pt idx="131">
                  <c:v>37956</c:v>
                </c:pt>
                <c:pt idx="132">
                  <c:v>37987</c:v>
                </c:pt>
                <c:pt idx="133">
                  <c:v>38018</c:v>
                </c:pt>
                <c:pt idx="134">
                  <c:v>38047</c:v>
                </c:pt>
                <c:pt idx="135">
                  <c:v>38078</c:v>
                </c:pt>
                <c:pt idx="136">
                  <c:v>38108</c:v>
                </c:pt>
                <c:pt idx="137">
                  <c:v>38139</c:v>
                </c:pt>
                <c:pt idx="138">
                  <c:v>38169</c:v>
                </c:pt>
                <c:pt idx="139">
                  <c:v>38200</c:v>
                </c:pt>
                <c:pt idx="140">
                  <c:v>38231</c:v>
                </c:pt>
                <c:pt idx="141">
                  <c:v>38261</c:v>
                </c:pt>
                <c:pt idx="142">
                  <c:v>38292</c:v>
                </c:pt>
                <c:pt idx="143">
                  <c:v>38322</c:v>
                </c:pt>
                <c:pt idx="144">
                  <c:v>38353</c:v>
                </c:pt>
                <c:pt idx="145">
                  <c:v>38384</c:v>
                </c:pt>
                <c:pt idx="146">
                  <c:v>38412</c:v>
                </c:pt>
                <c:pt idx="147">
                  <c:v>38443</c:v>
                </c:pt>
                <c:pt idx="148">
                  <c:v>38473</c:v>
                </c:pt>
                <c:pt idx="149">
                  <c:v>38504</c:v>
                </c:pt>
                <c:pt idx="150">
                  <c:v>38534</c:v>
                </c:pt>
                <c:pt idx="151">
                  <c:v>38565</c:v>
                </c:pt>
                <c:pt idx="152">
                  <c:v>38596</c:v>
                </c:pt>
                <c:pt idx="153">
                  <c:v>38626</c:v>
                </c:pt>
                <c:pt idx="154">
                  <c:v>38657</c:v>
                </c:pt>
                <c:pt idx="155">
                  <c:v>38687</c:v>
                </c:pt>
                <c:pt idx="156">
                  <c:v>38718</c:v>
                </c:pt>
                <c:pt idx="157">
                  <c:v>38749</c:v>
                </c:pt>
                <c:pt idx="158">
                  <c:v>38777</c:v>
                </c:pt>
                <c:pt idx="159">
                  <c:v>38808</c:v>
                </c:pt>
                <c:pt idx="160">
                  <c:v>38838</c:v>
                </c:pt>
                <c:pt idx="161">
                  <c:v>38869</c:v>
                </c:pt>
                <c:pt idx="162">
                  <c:v>38899</c:v>
                </c:pt>
                <c:pt idx="163">
                  <c:v>38930</c:v>
                </c:pt>
                <c:pt idx="164">
                  <c:v>38961</c:v>
                </c:pt>
                <c:pt idx="165">
                  <c:v>38991</c:v>
                </c:pt>
                <c:pt idx="166">
                  <c:v>39022</c:v>
                </c:pt>
                <c:pt idx="167">
                  <c:v>39052</c:v>
                </c:pt>
                <c:pt idx="168">
                  <c:v>39083</c:v>
                </c:pt>
                <c:pt idx="169">
                  <c:v>39114</c:v>
                </c:pt>
                <c:pt idx="170">
                  <c:v>39142</c:v>
                </c:pt>
                <c:pt idx="171">
                  <c:v>39173</c:v>
                </c:pt>
                <c:pt idx="172">
                  <c:v>39203</c:v>
                </c:pt>
                <c:pt idx="173">
                  <c:v>39234</c:v>
                </c:pt>
                <c:pt idx="174">
                  <c:v>39264</c:v>
                </c:pt>
                <c:pt idx="175">
                  <c:v>39295</c:v>
                </c:pt>
                <c:pt idx="176">
                  <c:v>39326</c:v>
                </c:pt>
                <c:pt idx="177">
                  <c:v>39356</c:v>
                </c:pt>
                <c:pt idx="178">
                  <c:v>39387</c:v>
                </c:pt>
                <c:pt idx="179">
                  <c:v>39417</c:v>
                </c:pt>
                <c:pt idx="180">
                  <c:v>39448</c:v>
                </c:pt>
                <c:pt idx="181">
                  <c:v>39479</c:v>
                </c:pt>
                <c:pt idx="182">
                  <c:v>39508</c:v>
                </c:pt>
                <c:pt idx="183">
                  <c:v>39539</c:v>
                </c:pt>
                <c:pt idx="184">
                  <c:v>39569</c:v>
                </c:pt>
                <c:pt idx="185">
                  <c:v>39600</c:v>
                </c:pt>
                <c:pt idx="186">
                  <c:v>39630</c:v>
                </c:pt>
                <c:pt idx="187">
                  <c:v>39661</c:v>
                </c:pt>
                <c:pt idx="188">
                  <c:v>39692</c:v>
                </c:pt>
                <c:pt idx="189">
                  <c:v>39722</c:v>
                </c:pt>
                <c:pt idx="190">
                  <c:v>39753</c:v>
                </c:pt>
                <c:pt idx="191">
                  <c:v>39783</c:v>
                </c:pt>
                <c:pt idx="192">
                  <c:v>39814</c:v>
                </c:pt>
                <c:pt idx="193">
                  <c:v>39845</c:v>
                </c:pt>
                <c:pt idx="194">
                  <c:v>39873</c:v>
                </c:pt>
                <c:pt idx="195">
                  <c:v>39904</c:v>
                </c:pt>
                <c:pt idx="196">
                  <c:v>39934</c:v>
                </c:pt>
                <c:pt idx="197">
                  <c:v>39965</c:v>
                </c:pt>
                <c:pt idx="198">
                  <c:v>39995</c:v>
                </c:pt>
                <c:pt idx="199">
                  <c:v>40026</c:v>
                </c:pt>
                <c:pt idx="200">
                  <c:v>40057</c:v>
                </c:pt>
                <c:pt idx="201">
                  <c:v>40087</c:v>
                </c:pt>
                <c:pt idx="202">
                  <c:v>40118</c:v>
                </c:pt>
                <c:pt idx="203">
                  <c:v>40148</c:v>
                </c:pt>
                <c:pt idx="204">
                  <c:v>40179</c:v>
                </c:pt>
                <c:pt idx="205">
                  <c:v>40210</c:v>
                </c:pt>
                <c:pt idx="206">
                  <c:v>40238</c:v>
                </c:pt>
                <c:pt idx="207">
                  <c:v>40269</c:v>
                </c:pt>
                <c:pt idx="208">
                  <c:v>40299</c:v>
                </c:pt>
                <c:pt idx="209">
                  <c:v>40330</c:v>
                </c:pt>
                <c:pt idx="210">
                  <c:v>40360</c:v>
                </c:pt>
                <c:pt idx="211">
                  <c:v>40391</c:v>
                </c:pt>
                <c:pt idx="212">
                  <c:v>40422</c:v>
                </c:pt>
                <c:pt idx="213">
                  <c:v>40452</c:v>
                </c:pt>
                <c:pt idx="214">
                  <c:v>40483</c:v>
                </c:pt>
                <c:pt idx="215">
                  <c:v>40513</c:v>
                </c:pt>
                <c:pt idx="216">
                  <c:v>40544</c:v>
                </c:pt>
                <c:pt idx="217">
                  <c:v>40575</c:v>
                </c:pt>
                <c:pt idx="218">
                  <c:v>40603</c:v>
                </c:pt>
                <c:pt idx="219">
                  <c:v>40634</c:v>
                </c:pt>
                <c:pt idx="220">
                  <c:v>40664</c:v>
                </c:pt>
                <c:pt idx="221">
                  <c:v>40695</c:v>
                </c:pt>
                <c:pt idx="222">
                  <c:v>40725</c:v>
                </c:pt>
                <c:pt idx="223">
                  <c:v>40756</c:v>
                </c:pt>
                <c:pt idx="224">
                  <c:v>40787</c:v>
                </c:pt>
                <c:pt idx="225">
                  <c:v>40817</c:v>
                </c:pt>
                <c:pt idx="226">
                  <c:v>40848</c:v>
                </c:pt>
                <c:pt idx="227">
                  <c:v>40878</c:v>
                </c:pt>
                <c:pt idx="228">
                  <c:v>40909</c:v>
                </c:pt>
                <c:pt idx="229">
                  <c:v>40940</c:v>
                </c:pt>
                <c:pt idx="230">
                  <c:v>40969</c:v>
                </c:pt>
                <c:pt idx="231">
                  <c:v>41000</c:v>
                </c:pt>
                <c:pt idx="232">
                  <c:v>41030</c:v>
                </c:pt>
                <c:pt idx="233">
                  <c:v>41061</c:v>
                </c:pt>
                <c:pt idx="234">
                  <c:v>41091</c:v>
                </c:pt>
                <c:pt idx="235">
                  <c:v>41122</c:v>
                </c:pt>
                <c:pt idx="236">
                  <c:v>41153</c:v>
                </c:pt>
                <c:pt idx="237">
                  <c:v>41183</c:v>
                </c:pt>
                <c:pt idx="238">
                  <c:v>41214</c:v>
                </c:pt>
                <c:pt idx="239">
                  <c:v>41244</c:v>
                </c:pt>
                <c:pt idx="240">
                  <c:v>41275</c:v>
                </c:pt>
                <c:pt idx="241">
                  <c:v>41306</c:v>
                </c:pt>
                <c:pt idx="242">
                  <c:v>41334</c:v>
                </c:pt>
                <c:pt idx="243">
                  <c:v>41365</c:v>
                </c:pt>
                <c:pt idx="244">
                  <c:v>41395</c:v>
                </c:pt>
                <c:pt idx="245">
                  <c:v>41426</c:v>
                </c:pt>
                <c:pt idx="246">
                  <c:v>41456</c:v>
                </c:pt>
                <c:pt idx="247">
                  <c:v>41487</c:v>
                </c:pt>
                <c:pt idx="248">
                  <c:v>41518</c:v>
                </c:pt>
                <c:pt idx="249">
                  <c:v>41548</c:v>
                </c:pt>
                <c:pt idx="250">
                  <c:v>41579</c:v>
                </c:pt>
                <c:pt idx="251">
                  <c:v>41609</c:v>
                </c:pt>
                <c:pt idx="252">
                  <c:v>41640</c:v>
                </c:pt>
                <c:pt idx="253">
                  <c:v>41671</c:v>
                </c:pt>
                <c:pt idx="254">
                  <c:v>41699</c:v>
                </c:pt>
                <c:pt idx="255">
                  <c:v>41730</c:v>
                </c:pt>
                <c:pt idx="256">
                  <c:v>41760</c:v>
                </c:pt>
                <c:pt idx="257">
                  <c:v>41791</c:v>
                </c:pt>
                <c:pt idx="258">
                  <c:v>41821</c:v>
                </c:pt>
                <c:pt idx="259">
                  <c:v>41852</c:v>
                </c:pt>
                <c:pt idx="260">
                  <c:v>41883</c:v>
                </c:pt>
                <c:pt idx="261">
                  <c:v>41913</c:v>
                </c:pt>
                <c:pt idx="262">
                  <c:v>41944</c:v>
                </c:pt>
                <c:pt idx="263">
                  <c:v>41974</c:v>
                </c:pt>
                <c:pt idx="264">
                  <c:v>42005</c:v>
                </c:pt>
                <c:pt idx="265">
                  <c:v>42036</c:v>
                </c:pt>
                <c:pt idx="266">
                  <c:v>42064</c:v>
                </c:pt>
                <c:pt idx="267">
                  <c:v>42095</c:v>
                </c:pt>
                <c:pt idx="268">
                  <c:v>42125</c:v>
                </c:pt>
                <c:pt idx="269">
                  <c:v>42156</c:v>
                </c:pt>
                <c:pt idx="270">
                  <c:v>42186</c:v>
                </c:pt>
                <c:pt idx="271">
                  <c:v>42217</c:v>
                </c:pt>
                <c:pt idx="272">
                  <c:v>42248</c:v>
                </c:pt>
                <c:pt idx="273">
                  <c:v>42278</c:v>
                </c:pt>
                <c:pt idx="274">
                  <c:v>42309</c:v>
                </c:pt>
                <c:pt idx="275">
                  <c:v>42339</c:v>
                </c:pt>
                <c:pt idx="276">
                  <c:v>42370</c:v>
                </c:pt>
                <c:pt idx="277">
                  <c:v>42401</c:v>
                </c:pt>
                <c:pt idx="278">
                  <c:v>42430</c:v>
                </c:pt>
                <c:pt idx="279">
                  <c:v>42461</c:v>
                </c:pt>
                <c:pt idx="280">
                  <c:v>42491</c:v>
                </c:pt>
                <c:pt idx="281">
                  <c:v>42522</c:v>
                </c:pt>
                <c:pt idx="282">
                  <c:v>42552</c:v>
                </c:pt>
                <c:pt idx="283">
                  <c:v>42583</c:v>
                </c:pt>
                <c:pt idx="284">
                  <c:v>42614</c:v>
                </c:pt>
                <c:pt idx="285">
                  <c:v>42644</c:v>
                </c:pt>
                <c:pt idx="286">
                  <c:v>42675</c:v>
                </c:pt>
                <c:pt idx="287">
                  <c:v>42705</c:v>
                </c:pt>
                <c:pt idx="288">
                  <c:v>42736</c:v>
                </c:pt>
                <c:pt idx="289">
                  <c:v>42767</c:v>
                </c:pt>
                <c:pt idx="290">
                  <c:v>42795</c:v>
                </c:pt>
                <c:pt idx="291">
                  <c:v>42826</c:v>
                </c:pt>
                <c:pt idx="292">
                  <c:v>42856</c:v>
                </c:pt>
                <c:pt idx="293">
                  <c:v>42887</c:v>
                </c:pt>
                <c:pt idx="294">
                  <c:v>42917</c:v>
                </c:pt>
                <c:pt idx="295">
                  <c:v>42948</c:v>
                </c:pt>
                <c:pt idx="296">
                  <c:v>42979</c:v>
                </c:pt>
                <c:pt idx="297">
                  <c:v>43009</c:v>
                </c:pt>
                <c:pt idx="298">
                  <c:v>43040</c:v>
                </c:pt>
                <c:pt idx="299">
                  <c:v>43070</c:v>
                </c:pt>
                <c:pt idx="300">
                  <c:v>43101</c:v>
                </c:pt>
                <c:pt idx="301">
                  <c:v>43132</c:v>
                </c:pt>
                <c:pt idx="302">
                  <c:v>43160</c:v>
                </c:pt>
                <c:pt idx="303">
                  <c:v>43191</c:v>
                </c:pt>
                <c:pt idx="304">
                  <c:v>43221</c:v>
                </c:pt>
                <c:pt idx="305">
                  <c:v>43252</c:v>
                </c:pt>
                <c:pt idx="306">
                  <c:v>43282</c:v>
                </c:pt>
                <c:pt idx="307">
                  <c:v>43313</c:v>
                </c:pt>
                <c:pt idx="308">
                  <c:v>43344</c:v>
                </c:pt>
                <c:pt idx="309">
                  <c:v>43374</c:v>
                </c:pt>
                <c:pt idx="310">
                  <c:v>43405</c:v>
                </c:pt>
                <c:pt idx="311">
                  <c:v>43435</c:v>
                </c:pt>
                <c:pt idx="312">
                  <c:v>43466</c:v>
                </c:pt>
                <c:pt idx="313">
                  <c:v>43497</c:v>
                </c:pt>
                <c:pt idx="314">
                  <c:v>43525</c:v>
                </c:pt>
                <c:pt idx="315">
                  <c:v>43556</c:v>
                </c:pt>
                <c:pt idx="316">
                  <c:v>43586</c:v>
                </c:pt>
                <c:pt idx="317">
                  <c:v>43617</c:v>
                </c:pt>
                <c:pt idx="318">
                  <c:v>43647</c:v>
                </c:pt>
                <c:pt idx="319">
                  <c:v>43678</c:v>
                </c:pt>
                <c:pt idx="320">
                  <c:v>43709</c:v>
                </c:pt>
                <c:pt idx="321">
                  <c:v>43739</c:v>
                </c:pt>
                <c:pt idx="322">
                  <c:v>43770</c:v>
                </c:pt>
                <c:pt idx="323">
                  <c:v>43800</c:v>
                </c:pt>
                <c:pt idx="324">
                  <c:v>43831</c:v>
                </c:pt>
                <c:pt idx="325">
                  <c:v>43862</c:v>
                </c:pt>
                <c:pt idx="326">
                  <c:v>43891</c:v>
                </c:pt>
                <c:pt idx="327">
                  <c:v>43922</c:v>
                </c:pt>
                <c:pt idx="328">
                  <c:v>43952</c:v>
                </c:pt>
                <c:pt idx="329">
                  <c:v>43983</c:v>
                </c:pt>
                <c:pt idx="330">
                  <c:v>44013</c:v>
                </c:pt>
                <c:pt idx="331">
                  <c:v>44044</c:v>
                </c:pt>
                <c:pt idx="332">
                  <c:v>44075</c:v>
                </c:pt>
                <c:pt idx="333">
                  <c:v>44105</c:v>
                </c:pt>
                <c:pt idx="334">
                  <c:v>44136</c:v>
                </c:pt>
                <c:pt idx="335">
                  <c:v>44166</c:v>
                </c:pt>
                <c:pt idx="336">
                  <c:v>44197</c:v>
                </c:pt>
                <c:pt idx="337">
                  <c:v>44228</c:v>
                </c:pt>
                <c:pt idx="338">
                  <c:v>44256</c:v>
                </c:pt>
                <c:pt idx="339">
                  <c:v>44287</c:v>
                </c:pt>
                <c:pt idx="340">
                  <c:v>44317</c:v>
                </c:pt>
                <c:pt idx="341">
                  <c:v>44348</c:v>
                </c:pt>
                <c:pt idx="342">
                  <c:v>44378</c:v>
                </c:pt>
                <c:pt idx="343">
                  <c:v>44409</c:v>
                </c:pt>
                <c:pt idx="344">
                  <c:v>44440</c:v>
                </c:pt>
                <c:pt idx="345">
                  <c:v>44470</c:v>
                </c:pt>
                <c:pt idx="346">
                  <c:v>44501</c:v>
                </c:pt>
                <c:pt idx="347">
                  <c:v>44531</c:v>
                </c:pt>
                <c:pt idx="348">
                  <c:v>44562</c:v>
                </c:pt>
                <c:pt idx="349">
                  <c:v>44593</c:v>
                </c:pt>
                <c:pt idx="350">
                  <c:v>44621</c:v>
                </c:pt>
                <c:pt idx="351">
                  <c:v>44652</c:v>
                </c:pt>
                <c:pt idx="352">
                  <c:v>44682</c:v>
                </c:pt>
                <c:pt idx="353">
                  <c:v>44713</c:v>
                </c:pt>
                <c:pt idx="354">
                  <c:v>44743</c:v>
                </c:pt>
                <c:pt idx="355">
                  <c:v>44774</c:v>
                </c:pt>
                <c:pt idx="356">
                  <c:v>44805</c:v>
                </c:pt>
                <c:pt idx="357">
                  <c:v>44835</c:v>
                </c:pt>
                <c:pt idx="358">
                  <c:v>44866</c:v>
                </c:pt>
                <c:pt idx="359">
                  <c:v>44896</c:v>
                </c:pt>
              </c:numCache>
            </c:numRef>
          </c:cat>
          <c:val>
            <c:numRef>
              <c:f>'14. PRM'!$B$2:$B$361</c:f>
              <c:numCache>
                <c:formatCode>0.00%</c:formatCode>
                <c:ptCount val="360"/>
                <c:pt idx="0">
                  <c:v>7.3389109056215984E-2</c:v>
                </c:pt>
                <c:pt idx="1">
                  <c:v>7.4339714078022867E-2</c:v>
                </c:pt>
                <c:pt idx="2">
                  <c:v>0.11885357576358091</c:v>
                </c:pt>
                <c:pt idx="3">
                  <c:v>6.082660561513431E-2</c:v>
                </c:pt>
                <c:pt idx="4">
                  <c:v>8.3881064162754315E-2</c:v>
                </c:pt>
                <c:pt idx="5">
                  <c:v>0.10386142010094579</c:v>
                </c:pt>
                <c:pt idx="6">
                  <c:v>5.638716673345745E-2</c:v>
                </c:pt>
                <c:pt idx="7">
                  <c:v>0.11962901239040646</c:v>
                </c:pt>
                <c:pt idx="8">
                  <c:v>9.8444231689803763E-2</c:v>
                </c:pt>
                <c:pt idx="9">
                  <c:v>0.11739275819241413</c:v>
                </c:pt>
                <c:pt idx="10">
                  <c:v>7.0569143387040567E-2</c:v>
                </c:pt>
                <c:pt idx="11">
                  <c:v>7.0551513621445405E-2</c:v>
                </c:pt>
                <c:pt idx="12">
                  <c:v>9.7611559323579122E-2</c:v>
                </c:pt>
                <c:pt idx="13">
                  <c:v>5.3588344084081418E-2</c:v>
                </c:pt>
                <c:pt idx="14">
                  <c:v>-1.3062634224101699E-2</c:v>
                </c:pt>
                <c:pt idx="15">
                  <c:v>2.4353120243531201E-2</c:v>
                </c:pt>
                <c:pt idx="16">
                  <c:v>1.4016304227104204E-2</c:v>
                </c:pt>
                <c:pt idx="17">
                  <c:v>-1.3894746187823159E-2</c:v>
                </c:pt>
                <c:pt idx="18">
                  <c:v>2.2605047642425102E-2</c:v>
                </c:pt>
                <c:pt idx="19">
                  <c:v>2.5735611355595767E-2</c:v>
                </c:pt>
                <c:pt idx="20">
                  <c:v>8.2365502364194487E-3</c:v>
                </c:pt>
                <c:pt idx="21">
                  <c:v>9.6616292242910351E-3</c:v>
                </c:pt>
                <c:pt idx="22">
                  <c:v>-1.7540440459949402E-2</c:v>
                </c:pt>
                <c:pt idx="23">
                  <c:v>-1.5392860971165212E-2</c:v>
                </c:pt>
                <c:pt idx="24">
                  <c:v>-2.3234567388550897E-2</c:v>
                </c:pt>
                <c:pt idx="25">
                  <c:v>4.3348888984030554E-2</c:v>
                </c:pt>
                <c:pt idx="26">
                  <c:v>0.12324741458599719</c:v>
                </c:pt>
                <c:pt idx="27">
                  <c:v>0.14149165021844712</c:v>
                </c:pt>
                <c:pt idx="28">
                  <c:v>0.16845564074479724</c:v>
                </c:pt>
                <c:pt idx="29">
                  <c:v>0.22616877124271273</c:v>
                </c:pt>
                <c:pt idx="30">
                  <c:v>0.22650896870772042</c:v>
                </c:pt>
                <c:pt idx="31">
                  <c:v>0.18168626048917957</c:v>
                </c:pt>
                <c:pt idx="32">
                  <c:v>0.26301571178491923</c:v>
                </c:pt>
                <c:pt idx="33">
                  <c:v>0.23107864930665811</c:v>
                </c:pt>
                <c:pt idx="34">
                  <c:v>0.33432520002644983</c:v>
                </c:pt>
                <c:pt idx="35">
                  <c:v>0.34110653863740281</c:v>
                </c:pt>
                <c:pt idx="36">
                  <c:v>0.35202584924110369</c:v>
                </c:pt>
                <c:pt idx="37">
                  <c:v>0.31399905619729584</c:v>
                </c:pt>
                <c:pt idx="38">
                  <c:v>0.28916937948113675</c:v>
                </c:pt>
                <c:pt idx="39">
                  <c:v>0.27094868955334062</c:v>
                </c:pt>
                <c:pt idx="40">
                  <c:v>0.25444319460067488</c:v>
                </c:pt>
                <c:pt idx="41">
                  <c:v>0.2310784763653051</c:v>
                </c:pt>
                <c:pt idx="42">
                  <c:v>0.13857951108422606</c:v>
                </c:pt>
                <c:pt idx="43">
                  <c:v>0.16037232149213354</c:v>
                </c:pt>
                <c:pt idx="44">
                  <c:v>0.17610923837716674</c:v>
                </c:pt>
                <c:pt idx="45">
                  <c:v>0.21284608770421332</c:v>
                </c:pt>
                <c:pt idx="46">
                  <c:v>0.25050795381337032</c:v>
                </c:pt>
                <c:pt idx="47">
                  <c:v>0.20263666325718832</c:v>
                </c:pt>
                <c:pt idx="48">
                  <c:v>0.23606175906418025</c:v>
                </c:pt>
                <c:pt idx="49">
                  <c:v>0.23482660087753549</c:v>
                </c:pt>
                <c:pt idx="50">
                  <c:v>0.17292021688613479</c:v>
                </c:pt>
                <c:pt idx="51">
                  <c:v>0.22497210205298335</c:v>
                </c:pt>
                <c:pt idx="52">
                  <c:v>0.26775466284074612</c:v>
                </c:pt>
                <c:pt idx="53">
                  <c:v>0.31986341201556745</c:v>
                </c:pt>
                <c:pt idx="54">
                  <c:v>0.49122587702164222</c:v>
                </c:pt>
                <c:pt idx="55">
                  <c:v>0.37957637387076493</c:v>
                </c:pt>
                <c:pt idx="56">
                  <c:v>0.37820261009995182</c:v>
                </c:pt>
                <c:pt idx="57">
                  <c:v>0.29683667248004308</c:v>
                </c:pt>
                <c:pt idx="58">
                  <c:v>0.262053842699004</c:v>
                </c:pt>
                <c:pt idx="59">
                  <c:v>0.31008181008180991</c:v>
                </c:pt>
                <c:pt idx="60">
                  <c:v>0.24692174620942309</c:v>
                </c:pt>
                <c:pt idx="61">
                  <c:v>0.32690119116866012</c:v>
                </c:pt>
                <c:pt idx="62">
                  <c:v>0.45518543956043955</c:v>
                </c:pt>
                <c:pt idx="63">
                  <c:v>0.38736366585968507</c:v>
                </c:pt>
                <c:pt idx="64">
                  <c:v>0.28591974348092597</c:v>
                </c:pt>
                <c:pt idx="65">
                  <c:v>0.28097250152518249</c:v>
                </c:pt>
                <c:pt idx="66">
                  <c:v>0.17432490490511476</c:v>
                </c:pt>
                <c:pt idx="67">
                  <c:v>6.4271181918240661E-2</c:v>
                </c:pt>
                <c:pt idx="68">
                  <c:v>7.36107592264168E-2</c:v>
                </c:pt>
                <c:pt idx="69">
                  <c:v>0.20123111237453806</c:v>
                </c:pt>
                <c:pt idx="70">
                  <c:v>0.21795059660875049</c:v>
                </c:pt>
                <c:pt idx="71">
                  <c:v>0.26668590212586185</c:v>
                </c:pt>
                <c:pt idx="72">
                  <c:v>0.305382135716326</c:v>
                </c:pt>
                <c:pt idx="73">
                  <c:v>0.18010368422055767</c:v>
                </c:pt>
                <c:pt idx="74">
                  <c:v>0.16756977535738593</c:v>
                </c:pt>
                <c:pt idx="75">
                  <c:v>0.20097144142118295</c:v>
                </c:pt>
                <c:pt idx="76">
                  <c:v>0.19345079848187607</c:v>
                </c:pt>
                <c:pt idx="77">
                  <c:v>0.21067346362802519</c:v>
                </c:pt>
                <c:pt idx="78">
                  <c:v>0.18564787136266703</c:v>
                </c:pt>
                <c:pt idx="79">
                  <c:v>0.37933519973257579</c:v>
                </c:pt>
                <c:pt idx="80">
                  <c:v>0.26125603484724835</c:v>
                </c:pt>
                <c:pt idx="81">
                  <c:v>0.24052718286655672</c:v>
                </c:pt>
                <c:pt idx="82">
                  <c:v>0.19360105875578992</c:v>
                </c:pt>
                <c:pt idx="83">
                  <c:v>0.19526044759727634</c:v>
                </c:pt>
                <c:pt idx="84">
                  <c:v>8.9728361101559795E-2</c:v>
                </c:pt>
                <c:pt idx="85">
                  <c:v>0.10343769431411665</c:v>
                </c:pt>
                <c:pt idx="86">
                  <c:v>0.16496808849708877</c:v>
                </c:pt>
                <c:pt idx="87">
                  <c:v>8.7815875013106837E-2</c:v>
                </c:pt>
                <c:pt idx="88">
                  <c:v>9.1224728077182959E-2</c:v>
                </c:pt>
                <c:pt idx="89">
                  <c:v>5.9655717522273388E-2</c:v>
                </c:pt>
                <c:pt idx="90">
                  <c:v>7.6848395448250839E-2</c:v>
                </c:pt>
                <c:pt idx="91">
                  <c:v>0.14940056497603016</c:v>
                </c:pt>
                <c:pt idx="92">
                  <c:v>0.11990239414988579</c:v>
                </c:pt>
                <c:pt idx="93">
                  <c:v>4.8769929490142472E-2</c:v>
                </c:pt>
                <c:pt idx="94">
                  <c:v>-5.3250390594063002E-2</c:v>
                </c:pt>
                <c:pt idx="95">
                  <c:v>-0.10139186659860477</c:v>
                </c:pt>
                <c:pt idx="96">
                  <c:v>-2.0402162844398553E-2</c:v>
                </c:pt>
                <c:pt idx="97">
                  <c:v>-9.2563047964754674E-2</c:v>
                </c:pt>
                <c:pt idx="98">
                  <c:v>-0.22571367561291356</c:v>
                </c:pt>
                <c:pt idx="99">
                  <c:v>-0.13974511680425217</c:v>
                </c:pt>
                <c:pt idx="100">
                  <c:v>-0.11599324229198926</c:v>
                </c:pt>
                <c:pt idx="101">
                  <c:v>-0.15827031486319254</c:v>
                </c:pt>
                <c:pt idx="102">
                  <c:v>-0.15347735230600412</c:v>
                </c:pt>
                <c:pt idx="103">
                  <c:v>-0.25308365399820787</c:v>
                </c:pt>
                <c:pt idx="104">
                  <c:v>-0.27536877571336082</c:v>
                </c:pt>
                <c:pt idx="105">
                  <c:v>-0.25858402126766478</c:v>
                </c:pt>
                <c:pt idx="106">
                  <c:v>-0.13346515076618881</c:v>
                </c:pt>
                <c:pt idx="107">
                  <c:v>-0.1304268791468477</c:v>
                </c:pt>
                <c:pt idx="108">
                  <c:v>-0.17262684753405899</c:v>
                </c:pt>
                <c:pt idx="109">
                  <c:v>-0.1074326177073085</c:v>
                </c:pt>
                <c:pt idx="110">
                  <c:v>-1.115199986210802E-2</c:v>
                </c:pt>
                <c:pt idx="111">
                  <c:v>-0.13809165559521708</c:v>
                </c:pt>
                <c:pt idx="112">
                  <c:v>-0.15024446178592465</c:v>
                </c:pt>
                <c:pt idx="113">
                  <c:v>-0.1915745111811693</c:v>
                </c:pt>
                <c:pt idx="114">
                  <c:v>-0.24736012152935449</c:v>
                </c:pt>
                <c:pt idx="115">
                  <c:v>-0.1918788263730834</c:v>
                </c:pt>
                <c:pt idx="116">
                  <c:v>-0.21678482909677799</c:v>
                </c:pt>
                <c:pt idx="117">
                  <c:v>-0.1642038913736813</c:v>
                </c:pt>
                <c:pt idx="118">
                  <c:v>-0.17827899425161275</c:v>
                </c:pt>
                <c:pt idx="119">
                  <c:v>-0.23365967528395226</c:v>
                </c:pt>
                <c:pt idx="120">
                  <c:v>-0.24287736683772787</c:v>
                </c:pt>
                <c:pt idx="121">
                  <c:v>-0.23996819459127339</c:v>
                </c:pt>
                <c:pt idx="122">
                  <c:v>-0.26077445332450178</c:v>
                </c:pt>
                <c:pt idx="123">
                  <c:v>-0.14857185306243736</c:v>
                </c:pt>
                <c:pt idx="124">
                  <c:v>-9.7035065689600297E-2</c:v>
                </c:pt>
                <c:pt idx="125">
                  <c:v>-1.5477561576852428E-2</c:v>
                </c:pt>
                <c:pt idx="126">
                  <c:v>8.9620675281367301E-2</c:v>
                </c:pt>
                <c:pt idx="127">
                  <c:v>0.100363509338806</c:v>
                </c:pt>
                <c:pt idx="128">
                  <c:v>0.22162937886370337</c:v>
                </c:pt>
                <c:pt idx="129">
                  <c:v>0.18622425939306364</c:v>
                </c:pt>
                <c:pt idx="130">
                  <c:v>0.13018124339161186</c:v>
                </c:pt>
                <c:pt idx="131">
                  <c:v>0.26380395990088878</c:v>
                </c:pt>
                <c:pt idx="132">
                  <c:v>0.32187682599041723</c:v>
                </c:pt>
                <c:pt idx="133">
                  <c:v>0.3611603162337278</c:v>
                </c:pt>
                <c:pt idx="134">
                  <c:v>0.32779598670093635</c:v>
                </c:pt>
                <c:pt idx="135">
                  <c:v>0.20762989137547438</c:v>
                </c:pt>
                <c:pt idx="136">
                  <c:v>0.16302576822092396</c:v>
                </c:pt>
                <c:pt idx="137">
                  <c:v>0.17069266290405327</c:v>
                </c:pt>
                <c:pt idx="138">
                  <c:v>0.10912898159706841</c:v>
                </c:pt>
                <c:pt idx="139">
                  <c:v>9.5465322764655136E-2</c:v>
                </c:pt>
                <c:pt idx="140">
                  <c:v>0.11908993242768351</c:v>
                </c:pt>
                <c:pt idx="141">
                  <c:v>7.5653605657127088E-2</c:v>
                </c:pt>
                <c:pt idx="142">
                  <c:v>0.10926100926100912</c:v>
                </c:pt>
                <c:pt idx="143">
                  <c:v>8.9934527663860786E-2</c:v>
                </c:pt>
                <c:pt idx="144">
                  <c:v>4.4327354061867164E-2</c:v>
                </c:pt>
                <c:pt idx="145">
                  <c:v>5.1234125805718955E-2</c:v>
                </c:pt>
                <c:pt idx="146">
                  <c:v>4.828584367036326E-2</c:v>
                </c:pt>
                <c:pt idx="147">
                  <c:v>4.4748487311478291E-2</c:v>
                </c:pt>
                <c:pt idx="148">
                  <c:v>6.3193775207909475E-2</c:v>
                </c:pt>
                <c:pt idx="149">
                  <c:v>4.4256863363837162E-2</c:v>
                </c:pt>
                <c:pt idx="150">
                  <c:v>0.1202301855280834</c:v>
                </c:pt>
                <c:pt idx="151">
                  <c:v>0.1051311309135694</c:v>
                </c:pt>
                <c:pt idx="152">
                  <c:v>0.10248703547524629</c:v>
                </c:pt>
                <c:pt idx="153">
                  <c:v>6.7961422757034207E-2</c:v>
                </c:pt>
                <c:pt idx="154">
                  <c:v>6.445621986335226E-2</c:v>
                </c:pt>
                <c:pt idx="155">
                  <c:v>3.0010231698461842E-2</c:v>
                </c:pt>
                <c:pt idx="156">
                  <c:v>8.3647260998755524E-2</c:v>
                </c:pt>
                <c:pt idx="157">
                  <c:v>6.4024592888002774E-2</c:v>
                </c:pt>
                <c:pt idx="158">
                  <c:v>9.6765176733667024E-2</c:v>
                </c:pt>
                <c:pt idx="159">
                  <c:v>0.13291265073259284</c:v>
                </c:pt>
                <c:pt idx="160">
                  <c:v>6.5958875367184255E-2</c:v>
                </c:pt>
                <c:pt idx="161">
                  <c:v>6.6203318979627834E-2</c:v>
                </c:pt>
                <c:pt idx="162">
                  <c:v>3.4419614642920759E-2</c:v>
                </c:pt>
                <c:pt idx="163">
                  <c:v>6.8415920283857679E-2</c:v>
                </c:pt>
                <c:pt idx="164">
                  <c:v>8.7108666107860389E-2</c:v>
                </c:pt>
                <c:pt idx="165">
                  <c:v>0.1416144025318764</c:v>
                </c:pt>
                <c:pt idx="166">
                  <c:v>0.12097032365464044</c:v>
                </c:pt>
                <c:pt idx="167">
                  <c:v>0.13619431382130753</c:v>
                </c:pt>
                <c:pt idx="168">
                  <c:v>0.12355477782638591</c:v>
                </c:pt>
                <c:pt idx="169">
                  <c:v>9.8511704902159769E-2</c:v>
                </c:pt>
                <c:pt idx="170">
                  <c:v>9.7333240657074604E-2</c:v>
                </c:pt>
                <c:pt idx="171">
                  <c:v>0.13105347891439867</c:v>
                </c:pt>
                <c:pt idx="172">
                  <c:v>0.20512719571054028</c:v>
                </c:pt>
                <c:pt idx="173">
                  <c:v>0.18355377105967552</c:v>
                </c:pt>
                <c:pt idx="174">
                  <c:v>0.13990412482571712</c:v>
                </c:pt>
                <c:pt idx="175">
                  <c:v>0.1305164823365188</c:v>
                </c:pt>
                <c:pt idx="176">
                  <c:v>0.14290526630984024</c:v>
                </c:pt>
                <c:pt idx="177">
                  <c:v>0.12441760889443665</c:v>
                </c:pt>
                <c:pt idx="178">
                  <c:v>5.748127628281563E-2</c:v>
                </c:pt>
                <c:pt idx="179">
                  <c:v>3.5295776633998521E-2</c:v>
                </c:pt>
                <c:pt idx="180">
                  <c:v>-4.1502113694515508E-2</c:v>
                </c:pt>
                <c:pt idx="181">
                  <c:v>-5.4157603673533061E-2</c:v>
                </c:pt>
                <c:pt idx="182">
                  <c:v>-6.9084920400320882E-2</c:v>
                </c:pt>
                <c:pt idx="183">
                  <c:v>-6.5287343915486629E-2</c:v>
                </c:pt>
                <c:pt idx="184">
                  <c:v>-8.5089702212175267E-2</c:v>
                </c:pt>
                <c:pt idx="185">
                  <c:v>-0.1485681976918215</c:v>
                </c:pt>
                <c:pt idx="186">
                  <c:v>-0.12911006205034103</c:v>
                </c:pt>
                <c:pt idx="187">
                  <c:v>-0.12968880385891357</c:v>
                </c:pt>
                <c:pt idx="188">
                  <c:v>-0.23605043392827907</c:v>
                </c:pt>
                <c:pt idx="189">
                  <c:v>-0.37474989995998409</c:v>
                </c:pt>
                <c:pt idx="190">
                  <c:v>-0.3948985241098073</c:v>
                </c:pt>
                <c:pt idx="191">
                  <c:v>-0.38485793674575708</c:v>
                </c:pt>
                <c:pt idx="192">
                  <c:v>-0.40090674984585251</c:v>
                </c:pt>
                <c:pt idx="193">
                  <c:v>-0.44756243283256802</c:v>
                </c:pt>
                <c:pt idx="194">
                  <c:v>-0.39678687533076284</c:v>
                </c:pt>
                <c:pt idx="195">
                  <c:v>-0.37008061547788307</c:v>
                </c:pt>
                <c:pt idx="196">
                  <c:v>-0.34364958082806096</c:v>
                </c:pt>
                <c:pt idx="197">
                  <c:v>-0.28178124999999998</c:v>
                </c:pt>
                <c:pt idx="198">
                  <c:v>-0.2208493111773896</c:v>
                </c:pt>
                <c:pt idx="199">
                  <c:v>-0.20439964765401486</c:v>
                </c:pt>
                <c:pt idx="200">
                  <c:v>-9.3693199355259105E-2</c:v>
                </c:pt>
                <c:pt idx="201">
                  <c:v>6.961548387096772E-2</c:v>
                </c:pt>
                <c:pt idx="202">
                  <c:v>0.22247389092207448</c:v>
                </c:pt>
                <c:pt idx="203">
                  <c:v>0.23454193191253792</c:v>
                </c:pt>
                <c:pt idx="204">
                  <c:v>0.30027364750326901</c:v>
                </c:pt>
                <c:pt idx="205">
                  <c:v>0.50252350052374539</c:v>
                </c:pt>
                <c:pt idx="206">
                  <c:v>0.4656898993570382</c:v>
                </c:pt>
                <c:pt idx="207">
                  <c:v>0.35962007768013682</c:v>
                </c:pt>
                <c:pt idx="208">
                  <c:v>0.18524925473812481</c:v>
                </c:pt>
                <c:pt idx="209">
                  <c:v>0.12116564417177922</c:v>
                </c:pt>
                <c:pt idx="210">
                  <c:v>0.11556689755741867</c:v>
                </c:pt>
                <c:pt idx="211">
                  <c:v>2.8129960220258265E-2</c:v>
                </c:pt>
                <c:pt idx="212">
                  <c:v>7.9577704620274803E-2</c:v>
                </c:pt>
                <c:pt idx="213">
                  <c:v>0.14193342919734797</c:v>
                </c:pt>
                <c:pt idx="214">
                  <c:v>7.7507917818971483E-2</c:v>
                </c:pt>
                <c:pt idx="215">
                  <c:v>0.12782710070845682</c:v>
                </c:pt>
                <c:pt idx="216">
                  <c:v>0.19764962239377204</c:v>
                </c:pt>
                <c:pt idx="217">
                  <c:v>0.20165868409854326</c:v>
                </c:pt>
                <c:pt idx="218">
                  <c:v>0.133740369239715</c:v>
                </c:pt>
                <c:pt idx="219">
                  <c:v>0.14908695615535628</c:v>
                </c:pt>
                <c:pt idx="220">
                  <c:v>0.23479681662551277</c:v>
                </c:pt>
                <c:pt idx="221">
                  <c:v>0.28129153690174746</c:v>
                </c:pt>
                <c:pt idx="222">
                  <c:v>0.17309368191721131</c:v>
                </c:pt>
                <c:pt idx="223">
                  <c:v>0.16158882334442004</c:v>
                </c:pt>
                <c:pt idx="224">
                  <c:v>-8.5699263932702552E-3</c:v>
                </c:pt>
                <c:pt idx="225">
                  <c:v>5.9192400655815325E-2</c:v>
                </c:pt>
                <c:pt idx="226">
                  <c:v>5.6253441192664511E-2</c:v>
                </c:pt>
                <c:pt idx="227">
                  <c:v>-3.1805604147616684E-5</c:v>
                </c:pt>
                <c:pt idx="228">
                  <c:v>2.0441327403352805E-2</c:v>
                </c:pt>
                <c:pt idx="229">
                  <c:v>2.8977863504166645E-2</c:v>
                </c:pt>
                <c:pt idx="230">
                  <c:v>6.2330766387847625E-2</c:v>
                </c:pt>
                <c:pt idx="231">
                  <c:v>2.515381964051322E-2</c:v>
                </c:pt>
                <c:pt idx="232">
                  <c:v>-2.5921796015462517E-2</c:v>
                </c:pt>
                <c:pt idx="233">
                  <c:v>3.1439302156530236E-2</c:v>
                </c:pt>
                <c:pt idx="234">
                  <c:v>6.7353824248614913E-2</c:v>
                </c:pt>
                <c:pt idx="235">
                  <c:v>0.15398436282191152</c:v>
                </c:pt>
                <c:pt idx="236">
                  <c:v>0.27332909087695101</c:v>
                </c:pt>
                <c:pt idx="237">
                  <c:v>0.12675337110029528</c:v>
                </c:pt>
                <c:pt idx="238">
                  <c:v>0.13570603708218387</c:v>
                </c:pt>
                <c:pt idx="239">
                  <c:v>0.13405693384223927</c:v>
                </c:pt>
                <c:pt idx="240">
                  <c:v>0.14149541682858247</c:v>
                </c:pt>
                <c:pt idx="241">
                  <c:v>0.10910315740144094</c:v>
                </c:pt>
                <c:pt idx="242">
                  <c:v>0.11410963669797725</c:v>
                </c:pt>
                <c:pt idx="243">
                  <c:v>0.14282750677797562</c:v>
                </c:pt>
                <c:pt idx="244">
                  <c:v>0.24452618805949644</c:v>
                </c:pt>
                <c:pt idx="245">
                  <c:v>0.17921536383391068</c:v>
                </c:pt>
                <c:pt idx="246">
                  <c:v>0.22214569498013526</c:v>
                </c:pt>
                <c:pt idx="247">
                  <c:v>0.16095067468611823</c:v>
                </c:pt>
                <c:pt idx="248">
                  <c:v>0.16719998334108421</c:v>
                </c:pt>
                <c:pt idx="249">
                  <c:v>0.24386755041921582</c:v>
                </c:pt>
                <c:pt idx="250">
                  <c:v>0.27512745554943563</c:v>
                </c:pt>
                <c:pt idx="251">
                  <c:v>0.29601245275874866</c:v>
                </c:pt>
                <c:pt idx="252">
                  <c:v>0.18989259800682201</c:v>
                </c:pt>
                <c:pt idx="253">
                  <c:v>0.22761903504370551</c:v>
                </c:pt>
                <c:pt idx="254">
                  <c:v>0.19318884265130398</c:v>
                </c:pt>
                <c:pt idx="255">
                  <c:v>0.17925975074644618</c:v>
                </c:pt>
                <c:pt idx="256">
                  <c:v>0.17956878472349969</c:v>
                </c:pt>
                <c:pt idx="257">
                  <c:v>0.22035386109520139</c:v>
                </c:pt>
                <c:pt idx="258">
                  <c:v>0.14530203532000985</c:v>
                </c:pt>
                <c:pt idx="259">
                  <c:v>0.22682596740907668</c:v>
                </c:pt>
                <c:pt idx="260">
                  <c:v>0.1729000029734471</c:v>
                </c:pt>
                <c:pt idx="261">
                  <c:v>0.14887790770491982</c:v>
                </c:pt>
                <c:pt idx="262">
                  <c:v>0.14494880413775535</c:v>
                </c:pt>
                <c:pt idx="263">
                  <c:v>0.11390638187366098</c:v>
                </c:pt>
                <c:pt idx="264">
                  <c:v>0.11915246916004252</c:v>
                </c:pt>
                <c:pt idx="265">
                  <c:v>0.13178628088951028</c:v>
                </c:pt>
                <c:pt idx="266">
                  <c:v>0.10444150100943195</c:v>
                </c:pt>
                <c:pt idx="267">
                  <c:v>0.10698797738793497</c:v>
                </c:pt>
                <c:pt idx="268">
                  <c:v>9.5561897929370865E-2</c:v>
                </c:pt>
                <c:pt idx="269">
                  <c:v>5.2483637124214999E-2</c:v>
                </c:pt>
                <c:pt idx="270">
                  <c:v>8.9694251218489063E-2</c:v>
                </c:pt>
                <c:pt idx="271">
                  <c:v>-1.5568766628231367E-2</c:v>
                </c:pt>
                <c:pt idx="272">
                  <c:v>-2.6497117563847095E-2</c:v>
                </c:pt>
                <c:pt idx="273">
                  <c:v>3.0380813161219988E-2</c:v>
                </c:pt>
                <c:pt idx="274">
                  <c:v>6.2150554276538816E-3</c:v>
                </c:pt>
                <c:pt idx="275">
                  <c:v>-7.26601583369757E-3</c:v>
                </c:pt>
                <c:pt idx="276">
                  <c:v>-2.7443746585195883E-2</c:v>
                </c:pt>
                <c:pt idx="277">
                  <c:v>-8.1857923497267726E-2</c:v>
                </c:pt>
                <c:pt idx="278">
                  <c:v>-3.9412154418272394E-3</c:v>
                </c:pt>
                <c:pt idx="279">
                  <c:v>-9.690675182569275E-3</c:v>
                </c:pt>
                <c:pt idx="280">
                  <c:v>-4.9492500201669953E-3</c:v>
                </c:pt>
                <c:pt idx="281">
                  <c:v>1.7328208384429278E-2</c:v>
                </c:pt>
                <c:pt idx="282">
                  <c:v>3.3158415088599735E-2</c:v>
                </c:pt>
                <c:pt idx="283">
                  <c:v>0.10078694642476838</c:v>
                </c:pt>
                <c:pt idx="284">
                  <c:v>0.12928964651593988</c:v>
                </c:pt>
                <c:pt idx="285">
                  <c:v>2.250211603570329E-2</c:v>
                </c:pt>
                <c:pt idx="286">
                  <c:v>5.691185872015625E-2</c:v>
                </c:pt>
                <c:pt idx="287">
                  <c:v>9.5350157049619799E-2</c:v>
                </c:pt>
                <c:pt idx="288">
                  <c:v>0.17452995505710622</c:v>
                </c:pt>
                <c:pt idx="289">
                  <c:v>0.22327052162527217</c:v>
                </c:pt>
                <c:pt idx="290">
                  <c:v>0.1470962354471923</c:v>
                </c:pt>
                <c:pt idx="291">
                  <c:v>0.15440856049968499</c:v>
                </c:pt>
                <c:pt idx="292">
                  <c:v>0.15014115672211203</c:v>
                </c:pt>
                <c:pt idx="293">
                  <c:v>0.15463156189550498</c:v>
                </c:pt>
                <c:pt idx="294">
                  <c:v>0.13650165623849841</c:v>
                </c:pt>
                <c:pt idx="295">
                  <c:v>0.13851079020705237</c:v>
                </c:pt>
                <c:pt idx="296">
                  <c:v>0.16192171639140884</c:v>
                </c:pt>
                <c:pt idx="297">
                  <c:v>0.21123156879806237</c:v>
                </c:pt>
                <c:pt idx="298">
                  <c:v>0.20409676143004618</c:v>
                </c:pt>
                <c:pt idx="299">
                  <c:v>0.19419964892376829</c:v>
                </c:pt>
                <c:pt idx="300">
                  <c:v>0.23912728676931994</c:v>
                </c:pt>
                <c:pt idx="301">
                  <c:v>0.14815707975833892</c:v>
                </c:pt>
                <c:pt idx="302">
                  <c:v>0.11772448703189542</c:v>
                </c:pt>
                <c:pt idx="303">
                  <c:v>0.11066605150574627</c:v>
                </c:pt>
                <c:pt idx="304">
                  <c:v>0.12168090223069905</c:v>
                </c:pt>
                <c:pt idx="305">
                  <c:v>0.12171279313034122</c:v>
                </c:pt>
                <c:pt idx="306">
                  <c:v>0.14005991175160903</c:v>
                </c:pt>
                <c:pt idx="307">
                  <c:v>0.17392025569963376</c:v>
                </c:pt>
                <c:pt idx="308">
                  <c:v>0.1566350184173757</c:v>
                </c:pt>
                <c:pt idx="309">
                  <c:v>5.2996590635508545E-2</c:v>
                </c:pt>
                <c:pt idx="310">
                  <c:v>4.2525627176515979E-2</c:v>
                </c:pt>
                <c:pt idx="311">
                  <c:v>-6.2372597349650949E-2</c:v>
                </c:pt>
                <c:pt idx="312">
                  <c:v>-4.2393078854455535E-2</c:v>
                </c:pt>
                <c:pt idx="313">
                  <c:v>2.6037003054723451E-2</c:v>
                </c:pt>
                <c:pt idx="314">
                  <c:v>7.3282668211612112E-2</c:v>
                </c:pt>
                <c:pt idx="315">
                  <c:v>0.11245255943052435</c:v>
                </c:pt>
                <c:pt idx="316">
                  <c:v>1.7295870652467293E-2</c:v>
                </c:pt>
                <c:pt idx="317">
                  <c:v>8.2177922799324676E-2</c:v>
                </c:pt>
                <c:pt idx="318">
                  <c:v>5.8264596330633633E-2</c:v>
                </c:pt>
                <c:pt idx="319">
                  <c:v>8.5954947751523125E-3</c:v>
                </c:pt>
                <c:pt idx="320">
                  <c:v>2.1537553449234359E-2</c:v>
                </c:pt>
                <c:pt idx="321">
                  <c:v>0.12015163695634534</c:v>
                </c:pt>
                <c:pt idx="322">
                  <c:v>0.13796613976675354</c:v>
                </c:pt>
                <c:pt idx="323">
                  <c:v>0.28878074077028959</c:v>
                </c:pt>
                <c:pt idx="324">
                  <c:v>0.19282570910839092</c:v>
                </c:pt>
                <c:pt idx="325">
                  <c:v>6.0955507112613105E-2</c:v>
                </c:pt>
                <c:pt idx="326">
                  <c:v>-8.813505503810326E-2</c:v>
                </c:pt>
                <c:pt idx="327">
                  <c:v>-1.1338060920012438E-2</c:v>
                </c:pt>
                <c:pt idx="328">
                  <c:v>0.10619317892778501</c:v>
                </c:pt>
                <c:pt idx="329">
                  <c:v>5.3889508321548929E-2</c:v>
                </c:pt>
                <c:pt idx="330">
                  <c:v>9.7551318959327338E-2</c:v>
                </c:pt>
                <c:pt idx="331">
                  <c:v>0.19609015670810459</c:v>
                </c:pt>
                <c:pt idx="332">
                  <c:v>0.12975940122415808</c:v>
                </c:pt>
                <c:pt idx="333">
                  <c:v>7.6508776781363919E-2</c:v>
                </c:pt>
                <c:pt idx="334">
                  <c:v>0.15302548886016476</c:v>
                </c:pt>
                <c:pt idx="335">
                  <c:v>0.16258921994069531</c:v>
                </c:pt>
                <c:pt idx="336">
                  <c:v>0.15151665467893549</c:v>
                </c:pt>
                <c:pt idx="337">
                  <c:v>0.29006979845779957</c:v>
                </c:pt>
                <c:pt idx="338">
                  <c:v>0.5371451564851677</c:v>
                </c:pt>
                <c:pt idx="339">
                  <c:v>0.43562935418190318</c:v>
                </c:pt>
                <c:pt idx="340">
                  <c:v>0.38097302837096092</c:v>
                </c:pt>
                <c:pt idx="341">
                  <c:v>0.38616064948762863</c:v>
                </c:pt>
                <c:pt idx="342">
                  <c:v>0.34365599550001225</c:v>
                </c:pt>
                <c:pt idx="343">
                  <c:v>0.2920798443566428</c:v>
                </c:pt>
                <c:pt idx="344">
                  <c:v>0.28086232530478727</c:v>
                </c:pt>
                <c:pt idx="345">
                  <c:v>0.4083903167011218</c:v>
                </c:pt>
                <c:pt idx="346">
                  <c:v>0.26103439611445678</c:v>
                </c:pt>
                <c:pt idx="347">
                  <c:v>0.268927362908572</c:v>
                </c:pt>
                <c:pt idx="348">
                  <c:v>0.21573996295339026</c:v>
                </c:pt>
                <c:pt idx="349">
                  <c:v>0.14762998045209441</c:v>
                </c:pt>
                <c:pt idx="350">
                  <c:v>0.14033109398951393</c:v>
                </c:pt>
                <c:pt idx="351">
                  <c:v>-1.1776607982933007E-2</c:v>
                </c:pt>
                <c:pt idx="352">
                  <c:v>-1.7116583533732466E-2</c:v>
                </c:pt>
                <c:pt idx="353">
                  <c:v>-0.11916695753344964</c:v>
                </c:pt>
                <c:pt idx="354">
                  <c:v>-6.0285398360961584E-2</c:v>
                </c:pt>
                <c:pt idx="355">
                  <c:v>-0.12551849788178693</c:v>
                </c:pt>
                <c:pt idx="356">
                  <c:v>-0.16759449709114715</c:v>
                </c:pt>
                <c:pt idx="357">
                  <c:v>-0.20027011886098434</c:v>
                </c:pt>
                <c:pt idx="358">
                  <c:v>-0.1066104663893146</c:v>
                </c:pt>
                <c:pt idx="359">
                  <c:v>-0.19442824232404154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4-4E3B-8E83-C2777CA39125}"/>
            </c:ext>
          </c:extLst>
        </c:ser>
        <c:ser>
          <c:idx val="1"/>
          <c:order val="1"/>
          <c:tx>
            <c:strRef>
              <c:f>'14. PRM'!$C$1</c:f>
              <c:strCache>
                <c:ptCount val="1"/>
                <c:pt idx="0">
                  <c:v>Rf (US 10Y)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'14. PRM'!$A$2:$A$361</c:f>
              <c:numCache>
                <c:formatCode>mmm\-yy</c:formatCode>
                <c:ptCount val="360"/>
                <c:pt idx="0">
                  <c:v>33970</c:v>
                </c:pt>
                <c:pt idx="1">
                  <c:v>34001</c:v>
                </c:pt>
                <c:pt idx="2">
                  <c:v>34029</c:v>
                </c:pt>
                <c:pt idx="3">
                  <c:v>34060</c:v>
                </c:pt>
                <c:pt idx="4">
                  <c:v>34090</c:v>
                </c:pt>
                <c:pt idx="5">
                  <c:v>34121</c:v>
                </c:pt>
                <c:pt idx="6">
                  <c:v>34151</c:v>
                </c:pt>
                <c:pt idx="7">
                  <c:v>34182</c:v>
                </c:pt>
                <c:pt idx="8">
                  <c:v>34213</c:v>
                </c:pt>
                <c:pt idx="9">
                  <c:v>34243</c:v>
                </c:pt>
                <c:pt idx="10">
                  <c:v>34274</c:v>
                </c:pt>
                <c:pt idx="11">
                  <c:v>34304</c:v>
                </c:pt>
                <c:pt idx="12">
                  <c:v>34335</c:v>
                </c:pt>
                <c:pt idx="13">
                  <c:v>34366</c:v>
                </c:pt>
                <c:pt idx="14">
                  <c:v>34394</c:v>
                </c:pt>
                <c:pt idx="15">
                  <c:v>34425</c:v>
                </c:pt>
                <c:pt idx="16">
                  <c:v>34455</c:v>
                </c:pt>
                <c:pt idx="17">
                  <c:v>34486</c:v>
                </c:pt>
                <c:pt idx="18">
                  <c:v>34516</c:v>
                </c:pt>
                <c:pt idx="19">
                  <c:v>34547</c:v>
                </c:pt>
                <c:pt idx="20">
                  <c:v>34578</c:v>
                </c:pt>
                <c:pt idx="21">
                  <c:v>34608</c:v>
                </c:pt>
                <c:pt idx="22">
                  <c:v>34639</c:v>
                </c:pt>
                <c:pt idx="23">
                  <c:v>34669</c:v>
                </c:pt>
                <c:pt idx="24">
                  <c:v>34700</c:v>
                </c:pt>
                <c:pt idx="25">
                  <c:v>34731</c:v>
                </c:pt>
                <c:pt idx="26">
                  <c:v>34759</c:v>
                </c:pt>
                <c:pt idx="27">
                  <c:v>34790</c:v>
                </c:pt>
                <c:pt idx="28">
                  <c:v>34820</c:v>
                </c:pt>
                <c:pt idx="29">
                  <c:v>34851</c:v>
                </c:pt>
                <c:pt idx="30">
                  <c:v>34881</c:v>
                </c:pt>
                <c:pt idx="31">
                  <c:v>34912</c:v>
                </c:pt>
                <c:pt idx="32">
                  <c:v>34943</c:v>
                </c:pt>
                <c:pt idx="33">
                  <c:v>34973</c:v>
                </c:pt>
                <c:pt idx="34">
                  <c:v>35004</c:v>
                </c:pt>
                <c:pt idx="35">
                  <c:v>35034</c:v>
                </c:pt>
                <c:pt idx="36">
                  <c:v>35065</c:v>
                </c:pt>
                <c:pt idx="37">
                  <c:v>35096</c:v>
                </c:pt>
                <c:pt idx="38">
                  <c:v>35125</c:v>
                </c:pt>
                <c:pt idx="39">
                  <c:v>35156</c:v>
                </c:pt>
                <c:pt idx="40">
                  <c:v>35186</c:v>
                </c:pt>
                <c:pt idx="41">
                  <c:v>35217</c:v>
                </c:pt>
                <c:pt idx="42">
                  <c:v>35247</c:v>
                </c:pt>
                <c:pt idx="43">
                  <c:v>35278</c:v>
                </c:pt>
                <c:pt idx="44">
                  <c:v>35309</c:v>
                </c:pt>
                <c:pt idx="45">
                  <c:v>35339</c:v>
                </c:pt>
                <c:pt idx="46">
                  <c:v>35370</c:v>
                </c:pt>
                <c:pt idx="47">
                  <c:v>35400</c:v>
                </c:pt>
                <c:pt idx="48">
                  <c:v>35431</c:v>
                </c:pt>
                <c:pt idx="49">
                  <c:v>35462</c:v>
                </c:pt>
                <c:pt idx="50">
                  <c:v>35490</c:v>
                </c:pt>
                <c:pt idx="51">
                  <c:v>35521</c:v>
                </c:pt>
                <c:pt idx="52">
                  <c:v>35551</c:v>
                </c:pt>
                <c:pt idx="53">
                  <c:v>35582</c:v>
                </c:pt>
                <c:pt idx="54">
                  <c:v>35612</c:v>
                </c:pt>
                <c:pt idx="55">
                  <c:v>35643</c:v>
                </c:pt>
                <c:pt idx="56">
                  <c:v>35674</c:v>
                </c:pt>
                <c:pt idx="57">
                  <c:v>35704</c:v>
                </c:pt>
                <c:pt idx="58">
                  <c:v>35735</c:v>
                </c:pt>
                <c:pt idx="59">
                  <c:v>35765</c:v>
                </c:pt>
                <c:pt idx="60">
                  <c:v>35796</c:v>
                </c:pt>
                <c:pt idx="61">
                  <c:v>35827</c:v>
                </c:pt>
                <c:pt idx="62">
                  <c:v>35855</c:v>
                </c:pt>
                <c:pt idx="63">
                  <c:v>35886</c:v>
                </c:pt>
                <c:pt idx="64">
                  <c:v>35916</c:v>
                </c:pt>
                <c:pt idx="65">
                  <c:v>35947</c:v>
                </c:pt>
                <c:pt idx="66">
                  <c:v>35977</c:v>
                </c:pt>
                <c:pt idx="67">
                  <c:v>36008</c:v>
                </c:pt>
                <c:pt idx="68">
                  <c:v>36039</c:v>
                </c:pt>
                <c:pt idx="69">
                  <c:v>36069</c:v>
                </c:pt>
                <c:pt idx="70">
                  <c:v>36100</c:v>
                </c:pt>
                <c:pt idx="71">
                  <c:v>36130</c:v>
                </c:pt>
                <c:pt idx="72">
                  <c:v>36161</c:v>
                </c:pt>
                <c:pt idx="73">
                  <c:v>36192</c:v>
                </c:pt>
                <c:pt idx="74">
                  <c:v>36220</c:v>
                </c:pt>
                <c:pt idx="75">
                  <c:v>36251</c:v>
                </c:pt>
                <c:pt idx="76">
                  <c:v>36281</c:v>
                </c:pt>
                <c:pt idx="77">
                  <c:v>36312</c:v>
                </c:pt>
                <c:pt idx="78">
                  <c:v>36342</c:v>
                </c:pt>
                <c:pt idx="79">
                  <c:v>36373</c:v>
                </c:pt>
                <c:pt idx="80">
                  <c:v>36404</c:v>
                </c:pt>
                <c:pt idx="81">
                  <c:v>36434</c:v>
                </c:pt>
                <c:pt idx="82">
                  <c:v>36465</c:v>
                </c:pt>
                <c:pt idx="83">
                  <c:v>36495</c:v>
                </c:pt>
                <c:pt idx="84">
                  <c:v>36526</c:v>
                </c:pt>
                <c:pt idx="85">
                  <c:v>36557</c:v>
                </c:pt>
                <c:pt idx="86">
                  <c:v>36586</c:v>
                </c:pt>
                <c:pt idx="87">
                  <c:v>36617</c:v>
                </c:pt>
                <c:pt idx="88">
                  <c:v>36647</c:v>
                </c:pt>
                <c:pt idx="89">
                  <c:v>36678</c:v>
                </c:pt>
                <c:pt idx="90">
                  <c:v>36708</c:v>
                </c:pt>
                <c:pt idx="91">
                  <c:v>36739</c:v>
                </c:pt>
                <c:pt idx="92">
                  <c:v>36770</c:v>
                </c:pt>
                <c:pt idx="93">
                  <c:v>36800</c:v>
                </c:pt>
                <c:pt idx="94">
                  <c:v>36831</c:v>
                </c:pt>
                <c:pt idx="95">
                  <c:v>36861</c:v>
                </c:pt>
                <c:pt idx="96">
                  <c:v>36892</c:v>
                </c:pt>
                <c:pt idx="97">
                  <c:v>36923</c:v>
                </c:pt>
                <c:pt idx="98">
                  <c:v>36951</c:v>
                </c:pt>
                <c:pt idx="99">
                  <c:v>36982</c:v>
                </c:pt>
                <c:pt idx="100">
                  <c:v>37012</c:v>
                </c:pt>
                <c:pt idx="101">
                  <c:v>37043</c:v>
                </c:pt>
                <c:pt idx="102">
                  <c:v>37073</c:v>
                </c:pt>
                <c:pt idx="103">
                  <c:v>37104</c:v>
                </c:pt>
                <c:pt idx="104">
                  <c:v>37135</c:v>
                </c:pt>
                <c:pt idx="105">
                  <c:v>37165</c:v>
                </c:pt>
                <c:pt idx="106">
                  <c:v>37196</c:v>
                </c:pt>
                <c:pt idx="107">
                  <c:v>37226</c:v>
                </c:pt>
                <c:pt idx="108">
                  <c:v>37257</c:v>
                </c:pt>
                <c:pt idx="109">
                  <c:v>37288</c:v>
                </c:pt>
                <c:pt idx="110">
                  <c:v>37316</c:v>
                </c:pt>
                <c:pt idx="111">
                  <c:v>37347</c:v>
                </c:pt>
                <c:pt idx="112">
                  <c:v>37377</c:v>
                </c:pt>
                <c:pt idx="113">
                  <c:v>37408</c:v>
                </c:pt>
                <c:pt idx="114">
                  <c:v>37438</c:v>
                </c:pt>
                <c:pt idx="115">
                  <c:v>37469</c:v>
                </c:pt>
                <c:pt idx="116">
                  <c:v>37500</c:v>
                </c:pt>
                <c:pt idx="117">
                  <c:v>37530</c:v>
                </c:pt>
                <c:pt idx="118">
                  <c:v>37561</c:v>
                </c:pt>
                <c:pt idx="119">
                  <c:v>37591</c:v>
                </c:pt>
                <c:pt idx="120">
                  <c:v>37622</c:v>
                </c:pt>
                <c:pt idx="121">
                  <c:v>37653</c:v>
                </c:pt>
                <c:pt idx="122">
                  <c:v>37681</c:v>
                </c:pt>
                <c:pt idx="123">
                  <c:v>37712</c:v>
                </c:pt>
                <c:pt idx="124">
                  <c:v>37742</c:v>
                </c:pt>
                <c:pt idx="125">
                  <c:v>37773</c:v>
                </c:pt>
                <c:pt idx="126">
                  <c:v>37803</c:v>
                </c:pt>
                <c:pt idx="127">
                  <c:v>37834</c:v>
                </c:pt>
                <c:pt idx="128">
                  <c:v>37865</c:v>
                </c:pt>
                <c:pt idx="129">
                  <c:v>37895</c:v>
                </c:pt>
                <c:pt idx="130">
                  <c:v>37926</c:v>
                </c:pt>
                <c:pt idx="131">
                  <c:v>37956</c:v>
                </c:pt>
                <c:pt idx="132">
                  <c:v>37987</c:v>
                </c:pt>
                <c:pt idx="133">
                  <c:v>38018</c:v>
                </c:pt>
                <c:pt idx="134">
                  <c:v>38047</c:v>
                </c:pt>
                <c:pt idx="135">
                  <c:v>38078</c:v>
                </c:pt>
                <c:pt idx="136">
                  <c:v>38108</c:v>
                </c:pt>
                <c:pt idx="137">
                  <c:v>38139</c:v>
                </c:pt>
                <c:pt idx="138">
                  <c:v>38169</c:v>
                </c:pt>
                <c:pt idx="139">
                  <c:v>38200</c:v>
                </c:pt>
                <c:pt idx="140">
                  <c:v>38231</c:v>
                </c:pt>
                <c:pt idx="141">
                  <c:v>38261</c:v>
                </c:pt>
                <c:pt idx="142">
                  <c:v>38292</c:v>
                </c:pt>
                <c:pt idx="143">
                  <c:v>38322</c:v>
                </c:pt>
                <c:pt idx="144">
                  <c:v>38353</c:v>
                </c:pt>
                <c:pt idx="145">
                  <c:v>38384</c:v>
                </c:pt>
                <c:pt idx="146">
                  <c:v>38412</c:v>
                </c:pt>
                <c:pt idx="147">
                  <c:v>38443</c:v>
                </c:pt>
                <c:pt idx="148">
                  <c:v>38473</c:v>
                </c:pt>
                <c:pt idx="149">
                  <c:v>38504</c:v>
                </c:pt>
                <c:pt idx="150">
                  <c:v>38534</c:v>
                </c:pt>
                <c:pt idx="151">
                  <c:v>38565</c:v>
                </c:pt>
                <c:pt idx="152">
                  <c:v>38596</c:v>
                </c:pt>
                <c:pt idx="153">
                  <c:v>38626</c:v>
                </c:pt>
                <c:pt idx="154">
                  <c:v>38657</c:v>
                </c:pt>
                <c:pt idx="155">
                  <c:v>38687</c:v>
                </c:pt>
                <c:pt idx="156">
                  <c:v>38718</c:v>
                </c:pt>
                <c:pt idx="157">
                  <c:v>38749</c:v>
                </c:pt>
                <c:pt idx="158">
                  <c:v>38777</c:v>
                </c:pt>
                <c:pt idx="159">
                  <c:v>38808</c:v>
                </c:pt>
                <c:pt idx="160">
                  <c:v>38838</c:v>
                </c:pt>
                <c:pt idx="161">
                  <c:v>38869</c:v>
                </c:pt>
                <c:pt idx="162">
                  <c:v>38899</c:v>
                </c:pt>
                <c:pt idx="163">
                  <c:v>38930</c:v>
                </c:pt>
                <c:pt idx="164">
                  <c:v>38961</c:v>
                </c:pt>
                <c:pt idx="165">
                  <c:v>38991</c:v>
                </c:pt>
                <c:pt idx="166">
                  <c:v>39022</c:v>
                </c:pt>
                <c:pt idx="167">
                  <c:v>39052</c:v>
                </c:pt>
                <c:pt idx="168">
                  <c:v>39083</c:v>
                </c:pt>
                <c:pt idx="169">
                  <c:v>39114</c:v>
                </c:pt>
                <c:pt idx="170">
                  <c:v>39142</c:v>
                </c:pt>
                <c:pt idx="171">
                  <c:v>39173</c:v>
                </c:pt>
                <c:pt idx="172">
                  <c:v>39203</c:v>
                </c:pt>
                <c:pt idx="173">
                  <c:v>39234</c:v>
                </c:pt>
                <c:pt idx="174">
                  <c:v>39264</c:v>
                </c:pt>
                <c:pt idx="175">
                  <c:v>39295</c:v>
                </c:pt>
                <c:pt idx="176">
                  <c:v>39326</c:v>
                </c:pt>
                <c:pt idx="177">
                  <c:v>39356</c:v>
                </c:pt>
                <c:pt idx="178">
                  <c:v>39387</c:v>
                </c:pt>
                <c:pt idx="179">
                  <c:v>39417</c:v>
                </c:pt>
                <c:pt idx="180">
                  <c:v>39448</c:v>
                </c:pt>
                <c:pt idx="181">
                  <c:v>39479</c:v>
                </c:pt>
                <c:pt idx="182">
                  <c:v>39508</c:v>
                </c:pt>
                <c:pt idx="183">
                  <c:v>39539</c:v>
                </c:pt>
                <c:pt idx="184">
                  <c:v>39569</c:v>
                </c:pt>
                <c:pt idx="185">
                  <c:v>39600</c:v>
                </c:pt>
                <c:pt idx="186">
                  <c:v>39630</c:v>
                </c:pt>
                <c:pt idx="187">
                  <c:v>39661</c:v>
                </c:pt>
                <c:pt idx="188">
                  <c:v>39692</c:v>
                </c:pt>
                <c:pt idx="189">
                  <c:v>39722</c:v>
                </c:pt>
                <c:pt idx="190">
                  <c:v>39753</c:v>
                </c:pt>
                <c:pt idx="191">
                  <c:v>39783</c:v>
                </c:pt>
                <c:pt idx="192">
                  <c:v>39814</c:v>
                </c:pt>
                <c:pt idx="193">
                  <c:v>39845</c:v>
                </c:pt>
                <c:pt idx="194">
                  <c:v>39873</c:v>
                </c:pt>
                <c:pt idx="195">
                  <c:v>39904</c:v>
                </c:pt>
                <c:pt idx="196">
                  <c:v>39934</c:v>
                </c:pt>
                <c:pt idx="197">
                  <c:v>39965</c:v>
                </c:pt>
                <c:pt idx="198">
                  <c:v>39995</c:v>
                </c:pt>
                <c:pt idx="199">
                  <c:v>40026</c:v>
                </c:pt>
                <c:pt idx="200">
                  <c:v>40057</c:v>
                </c:pt>
                <c:pt idx="201">
                  <c:v>40087</c:v>
                </c:pt>
                <c:pt idx="202">
                  <c:v>40118</c:v>
                </c:pt>
                <c:pt idx="203">
                  <c:v>40148</c:v>
                </c:pt>
                <c:pt idx="204">
                  <c:v>40179</c:v>
                </c:pt>
                <c:pt idx="205">
                  <c:v>40210</c:v>
                </c:pt>
                <c:pt idx="206">
                  <c:v>40238</c:v>
                </c:pt>
                <c:pt idx="207">
                  <c:v>40269</c:v>
                </c:pt>
                <c:pt idx="208">
                  <c:v>40299</c:v>
                </c:pt>
                <c:pt idx="209">
                  <c:v>40330</c:v>
                </c:pt>
                <c:pt idx="210">
                  <c:v>40360</c:v>
                </c:pt>
                <c:pt idx="211">
                  <c:v>40391</c:v>
                </c:pt>
                <c:pt idx="212">
                  <c:v>40422</c:v>
                </c:pt>
                <c:pt idx="213">
                  <c:v>40452</c:v>
                </c:pt>
                <c:pt idx="214">
                  <c:v>40483</c:v>
                </c:pt>
                <c:pt idx="215">
                  <c:v>40513</c:v>
                </c:pt>
                <c:pt idx="216">
                  <c:v>40544</c:v>
                </c:pt>
                <c:pt idx="217">
                  <c:v>40575</c:v>
                </c:pt>
                <c:pt idx="218">
                  <c:v>40603</c:v>
                </c:pt>
                <c:pt idx="219">
                  <c:v>40634</c:v>
                </c:pt>
                <c:pt idx="220">
                  <c:v>40664</c:v>
                </c:pt>
                <c:pt idx="221">
                  <c:v>40695</c:v>
                </c:pt>
                <c:pt idx="222">
                  <c:v>40725</c:v>
                </c:pt>
                <c:pt idx="223">
                  <c:v>40756</c:v>
                </c:pt>
                <c:pt idx="224">
                  <c:v>40787</c:v>
                </c:pt>
                <c:pt idx="225">
                  <c:v>40817</c:v>
                </c:pt>
                <c:pt idx="226">
                  <c:v>40848</c:v>
                </c:pt>
                <c:pt idx="227">
                  <c:v>40878</c:v>
                </c:pt>
                <c:pt idx="228">
                  <c:v>40909</c:v>
                </c:pt>
                <c:pt idx="229">
                  <c:v>40940</c:v>
                </c:pt>
                <c:pt idx="230">
                  <c:v>40969</c:v>
                </c:pt>
                <c:pt idx="231">
                  <c:v>41000</c:v>
                </c:pt>
                <c:pt idx="232">
                  <c:v>41030</c:v>
                </c:pt>
                <c:pt idx="233">
                  <c:v>41061</c:v>
                </c:pt>
                <c:pt idx="234">
                  <c:v>41091</c:v>
                </c:pt>
                <c:pt idx="235">
                  <c:v>41122</c:v>
                </c:pt>
                <c:pt idx="236">
                  <c:v>41153</c:v>
                </c:pt>
                <c:pt idx="237">
                  <c:v>41183</c:v>
                </c:pt>
                <c:pt idx="238">
                  <c:v>41214</c:v>
                </c:pt>
                <c:pt idx="239">
                  <c:v>41244</c:v>
                </c:pt>
                <c:pt idx="240">
                  <c:v>41275</c:v>
                </c:pt>
                <c:pt idx="241">
                  <c:v>41306</c:v>
                </c:pt>
                <c:pt idx="242">
                  <c:v>41334</c:v>
                </c:pt>
                <c:pt idx="243">
                  <c:v>41365</c:v>
                </c:pt>
                <c:pt idx="244">
                  <c:v>41395</c:v>
                </c:pt>
                <c:pt idx="245">
                  <c:v>41426</c:v>
                </c:pt>
                <c:pt idx="246">
                  <c:v>41456</c:v>
                </c:pt>
                <c:pt idx="247">
                  <c:v>41487</c:v>
                </c:pt>
                <c:pt idx="248">
                  <c:v>41518</c:v>
                </c:pt>
                <c:pt idx="249">
                  <c:v>41548</c:v>
                </c:pt>
                <c:pt idx="250">
                  <c:v>41579</c:v>
                </c:pt>
                <c:pt idx="251">
                  <c:v>41609</c:v>
                </c:pt>
                <c:pt idx="252">
                  <c:v>41640</c:v>
                </c:pt>
                <c:pt idx="253">
                  <c:v>41671</c:v>
                </c:pt>
                <c:pt idx="254">
                  <c:v>41699</c:v>
                </c:pt>
                <c:pt idx="255">
                  <c:v>41730</c:v>
                </c:pt>
                <c:pt idx="256">
                  <c:v>41760</c:v>
                </c:pt>
                <c:pt idx="257">
                  <c:v>41791</c:v>
                </c:pt>
                <c:pt idx="258">
                  <c:v>41821</c:v>
                </c:pt>
                <c:pt idx="259">
                  <c:v>41852</c:v>
                </c:pt>
                <c:pt idx="260">
                  <c:v>41883</c:v>
                </c:pt>
                <c:pt idx="261">
                  <c:v>41913</c:v>
                </c:pt>
                <c:pt idx="262">
                  <c:v>41944</c:v>
                </c:pt>
                <c:pt idx="263">
                  <c:v>41974</c:v>
                </c:pt>
                <c:pt idx="264">
                  <c:v>42005</c:v>
                </c:pt>
                <c:pt idx="265">
                  <c:v>42036</c:v>
                </c:pt>
                <c:pt idx="266">
                  <c:v>42064</c:v>
                </c:pt>
                <c:pt idx="267">
                  <c:v>42095</c:v>
                </c:pt>
                <c:pt idx="268">
                  <c:v>42125</c:v>
                </c:pt>
                <c:pt idx="269">
                  <c:v>42156</c:v>
                </c:pt>
                <c:pt idx="270">
                  <c:v>42186</c:v>
                </c:pt>
                <c:pt idx="271">
                  <c:v>42217</c:v>
                </c:pt>
                <c:pt idx="272">
                  <c:v>42248</c:v>
                </c:pt>
                <c:pt idx="273">
                  <c:v>42278</c:v>
                </c:pt>
                <c:pt idx="274">
                  <c:v>42309</c:v>
                </c:pt>
                <c:pt idx="275">
                  <c:v>42339</c:v>
                </c:pt>
                <c:pt idx="276">
                  <c:v>42370</c:v>
                </c:pt>
                <c:pt idx="277">
                  <c:v>42401</c:v>
                </c:pt>
                <c:pt idx="278">
                  <c:v>42430</c:v>
                </c:pt>
                <c:pt idx="279">
                  <c:v>42461</c:v>
                </c:pt>
                <c:pt idx="280">
                  <c:v>42491</c:v>
                </c:pt>
                <c:pt idx="281">
                  <c:v>42522</c:v>
                </c:pt>
                <c:pt idx="282">
                  <c:v>42552</c:v>
                </c:pt>
                <c:pt idx="283">
                  <c:v>42583</c:v>
                </c:pt>
                <c:pt idx="284">
                  <c:v>42614</c:v>
                </c:pt>
                <c:pt idx="285">
                  <c:v>42644</c:v>
                </c:pt>
                <c:pt idx="286">
                  <c:v>42675</c:v>
                </c:pt>
                <c:pt idx="287">
                  <c:v>42705</c:v>
                </c:pt>
                <c:pt idx="288">
                  <c:v>42736</c:v>
                </c:pt>
                <c:pt idx="289">
                  <c:v>42767</c:v>
                </c:pt>
                <c:pt idx="290">
                  <c:v>42795</c:v>
                </c:pt>
                <c:pt idx="291">
                  <c:v>42826</c:v>
                </c:pt>
                <c:pt idx="292">
                  <c:v>42856</c:v>
                </c:pt>
                <c:pt idx="293">
                  <c:v>42887</c:v>
                </c:pt>
                <c:pt idx="294">
                  <c:v>42917</c:v>
                </c:pt>
                <c:pt idx="295">
                  <c:v>42948</c:v>
                </c:pt>
                <c:pt idx="296">
                  <c:v>42979</c:v>
                </c:pt>
                <c:pt idx="297">
                  <c:v>43009</c:v>
                </c:pt>
                <c:pt idx="298">
                  <c:v>43040</c:v>
                </c:pt>
                <c:pt idx="299">
                  <c:v>43070</c:v>
                </c:pt>
                <c:pt idx="300">
                  <c:v>43101</c:v>
                </c:pt>
                <c:pt idx="301">
                  <c:v>43132</c:v>
                </c:pt>
                <c:pt idx="302">
                  <c:v>43160</c:v>
                </c:pt>
                <c:pt idx="303">
                  <c:v>43191</c:v>
                </c:pt>
                <c:pt idx="304">
                  <c:v>43221</c:v>
                </c:pt>
                <c:pt idx="305">
                  <c:v>43252</c:v>
                </c:pt>
                <c:pt idx="306">
                  <c:v>43282</c:v>
                </c:pt>
                <c:pt idx="307">
                  <c:v>43313</c:v>
                </c:pt>
                <c:pt idx="308">
                  <c:v>43344</c:v>
                </c:pt>
                <c:pt idx="309">
                  <c:v>43374</c:v>
                </c:pt>
                <c:pt idx="310">
                  <c:v>43405</c:v>
                </c:pt>
                <c:pt idx="311">
                  <c:v>43435</c:v>
                </c:pt>
                <c:pt idx="312">
                  <c:v>43466</c:v>
                </c:pt>
                <c:pt idx="313">
                  <c:v>43497</c:v>
                </c:pt>
                <c:pt idx="314">
                  <c:v>43525</c:v>
                </c:pt>
                <c:pt idx="315">
                  <c:v>43556</c:v>
                </c:pt>
                <c:pt idx="316">
                  <c:v>43586</c:v>
                </c:pt>
                <c:pt idx="317">
                  <c:v>43617</c:v>
                </c:pt>
                <c:pt idx="318">
                  <c:v>43647</c:v>
                </c:pt>
                <c:pt idx="319">
                  <c:v>43678</c:v>
                </c:pt>
                <c:pt idx="320">
                  <c:v>43709</c:v>
                </c:pt>
                <c:pt idx="321">
                  <c:v>43739</c:v>
                </c:pt>
                <c:pt idx="322">
                  <c:v>43770</c:v>
                </c:pt>
                <c:pt idx="323">
                  <c:v>43800</c:v>
                </c:pt>
                <c:pt idx="324">
                  <c:v>43831</c:v>
                </c:pt>
                <c:pt idx="325">
                  <c:v>43862</c:v>
                </c:pt>
                <c:pt idx="326">
                  <c:v>43891</c:v>
                </c:pt>
                <c:pt idx="327">
                  <c:v>43922</c:v>
                </c:pt>
                <c:pt idx="328">
                  <c:v>43952</c:v>
                </c:pt>
                <c:pt idx="329">
                  <c:v>43983</c:v>
                </c:pt>
                <c:pt idx="330">
                  <c:v>44013</c:v>
                </c:pt>
                <c:pt idx="331">
                  <c:v>44044</c:v>
                </c:pt>
                <c:pt idx="332">
                  <c:v>44075</c:v>
                </c:pt>
                <c:pt idx="333">
                  <c:v>44105</c:v>
                </c:pt>
                <c:pt idx="334">
                  <c:v>44136</c:v>
                </c:pt>
                <c:pt idx="335">
                  <c:v>44166</c:v>
                </c:pt>
                <c:pt idx="336">
                  <c:v>44197</c:v>
                </c:pt>
                <c:pt idx="337">
                  <c:v>44228</c:v>
                </c:pt>
                <c:pt idx="338">
                  <c:v>44256</c:v>
                </c:pt>
                <c:pt idx="339">
                  <c:v>44287</c:v>
                </c:pt>
                <c:pt idx="340">
                  <c:v>44317</c:v>
                </c:pt>
                <c:pt idx="341">
                  <c:v>44348</c:v>
                </c:pt>
                <c:pt idx="342">
                  <c:v>44378</c:v>
                </c:pt>
                <c:pt idx="343">
                  <c:v>44409</c:v>
                </c:pt>
                <c:pt idx="344">
                  <c:v>44440</c:v>
                </c:pt>
                <c:pt idx="345">
                  <c:v>44470</c:v>
                </c:pt>
                <c:pt idx="346">
                  <c:v>44501</c:v>
                </c:pt>
                <c:pt idx="347">
                  <c:v>44531</c:v>
                </c:pt>
                <c:pt idx="348">
                  <c:v>44562</c:v>
                </c:pt>
                <c:pt idx="349">
                  <c:v>44593</c:v>
                </c:pt>
                <c:pt idx="350">
                  <c:v>44621</c:v>
                </c:pt>
                <c:pt idx="351">
                  <c:v>44652</c:v>
                </c:pt>
                <c:pt idx="352">
                  <c:v>44682</c:v>
                </c:pt>
                <c:pt idx="353">
                  <c:v>44713</c:v>
                </c:pt>
                <c:pt idx="354">
                  <c:v>44743</c:v>
                </c:pt>
                <c:pt idx="355">
                  <c:v>44774</c:v>
                </c:pt>
                <c:pt idx="356">
                  <c:v>44805</c:v>
                </c:pt>
                <c:pt idx="357">
                  <c:v>44835</c:v>
                </c:pt>
                <c:pt idx="358">
                  <c:v>44866</c:v>
                </c:pt>
                <c:pt idx="359">
                  <c:v>44896</c:v>
                </c:pt>
              </c:numCache>
            </c:numRef>
          </c:cat>
          <c:val>
            <c:numRef>
              <c:f>'14. PRM'!$C$2:$C$361</c:f>
              <c:numCache>
                <c:formatCode>0.0%</c:formatCode>
                <c:ptCount val="360"/>
                <c:pt idx="0">
                  <c:v>6.9533333333333336E-2</c:v>
                </c:pt>
                <c:pt idx="1">
                  <c:v>6.8500000000000005E-2</c:v>
                </c:pt>
                <c:pt idx="2">
                  <c:v>6.7241666666666658E-2</c:v>
                </c:pt>
                <c:pt idx="3">
                  <c:v>6.5941666666666662E-2</c:v>
                </c:pt>
                <c:pt idx="4">
                  <c:v>6.4966666666666659E-2</c:v>
                </c:pt>
                <c:pt idx="5">
                  <c:v>6.3850000000000004E-2</c:v>
                </c:pt>
                <c:pt idx="6">
                  <c:v>6.3108333333333322E-2</c:v>
                </c:pt>
                <c:pt idx="7">
                  <c:v>6.2133333333333339E-2</c:v>
                </c:pt>
                <c:pt idx="8">
                  <c:v>6.1325000000000005E-2</c:v>
                </c:pt>
                <c:pt idx="9">
                  <c:v>6.0148333333333345E-2</c:v>
                </c:pt>
                <c:pt idx="10">
                  <c:v>5.9185833333333333E-2</c:v>
                </c:pt>
                <c:pt idx="11">
                  <c:v>5.8421666666666663E-2</c:v>
                </c:pt>
                <c:pt idx="12">
                  <c:v>5.7794999999999999E-2</c:v>
                </c:pt>
                <c:pt idx="13">
                  <c:v>5.7895000000000002E-2</c:v>
                </c:pt>
                <c:pt idx="14">
                  <c:v>5.8515000000000005E-2</c:v>
                </c:pt>
                <c:pt idx="15">
                  <c:v>5.9335833333333324E-2</c:v>
                </c:pt>
                <c:pt idx="16">
                  <c:v>6.0162499999999994E-2</c:v>
                </c:pt>
                <c:pt idx="17">
                  <c:v>6.1436666666666653E-2</c:v>
                </c:pt>
                <c:pt idx="18">
                  <c:v>6.2490833333333322E-2</c:v>
                </c:pt>
                <c:pt idx="19">
                  <c:v>6.3920000000000005E-2</c:v>
                </c:pt>
                <c:pt idx="20">
                  <c:v>6.5752500000000019E-2</c:v>
                </c:pt>
                <c:pt idx="21">
                  <c:v>6.7756666666666673E-2</c:v>
                </c:pt>
                <c:pt idx="22">
                  <c:v>6.9500833333333345E-2</c:v>
                </c:pt>
                <c:pt idx="23">
                  <c:v>7.1204166666666679E-2</c:v>
                </c:pt>
                <c:pt idx="24">
                  <c:v>7.2833333333333347E-2</c:v>
                </c:pt>
                <c:pt idx="25">
                  <c:v>7.3716666666666666E-2</c:v>
                </c:pt>
                <c:pt idx="26">
                  <c:v>7.4062500000000003E-2</c:v>
                </c:pt>
                <c:pt idx="27">
                  <c:v>7.4071666666666675E-2</c:v>
                </c:pt>
                <c:pt idx="28">
                  <c:v>7.3349999999999999E-2</c:v>
                </c:pt>
                <c:pt idx="29">
                  <c:v>7.241166666666668E-2</c:v>
                </c:pt>
                <c:pt idx="30">
                  <c:v>7.1856666666666666E-2</c:v>
                </c:pt>
                <c:pt idx="31">
                  <c:v>7.1113333333333334E-2</c:v>
                </c:pt>
                <c:pt idx="32">
                  <c:v>6.991166666666665E-2</c:v>
                </c:pt>
                <c:pt idx="33">
                  <c:v>6.8419999999999995E-2</c:v>
                </c:pt>
                <c:pt idx="34">
                  <c:v>6.6634166666666675E-2</c:v>
                </c:pt>
                <c:pt idx="35">
                  <c:v>6.4757500000000009E-2</c:v>
                </c:pt>
                <c:pt idx="36">
                  <c:v>6.308083333333335E-2</c:v>
                </c:pt>
                <c:pt idx="37">
                  <c:v>6.2165833333333323E-2</c:v>
                </c:pt>
                <c:pt idx="38">
                  <c:v>6.1453333333333332E-2</c:v>
                </c:pt>
                <c:pt idx="39">
                  <c:v>6.1109166666666673E-2</c:v>
                </c:pt>
                <c:pt idx="40">
                  <c:v>6.1574166666666666E-2</c:v>
                </c:pt>
                <c:pt idx="41">
                  <c:v>6.1997500000000011E-2</c:v>
                </c:pt>
                <c:pt idx="42">
                  <c:v>6.2298333333333344E-2</c:v>
                </c:pt>
                <c:pt idx="43">
                  <c:v>6.2850833333333356E-2</c:v>
                </c:pt>
                <c:pt idx="44">
                  <c:v>6.3302499999999998E-2</c:v>
                </c:pt>
                <c:pt idx="45">
                  <c:v>6.3590833333333333E-2</c:v>
                </c:pt>
                <c:pt idx="46">
                  <c:v>6.383666666666668E-2</c:v>
                </c:pt>
                <c:pt idx="47">
                  <c:v>6.4530000000000004E-2</c:v>
                </c:pt>
                <c:pt idx="48">
                  <c:v>6.5298333333333333E-2</c:v>
                </c:pt>
                <c:pt idx="49">
                  <c:v>6.5650833333333325E-2</c:v>
                </c:pt>
                <c:pt idx="50">
                  <c:v>6.6128333333333331E-2</c:v>
                </c:pt>
                <c:pt idx="51">
                  <c:v>6.6185833333333333E-2</c:v>
                </c:pt>
                <c:pt idx="52">
                  <c:v>6.6034999999999996E-2</c:v>
                </c:pt>
                <c:pt idx="53">
                  <c:v>6.5860833333333313E-2</c:v>
                </c:pt>
                <c:pt idx="54">
                  <c:v>6.5205833333333324E-2</c:v>
                </c:pt>
                <c:pt idx="55">
                  <c:v>6.4700833333333319E-2</c:v>
                </c:pt>
                <c:pt idx="56">
                  <c:v>6.4207499999999987E-2</c:v>
                </c:pt>
                <c:pt idx="57">
                  <c:v>6.3765833333333327E-2</c:v>
                </c:pt>
                <c:pt idx="58">
                  <c:v>6.3608333333333322E-2</c:v>
                </c:pt>
                <c:pt idx="59">
                  <c:v>6.3051666666666673E-2</c:v>
                </c:pt>
                <c:pt idx="60">
                  <c:v>6.2225833333333327E-2</c:v>
                </c:pt>
                <c:pt idx="61">
                  <c:v>6.1460000000000001E-2</c:v>
                </c:pt>
                <c:pt idx="62">
                  <c:v>6.0422500000000004E-2</c:v>
                </c:pt>
                <c:pt idx="63">
                  <c:v>5.9559999999999995E-2</c:v>
                </c:pt>
                <c:pt idx="64">
                  <c:v>5.862916666666667E-2</c:v>
                </c:pt>
                <c:pt idx="65">
                  <c:v>5.7739166666666654E-2</c:v>
                </c:pt>
                <c:pt idx="66">
                  <c:v>5.7314166666666652E-2</c:v>
                </c:pt>
                <c:pt idx="67">
                  <c:v>5.6232499999999998E-2</c:v>
                </c:pt>
                <c:pt idx="68">
                  <c:v>5.481833333333333E-2</c:v>
                </c:pt>
                <c:pt idx="69">
                  <c:v>5.3804999999999985E-2</c:v>
                </c:pt>
                <c:pt idx="70">
                  <c:v>5.2867499999999998E-2</c:v>
                </c:pt>
                <c:pt idx="71">
                  <c:v>5.1949999999999996E-2</c:v>
                </c:pt>
                <c:pt idx="72">
                  <c:v>5.1234166666666657E-2</c:v>
                </c:pt>
                <c:pt idx="73">
                  <c:v>5.0947500000000007E-2</c:v>
                </c:pt>
                <c:pt idx="74">
                  <c:v>5.0590833333333328E-2</c:v>
                </c:pt>
                <c:pt idx="75">
                  <c:v>5.0326666666666665E-2</c:v>
                </c:pt>
                <c:pt idx="76">
                  <c:v>5.0380833333333326E-2</c:v>
                </c:pt>
                <c:pt idx="77">
                  <c:v>5.0694166666666665E-2</c:v>
                </c:pt>
                <c:pt idx="78">
                  <c:v>5.1038333333333331E-2</c:v>
                </c:pt>
                <c:pt idx="79">
                  <c:v>5.1827499999999999E-2</c:v>
                </c:pt>
                <c:pt idx="80">
                  <c:v>5.3056666666666662E-2</c:v>
                </c:pt>
                <c:pt idx="81">
                  <c:v>5.4223333333333346E-2</c:v>
                </c:pt>
                <c:pt idx="82">
                  <c:v>5.5420833333333336E-2</c:v>
                </c:pt>
                <c:pt idx="83">
                  <c:v>5.6918333333333342E-2</c:v>
                </c:pt>
                <c:pt idx="84">
                  <c:v>5.8596666666666665E-2</c:v>
                </c:pt>
                <c:pt idx="85">
                  <c:v>5.9544166666666669E-2</c:v>
                </c:pt>
                <c:pt idx="86">
                  <c:v>6.0201666666666674E-2</c:v>
                </c:pt>
                <c:pt idx="87">
                  <c:v>6.0921666666666673E-2</c:v>
                </c:pt>
                <c:pt idx="88">
                  <c:v>6.1483333333333334E-2</c:v>
                </c:pt>
                <c:pt idx="89">
                  <c:v>6.1656666666666665E-2</c:v>
                </c:pt>
                <c:pt idx="90">
                  <c:v>6.1758333333333325E-2</c:v>
                </c:pt>
                <c:pt idx="91">
                  <c:v>6.1549999999999987E-2</c:v>
                </c:pt>
                <c:pt idx="92">
                  <c:v>6.1460833333333333E-2</c:v>
                </c:pt>
                <c:pt idx="93">
                  <c:v>6.1255833333333343E-2</c:v>
                </c:pt>
                <c:pt idx="94">
                  <c:v>6.0652499999999991E-2</c:v>
                </c:pt>
                <c:pt idx="95">
                  <c:v>5.9548333333333321E-2</c:v>
                </c:pt>
                <c:pt idx="96">
                  <c:v>5.8308333333333337E-2</c:v>
                </c:pt>
                <c:pt idx="97">
                  <c:v>5.705749999999999E-2</c:v>
                </c:pt>
                <c:pt idx="98">
                  <c:v>5.6134166666666666E-2</c:v>
                </c:pt>
                <c:pt idx="99">
                  <c:v>5.5404166666666664E-2</c:v>
                </c:pt>
                <c:pt idx="100">
                  <c:v>5.4677499999999997E-2</c:v>
                </c:pt>
                <c:pt idx="101">
                  <c:v>5.4154166666666663E-2</c:v>
                </c:pt>
                <c:pt idx="102">
                  <c:v>5.33275E-2</c:v>
                </c:pt>
                <c:pt idx="103">
                  <c:v>5.2566666666666671E-2</c:v>
                </c:pt>
                <c:pt idx="104">
                  <c:v>5.1564166666666668E-2</c:v>
                </c:pt>
                <c:pt idx="105">
                  <c:v>5.0319166666666665E-2</c:v>
                </c:pt>
                <c:pt idx="106">
                  <c:v>4.9739999999999999E-2</c:v>
                </c:pt>
                <c:pt idx="107">
                  <c:v>4.9675000000000004E-2</c:v>
                </c:pt>
                <c:pt idx="108">
                  <c:v>4.9546666666666662E-2</c:v>
                </c:pt>
                <c:pt idx="109">
                  <c:v>4.9505833333333332E-2</c:v>
                </c:pt>
                <c:pt idx="110">
                  <c:v>4.9915000000000001E-2</c:v>
                </c:pt>
                <c:pt idx="111">
                  <c:v>4.9709166666666665E-2</c:v>
                </c:pt>
                <c:pt idx="112">
                  <c:v>4.9400833333333331E-2</c:v>
                </c:pt>
                <c:pt idx="113">
                  <c:v>4.8929166666666669E-2</c:v>
                </c:pt>
                <c:pt idx="114">
                  <c:v>4.8452500000000003E-2</c:v>
                </c:pt>
                <c:pt idx="115">
                  <c:v>4.7886666666666668E-2</c:v>
                </c:pt>
                <c:pt idx="116">
                  <c:v>4.707999999999999E-2</c:v>
                </c:pt>
                <c:pt idx="117">
                  <c:v>4.6786666666666671E-2</c:v>
                </c:pt>
                <c:pt idx="118">
                  <c:v>4.6344166666666672E-2</c:v>
                </c:pt>
                <c:pt idx="119">
                  <c:v>4.5332499999999998E-2</c:v>
                </c:pt>
                <c:pt idx="120">
                  <c:v>4.4457499999999997E-2</c:v>
                </c:pt>
                <c:pt idx="121">
                  <c:v>4.348833333333333E-2</c:v>
                </c:pt>
                <c:pt idx="122">
                  <c:v>4.2169166666666674E-2</c:v>
                </c:pt>
                <c:pt idx="123">
                  <c:v>4.1140833333333335E-2</c:v>
                </c:pt>
                <c:pt idx="124">
                  <c:v>3.9730000000000001E-2</c:v>
                </c:pt>
                <c:pt idx="125">
                  <c:v>3.8650000000000004E-2</c:v>
                </c:pt>
                <c:pt idx="126">
                  <c:v>3.8657500000000004E-2</c:v>
                </c:pt>
                <c:pt idx="127">
                  <c:v>3.892166666666666E-2</c:v>
                </c:pt>
                <c:pt idx="128">
                  <c:v>3.9196666666666664E-2</c:v>
                </c:pt>
                <c:pt idx="129">
                  <c:v>3.9521666666666663E-2</c:v>
                </c:pt>
                <c:pt idx="130">
                  <c:v>3.9610833333333331E-2</c:v>
                </c:pt>
                <c:pt idx="131">
                  <c:v>3.9976666666666667E-2</c:v>
                </c:pt>
                <c:pt idx="132">
                  <c:v>4.0112499999999995E-2</c:v>
                </c:pt>
                <c:pt idx="133">
                  <c:v>4.0352500000000006E-2</c:v>
                </c:pt>
                <c:pt idx="134">
                  <c:v>4.0364166666666666E-2</c:v>
                </c:pt>
                <c:pt idx="135">
                  <c:v>4.0900833333333331E-2</c:v>
                </c:pt>
                <c:pt idx="136">
                  <c:v>4.1988333333333336E-2</c:v>
                </c:pt>
                <c:pt idx="137">
                  <c:v>4.2895833333333334E-2</c:v>
                </c:pt>
                <c:pt idx="138">
                  <c:v>4.2896666666666666E-2</c:v>
                </c:pt>
                <c:pt idx="139">
                  <c:v>4.2628333333333331E-2</c:v>
                </c:pt>
                <c:pt idx="140">
                  <c:v>4.2779999999999999E-2</c:v>
                </c:pt>
                <c:pt idx="141">
                  <c:v>4.2553333333333325E-2</c:v>
                </c:pt>
                <c:pt idx="142">
                  <c:v>4.2584999999999998E-2</c:v>
                </c:pt>
                <c:pt idx="143">
                  <c:v>4.2550833333333322E-2</c:v>
                </c:pt>
                <c:pt idx="144">
                  <c:v>4.254666666666667E-2</c:v>
                </c:pt>
                <c:pt idx="145">
                  <c:v>4.2859166666666663E-2</c:v>
                </c:pt>
                <c:pt idx="146">
                  <c:v>4.3408333333333333E-2</c:v>
                </c:pt>
                <c:pt idx="147">
                  <c:v>4.315833333333334E-2</c:v>
                </c:pt>
                <c:pt idx="148">
                  <c:v>4.2617500000000003E-2</c:v>
                </c:pt>
                <c:pt idx="149">
                  <c:v>4.2057499999999998E-2</c:v>
                </c:pt>
                <c:pt idx="150">
                  <c:v>4.1900000000000007E-2</c:v>
                </c:pt>
                <c:pt idx="151">
                  <c:v>4.1806666666666673E-2</c:v>
                </c:pt>
                <c:pt idx="152">
                  <c:v>4.1980833333333335E-2</c:v>
                </c:pt>
                <c:pt idx="153">
                  <c:v>4.2422500000000009E-2</c:v>
                </c:pt>
                <c:pt idx="154">
                  <c:v>4.254083333333334E-2</c:v>
                </c:pt>
                <c:pt idx="155">
                  <c:v>4.2689999999999992E-2</c:v>
                </c:pt>
                <c:pt idx="156">
                  <c:v>4.3018333333333339E-2</c:v>
                </c:pt>
                <c:pt idx="157">
                  <c:v>4.3174999999999991E-2</c:v>
                </c:pt>
                <c:pt idx="158">
                  <c:v>4.3472499999999997E-2</c:v>
                </c:pt>
                <c:pt idx="159">
                  <c:v>4.4195833333333337E-2</c:v>
                </c:pt>
                <c:pt idx="160">
                  <c:v>4.5118333333333337E-2</c:v>
                </c:pt>
                <c:pt idx="161">
                  <c:v>4.6112500000000001E-2</c:v>
                </c:pt>
                <c:pt idx="162">
                  <c:v>4.6697499999999996E-2</c:v>
                </c:pt>
                <c:pt idx="163">
                  <c:v>4.7290833333333337E-2</c:v>
                </c:pt>
                <c:pt idx="164">
                  <c:v>4.7545000000000004E-2</c:v>
                </c:pt>
                <c:pt idx="165">
                  <c:v>4.758416666666667E-2</c:v>
                </c:pt>
                <c:pt idx="166">
                  <c:v>4.754916666666667E-2</c:v>
                </c:pt>
                <c:pt idx="167">
                  <c:v>4.7811666666666669E-2</c:v>
                </c:pt>
                <c:pt idx="168">
                  <c:v>4.8060833333333337E-2</c:v>
                </c:pt>
                <c:pt idx="169">
                  <c:v>4.806333333333334E-2</c:v>
                </c:pt>
                <c:pt idx="170">
                  <c:v>4.7892499999999991E-2</c:v>
                </c:pt>
                <c:pt idx="171">
                  <c:v>4.7526666666666675E-2</c:v>
                </c:pt>
                <c:pt idx="172">
                  <c:v>4.7340833333333332E-2</c:v>
                </c:pt>
                <c:pt idx="173">
                  <c:v>4.7253333333333335E-2</c:v>
                </c:pt>
                <c:pt idx="174">
                  <c:v>4.7072500000000003E-2</c:v>
                </c:pt>
                <c:pt idx="175">
                  <c:v>4.691E-2</c:v>
                </c:pt>
                <c:pt idx="176">
                  <c:v>4.6865000000000004E-2</c:v>
                </c:pt>
                <c:pt idx="177">
                  <c:v>4.675583333333333E-2</c:v>
                </c:pt>
                <c:pt idx="178">
                  <c:v>4.6350833333333334E-2</c:v>
                </c:pt>
                <c:pt idx="179">
                  <c:v>4.5788333333333327E-2</c:v>
                </c:pt>
                <c:pt idx="180">
                  <c:v>4.4799166666666668E-2</c:v>
                </c:pt>
                <c:pt idx="181">
                  <c:v>4.3952500000000005E-2</c:v>
                </c:pt>
                <c:pt idx="182">
                  <c:v>4.2939166666666667E-2</c:v>
                </c:pt>
                <c:pt idx="183">
                  <c:v>4.2213333333333339E-2</c:v>
                </c:pt>
                <c:pt idx="184">
                  <c:v>4.1510000000000005E-2</c:v>
                </c:pt>
                <c:pt idx="185">
                  <c:v>4.0631666666666663E-2</c:v>
                </c:pt>
                <c:pt idx="186">
                  <c:v>3.9971666666666662E-2</c:v>
                </c:pt>
                <c:pt idx="187">
                  <c:v>3.9368333333333332E-2</c:v>
                </c:pt>
                <c:pt idx="188">
                  <c:v>3.874166666666666E-2</c:v>
                </c:pt>
                <c:pt idx="189">
                  <c:v>3.8320833333333332E-2</c:v>
                </c:pt>
                <c:pt idx="190">
                  <c:v>3.7474999999999994E-2</c:v>
                </c:pt>
                <c:pt idx="191">
                  <c:v>3.5982500000000001E-2</c:v>
                </c:pt>
                <c:pt idx="192">
                  <c:v>3.5319999999999997E-2</c:v>
                </c:pt>
                <c:pt idx="193">
                  <c:v>3.4909166666666665E-2</c:v>
                </c:pt>
                <c:pt idx="194">
                  <c:v>3.4286666666666667E-2</c:v>
                </c:pt>
                <c:pt idx="195">
                  <c:v>3.3757500000000003E-2</c:v>
                </c:pt>
                <c:pt idx="196">
                  <c:v>3.3273333333333342E-2</c:v>
                </c:pt>
                <c:pt idx="197">
                  <c:v>3.2893333333333337E-2</c:v>
                </c:pt>
                <c:pt idx="198">
                  <c:v>3.2494999999999996E-2</c:v>
                </c:pt>
                <c:pt idx="199">
                  <c:v>3.2151666666666662E-2</c:v>
                </c:pt>
                <c:pt idx="200">
                  <c:v>3.1718333333333334E-2</c:v>
                </c:pt>
                <c:pt idx="201">
                  <c:v>3.123666666666667E-2</c:v>
                </c:pt>
                <c:pt idx="202">
                  <c:v>3.1440000000000003E-2</c:v>
                </c:pt>
                <c:pt idx="203">
                  <c:v>3.2772500000000003E-2</c:v>
                </c:pt>
                <c:pt idx="204">
                  <c:v>3.3409999999999995E-2</c:v>
                </c:pt>
                <c:pt idx="205">
                  <c:v>3.3871666666666668E-2</c:v>
                </c:pt>
                <c:pt idx="206">
                  <c:v>3.4828333333333329E-2</c:v>
                </c:pt>
                <c:pt idx="207">
                  <c:v>3.5277499999999989E-2</c:v>
                </c:pt>
                <c:pt idx="208">
                  <c:v>3.5140833333333329E-2</c:v>
                </c:pt>
                <c:pt idx="209">
                  <c:v>3.4664166666666663E-2</c:v>
                </c:pt>
                <c:pt idx="210">
                  <c:v>3.4169166666666667E-2</c:v>
                </c:pt>
                <c:pt idx="211">
                  <c:v>3.3399166666666667E-2</c:v>
                </c:pt>
                <c:pt idx="212">
                  <c:v>3.2740833333333337E-2</c:v>
                </c:pt>
                <c:pt idx="213">
                  <c:v>3.2090833333333339E-2</c:v>
                </c:pt>
                <c:pt idx="214">
                  <c:v>3.1754166666666667E-2</c:v>
                </c:pt>
                <c:pt idx="215">
                  <c:v>3.1305833333333338E-2</c:v>
                </c:pt>
                <c:pt idx="216">
                  <c:v>3.111333333333334E-2</c:v>
                </c:pt>
                <c:pt idx="217">
                  <c:v>3.09625E-2</c:v>
                </c:pt>
                <c:pt idx="218">
                  <c:v>3.0646666666666669E-2</c:v>
                </c:pt>
                <c:pt idx="219">
                  <c:v>3.0340833333333331E-2</c:v>
                </c:pt>
                <c:pt idx="220">
                  <c:v>3.0131666666666668E-2</c:v>
                </c:pt>
                <c:pt idx="221">
                  <c:v>3.030416666666667E-2</c:v>
                </c:pt>
                <c:pt idx="222">
                  <c:v>3.0219166666666665E-2</c:v>
                </c:pt>
                <c:pt idx="223">
                  <c:v>3.0003333333333337E-2</c:v>
                </c:pt>
                <c:pt idx="224">
                  <c:v>2.9509166666666666E-2</c:v>
                </c:pt>
                <c:pt idx="225">
                  <c:v>2.9144999999999997E-2</c:v>
                </c:pt>
                <c:pt idx="226">
                  <c:v>2.8537499999999997E-2</c:v>
                </c:pt>
                <c:pt idx="227">
                  <c:v>2.7342499999999999E-2</c:v>
                </c:pt>
                <c:pt idx="228">
                  <c:v>2.6026666666666663E-2</c:v>
                </c:pt>
                <c:pt idx="229">
                  <c:v>2.4829166666666666E-2</c:v>
                </c:pt>
                <c:pt idx="230">
                  <c:v>2.3797499999999999E-2</c:v>
                </c:pt>
                <c:pt idx="231">
                  <c:v>2.2646666666666662E-2</c:v>
                </c:pt>
                <c:pt idx="232">
                  <c:v>2.1422500000000001E-2</c:v>
                </c:pt>
                <c:pt idx="233">
                  <c:v>2.0173333333333331E-2</c:v>
                </c:pt>
                <c:pt idx="234">
                  <c:v>1.9079166666666668E-2</c:v>
                </c:pt>
                <c:pt idx="235">
                  <c:v>1.85325E-2</c:v>
                </c:pt>
                <c:pt idx="236">
                  <c:v>1.8293333333333335E-2</c:v>
                </c:pt>
                <c:pt idx="237">
                  <c:v>1.7885833333333333E-2</c:v>
                </c:pt>
                <c:pt idx="238">
                  <c:v>1.7500833333333337E-2</c:v>
                </c:pt>
                <c:pt idx="239">
                  <c:v>1.7405E-2</c:v>
                </c:pt>
                <c:pt idx="240">
                  <c:v>1.7559999999999999E-2</c:v>
                </c:pt>
                <c:pt idx="241">
                  <c:v>1.7485833333333332E-2</c:v>
                </c:pt>
                <c:pt idx="242">
                  <c:v>1.7182500000000003E-2</c:v>
                </c:pt>
                <c:pt idx="243">
                  <c:v>1.6982500000000001E-2</c:v>
                </c:pt>
                <c:pt idx="244">
                  <c:v>1.7468333333333332E-2</c:v>
                </c:pt>
                <c:pt idx="245">
                  <c:v>1.8150833333333335E-2</c:v>
                </c:pt>
                <c:pt idx="246">
                  <c:v>1.9068333333333333E-2</c:v>
                </c:pt>
                <c:pt idx="247">
                  <c:v>2.0057500000000002E-2</c:v>
                </c:pt>
                <c:pt idx="248">
                  <c:v>2.0872499999999995E-2</c:v>
                </c:pt>
                <c:pt idx="249">
                  <c:v>2.1585833333333332E-2</c:v>
                </c:pt>
                <c:pt idx="250">
                  <c:v>2.2531666666666665E-2</c:v>
                </c:pt>
                <c:pt idx="251">
                  <c:v>2.3590000000000003E-2</c:v>
                </c:pt>
                <c:pt idx="252">
                  <c:v>2.4159166666666669E-2</c:v>
                </c:pt>
                <c:pt idx="253">
                  <c:v>2.4800833333333334E-2</c:v>
                </c:pt>
                <c:pt idx="254">
                  <c:v>2.5526666666666666E-2</c:v>
                </c:pt>
                <c:pt idx="255">
                  <c:v>2.63375E-2</c:v>
                </c:pt>
                <c:pt idx="256">
                  <c:v>2.6581666666666667E-2</c:v>
                </c:pt>
                <c:pt idx="257">
                  <c:v>2.6613333333333333E-2</c:v>
                </c:pt>
                <c:pt idx="258">
                  <c:v>2.6582500000000002E-2</c:v>
                </c:pt>
                <c:pt idx="259">
                  <c:v>2.6244166666666669E-2</c:v>
                </c:pt>
                <c:pt idx="260">
                  <c:v>2.6154999999999998E-2</c:v>
                </c:pt>
                <c:pt idx="261">
                  <c:v>2.5982499999999999E-2</c:v>
                </c:pt>
                <c:pt idx="262">
                  <c:v>2.5526666666666666E-2</c:v>
                </c:pt>
                <c:pt idx="263">
                  <c:v>2.4813333333333333E-2</c:v>
                </c:pt>
                <c:pt idx="264">
                  <c:v>2.3985833333333331E-2</c:v>
                </c:pt>
                <c:pt idx="265">
                  <c:v>2.3439166666666667E-2</c:v>
                </c:pt>
                <c:pt idx="266">
                  <c:v>2.2781666666666665E-2</c:v>
                </c:pt>
                <c:pt idx="267">
                  <c:v>2.2280000000000001E-2</c:v>
                </c:pt>
                <c:pt idx="268">
                  <c:v>2.1978333333333332E-2</c:v>
                </c:pt>
                <c:pt idx="269">
                  <c:v>2.18275E-2</c:v>
                </c:pt>
                <c:pt idx="270">
                  <c:v>2.1534999999999999E-2</c:v>
                </c:pt>
                <c:pt idx="271">
                  <c:v>2.1415833333333335E-2</c:v>
                </c:pt>
                <c:pt idx="272">
                  <c:v>2.1042499999999999E-2</c:v>
                </c:pt>
                <c:pt idx="273">
                  <c:v>2.0889166666666667E-2</c:v>
                </c:pt>
                <c:pt idx="274">
                  <c:v>2.0909166666666666E-2</c:v>
                </c:pt>
                <c:pt idx="275">
                  <c:v>2.0991666666666665E-2</c:v>
                </c:pt>
                <c:pt idx="276">
                  <c:v>2.1205000000000002E-2</c:v>
                </c:pt>
                <c:pt idx="277">
                  <c:v>2.0986666666666667E-2</c:v>
                </c:pt>
                <c:pt idx="278">
                  <c:v>2.0863333333333334E-2</c:v>
                </c:pt>
                <c:pt idx="279">
                  <c:v>2.0674166666666671E-2</c:v>
                </c:pt>
                <c:pt idx="280">
                  <c:v>2.0456666666666665E-2</c:v>
                </c:pt>
                <c:pt idx="281">
                  <c:v>1.9750833333333332E-2</c:v>
                </c:pt>
                <c:pt idx="282">
                  <c:v>1.9128333333333331E-2</c:v>
                </c:pt>
                <c:pt idx="283">
                  <c:v>1.8601666666666666E-2</c:v>
                </c:pt>
                <c:pt idx="284">
                  <c:v>1.8224999999999998E-2</c:v>
                </c:pt>
                <c:pt idx="285">
                  <c:v>1.7960833333333329E-2</c:v>
                </c:pt>
                <c:pt idx="286">
                  <c:v>1.8085833333333332E-2</c:v>
                </c:pt>
                <c:pt idx="287">
                  <c:v>1.8233333333333334E-2</c:v>
                </c:pt>
                <c:pt idx="288">
                  <c:v>1.8666666666666668E-2</c:v>
                </c:pt>
                <c:pt idx="289">
                  <c:v>1.9181666666666666E-2</c:v>
                </c:pt>
                <c:pt idx="290">
                  <c:v>1.9690000000000003E-2</c:v>
                </c:pt>
                <c:pt idx="291">
                  <c:v>2.0075833333333334E-2</c:v>
                </c:pt>
                <c:pt idx="292">
                  <c:v>2.0377500000000003E-2</c:v>
                </c:pt>
                <c:pt idx="293">
                  <c:v>2.1055833333333336E-2</c:v>
                </c:pt>
                <c:pt idx="294">
                  <c:v>2.1750833333333334E-2</c:v>
                </c:pt>
                <c:pt idx="295">
                  <c:v>2.2211666666666664E-2</c:v>
                </c:pt>
                <c:pt idx="296">
                  <c:v>2.281E-2</c:v>
                </c:pt>
                <c:pt idx="297">
                  <c:v>2.326166666666667E-2</c:v>
                </c:pt>
                <c:pt idx="298">
                  <c:v>2.33025E-2</c:v>
                </c:pt>
                <c:pt idx="299">
                  <c:v>2.3268333333333335E-2</c:v>
                </c:pt>
                <c:pt idx="300">
                  <c:v>2.3492499999999999E-2</c:v>
                </c:pt>
                <c:pt idx="301">
                  <c:v>2.3917499999999994E-2</c:v>
                </c:pt>
                <c:pt idx="302">
                  <c:v>2.4204999999999997E-2</c:v>
                </c:pt>
                <c:pt idx="303">
                  <c:v>2.4750000000000001E-2</c:v>
                </c:pt>
                <c:pt idx="304">
                  <c:v>2.5271666666666665E-2</c:v>
                </c:pt>
                <c:pt idx="305">
                  <c:v>2.5727499999999997E-2</c:v>
                </c:pt>
                <c:pt idx="306">
                  <c:v>2.6287499999999998E-2</c:v>
                </c:pt>
                <c:pt idx="307">
                  <c:v>2.6897500000000001E-2</c:v>
                </c:pt>
                <c:pt idx="308">
                  <c:v>2.750583333333333E-2</c:v>
                </c:pt>
                <c:pt idx="309">
                  <c:v>2.8158333333333334E-2</c:v>
                </c:pt>
                <c:pt idx="310">
                  <c:v>2.8655000000000003E-2</c:v>
                </c:pt>
                <c:pt idx="311">
                  <c:v>2.8889166666666667E-2</c:v>
                </c:pt>
                <c:pt idx="312">
                  <c:v>2.8818333333333331E-2</c:v>
                </c:pt>
                <c:pt idx="313">
                  <c:v>2.8687499999999998E-2</c:v>
                </c:pt>
                <c:pt idx="314">
                  <c:v>2.8414999999999999E-2</c:v>
                </c:pt>
                <c:pt idx="315">
                  <c:v>2.8059166666666666E-2</c:v>
                </c:pt>
                <c:pt idx="316">
                  <c:v>2.74925E-2</c:v>
                </c:pt>
                <c:pt idx="317">
                  <c:v>2.6784999999999996E-2</c:v>
                </c:pt>
                <c:pt idx="318">
                  <c:v>2.5999166666666667E-2</c:v>
                </c:pt>
                <c:pt idx="319">
                  <c:v>2.4876666666666668E-2</c:v>
                </c:pt>
                <c:pt idx="320">
                  <c:v>2.3725833333333335E-2</c:v>
                </c:pt>
                <c:pt idx="321">
                  <c:v>2.2502499999999998E-2</c:v>
                </c:pt>
                <c:pt idx="322">
                  <c:v>2.1471666666666667E-2</c:v>
                </c:pt>
                <c:pt idx="323">
                  <c:v>2.08325E-2</c:v>
                </c:pt>
                <c:pt idx="324">
                  <c:v>1.9903333333333332E-2</c:v>
                </c:pt>
                <c:pt idx="325">
                  <c:v>1.8583333333333334E-2</c:v>
                </c:pt>
                <c:pt idx="326">
                  <c:v>1.7153333333333333E-2</c:v>
                </c:pt>
                <c:pt idx="327">
                  <c:v>1.5580833333333332E-2</c:v>
                </c:pt>
                <c:pt idx="328">
                  <c:v>1.4335833333333336E-2</c:v>
                </c:pt>
                <c:pt idx="329">
                  <c:v>1.3213333333333334E-2</c:v>
                </c:pt>
                <c:pt idx="330">
                  <c:v>1.1975833333333335E-2</c:v>
                </c:pt>
                <c:pt idx="331">
                  <c:v>1.1298333333333332E-2</c:v>
                </c:pt>
                <c:pt idx="332">
                  <c:v>1.0466666666666666E-2</c:v>
                </c:pt>
                <c:pt idx="333">
                  <c:v>9.7741666666666654E-3</c:v>
                </c:pt>
                <c:pt idx="334">
                  <c:v>8.9974999999999968E-3</c:v>
                </c:pt>
                <c:pt idx="335">
                  <c:v>8.1624999999999979E-3</c:v>
                </c:pt>
                <c:pt idx="336">
                  <c:v>7.8066666666666675E-3</c:v>
                </c:pt>
                <c:pt idx="337">
                  <c:v>8.0841666666666666E-3</c:v>
                </c:pt>
                <c:pt idx="338">
                  <c:v>8.9575000000000002E-3</c:v>
                </c:pt>
                <c:pt idx="339">
                  <c:v>9.7983333333333342E-3</c:v>
                </c:pt>
                <c:pt idx="340">
                  <c:v>1.0575833333333333E-2</c:v>
                </c:pt>
                <c:pt idx="341">
                  <c:v>1.1234166666666667E-2</c:v>
                </c:pt>
                <c:pt idx="342">
                  <c:v>1.1819999999999999E-2</c:v>
                </c:pt>
                <c:pt idx="343">
                  <c:v>1.2329166666666667E-2</c:v>
                </c:pt>
                <c:pt idx="344">
                  <c:v>1.3039166666666666E-2</c:v>
                </c:pt>
                <c:pt idx="345">
                  <c:v>1.362E-2</c:v>
                </c:pt>
                <c:pt idx="346">
                  <c:v>1.4119166666666667E-2</c:v>
                </c:pt>
                <c:pt idx="347">
                  <c:v>1.4615E-2</c:v>
                </c:pt>
                <c:pt idx="348">
                  <c:v>1.5189166666666667E-2</c:v>
                </c:pt>
                <c:pt idx="349">
                  <c:v>1.5504999999999998E-2</c:v>
                </c:pt>
                <c:pt idx="350">
                  <c:v>1.5989166666666665E-2</c:v>
                </c:pt>
                <c:pt idx="351">
                  <c:v>1.7035833333333333E-2</c:v>
                </c:pt>
                <c:pt idx="352">
                  <c:v>1.8088333333333335E-2</c:v>
                </c:pt>
                <c:pt idx="353">
                  <c:v>1.9362500000000001E-2</c:v>
                </c:pt>
                <c:pt idx="354">
                  <c:v>2.0531666666666667E-2</c:v>
                </c:pt>
                <c:pt idx="355">
                  <c:v>2.2055833333333337E-2</c:v>
                </c:pt>
                <c:pt idx="356">
                  <c:v>2.395166666666667E-2</c:v>
                </c:pt>
                <c:pt idx="357">
                  <c:v>2.6175833333333332E-2</c:v>
                </c:pt>
                <c:pt idx="358">
                  <c:v>2.8059166666666666E-2</c:v>
                </c:pt>
                <c:pt idx="359">
                  <c:v>3.0031666666666665E-2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4-4E3B-8E83-C2777CA39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50304"/>
        <c:axId val="1606250720"/>
      </c:lineChart>
      <c:dateAx>
        <c:axId val="1606250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6250720"/>
        <c:crosses val="autoZero"/>
        <c:auto val="1"/>
        <c:lblOffset val="100"/>
        <c:baseTimeUnit val="months"/>
      </c:dateAx>
      <c:valAx>
        <c:axId val="16062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62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 - CDI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Box Plot - CDI</a:t>
          </a:r>
        </a:p>
      </cx:txPr>
    </cx:title>
    <cx:plotArea>
      <cx:plotAreaRegion>
        <cx:series layoutId="boxWhisker" uniqueId="{44BA4574-1BF0-4FE8-9A34-468EC3A1160F}">
          <cx:tx>
            <cx:txData>
              <cx:f>_xlchart.v1.0</cx:f>
              <cx:v>Média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1238250</xdr:colOff>
      <xdr:row>0</xdr:row>
      <xdr:rowOff>66675</xdr:rowOff>
    </xdr:from>
    <xdr:to>
      <xdr:col>20</xdr:col>
      <xdr:colOff>125156</xdr:colOff>
      <xdr:row>38</xdr:row>
      <xdr:rowOff>124822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4A24827-3DEA-46FC-8B95-0D304EEB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66675"/>
          <a:ext cx="9526331" cy="7144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42</xdr:row>
      <xdr:rowOff>19050</xdr:rowOff>
    </xdr:from>
    <xdr:to>
      <xdr:col>9</xdr:col>
      <xdr:colOff>543889</xdr:colOff>
      <xdr:row>60</xdr:row>
      <xdr:rowOff>19529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754F1A2-78B5-FDE9-361C-2948915CA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8020050"/>
          <a:ext cx="6906589" cy="342947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42</xdr:col>
      <xdr:colOff>305608</xdr:colOff>
      <xdr:row>29</xdr:row>
      <xdr:rowOff>181692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47BFF4FB-FC30-B907-396E-F8D945FB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26375" y="571500"/>
          <a:ext cx="5792008" cy="513469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32</xdr:col>
      <xdr:colOff>267503</xdr:colOff>
      <xdr:row>30</xdr:row>
      <xdr:rowOff>115034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1D0109D2-DAFF-1D60-F3A4-636C06361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30375" y="571500"/>
          <a:ext cx="5753903" cy="525853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54</xdr:col>
      <xdr:colOff>400957</xdr:colOff>
      <xdr:row>30</xdr:row>
      <xdr:rowOff>134060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2037F18F-0FE0-42C5-D464-4AF5BE59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31975" y="762000"/>
          <a:ext cx="6496957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</xdr:row>
      <xdr:rowOff>171450</xdr:rowOff>
    </xdr:from>
    <xdr:to>
      <xdr:col>12</xdr:col>
      <xdr:colOff>38100</xdr:colOff>
      <xdr:row>19</xdr:row>
      <xdr:rowOff>84157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940AF4-B431-3157-BA46-AE94564B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742950"/>
          <a:ext cx="8305800" cy="29607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22</xdr:col>
      <xdr:colOff>29345</xdr:colOff>
      <xdr:row>25</xdr:row>
      <xdr:rowOff>48163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DAC39BD-CE29-BEE5-12F1-655F2CB2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0" y="952500"/>
          <a:ext cx="5515745" cy="3858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286646</xdr:colOff>
      <xdr:row>16</xdr:row>
      <xdr:rowOff>19451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257663-4CC6-5430-F40E-BD96A3FA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20746" cy="28769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23</xdr:col>
      <xdr:colOff>96114</xdr:colOff>
      <xdr:row>16</xdr:row>
      <xdr:rowOff>124241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AD412F5-A150-28C6-E004-6E2A3A8F4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6192114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229488</xdr:colOff>
      <xdr:row>47</xdr:row>
      <xdr:rowOff>124454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3C906B1-A0FD-7DAA-A806-57CA5BE7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6363588" cy="4505954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2</xdr:row>
      <xdr:rowOff>104775</xdr:rowOff>
    </xdr:from>
    <xdr:to>
      <xdr:col>33</xdr:col>
      <xdr:colOff>324702</xdr:colOff>
      <xdr:row>34</xdr:row>
      <xdr:rowOff>134205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E61D5BA-70A5-3AFD-AC58-47910956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82825" y="485775"/>
          <a:ext cx="6106377" cy="612543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45</xdr:col>
      <xdr:colOff>19989</xdr:colOff>
      <xdr:row>31</xdr:row>
      <xdr:rowOff>143613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DB5084C-4D4A-B7F6-DD41-9BCC374B4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74100" y="762000"/>
          <a:ext cx="6725589" cy="5287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12</xdr:col>
      <xdr:colOff>86733</xdr:colOff>
      <xdr:row>60</xdr:row>
      <xdr:rowOff>76875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10202E7-AC95-DA69-B786-F6E184E6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4762500"/>
          <a:ext cx="7220958" cy="483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277259</xdr:colOff>
      <xdr:row>29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2682816-E8D4-F3AC-B19D-5C5641C6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571500"/>
          <a:ext cx="7411484" cy="506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24</xdr:col>
      <xdr:colOff>277170</xdr:colOff>
      <xdr:row>25</xdr:row>
      <xdr:rowOff>76796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3CA26D1-CD03-ED89-46E5-81AE37A5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571500"/>
          <a:ext cx="6773220" cy="426779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36</xdr:col>
      <xdr:colOff>143802</xdr:colOff>
      <xdr:row>30</xdr:row>
      <xdr:rowOff>153139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0E1AEA5-41F4-7406-2F86-79953B13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1925" y="571500"/>
          <a:ext cx="6639852" cy="529663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47</xdr:col>
      <xdr:colOff>210404</xdr:colOff>
      <xdr:row>29</xdr:row>
      <xdr:rowOff>76875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255B4CA-1C28-558B-6FDD-F5E00639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8525" y="762000"/>
          <a:ext cx="6115904" cy="483937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</xdr:row>
      <xdr:rowOff>0</xdr:rowOff>
    </xdr:from>
    <xdr:to>
      <xdr:col>60</xdr:col>
      <xdr:colOff>362990</xdr:colOff>
      <xdr:row>38</xdr:row>
      <xdr:rowOff>181904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A28D7F-D0B5-BBDE-C3E9-A47205DC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84575" y="762000"/>
          <a:ext cx="7449590" cy="6658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10</xdr:col>
      <xdr:colOff>124664</xdr:colOff>
      <xdr:row>31</xdr:row>
      <xdr:rowOff>143683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D70883-6097-EBD6-2198-7B8FD6D6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57175"/>
          <a:ext cx="6011114" cy="5792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219929</xdr:colOff>
      <xdr:row>70</xdr:row>
      <xdr:rowOff>48562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C6F0E5-0A1A-BB1F-6D0C-6F606725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115904" cy="67160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153142</xdr:colOff>
      <xdr:row>27</xdr:row>
      <xdr:rowOff>691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0768323-67C0-6206-E96E-54C38EA38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90500"/>
          <a:ext cx="5315692" cy="495369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32</xdr:col>
      <xdr:colOff>172325</xdr:colOff>
      <xdr:row>31</xdr:row>
      <xdr:rowOff>134166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9E89E1-9C3B-2FDB-E2F0-8A718846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90500"/>
          <a:ext cx="6268325" cy="584916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43</xdr:col>
      <xdr:colOff>105640</xdr:colOff>
      <xdr:row>31</xdr:row>
      <xdr:rowOff>124640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522D6A3-46EA-ED0B-9286-DFD2D04E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16800" y="190500"/>
          <a:ext cx="6201640" cy="583964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</xdr:row>
      <xdr:rowOff>0</xdr:rowOff>
    </xdr:from>
    <xdr:to>
      <xdr:col>54</xdr:col>
      <xdr:colOff>258062</xdr:colOff>
      <xdr:row>27</xdr:row>
      <xdr:rowOff>29270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C98BF14-3D2D-24A5-B6C1-5C5709F4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22400" y="190500"/>
          <a:ext cx="6354062" cy="49822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21</xdr:col>
      <xdr:colOff>258017</xdr:colOff>
      <xdr:row>57</xdr:row>
      <xdr:rowOff>38531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93771FE-7B7C-207A-E56E-A41F1BB0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4775" y="7810500"/>
          <a:ext cx="6030167" cy="30865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39040</xdr:colOff>
      <xdr:row>20</xdr:row>
      <xdr:rowOff>162453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C85064B-0D87-44F0-7955-49E8C210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735115" cy="378195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505661</xdr:colOff>
      <xdr:row>18</xdr:row>
      <xdr:rowOff>57610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1DF63AB-88FE-D401-AF55-4F1C0144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90500"/>
          <a:ext cx="5992061" cy="3296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19817</xdr:colOff>
      <xdr:row>37</xdr:row>
      <xdr:rowOff>86083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9BC951B-8522-29D7-B202-8874FFB7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5496692" cy="256258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34</xdr:col>
      <xdr:colOff>486694</xdr:colOff>
      <xdr:row>21</xdr:row>
      <xdr:rowOff>114848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C486442-0C7D-1822-AF17-247F720B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90500"/>
          <a:ext cx="6582694" cy="39248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400957</xdr:colOff>
      <xdr:row>15</xdr:row>
      <xdr:rowOff>133741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CAAD3C6-7630-2BF2-BBBC-1784CBD9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90500"/>
          <a:ext cx="6496957" cy="28007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58</xdr:col>
      <xdr:colOff>381904</xdr:colOff>
      <xdr:row>16</xdr:row>
      <xdr:rowOff>19451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40FC782-DF2C-367D-7E5D-1C36D6C5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60800" y="190500"/>
          <a:ext cx="6477904" cy="28769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180975</xdr:rowOff>
    </xdr:from>
    <xdr:to>
      <xdr:col>10</xdr:col>
      <xdr:colOff>505748</xdr:colOff>
      <xdr:row>17</xdr:row>
      <xdr:rowOff>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AD2D91-3A97-DCED-1DC2-6BCBEA36F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71475"/>
          <a:ext cx="6611273" cy="28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543595</xdr:colOff>
      <xdr:row>24</xdr:row>
      <xdr:rowOff>95370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DCAFB3A-5D57-8D3C-5ED8-1E0691498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801270" cy="85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381819</xdr:colOff>
      <xdr:row>14</xdr:row>
      <xdr:rowOff>133714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6743E98-B8C7-33F2-A89D-5CE4461B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90500"/>
          <a:ext cx="5868219" cy="26102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34</xdr:col>
      <xdr:colOff>381904</xdr:colOff>
      <xdr:row>18</xdr:row>
      <xdr:rowOff>9978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2A2CD72-9E0B-EC61-3F84-DE8A0FB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90500"/>
          <a:ext cx="6477904" cy="324847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477167</xdr:colOff>
      <xdr:row>18</xdr:row>
      <xdr:rowOff>38557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B9CF0B3-4F12-C670-8B69-ADAF893C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90500"/>
          <a:ext cx="6573167" cy="3277057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58</xdr:col>
      <xdr:colOff>410483</xdr:colOff>
      <xdr:row>14</xdr:row>
      <xdr:rowOff>9872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6D9FC35-8ACA-615C-1E4A-E43E8097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60800" y="190500"/>
          <a:ext cx="6506483" cy="2486372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19</xdr:row>
      <xdr:rowOff>47625</xdr:rowOff>
    </xdr:from>
    <xdr:to>
      <xdr:col>20</xdr:col>
      <xdr:colOff>305733</xdr:colOff>
      <xdr:row>33</xdr:row>
      <xdr:rowOff>19418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A1659BF-6FE6-8F5F-3D19-EA62A9A06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0825" y="3667125"/>
          <a:ext cx="6687483" cy="26387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152400</xdr:rowOff>
    </xdr:from>
    <xdr:to>
      <xdr:col>21</xdr:col>
      <xdr:colOff>57150</xdr:colOff>
      <xdr:row>32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02974F9-58FA-0DEC-A2DC-DFFA2B363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4</xdr:row>
      <xdr:rowOff>0</xdr:rowOff>
    </xdr:from>
    <xdr:ext cx="4455977" cy="3345597"/>
    <xdr:pic>
      <xdr:nvPicPr>
        <xdr:cNvPr id="2" name="Imagem 1">
          <a:extLst>
            <a:ext uri="{FF2B5EF4-FFF2-40B4-BE49-F238E27FC236}">
              <a16:creationId xmlns:a16="http://schemas.microsoft.com/office/drawing/2014/main" id="{F66495F8-3837-421C-B21E-0DB6544A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762000"/>
          <a:ext cx="4455977" cy="3345597"/>
        </a:xfrm>
        <a:prstGeom prst="rect">
          <a:avLst/>
        </a:prstGeom>
      </xdr:spPr>
    </xdr:pic>
    <xdr:clientData/>
  </xdr:oneCellAnchor>
  <xdr:twoCellAnchor>
    <xdr:from>
      <xdr:col>20</xdr:col>
      <xdr:colOff>167640</xdr:colOff>
      <xdr:row>2</xdr:row>
      <xdr:rowOff>99060</xdr:rowOff>
    </xdr:from>
    <xdr:to>
      <xdr:col>24</xdr:col>
      <xdr:colOff>541020</xdr:colOff>
      <xdr:row>18</xdr:row>
      <xdr:rowOff>0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4AF079F9-FBBF-477D-8479-7089F7768F76}"/>
            </a:ext>
          </a:extLst>
        </xdr:cNvPr>
        <xdr:cNvCxnSpPr/>
      </xdr:nvCxnSpPr>
      <xdr:spPr>
        <a:xfrm>
          <a:off x="12359640" y="480060"/>
          <a:ext cx="2811780" cy="2948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16</xdr:col>
      <xdr:colOff>409575</xdr:colOff>
      <xdr:row>24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1B8C398-B27E-4A76-86FE-CC716D7C0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571500"/>
              <a:ext cx="5172075" cy="41576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ttgov.sharepoint.com/Users/ysnel.valvano/Documents/MEM&#211;RIA%20DE%20C&#193;LCULO%20DE%20CAB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TEGRAM_28115/EL&#201;TRICA/DOCUMENTOS%20EM%20ELABORA&#199;&#195;O/TEGRAM-YSNEL/_RELA&#199;&#195;O%20DE%20CARGAS/Dimensionamento%20Banco%20Bateri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"/>
      <sheetName val="FOLHA"/>
      <sheetName val="FORMU"/>
      <sheetName val="CABOS"/>
      <sheetName val="Apoio_Motores"/>
      <sheetName val="Cabos_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terias Ni-Cd_AZXIV"/>
      <sheetName val="Dimensionamento VRLA"/>
      <sheetName val="Dimensionamento Banco"/>
      <sheetName val="Curva Descarga"/>
      <sheetName val="Fator Temperatura"/>
      <sheetName val="Fator K"/>
      <sheetName val="Fator K_VRLA_C10_2V"/>
      <sheetName val="Fator K_Ni-Cd_C5"/>
      <sheetName val="Apo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br/antt/pt-br/assuntos/ferrovias/concessoes-ferroviarias/rumo-malha-norte-s-a" TargetMode="External"/><Relationship Id="rId13" Type="http://schemas.openxmlformats.org/officeDocument/2006/relationships/hyperlink" Target="https://www.gov.br/antt/pt-br/assuntos/ferrovias/concessoes-ferroviarias/vale-estrada-de-ferro-carajas" TargetMode="External"/><Relationship Id="rId3" Type="http://schemas.openxmlformats.org/officeDocument/2006/relationships/hyperlink" Target="https://www.gov.br/antt/pt-br/assuntos/ferrovias/concessoes-ferroviarias/ferrovia-norte-sul-tramo-norte-fnstn" TargetMode="External"/><Relationship Id="rId7" Type="http://schemas.openxmlformats.org/officeDocument/2006/relationships/hyperlink" Target="https://www.gov.br/antt/pt-br/assuntos/ferrovias/concessoes-ferroviarias/ferrovia-norte-sul-tramo-central-fnstc" TargetMode="External"/><Relationship Id="rId12" Type="http://schemas.openxmlformats.org/officeDocument/2006/relationships/hyperlink" Target="https://www.gov.br/antt/pt-br/assuntos/ferrovias/concessoes-ferroviarias/transnordestina-logistica-s-a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www.gov.br/antt/pt-br/assuntos/ferrovias/concessoes-ferroviarias/ferrovia-centro-atlantica-s-a" TargetMode="External"/><Relationship Id="rId16" Type="http://schemas.openxmlformats.org/officeDocument/2006/relationships/hyperlink" Target="https://www.gov.br/antt/pt-br/assuntos/ferrovias/concessoes-ferroviarias/valec-sa-fns-fiol" TargetMode="External"/><Relationship Id="rId1" Type="http://schemas.openxmlformats.org/officeDocument/2006/relationships/hyperlink" Target="https://www.gov.br/antt/pt-br/assuntos/ferrovias/concessoes-ferroviarias/estrada-de-ferro-parana-oeste-s-a" TargetMode="External"/><Relationship Id="rId6" Type="http://schemas.openxmlformats.org/officeDocument/2006/relationships/hyperlink" Target="https://www.gov.br/antt/pt-br/assuntos/ferrovias/concessoes-ferroviarias/mrs-logistica-s-a" TargetMode="External"/><Relationship Id="rId11" Type="http://schemas.openxmlformats.org/officeDocument/2006/relationships/hyperlink" Target="https://www.gov.br/antt/pt-br/assuntos/ferrovias/concessoes-ferroviarias/rumo-malha-sul-s-a" TargetMode="External"/><Relationship Id="rId5" Type="http://schemas.openxmlformats.org/officeDocument/2006/relationships/hyperlink" Target="https://www.gov.br/antt/pt-br/assuntos/ferrovias/concessoes-ferroviarias/ferrovia-transnordestina-logistica-s-a" TargetMode="External"/><Relationship Id="rId15" Type="http://schemas.openxmlformats.org/officeDocument/2006/relationships/hyperlink" Target="https://www.gov.br/antt/pt-br/assuntos/ferrovias/concessoes-ferroviarias/ferrovia-de-integracao-oeste-leste-fiol-trecho-1" TargetMode="External"/><Relationship Id="rId10" Type="http://schemas.openxmlformats.org/officeDocument/2006/relationships/hyperlink" Target="https://www.gov.br/antt/pt-br/assuntos/ferrovias/concessoes-ferroviarias/rumo-malha-paulista-s-a" TargetMode="External"/><Relationship Id="rId4" Type="http://schemas.openxmlformats.org/officeDocument/2006/relationships/hyperlink" Target="https://www.gov.br/antt/pt-br/assuntos/ferrovias/concessoes-ferroviarias/ferrovia-tereza-cristina-s-a" TargetMode="External"/><Relationship Id="rId9" Type="http://schemas.openxmlformats.org/officeDocument/2006/relationships/hyperlink" Target="https://www.gov.br/antt/pt-br/assuntos/ferrovias/concessoes-ferroviarias/rumo-malha-oeste-s-a" TargetMode="External"/><Relationship Id="rId14" Type="http://schemas.openxmlformats.org/officeDocument/2006/relationships/hyperlink" Target="https://www.gov.br/antt/pt-br/assuntos/ferrovias/concessoes-ferroviarias/vale-estrada-de-ferro-vitoria-a-mina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ndes.gov.br/wps/portal/site/home/transparencia/consulta-operacoes-bndes/consulta-a-operacoes-bndes/!ut/p/z1/tZNNc5swEIZ_Sw4cZS0gbKc3nBA7ASdpM_6AS0aAMGqNRCTZNP31FW4ObtO408lEF41W2mffV1rhDK9xJuieb6jhUtCtXafZ8DE5j6MZuYNk-gVcCIP4Klxexv4YAK8OB-CNEQLOjvPBv7-CcJa4CzKfgBcTvMQZzgphWlPjNBcl049caMPNrjgocKCWDXPAKCp0SxUTBacOFFLo3dZQVHFB-1DDhJH6aIMi2TJFC8k0OnD7Qm3BS5x6bJh7o4KgqgxKRIqyRLQaVaisXMK8gA1LoC_GTjjPTvte9fWOCXfXfmS9XyQBiWJ3eu6_HDjBSK2G0ZGG-1t7e8HnCUwj4hJ3iFd7zjq8EFI19rEe_tPi7HWF5eQSwuT6IZkuwB-77jsr_MNA8LH40TvxN78_4OsWsL_DU_OL-cZiqakRF5XE6xMtaBP416enLLQ9L4Vh3w1ef2zTWw-brcx_feVQ5P7YilWsYoqpwU7ZcG1Mqz854EDXdYND1mAj94Nc2Uhr6a1UptekuWFvKPsbvJbauvuTidtm0Yz9Z_Stmkc-SW_2Pya3qJ8StkJZ_tyFZ2c_AVT-wCA!/dz/d5/L2dBISEvZ0FBIS9nQSEh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vale.com/pt/comunicados-resultados-apresentacoes-e-relatorios?_gl=1*1blh9hw*_ga*MTg4NzQzMzAyNC4xNjc2NDY0NjE2*_ga_BNK5C1QYMC*MTY3NjQ2NDYxNi4xLjEuMTY3NjQ2NjE4Ni4zMi4wLjA.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ri.usiminas.com/resultados-e-divulgacoes/central-de-resultados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ri.csn.com.br/informacoes-financeiras/central-de-resultados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br.financas.yahoo.com/quote/VALE3.SA/history?period1=946944000&amp;period2=1678320000&amp;interval=1mo&amp;filter=history&amp;frequency=1mo&amp;includeAdjustedClose=tru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br.financas.yahoo.com/quote/ECOR3.SA/history?p=ECOR3.SA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ATL.MI/history?p=ATL.MI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br.financas.yahoo.com/quote/%5EBVSP/history?p=%5EBVSP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br.investing.com/indices/us-spx-500-historical-data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BRL%3DX?p=BRL%3DX&amp;.tsrc=fin-srch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br.financas.yahoo.com/quote/EUR%3DX/history?period1=1070236800&amp;period2=1665100800&amp;interval=1wk&amp;filter=history&amp;frequency=1wk&amp;includeAdjustedClose=true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finance.yahoo.com/quote/%5ETNX/history?period1=-252374400&amp;period2=1666224000&amp;interval=1mo&amp;filter=history&amp;frequency=1mo&amp;includeAdjustedClose=true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CPIAUCSL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r.investing.com/rates-bonds/brazil-cds-10-years-usd-historical-data" TargetMode="Externa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ibge.gov.br/estatisticas/economicas/precos-e-custos/9256-indice-nacional-de-precos-ao-consumidor-amplo.html?=&amp;t=series-historicas" TargetMode="External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br.investing.com/equities/cdi-corp-historical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9D05C-58F2-4B5B-9C3B-215A85A128FD}">
  <dimension ref="A1:XFB47"/>
  <sheetViews>
    <sheetView showGridLines="0" topLeftCell="A46" zoomScale="85" zoomScaleNormal="85" workbookViewId="0">
      <selection activeCell="B29" sqref="B29"/>
    </sheetView>
  </sheetViews>
  <sheetFormatPr baseColWidth="10" defaultColWidth="9.1640625" defaultRowHeight="14" x14ac:dyDescent="0.2"/>
  <cols>
    <col min="1" max="1" width="6.5" style="6" customWidth="1"/>
    <col min="2" max="2" width="45.6640625" style="6" customWidth="1"/>
    <col min="3" max="16384" width="9.1640625" style="6"/>
  </cols>
  <sheetData>
    <row r="1" spans="1:12" s="23" customFormat="1" ht="16" x14ac:dyDescent="0.2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</row>
    <row r="2" spans="1:12" s="23" customFormat="1" ht="15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12" s="23" customFormat="1" ht="15" x14ac:dyDescent="0.2">
      <c r="A3" s="12"/>
      <c r="B3" s="300" t="s">
        <v>643</v>
      </c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1:12" s="23" customFormat="1" ht="15" x14ac:dyDescent="0.2">
      <c r="A4" s="12"/>
      <c r="B4" s="301" t="s">
        <v>644</v>
      </c>
      <c r="C4" s="16">
        <v>2022</v>
      </c>
      <c r="D4" s="12"/>
      <c r="E4" s="12"/>
      <c r="F4" s="12"/>
      <c r="G4" s="12"/>
      <c r="H4" s="12"/>
      <c r="I4" s="12"/>
      <c r="J4" s="12"/>
      <c r="K4" s="12"/>
      <c r="L4" s="12"/>
    </row>
    <row r="5" spans="1:12" s="23" customFormat="1" ht="15" x14ac:dyDescent="0.2">
      <c r="A5" s="12"/>
      <c r="B5" s="301" t="s">
        <v>645</v>
      </c>
      <c r="C5" s="18">
        <v>44531</v>
      </c>
      <c r="D5" s="12"/>
      <c r="E5" s="12"/>
      <c r="F5" s="12"/>
      <c r="G5" s="12"/>
      <c r="H5" s="12"/>
      <c r="I5" s="12"/>
      <c r="J5" s="12"/>
      <c r="K5" s="12"/>
      <c r="L5" s="12"/>
    </row>
    <row r="6" spans="1:12" s="12" customFormat="1" ht="14.25" customHeight="1" x14ac:dyDescent="0.2"/>
    <row r="7" spans="1:12" s="7" customFormat="1" ht="16" x14ac:dyDescent="0.2">
      <c r="A7" s="8"/>
      <c r="B7" s="11" t="s">
        <v>1</v>
      </c>
      <c r="C7" s="11" t="s">
        <v>2</v>
      </c>
      <c r="D7" s="8"/>
      <c r="E7" s="8"/>
      <c r="F7" s="8"/>
      <c r="G7" s="8"/>
      <c r="H7" s="8"/>
      <c r="I7" s="8"/>
      <c r="J7" s="8"/>
      <c r="K7" s="8"/>
    </row>
    <row r="8" spans="1:12" s="7" customFormat="1" ht="16" x14ac:dyDescent="0.2">
      <c r="A8" s="93" t="s">
        <v>3</v>
      </c>
      <c r="B8" s="10" t="s">
        <v>4</v>
      </c>
      <c r="C8" s="9" t="s">
        <v>5</v>
      </c>
      <c r="D8" s="10"/>
      <c r="E8" s="10"/>
      <c r="F8" s="10"/>
      <c r="G8" s="10"/>
      <c r="H8" s="10"/>
      <c r="I8" s="10"/>
      <c r="J8" s="10"/>
      <c r="K8" s="10"/>
      <c r="L8" s="10"/>
    </row>
    <row r="9" spans="1:12" s="7" customFormat="1" ht="16" x14ac:dyDescent="0.2">
      <c r="A9" s="93" t="s">
        <v>6</v>
      </c>
      <c r="B9" s="10" t="s">
        <v>7</v>
      </c>
      <c r="C9" s="9" t="s">
        <v>8</v>
      </c>
      <c r="D9" s="10"/>
      <c r="E9" s="10"/>
      <c r="F9" s="10"/>
      <c r="G9" s="10"/>
      <c r="H9" s="10"/>
      <c r="I9" s="10"/>
      <c r="J9" s="10"/>
      <c r="K9" s="10"/>
      <c r="L9" s="10"/>
    </row>
    <row r="10" spans="1:12" s="7" customFormat="1" ht="16" x14ac:dyDescent="0.2">
      <c r="A10" s="93" t="s">
        <v>9</v>
      </c>
      <c r="B10" s="10" t="s">
        <v>10</v>
      </c>
      <c r="C10" s="9" t="s">
        <v>11</v>
      </c>
      <c r="D10" s="10"/>
      <c r="E10" s="10"/>
      <c r="F10" s="10"/>
      <c r="G10" s="10"/>
      <c r="H10" s="10"/>
      <c r="I10" s="10"/>
      <c r="J10" s="10"/>
      <c r="K10" s="10"/>
      <c r="L10" s="10"/>
    </row>
    <row r="11" spans="1:12" s="7" customFormat="1" ht="16" x14ac:dyDescent="0.2">
      <c r="A11" s="93" t="s">
        <v>12</v>
      </c>
      <c r="B11" s="10" t="s">
        <v>13</v>
      </c>
      <c r="C11" s="9" t="s">
        <v>14</v>
      </c>
      <c r="D11" s="10"/>
      <c r="E11" s="10"/>
      <c r="F11" s="10"/>
      <c r="G11" s="10"/>
      <c r="H11" s="10"/>
      <c r="I11" s="10"/>
      <c r="J11" s="10"/>
      <c r="K11" s="10"/>
      <c r="L11" s="10"/>
    </row>
    <row r="12" spans="1:12" s="7" customFormat="1" ht="16" x14ac:dyDescent="0.2">
      <c r="A12" s="93" t="s">
        <v>15</v>
      </c>
      <c r="B12" s="10" t="s">
        <v>16</v>
      </c>
      <c r="C12" s="9" t="s">
        <v>17</v>
      </c>
      <c r="D12" s="10"/>
      <c r="E12" s="10"/>
      <c r="F12" s="10"/>
      <c r="G12" s="10"/>
      <c r="H12" s="10"/>
      <c r="I12" s="10"/>
      <c r="J12" s="10"/>
      <c r="K12" s="10"/>
      <c r="L12" s="10"/>
    </row>
    <row r="13" spans="1:12" s="7" customFormat="1" ht="16" x14ac:dyDescent="0.2">
      <c r="A13" s="93" t="s">
        <v>18</v>
      </c>
      <c r="B13" s="10" t="s">
        <v>19</v>
      </c>
      <c r="C13" s="9" t="s">
        <v>20</v>
      </c>
      <c r="D13" s="10"/>
      <c r="E13" s="10"/>
      <c r="F13" s="10"/>
      <c r="G13" s="10"/>
      <c r="H13" s="10"/>
      <c r="I13" s="10"/>
      <c r="J13" s="10"/>
      <c r="K13" s="10"/>
      <c r="L13" s="10"/>
    </row>
    <row r="14" spans="1:12" s="7" customFormat="1" ht="16" x14ac:dyDescent="0.2">
      <c r="A14" s="93" t="s">
        <v>21</v>
      </c>
      <c r="B14" s="10" t="s">
        <v>28</v>
      </c>
      <c r="C14" s="9" t="s">
        <v>575</v>
      </c>
      <c r="D14" s="10"/>
      <c r="E14" s="10"/>
      <c r="F14" s="10"/>
      <c r="G14" s="10"/>
      <c r="H14" s="10"/>
      <c r="I14" s="10"/>
      <c r="J14" s="10"/>
      <c r="K14" s="10"/>
      <c r="L14" s="10"/>
    </row>
    <row r="15" spans="1:12" s="7" customFormat="1" ht="16" x14ac:dyDescent="0.2">
      <c r="A15" s="93" t="s">
        <v>24</v>
      </c>
      <c r="B15" s="10" t="s">
        <v>30</v>
      </c>
      <c r="C15" s="9" t="s">
        <v>576</v>
      </c>
      <c r="D15" s="10"/>
      <c r="E15" s="10"/>
      <c r="F15" s="10"/>
      <c r="G15" s="10"/>
      <c r="H15" s="10"/>
      <c r="I15" s="10"/>
      <c r="J15" s="10"/>
      <c r="K15" s="10"/>
      <c r="L15" s="10"/>
    </row>
    <row r="16" spans="1:12" s="7" customFormat="1" ht="16" x14ac:dyDescent="0.2">
      <c r="A16" s="93" t="s">
        <v>27</v>
      </c>
      <c r="B16" s="10" t="s">
        <v>620</v>
      </c>
      <c r="C16" s="9" t="s">
        <v>621</v>
      </c>
      <c r="D16" s="10"/>
      <c r="E16" s="10"/>
      <c r="F16" s="10"/>
      <c r="G16" s="10"/>
      <c r="H16" s="10"/>
      <c r="I16" s="10"/>
      <c r="J16" s="10"/>
      <c r="K16" s="10"/>
      <c r="L16" s="10"/>
    </row>
    <row r="17" spans="1:1022 1027:2048 2053:3068 3073:4094 4099:5120 5125:6140 6145:7166 7171:8192 8197:9212 9217:10238 10243:11264 11269:12284 12289:13310 13315:14336 14341:15356 15361:16382" s="7" customFormat="1" ht="16" x14ac:dyDescent="0.2">
      <c r="A17" s="93" t="s">
        <v>29</v>
      </c>
      <c r="B17" s="10" t="s">
        <v>22</v>
      </c>
      <c r="C17" s="9" t="s">
        <v>23</v>
      </c>
      <c r="D17" s="10"/>
      <c r="E17" s="10"/>
      <c r="F17" s="10"/>
      <c r="G17" s="10"/>
      <c r="H17" s="10"/>
      <c r="I17" s="10"/>
      <c r="J17" s="10"/>
      <c r="K17" s="10"/>
      <c r="L17" s="10"/>
    </row>
    <row r="18" spans="1:1022 1027:2048 2053:3068 3073:4094 4099:5120 5125:6140 6145:7166 7171:8192 8197:9212 9217:10238 10243:11264 11269:12284 12289:13310 13315:14336 14341:15356 15361:16382" s="7" customFormat="1" ht="16" x14ac:dyDescent="0.2">
      <c r="A18" s="93" t="s">
        <v>31</v>
      </c>
      <c r="B18" s="10" t="s">
        <v>25</v>
      </c>
      <c r="C18" s="9" t="s">
        <v>26</v>
      </c>
      <c r="D18" s="10"/>
      <c r="E18" s="10"/>
      <c r="F18" s="10"/>
      <c r="G18" s="10"/>
      <c r="H18" s="10"/>
      <c r="I18" s="10"/>
      <c r="J18" s="10"/>
      <c r="K18" s="10"/>
      <c r="L18" s="10"/>
    </row>
    <row r="19" spans="1:1022 1027:2048 2053:3068 3073:4094 4099:5120 5125:6140 6145:7166 7171:8192 8197:9212 9217:10238 10243:11264 11269:12284 12289:13310 13315:14336 14341:15356 15361:16382" s="7" customFormat="1" ht="16" x14ac:dyDescent="0.2">
      <c r="A19" s="93" t="s">
        <v>32</v>
      </c>
      <c r="B19" s="10" t="s">
        <v>622</v>
      </c>
      <c r="C19" s="9" t="s">
        <v>623</v>
      </c>
      <c r="D19" s="10"/>
      <c r="E19" s="10"/>
      <c r="F19" s="10"/>
      <c r="G19" s="10"/>
      <c r="H19" s="10"/>
      <c r="I19" s="10"/>
      <c r="J19" s="10"/>
      <c r="K19" s="10"/>
      <c r="L19" s="10"/>
    </row>
    <row r="20" spans="1:1022 1027:2048 2053:3068 3073:4094 4099:5120 5125:6140 6145:7166 7171:8192 8197:9212 9217:10238 10243:11264 11269:12284 12289:13310 13315:14336 14341:15356 15361:16382" s="8" customFormat="1" ht="16" x14ac:dyDescent="0.2">
      <c r="A20" s="93" t="s">
        <v>34</v>
      </c>
      <c r="B20" s="10" t="s">
        <v>577</v>
      </c>
      <c r="C20" s="9" t="s">
        <v>583</v>
      </c>
      <c r="D20" s="10"/>
      <c r="E20" s="10"/>
      <c r="F20" s="10"/>
      <c r="G20" s="10"/>
      <c r="H20" s="10"/>
      <c r="I20" s="10"/>
      <c r="J20" s="10"/>
      <c r="K20" s="10"/>
      <c r="L20" s="10"/>
      <c r="M20" s="93"/>
      <c r="N20" s="30"/>
      <c r="S20" s="93"/>
      <c r="T20" s="30"/>
      <c r="Y20" s="93"/>
      <c r="Z20" s="30"/>
      <c r="AE20" s="93"/>
      <c r="AF20" s="30"/>
      <c r="AK20" s="93"/>
      <c r="AL20" s="30"/>
      <c r="AQ20" s="93"/>
      <c r="AR20" s="30"/>
      <c r="AW20" s="93"/>
      <c r="AX20" s="30"/>
      <c r="BC20" s="93"/>
      <c r="BD20" s="30"/>
      <c r="BI20" s="93"/>
      <c r="BJ20" s="30"/>
      <c r="BO20" s="93"/>
      <c r="BP20" s="30"/>
      <c r="BU20" s="93"/>
      <c r="BV20" s="30"/>
      <c r="CA20" s="93"/>
      <c r="CB20" s="30"/>
      <c r="CG20" s="93"/>
      <c r="CH20" s="30"/>
      <c r="CM20" s="93"/>
      <c r="CN20" s="30"/>
      <c r="CS20" s="93"/>
      <c r="CT20" s="30"/>
      <c r="CY20" s="93"/>
      <c r="CZ20" s="30"/>
      <c r="DE20" s="93"/>
      <c r="DF20" s="30"/>
      <c r="DK20" s="93"/>
      <c r="DL20" s="30"/>
      <c r="DQ20" s="93"/>
      <c r="DR20" s="30"/>
      <c r="DW20" s="93"/>
      <c r="DX20" s="30"/>
      <c r="EC20" s="93"/>
      <c r="ED20" s="30"/>
      <c r="EI20" s="93"/>
      <c r="EJ20" s="30"/>
      <c r="EO20" s="93"/>
      <c r="EP20" s="30"/>
      <c r="EU20" s="93"/>
      <c r="EV20" s="30"/>
      <c r="FA20" s="93"/>
      <c r="FB20" s="30"/>
      <c r="FG20" s="93"/>
      <c r="FH20" s="30"/>
      <c r="FM20" s="93"/>
      <c r="FN20" s="30"/>
      <c r="FS20" s="93"/>
      <c r="FT20" s="30"/>
      <c r="FY20" s="93"/>
      <c r="FZ20" s="30"/>
      <c r="GE20" s="93"/>
      <c r="GF20" s="30"/>
      <c r="GK20" s="93"/>
      <c r="GL20" s="30"/>
      <c r="GQ20" s="93"/>
      <c r="GR20" s="30"/>
      <c r="GW20" s="93"/>
      <c r="GX20" s="30"/>
      <c r="HC20" s="93"/>
      <c r="HD20" s="30"/>
      <c r="HI20" s="93"/>
      <c r="HJ20" s="30"/>
      <c r="HO20" s="93"/>
      <c r="HP20" s="30"/>
      <c r="HU20" s="93"/>
      <c r="HV20" s="30"/>
      <c r="IA20" s="93"/>
      <c r="IB20" s="30"/>
      <c r="IG20" s="93"/>
      <c r="IH20" s="30"/>
      <c r="IM20" s="93"/>
      <c r="IN20" s="30"/>
      <c r="IS20" s="93"/>
      <c r="IT20" s="30"/>
      <c r="IY20" s="93"/>
      <c r="IZ20" s="30"/>
      <c r="JE20" s="93"/>
      <c r="JF20" s="30"/>
      <c r="JK20" s="93"/>
      <c r="JL20" s="30"/>
      <c r="JQ20" s="93"/>
      <c r="JR20" s="30"/>
      <c r="JW20" s="93"/>
      <c r="JX20" s="30"/>
      <c r="KC20" s="93"/>
      <c r="KD20" s="30"/>
      <c r="KI20" s="93"/>
      <c r="KJ20" s="30"/>
      <c r="KO20" s="93"/>
      <c r="KP20" s="30"/>
      <c r="KU20" s="93"/>
      <c r="KV20" s="30"/>
      <c r="LA20" s="93"/>
      <c r="LB20" s="30"/>
      <c r="LG20" s="93"/>
      <c r="LH20" s="30"/>
      <c r="LM20" s="93"/>
      <c r="LN20" s="30"/>
      <c r="LS20" s="93"/>
      <c r="LT20" s="30"/>
      <c r="LY20" s="93"/>
      <c r="LZ20" s="30"/>
      <c r="ME20" s="93"/>
      <c r="MF20" s="30"/>
      <c r="MK20" s="93"/>
      <c r="ML20" s="30"/>
      <c r="MQ20" s="93"/>
      <c r="MR20" s="30"/>
      <c r="MW20" s="93"/>
      <c r="MX20" s="30"/>
      <c r="NC20" s="93"/>
      <c r="ND20" s="30"/>
      <c r="NI20" s="93"/>
      <c r="NJ20" s="30"/>
      <c r="NO20" s="93"/>
      <c r="NP20" s="30"/>
      <c r="NU20" s="93"/>
      <c r="NV20" s="30"/>
      <c r="OA20" s="93"/>
      <c r="OB20" s="30"/>
      <c r="OG20" s="93"/>
      <c r="OH20" s="30"/>
      <c r="OM20" s="93"/>
      <c r="ON20" s="30"/>
      <c r="OS20" s="93"/>
      <c r="OT20" s="30"/>
      <c r="OY20" s="93"/>
      <c r="OZ20" s="30"/>
      <c r="PE20" s="93"/>
      <c r="PF20" s="30"/>
      <c r="PK20" s="93"/>
      <c r="PL20" s="30"/>
      <c r="PQ20" s="93"/>
      <c r="PR20" s="30"/>
      <c r="PW20" s="93"/>
      <c r="PX20" s="30"/>
      <c r="QC20" s="93"/>
      <c r="QD20" s="30"/>
      <c r="QI20" s="93"/>
      <c r="QJ20" s="30"/>
      <c r="QO20" s="93"/>
      <c r="QP20" s="30"/>
      <c r="QU20" s="93"/>
      <c r="QV20" s="30"/>
      <c r="RA20" s="93"/>
      <c r="RB20" s="30"/>
      <c r="RG20" s="93"/>
      <c r="RH20" s="30"/>
      <c r="RM20" s="93"/>
      <c r="RN20" s="30"/>
      <c r="RS20" s="93"/>
      <c r="RT20" s="30"/>
      <c r="RY20" s="93"/>
      <c r="RZ20" s="30"/>
      <c r="SE20" s="93"/>
      <c r="SF20" s="30"/>
      <c r="SK20" s="93"/>
      <c r="SL20" s="30"/>
      <c r="SQ20" s="93"/>
      <c r="SR20" s="30"/>
      <c r="SW20" s="93"/>
      <c r="SX20" s="30"/>
      <c r="TC20" s="93"/>
      <c r="TD20" s="30"/>
      <c r="TI20" s="93"/>
      <c r="TJ20" s="30"/>
      <c r="TO20" s="93"/>
      <c r="TP20" s="30"/>
      <c r="TU20" s="93"/>
      <c r="TV20" s="30"/>
      <c r="UA20" s="93"/>
      <c r="UB20" s="30"/>
      <c r="UG20" s="93"/>
      <c r="UH20" s="30"/>
      <c r="UM20" s="93"/>
      <c r="UN20" s="30"/>
      <c r="US20" s="93"/>
      <c r="UT20" s="30"/>
      <c r="UY20" s="93"/>
      <c r="UZ20" s="30"/>
      <c r="VE20" s="93"/>
      <c r="VF20" s="30"/>
      <c r="VK20" s="93"/>
      <c r="VL20" s="30"/>
      <c r="VQ20" s="93"/>
      <c r="VR20" s="30"/>
      <c r="VW20" s="93"/>
      <c r="VX20" s="30"/>
      <c r="WC20" s="93"/>
      <c r="WD20" s="30"/>
      <c r="WI20" s="93"/>
      <c r="WJ20" s="30"/>
      <c r="WO20" s="93"/>
      <c r="WP20" s="30"/>
      <c r="WU20" s="93"/>
      <c r="WV20" s="30"/>
      <c r="XA20" s="93"/>
      <c r="XB20" s="30"/>
      <c r="XG20" s="93"/>
      <c r="XH20" s="30"/>
      <c r="XM20" s="93"/>
      <c r="XN20" s="30"/>
      <c r="XS20" s="93"/>
      <c r="XT20" s="30"/>
      <c r="XY20" s="93"/>
      <c r="XZ20" s="30"/>
      <c r="YE20" s="93"/>
      <c r="YF20" s="30"/>
      <c r="YK20" s="93"/>
      <c r="YL20" s="30"/>
      <c r="YQ20" s="93"/>
      <c r="YR20" s="30"/>
      <c r="YW20" s="93"/>
      <c r="YX20" s="30"/>
      <c r="ZC20" s="93"/>
      <c r="ZD20" s="30"/>
      <c r="ZI20" s="93"/>
      <c r="ZJ20" s="30"/>
      <c r="ZO20" s="93"/>
      <c r="ZP20" s="30"/>
      <c r="ZU20" s="93"/>
      <c r="ZV20" s="30"/>
      <c r="AAA20" s="93"/>
      <c r="AAB20" s="30"/>
      <c r="AAG20" s="93"/>
      <c r="AAH20" s="30"/>
      <c r="AAM20" s="93"/>
      <c r="AAN20" s="30"/>
      <c r="AAS20" s="93"/>
      <c r="AAT20" s="30"/>
      <c r="AAY20" s="93"/>
      <c r="AAZ20" s="30"/>
      <c r="ABE20" s="93"/>
      <c r="ABF20" s="30"/>
      <c r="ABK20" s="93"/>
      <c r="ABL20" s="30"/>
      <c r="ABQ20" s="93"/>
      <c r="ABR20" s="30"/>
      <c r="ABW20" s="93"/>
      <c r="ABX20" s="30"/>
      <c r="ACC20" s="93"/>
      <c r="ACD20" s="30"/>
      <c r="ACI20" s="93"/>
      <c r="ACJ20" s="30"/>
      <c r="ACO20" s="93"/>
      <c r="ACP20" s="30"/>
      <c r="ACU20" s="93"/>
      <c r="ACV20" s="30"/>
      <c r="ADA20" s="93"/>
      <c r="ADB20" s="30"/>
      <c r="ADG20" s="93"/>
      <c r="ADH20" s="30"/>
      <c r="ADM20" s="93"/>
      <c r="ADN20" s="30"/>
      <c r="ADS20" s="93"/>
      <c r="ADT20" s="30"/>
      <c r="ADY20" s="93"/>
      <c r="ADZ20" s="30"/>
      <c r="AEE20" s="93"/>
      <c r="AEF20" s="30"/>
      <c r="AEK20" s="93"/>
      <c r="AEL20" s="30"/>
      <c r="AEQ20" s="93"/>
      <c r="AER20" s="30"/>
      <c r="AEW20" s="93"/>
      <c r="AEX20" s="30"/>
      <c r="AFC20" s="93"/>
      <c r="AFD20" s="30"/>
      <c r="AFI20" s="93"/>
      <c r="AFJ20" s="30"/>
      <c r="AFO20" s="93"/>
      <c r="AFP20" s="30"/>
      <c r="AFU20" s="93"/>
      <c r="AFV20" s="30"/>
      <c r="AGA20" s="93"/>
      <c r="AGB20" s="30"/>
      <c r="AGG20" s="93"/>
      <c r="AGH20" s="30"/>
      <c r="AGM20" s="93"/>
      <c r="AGN20" s="30"/>
      <c r="AGS20" s="93"/>
      <c r="AGT20" s="30"/>
      <c r="AGY20" s="93"/>
      <c r="AGZ20" s="30"/>
      <c r="AHE20" s="93"/>
      <c r="AHF20" s="30"/>
      <c r="AHK20" s="93"/>
      <c r="AHL20" s="30"/>
      <c r="AHQ20" s="93"/>
      <c r="AHR20" s="30"/>
      <c r="AHW20" s="93"/>
      <c r="AHX20" s="30"/>
      <c r="AIC20" s="93"/>
      <c r="AID20" s="30"/>
      <c r="AII20" s="93"/>
      <c r="AIJ20" s="30"/>
      <c r="AIO20" s="93"/>
      <c r="AIP20" s="30"/>
      <c r="AIU20" s="93"/>
      <c r="AIV20" s="30"/>
      <c r="AJA20" s="93"/>
      <c r="AJB20" s="30"/>
      <c r="AJG20" s="93"/>
      <c r="AJH20" s="30"/>
      <c r="AJM20" s="93"/>
      <c r="AJN20" s="30"/>
      <c r="AJS20" s="93"/>
      <c r="AJT20" s="30"/>
      <c r="AJY20" s="93"/>
      <c r="AJZ20" s="30"/>
      <c r="AKE20" s="93"/>
      <c r="AKF20" s="30"/>
      <c r="AKK20" s="93"/>
      <c r="AKL20" s="30"/>
      <c r="AKQ20" s="93"/>
      <c r="AKR20" s="30"/>
      <c r="AKW20" s="93"/>
      <c r="AKX20" s="30"/>
      <c r="ALC20" s="93"/>
      <c r="ALD20" s="30"/>
      <c r="ALI20" s="93"/>
      <c r="ALJ20" s="30"/>
      <c r="ALO20" s="93"/>
      <c r="ALP20" s="30"/>
      <c r="ALU20" s="93"/>
      <c r="ALV20" s="30"/>
      <c r="AMA20" s="93"/>
      <c r="AMB20" s="30"/>
      <c r="AMG20" s="93"/>
      <c r="AMH20" s="30"/>
      <c r="AMM20" s="93"/>
      <c r="AMN20" s="30"/>
      <c r="AMS20" s="93"/>
      <c r="AMT20" s="30"/>
      <c r="AMY20" s="93"/>
      <c r="AMZ20" s="30"/>
      <c r="ANE20" s="93"/>
      <c r="ANF20" s="30"/>
      <c r="ANK20" s="93"/>
      <c r="ANL20" s="30"/>
      <c r="ANQ20" s="93"/>
      <c r="ANR20" s="30"/>
      <c r="ANW20" s="93"/>
      <c r="ANX20" s="30"/>
      <c r="AOC20" s="93"/>
      <c r="AOD20" s="30"/>
      <c r="AOI20" s="93"/>
      <c r="AOJ20" s="30"/>
      <c r="AOO20" s="93"/>
      <c r="AOP20" s="30"/>
      <c r="AOU20" s="93"/>
      <c r="AOV20" s="30"/>
      <c r="APA20" s="93"/>
      <c r="APB20" s="30"/>
      <c r="APG20" s="93"/>
      <c r="APH20" s="30"/>
      <c r="APM20" s="93"/>
      <c r="APN20" s="30"/>
      <c r="APS20" s="93"/>
      <c r="APT20" s="30"/>
      <c r="APY20" s="93"/>
      <c r="APZ20" s="30"/>
      <c r="AQE20" s="93"/>
      <c r="AQF20" s="30"/>
      <c r="AQK20" s="93"/>
      <c r="AQL20" s="30"/>
      <c r="AQQ20" s="93"/>
      <c r="AQR20" s="30"/>
      <c r="AQW20" s="93"/>
      <c r="AQX20" s="30"/>
      <c r="ARC20" s="93"/>
      <c r="ARD20" s="30"/>
      <c r="ARI20" s="93"/>
      <c r="ARJ20" s="30"/>
      <c r="ARO20" s="93"/>
      <c r="ARP20" s="30"/>
      <c r="ARU20" s="93"/>
      <c r="ARV20" s="30"/>
      <c r="ASA20" s="93"/>
      <c r="ASB20" s="30"/>
      <c r="ASG20" s="93"/>
      <c r="ASH20" s="30"/>
      <c r="ASM20" s="93"/>
      <c r="ASN20" s="30"/>
      <c r="ASS20" s="93"/>
      <c r="AST20" s="30"/>
      <c r="ASY20" s="93"/>
      <c r="ASZ20" s="30"/>
      <c r="ATE20" s="93"/>
      <c r="ATF20" s="30"/>
      <c r="ATK20" s="93"/>
      <c r="ATL20" s="30"/>
      <c r="ATQ20" s="93"/>
      <c r="ATR20" s="30"/>
      <c r="ATW20" s="93"/>
      <c r="ATX20" s="30"/>
      <c r="AUC20" s="93"/>
      <c r="AUD20" s="30"/>
      <c r="AUI20" s="93"/>
      <c r="AUJ20" s="30"/>
      <c r="AUO20" s="93"/>
      <c r="AUP20" s="30"/>
      <c r="AUU20" s="93"/>
      <c r="AUV20" s="30"/>
      <c r="AVA20" s="93"/>
      <c r="AVB20" s="30"/>
      <c r="AVG20" s="93"/>
      <c r="AVH20" s="30"/>
      <c r="AVM20" s="93"/>
      <c r="AVN20" s="30"/>
      <c r="AVS20" s="93"/>
      <c r="AVT20" s="30"/>
      <c r="AVY20" s="93"/>
      <c r="AVZ20" s="30"/>
      <c r="AWE20" s="93"/>
      <c r="AWF20" s="30"/>
      <c r="AWK20" s="93"/>
      <c r="AWL20" s="30"/>
      <c r="AWQ20" s="93"/>
      <c r="AWR20" s="30"/>
      <c r="AWW20" s="93"/>
      <c r="AWX20" s="30"/>
      <c r="AXC20" s="93"/>
      <c r="AXD20" s="30"/>
      <c r="AXI20" s="93"/>
      <c r="AXJ20" s="30"/>
      <c r="AXO20" s="93"/>
      <c r="AXP20" s="30"/>
      <c r="AXU20" s="93"/>
      <c r="AXV20" s="30"/>
      <c r="AYA20" s="93"/>
      <c r="AYB20" s="30"/>
      <c r="AYG20" s="93"/>
      <c r="AYH20" s="30"/>
      <c r="AYM20" s="93"/>
      <c r="AYN20" s="30"/>
      <c r="AYS20" s="93"/>
      <c r="AYT20" s="30"/>
      <c r="AYY20" s="93"/>
      <c r="AYZ20" s="30"/>
      <c r="AZE20" s="93"/>
      <c r="AZF20" s="30"/>
      <c r="AZK20" s="93"/>
      <c r="AZL20" s="30"/>
      <c r="AZQ20" s="93"/>
      <c r="AZR20" s="30"/>
      <c r="AZW20" s="93"/>
      <c r="AZX20" s="30"/>
      <c r="BAC20" s="93"/>
      <c r="BAD20" s="30"/>
      <c r="BAI20" s="93"/>
      <c r="BAJ20" s="30"/>
      <c r="BAO20" s="93"/>
      <c r="BAP20" s="30"/>
      <c r="BAU20" s="93"/>
      <c r="BAV20" s="30"/>
      <c r="BBA20" s="93"/>
      <c r="BBB20" s="30"/>
      <c r="BBG20" s="93"/>
      <c r="BBH20" s="30"/>
      <c r="BBM20" s="93"/>
      <c r="BBN20" s="30"/>
      <c r="BBS20" s="93"/>
      <c r="BBT20" s="30"/>
      <c r="BBY20" s="93"/>
      <c r="BBZ20" s="30"/>
      <c r="BCE20" s="93"/>
      <c r="BCF20" s="30"/>
      <c r="BCK20" s="93"/>
      <c r="BCL20" s="30"/>
      <c r="BCQ20" s="93"/>
      <c r="BCR20" s="30"/>
      <c r="BCW20" s="93"/>
      <c r="BCX20" s="30"/>
      <c r="BDC20" s="93"/>
      <c r="BDD20" s="30"/>
      <c r="BDI20" s="93"/>
      <c r="BDJ20" s="30"/>
      <c r="BDO20" s="93"/>
      <c r="BDP20" s="30"/>
      <c r="BDU20" s="93"/>
      <c r="BDV20" s="30"/>
      <c r="BEA20" s="93"/>
      <c r="BEB20" s="30"/>
      <c r="BEG20" s="93"/>
      <c r="BEH20" s="30"/>
      <c r="BEM20" s="93"/>
      <c r="BEN20" s="30"/>
      <c r="BES20" s="93"/>
      <c r="BET20" s="30"/>
      <c r="BEY20" s="93"/>
      <c r="BEZ20" s="30"/>
      <c r="BFE20" s="93"/>
      <c r="BFF20" s="30"/>
      <c r="BFK20" s="93"/>
      <c r="BFL20" s="30"/>
      <c r="BFQ20" s="93"/>
      <c r="BFR20" s="30"/>
      <c r="BFW20" s="93"/>
      <c r="BFX20" s="30"/>
      <c r="BGC20" s="93"/>
      <c r="BGD20" s="30"/>
      <c r="BGI20" s="93"/>
      <c r="BGJ20" s="30"/>
      <c r="BGO20" s="93"/>
      <c r="BGP20" s="30"/>
      <c r="BGU20" s="93"/>
      <c r="BGV20" s="30"/>
      <c r="BHA20" s="93"/>
      <c r="BHB20" s="30"/>
      <c r="BHG20" s="93"/>
      <c r="BHH20" s="30"/>
      <c r="BHM20" s="93"/>
      <c r="BHN20" s="30"/>
      <c r="BHS20" s="93"/>
      <c r="BHT20" s="30"/>
      <c r="BHY20" s="93"/>
      <c r="BHZ20" s="30"/>
      <c r="BIE20" s="93"/>
      <c r="BIF20" s="30"/>
      <c r="BIK20" s="93"/>
      <c r="BIL20" s="30"/>
      <c r="BIQ20" s="93"/>
      <c r="BIR20" s="30"/>
      <c r="BIW20" s="93"/>
      <c r="BIX20" s="30"/>
      <c r="BJC20" s="93"/>
      <c r="BJD20" s="30"/>
      <c r="BJI20" s="93"/>
      <c r="BJJ20" s="30"/>
      <c r="BJO20" s="93"/>
      <c r="BJP20" s="30"/>
      <c r="BJU20" s="93"/>
      <c r="BJV20" s="30"/>
      <c r="BKA20" s="93"/>
      <c r="BKB20" s="30"/>
      <c r="BKG20" s="93"/>
      <c r="BKH20" s="30"/>
      <c r="BKM20" s="93"/>
      <c r="BKN20" s="30"/>
      <c r="BKS20" s="93"/>
      <c r="BKT20" s="30"/>
      <c r="BKY20" s="93"/>
      <c r="BKZ20" s="30"/>
      <c r="BLE20" s="93"/>
      <c r="BLF20" s="30"/>
      <c r="BLK20" s="93"/>
      <c r="BLL20" s="30"/>
      <c r="BLQ20" s="93"/>
      <c r="BLR20" s="30"/>
      <c r="BLW20" s="93"/>
      <c r="BLX20" s="30"/>
      <c r="BMC20" s="93"/>
      <c r="BMD20" s="30"/>
      <c r="BMI20" s="93"/>
      <c r="BMJ20" s="30"/>
      <c r="BMO20" s="93"/>
      <c r="BMP20" s="30"/>
      <c r="BMU20" s="93"/>
      <c r="BMV20" s="30"/>
      <c r="BNA20" s="93"/>
      <c r="BNB20" s="30"/>
      <c r="BNG20" s="93"/>
      <c r="BNH20" s="30"/>
      <c r="BNM20" s="93"/>
      <c r="BNN20" s="30"/>
      <c r="BNS20" s="93"/>
      <c r="BNT20" s="30"/>
      <c r="BNY20" s="93"/>
      <c r="BNZ20" s="30"/>
      <c r="BOE20" s="93"/>
      <c r="BOF20" s="30"/>
      <c r="BOK20" s="93"/>
      <c r="BOL20" s="30"/>
      <c r="BOQ20" s="93"/>
      <c r="BOR20" s="30"/>
      <c r="BOW20" s="93"/>
      <c r="BOX20" s="30"/>
      <c r="BPC20" s="93"/>
      <c r="BPD20" s="30"/>
      <c r="BPI20" s="93"/>
      <c r="BPJ20" s="30"/>
      <c r="BPO20" s="93"/>
      <c r="BPP20" s="30"/>
      <c r="BPU20" s="93"/>
      <c r="BPV20" s="30"/>
      <c r="BQA20" s="93"/>
      <c r="BQB20" s="30"/>
      <c r="BQG20" s="93"/>
      <c r="BQH20" s="30"/>
      <c r="BQM20" s="93"/>
      <c r="BQN20" s="30"/>
      <c r="BQS20" s="93"/>
      <c r="BQT20" s="30"/>
      <c r="BQY20" s="93"/>
      <c r="BQZ20" s="30"/>
      <c r="BRE20" s="93"/>
      <c r="BRF20" s="30"/>
      <c r="BRK20" s="93"/>
      <c r="BRL20" s="30"/>
      <c r="BRQ20" s="93"/>
      <c r="BRR20" s="30"/>
      <c r="BRW20" s="93"/>
      <c r="BRX20" s="30"/>
      <c r="BSC20" s="93"/>
      <c r="BSD20" s="30"/>
      <c r="BSI20" s="93"/>
      <c r="BSJ20" s="30"/>
      <c r="BSO20" s="93"/>
      <c r="BSP20" s="30"/>
      <c r="BSU20" s="93"/>
      <c r="BSV20" s="30"/>
      <c r="BTA20" s="93"/>
      <c r="BTB20" s="30"/>
      <c r="BTG20" s="93"/>
      <c r="BTH20" s="30"/>
      <c r="BTM20" s="93"/>
      <c r="BTN20" s="30"/>
      <c r="BTS20" s="93"/>
      <c r="BTT20" s="30"/>
      <c r="BTY20" s="93"/>
      <c r="BTZ20" s="30"/>
      <c r="BUE20" s="93"/>
      <c r="BUF20" s="30"/>
      <c r="BUK20" s="93"/>
      <c r="BUL20" s="30"/>
      <c r="BUQ20" s="93"/>
      <c r="BUR20" s="30"/>
      <c r="BUW20" s="93"/>
      <c r="BUX20" s="30"/>
      <c r="BVC20" s="93"/>
      <c r="BVD20" s="30"/>
      <c r="BVI20" s="93"/>
      <c r="BVJ20" s="30"/>
      <c r="BVO20" s="93"/>
      <c r="BVP20" s="30"/>
      <c r="BVU20" s="93"/>
      <c r="BVV20" s="30"/>
      <c r="BWA20" s="93"/>
      <c r="BWB20" s="30"/>
      <c r="BWG20" s="93"/>
      <c r="BWH20" s="30"/>
      <c r="BWM20" s="93"/>
      <c r="BWN20" s="30"/>
      <c r="BWS20" s="93"/>
      <c r="BWT20" s="30"/>
      <c r="BWY20" s="93"/>
      <c r="BWZ20" s="30"/>
      <c r="BXE20" s="93"/>
      <c r="BXF20" s="30"/>
      <c r="BXK20" s="93"/>
      <c r="BXL20" s="30"/>
      <c r="BXQ20" s="93"/>
      <c r="BXR20" s="30"/>
      <c r="BXW20" s="93"/>
      <c r="BXX20" s="30"/>
      <c r="BYC20" s="93"/>
      <c r="BYD20" s="30"/>
      <c r="BYI20" s="93"/>
      <c r="BYJ20" s="30"/>
      <c r="BYO20" s="93"/>
      <c r="BYP20" s="30"/>
      <c r="BYU20" s="93"/>
      <c r="BYV20" s="30"/>
      <c r="BZA20" s="93"/>
      <c r="BZB20" s="30"/>
      <c r="BZG20" s="93"/>
      <c r="BZH20" s="30"/>
      <c r="BZM20" s="93"/>
      <c r="BZN20" s="30"/>
      <c r="BZS20" s="93"/>
      <c r="BZT20" s="30"/>
      <c r="BZY20" s="93"/>
      <c r="BZZ20" s="30"/>
      <c r="CAE20" s="93"/>
      <c r="CAF20" s="30"/>
      <c r="CAK20" s="93"/>
      <c r="CAL20" s="30"/>
      <c r="CAQ20" s="93"/>
      <c r="CAR20" s="30"/>
      <c r="CAW20" s="93"/>
      <c r="CAX20" s="30"/>
      <c r="CBC20" s="93"/>
      <c r="CBD20" s="30"/>
      <c r="CBI20" s="93"/>
      <c r="CBJ20" s="30"/>
      <c r="CBO20" s="93"/>
      <c r="CBP20" s="30"/>
      <c r="CBU20" s="93"/>
      <c r="CBV20" s="30"/>
      <c r="CCA20" s="93"/>
      <c r="CCB20" s="30"/>
      <c r="CCG20" s="93"/>
      <c r="CCH20" s="30"/>
      <c r="CCM20" s="93"/>
      <c r="CCN20" s="30"/>
      <c r="CCS20" s="93"/>
      <c r="CCT20" s="30"/>
      <c r="CCY20" s="93"/>
      <c r="CCZ20" s="30"/>
      <c r="CDE20" s="93"/>
      <c r="CDF20" s="30"/>
      <c r="CDK20" s="93"/>
      <c r="CDL20" s="30"/>
      <c r="CDQ20" s="93"/>
      <c r="CDR20" s="30"/>
      <c r="CDW20" s="93"/>
      <c r="CDX20" s="30"/>
      <c r="CEC20" s="93"/>
      <c r="CED20" s="30"/>
      <c r="CEI20" s="93"/>
      <c r="CEJ20" s="30"/>
      <c r="CEO20" s="93"/>
      <c r="CEP20" s="30"/>
      <c r="CEU20" s="93"/>
      <c r="CEV20" s="30"/>
      <c r="CFA20" s="93"/>
      <c r="CFB20" s="30"/>
      <c r="CFG20" s="93"/>
      <c r="CFH20" s="30"/>
      <c r="CFM20" s="93"/>
      <c r="CFN20" s="30"/>
      <c r="CFS20" s="93"/>
      <c r="CFT20" s="30"/>
      <c r="CFY20" s="93"/>
      <c r="CFZ20" s="30"/>
      <c r="CGE20" s="93"/>
      <c r="CGF20" s="30"/>
      <c r="CGK20" s="93"/>
      <c r="CGL20" s="30"/>
      <c r="CGQ20" s="93"/>
      <c r="CGR20" s="30"/>
      <c r="CGW20" s="93"/>
      <c r="CGX20" s="30"/>
      <c r="CHC20" s="93"/>
      <c r="CHD20" s="30"/>
      <c r="CHI20" s="93"/>
      <c r="CHJ20" s="30"/>
      <c r="CHO20" s="93"/>
      <c r="CHP20" s="30"/>
      <c r="CHU20" s="93"/>
      <c r="CHV20" s="30"/>
      <c r="CIA20" s="93"/>
      <c r="CIB20" s="30"/>
      <c r="CIG20" s="93"/>
      <c r="CIH20" s="30"/>
      <c r="CIM20" s="93"/>
      <c r="CIN20" s="30"/>
      <c r="CIS20" s="93"/>
      <c r="CIT20" s="30"/>
      <c r="CIY20" s="93"/>
      <c r="CIZ20" s="30"/>
      <c r="CJE20" s="93"/>
      <c r="CJF20" s="30"/>
      <c r="CJK20" s="93"/>
      <c r="CJL20" s="30"/>
      <c r="CJQ20" s="93"/>
      <c r="CJR20" s="30"/>
      <c r="CJW20" s="93"/>
      <c r="CJX20" s="30"/>
      <c r="CKC20" s="93"/>
      <c r="CKD20" s="30"/>
      <c r="CKI20" s="93"/>
      <c r="CKJ20" s="30"/>
      <c r="CKO20" s="93"/>
      <c r="CKP20" s="30"/>
      <c r="CKU20" s="93"/>
      <c r="CKV20" s="30"/>
      <c r="CLA20" s="93"/>
      <c r="CLB20" s="30"/>
      <c r="CLG20" s="93"/>
      <c r="CLH20" s="30"/>
      <c r="CLM20" s="93"/>
      <c r="CLN20" s="30"/>
      <c r="CLS20" s="93"/>
      <c r="CLT20" s="30"/>
      <c r="CLY20" s="93"/>
      <c r="CLZ20" s="30"/>
      <c r="CME20" s="93"/>
      <c r="CMF20" s="30"/>
      <c r="CMK20" s="93"/>
      <c r="CML20" s="30"/>
      <c r="CMQ20" s="93"/>
      <c r="CMR20" s="30"/>
      <c r="CMW20" s="93"/>
      <c r="CMX20" s="30"/>
      <c r="CNC20" s="93"/>
      <c r="CND20" s="30"/>
      <c r="CNI20" s="93"/>
      <c r="CNJ20" s="30"/>
      <c r="CNO20" s="93"/>
      <c r="CNP20" s="30"/>
      <c r="CNU20" s="93"/>
      <c r="CNV20" s="30"/>
      <c r="COA20" s="93"/>
      <c r="COB20" s="30"/>
      <c r="COG20" s="93"/>
      <c r="COH20" s="30"/>
      <c r="COM20" s="93"/>
      <c r="CON20" s="30"/>
      <c r="COS20" s="93"/>
      <c r="COT20" s="30"/>
      <c r="COY20" s="93"/>
      <c r="COZ20" s="30"/>
      <c r="CPE20" s="93"/>
      <c r="CPF20" s="30"/>
      <c r="CPK20" s="93"/>
      <c r="CPL20" s="30"/>
      <c r="CPQ20" s="93"/>
      <c r="CPR20" s="30"/>
      <c r="CPW20" s="93"/>
      <c r="CPX20" s="30"/>
      <c r="CQC20" s="93"/>
      <c r="CQD20" s="30"/>
      <c r="CQI20" s="93"/>
      <c r="CQJ20" s="30"/>
      <c r="CQO20" s="93"/>
      <c r="CQP20" s="30"/>
      <c r="CQU20" s="93"/>
      <c r="CQV20" s="30"/>
      <c r="CRA20" s="93"/>
      <c r="CRB20" s="30"/>
      <c r="CRG20" s="93"/>
      <c r="CRH20" s="30"/>
      <c r="CRM20" s="93"/>
      <c r="CRN20" s="30"/>
      <c r="CRS20" s="93"/>
      <c r="CRT20" s="30"/>
      <c r="CRY20" s="93"/>
      <c r="CRZ20" s="30"/>
      <c r="CSE20" s="93"/>
      <c r="CSF20" s="30"/>
      <c r="CSK20" s="93"/>
      <c r="CSL20" s="30"/>
      <c r="CSQ20" s="93"/>
      <c r="CSR20" s="30"/>
      <c r="CSW20" s="93"/>
      <c r="CSX20" s="30"/>
      <c r="CTC20" s="93"/>
      <c r="CTD20" s="30"/>
      <c r="CTI20" s="93"/>
      <c r="CTJ20" s="30"/>
      <c r="CTO20" s="93"/>
      <c r="CTP20" s="30"/>
      <c r="CTU20" s="93"/>
      <c r="CTV20" s="30"/>
      <c r="CUA20" s="93"/>
      <c r="CUB20" s="30"/>
      <c r="CUG20" s="93"/>
      <c r="CUH20" s="30"/>
      <c r="CUM20" s="93"/>
      <c r="CUN20" s="30"/>
      <c r="CUS20" s="93"/>
      <c r="CUT20" s="30"/>
      <c r="CUY20" s="93"/>
      <c r="CUZ20" s="30"/>
      <c r="CVE20" s="93"/>
      <c r="CVF20" s="30"/>
      <c r="CVK20" s="93"/>
      <c r="CVL20" s="30"/>
      <c r="CVQ20" s="93"/>
      <c r="CVR20" s="30"/>
      <c r="CVW20" s="93"/>
      <c r="CVX20" s="30"/>
      <c r="CWC20" s="93"/>
      <c r="CWD20" s="30"/>
      <c r="CWI20" s="93"/>
      <c r="CWJ20" s="30"/>
      <c r="CWO20" s="93"/>
      <c r="CWP20" s="30"/>
      <c r="CWU20" s="93"/>
      <c r="CWV20" s="30"/>
      <c r="CXA20" s="93"/>
      <c r="CXB20" s="30"/>
      <c r="CXG20" s="93"/>
      <c r="CXH20" s="30"/>
      <c r="CXM20" s="93"/>
      <c r="CXN20" s="30"/>
      <c r="CXS20" s="93"/>
      <c r="CXT20" s="30"/>
      <c r="CXY20" s="93"/>
      <c r="CXZ20" s="30"/>
      <c r="CYE20" s="93"/>
      <c r="CYF20" s="30"/>
      <c r="CYK20" s="93"/>
      <c r="CYL20" s="30"/>
      <c r="CYQ20" s="93"/>
      <c r="CYR20" s="30"/>
      <c r="CYW20" s="93"/>
      <c r="CYX20" s="30"/>
      <c r="CZC20" s="93"/>
      <c r="CZD20" s="30"/>
      <c r="CZI20" s="93"/>
      <c r="CZJ20" s="30"/>
      <c r="CZO20" s="93"/>
      <c r="CZP20" s="30"/>
      <c r="CZU20" s="93"/>
      <c r="CZV20" s="30"/>
      <c r="DAA20" s="93"/>
      <c r="DAB20" s="30"/>
      <c r="DAG20" s="93"/>
      <c r="DAH20" s="30"/>
      <c r="DAM20" s="93"/>
      <c r="DAN20" s="30"/>
      <c r="DAS20" s="93"/>
      <c r="DAT20" s="30"/>
      <c r="DAY20" s="93"/>
      <c r="DAZ20" s="30"/>
      <c r="DBE20" s="93"/>
      <c r="DBF20" s="30"/>
      <c r="DBK20" s="93"/>
      <c r="DBL20" s="30"/>
      <c r="DBQ20" s="93"/>
      <c r="DBR20" s="30"/>
      <c r="DBW20" s="93"/>
      <c r="DBX20" s="30"/>
      <c r="DCC20" s="93"/>
      <c r="DCD20" s="30"/>
      <c r="DCI20" s="93"/>
      <c r="DCJ20" s="30"/>
      <c r="DCO20" s="93"/>
      <c r="DCP20" s="30"/>
      <c r="DCU20" s="93"/>
      <c r="DCV20" s="30"/>
      <c r="DDA20" s="93"/>
      <c r="DDB20" s="30"/>
      <c r="DDG20" s="93"/>
      <c r="DDH20" s="30"/>
      <c r="DDM20" s="93"/>
      <c r="DDN20" s="30"/>
      <c r="DDS20" s="93"/>
      <c r="DDT20" s="30"/>
      <c r="DDY20" s="93"/>
      <c r="DDZ20" s="30"/>
      <c r="DEE20" s="93"/>
      <c r="DEF20" s="30"/>
      <c r="DEK20" s="93"/>
      <c r="DEL20" s="30"/>
      <c r="DEQ20" s="93"/>
      <c r="DER20" s="30"/>
      <c r="DEW20" s="93"/>
      <c r="DEX20" s="30"/>
      <c r="DFC20" s="93"/>
      <c r="DFD20" s="30"/>
      <c r="DFI20" s="93"/>
      <c r="DFJ20" s="30"/>
      <c r="DFO20" s="93"/>
      <c r="DFP20" s="30"/>
      <c r="DFU20" s="93"/>
      <c r="DFV20" s="30"/>
      <c r="DGA20" s="93"/>
      <c r="DGB20" s="30"/>
      <c r="DGG20" s="93"/>
      <c r="DGH20" s="30"/>
      <c r="DGM20" s="93"/>
      <c r="DGN20" s="30"/>
      <c r="DGS20" s="93"/>
      <c r="DGT20" s="30"/>
      <c r="DGY20" s="93"/>
      <c r="DGZ20" s="30"/>
      <c r="DHE20" s="93"/>
      <c r="DHF20" s="30"/>
      <c r="DHK20" s="93"/>
      <c r="DHL20" s="30"/>
      <c r="DHQ20" s="93"/>
      <c r="DHR20" s="30"/>
      <c r="DHW20" s="93"/>
      <c r="DHX20" s="30"/>
      <c r="DIC20" s="93"/>
      <c r="DID20" s="30"/>
      <c r="DII20" s="93"/>
      <c r="DIJ20" s="30"/>
      <c r="DIO20" s="93"/>
      <c r="DIP20" s="30"/>
      <c r="DIU20" s="93"/>
      <c r="DIV20" s="30"/>
      <c r="DJA20" s="93"/>
      <c r="DJB20" s="30"/>
      <c r="DJG20" s="93"/>
      <c r="DJH20" s="30"/>
      <c r="DJM20" s="93"/>
      <c r="DJN20" s="30"/>
      <c r="DJS20" s="93"/>
      <c r="DJT20" s="30"/>
      <c r="DJY20" s="93"/>
      <c r="DJZ20" s="30"/>
      <c r="DKE20" s="93"/>
      <c r="DKF20" s="30"/>
      <c r="DKK20" s="93"/>
      <c r="DKL20" s="30"/>
      <c r="DKQ20" s="93"/>
      <c r="DKR20" s="30"/>
      <c r="DKW20" s="93"/>
      <c r="DKX20" s="30"/>
      <c r="DLC20" s="93"/>
      <c r="DLD20" s="30"/>
      <c r="DLI20" s="93"/>
      <c r="DLJ20" s="30"/>
      <c r="DLO20" s="93"/>
      <c r="DLP20" s="30"/>
      <c r="DLU20" s="93"/>
      <c r="DLV20" s="30"/>
      <c r="DMA20" s="93"/>
      <c r="DMB20" s="30"/>
      <c r="DMG20" s="93"/>
      <c r="DMH20" s="30"/>
      <c r="DMM20" s="93"/>
      <c r="DMN20" s="30"/>
      <c r="DMS20" s="93"/>
      <c r="DMT20" s="30"/>
      <c r="DMY20" s="93"/>
      <c r="DMZ20" s="30"/>
      <c r="DNE20" s="93"/>
      <c r="DNF20" s="30"/>
      <c r="DNK20" s="93"/>
      <c r="DNL20" s="30"/>
      <c r="DNQ20" s="93"/>
      <c r="DNR20" s="30"/>
      <c r="DNW20" s="93"/>
      <c r="DNX20" s="30"/>
      <c r="DOC20" s="93"/>
      <c r="DOD20" s="30"/>
      <c r="DOI20" s="93"/>
      <c r="DOJ20" s="30"/>
      <c r="DOO20" s="93"/>
      <c r="DOP20" s="30"/>
      <c r="DOU20" s="93"/>
      <c r="DOV20" s="30"/>
      <c r="DPA20" s="93"/>
      <c r="DPB20" s="30"/>
      <c r="DPG20" s="93"/>
      <c r="DPH20" s="30"/>
      <c r="DPM20" s="93"/>
      <c r="DPN20" s="30"/>
      <c r="DPS20" s="93"/>
      <c r="DPT20" s="30"/>
      <c r="DPY20" s="93"/>
      <c r="DPZ20" s="30"/>
      <c r="DQE20" s="93"/>
      <c r="DQF20" s="30"/>
      <c r="DQK20" s="93"/>
      <c r="DQL20" s="30"/>
      <c r="DQQ20" s="93"/>
      <c r="DQR20" s="30"/>
      <c r="DQW20" s="93"/>
      <c r="DQX20" s="30"/>
      <c r="DRC20" s="93"/>
      <c r="DRD20" s="30"/>
      <c r="DRI20" s="93"/>
      <c r="DRJ20" s="30"/>
      <c r="DRO20" s="93"/>
      <c r="DRP20" s="30"/>
      <c r="DRU20" s="93"/>
      <c r="DRV20" s="30"/>
      <c r="DSA20" s="93"/>
      <c r="DSB20" s="30"/>
      <c r="DSG20" s="93"/>
      <c r="DSH20" s="30"/>
      <c r="DSM20" s="93"/>
      <c r="DSN20" s="30"/>
      <c r="DSS20" s="93"/>
      <c r="DST20" s="30"/>
      <c r="DSY20" s="93"/>
      <c r="DSZ20" s="30"/>
      <c r="DTE20" s="93"/>
      <c r="DTF20" s="30"/>
      <c r="DTK20" s="93"/>
      <c r="DTL20" s="30"/>
      <c r="DTQ20" s="93"/>
      <c r="DTR20" s="30"/>
      <c r="DTW20" s="93"/>
      <c r="DTX20" s="30"/>
      <c r="DUC20" s="93"/>
      <c r="DUD20" s="30"/>
      <c r="DUI20" s="93"/>
      <c r="DUJ20" s="30"/>
      <c r="DUO20" s="93"/>
      <c r="DUP20" s="30"/>
      <c r="DUU20" s="93"/>
      <c r="DUV20" s="30"/>
      <c r="DVA20" s="93"/>
      <c r="DVB20" s="30"/>
      <c r="DVG20" s="93"/>
      <c r="DVH20" s="30"/>
      <c r="DVM20" s="93"/>
      <c r="DVN20" s="30"/>
      <c r="DVS20" s="93"/>
      <c r="DVT20" s="30"/>
      <c r="DVY20" s="93"/>
      <c r="DVZ20" s="30"/>
      <c r="DWE20" s="93"/>
      <c r="DWF20" s="30"/>
      <c r="DWK20" s="93"/>
      <c r="DWL20" s="30"/>
      <c r="DWQ20" s="93"/>
      <c r="DWR20" s="30"/>
      <c r="DWW20" s="93"/>
      <c r="DWX20" s="30"/>
      <c r="DXC20" s="93"/>
      <c r="DXD20" s="30"/>
      <c r="DXI20" s="93"/>
      <c r="DXJ20" s="30"/>
      <c r="DXO20" s="93"/>
      <c r="DXP20" s="30"/>
      <c r="DXU20" s="93"/>
      <c r="DXV20" s="30"/>
      <c r="DYA20" s="93"/>
      <c r="DYB20" s="30"/>
      <c r="DYG20" s="93"/>
      <c r="DYH20" s="30"/>
      <c r="DYM20" s="93"/>
      <c r="DYN20" s="30"/>
      <c r="DYS20" s="93"/>
      <c r="DYT20" s="30"/>
      <c r="DYY20" s="93"/>
      <c r="DYZ20" s="30"/>
      <c r="DZE20" s="93"/>
      <c r="DZF20" s="30"/>
      <c r="DZK20" s="93"/>
      <c r="DZL20" s="30"/>
      <c r="DZQ20" s="93"/>
      <c r="DZR20" s="30"/>
      <c r="DZW20" s="93"/>
      <c r="DZX20" s="30"/>
      <c r="EAC20" s="93"/>
      <c r="EAD20" s="30"/>
      <c r="EAI20" s="93"/>
      <c r="EAJ20" s="30"/>
      <c r="EAO20" s="93"/>
      <c r="EAP20" s="30"/>
      <c r="EAU20" s="93"/>
      <c r="EAV20" s="30"/>
      <c r="EBA20" s="93"/>
      <c r="EBB20" s="30"/>
      <c r="EBG20" s="93"/>
      <c r="EBH20" s="30"/>
      <c r="EBM20" s="93"/>
      <c r="EBN20" s="30"/>
      <c r="EBS20" s="93"/>
      <c r="EBT20" s="30"/>
      <c r="EBY20" s="93"/>
      <c r="EBZ20" s="30"/>
      <c r="ECE20" s="93"/>
      <c r="ECF20" s="30"/>
      <c r="ECK20" s="93"/>
      <c r="ECL20" s="30"/>
      <c r="ECQ20" s="93"/>
      <c r="ECR20" s="30"/>
      <c r="ECW20" s="93"/>
      <c r="ECX20" s="30"/>
      <c r="EDC20" s="93"/>
      <c r="EDD20" s="30"/>
      <c r="EDI20" s="93"/>
      <c r="EDJ20" s="30"/>
      <c r="EDO20" s="93"/>
      <c r="EDP20" s="30"/>
      <c r="EDU20" s="93"/>
      <c r="EDV20" s="30"/>
      <c r="EEA20" s="93"/>
      <c r="EEB20" s="30"/>
      <c r="EEG20" s="93"/>
      <c r="EEH20" s="30"/>
      <c r="EEM20" s="93"/>
      <c r="EEN20" s="30"/>
      <c r="EES20" s="93"/>
      <c r="EET20" s="30"/>
      <c r="EEY20" s="93"/>
      <c r="EEZ20" s="30"/>
      <c r="EFE20" s="93"/>
      <c r="EFF20" s="30"/>
      <c r="EFK20" s="93"/>
      <c r="EFL20" s="30"/>
      <c r="EFQ20" s="93"/>
      <c r="EFR20" s="30"/>
      <c r="EFW20" s="93"/>
      <c r="EFX20" s="30"/>
      <c r="EGC20" s="93"/>
      <c r="EGD20" s="30"/>
      <c r="EGI20" s="93"/>
      <c r="EGJ20" s="30"/>
      <c r="EGO20" s="93"/>
      <c r="EGP20" s="30"/>
      <c r="EGU20" s="93"/>
      <c r="EGV20" s="30"/>
      <c r="EHA20" s="93"/>
      <c r="EHB20" s="30"/>
      <c r="EHG20" s="93"/>
      <c r="EHH20" s="30"/>
      <c r="EHM20" s="93"/>
      <c r="EHN20" s="30"/>
      <c r="EHS20" s="93"/>
      <c r="EHT20" s="30"/>
      <c r="EHY20" s="93"/>
      <c r="EHZ20" s="30"/>
      <c r="EIE20" s="93"/>
      <c r="EIF20" s="30"/>
      <c r="EIK20" s="93"/>
      <c r="EIL20" s="30"/>
      <c r="EIQ20" s="93"/>
      <c r="EIR20" s="30"/>
      <c r="EIW20" s="93"/>
      <c r="EIX20" s="30"/>
      <c r="EJC20" s="93"/>
      <c r="EJD20" s="30"/>
      <c r="EJI20" s="93"/>
      <c r="EJJ20" s="30"/>
      <c r="EJO20" s="93"/>
      <c r="EJP20" s="30"/>
      <c r="EJU20" s="93"/>
      <c r="EJV20" s="30"/>
      <c r="EKA20" s="93"/>
      <c r="EKB20" s="30"/>
      <c r="EKG20" s="93"/>
      <c r="EKH20" s="30"/>
      <c r="EKM20" s="93"/>
      <c r="EKN20" s="30"/>
      <c r="EKS20" s="93"/>
      <c r="EKT20" s="30"/>
      <c r="EKY20" s="93"/>
      <c r="EKZ20" s="30"/>
      <c r="ELE20" s="93"/>
      <c r="ELF20" s="30"/>
      <c r="ELK20" s="93"/>
      <c r="ELL20" s="30"/>
      <c r="ELQ20" s="93"/>
      <c r="ELR20" s="30"/>
      <c r="ELW20" s="93"/>
      <c r="ELX20" s="30"/>
      <c r="EMC20" s="93"/>
      <c r="EMD20" s="30"/>
      <c r="EMI20" s="93"/>
      <c r="EMJ20" s="30"/>
      <c r="EMO20" s="93"/>
      <c r="EMP20" s="30"/>
      <c r="EMU20" s="93"/>
      <c r="EMV20" s="30"/>
      <c r="ENA20" s="93"/>
      <c r="ENB20" s="30"/>
      <c r="ENG20" s="93"/>
      <c r="ENH20" s="30"/>
      <c r="ENM20" s="93"/>
      <c r="ENN20" s="30"/>
      <c r="ENS20" s="93"/>
      <c r="ENT20" s="30"/>
      <c r="ENY20" s="93"/>
      <c r="ENZ20" s="30"/>
      <c r="EOE20" s="93"/>
      <c r="EOF20" s="30"/>
      <c r="EOK20" s="93"/>
      <c r="EOL20" s="30"/>
      <c r="EOQ20" s="93"/>
      <c r="EOR20" s="30"/>
      <c r="EOW20" s="93"/>
      <c r="EOX20" s="30"/>
      <c r="EPC20" s="93"/>
      <c r="EPD20" s="30"/>
      <c r="EPI20" s="93"/>
      <c r="EPJ20" s="30"/>
      <c r="EPO20" s="93"/>
      <c r="EPP20" s="30"/>
      <c r="EPU20" s="93"/>
      <c r="EPV20" s="30"/>
      <c r="EQA20" s="93"/>
      <c r="EQB20" s="30"/>
      <c r="EQG20" s="93"/>
      <c r="EQH20" s="30"/>
      <c r="EQM20" s="93"/>
      <c r="EQN20" s="30"/>
      <c r="EQS20" s="93"/>
      <c r="EQT20" s="30"/>
      <c r="EQY20" s="93"/>
      <c r="EQZ20" s="30"/>
      <c r="ERE20" s="93"/>
      <c r="ERF20" s="30"/>
      <c r="ERK20" s="93"/>
      <c r="ERL20" s="30"/>
      <c r="ERQ20" s="93"/>
      <c r="ERR20" s="30"/>
      <c r="ERW20" s="93"/>
      <c r="ERX20" s="30"/>
      <c r="ESC20" s="93"/>
      <c r="ESD20" s="30"/>
      <c r="ESI20" s="93"/>
      <c r="ESJ20" s="30"/>
      <c r="ESO20" s="93"/>
      <c r="ESP20" s="30"/>
      <c r="ESU20" s="93"/>
      <c r="ESV20" s="30"/>
      <c r="ETA20" s="93"/>
      <c r="ETB20" s="30"/>
      <c r="ETG20" s="93"/>
      <c r="ETH20" s="30"/>
      <c r="ETM20" s="93"/>
      <c r="ETN20" s="30"/>
      <c r="ETS20" s="93"/>
      <c r="ETT20" s="30"/>
      <c r="ETY20" s="93"/>
      <c r="ETZ20" s="30"/>
      <c r="EUE20" s="93"/>
      <c r="EUF20" s="30"/>
      <c r="EUK20" s="93"/>
      <c r="EUL20" s="30"/>
      <c r="EUQ20" s="93"/>
      <c r="EUR20" s="30"/>
      <c r="EUW20" s="93"/>
      <c r="EUX20" s="30"/>
      <c r="EVC20" s="93"/>
      <c r="EVD20" s="30"/>
      <c r="EVI20" s="93"/>
      <c r="EVJ20" s="30"/>
      <c r="EVO20" s="93"/>
      <c r="EVP20" s="30"/>
      <c r="EVU20" s="93"/>
      <c r="EVV20" s="30"/>
      <c r="EWA20" s="93"/>
      <c r="EWB20" s="30"/>
      <c r="EWG20" s="93"/>
      <c r="EWH20" s="30"/>
      <c r="EWM20" s="93"/>
      <c r="EWN20" s="30"/>
      <c r="EWS20" s="93"/>
      <c r="EWT20" s="30"/>
      <c r="EWY20" s="93"/>
      <c r="EWZ20" s="30"/>
      <c r="EXE20" s="93"/>
      <c r="EXF20" s="30"/>
      <c r="EXK20" s="93"/>
      <c r="EXL20" s="30"/>
      <c r="EXQ20" s="93"/>
      <c r="EXR20" s="30"/>
      <c r="EXW20" s="93"/>
      <c r="EXX20" s="30"/>
      <c r="EYC20" s="93"/>
      <c r="EYD20" s="30"/>
      <c r="EYI20" s="93"/>
      <c r="EYJ20" s="30"/>
      <c r="EYO20" s="93"/>
      <c r="EYP20" s="30"/>
      <c r="EYU20" s="93"/>
      <c r="EYV20" s="30"/>
      <c r="EZA20" s="93"/>
      <c r="EZB20" s="30"/>
      <c r="EZG20" s="93"/>
      <c r="EZH20" s="30"/>
      <c r="EZM20" s="93"/>
      <c r="EZN20" s="30"/>
      <c r="EZS20" s="93"/>
      <c r="EZT20" s="30"/>
      <c r="EZY20" s="93"/>
      <c r="EZZ20" s="30"/>
      <c r="FAE20" s="93"/>
      <c r="FAF20" s="30"/>
      <c r="FAK20" s="93"/>
      <c r="FAL20" s="30"/>
      <c r="FAQ20" s="93"/>
      <c r="FAR20" s="30"/>
      <c r="FAW20" s="93"/>
      <c r="FAX20" s="30"/>
      <c r="FBC20" s="93"/>
      <c r="FBD20" s="30"/>
      <c r="FBI20" s="93"/>
      <c r="FBJ20" s="30"/>
      <c r="FBO20" s="93"/>
      <c r="FBP20" s="30"/>
      <c r="FBU20" s="93"/>
      <c r="FBV20" s="30"/>
      <c r="FCA20" s="93"/>
      <c r="FCB20" s="30"/>
      <c r="FCG20" s="93"/>
      <c r="FCH20" s="30"/>
      <c r="FCM20" s="93"/>
      <c r="FCN20" s="30"/>
      <c r="FCS20" s="93"/>
      <c r="FCT20" s="30"/>
      <c r="FCY20" s="93"/>
      <c r="FCZ20" s="30"/>
      <c r="FDE20" s="93"/>
      <c r="FDF20" s="30"/>
      <c r="FDK20" s="93"/>
      <c r="FDL20" s="30"/>
      <c r="FDQ20" s="93"/>
      <c r="FDR20" s="30"/>
      <c r="FDW20" s="93"/>
      <c r="FDX20" s="30"/>
      <c r="FEC20" s="93"/>
      <c r="FED20" s="30"/>
      <c r="FEI20" s="93"/>
      <c r="FEJ20" s="30"/>
      <c r="FEO20" s="93"/>
      <c r="FEP20" s="30"/>
      <c r="FEU20" s="93"/>
      <c r="FEV20" s="30"/>
      <c r="FFA20" s="93"/>
      <c r="FFB20" s="30"/>
      <c r="FFG20" s="93"/>
      <c r="FFH20" s="30"/>
      <c r="FFM20" s="93"/>
      <c r="FFN20" s="30"/>
      <c r="FFS20" s="93"/>
      <c r="FFT20" s="30"/>
      <c r="FFY20" s="93"/>
      <c r="FFZ20" s="30"/>
      <c r="FGE20" s="93"/>
      <c r="FGF20" s="30"/>
      <c r="FGK20" s="93"/>
      <c r="FGL20" s="30"/>
      <c r="FGQ20" s="93"/>
      <c r="FGR20" s="30"/>
      <c r="FGW20" s="93"/>
      <c r="FGX20" s="30"/>
      <c r="FHC20" s="93"/>
      <c r="FHD20" s="30"/>
      <c r="FHI20" s="93"/>
      <c r="FHJ20" s="30"/>
      <c r="FHO20" s="93"/>
      <c r="FHP20" s="30"/>
      <c r="FHU20" s="93"/>
      <c r="FHV20" s="30"/>
      <c r="FIA20" s="93"/>
      <c r="FIB20" s="30"/>
      <c r="FIG20" s="93"/>
      <c r="FIH20" s="30"/>
      <c r="FIM20" s="93"/>
      <c r="FIN20" s="30"/>
      <c r="FIS20" s="93"/>
      <c r="FIT20" s="30"/>
      <c r="FIY20" s="93"/>
      <c r="FIZ20" s="30"/>
      <c r="FJE20" s="93"/>
      <c r="FJF20" s="30"/>
      <c r="FJK20" s="93"/>
      <c r="FJL20" s="30"/>
      <c r="FJQ20" s="93"/>
      <c r="FJR20" s="30"/>
      <c r="FJW20" s="93"/>
      <c r="FJX20" s="30"/>
      <c r="FKC20" s="93"/>
      <c r="FKD20" s="30"/>
      <c r="FKI20" s="93"/>
      <c r="FKJ20" s="30"/>
      <c r="FKO20" s="93"/>
      <c r="FKP20" s="30"/>
      <c r="FKU20" s="93"/>
      <c r="FKV20" s="30"/>
      <c r="FLA20" s="93"/>
      <c r="FLB20" s="30"/>
      <c r="FLG20" s="93"/>
      <c r="FLH20" s="30"/>
      <c r="FLM20" s="93"/>
      <c r="FLN20" s="30"/>
      <c r="FLS20" s="93"/>
      <c r="FLT20" s="30"/>
      <c r="FLY20" s="93"/>
      <c r="FLZ20" s="30"/>
      <c r="FME20" s="93"/>
      <c r="FMF20" s="30"/>
      <c r="FMK20" s="93"/>
      <c r="FML20" s="30"/>
      <c r="FMQ20" s="93"/>
      <c r="FMR20" s="30"/>
      <c r="FMW20" s="93"/>
      <c r="FMX20" s="30"/>
      <c r="FNC20" s="93"/>
      <c r="FND20" s="30"/>
      <c r="FNI20" s="93"/>
      <c r="FNJ20" s="30"/>
      <c r="FNO20" s="93"/>
      <c r="FNP20" s="30"/>
      <c r="FNU20" s="93"/>
      <c r="FNV20" s="30"/>
      <c r="FOA20" s="93"/>
      <c r="FOB20" s="30"/>
      <c r="FOG20" s="93"/>
      <c r="FOH20" s="30"/>
      <c r="FOM20" s="93"/>
      <c r="FON20" s="30"/>
      <c r="FOS20" s="93"/>
      <c r="FOT20" s="30"/>
      <c r="FOY20" s="93"/>
      <c r="FOZ20" s="30"/>
      <c r="FPE20" s="93"/>
      <c r="FPF20" s="30"/>
      <c r="FPK20" s="93"/>
      <c r="FPL20" s="30"/>
      <c r="FPQ20" s="93"/>
      <c r="FPR20" s="30"/>
      <c r="FPW20" s="93"/>
      <c r="FPX20" s="30"/>
      <c r="FQC20" s="93"/>
      <c r="FQD20" s="30"/>
      <c r="FQI20" s="93"/>
      <c r="FQJ20" s="30"/>
      <c r="FQO20" s="93"/>
      <c r="FQP20" s="30"/>
      <c r="FQU20" s="93"/>
      <c r="FQV20" s="30"/>
      <c r="FRA20" s="93"/>
      <c r="FRB20" s="30"/>
      <c r="FRG20" s="93"/>
      <c r="FRH20" s="30"/>
      <c r="FRM20" s="93"/>
      <c r="FRN20" s="30"/>
      <c r="FRS20" s="93"/>
      <c r="FRT20" s="30"/>
      <c r="FRY20" s="93"/>
      <c r="FRZ20" s="30"/>
      <c r="FSE20" s="93"/>
      <c r="FSF20" s="30"/>
      <c r="FSK20" s="93"/>
      <c r="FSL20" s="30"/>
      <c r="FSQ20" s="93"/>
      <c r="FSR20" s="30"/>
      <c r="FSW20" s="93"/>
      <c r="FSX20" s="30"/>
      <c r="FTC20" s="93"/>
      <c r="FTD20" s="30"/>
      <c r="FTI20" s="93"/>
      <c r="FTJ20" s="30"/>
      <c r="FTO20" s="93"/>
      <c r="FTP20" s="30"/>
      <c r="FTU20" s="93"/>
      <c r="FTV20" s="30"/>
      <c r="FUA20" s="93"/>
      <c r="FUB20" s="30"/>
      <c r="FUG20" s="93"/>
      <c r="FUH20" s="30"/>
      <c r="FUM20" s="93"/>
      <c r="FUN20" s="30"/>
      <c r="FUS20" s="93"/>
      <c r="FUT20" s="30"/>
      <c r="FUY20" s="93"/>
      <c r="FUZ20" s="30"/>
      <c r="FVE20" s="93"/>
      <c r="FVF20" s="30"/>
      <c r="FVK20" s="93"/>
      <c r="FVL20" s="30"/>
      <c r="FVQ20" s="93"/>
      <c r="FVR20" s="30"/>
      <c r="FVW20" s="93"/>
      <c r="FVX20" s="30"/>
      <c r="FWC20" s="93"/>
      <c r="FWD20" s="30"/>
      <c r="FWI20" s="93"/>
      <c r="FWJ20" s="30"/>
      <c r="FWO20" s="93"/>
      <c r="FWP20" s="30"/>
      <c r="FWU20" s="93"/>
      <c r="FWV20" s="30"/>
      <c r="FXA20" s="93"/>
      <c r="FXB20" s="30"/>
      <c r="FXG20" s="93"/>
      <c r="FXH20" s="30"/>
      <c r="FXM20" s="93"/>
      <c r="FXN20" s="30"/>
      <c r="FXS20" s="93"/>
      <c r="FXT20" s="30"/>
      <c r="FXY20" s="93"/>
      <c r="FXZ20" s="30"/>
      <c r="FYE20" s="93"/>
      <c r="FYF20" s="30"/>
      <c r="FYK20" s="93"/>
      <c r="FYL20" s="30"/>
      <c r="FYQ20" s="93"/>
      <c r="FYR20" s="30"/>
      <c r="FYW20" s="93"/>
      <c r="FYX20" s="30"/>
      <c r="FZC20" s="93"/>
      <c r="FZD20" s="30"/>
      <c r="FZI20" s="93"/>
      <c r="FZJ20" s="30"/>
      <c r="FZO20" s="93"/>
      <c r="FZP20" s="30"/>
      <c r="FZU20" s="93"/>
      <c r="FZV20" s="30"/>
      <c r="GAA20" s="93"/>
      <c r="GAB20" s="30"/>
      <c r="GAG20" s="93"/>
      <c r="GAH20" s="30"/>
      <c r="GAM20" s="93"/>
      <c r="GAN20" s="30"/>
      <c r="GAS20" s="93"/>
      <c r="GAT20" s="30"/>
      <c r="GAY20" s="93"/>
      <c r="GAZ20" s="30"/>
      <c r="GBE20" s="93"/>
      <c r="GBF20" s="30"/>
      <c r="GBK20" s="93"/>
      <c r="GBL20" s="30"/>
      <c r="GBQ20" s="93"/>
      <c r="GBR20" s="30"/>
      <c r="GBW20" s="93"/>
      <c r="GBX20" s="30"/>
      <c r="GCC20" s="93"/>
      <c r="GCD20" s="30"/>
      <c r="GCI20" s="93"/>
      <c r="GCJ20" s="30"/>
      <c r="GCO20" s="93"/>
      <c r="GCP20" s="30"/>
      <c r="GCU20" s="93"/>
      <c r="GCV20" s="30"/>
      <c r="GDA20" s="93"/>
      <c r="GDB20" s="30"/>
      <c r="GDG20" s="93"/>
      <c r="GDH20" s="30"/>
      <c r="GDM20" s="93"/>
      <c r="GDN20" s="30"/>
      <c r="GDS20" s="93"/>
      <c r="GDT20" s="30"/>
      <c r="GDY20" s="93"/>
      <c r="GDZ20" s="30"/>
      <c r="GEE20" s="93"/>
      <c r="GEF20" s="30"/>
      <c r="GEK20" s="93"/>
      <c r="GEL20" s="30"/>
      <c r="GEQ20" s="93"/>
      <c r="GER20" s="30"/>
      <c r="GEW20" s="93"/>
      <c r="GEX20" s="30"/>
      <c r="GFC20" s="93"/>
      <c r="GFD20" s="30"/>
      <c r="GFI20" s="93"/>
      <c r="GFJ20" s="30"/>
      <c r="GFO20" s="93"/>
      <c r="GFP20" s="30"/>
      <c r="GFU20" s="93"/>
      <c r="GFV20" s="30"/>
      <c r="GGA20" s="93"/>
      <c r="GGB20" s="30"/>
      <c r="GGG20" s="93"/>
      <c r="GGH20" s="30"/>
      <c r="GGM20" s="93"/>
      <c r="GGN20" s="30"/>
      <c r="GGS20" s="93"/>
      <c r="GGT20" s="30"/>
      <c r="GGY20" s="93"/>
      <c r="GGZ20" s="30"/>
      <c r="GHE20" s="93"/>
      <c r="GHF20" s="30"/>
      <c r="GHK20" s="93"/>
      <c r="GHL20" s="30"/>
      <c r="GHQ20" s="93"/>
      <c r="GHR20" s="30"/>
      <c r="GHW20" s="93"/>
      <c r="GHX20" s="30"/>
      <c r="GIC20" s="93"/>
      <c r="GID20" s="30"/>
      <c r="GII20" s="93"/>
      <c r="GIJ20" s="30"/>
      <c r="GIO20" s="93"/>
      <c r="GIP20" s="30"/>
      <c r="GIU20" s="93"/>
      <c r="GIV20" s="30"/>
      <c r="GJA20" s="93"/>
      <c r="GJB20" s="30"/>
      <c r="GJG20" s="93"/>
      <c r="GJH20" s="30"/>
      <c r="GJM20" s="93"/>
      <c r="GJN20" s="30"/>
      <c r="GJS20" s="93"/>
      <c r="GJT20" s="30"/>
      <c r="GJY20" s="93"/>
      <c r="GJZ20" s="30"/>
      <c r="GKE20" s="93"/>
      <c r="GKF20" s="30"/>
      <c r="GKK20" s="93"/>
      <c r="GKL20" s="30"/>
      <c r="GKQ20" s="93"/>
      <c r="GKR20" s="30"/>
      <c r="GKW20" s="93"/>
      <c r="GKX20" s="30"/>
      <c r="GLC20" s="93"/>
      <c r="GLD20" s="30"/>
      <c r="GLI20" s="93"/>
      <c r="GLJ20" s="30"/>
      <c r="GLO20" s="93"/>
      <c r="GLP20" s="30"/>
      <c r="GLU20" s="93"/>
      <c r="GLV20" s="30"/>
      <c r="GMA20" s="93"/>
      <c r="GMB20" s="30"/>
      <c r="GMG20" s="93"/>
      <c r="GMH20" s="30"/>
      <c r="GMM20" s="93"/>
      <c r="GMN20" s="30"/>
      <c r="GMS20" s="93"/>
      <c r="GMT20" s="30"/>
      <c r="GMY20" s="93"/>
      <c r="GMZ20" s="30"/>
      <c r="GNE20" s="93"/>
      <c r="GNF20" s="30"/>
      <c r="GNK20" s="93"/>
      <c r="GNL20" s="30"/>
      <c r="GNQ20" s="93"/>
      <c r="GNR20" s="30"/>
      <c r="GNW20" s="93"/>
      <c r="GNX20" s="30"/>
      <c r="GOC20" s="93"/>
      <c r="GOD20" s="30"/>
      <c r="GOI20" s="93"/>
      <c r="GOJ20" s="30"/>
      <c r="GOO20" s="93"/>
      <c r="GOP20" s="30"/>
      <c r="GOU20" s="93"/>
      <c r="GOV20" s="30"/>
      <c r="GPA20" s="93"/>
      <c r="GPB20" s="30"/>
      <c r="GPG20" s="93"/>
      <c r="GPH20" s="30"/>
      <c r="GPM20" s="93"/>
      <c r="GPN20" s="30"/>
      <c r="GPS20" s="93"/>
      <c r="GPT20" s="30"/>
      <c r="GPY20" s="93"/>
      <c r="GPZ20" s="30"/>
      <c r="GQE20" s="93"/>
      <c r="GQF20" s="30"/>
      <c r="GQK20" s="93"/>
      <c r="GQL20" s="30"/>
      <c r="GQQ20" s="93"/>
      <c r="GQR20" s="30"/>
      <c r="GQW20" s="93"/>
      <c r="GQX20" s="30"/>
      <c r="GRC20" s="93"/>
      <c r="GRD20" s="30"/>
      <c r="GRI20" s="93"/>
      <c r="GRJ20" s="30"/>
      <c r="GRO20" s="93"/>
      <c r="GRP20" s="30"/>
      <c r="GRU20" s="93"/>
      <c r="GRV20" s="30"/>
      <c r="GSA20" s="93"/>
      <c r="GSB20" s="30"/>
      <c r="GSG20" s="93"/>
      <c r="GSH20" s="30"/>
      <c r="GSM20" s="93"/>
      <c r="GSN20" s="30"/>
      <c r="GSS20" s="93"/>
      <c r="GST20" s="30"/>
      <c r="GSY20" s="93"/>
      <c r="GSZ20" s="30"/>
      <c r="GTE20" s="93"/>
      <c r="GTF20" s="30"/>
      <c r="GTK20" s="93"/>
      <c r="GTL20" s="30"/>
      <c r="GTQ20" s="93"/>
      <c r="GTR20" s="30"/>
      <c r="GTW20" s="93"/>
      <c r="GTX20" s="30"/>
      <c r="GUC20" s="93"/>
      <c r="GUD20" s="30"/>
      <c r="GUI20" s="93"/>
      <c r="GUJ20" s="30"/>
      <c r="GUO20" s="93"/>
      <c r="GUP20" s="30"/>
      <c r="GUU20" s="93"/>
      <c r="GUV20" s="30"/>
      <c r="GVA20" s="93"/>
      <c r="GVB20" s="30"/>
      <c r="GVG20" s="93"/>
      <c r="GVH20" s="30"/>
      <c r="GVM20" s="93"/>
      <c r="GVN20" s="30"/>
      <c r="GVS20" s="93"/>
      <c r="GVT20" s="30"/>
      <c r="GVY20" s="93"/>
      <c r="GVZ20" s="30"/>
      <c r="GWE20" s="93"/>
      <c r="GWF20" s="30"/>
      <c r="GWK20" s="93"/>
      <c r="GWL20" s="30"/>
      <c r="GWQ20" s="93"/>
      <c r="GWR20" s="30"/>
      <c r="GWW20" s="93"/>
      <c r="GWX20" s="30"/>
      <c r="GXC20" s="93"/>
      <c r="GXD20" s="30"/>
      <c r="GXI20" s="93"/>
      <c r="GXJ20" s="30"/>
      <c r="GXO20" s="93"/>
      <c r="GXP20" s="30"/>
      <c r="GXU20" s="93"/>
      <c r="GXV20" s="30"/>
      <c r="GYA20" s="93"/>
      <c r="GYB20" s="30"/>
      <c r="GYG20" s="93"/>
      <c r="GYH20" s="30"/>
      <c r="GYM20" s="93"/>
      <c r="GYN20" s="30"/>
      <c r="GYS20" s="93"/>
      <c r="GYT20" s="30"/>
      <c r="GYY20" s="93"/>
      <c r="GYZ20" s="30"/>
      <c r="GZE20" s="93"/>
      <c r="GZF20" s="30"/>
      <c r="GZK20" s="93"/>
      <c r="GZL20" s="30"/>
      <c r="GZQ20" s="93"/>
      <c r="GZR20" s="30"/>
      <c r="GZW20" s="93"/>
      <c r="GZX20" s="30"/>
      <c r="HAC20" s="93"/>
      <c r="HAD20" s="30"/>
      <c r="HAI20" s="93"/>
      <c r="HAJ20" s="30"/>
      <c r="HAO20" s="93"/>
      <c r="HAP20" s="30"/>
      <c r="HAU20" s="93"/>
      <c r="HAV20" s="30"/>
      <c r="HBA20" s="93"/>
      <c r="HBB20" s="30"/>
      <c r="HBG20" s="93"/>
      <c r="HBH20" s="30"/>
      <c r="HBM20" s="93"/>
      <c r="HBN20" s="30"/>
      <c r="HBS20" s="93"/>
      <c r="HBT20" s="30"/>
      <c r="HBY20" s="93"/>
      <c r="HBZ20" s="30"/>
      <c r="HCE20" s="93"/>
      <c r="HCF20" s="30"/>
      <c r="HCK20" s="93"/>
      <c r="HCL20" s="30"/>
      <c r="HCQ20" s="93"/>
      <c r="HCR20" s="30"/>
      <c r="HCW20" s="93"/>
      <c r="HCX20" s="30"/>
      <c r="HDC20" s="93"/>
      <c r="HDD20" s="30"/>
      <c r="HDI20" s="93"/>
      <c r="HDJ20" s="30"/>
      <c r="HDO20" s="93"/>
      <c r="HDP20" s="30"/>
      <c r="HDU20" s="93"/>
      <c r="HDV20" s="30"/>
      <c r="HEA20" s="93"/>
      <c r="HEB20" s="30"/>
      <c r="HEG20" s="93"/>
      <c r="HEH20" s="30"/>
      <c r="HEM20" s="93"/>
      <c r="HEN20" s="30"/>
      <c r="HES20" s="93"/>
      <c r="HET20" s="30"/>
      <c r="HEY20" s="93"/>
      <c r="HEZ20" s="30"/>
      <c r="HFE20" s="93"/>
      <c r="HFF20" s="30"/>
      <c r="HFK20" s="93"/>
      <c r="HFL20" s="30"/>
      <c r="HFQ20" s="93"/>
      <c r="HFR20" s="30"/>
      <c r="HFW20" s="93"/>
      <c r="HFX20" s="30"/>
      <c r="HGC20" s="93"/>
      <c r="HGD20" s="30"/>
      <c r="HGI20" s="93"/>
      <c r="HGJ20" s="30"/>
      <c r="HGO20" s="93"/>
      <c r="HGP20" s="30"/>
      <c r="HGU20" s="93"/>
      <c r="HGV20" s="30"/>
      <c r="HHA20" s="93"/>
      <c r="HHB20" s="30"/>
      <c r="HHG20" s="93"/>
      <c r="HHH20" s="30"/>
      <c r="HHM20" s="93"/>
      <c r="HHN20" s="30"/>
      <c r="HHS20" s="93"/>
      <c r="HHT20" s="30"/>
      <c r="HHY20" s="93"/>
      <c r="HHZ20" s="30"/>
      <c r="HIE20" s="93"/>
      <c r="HIF20" s="30"/>
      <c r="HIK20" s="93"/>
      <c r="HIL20" s="30"/>
      <c r="HIQ20" s="93"/>
      <c r="HIR20" s="30"/>
      <c r="HIW20" s="93"/>
      <c r="HIX20" s="30"/>
      <c r="HJC20" s="93"/>
      <c r="HJD20" s="30"/>
      <c r="HJI20" s="93"/>
      <c r="HJJ20" s="30"/>
      <c r="HJO20" s="93"/>
      <c r="HJP20" s="30"/>
      <c r="HJU20" s="93"/>
      <c r="HJV20" s="30"/>
      <c r="HKA20" s="93"/>
      <c r="HKB20" s="30"/>
      <c r="HKG20" s="93"/>
      <c r="HKH20" s="30"/>
      <c r="HKM20" s="93"/>
      <c r="HKN20" s="30"/>
      <c r="HKS20" s="93"/>
      <c r="HKT20" s="30"/>
      <c r="HKY20" s="93"/>
      <c r="HKZ20" s="30"/>
      <c r="HLE20" s="93"/>
      <c r="HLF20" s="30"/>
      <c r="HLK20" s="93"/>
      <c r="HLL20" s="30"/>
      <c r="HLQ20" s="93"/>
      <c r="HLR20" s="30"/>
      <c r="HLW20" s="93"/>
      <c r="HLX20" s="30"/>
      <c r="HMC20" s="93"/>
      <c r="HMD20" s="30"/>
      <c r="HMI20" s="93"/>
      <c r="HMJ20" s="30"/>
      <c r="HMO20" s="93"/>
      <c r="HMP20" s="30"/>
      <c r="HMU20" s="93"/>
      <c r="HMV20" s="30"/>
      <c r="HNA20" s="93"/>
      <c r="HNB20" s="30"/>
      <c r="HNG20" s="93"/>
      <c r="HNH20" s="30"/>
      <c r="HNM20" s="93"/>
      <c r="HNN20" s="30"/>
      <c r="HNS20" s="93"/>
      <c r="HNT20" s="30"/>
      <c r="HNY20" s="93"/>
      <c r="HNZ20" s="30"/>
      <c r="HOE20" s="93"/>
      <c r="HOF20" s="30"/>
      <c r="HOK20" s="93"/>
      <c r="HOL20" s="30"/>
      <c r="HOQ20" s="93"/>
      <c r="HOR20" s="30"/>
      <c r="HOW20" s="93"/>
      <c r="HOX20" s="30"/>
      <c r="HPC20" s="93"/>
      <c r="HPD20" s="30"/>
      <c r="HPI20" s="93"/>
      <c r="HPJ20" s="30"/>
      <c r="HPO20" s="93"/>
      <c r="HPP20" s="30"/>
      <c r="HPU20" s="93"/>
      <c r="HPV20" s="30"/>
      <c r="HQA20" s="93"/>
      <c r="HQB20" s="30"/>
      <c r="HQG20" s="93"/>
      <c r="HQH20" s="30"/>
      <c r="HQM20" s="93"/>
      <c r="HQN20" s="30"/>
      <c r="HQS20" s="93"/>
      <c r="HQT20" s="30"/>
      <c r="HQY20" s="93"/>
      <c r="HQZ20" s="30"/>
      <c r="HRE20" s="93"/>
      <c r="HRF20" s="30"/>
      <c r="HRK20" s="93"/>
      <c r="HRL20" s="30"/>
      <c r="HRQ20" s="93"/>
      <c r="HRR20" s="30"/>
      <c r="HRW20" s="93"/>
      <c r="HRX20" s="30"/>
      <c r="HSC20" s="93"/>
      <c r="HSD20" s="30"/>
      <c r="HSI20" s="93"/>
      <c r="HSJ20" s="30"/>
      <c r="HSO20" s="93"/>
      <c r="HSP20" s="30"/>
      <c r="HSU20" s="93"/>
      <c r="HSV20" s="30"/>
      <c r="HTA20" s="93"/>
      <c r="HTB20" s="30"/>
      <c r="HTG20" s="93"/>
      <c r="HTH20" s="30"/>
      <c r="HTM20" s="93"/>
      <c r="HTN20" s="30"/>
      <c r="HTS20" s="93"/>
      <c r="HTT20" s="30"/>
      <c r="HTY20" s="93"/>
      <c r="HTZ20" s="30"/>
      <c r="HUE20" s="93"/>
      <c r="HUF20" s="30"/>
      <c r="HUK20" s="93"/>
      <c r="HUL20" s="30"/>
      <c r="HUQ20" s="93"/>
      <c r="HUR20" s="30"/>
      <c r="HUW20" s="93"/>
      <c r="HUX20" s="30"/>
      <c r="HVC20" s="93"/>
      <c r="HVD20" s="30"/>
      <c r="HVI20" s="93"/>
      <c r="HVJ20" s="30"/>
      <c r="HVO20" s="93"/>
      <c r="HVP20" s="30"/>
      <c r="HVU20" s="93"/>
      <c r="HVV20" s="30"/>
      <c r="HWA20" s="93"/>
      <c r="HWB20" s="30"/>
      <c r="HWG20" s="93"/>
      <c r="HWH20" s="30"/>
      <c r="HWM20" s="93"/>
      <c r="HWN20" s="30"/>
      <c r="HWS20" s="93"/>
      <c r="HWT20" s="30"/>
      <c r="HWY20" s="93"/>
      <c r="HWZ20" s="30"/>
      <c r="HXE20" s="93"/>
      <c r="HXF20" s="30"/>
      <c r="HXK20" s="93"/>
      <c r="HXL20" s="30"/>
      <c r="HXQ20" s="93"/>
      <c r="HXR20" s="30"/>
      <c r="HXW20" s="93"/>
      <c r="HXX20" s="30"/>
      <c r="HYC20" s="93"/>
      <c r="HYD20" s="30"/>
      <c r="HYI20" s="93"/>
      <c r="HYJ20" s="30"/>
      <c r="HYO20" s="93"/>
      <c r="HYP20" s="30"/>
      <c r="HYU20" s="93"/>
      <c r="HYV20" s="30"/>
      <c r="HZA20" s="93"/>
      <c r="HZB20" s="30"/>
      <c r="HZG20" s="93"/>
      <c r="HZH20" s="30"/>
      <c r="HZM20" s="93"/>
      <c r="HZN20" s="30"/>
      <c r="HZS20" s="93"/>
      <c r="HZT20" s="30"/>
      <c r="HZY20" s="93"/>
      <c r="HZZ20" s="30"/>
      <c r="IAE20" s="93"/>
      <c r="IAF20" s="30"/>
      <c r="IAK20" s="93"/>
      <c r="IAL20" s="30"/>
      <c r="IAQ20" s="93"/>
      <c r="IAR20" s="30"/>
      <c r="IAW20" s="93"/>
      <c r="IAX20" s="30"/>
      <c r="IBC20" s="93"/>
      <c r="IBD20" s="30"/>
      <c r="IBI20" s="93"/>
      <c r="IBJ20" s="30"/>
      <c r="IBO20" s="93"/>
      <c r="IBP20" s="30"/>
      <c r="IBU20" s="93"/>
      <c r="IBV20" s="30"/>
      <c r="ICA20" s="93"/>
      <c r="ICB20" s="30"/>
      <c r="ICG20" s="93"/>
      <c r="ICH20" s="30"/>
      <c r="ICM20" s="93"/>
      <c r="ICN20" s="30"/>
      <c r="ICS20" s="93"/>
      <c r="ICT20" s="30"/>
      <c r="ICY20" s="93"/>
      <c r="ICZ20" s="30"/>
      <c r="IDE20" s="93"/>
      <c r="IDF20" s="30"/>
      <c r="IDK20" s="93"/>
      <c r="IDL20" s="30"/>
      <c r="IDQ20" s="93"/>
      <c r="IDR20" s="30"/>
      <c r="IDW20" s="93"/>
      <c r="IDX20" s="30"/>
      <c r="IEC20" s="93"/>
      <c r="IED20" s="30"/>
      <c r="IEI20" s="93"/>
      <c r="IEJ20" s="30"/>
      <c r="IEO20" s="93"/>
      <c r="IEP20" s="30"/>
      <c r="IEU20" s="93"/>
      <c r="IEV20" s="30"/>
      <c r="IFA20" s="93"/>
      <c r="IFB20" s="30"/>
      <c r="IFG20" s="93"/>
      <c r="IFH20" s="30"/>
      <c r="IFM20" s="93"/>
      <c r="IFN20" s="30"/>
      <c r="IFS20" s="93"/>
      <c r="IFT20" s="30"/>
      <c r="IFY20" s="93"/>
      <c r="IFZ20" s="30"/>
      <c r="IGE20" s="93"/>
      <c r="IGF20" s="30"/>
      <c r="IGK20" s="93"/>
      <c r="IGL20" s="30"/>
      <c r="IGQ20" s="93"/>
      <c r="IGR20" s="30"/>
      <c r="IGW20" s="93"/>
      <c r="IGX20" s="30"/>
      <c r="IHC20" s="93"/>
      <c r="IHD20" s="30"/>
      <c r="IHI20" s="93"/>
      <c r="IHJ20" s="30"/>
      <c r="IHO20" s="93"/>
      <c r="IHP20" s="30"/>
      <c r="IHU20" s="93"/>
      <c r="IHV20" s="30"/>
      <c r="IIA20" s="93"/>
      <c r="IIB20" s="30"/>
      <c r="IIG20" s="93"/>
      <c r="IIH20" s="30"/>
      <c r="IIM20" s="93"/>
      <c r="IIN20" s="30"/>
      <c r="IIS20" s="93"/>
      <c r="IIT20" s="30"/>
      <c r="IIY20" s="93"/>
      <c r="IIZ20" s="30"/>
      <c r="IJE20" s="93"/>
      <c r="IJF20" s="30"/>
      <c r="IJK20" s="93"/>
      <c r="IJL20" s="30"/>
      <c r="IJQ20" s="93"/>
      <c r="IJR20" s="30"/>
      <c r="IJW20" s="93"/>
      <c r="IJX20" s="30"/>
      <c r="IKC20" s="93"/>
      <c r="IKD20" s="30"/>
      <c r="IKI20" s="93"/>
      <c r="IKJ20" s="30"/>
      <c r="IKO20" s="93"/>
      <c r="IKP20" s="30"/>
      <c r="IKU20" s="93"/>
      <c r="IKV20" s="30"/>
      <c r="ILA20" s="93"/>
      <c r="ILB20" s="30"/>
      <c r="ILG20" s="93"/>
      <c r="ILH20" s="30"/>
      <c r="ILM20" s="93"/>
      <c r="ILN20" s="30"/>
      <c r="ILS20" s="93"/>
      <c r="ILT20" s="30"/>
      <c r="ILY20" s="93"/>
      <c r="ILZ20" s="30"/>
      <c r="IME20" s="93"/>
      <c r="IMF20" s="30"/>
      <c r="IMK20" s="93"/>
      <c r="IML20" s="30"/>
      <c r="IMQ20" s="93"/>
      <c r="IMR20" s="30"/>
      <c r="IMW20" s="93"/>
      <c r="IMX20" s="30"/>
      <c r="INC20" s="93"/>
      <c r="IND20" s="30"/>
      <c r="INI20" s="93"/>
      <c r="INJ20" s="30"/>
      <c r="INO20" s="93"/>
      <c r="INP20" s="30"/>
      <c r="INU20" s="93"/>
      <c r="INV20" s="30"/>
      <c r="IOA20" s="93"/>
      <c r="IOB20" s="30"/>
      <c r="IOG20" s="93"/>
      <c r="IOH20" s="30"/>
      <c r="IOM20" s="93"/>
      <c r="ION20" s="30"/>
      <c r="IOS20" s="93"/>
      <c r="IOT20" s="30"/>
      <c r="IOY20" s="93"/>
      <c r="IOZ20" s="30"/>
      <c r="IPE20" s="93"/>
      <c r="IPF20" s="30"/>
      <c r="IPK20" s="93"/>
      <c r="IPL20" s="30"/>
      <c r="IPQ20" s="93"/>
      <c r="IPR20" s="30"/>
      <c r="IPW20" s="93"/>
      <c r="IPX20" s="30"/>
      <c r="IQC20" s="93"/>
      <c r="IQD20" s="30"/>
      <c r="IQI20" s="93"/>
      <c r="IQJ20" s="30"/>
      <c r="IQO20" s="93"/>
      <c r="IQP20" s="30"/>
      <c r="IQU20" s="93"/>
      <c r="IQV20" s="30"/>
      <c r="IRA20" s="93"/>
      <c r="IRB20" s="30"/>
      <c r="IRG20" s="93"/>
      <c r="IRH20" s="30"/>
      <c r="IRM20" s="93"/>
      <c r="IRN20" s="30"/>
      <c r="IRS20" s="93"/>
      <c r="IRT20" s="30"/>
      <c r="IRY20" s="93"/>
      <c r="IRZ20" s="30"/>
      <c r="ISE20" s="93"/>
      <c r="ISF20" s="30"/>
      <c r="ISK20" s="93"/>
      <c r="ISL20" s="30"/>
      <c r="ISQ20" s="93"/>
      <c r="ISR20" s="30"/>
      <c r="ISW20" s="93"/>
      <c r="ISX20" s="30"/>
      <c r="ITC20" s="93"/>
      <c r="ITD20" s="30"/>
      <c r="ITI20" s="93"/>
      <c r="ITJ20" s="30"/>
      <c r="ITO20" s="93"/>
      <c r="ITP20" s="30"/>
      <c r="ITU20" s="93"/>
      <c r="ITV20" s="30"/>
      <c r="IUA20" s="93"/>
      <c r="IUB20" s="30"/>
      <c r="IUG20" s="93"/>
      <c r="IUH20" s="30"/>
      <c r="IUM20" s="93"/>
      <c r="IUN20" s="30"/>
      <c r="IUS20" s="93"/>
      <c r="IUT20" s="30"/>
      <c r="IUY20" s="93"/>
      <c r="IUZ20" s="30"/>
      <c r="IVE20" s="93"/>
      <c r="IVF20" s="30"/>
      <c r="IVK20" s="93"/>
      <c r="IVL20" s="30"/>
      <c r="IVQ20" s="93"/>
      <c r="IVR20" s="30"/>
      <c r="IVW20" s="93"/>
      <c r="IVX20" s="30"/>
      <c r="IWC20" s="93"/>
      <c r="IWD20" s="30"/>
      <c r="IWI20" s="93"/>
      <c r="IWJ20" s="30"/>
      <c r="IWO20" s="93"/>
      <c r="IWP20" s="30"/>
      <c r="IWU20" s="93"/>
      <c r="IWV20" s="30"/>
      <c r="IXA20" s="93"/>
      <c r="IXB20" s="30"/>
      <c r="IXG20" s="93"/>
      <c r="IXH20" s="30"/>
      <c r="IXM20" s="93"/>
      <c r="IXN20" s="30"/>
      <c r="IXS20" s="93"/>
      <c r="IXT20" s="30"/>
      <c r="IXY20" s="93"/>
      <c r="IXZ20" s="30"/>
      <c r="IYE20" s="93"/>
      <c r="IYF20" s="30"/>
      <c r="IYK20" s="93"/>
      <c r="IYL20" s="30"/>
      <c r="IYQ20" s="93"/>
      <c r="IYR20" s="30"/>
      <c r="IYW20" s="93"/>
      <c r="IYX20" s="30"/>
      <c r="IZC20" s="93"/>
      <c r="IZD20" s="30"/>
      <c r="IZI20" s="93"/>
      <c r="IZJ20" s="30"/>
      <c r="IZO20" s="93"/>
      <c r="IZP20" s="30"/>
      <c r="IZU20" s="93"/>
      <c r="IZV20" s="30"/>
      <c r="JAA20" s="93"/>
      <c r="JAB20" s="30"/>
      <c r="JAG20" s="93"/>
      <c r="JAH20" s="30"/>
      <c r="JAM20" s="93"/>
      <c r="JAN20" s="30"/>
      <c r="JAS20" s="93"/>
      <c r="JAT20" s="30"/>
      <c r="JAY20" s="93"/>
      <c r="JAZ20" s="30"/>
      <c r="JBE20" s="93"/>
      <c r="JBF20" s="30"/>
      <c r="JBK20" s="93"/>
      <c r="JBL20" s="30"/>
      <c r="JBQ20" s="93"/>
      <c r="JBR20" s="30"/>
      <c r="JBW20" s="93"/>
      <c r="JBX20" s="30"/>
      <c r="JCC20" s="93"/>
      <c r="JCD20" s="30"/>
      <c r="JCI20" s="93"/>
      <c r="JCJ20" s="30"/>
      <c r="JCO20" s="93"/>
      <c r="JCP20" s="30"/>
      <c r="JCU20" s="93"/>
      <c r="JCV20" s="30"/>
      <c r="JDA20" s="93"/>
      <c r="JDB20" s="30"/>
      <c r="JDG20" s="93"/>
      <c r="JDH20" s="30"/>
      <c r="JDM20" s="93"/>
      <c r="JDN20" s="30"/>
      <c r="JDS20" s="93"/>
      <c r="JDT20" s="30"/>
      <c r="JDY20" s="93"/>
      <c r="JDZ20" s="30"/>
      <c r="JEE20" s="93"/>
      <c r="JEF20" s="30"/>
      <c r="JEK20" s="93"/>
      <c r="JEL20" s="30"/>
      <c r="JEQ20" s="93"/>
      <c r="JER20" s="30"/>
      <c r="JEW20" s="93"/>
      <c r="JEX20" s="30"/>
      <c r="JFC20" s="93"/>
      <c r="JFD20" s="30"/>
      <c r="JFI20" s="93"/>
      <c r="JFJ20" s="30"/>
      <c r="JFO20" s="93"/>
      <c r="JFP20" s="30"/>
      <c r="JFU20" s="93"/>
      <c r="JFV20" s="30"/>
      <c r="JGA20" s="93"/>
      <c r="JGB20" s="30"/>
      <c r="JGG20" s="93"/>
      <c r="JGH20" s="30"/>
      <c r="JGM20" s="93"/>
      <c r="JGN20" s="30"/>
      <c r="JGS20" s="93"/>
      <c r="JGT20" s="30"/>
      <c r="JGY20" s="93"/>
      <c r="JGZ20" s="30"/>
      <c r="JHE20" s="93"/>
      <c r="JHF20" s="30"/>
      <c r="JHK20" s="93"/>
      <c r="JHL20" s="30"/>
      <c r="JHQ20" s="93"/>
      <c r="JHR20" s="30"/>
      <c r="JHW20" s="93"/>
      <c r="JHX20" s="30"/>
      <c r="JIC20" s="93"/>
      <c r="JID20" s="30"/>
      <c r="JII20" s="93"/>
      <c r="JIJ20" s="30"/>
      <c r="JIO20" s="93"/>
      <c r="JIP20" s="30"/>
      <c r="JIU20" s="93"/>
      <c r="JIV20" s="30"/>
      <c r="JJA20" s="93"/>
      <c r="JJB20" s="30"/>
      <c r="JJG20" s="93"/>
      <c r="JJH20" s="30"/>
      <c r="JJM20" s="93"/>
      <c r="JJN20" s="30"/>
      <c r="JJS20" s="93"/>
      <c r="JJT20" s="30"/>
      <c r="JJY20" s="93"/>
      <c r="JJZ20" s="30"/>
      <c r="JKE20" s="93"/>
      <c r="JKF20" s="30"/>
      <c r="JKK20" s="93"/>
      <c r="JKL20" s="30"/>
      <c r="JKQ20" s="93"/>
      <c r="JKR20" s="30"/>
      <c r="JKW20" s="93"/>
      <c r="JKX20" s="30"/>
      <c r="JLC20" s="93"/>
      <c r="JLD20" s="30"/>
      <c r="JLI20" s="93"/>
      <c r="JLJ20" s="30"/>
      <c r="JLO20" s="93"/>
      <c r="JLP20" s="30"/>
      <c r="JLU20" s="93"/>
      <c r="JLV20" s="30"/>
      <c r="JMA20" s="93"/>
      <c r="JMB20" s="30"/>
      <c r="JMG20" s="93"/>
      <c r="JMH20" s="30"/>
      <c r="JMM20" s="93"/>
      <c r="JMN20" s="30"/>
      <c r="JMS20" s="93"/>
      <c r="JMT20" s="30"/>
      <c r="JMY20" s="93"/>
      <c r="JMZ20" s="30"/>
      <c r="JNE20" s="93"/>
      <c r="JNF20" s="30"/>
      <c r="JNK20" s="93"/>
      <c r="JNL20" s="30"/>
      <c r="JNQ20" s="93"/>
      <c r="JNR20" s="30"/>
      <c r="JNW20" s="93"/>
      <c r="JNX20" s="30"/>
      <c r="JOC20" s="93"/>
      <c r="JOD20" s="30"/>
      <c r="JOI20" s="93"/>
      <c r="JOJ20" s="30"/>
      <c r="JOO20" s="93"/>
      <c r="JOP20" s="30"/>
      <c r="JOU20" s="93"/>
      <c r="JOV20" s="30"/>
      <c r="JPA20" s="93"/>
      <c r="JPB20" s="30"/>
      <c r="JPG20" s="93"/>
      <c r="JPH20" s="30"/>
      <c r="JPM20" s="93"/>
      <c r="JPN20" s="30"/>
      <c r="JPS20" s="93"/>
      <c r="JPT20" s="30"/>
      <c r="JPY20" s="93"/>
      <c r="JPZ20" s="30"/>
      <c r="JQE20" s="93"/>
      <c r="JQF20" s="30"/>
      <c r="JQK20" s="93"/>
      <c r="JQL20" s="30"/>
      <c r="JQQ20" s="93"/>
      <c r="JQR20" s="30"/>
      <c r="JQW20" s="93"/>
      <c r="JQX20" s="30"/>
      <c r="JRC20" s="93"/>
      <c r="JRD20" s="30"/>
      <c r="JRI20" s="93"/>
      <c r="JRJ20" s="30"/>
      <c r="JRO20" s="93"/>
      <c r="JRP20" s="30"/>
      <c r="JRU20" s="93"/>
      <c r="JRV20" s="30"/>
      <c r="JSA20" s="93"/>
      <c r="JSB20" s="30"/>
      <c r="JSG20" s="93"/>
      <c r="JSH20" s="30"/>
      <c r="JSM20" s="93"/>
      <c r="JSN20" s="30"/>
      <c r="JSS20" s="93"/>
      <c r="JST20" s="30"/>
      <c r="JSY20" s="93"/>
      <c r="JSZ20" s="30"/>
      <c r="JTE20" s="93"/>
      <c r="JTF20" s="30"/>
      <c r="JTK20" s="93"/>
      <c r="JTL20" s="30"/>
      <c r="JTQ20" s="93"/>
      <c r="JTR20" s="30"/>
      <c r="JTW20" s="93"/>
      <c r="JTX20" s="30"/>
      <c r="JUC20" s="93"/>
      <c r="JUD20" s="30"/>
      <c r="JUI20" s="93"/>
      <c r="JUJ20" s="30"/>
      <c r="JUO20" s="93"/>
      <c r="JUP20" s="30"/>
      <c r="JUU20" s="93"/>
      <c r="JUV20" s="30"/>
      <c r="JVA20" s="93"/>
      <c r="JVB20" s="30"/>
      <c r="JVG20" s="93"/>
      <c r="JVH20" s="30"/>
      <c r="JVM20" s="93"/>
      <c r="JVN20" s="30"/>
      <c r="JVS20" s="93"/>
      <c r="JVT20" s="30"/>
      <c r="JVY20" s="93"/>
      <c r="JVZ20" s="30"/>
      <c r="JWE20" s="93"/>
      <c r="JWF20" s="30"/>
      <c r="JWK20" s="93"/>
      <c r="JWL20" s="30"/>
      <c r="JWQ20" s="93"/>
      <c r="JWR20" s="30"/>
      <c r="JWW20" s="93"/>
      <c r="JWX20" s="30"/>
      <c r="JXC20" s="93"/>
      <c r="JXD20" s="30"/>
      <c r="JXI20" s="93"/>
      <c r="JXJ20" s="30"/>
      <c r="JXO20" s="93"/>
      <c r="JXP20" s="30"/>
      <c r="JXU20" s="93"/>
      <c r="JXV20" s="30"/>
      <c r="JYA20" s="93"/>
      <c r="JYB20" s="30"/>
      <c r="JYG20" s="93"/>
      <c r="JYH20" s="30"/>
      <c r="JYM20" s="93"/>
      <c r="JYN20" s="30"/>
      <c r="JYS20" s="93"/>
      <c r="JYT20" s="30"/>
      <c r="JYY20" s="93"/>
      <c r="JYZ20" s="30"/>
      <c r="JZE20" s="93"/>
      <c r="JZF20" s="30"/>
      <c r="JZK20" s="93"/>
      <c r="JZL20" s="30"/>
      <c r="JZQ20" s="93"/>
      <c r="JZR20" s="30"/>
      <c r="JZW20" s="93"/>
      <c r="JZX20" s="30"/>
      <c r="KAC20" s="93"/>
      <c r="KAD20" s="30"/>
      <c r="KAI20" s="93"/>
      <c r="KAJ20" s="30"/>
      <c r="KAO20" s="93"/>
      <c r="KAP20" s="30"/>
      <c r="KAU20" s="93"/>
      <c r="KAV20" s="30"/>
      <c r="KBA20" s="93"/>
      <c r="KBB20" s="30"/>
      <c r="KBG20" s="93"/>
      <c r="KBH20" s="30"/>
      <c r="KBM20" s="93"/>
      <c r="KBN20" s="30"/>
      <c r="KBS20" s="93"/>
      <c r="KBT20" s="30"/>
      <c r="KBY20" s="93"/>
      <c r="KBZ20" s="30"/>
      <c r="KCE20" s="93"/>
      <c r="KCF20" s="30"/>
      <c r="KCK20" s="93"/>
      <c r="KCL20" s="30"/>
      <c r="KCQ20" s="93"/>
      <c r="KCR20" s="30"/>
      <c r="KCW20" s="93"/>
      <c r="KCX20" s="30"/>
      <c r="KDC20" s="93"/>
      <c r="KDD20" s="30"/>
      <c r="KDI20" s="93"/>
      <c r="KDJ20" s="30"/>
      <c r="KDO20" s="93"/>
      <c r="KDP20" s="30"/>
      <c r="KDU20" s="93"/>
      <c r="KDV20" s="30"/>
      <c r="KEA20" s="93"/>
      <c r="KEB20" s="30"/>
      <c r="KEG20" s="93"/>
      <c r="KEH20" s="30"/>
      <c r="KEM20" s="93"/>
      <c r="KEN20" s="30"/>
      <c r="KES20" s="93"/>
      <c r="KET20" s="30"/>
      <c r="KEY20" s="93"/>
      <c r="KEZ20" s="30"/>
      <c r="KFE20" s="93"/>
      <c r="KFF20" s="30"/>
      <c r="KFK20" s="93"/>
      <c r="KFL20" s="30"/>
      <c r="KFQ20" s="93"/>
      <c r="KFR20" s="30"/>
      <c r="KFW20" s="93"/>
      <c r="KFX20" s="30"/>
      <c r="KGC20" s="93"/>
      <c r="KGD20" s="30"/>
      <c r="KGI20" s="93"/>
      <c r="KGJ20" s="30"/>
      <c r="KGO20" s="93"/>
      <c r="KGP20" s="30"/>
      <c r="KGU20" s="93"/>
      <c r="KGV20" s="30"/>
      <c r="KHA20" s="93"/>
      <c r="KHB20" s="30"/>
      <c r="KHG20" s="93"/>
      <c r="KHH20" s="30"/>
      <c r="KHM20" s="93"/>
      <c r="KHN20" s="30"/>
      <c r="KHS20" s="93"/>
      <c r="KHT20" s="30"/>
      <c r="KHY20" s="93"/>
      <c r="KHZ20" s="30"/>
      <c r="KIE20" s="93"/>
      <c r="KIF20" s="30"/>
      <c r="KIK20" s="93"/>
      <c r="KIL20" s="30"/>
      <c r="KIQ20" s="93"/>
      <c r="KIR20" s="30"/>
      <c r="KIW20" s="93"/>
      <c r="KIX20" s="30"/>
      <c r="KJC20" s="93"/>
      <c r="KJD20" s="30"/>
      <c r="KJI20" s="93"/>
      <c r="KJJ20" s="30"/>
      <c r="KJO20" s="93"/>
      <c r="KJP20" s="30"/>
      <c r="KJU20" s="93"/>
      <c r="KJV20" s="30"/>
      <c r="KKA20" s="93"/>
      <c r="KKB20" s="30"/>
      <c r="KKG20" s="93"/>
      <c r="KKH20" s="30"/>
      <c r="KKM20" s="93"/>
      <c r="KKN20" s="30"/>
      <c r="KKS20" s="93"/>
      <c r="KKT20" s="30"/>
      <c r="KKY20" s="93"/>
      <c r="KKZ20" s="30"/>
      <c r="KLE20" s="93"/>
      <c r="KLF20" s="30"/>
      <c r="KLK20" s="93"/>
      <c r="KLL20" s="30"/>
      <c r="KLQ20" s="93"/>
      <c r="KLR20" s="30"/>
      <c r="KLW20" s="93"/>
      <c r="KLX20" s="30"/>
      <c r="KMC20" s="93"/>
      <c r="KMD20" s="30"/>
      <c r="KMI20" s="93"/>
      <c r="KMJ20" s="30"/>
      <c r="KMO20" s="93"/>
      <c r="KMP20" s="30"/>
      <c r="KMU20" s="93"/>
      <c r="KMV20" s="30"/>
      <c r="KNA20" s="93"/>
      <c r="KNB20" s="30"/>
      <c r="KNG20" s="93"/>
      <c r="KNH20" s="30"/>
      <c r="KNM20" s="93"/>
      <c r="KNN20" s="30"/>
      <c r="KNS20" s="93"/>
      <c r="KNT20" s="30"/>
      <c r="KNY20" s="93"/>
      <c r="KNZ20" s="30"/>
      <c r="KOE20" s="93"/>
      <c r="KOF20" s="30"/>
      <c r="KOK20" s="93"/>
      <c r="KOL20" s="30"/>
      <c r="KOQ20" s="93"/>
      <c r="KOR20" s="30"/>
      <c r="KOW20" s="93"/>
      <c r="KOX20" s="30"/>
      <c r="KPC20" s="93"/>
      <c r="KPD20" s="30"/>
      <c r="KPI20" s="93"/>
      <c r="KPJ20" s="30"/>
      <c r="KPO20" s="93"/>
      <c r="KPP20" s="30"/>
      <c r="KPU20" s="93"/>
      <c r="KPV20" s="30"/>
      <c r="KQA20" s="93"/>
      <c r="KQB20" s="30"/>
      <c r="KQG20" s="93"/>
      <c r="KQH20" s="30"/>
      <c r="KQM20" s="93"/>
      <c r="KQN20" s="30"/>
      <c r="KQS20" s="93"/>
      <c r="KQT20" s="30"/>
      <c r="KQY20" s="93"/>
      <c r="KQZ20" s="30"/>
      <c r="KRE20" s="93"/>
      <c r="KRF20" s="30"/>
      <c r="KRK20" s="93"/>
      <c r="KRL20" s="30"/>
      <c r="KRQ20" s="93"/>
      <c r="KRR20" s="30"/>
      <c r="KRW20" s="93"/>
      <c r="KRX20" s="30"/>
      <c r="KSC20" s="93"/>
      <c r="KSD20" s="30"/>
      <c r="KSI20" s="93"/>
      <c r="KSJ20" s="30"/>
      <c r="KSO20" s="93"/>
      <c r="KSP20" s="30"/>
      <c r="KSU20" s="93"/>
      <c r="KSV20" s="30"/>
      <c r="KTA20" s="93"/>
      <c r="KTB20" s="30"/>
      <c r="KTG20" s="93"/>
      <c r="KTH20" s="30"/>
      <c r="KTM20" s="93"/>
      <c r="KTN20" s="30"/>
      <c r="KTS20" s="93"/>
      <c r="KTT20" s="30"/>
      <c r="KTY20" s="93"/>
      <c r="KTZ20" s="30"/>
      <c r="KUE20" s="93"/>
      <c r="KUF20" s="30"/>
      <c r="KUK20" s="93"/>
      <c r="KUL20" s="30"/>
      <c r="KUQ20" s="93"/>
      <c r="KUR20" s="30"/>
      <c r="KUW20" s="93"/>
      <c r="KUX20" s="30"/>
      <c r="KVC20" s="93"/>
      <c r="KVD20" s="30"/>
      <c r="KVI20" s="93"/>
      <c r="KVJ20" s="30"/>
      <c r="KVO20" s="93"/>
      <c r="KVP20" s="30"/>
      <c r="KVU20" s="93"/>
      <c r="KVV20" s="30"/>
      <c r="KWA20" s="93"/>
      <c r="KWB20" s="30"/>
      <c r="KWG20" s="93"/>
      <c r="KWH20" s="30"/>
      <c r="KWM20" s="93"/>
      <c r="KWN20" s="30"/>
      <c r="KWS20" s="93"/>
      <c r="KWT20" s="30"/>
      <c r="KWY20" s="93"/>
      <c r="KWZ20" s="30"/>
      <c r="KXE20" s="93"/>
      <c r="KXF20" s="30"/>
      <c r="KXK20" s="93"/>
      <c r="KXL20" s="30"/>
      <c r="KXQ20" s="93"/>
      <c r="KXR20" s="30"/>
      <c r="KXW20" s="93"/>
      <c r="KXX20" s="30"/>
      <c r="KYC20" s="93"/>
      <c r="KYD20" s="30"/>
      <c r="KYI20" s="93"/>
      <c r="KYJ20" s="30"/>
      <c r="KYO20" s="93"/>
      <c r="KYP20" s="30"/>
      <c r="KYU20" s="93"/>
      <c r="KYV20" s="30"/>
      <c r="KZA20" s="93"/>
      <c r="KZB20" s="30"/>
      <c r="KZG20" s="93"/>
      <c r="KZH20" s="30"/>
      <c r="KZM20" s="93"/>
      <c r="KZN20" s="30"/>
      <c r="KZS20" s="93"/>
      <c r="KZT20" s="30"/>
      <c r="KZY20" s="93"/>
      <c r="KZZ20" s="30"/>
      <c r="LAE20" s="93"/>
      <c r="LAF20" s="30"/>
      <c r="LAK20" s="93"/>
      <c r="LAL20" s="30"/>
      <c r="LAQ20" s="93"/>
      <c r="LAR20" s="30"/>
      <c r="LAW20" s="93"/>
      <c r="LAX20" s="30"/>
      <c r="LBC20" s="93"/>
      <c r="LBD20" s="30"/>
      <c r="LBI20" s="93"/>
      <c r="LBJ20" s="30"/>
      <c r="LBO20" s="93"/>
      <c r="LBP20" s="30"/>
      <c r="LBU20" s="93"/>
      <c r="LBV20" s="30"/>
      <c r="LCA20" s="93"/>
      <c r="LCB20" s="30"/>
      <c r="LCG20" s="93"/>
      <c r="LCH20" s="30"/>
      <c r="LCM20" s="93"/>
      <c r="LCN20" s="30"/>
      <c r="LCS20" s="93"/>
      <c r="LCT20" s="30"/>
      <c r="LCY20" s="93"/>
      <c r="LCZ20" s="30"/>
      <c r="LDE20" s="93"/>
      <c r="LDF20" s="30"/>
      <c r="LDK20" s="93"/>
      <c r="LDL20" s="30"/>
      <c r="LDQ20" s="93"/>
      <c r="LDR20" s="30"/>
      <c r="LDW20" s="93"/>
      <c r="LDX20" s="30"/>
      <c r="LEC20" s="93"/>
      <c r="LED20" s="30"/>
      <c r="LEI20" s="93"/>
      <c r="LEJ20" s="30"/>
      <c r="LEO20" s="93"/>
      <c r="LEP20" s="30"/>
      <c r="LEU20" s="93"/>
      <c r="LEV20" s="30"/>
      <c r="LFA20" s="93"/>
      <c r="LFB20" s="30"/>
      <c r="LFG20" s="93"/>
      <c r="LFH20" s="30"/>
      <c r="LFM20" s="93"/>
      <c r="LFN20" s="30"/>
      <c r="LFS20" s="93"/>
      <c r="LFT20" s="30"/>
      <c r="LFY20" s="93"/>
      <c r="LFZ20" s="30"/>
      <c r="LGE20" s="93"/>
      <c r="LGF20" s="30"/>
      <c r="LGK20" s="93"/>
      <c r="LGL20" s="30"/>
      <c r="LGQ20" s="93"/>
      <c r="LGR20" s="30"/>
      <c r="LGW20" s="93"/>
      <c r="LGX20" s="30"/>
      <c r="LHC20" s="93"/>
      <c r="LHD20" s="30"/>
      <c r="LHI20" s="93"/>
      <c r="LHJ20" s="30"/>
      <c r="LHO20" s="93"/>
      <c r="LHP20" s="30"/>
      <c r="LHU20" s="93"/>
      <c r="LHV20" s="30"/>
      <c r="LIA20" s="93"/>
      <c r="LIB20" s="30"/>
      <c r="LIG20" s="93"/>
      <c r="LIH20" s="30"/>
      <c r="LIM20" s="93"/>
      <c r="LIN20" s="30"/>
      <c r="LIS20" s="93"/>
      <c r="LIT20" s="30"/>
      <c r="LIY20" s="93"/>
      <c r="LIZ20" s="30"/>
      <c r="LJE20" s="93"/>
      <c r="LJF20" s="30"/>
      <c r="LJK20" s="93"/>
      <c r="LJL20" s="30"/>
      <c r="LJQ20" s="93"/>
      <c r="LJR20" s="30"/>
      <c r="LJW20" s="93"/>
      <c r="LJX20" s="30"/>
      <c r="LKC20" s="93"/>
      <c r="LKD20" s="30"/>
      <c r="LKI20" s="93"/>
      <c r="LKJ20" s="30"/>
      <c r="LKO20" s="93"/>
      <c r="LKP20" s="30"/>
      <c r="LKU20" s="93"/>
      <c r="LKV20" s="30"/>
      <c r="LLA20" s="93"/>
      <c r="LLB20" s="30"/>
      <c r="LLG20" s="93"/>
      <c r="LLH20" s="30"/>
      <c r="LLM20" s="93"/>
      <c r="LLN20" s="30"/>
      <c r="LLS20" s="93"/>
      <c r="LLT20" s="30"/>
      <c r="LLY20" s="93"/>
      <c r="LLZ20" s="30"/>
      <c r="LME20" s="93"/>
      <c r="LMF20" s="30"/>
      <c r="LMK20" s="93"/>
      <c r="LML20" s="30"/>
      <c r="LMQ20" s="93"/>
      <c r="LMR20" s="30"/>
      <c r="LMW20" s="93"/>
      <c r="LMX20" s="30"/>
      <c r="LNC20" s="93"/>
      <c r="LND20" s="30"/>
      <c r="LNI20" s="93"/>
      <c r="LNJ20" s="30"/>
      <c r="LNO20" s="93"/>
      <c r="LNP20" s="30"/>
      <c r="LNU20" s="93"/>
      <c r="LNV20" s="30"/>
      <c r="LOA20" s="93"/>
      <c r="LOB20" s="30"/>
      <c r="LOG20" s="93"/>
      <c r="LOH20" s="30"/>
      <c r="LOM20" s="93"/>
      <c r="LON20" s="30"/>
      <c r="LOS20" s="93"/>
      <c r="LOT20" s="30"/>
      <c r="LOY20" s="93"/>
      <c r="LOZ20" s="30"/>
      <c r="LPE20" s="93"/>
      <c r="LPF20" s="30"/>
      <c r="LPK20" s="93"/>
      <c r="LPL20" s="30"/>
      <c r="LPQ20" s="93"/>
      <c r="LPR20" s="30"/>
      <c r="LPW20" s="93"/>
      <c r="LPX20" s="30"/>
      <c r="LQC20" s="93"/>
      <c r="LQD20" s="30"/>
      <c r="LQI20" s="93"/>
      <c r="LQJ20" s="30"/>
      <c r="LQO20" s="93"/>
      <c r="LQP20" s="30"/>
      <c r="LQU20" s="93"/>
      <c r="LQV20" s="30"/>
      <c r="LRA20" s="93"/>
      <c r="LRB20" s="30"/>
      <c r="LRG20" s="93"/>
      <c r="LRH20" s="30"/>
      <c r="LRM20" s="93"/>
      <c r="LRN20" s="30"/>
      <c r="LRS20" s="93"/>
      <c r="LRT20" s="30"/>
      <c r="LRY20" s="93"/>
      <c r="LRZ20" s="30"/>
      <c r="LSE20" s="93"/>
      <c r="LSF20" s="30"/>
      <c r="LSK20" s="93"/>
      <c r="LSL20" s="30"/>
      <c r="LSQ20" s="93"/>
      <c r="LSR20" s="30"/>
      <c r="LSW20" s="93"/>
      <c r="LSX20" s="30"/>
      <c r="LTC20" s="93"/>
      <c r="LTD20" s="30"/>
      <c r="LTI20" s="93"/>
      <c r="LTJ20" s="30"/>
      <c r="LTO20" s="93"/>
      <c r="LTP20" s="30"/>
      <c r="LTU20" s="93"/>
      <c r="LTV20" s="30"/>
      <c r="LUA20" s="93"/>
      <c r="LUB20" s="30"/>
      <c r="LUG20" s="93"/>
      <c r="LUH20" s="30"/>
      <c r="LUM20" s="93"/>
      <c r="LUN20" s="30"/>
      <c r="LUS20" s="93"/>
      <c r="LUT20" s="30"/>
      <c r="LUY20" s="93"/>
      <c r="LUZ20" s="30"/>
      <c r="LVE20" s="93"/>
      <c r="LVF20" s="30"/>
      <c r="LVK20" s="93"/>
      <c r="LVL20" s="30"/>
      <c r="LVQ20" s="93"/>
      <c r="LVR20" s="30"/>
      <c r="LVW20" s="93"/>
      <c r="LVX20" s="30"/>
      <c r="LWC20" s="93"/>
      <c r="LWD20" s="30"/>
      <c r="LWI20" s="93"/>
      <c r="LWJ20" s="30"/>
      <c r="LWO20" s="93"/>
      <c r="LWP20" s="30"/>
      <c r="LWU20" s="93"/>
      <c r="LWV20" s="30"/>
      <c r="LXA20" s="93"/>
      <c r="LXB20" s="30"/>
      <c r="LXG20" s="93"/>
      <c r="LXH20" s="30"/>
      <c r="LXM20" s="93"/>
      <c r="LXN20" s="30"/>
      <c r="LXS20" s="93"/>
      <c r="LXT20" s="30"/>
      <c r="LXY20" s="93"/>
      <c r="LXZ20" s="30"/>
      <c r="LYE20" s="93"/>
      <c r="LYF20" s="30"/>
      <c r="LYK20" s="93"/>
      <c r="LYL20" s="30"/>
      <c r="LYQ20" s="93"/>
      <c r="LYR20" s="30"/>
      <c r="LYW20" s="93"/>
      <c r="LYX20" s="30"/>
      <c r="LZC20" s="93"/>
      <c r="LZD20" s="30"/>
      <c r="LZI20" s="93"/>
      <c r="LZJ20" s="30"/>
      <c r="LZO20" s="93"/>
      <c r="LZP20" s="30"/>
      <c r="LZU20" s="93"/>
      <c r="LZV20" s="30"/>
      <c r="MAA20" s="93"/>
      <c r="MAB20" s="30"/>
      <c r="MAG20" s="93"/>
      <c r="MAH20" s="30"/>
      <c r="MAM20" s="93"/>
      <c r="MAN20" s="30"/>
      <c r="MAS20" s="93"/>
      <c r="MAT20" s="30"/>
      <c r="MAY20" s="93"/>
      <c r="MAZ20" s="30"/>
      <c r="MBE20" s="93"/>
      <c r="MBF20" s="30"/>
      <c r="MBK20" s="93"/>
      <c r="MBL20" s="30"/>
      <c r="MBQ20" s="93"/>
      <c r="MBR20" s="30"/>
      <c r="MBW20" s="93"/>
      <c r="MBX20" s="30"/>
      <c r="MCC20" s="93"/>
      <c r="MCD20" s="30"/>
      <c r="MCI20" s="93"/>
      <c r="MCJ20" s="30"/>
      <c r="MCO20" s="93"/>
      <c r="MCP20" s="30"/>
      <c r="MCU20" s="93"/>
      <c r="MCV20" s="30"/>
      <c r="MDA20" s="93"/>
      <c r="MDB20" s="30"/>
      <c r="MDG20" s="93"/>
      <c r="MDH20" s="30"/>
      <c r="MDM20" s="93"/>
      <c r="MDN20" s="30"/>
      <c r="MDS20" s="93"/>
      <c r="MDT20" s="30"/>
      <c r="MDY20" s="93"/>
      <c r="MDZ20" s="30"/>
      <c r="MEE20" s="93"/>
      <c r="MEF20" s="30"/>
      <c r="MEK20" s="93"/>
      <c r="MEL20" s="30"/>
      <c r="MEQ20" s="93"/>
      <c r="MER20" s="30"/>
      <c r="MEW20" s="93"/>
      <c r="MEX20" s="30"/>
      <c r="MFC20" s="93"/>
      <c r="MFD20" s="30"/>
      <c r="MFI20" s="93"/>
      <c r="MFJ20" s="30"/>
      <c r="MFO20" s="93"/>
      <c r="MFP20" s="30"/>
      <c r="MFU20" s="93"/>
      <c r="MFV20" s="30"/>
      <c r="MGA20" s="93"/>
      <c r="MGB20" s="30"/>
      <c r="MGG20" s="93"/>
      <c r="MGH20" s="30"/>
      <c r="MGM20" s="93"/>
      <c r="MGN20" s="30"/>
      <c r="MGS20" s="93"/>
      <c r="MGT20" s="30"/>
      <c r="MGY20" s="93"/>
      <c r="MGZ20" s="30"/>
      <c r="MHE20" s="93"/>
      <c r="MHF20" s="30"/>
      <c r="MHK20" s="93"/>
      <c r="MHL20" s="30"/>
      <c r="MHQ20" s="93"/>
      <c r="MHR20" s="30"/>
      <c r="MHW20" s="93"/>
      <c r="MHX20" s="30"/>
      <c r="MIC20" s="93"/>
      <c r="MID20" s="30"/>
      <c r="MII20" s="93"/>
      <c r="MIJ20" s="30"/>
      <c r="MIO20" s="93"/>
      <c r="MIP20" s="30"/>
      <c r="MIU20" s="93"/>
      <c r="MIV20" s="30"/>
      <c r="MJA20" s="93"/>
      <c r="MJB20" s="30"/>
      <c r="MJG20" s="93"/>
      <c r="MJH20" s="30"/>
      <c r="MJM20" s="93"/>
      <c r="MJN20" s="30"/>
      <c r="MJS20" s="93"/>
      <c r="MJT20" s="30"/>
      <c r="MJY20" s="93"/>
      <c r="MJZ20" s="30"/>
      <c r="MKE20" s="93"/>
      <c r="MKF20" s="30"/>
      <c r="MKK20" s="93"/>
      <c r="MKL20" s="30"/>
      <c r="MKQ20" s="93"/>
      <c r="MKR20" s="30"/>
      <c r="MKW20" s="93"/>
      <c r="MKX20" s="30"/>
      <c r="MLC20" s="93"/>
      <c r="MLD20" s="30"/>
      <c r="MLI20" s="93"/>
      <c r="MLJ20" s="30"/>
      <c r="MLO20" s="93"/>
      <c r="MLP20" s="30"/>
      <c r="MLU20" s="93"/>
      <c r="MLV20" s="30"/>
      <c r="MMA20" s="93"/>
      <c r="MMB20" s="30"/>
      <c r="MMG20" s="93"/>
      <c r="MMH20" s="30"/>
      <c r="MMM20" s="93"/>
      <c r="MMN20" s="30"/>
      <c r="MMS20" s="93"/>
      <c r="MMT20" s="30"/>
      <c r="MMY20" s="93"/>
      <c r="MMZ20" s="30"/>
      <c r="MNE20" s="93"/>
      <c r="MNF20" s="30"/>
      <c r="MNK20" s="93"/>
      <c r="MNL20" s="30"/>
      <c r="MNQ20" s="93"/>
      <c r="MNR20" s="30"/>
      <c r="MNW20" s="93"/>
      <c r="MNX20" s="30"/>
      <c r="MOC20" s="93"/>
      <c r="MOD20" s="30"/>
      <c r="MOI20" s="93"/>
      <c r="MOJ20" s="30"/>
      <c r="MOO20" s="93"/>
      <c r="MOP20" s="30"/>
      <c r="MOU20" s="93"/>
      <c r="MOV20" s="30"/>
      <c r="MPA20" s="93"/>
      <c r="MPB20" s="30"/>
      <c r="MPG20" s="93"/>
      <c r="MPH20" s="30"/>
      <c r="MPM20" s="93"/>
      <c r="MPN20" s="30"/>
      <c r="MPS20" s="93"/>
      <c r="MPT20" s="30"/>
      <c r="MPY20" s="93"/>
      <c r="MPZ20" s="30"/>
      <c r="MQE20" s="93"/>
      <c r="MQF20" s="30"/>
      <c r="MQK20" s="93"/>
      <c r="MQL20" s="30"/>
      <c r="MQQ20" s="93"/>
      <c r="MQR20" s="30"/>
      <c r="MQW20" s="93"/>
      <c r="MQX20" s="30"/>
      <c r="MRC20" s="93"/>
      <c r="MRD20" s="30"/>
      <c r="MRI20" s="93"/>
      <c r="MRJ20" s="30"/>
      <c r="MRO20" s="93"/>
      <c r="MRP20" s="30"/>
      <c r="MRU20" s="93"/>
      <c r="MRV20" s="30"/>
      <c r="MSA20" s="93"/>
      <c r="MSB20" s="30"/>
      <c r="MSG20" s="93"/>
      <c r="MSH20" s="30"/>
      <c r="MSM20" s="93"/>
      <c r="MSN20" s="30"/>
      <c r="MSS20" s="93"/>
      <c r="MST20" s="30"/>
      <c r="MSY20" s="93"/>
      <c r="MSZ20" s="30"/>
      <c r="MTE20" s="93"/>
      <c r="MTF20" s="30"/>
      <c r="MTK20" s="93"/>
      <c r="MTL20" s="30"/>
      <c r="MTQ20" s="93"/>
      <c r="MTR20" s="30"/>
      <c r="MTW20" s="93"/>
      <c r="MTX20" s="30"/>
      <c r="MUC20" s="93"/>
      <c r="MUD20" s="30"/>
      <c r="MUI20" s="93"/>
      <c r="MUJ20" s="30"/>
      <c r="MUO20" s="93"/>
      <c r="MUP20" s="30"/>
      <c r="MUU20" s="93"/>
      <c r="MUV20" s="30"/>
      <c r="MVA20" s="93"/>
      <c r="MVB20" s="30"/>
      <c r="MVG20" s="93"/>
      <c r="MVH20" s="30"/>
      <c r="MVM20" s="93"/>
      <c r="MVN20" s="30"/>
      <c r="MVS20" s="93"/>
      <c r="MVT20" s="30"/>
      <c r="MVY20" s="93"/>
      <c r="MVZ20" s="30"/>
      <c r="MWE20" s="93"/>
      <c r="MWF20" s="30"/>
      <c r="MWK20" s="93"/>
      <c r="MWL20" s="30"/>
      <c r="MWQ20" s="93"/>
      <c r="MWR20" s="30"/>
      <c r="MWW20" s="93"/>
      <c r="MWX20" s="30"/>
      <c r="MXC20" s="93"/>
      <c r="MXD20" s="30"/>
      <c r="MXI20" s="93"/>
      <c r="MXJ20" s="30"/>
      <c r="MXO20" s="93"/>
      <c r="MXP20" s="30"/>
      <c r="MXU20" s="93"/>
      <c r="MXV20" s="30"/>
      <c r="MYA20" s="93"/>
      <c r="MYB20" s="30"/>
      <c r="MYG20" s="93"/>
      <c r="MYH20" s="30"/>
      <c r="MYM20" s="93"/>
      <c r="MYN20" s="30"/>
      <c r="MYS20" s="93"/>
      <c r="MYT20" s="30"/>
      <c r="MYY20" s="93"/>
      <c r="MYZ20" s="30"/>
      <c r="MZE20" s="93"/>
      <c r="MZF20" s="30"/>
      <c r="MZK20" s="93"/>
      <c r="MZL20" s="30"/>
      <c r="MZQ20" s="93"/>
      <c r="MZR20" s="30"/>
      <c r="MZW20" s="93"/>
      <c r="MZX20" s="30"/>
      <c r="NAC20" s="93"/>
      <c r="NAD20" s="30"/>
      <c r="NAI20" s="93"/>
      <c r="NAJ20" s="30"/>
      <c r="NAO20" s="93"/>
      <c r="NAP20" s="30"/>
      <c r="NAU20" s="93"/>
      <c r="NAV20" s="30"/>
      <c r="NBA20" s="93"/>
      <c r="NBB20" s="30"/>
      <c r="NBG20" s="93"/>
      <c r="NBH20" s="30"/>
      <c r="NBM20" s="93"/>
      <c r="NBN20" s="30"/>
      <c r="NBS20" s="93"/>
      <c r="NBT20" s="30"/>
      <c r="NBY20" s="93"/>
      <c r="NBZ20" s="30"/>
      <c r="NCE20" s="93"/>
      <c r="NCF20" s="30"/>
      <c r="NCK20" s="93"/>
      <c r="NCL20" s="30"/>
      <c r="NCQ20" s="93"/>
      <c r="NCR20" s="30"/>
      <c r="NCW20" s="93"/>
      <c r="NCX20" s="30"/>
      <c r="NDC20" s="93"/>
      <c r="NDD20" s="30"/>
      <c r="NDI20" s="93"/>
      <c r="NDJ20" s="30"/>
      <c r="NDO20" s="93"/>
      <c r="NDP20" s="30"/>
      <c r="NDU20" s="93"/>
      <c r="NDV20" s="30"/>
      <c r="NEA20" s="93"/>
      <c r="NEB20" s="30"/>
      <c r="NEG20" s="93"/>
      <c r="NEH20" s="30"/>
      <c r="NEM20" s="93"/>
      <c r="NEN20" s="30"/>
      <c r="NES20" s="93"/>
      <c r="NET20" s="30"/>
      <c r="NEY20" s="93"/>
      <c r="NEZ20" s="30"/>
      <c r="NFE20" s="93"/>
      <c r="NFF20" s="30"/>
      <c r="NFK20" s="93"/>
      <c r="NFL20" s="30"/>
      <c r="NFQ20" s="93"/>
      <c r="NFR20" s="30"/>
      <c r="NFW20" s="93"/>
      <c r="NFX20" s="30"/>
      <c r="NGC20" s="93"/>
      <c r="NGD20" s="30"/>
      <c r="NGI20" s="93"/>
      <c r="NGJ20" s="30"/>
      <c r="NGO20" s="93"/>
      <c r="NGP20" s="30"/>
      <c r="NGU20" s="93"/>
      <c r="NGV20" s="30"/>
      <c r="NHA20" s="93"/>
      <c r="NHB20" s="30"/>
      <c r="NHG20" s="93"/>
      <c r="NHH20" s="30"/>
      <c r="NHM20" s="93"/>
      <c r="NHN20" s="30"/>
      <c r="NHS20" s="93"/>
      <c r="NHT20" s="30"/>
      <c r="NHY20" s="93"/>
      <c r="NHZ20" s="30"/>
      <c r="NIE20" s="93"/>
      <c r="NIF20" s="30"/>
      <c r="NIK20" s="93"/>
      <c r="NIL20" s="30"/>
      <c r="NIQ20" s="93"/>
      <c r="NIR20" s="30"/>
      <c r="NIW20" s="93"/>
      <c r="NIX20" s="30"/>
      <c r="NJC20" s="93"/>
      <c r="NJD20" s="30"/>
      <c r="NJI20" s="93"/>
      <c r="NJJ20" s="30"/>
      <c r="NJO20" s="93"/>
      <c r="NJP20" s="30"/>
      <c r="NJU20" s="93"/>
      <c r="NJV20" s="30"/>
      <c r="NKA20" s="93"/>
      <c r="NKB20" s="30"/>
      <c r="NKG20" s="93"/>
      <c r="NKH20" s="30"/>
      <c r="NKM20" s="93"/>
      <c r="NKN20" s="30"/>
      <c r="NKS20" s="93"/>
      <c r="NKT20" s="30"/>
      <c r="NKY20" s="93"/>
      <c r="NKZ20" s="30"/>
      <c r="NLE20" s="93"/>
      <c r="NLF20" s="30"/>
      <c r="NLK20" s="93"/>
      <c r="NLL20" s="30"/>
      <c r="NLQ20" s="93"/>
      <c r="NLR20" s="30"/>
      <c r="NLW20" s="93"/>
      <c r="NLX20" s="30"/>
      <c r="NMC20" s="93"/>
      <c r="NMD20" s="30"/>
      <c r="NMI20" s="93"/>
      <c r="NMJ20" s="30"/>
      <c r="NMO20" s="93"/>
      <c r="NMP20" s="30"/>
      <c r="NMU20" s="93"/>
      <c r="NMV20" s="30"/>
      <c r="NNA20" s="93"/>
      <c r="NNB20" s="30"/>
      <c r="NNG20" s="93"/>
      <c r="NNH20" s="30"/>
      <c r="NNM20" s="93"/>
      <c r="NNN20" s="30"/>
      <c r="NNS20" s="93"/>
      <c r="NNT20" s="30"/>
      <c r="NNY20" s="93"/>
      <c r="NNZ20" s="30"/>
      <c r="NOE20" s="93"/>
      <c r="NOF20" s="30"/>
      <c r="NOK20" s="93"/>
      <c r="NOL20" s="30"/>
      <c r="NOQ20" s="93"/>
      <c r="NOR20" s="30"/>
      <c r="NOW20" s="93"/>
      <c r="NOX20" s="30"/>
      <c r="NPC20" s="93"/>
      <c r="NPD20" s="30"/>
      <c r="NPI20" s="93"/>
      <c r="NPJ20" s="30"/>
      <c r="NPO20" s="93"/>
      <c r="NPP20" s="30"/>
      <c r="NPU20" s="93"/>
      <c r="NPV20" s="30"/>
      <c r="NQA20" s="93"/>
      <c r="NQB20" s="30"/>
      <c r="NQG20" s="93"/>
      <c r="NQH20" s="30"/>
      <c r="NQM20" s="93"/>
      <c r="NQN20" s="30"/>
      <c r="NQS20" s="93"/>
      <c r="NQT20" s="30"/>
      <c r="NQY20" s="93"/>
      <c r="NQZ20" s="30"/>
      <c r="NRE20" s="93"/>
      <c r="NRF20" s="30"/>
      <c r="NRK20" s="93"/>
      <c r="NRL20" s="30"/>
      <c r="NRQ20" s="93"/>
      <c r="NRR20" s="30"/>
      <c r="NRW20" s="93"/>
      <c r="NRX20" s="30"/>
      <c r="NSC20" s="93"/>
      <c r="NSD20" s="30"/>
      <c r="NSI20" s="93"/>
      <c r="NSJ20" s="30"/>
      <c r="NSO20" s="93"/>
      <c r="NSP20" s="30"/>
      <c r="NSU20" s="93"/>
      <c r="NSV20" s="30"/>
      <c r="NTA20" s="93"/>
      <c r="NTB20" s="30"/>
      <c r="NTG20" s="93"/>
      <c r="NTH20" s="30"/>
      <c r="NTM20" s="93"/>
      <c r="NTN20" s="30"/>
      <c r="NTS20" s="93"/>
      <c r="NTT20" s="30"/>
      <c r="NTY20" s="93"/>
      <c r="NTZ20" s="30"/>
      <c r="NUE20" s="93"/>
      <c r="NUF20" s="30"/>
      <c r="NUK20" s="93"/>
      <c r="NUL20" s="30"/>
      <c r="NUQ20" s="93"/>
      <c r="NUR20" s="30"/>
      <c r="NUW20" s="93"/>
      <c r="NUX20" s="30"/>
      <c r="NVC20" s="93"/>
      <c r="NVD20" s="30"/>
      <c r="NVI20" s="93"/>
      <c r="NVJ20" s="30"/>
      <c r="NVO20" s="93"/>
      <c r="NVP20" s="30"/>
      <c r="NVU20" s="93"/>
      <c r="NVV20" s="30"/>
      <c r="NWA20" s="93"/>
      <c r="NWB20" s="30"/>
      <c r="NWG20" s="93"/>
      <c r="NWH20" s="30"/>
      <c r="NWM20" s="93"/>
      <c r="NWN20" s="30"/>
      <c r="NWS20" s="93"/>
      <c r="NWT20" s="30"/>
      <c r="NWY20" s="93"/>
      <c r="NWZ20" s="30"/>
      <c r="NXE20" s="93"/>
      <c r="NXF20" s="30"/>
      <c r="NXK20" s="93"/>
      <c r="NXL20" s="30"/>
      <c r="NXQ20" s="93"/>
      <c r="NXR20" s="30"/>
      <c r="NXW20" s="93"/>
      <c r="NXX20" s="30"/>
      <c r="NYC20" s="93"/>
      <c r="NYD20" s="30"/>
      <c r="NYI20" s="93"/>
      <c r="NYJ20" s="30"/>
      <c r="NYO20" s="93"/>
      <c r="NYP20" s="30"/>
      <c r="NYU20" s="93"/>
      <c r="NYV20" s="30"/>
      <c r="NZA20" s="93"/>
      <c r="NZB20" s="30"/>
      <c r="NZG20" s="93"/>
      <c r="NZH20" s="30"/>
      <c r="NZM20" s="93"/>
      <c r="NZN20" s="30"/>
      <c r="NZS20" s="93"/>
      <c r="NZT20" s="30"/>
      <c r="NZY20" s="93"/>
      <c r="NZZ20" s="30"/>
      <c r="OAE20" s="93"/>
      <c r="OAF20" s="30"/>
      <c r="OAK20" s="93"/>
      <c r="OAL20" s="30"/>
      <c r="OAQ20" s="93"/>
      <c r="OAR20" s="30"/>
      <c r="OAW20" s="93"/>
      <c r="OAX20" s="30"/>
      <c r="OBC20" s="93"/>
      <c r="OBD20" s="30"/>
      <c r="OBI20" s="93"/>
      <c r="OBJ20" s="30"/>
      <c r="OBO20" s="93"/>
      <c r="OBP20" s="30"/>
      <c r="OBU20" s="93"/>
      <c r="OBV20" s="30"/>
      <c r="OCA20" s="93"/>
      <c r="OCB20" s="30"/>
      <c r="OCG20" s="93"/>
      <c r="OCH20" s="30"/>
      <c r="OCM20" s="93"/>
      <c r="OCN20" s="30"/>
      <c r="OCS20" s="93"/>
      <c r="OCT20" s="30"/>
      <c r="OCY20" s="93"/>
      <c r="OCZ20" s="30"/>
      <c r="ODE20" s="93"/>
      <c r="ODF20" s="30"/>
      <c r="ODK20" s="93"/>
      <c r="ODL20" s="30"/>
      <c r="ODQ20" s="93"/>
      <c r="ODR20" s="30"/>
      <c r="ODW20" s="93"/>
      <c r="ODX20" s="30"/>
      <c r="OEC20" s="93"/>
      <c r="OED20" s="30"/>
      <c r="OEI20" s="93"/>
      <c r="OEJ20" s="30"/>
      <c r="OEO20" s="93"/>
      <c r="OEP20" s="30"/>
      <c r="OEU20" s="93"/>
      <c r="OEV20" s="30"/>
      <c r="OFA20" s="93"/>
      <c r="OFB20" s="30"/>
      <c r="OFG20" s="93"/>
      <c r="OFH20" s="30"/>
      <c r="OFM20" s="93"/>
      <c r="OFN20" s="30"/>
      <c r="OFS20" s="93"/>
      <c r="OFT20" s="30"/>
      <c r="OFY20" s="93"/>
      <c r="OFZ20" s="30"/>
      <c r="OGE20" s="93"/>
      <c r="OGF20" s="30"/>
      <c r="OGK20" s="93"/>
      <c r="OGL20" s="30"/>
      <c r="OGQ20" s="93"/>
      <c r="OGR20" s="30"/>
      <c r="OGW20" s="93"/>
      <c r="OGX20" s="30"/>
      <c r="OHC20" s="93"/>
      <c r="OHD20" s="30"/>
      <c r="OHI20" s="93"/>
      <c r="OHJ20" s="30"/>
      <c r="OHO20" s="93"/>
      <c r="OHP20" s="30"/>
      <c r="OHU20" s="93"/>
      <c r="OHV20" s="30"/>
      <c r="OIA20" s="93"/>
      <c r="OIB20" s="30"/>
      <c r="OIG20" s="93"/>
      <c r="OIH20" s="30"/>
      <c r="OIM20" s="93"/>
      <c r="OIN20" s="30"/>
      <c r="OIS20" s="93"/>
      <c r="OIT20" s="30"/>
      <c r="OIY20" s="93"/>
      <c r="OIZ20" s="30"/>
      <c r="OJE20" s="93"/>
      <c r="OJF20" s="30"/>
      <c r="OJK20" s="93"/>
      <c r="OJL20" s="30"/>
      <c r="OJQ20" s="93"/>
      <c r="OJR20" s="30"/>
      <c r="OJW20" s="93"/>
      <c r="OJX20" s="30"/>
      <c r="OKC20" s="93"/>
      <c r="OKD20" s="30"/>
      <c r="OKI20" s="93"/>
      <c r="OKJ20" s="30"/>
      <c r="OKO20" s="93"/>
      <c r="OKP20" s="30"/>
      <c r="OKU20" s="93"/>
      <c r="OKV20" s="30"/>
      <c r="OLA20" s="93"/>
      <c r="OLB20" s="30"/>
      <c r="OLG20" s="93"/>
      <c r="OLH20" s="30"/>
      <c r="OLM20" s="93"/>
      <c r="OLN20" s="30"/>
      <c r="OLS20" s="93"/>
      <c r="OLT20" s="30"/>
      <c r="OLY20" s="93"/>
      <c r="OLZ20" s="30"/>
      <c r="OME20" s="93"/>
      <c r="OMF20" s="30"/>
      <c r="OMK20" s="93"/>
      <c r="OML20" s="30"/>
      <c r="OMQ20" s="93"/>
      <c r="OMR20" s="30"/>
      <c r="OMW20" s="93"/>
      <c r="OMX20" s="30"/>
      <c r="ONC20" s="93"/>
      <c r="OND20" s="30"/>
      <c r="ONI20" s="93"/>
      <c r="ONJ20" s="30"/>
      <c r="ONO20" s="93"/>
      <c r="ONP20" s="30"/>
      <c r="ONU20" s="93"/>
      <c r="ONV20" s="30"/>
      <c r="OOA20" s="93"/>
      <c r="OOB20" s="30"/>
      <c r="OOG20" s="93"/>
      <c r="OOH20" s="30"/>
      <c r="OOM20" s="93"/>
      <c r="OON20" s="30"/>
      <c r="OOS20" s="93"/>
      <c r="OOT20" s="30"/>
      <c r="OOY20" s="93"/>
      <c r="OOZ20" s="30"/>
      <c r="OPE20" s="93"/>
      <c r="OPF20" s="30"/>
      <c r="OPK20" s="93"/>
      <c r="OPL20" s="30"/>
      <c r="OPQ20" s="93"/>
      <c r="OPR20" s="30"/>
      <c r="OPW20" s="93"/>
      <c r="OPX20" s="30"/>
      <c r="OQC20" s="93"/>
      <c r="OQD20" s="30"/>
      <c r="OQI20" s="93"/>
      <c r="OQJ20" s="30"/>
      <c r="OQO20" s="93"/>
      <c r="OQP20" s="30"/>
      <c r="OQU20" s="93"/>
      <c r="OQV20" s="30"/>
      <c r="ORA20" s="93"/>
      <c r="ORB20" s="30"/>
      <c r="ORG20" s="93"/>
      <c r="ORH20" s="30"/>
      <c r="ORM20" s="93"/>
      <c r="ORN20" s="30"/>
      <c r="ORS20" s="93"/>
      <c r="ORT20" s="30"/>
      <c r="ORY20" s="93"/>
      <c r="ORZ20" s="30"/>
      <c r="OSE20" s="93"/>
      <c r="OSF20" s="30"/>
      <c r="OSK20" s="93"/>
      <c r="OSL20" s="30"/>
      <c r="OSQ20" s="93"/>
      <c r="OSR20" s="30"/>
      <c r="OSW20" s="93"/>
      <c r="OSX20" s="30"/>
      <c r="OTC20" s="93"/>
      <c r="OTD20" s="30"/>
      <c r="OTI20" s="93"/>
      <c r="OTJ20" s="30"/>
      <c r="OTO20" s="93"/>
      <c r="OTP20" s="30"/>
      <c r="OTU20" s="93"/>
      <c r="OTV20" s="30"/>
      <c r="OUA20" s="93"/>
      <c r="OUB20" s="30"/>
      <c r="OUG20" s="93"/>
      <c r="OUH20" s="30"/>
      <c r="OUM20" s="93"/>
      <c r="OUN20" s="30"/>
      <c r="OUS20" s="93"/>
      <c r="OUT20" s="30"/>
      <c r="OUY20" s="93"/>
      <c r="OUZ20" s="30"/>
      <c r="OVE20" s="93"/>
      <c r="OVF20" s="30"/>
      <c r="OVK20" s="93"/>
      <c r="OVL20" s="30"/>
      <c r="OVQ20" s="93"/>
      <c r="OVR20" s="30"/>
      <c r="OVW20" s="93"/>
      <c r="OVX20" s="30"/>
      <c r="OWC20" s="93"/>
      <c r="OWD20" s="30"/>
      <c r="OWI20" s="93"/>
      <c r="OWJ20" s="30"/>
      <c r="OWO20" s="93"/>
      <c r="OWP20" s="30"/>
      <c r="OWU20" s="93"/>
      <c r="OWV20" s="30"/>
      <c r="OXA20" s="93"/>
      <c r="OXB20" s="30"/>
      <c r="OXG20" s="93"/>
      <c r="OXH20" s="30"/>
      <c r="OXM20" s="93"/>
      <c r="OXN20" s="30"/>
      <c r="OXS20" s="93"/>
      <c r="OXT20" s="30"/>
      <c r="OXY20" s="93"/>
      <c r="OXZ20" s="30"/>
      <c r="OYE20" s="93"/>
      <c r="OYF20" s="30"/>
      <c r="OYK20" s="93"/>
      <c r="OYL20" s="30"/>
      <c r="OYQ20" s="93"/>
      <c r="OYR20" s="30"/>
      <c r="OYW20" s="93"/>
      <c r="OYX20" s="30"/>
      <c r="OZC20" s="93"/>
      <c r="OZD20" s="30"/>
      <c r="OZI20" s="93"/>
      <c r="OZJ20" s="30"/>
      <c r="OZO20" s="93"/>
      <c r="OZP20" s="30"/>
      <c r="OZU20" s="93"/>
      <c r="OZV20" s="30"/>
      <c r="PAA20" s="93"/>
      <c r="PAB20" s="30"/>
      <c r="PAG20" s="93"/>
      <c r="PAH20" s="30"/>
      <c r="PAM20" s="93"/>
      <c r="PAN20" s="30"/>
      <c r="PAS20" s="93"/>
      <c r="PAT20" s="30"/>
      <c r="PAY20" s="93"/>
      <c r="PAZ20" s="30"/>
      <c r="PBE20" s="93"/>
      <c r="PBF20" s="30"/>
      <c r="PBK20" s="93"/>
      <c r="PBL20" s="30"/>
      <c r="PBQ20" s="93"/>
      <c r="PBR20" s="30"/>
      <c r="PBW20" s="93"/>
      <c r="PBX20" s="30"/>
      <c r="PCC20" s="93"/>
      <c r="PCD20" s="30"/>
      <c r="PCI20" s="93"/>
      <c r="PCJ20" s="30"/>
      <c r="PCO20" s="93"/>
      <c r="PCP20" s="30"/>
      <c r="PCU20" s="93"/>
      <c r="PCV20" s="30"/>
      <c r="PDA20" s="93"/>
      <c r="PDB20" s="30"/>
      <c r="PDG20" s="93"/>
      <c r="PDH20" s="30"/>
      <c r="PDM20" s="93"/>
      <c r="PDN20" s="30"/>
      <c r="PDS20" s="93"/>
      <c r="PDT20" s="30"/>
      <c r="PDY20" s="93"/>
      <c r="PDZ20" s="30"/>
      <c r="PEE20" s="93"/>
      <c r="PEF20" s="30"/>
      <c r="PEK20" s="93"/>
      <c r="PEL20" s="30"/>
      <c r="PEQ20" s="93"/>
      <c r="PER20" s="30"/>
      <c r="PEW20" s="93"/>
      <c r="PEX20" s="30"/>
      <c r="PFC20" s="93"/>
      <c r="PFD20" s="30"/>
      <c r="PFI20" s="93"/>
      <c r="PFJ20" s="30"/>
      <c r="PFO20" s="93"/>
      <c r="PFP20" s="30"/>
      <c r="PFU20" s="93"/>
      <c r="PFV20" s="30"/>
      <c r="PGA20" s="93"/>
      <c r="PGB20" s="30"/>
      <c r="PGG20" s="93"/>
      <c r="PGH20" s="30"/>
      <c r="PGM20" s="93"/>
      <c r="PGN20" s="30"/>
      <c r="PGS20" s="93"/>
      <c r="PGT20" s="30"/>
      <c r="PGY20" s="93"/>
      <c r="PGZ20" s="30"/>
      <c r="PHE20" s="93"/>
      <c r="PHF20" s="30"/>
      <c r="PHK20" s="93"/>
      <c r="PHL20" s="30"/>
      <c r="PHQ20" s="93"/>
      <c r="PHR20" s="30"/>
      <c r="PHW20" s="93"/>
      <c r="PHX20" s="30"/>
      <c r="PIC20" s="93"/>
      <c r="PID20" s="30"/>
      <c r="PII20" s="93"/>
      <c r="PIJ20" s="30"/>
      <c r="PIO20" s="93"/>
      <c r="PIP20" s="30"/>
      <c r="PIU20" s="93"/>
      <c r="PIV20" s="30"/>
      <c r="PJA20" s="93"/>
      <c r="PJB20" s="30"/>
      <c r="PJG20" s="93"/>
      <c r="PJH20" s="30"/>
      <c r="PJM20" s="93"/>
      <c r="PJN20" s="30"/>
      <c r="PJS20" s="93"/>
      <c r="PJT20" s="30"/>
      <c r="PJY20" s="93"/>
      <c r="PJZ20" s="30"/>
      <c r="PKE20" s="93"/>
      <c r="PKF20" s="30"/>
      <c r="PKK20" s="93"/>
      <c r="PKL20" s="30"/>
      <c r="PKQ20" s="93"/>
      <c r="PKR20" s="30"/>
      <c r="PKW20" s="93"/>
      <c r="PKX20" s="30"/>
      <c r="PLC20" s="93"/>
      <c r="PLD20" s="30"/>
      <c r="PLI20" s="93"/>
      <c r="PLJ20" s="30"/>
      <c r="PLO20" s="93"/>
      <c r="PLP20" s="30"/>
      <c r="PLU20" s="93"/>
      <c r="PLV20" s="30"/>
      <c r="PMA20" s="93"/>
      <c r="PMB20" s="30"/>
      <c r="PMG20" s="93"/>
      <c r="PMH20" s="30"/>
      <c r="PMM20" s="93"/>
      <c r="PMN20" s="30"/>
      <c r="PMS20" s="93"/>
      <c r="PMT20" s="30"/>
      <c r="PMY20" s="93"/>
      <c r="PMZ20" s="30"/>
      <c r="PNE20" s="93"/>
      <c r="PNF20" s="30"/>
      <c r="PNK20" s="93"/>
      <c r="PNL20" s="30"/>
      <c r="PNQ20" s="93"/>
      <c r="PNR20" s="30"/>
      <c r="PNW20" s="93"/>
      <c r="PNX20" s="30"/>
      <c r="POC20" s="93"/>
      <c r="POD20" s="30"/>
      <c r="POI20" s="93"/>
      <c r="POJ20" s="30"/>
      <c r="POO20" s="93"/>
      <c r="POP20" s="30"/>
      <c r="POU20" s="93"/>
      <c r="POV20" s="30"/>
      <c r="PPA20" s="93"/>
      <c r="PPB20" s="30"/>
      <c r="PPG20" s="93"/>
      <c r="PPH20" s="30"/>
      <c r="PPM20" s="93"/>
      <c r="PPN20" s="30"/>
      <c r="PPS20" s="93"/>
      <c r="PPT20" s="30"/>
      <c r="PPY20" s="93"/>
      <c r="PPZ20" s="30"/>
      <c r="PQE20" s="93"/>
      <c r="PQF20" s="30"/>
      <c r="PQK20" s="93"/>
      <c r="PQL20" s="30"/>
      <c r="PQQ20" s="93"/>
      <c r="PQR20" s="30"/>
      <c r="PQW20" s="93"/>
      <c r="PQX20" s="30"/>
      <c r="PRC20" s="93"/>
      <c r="PRD20" s="30"/>
      <c r="PRI20" s="93"/>
      <c r="PRJ20" s="30"/>
      <c r="PRO20" s="93"/>
      <c r="PRP20" s="30"/>
      <c r="PRU20" s="93"/>
      <c r="PRV20" s="30"/>
      <c r="PSA20" s="93"/>
      <c r="PSB20" s="30"/>
      <c r="PSG20" s="93"/>
      <c r="PSH20" s="30"/>
      <c r="PSM20" s="93"/>
      <c r="PSN20" s="30"/>
      <c r="PSS20" s="93"/>
      <c r="PST20" s="30"/>
      <c r="PSY20" s="93"/>
      <c r="PSZ20" s="30"/>
      <c r="PTE20" s="93"/>
      <c r="PTF20" s="30"/>
      <c r="PTK20" s="93"/>
      <c r="PTL20" s="30"/>
      <c r="PTQ20" s="93"/>
      <c r="PTR20" s="30"/>
      <c r="PTW20" s="93"/>
      <c r="PTX20" s="30"/>
      <c r="PUC20" s="93"/>
      <c r="PUD20" s="30"/>
      <c r="PUI20" s="93"/>
      <c r="PUJ20" s="30"/>
      <c r="PUO20" s="93"/>
      <c r="PUP20" s="30"/>
      <c r="PUU20" s="93"/>
      <c r="PUV20" s="30"/>
      <c r="PVA20" s="93"/>
      <c r="PVB20" s="30"/>
      <c r="PVG20" s="93"/>
      <c r="PVH20" s="30"/>
      <c r="PVM20" s="93"/>
      <c r="PVN20" s="30"/>
      <c r="PVS20" s="93"/>
      <c r="PVT20" s="30"/>
      <c r="PVY20" s="93"/>
      <c r="PVZ20" s="30"/>
      <c r="PWE20" s="93"/>
      <c r="PWF20" s="30"/>
      <c r="PWK20" s="93"/>
      <c r="PWL20" s="30"/>
      <c r="PWQ20" s="93"/>
      <c r="PWR20" s="30"/>
      <c r="PWW20" s="93"/>
      <c r="PWX20" s="30"/>
      <c r="PXC20" s="93"/>
      <c r="PXD20" s="30"/>
      <c r="PXI20" s="93"/>
      <c r="PXJ20" s="30"/>
      <c r="PXO20" s="93"/>
      <c r="PXP20" s="30"/>
      <c r="PXU20" s="93"/>
      <c r="PXV20" s="30"/>
      <c r="PYA20" s="93"/>
      <c r="PYB20" s="30"/>
      <c r="PYG20" s="93"/>
      <c r="PYH20" s="30"/>
      <c r="PYM20" s="93"/>
      <c r="PYN20" s="30"/>
      <c r="PYS20" s="93"/>
      <c r="PYT20" s="30"/>
      <c r="PYY20" s="93"/>
      <c r="PYZ20" s="30"/>
      <c r="PZE20" s="93"/>
      <c r="PZF20" s="30"/>
      <c r="PZK20" s="93"/>
      <c r="PZL20" s="30"/>
      <c r="PZQ20" s="93"/>
      <c r="PZR20" s="30"/>
      <c r="PZW20" s="93"/>
      <c r="PZX20" s="30"/>
      <c r="QAC20" s="93"/>
      <c r="QAD20" s="30"/>
      <c r="QAI20" s="93"/>
      <c r="QAJ20" s="30"/>
      <c r="QAO20" s="93"/>
      <c r="QAP20" s="30"/>
      <c r="QAU20" s="93"/>
      <c r="QAV20" s="30"/>
      <c r="QBA20" s="93"/>
      <c r="QBB20" s="30"/>
      <c r="QBG20" s="93"/>
      <c r="QBH20" s="30"/>
      <c r="QBM20" s="93"/>
      <c r="QBN20" s="30"/>
      <c r="QBS20" s="93"/>
      <c r="QBT20" s="30"/>
      <c r="QBY20" s="93"/>
      <c r="QBZ20" s="30"/>
      <c r="QCE20" s="93"/>
      <c r="QCF20" s="30"/>
      <c r="QCK20" s="93"/>
      <c r="QCL20" s="30"/>
      <c r="QCQ20" s="93"/>
      <c r="QCR20" s="30"/>
      <c r="QCW20" s="93"/>
      <c r="QCX20" s="30"/>
      <c r="QDC20" s="93"/>
      <c r="QDD20" s="30"/>
      <c r="QDI20" s="93"/>
      <c r="QDJ20" s="30"/>
      <c r="QDO20" s="93"/>
      <c r="QDP20" s="30"/>
      <c r="QDU20" s="93"/>
      <c r="QDV20" s="30"/>
      <c r="QEA20" s="93"/>
      <c r="QEB20" s="30"/>
      <c r="QEG20" s="93"/>
      <c r="QEH20" s="30"/>
      <c r="QEM20" s="93"/>
      <c r="QEN20" s="30"/>
      <c r="QES20" s="93"/>
      <c r="QET20" s="30"/>
      <c r="QEY20" s="93"/>
      <c r="QEZ20" s="30"/>
      <c r="QFE20" s="93"/>
      <c r="QFF20" s="30"/>
      <c r="QFK20" s="93"/>
      <c r="QFL20" s="30"/>
      <c r="QFQ20" s="93"/>
      <c r="QFR20" s="30"/>
      <c r="QFW20" s="93"/>
      <c r="QFX20" s="30"/>
      <c r="QGC20" s="93"/>
      <c r="QGD20" s="30"/>
      <c r="QGI20" s="93"/>
      <c r="QGJ20" s="30"/>
      <c r="QGO20" s="93"/>
      <c r="QGP20" s="30"/>
      <c r="QGU20" s="93"/>
      <c r="QGV20" s="30"/>
      <c r="QHA20" s="93"/>
      <c r="QHB20" s="30"/>
      <c r="QHG20" s="93"/>
      <c r="QHH20" s="30"/>
      <c r="QHM20" s="93"/>
      <c r="QHN20" s="30"/>
      <c r="QHS20" s="93"/>
      <c r="QHT20" s="30"/>
      <c r="QHY20" s="93"/>
      <c r="QHZ20" s="30"/>
      <c r="QIE20" s="93"/>
      <c r="QIF20" s="30"/>
      <c r="QIK20" s="93"/>
      <c r="QIL20" s="30"/>
      <c r="QIQ20" s="93"/>
      <c r="QIR20" s="30"/>
      <c r="QIW20" s="93"/>
      <c r="QIX20" s="30"/>
      <c r="QJC20" s="93"/>
      <c r="QJD20" s="30"/>
      <c r="QJI20" s="93"/>
      <c r="QJJ20" s="30"/>
      <c r="QJO20" s="93"/>
      <c r="QJP20" s="30"/>
      <c r="QJU20" s="93"/>
      <c r="QJV20" s="30"/>
      <c r="QKA20" s="93"/>
      <c r="QKB20" s="30"/>
      <c r="QKG20" s="93"/>
      <c r="QKH20" s="30"/>
      <c r="QKM20" s="93"/>
      <c r="QKN20" s="30"/>
      <c r="QKS20" s="93"/>
      <c r="QKT20" s="30"/>
      <c r="QKY20" s="93"/>
      <c r="QKZ20" s="30"/>
      <c r="QLE20" s="93"/>
      <c r="QLF20" s="30"/>
      <c r="QLK20" s="93"/>
      <c r="QLL20" s="30"/>
      <c r="QLQ20" s="93"/>
      <c r="QLR20" s="30"/>
      <c r="QLW20" s="93"/>
      <c r="QLX20" s="30"/>
      <c r="QMC20" s="93"/>
      <c r="QMD20" s="30"/>
      <c r="QMI20" s="93"/>
      <c r="QMJ20" s="30"/>
      <c r="QMO20" s="93"/>
      <c r="QMP20" s="30"/>
      <c r="QMU20" s="93"/>
      <c r="QMV20" s="30"/>
      <c r="QNA20" s="93"/>
      <c r="QNB20" s="30"/>
      <c r="QNG20" s="93"/>
      <c r="QNH20" s="30"/>
      <c r="QNM20" s="93"/>
      <c r="QNN20" s="30"/>
      <c r="QNS20" s="93"/>
      <c r="QNT20" s="30"/>
      <c r="QNY20" s="93"/>
      <c r="QNZ20" s="30"/>
      <c r="QOE20" s="93"/>
      <c r="QOF20" s="30"/>
      <c r="QOK20" s="93"/>
      <c r="QOL20" s="30"/>
      <c r="QOQ20" s="93"/>
      <c r="QOR20" s="30"/>
      <c r="QOW20" s="93"/>
      <c r="QOX20" s="30"/>
      <c r="QPC20" s="93"/>
      <c r="QPD20" s="30"/>
      <c r="QPI20" s="93"/>
      <c r="QPJ20" s="30"/>
      <c r="QPO20" s="93"/>
      <c r="QPP20" s="30"/>
      <c r="QPU20" s="93"/>
      <c r="QPV20" s="30"/>
      <c r="QQA20" s="93"/>
      <c r="QQB20" s="30"/>
      <c r="QQG20" s="93"/>
      <c r="QQH20" s="30"/>
      <c r="QQM20" s="93"/>
      <c r="QQN20" s="30"/>
      <c r="QQS20" s="93"/>
      <c r="QQT20" s="30"/>
      <c r="QQY20" s="93"/>
      <c r="QQZ20" s="30"/>
      <c r="QRE20" s="93"/>
      <c r="QRF20" s="30"/>
      <c r="QRK20" s="93"/>
      <c r="QRL20" s="30"/>
      <c r="QRQ20" s="93"/>
      <c r="QRR20" s="30"/>
      <c r="QRW20" s="93"/>
      <c r="QRX20" s="30"/>
      <c r="QSC20" s="93"/>
      <c r="QSD20" s="30"/>
      <c r="QSI20" s="93"/>
      <c r="QSJ20" s="30"/>
      <c r="QSO20" s="93"/>
      <c r="QSP20" s="30"/>
      <c r="QSU20" s="93"/>
      <c r="QSV20" s="30"/>
      <c r="QTA20" s="93"/>
      <c r="QTB20" s="30"/>
      <c r="QTG20" s="93"/>
      <c r="QTH20" s="30"/>
      <c r="QTM20" s="93"/>
      <c r="QTN20" s="30"/>
      <c r="QTS20" s="93"/>
      <c r="QTT20" s="30"/>
      <c r="QTY20" s="93"/>
      <c r="QTZ20" s="30"/>
      <c r="QUE20" s="93"/>
      <c r="QUF20" s="30"/>
      <c r="QUK20" s="93"/>
      <c r="QUL20" s="30"/>
      <c r="QUQ20" s="93"/>
      <c r="QUR20" s="30"/>
      <c r="QUW20" s="93"/>
      <c r="QUX20" s="30"/>
      <c r="QVC20" s="93"/>
      <c r="QVD20" s="30"/>
      <c r="QVI20" s="93"/>
      <c r="QVJ20" s="30"/>
      <c r="QVO20" s="93"/>
      <c r="QVP20" s="30"/>
      <c r="QVU20" s="93"/>
      <c r="QVV20" s="30"/>
      <c r="QWA20" s="93"/>
      <c r="QWB20" s="30"/>
      <c r="QWG20" s="93"/>
      <c r="QWH20" s="30"/>
      <c r="QWM20" s="93"/>
      <c r="QWN20" s="30"/>
      <c r="QWS20" s="93"/>
      <c r="QWT20" s="30"/>
      <c r="QWY20" s="93"/>
      <c r="QWZ20" s="30"/>
      <c r="QXE20" s="93"/>
      <c r="QXF20" s="30"/>
      <c r="QXK20" s="93"/>
      <c r="QXL20" s="30"/>
      <c r="QXQ20" s="93"/>
      <c r="QXR20" s="30"/>
      <c r="QXW20" s="93"/>
      <c r="QXX20" s="30"/>
      <c r="QYC20" s="93"/>
      <c r="QYD20" s="30"/>
      <c r="QYI20" s="93"/>
      <c r="QYJ20" s="30"/>
      <c r="QYO20" s="93"/>
      <c r="QYP20" s="30"/>
      <c r="QYU20" s="93"/>
      <c r="QYV20" s="30"/>
      <c r="QZA20" s="93"/>
      <c r="QZB20" s="30"/>
      <c r="QZG20" s="93"/>
      <c r="QZH20" s="30"/>
      <c r="QZM20" s="93"/>
      <c r="QZN20" s="30"/>
      <c r="QZS20" s="93"/>
      <c r="QZT20" s="30"/>
      <c r="QZY20" s="93"/>
      <c r="QZZ20" s="30"/>
      <c r="RAE20" s="93"/>
      <c r="RAF20" s="30"/>
      <c r="RAK20" s="93"/>
      <c r="RAL20" s="30"/>
      <c r="RAQ20" s="93"/>
      <c r="RAR20" s="30"/>
      <c r="RAW20" s="93"/>
      <c r="RAX20" s="30"/>
      <c r="RBC20" s="93"/>
      <c r="RBD20" s="30"/>
      <c r="RBI20" s="93"/>
      <c r="RBJ20" s="30"/>
      <c r="RBO20" s="93"/>
      <c r="RBP20" s="30"/>
      <c r="RBU20" s="93"/>
      <c r="RBV20" s="30"/>
      <c r="RCA20" s="93"/>
      <c r="RCB20" s="30"/>
      <c r="RCG20" s="93"/>
      <c r="RCH20" s="30"/>
      <c r="RCM20" s="93"/>
      <c r="RCN20" s="30"/>
      <c r="RCS20" s="93"/>
      <c r="RCT20" s="30"/>
      <c r="RCY20" s="93"/>
      <c r="RCZ20" s="30"/>
      <c r="RDE20" s="93"/>
      <c r="RDF20" s="30"/>
      <c r="RDK20" s="93"/>
      <c r="RDL20" s="30"/>
      <c r="RDQ20" s="93"/>
      <c r="RDR20" s="30"/>
      <c r="RDW20" s="93"/>
      <c r="RDX20" s="30"/>
      <c r="REC20" s="93"/>
      <c r="RED20" s="30"/>
      <c r="REI20" s="93"/>
      <c r="REJ20" s="30"/>
      <c r="REO20" s="93"/>
      <c r="REP20" s="30"/>
      <c r="REU20" s="93"/>
      <c r="REV20" s="30"/>
      <c r="RFA20" s="93"/>
      <c r="RFB20" s="30"/>
      <c r="RFG20" s="93"/>
      <c r="RFH20" s="30"/>
      <c r="RFM20" s="93"/>
      <c r="RFN20" s="30"/>
      <c r="RFS20" s="93"/>
      <c r="RFT20" s="30"/>
      <c r="RFY20" s="93"/>
      <c r="RFZ20" s="30"/>
      <c r="RGE20" s="93"/>
      <c r="RGF20" s="30"/>
      <c r="RGK20" s="93"/>
      <c r="RGL20" s="30"/>
      <c r="RGQ20" s="93"/>
      <c r="RGR20" s="30"/>
      <c r="RGW20" s="93"/>
      <c r="RGX20" s="30"/>
      <c r="RHC20" s="93"/>
      <c r="RHD20" s="30"/>
      <c r="RHI20" s="93"/>
      <c r="RHJ20" s="30"/>
      <c r="RHO20" s="93"/>
      <c r="RHP20" s="30"/>
      <c r="RHU20" s="93"/>
      <c r="RHV20" s="30"/>
      <c r="RIA20" s="93"/>
      <c r="RIB20" s="30"/>
      <c r="RIG20" s="93"/>
      <c r="RIH20" s="30"/>
      <c r="RIM20" s="93"/>
      <c r="RIN20" s="30"/>
      <c r="RIS20" s="93"/>
      <c r="RIT20" s="30"/>
      <c r="RIY20" s="93"/>
      <c r="RIZ20" s="30"/>
      <c r="RJE20" s="93"/>
      <c r="RJF20" s="30"/>
      <c r="RJK20" s="93"/>
      <c r="RJL20" s="30"/>
      <c r="RJQ20" s="93"/>
      <c r="RJR20" s="30"/>
      <c r="RJW20" s="93"/>
      <c r="RJX20" s="30"/>
      <c r="RKC20" s="93"/>
      <c r="RKD20" s="30"/>
      <c r="RKI20" s="93"/>
      <c r="RKJ20" s="30"/>
      <c r="RKO20" s="93"/>
      <c r="RKP20" s="30"/>
      <c r="RKU20" s="93"/>
      <c r="RKV20" s="30"/>
      <c r="RLA20" s="93"/>
      <c r="RLB20" s="30"/>
      <c r="RLG20" s="93"/>
      <c r="RLH20" s="30"/>
      <c r="RLM20" s="93"/>
      <c r="RLN20" s="30"/>
      <c r="RLS20" s="93"/>
      <c r="RLT20" s="30"/>
      <c r="RLY20" s="93"/>
      <c r="RLZ20" s="30"/>
      <c r="RME20" s="93"/>
      <c r="RMF20" s="30"/>
      <c r="RMK20" s="93"/>
      <c r="RML20" s="30"/>
      <c r="RMQ20" s="93"/>
      <c r="RMR20" s="30"/>
      <c r="RMW20" s="93"/>
      <c r="RMX20" s="30"/>
      <c r="RNC20" s="93"/>
      <c r="RND20" s="30"/>
      <c r="RNI20" s="93"/>
      <c r="RNJ20" s="30"/>
      <c r="RNO20" s="93"/>
      <c r="RNP20" s="30"/>
      <c r="RNU20" s="93"/>
      <c r="RNV20" s="30"/>
      <c r="ROA20" s="93"/>
      <c r="ROB20" s="30"/>
      <c r="ROG20" s="93"/>
      <c r="ROH20" s="30"/>
      <c r="ROM20" s="93"/>
      <c r="RON20" s="30"/>
      <c r="ROS20" s="93"/>
      <c r="ROT20" s="30"/>
      <c r="ROY20" s="93"/>
      <c r="ROZ20" s="30"/>
      <c r="RPE20" s="93"/>
      <c r="RPF20" s="30"/>
      <c r="RPK20" s="93"/>
      <c r="RPL20" s="30"/>
      <c r="RPQ20" s="93"/>
      <c r="RPR20" s="30"/>
      <c r="RPW20" s="93"/>
      <c r="RPX20" s="30"/>
      <c r="RQC20" s="93"/>
      <c r="RQD20" s="30"/>
      <c r="RQI20" s="93"/>
      <c r="RQJ20" s="30"/>
      <c r="RQO20" s="93"/>
      <c r="RQP20" s="30"/>
      <c r="RQU20" s="93"/>
      <c r="RQV20" s="30"/>
      <c r="RRA20" s="93"/>
      <c r="RRB20" s="30"/>
      <c r="RRG20" s="93"/>
      <c r="RRH20" s="30"/>
      <c r="RRM20" s="93"/>
      <c r="RRN20" s="30"/>
      <c r="RRS20" s="93"/>
      <c r="RRT20" s="30"/>
      <c r="RRY20" s="93"/>
      <c r="RRZ20" s="30"/>
      <c r="RSE20" s="93"/>
      <c r="RSF20" s="30"/>
      <c r="RSK20" s="93"/>
      <c r="RSL20" s="30"/>
      <c r="RSQ20" s="93"/>
      <c r="RSR20" s="30"/>
      <c r="RSW20" s="93"/>
      <c r="RSX20" s="30"/>
      <c r="RTC20" s="93"/>
      <c r="RTD20" s="30"/>
      <c r="RTI20" s="93"/>
      <c r="RTJ20" s="30"/>
      <c r="RTO20" s="93"/>
      <c r="RTP20" s="30"/>
      <c r="RTU20" s="93"/>
      <c r="RTV20" s="30"/>
      <c r="RUA20" s="93"/>
      <c r="RUB20" s="30"/>
      <c r="RUG20" s="93"/>
      <c r="RUH20" s="30"/>
      <c r="RUM20" s="93"/>
      <c r="RUN20" s="30"/>
      <c r="RUS20" s="93"/>
      <c r="RUT20" s="30"/>
      <c r="RUY20" s="93"/>
      <c r="RUZ20" s="30"/>
      <c r="RVE20" s="93"/>
      <c r="RVF20" s="30"/>
      <c r="RVK20" s="93"/>
      <c r="RVL20" s="30"/>
      <c r="RVQ20" s="93"/>
      <c r="RVR20" s="30"/>
      <c r="RVW20" s="93"/>
      <c r="RVX20" s="30"/>
      <c r="RWC20" s="93"/>
      <c r="RWD20" s="30"/>
      <c r="RWI20" s="93"/>
      <c r="RWJ20" s="30"/>
      <c r="RWO20" s="93"/>
      <c r="RWP20" s="30"/>
      <c r="RWU20" s="93"/>
      <c r="RWV20" s="30"/>
      <c r="RXA20" s="93"/>
      <c r="RXB20" s="30"/>
      <c r="RXG20" s="93"/>
      <c r="RXH20" s="30"/>
      <c r="RXM20" s="93"/>
      <c r="RXN20" s="30"/>
      <c r="RXS20" s="93"/>
      <c r="RXT20" s="30"/>
      <c r="RXY20" s="93"/>
      <c r="RXZ20" s="30"/>
      <c r="RYE20" s="93"/>
      <c r="RYF20" s="30"/>
      <c r="RYK20" s="93"/>
      <c r="RYL20" s="30"/>
      <c r="RYQ20" s="93"/>
      <c r="RYR20" s="30"/>
      <c r="RYW20" s="93"/>
      <c r="RYX20" s="30"/>
      <c r="RZC20" s="93"/>
      <c r="RZD20" s="30"/>
      <c r="RZI20" s="93"/>
      <c r="RZJ20" s="30"/>
      <c r="RZO20" s="93"/>
      <c r="RZP20" s="30"/>
      <c r="RZU20" s="93"/>
      <c r="RZV20" s="30"/>
      <c r="SAA20" s="93"/>
      <c r="SAB20" s="30"/>
      <c r="SAG20" s="93"/>
      <c r="SAH20" s="30"/>
      <c r="SAM20" s="93"/>
      <c r="SAN20" s="30"/>
      <c r="SAS20" s="93"/>
      <c r="SAT20" s="30"/>
      <c r="SAY20" s="93"/>
      <c r="SAZ20" s="30"/>
      <c r="SBE20" s="93"/>
      <c r="SBF20" s="30"/>
      <c r="SBK20" s="93"/>
      <c r="SBL20" s="30"/>
      <c r="SBQ20" s="93"/>
      <c r="SBR20" s="30"/>
      <c r="SBW20" s="93"/>
      <c r="SBX20" s="30"/>
      <c r="SCC20" s="93"/>
      <c r="SCD20" s="30"/>
      <c r="SCI20" s="93"/>
      <c r="SCJ20" s="30"/>
      <c r="SCO20" s="93"/>
      <c r="SCP20" s="30"/>
      <c r="SCU20" s="93"/>
      <c r="SCV20" s="30"/>
      <c r="SDA20" s="93"/>
      <c r="SDB20" s="30"/>
      <c r="SDG20" s="93"/>
      <c r="SDH20" s="30"/>
      <c r="SDM20" s="93"/>
      <c r="SDN20" s="30"/>
      <c r="SDS20" s="93"/>
      <c r="SDT20" s="30"/>
      <c r="SDY20" s="93"/>
      <c r="SDZ20" s="30"/>
      <c r="SEE20" s="93"/>
      <c r="SEF20" s="30"/>
      <c r="SEK20" s="93"/>
      <c r="SEL20" s="30"/>
      <c r="SEQ20" s="93"/>
      <c r="SER20" s="30"/>
      <c r="SEW20" s="93"/>
      <c r="SEX20" s="30"/>
      <c r="SFC20" s="93"/>
      <c r="SFD20" s="30"/>
      <c r="SFI20" s="93"/>
      <c r="SFJ20" s="30"/>
      <c r="SFO20" s="93"/>
      <c r="SFP20" s="30"/>
      <c r="SFU20" s="93"/>
      <c r="SFV20" s="30"/>
      <c r="SGA20" s="93"/>
      <c r="SGB20" s="30"/>
      <c r="SGG20" s="93"/>
      <c r="SGH20" s="30"/>
      <c r="SGM20" s="93"/>
      <c r="SGN20" s="30"/>
      <c r="SGS20" s="93"/>
      <c r="SGT20" s="30"/>
      <c r="SGY20" s="93"/>
      <c r="SGZ20" s="30"/>
      <c r="SHE20" s="93"/>
      <c r="SHF20" s="30"/>
      <c r="SHK20" s="93"/>
      <c r="SHL20" s="30"/>
      <c r="SHQ20" s="93"/>
      <c r="SHR20" s="30"/>
      <c r="SHW20" s="93"/>
      <c r="SHX20" s="30"/>
      <c r="SIC20" s="93"/>
      <c r="SID20" s="30"/>
      <c r="SII20" s="93"/>
      <c r="SIJ20" s="30"/>
      <c r="SIO20" s="93"/>
      <c r="SIP20" s="30"/>
      <c r="SIU20" s="93"/>
      <c r="SIV20" s="30"/>
      <c r="SJA20" s="93"/>
      <c r="SJB20" s="30"/>
      <c r="SJG20" s="93"/>
      <c r="SJH20" s="30"/>
      <c r="SJM20" s="93"/>
      <c r="SJN20" s="30"/>
      <c r="SJS20" s="93"/>
      <c r="SJT20" s="30"/>
      <c r="SJY20" s="93"/>
      <c r="SJZ20" s="30"/>
      <c r="SKE20" s="93"/>
      <c r="SKF20" s="30"/>
      <c r="SKK20" s="93"/>
      <c r="SKL20" s="30"/>
      <c r="SKQ20" s="93"/>
      <c r="SKR20" s="30"/>
      <c r="SKW20" s="93"/>
      <c r="SKX20" s="30"/>
      <c r="SLC20" s="93"/>
      <c r="SLD20" s="30"/>
      <c r="SLI20" s="93"/>
      <c r="SLJ20" s="30"/>
      <c r="SLO20" s="93"/>
      <c r="SLP20" s="30"/>
      <c r="SLU20" s="93"/>
      <c r="SLV20" s="30"/>
      <c r="SMA20" s="93"/>
      <c r="SMB20" s="30"/>
      <c r="SMG20" s="93"/>
      <c r="SMH20" s="30"/>
      <c r="SMM20" s="93"/>
      <c r="SMN20" s="30"/>
      <c r="SMS20" s="93"/>
      <c r="SMT20" s="30"/>
      <c r="SMY20" s="93"/>
      <c r="SMZ20" s="30"/>
      <c r="SNE20" s="93"/>
      <c r="SNF20" s="30"/>
      <c r="SNK20" s="93"/>
      <c r="SNL20" s="30"/>
      <c r="SNQ20" s="93"/>
      <c r="SNR20" s="30"/>
      <c r="SNW20" s="93"/>
      <c r="SNX20" s="30"/>
      <c r="SOC20" s="93"/>
      <c r="SOD20" s="30"/>
      <c r="SOI20" s="93"/>
      <c r="SOJ20" s="30"/>
      <c r="SOO20" s="93"/>
      <c r="SOP20" s="30"/>
      <c r="SOU20" s="93"/>
      <c r="SOV20" s="30"/>
      <c r="SPA20" s="93"/>
      <c r="SPB20" s="30"/>
      <c r="SPG20" s="93"/>
      <c r="SPH20" s="30"/>
      <c r="SPM20" s="93"/>
      <c r="SPN20" s="30"/>
      <c r="SPS20" s="93"/>
      <c r="SPT20" s="30"/>
      <c r="SPY20" s="93"/>
      <c r="SPZ20" s="30"/>
      <c r="SQE20" s="93"/>
      <c r="SQF20" s="30"/>
      <c r="SQK20" s="93"/>
      <c r="SQL20" s="30"/>
      <c r="SQQ20" s="93"/>
      <c r="SQR20" s="30"/>
      <c r="SQW20" s="93"/>
      <c r="SQX20" s="30"/>
      <c r="SRC20" s="93"/>
      <c r="SRD20" s="30"/>
      <c r="SRI20" s="93"/>
      <c r="SRJ20" s="30"/>
      <c r="SRO20" s="93"/>
      <c r="SRP20" s="30"/>
      <c r="SRU20" s="93"/>
      <c r="SRV20" s="30"/>
      <c r="SSA20" s="93"/>
      <c r="SSB20" s="30"/>
      <c r="SSG20" s="93"/>
      <c r="SSH20" s="30"/>
      <c r="SSM20" s="93"/>
      <c r="SSN20" s="30"/>
      <c r="SSS20" s="93"/>
      <c r="SST20" s="30"/>
      <c r="SSY20" s="93"/>
      <c r="SSZ20" s="30"/>
      <c r="STE20" s="93"/>
      <c r="STF20" s="30"/>
      <c r="STK20" s="93"/>
      <c r="STL20" s="30"/>
      <c r="STQ20" s="93"/>
      <c r="STR20" s="30"/>
      <c r="STW20" s="93"/>
      <c r="STX20" s="30"/>
      <c r="SUC20" s="93"/>
      <c r="SUD20" s="30"/>
      <c r="SUI20" s="93"/>
      <c r="SUJ20" s="30"/>
      <c r="SUO20" s="93"/>
      <c r="SUP20" s="30"/>
      <c r="SUU20" s="93"/>
      <c r="SUV20" s="30"/>
      <c r="SVA20" s="93"/>
      <c r="SVB20" s="30"/>
      <c r="SVG20" s="93"/>
      <c r="SVH20" s="30"/>
      <c r="SVM20" s="93"/>
      <c r="SVN20" s="30"/>
      <c r="SVS20" s="93"/>
      <c r="SVT20" s="30"/>
      <c r="SVY20" s="93"/>
      <c r="SVZ20" s="30"/>
      <c r="SWE20" s="93"/>
      <c r="SWF20" s="30"/>
      <c r="SWK20" s="93"/>
      <c r="SWL20" s="30"/>
      <c r="SWQ20" s="93"/>
      <c r="SWR20" s="30"/>
      <c r="SWW20" s="93"/>
      <c r="SWX20" s="30"/>
      <c r="SXC20" s="93"/>
      <c r="SXD20" s="30"/>
      <c r="SXI20" s="93"/>
      <c r="SXJ20" s="30"/>
      <c r="SXO20" s="93"/>
      <c r="SXP20" s="30"/>
      <c r="SXU20" s="93"/>
      <c r="SXV20" s="30"/>
      <c r="SYA20" s="93"/>
      <c r="SYB20" s="30"/>
      <c r="SYG20" s="93"/>
      <c r="SYH20" s="30"/>
      <c r="SYM20" s="93"/>
      <c r="SYN20" s="30"/>
      <c r="SYS20" s="93"/>
      <c r="SYT20" s="30"/>
      <c r="SYY20" s="93"/>
      <c r="SYZ20" s="30"/>
      <c r="SZE20" s="93"/>
      <c r="SZF20" s="30"/>
      <c r="SZK20" s="93"/>
      <c r="SZL20" s="30"/>
      <c r="SZQ20" s="93"/>
      <c r="SZR20" s="30"/>
      <c r="SZW20" s="93"/>
      <c r="SZX20" s="30"/>
      <c r="TAC20" s="93"/>
      <c r="TAD20" s="30"/>
      <c r="TAI20" s="93"/>
      <c r="TAJ20" s="30"/>
      <c r="TAO20" s="93"/>
      <c r="TAP20" s="30"/>
      <c r="TAU20" s="93"/>
      <c r="TAV20" s="30"/>
      <c r="TBA20" s="93"/>
      <c r="TBB20" s="30"/>
      <c r="TBG20" s="93"/>
      <c r="TBH20" s="30"/>
      <c r="TBM20" s="93"/>
      <c r="TBN20" s="30"/>
      <c r="TBS20" s="93"/>
      <c r="TBT20" s="30"/>
      <c r="TBY20" s="93"/>
      <c r="TBZ20" s="30"/>
      <c r="TCE20" s="93"/>
      <c r="TCF20" s="30"/>
      <c r="TCK20" s="93"/>
      <c r="TCL20" s="30"/>
      <c r="TCQ20" s="93"/>
      <c r="TCR20" s="30"/>
      <c r="TCW20" s="93"/>
      <c r="TCX20" s="30"/>
      <c r="TDC20" s="93"/>
      <c r="TDD20" s="30"/>
      <c r="TDI20" s="93"/>
      <c r="TDJ20" s="30"/>
      <c r="TDO20" s="93"/>
      <c r="TDP20" s="30"/>
      <c r="TDU20" s="93"/>
      <c r="TDV20" s="30"/>
      <c r="TEA20" s="93"/>
      <c r="TEB20" s="30"/>
      <c r="TEG20" s="93"/>
      <c r="TEH20" s="30"/>
      <c r="TEM20" s="93"/>
      <c r="TEN20" s="30"/>
      <c r="TES20" s="93"/>
      <c r="TET20" s="30"/>
      <c r="TEY20" s="93"/>
      <c r="TEZ20" s="30"/>
      <c r="TFE20" s="93"/>
      <c r="TFF20" s="30"/>
      <c r="TFK20" s="93"/>
      <c r="TFL20" s="30"/>
      <c r="TFQ20" s="93"/>
      <c r="TFR20" s="30"/>
      <c r="TFW20" s="93"/>
      <c r="TFX20" s="30"/>
      <c r="TGC20" s="93"/>
      <c r="TGD20" s="30"/>
      <c r="TGI20" s="93"/>
      <c r="TGJ20" s="30"/>
      <c r="TGO20" s="93"/>
      <c r="TGP20" s="30"/>
      <c r="TGU20" s="93"/>
      <c r="TGV20" s="30"/>
      <c r="THA20" s="93"/>
      <c r="THB20" s="30"/>
      <c r="THG20" s="93"/>
      <c r="THH20" s="30"/>
      <c r="THM20" s="93"/>
      <c r="THN20" s="30"/>
      <c r="THS20" s="93"/>
      <c r="THT20" s="30"/>
      <c r="THY20" s="93"/>
      <c r="THZ20" s="30"/>
      <c r="TIE20" s="93"/>
      <c r="TIF20" s="30"/>
      <c r="TIK20" s="93"/>
      <c r="TIL20" s="30"/>
      <c r="TIQ20" s="93"/>
      <c r="TIR20" s="30"/>
      <c r="TIW20" s="93"/>
      <c r="TIX20" s="30"/>
      <c r="TJC20" s="93"/>
      <c r="TJD20" s="30"/>
      <c r="TJI20" s="93"/>
      <c r="TJJ20" s="30"/>
      <c r="TJO20" s="93"/>
      <c r="TJP20" s="30"/>
      <c r="TJU20" s="93"/>
      <c r="TJV20" s="30"/>
      <c r="TKA20" s="93"/>
      <c r="TKB20" s="30"/>
      <c r="TKG20" s="93"/>
      <c r="TKH20" s="30"/>
      <c r="TKM20" s="93"/>
      <c r="TKN20" s="30"/>
      <c r="TKS20" s="93"/>
      <c r="TKT20" s="30"/>
      <c r="TKY20" s="93"/>
      <c r="TKZ20" s="30"/>
      <c r="TLE20" s="93"/>
      <c r="TLF20" s="30"/>
      <c r="TLK20" s="93"/>
      <c r="TLL20" s="30"/>
      <c r="TLQ20" s="93"/>
      <c r="TLR20" s="30"/>
      <c r="TLW20" s="93"/>
      <c r="TLX20" s="30"/>
      <c r="TMC20" s="93"/>
      <c r="TMD20" s="30"/>
      <c r="TMI20" s="93"/>
      <c r="TMJ20" s="30"/>
      <c r="TMO20" s="93"/>
      <c r="TMP20" s="30"/>
      <c r="TMU20" s="93"/>
      <c r="TMV20" s="30"/>
      <c r="TNA20" s="93"/>
      <c r="TNB20" s="30"/>
      <c r="TNG20" s="93"/>
      <c r="TNH20" s="30"/>
      <c r="TNM20" s="93"/>
      <c r="TNN20" s="30"/>
      <c r="TNS20" s="93"/>
      <c r="TNT20" s="30"/>
      <c r="TNY20" s="93"/>
      <c r="TNZ20" s="30"/>
      <c r="TOE20" s="93"/>
      <c r="TOF20" s="30"/>
      <c r="TOK20" s="93"/>
      <c r="TOL20" s="30"/>
      <c r="TOQ20" s="93"/>
      <c r="TOR20" s="30"/>
      <c r="TOW20" s="93"/>
      <c r="TOX20" s="30"/>
      <c r="TPC20" s="93"/>
      <c r="TPD20" s="30"/>
      <c r="TPI20" s="93"/>
      <c r="TPJ20" s="30"/>
      <c r="TPO20" s="93"/>
      <c r="TPP20" s="30"/>
      <c r="TPU20" s="93"/>
      <c r="TPV20" s="30"/>
      <c r="TQA20" s="93"/>
      <c r="TQB20" s="30"/>
      <c r="TQG20" s="93"/>
      <c r="TQH20" s="30"/>
      <c r="TQM20" s="93"/>
      <c r="TQN20" s="30"/>
      <c r="TQS20" s="93"/>
      <c r="TQT20" s="30"/>
      <c r="TQY20" s="93"/>
      <c r="TQZ20" s="30"/>
      <c r="TRE20" s="93"/>
      <c r="TRF20" s="30"/>
      <c r="TRK20" s="93"/>
      <c r="TRL20" s="30"/>
      <c r="TRQ20" s="93"/>
      <c r="TRR20" s="30"/>
      <c r="TRW20" s="93"/>
      <c r="TRX20" s="30"/>
      <c r="TSC20" s="93"/>
      <c r="TSD20" s="30"/>
      <c r="TSI20" s="93"/>
      <c r="TSJ20" s="30"/>
      <c r="TSO20" s="93"/>
      <c r="TSP20" s="30"/>
      <c r="TSU20" s="93"/>
      <c r="TSV20" s="30"/>
      <c r="TTA20" s="93"/>
      <c r="TTB20" s="30"/>
      <c r="TTG20" s="93"/>
      <c r="TTH20" s="30"/>
      <c r="TTM20" s="93"/>
      <c r="TTN20" s="30"/>
      <c r="TTS20" s="93"/>
      <c r="TTT20" s="30"/>
      <c r="TTY20" s="93"/>
      <c r="TTZ20" s="30"/>
      <c r="TUE20" s="93"/>
      <c r="TUF20" s="30"/>
      <c r="TUK20" s="93"/>
      <c r="TUL20" s="30"/>
      <c r="TUQ20" s="93"/>
      <c r="TUR20" s="30"/>
      <c r="TUW20" s="93"/>
      <c r="TUX20" s="30"/>
      <c r="TVC20" s="93"/>
      <c r="TVD20" s="30"/>
      <c r="TVI20" s="93"/>
      <c r="TVJ20" s="30"/>
      <c r="TVO20" s="93"/>
      <c r="TVP20" s="30"/>
      <c r="TVU20" s="93"/>
      <c r="TVV20" s="30"/>
      <c r="TWA20" s="93"/>
      <c r="TWB20" s="30"/>
      <c r="TWG20" s="93"/>
      <c r="TWH20" s="30"/>
      <c r="TWM20" s="93"/>
      <c r="TWN20" s="30"/>
      <c r="TWS20" s="93"/>
      <c r="TWT20" s="30"/>
      <c r="TWY20" s="93"/>
      <c r="TWZ20" s="30"/>
      <c r="TXE20" s="93"/>
      <c r="TXF20" s="30"/>
      <c r="TXK20" s="93"/>
      <c r="TXL20" s="30"/>
      <c r="TXQ20" s="93"/>
      <c r="TXR20" s="30"/>
      <c r="TXW20" s="93"/>
      <c r="TXX20" s="30"/>
      <c r="TYC20" s="93"/>
      <c r="TYD20" s="30"/>
      <c r="TYI20" s="93"/>
      <c r="TYJ20" s="30"/>
      <c r="TYO20" s="93"/>
      <c r="TYP20" s="30"/>
      <c r="TYU20" s="93"/>
      <c r="TYV20" s="30"/>
      <c r="TZA20" s="93"/>
      <c r="TZB20" s="30"/>
      <c r="TZG20" s="93"/>
      <c r="TZH20" s="30"/>
      <c r="TZM20" s="93"/>
      <c r="TZN20" s="30"/>
      <c r="TZS20" s="93"/>
      <c r="TZT20" s="30"/>
      <c r="TZY20" s="93"/>
      <c r="TZZ20" s="30"/>
      <c r="UAE20" s="93"/>
      <c r="UAF20" s="30"/>
      <c r="UAK20" s="93"/>
      <c r="UAL20" s="30"/>
      <c r="UAQ20" s="93"/>
      <c r="UAR20" s="30"/>
      <c r="UAW20" s="93"/>
      <c r="UAX20" s="30"/>
      <c r="UBC20" s="93"/>
      <c r="UBD20" s="30"/>
      <c r="UBI20" s="93"/>
      <c r="UBJ20" s="30"/>
      <c r="UBO20" s="93"/>
      <c r="UBP20" s="30"/>
      <c r="UBU20" s="93"/>
      <c r="UBV20" s="30"/>
      <c r="UCA20" s="93"/>
      <c r="UCB20" s="30"/>
      <c r="UCG20" s="93"/>
      <c r="UCH20" s="30"/>
      <c r="UCM20" s="93"/>
      <c r="UCN20" s="30"/>
      <c r="UCS20" s="93"/>
      <c r="UCT20" s="30"/>
      <c r="UCY20" s="93"/>
      <c r="UCZ20" s="30"/>
      <c r="UDE20" s="93"/>
      <c r="UDF20" s="30"/>
      <c r="UDK20" s="93"/>
      <c r="UDL20" s="30"/>
      <c r="UDQ20" s="93"/>
      <c r="UDR20" s="30"/>
      <c r="UDW20" s="93"/>
      <c r="UDX20" s="30"/>
      <c r="UEC20" s="93"/>
      <c r="UED20" s="30"/>
      <c r="UEI20" s="93"/>
      <c r="UEJ20" s="30"/>
      <c r="UEO20" s="93"/>
      <c r="UEP20" s="30"/>
      <c r="UEU20" s="93"/>
      <c r="UEV20" s="30"/>
      <c r="UFA20" s="93"/>
      <c r="UFB20" s="30"/>
      <c r="UFG20" s="93"/>
      <c r="UFH20" s="30"/>
      <c r="UFM20" s="93"/>
      <c r="UFN20" s="30"/>
      <c r="UFS20" s="93"/>
      <c r="UFT20" s="30"/>
      <c r="UFY20" s="93"/>
      <c r="UFZ20" s="30"/>
      <c r="UGE20" s="93"/>
      <c r="UGF20" s="30"/>
      <c r="UGK20" s="93"/>
      <c r="UGL20" s="30"/>
      <c r="UGQ20" s="93"/>
      <c r="UGR20" s="30"/>
      <c r="UGW20" s="93"/>
      <c r="UGX20" s="30"/>
      <c r="UHC20" s="93"/>
      <c r="UHD20" s="30"/>
      <c r="UHI20" s="93"/>
      <c r="UHJ20" s="30"/>
      <c r="UHO20" s="93"/>
      <c r="UHP20" s="30"/>
      <c r="UHU20" s="93"/>
      <c r="UHV20" s="30"/>
      <c r="UIA20" s="93"/>
      <c r="UIB20" s="30"/>
      <c r="UIG20" s="93"/>
      <c r="UIH20" s="30"/>
      <c r="UIM20" s="93"/>
      <c r="UIN20" s="30"/>
      <c r="UIS20" s="93"/>
      <c r="UIT20" s="30"/>
      <c r="UIY20" s="93"/>
      <c r="UIZ20" s="30"/>
      <c r="UJE20" s="93"/>
      <c r="UJF20" s="30"/>
      <c r="UJK20" s="93"/>
      <c r="UJL20" s="30"/>
      <c r="UJQ20" s="93"/>
      <c r="UJR20" s="30"/>
      <c r="UJW20" s="93"/>
      <c r="UJX20" s="30"/>
      <c r="UKC20" s="93"/>
      <c r="UKD20" s="30"/>
      <c r="UKI20" s="93"/>
      <c r="UKJ20" s="30"/>
      <c r="UKO20" s="93"/>
      <c r="UKP20" s="30"/>
      <c r="UKU20" s="93"/>
      <c r="UKV20" s="30"/>
      <c r="ULA20" s="93"/>
      <c r="ULB20" s="30"/>
      <c r="ULG20" s="93"/>
      <c r="ULH20" s="30"/>
      <c r="ULM20" s="93"/>
      <c r="ULN20" s="30"/>
      <c r="ULS20" s="93"/>
      <c r="ULT20" s="30"/>
      <c r="ULY20" s="93"/>
      <c r="ULZ20" s="30"/>
      <c r="UME20" s="93"/>
      <c r="UMF20" s="30"/>
      <c r="UMK20" s="93"/>
      <c r="UML20" s="30"/>
      <c r="UMQ20" s="93"/>
      <c r="UMR20" s="30"/>
      <c r="UMW20" s="93"/>
      <c r="UMX20" s="30"/>
      <c r="UNC20" s="93"/>
      <c r="UND20" s="30"/>
      <c r="UNI20" s="93"/>
      <c r="UNJ20" s="30"/>
      <c r="UNO20" s="93"/>
      <c r="UNP20" s="30"/>
      <c r="UNU20" s="93"/>
      <c r="UNV20" s="30"/>
      <c r="UOA20" s="93"/>
      <c r="UOB20" s="30"/>
      <c r="UOG20" s="93"/>
      <c r="UOH20" s="30"/>
      <c r="UOM20" s="93"/>
      <c r="UON20" s="30"/>
      <c r="UOS20" s="93"/>
      <c r="UOT20" s="30"/>
      <c r="UOY20" s="93"/>
      <c r="UOZ20" s="30"/>
      <c r="UPE20" s="93"/>
      <c r="UPF20" s="30"/>
      <c r="UPK20" s="93"/>
      <c r="UPL20" s="30"/>
      <c r="UPQ20" s="93"/>
      <c r="UPR20" s="30"/>
      <c r="UPW20" s="93"/>
      <c r="UPX20" s="30"/>
      <c r="UQC20" s="93"/>
      <c r="UQD20" s="30"/>
      <c r="UQI20" s="93"/>
      <c r="UQJ20" s="30"/>
      <c r="UQO20" s="93"/>
      <c r="UQP20" s="30"/>
      <c r="UQU20" s="93"/>
      <c r="UQV20" s="30"/>
      <c r="URA20" s="93"/>
      <c r="URB20" s="30"/>
      <c r="URG20" s="93"/>
      <c r="URH20" s="30"/>
      <c r="URM20" s="93"/>
      <c r="URN20" s="30"/>
      <c r="URS20" s="93"/>
      <c r="URT20" s="30"/>
      <c r="URY20" s="93"/>
      <c r="URZ20" s="30"/>
      <c r="USE20" s="93"/>
      <c r="USF20" s="30"/>
      <c r="USK20" s="93"/>
      <c r="USL20" s="30"/>
      <c r="USQ20" s="93"/>
      <c r="USR20" s="30"/>
      <c r="USW20" s="93"/>
      <c r="USX20" s="30"/>
      <c r="UTC20" s="93"/>
      <c r="UTD20" s="30"/>
      <c r="UTI20" s="93"/>
      <c r="UTJ20" s="30"/>
      <c r="UTO20" s="93"/>
      <c r="UTP20" s="30"/>
      <c r="UTU20" s="93"/>
      <c r="UTV20" s="30"/>
      <c r="UUA20" s="93"/>
      <c r="UUB20" s="30"/>
      <c r="UUG20" s="93"/>
      <c r="UUH20" s="30"/>
      <c r="UUM20" s="93"/>
      <c r="UUN20" s="30"/>
      <c r="UUS20" s="93"/>
      <c r="UUT20" s="30"/>
      <c r="UUY20" s="93"/>
      <c r="UUZ20" s="30"/>
      <c r="UVE20" s="93"/>
      <c r="UVF20" s="30"/>
      <c r="UVK20" s="93"/>
      <c r="UVL20" s="30"/>
      <c r="UVQ20" s="93"/>
      <c r="UVR20" s="30"/>
      <c r="UVW20" s="93"/>
      <c r="UVX20" s="30"/>
      <c r="UWC20" s="93"/>
      <c r="UWD20" s="30"/>
      <c r="UWI20" s="93"/>
      <c r="UWJ20" s="30"/>
      <c r="UWO20" s="93"/>
      <c r="UWP20" s="30"/>
      <c r="UWU20" s="93"/>
      <c r="UWV20" s="30"/>
      <c r="UXA20" s="93"/>
      <c r="UXB20" s="30"/>
      <c r="UXG20" s="93"/>
      <c r="UXH20" s="30"/>
      <c r="UXM20" s="93"/>
      <c r="UXN20" s="30"/>
      <c r="UXS20" s="93"/>
      <c r="UXT20" s="30"/>
      <c r="UXY20" s="93"/>
      <c r="UXZ20" s="30"/>
      <c r="UYE20" s="93"/>
      <c r="UYF20" s="30"/>
      <c r="UYK20" s="93"/>
      <c r="UYL20" s="30"/>
      <c r="UYQ20" s="93"/>
      <c r="UYR20" s="30"/>
      <c r="UYW20" s="93"/>
      <c r="UYX20" s="30"/>
      <c r="UZC20" s="93"/>
      <c r="UZD20" s="30"/>
      <c r="UZI20" s="93"/>
      <c r="UZJ20" s="30"/>
      <c r="UZO20" s="93"/>
      <c r="UZP20" s="30"/>
      <c r="UZU20" s="93"/>
      <c r="UZV20" s="30"/>
      <c r="VAA20" s="93"/>
      <c r="VAB20" s="30"/>
      <c r="VAG20" s="93"/>
      <c r="VAH20" s="30"/>
      <c r="VAM20" s="93"/>
      <c r="VAN20" s="30"/>
      <c r="VAS20" s="93"/>
      <c r="VAT20" s="30"/>
      <c r="VAY20" s="93"/>
      <c r="VAZ20" s="30"/>
      <c r="VBE20" s="93"/>
      <c r="VBF20" s="30"/>
      <c r="VBK20" s="93"/>
      <c r="VBL20" s="30"/>
      <c r="VBQ20" s="93"/>
      <c r="VBR20" s="30"/>
      <c r="VBW20" s="93"/>
      <c r="VBX20" s="30"/>
      <c r="VCC20" s="93"/>
      <c r="VCD20" s="30"/>
      <c r="VCI20" s="93"/>
      <c r="VCJ20" s="30"/>
      <c r="VCO20" s="93"/>
      <c r="VCP20" s="30"/>
      <c r="VCU20" s="93"/>
      <c r="VCV20" s="30"/>
      <c r="VDA20" s="93"/>
      <c r="VDB20" s="30"/>
      <c r="VDG20" s="93"/>
      <c r="VDH20" s="30"/>
      <c r="VDM20" s="93"/>
      <c r="VDN20" s="30"/>
      <c r="VDS20" s="93"/>
      <c r="VDT20" s="30"/>
      <c r="VDY20" s="93"/>
      <c r="VDZ20" s="30"/>
      <c r="VEE20" s="93"/>
      <c r="VEF20" s="30"/>
      <c r="VEK20" s="93"/>
      <c r="VEL20" s="30"/>
      <c r="VEQ20" s="93"/>
      <c r="VER20" s="30"/>
      <c r="VEW20" s="93"/>
      <c r="VEX20" s="30"/>
      <c r="VFC20" s="93"/>
      <c r="VFD20" s="30"/>
      <c r="VFI20" s="93"/>
      <c r="VFJ20" s="30"/>
      <c r="VFO20" s="93"/>
      <c r="VFP20" s="30"/>
      <c r="VFU20" s="93"/>
      <c r="VFV20" s="30"/>
      <c r="VGA20" s="93"/>
      <c r="VGB20" s="30"/>
      <c r="VGG20" s="93"/>
      <c r="VGH20" s="30"/>
      <c r="VGM20" s="93"/>
      <c r="VGN20" s="30"/>
      <c r="VGS20" s="93"/>
      <c r="VGT20" s="30"/>
      <c r="VGY20" s="93"/>
      <c r="VGZ20" s="30"/>
      <c r="VHE20" s="93"/>
      <c r="VHF20" s="30"/>
      <c r="VHK20" s="93"/>
      <c r="VHL20" s="30"/>
      <c r="VHQ20" s="93"/>
      <c r="VHR20" s="30"/>
      <c r="VHW20" s="93"/>
      <c r="VHX20" s="30"/>
      <c r="VIC20" s="93"/>
      <c r="VID20" s="30"/>
      <c r="VII20" s="93"/>
      <c r="VIJ20" s="30"/>
      <c r="VIO20" s="93"/>
      <c r="VIP20" s="30"/>
      <c r="VIU20" s="93"/>
      <c r="VIV20" s="30"/>
      <c r="VJA20" s="93"/>
      <c r="VJB20" s="30"/>
      <c r="VJG20" s="93"/>
      <c r="VJH20" s="30"/>
      <c r="VJM20" s="93"/>
      <c r="VJN20" s="30"/>
      <c r="VJS20" s="93"/>
      <c r="VJT20" s="30"/>
      <c r="VJY20" s="93"/>
      <c r="VJZ20" s="30"/>
      <c r="VKE20" s="93"/>
      <c r="VKF20" s="30"/>
      <c r="VKK20" s="93"/>
      <c r="VKL20" s="30"/>
      <c r="VKQ20" s="93"/>
      <c r="VKR20" s="30"/>
      <c r="VKW20" s="93"/>
      <c r="VKX20" s="30"/>
      <c r="VLC20" s="93"/>
      <c r="VLD20" s="30"/>
      <c r="VLI20" s="93"/>
      <c r="VLJ20" s="30"/>
      <c r="VLO20" s="93"/>
      <c r="VLP20" s="30"/>
      <c r="VLU20" s="93"/>
      <c r="VLV20" s="30"/>
      <c r="VMA20" s="93"/>
      <c r="VMB20" s="30"/>
      <c r="VMG20" s="93"/>
      <c r="VMH20" s="30"/>
      <c r="VMM20" s="93"/>
      <c r="VMN20" s="30"/>
      <c r="VMS20" s="93"/>
      <c r="VMT20" s="30"/>
      <c r="VMY20" s="93"/>
      <c r="VMZ20" s="30"/>
      <c r="VNE20" s="93"/>
      <c r="VNF20" s="30"/>
      <c r="VNK20" s="93"/>
      <c r="VNL20" s="30"/>
      <c r="VNQ20" s="93"/>
      <c r="VNR20" s="30"/>
      <c r="VNW20" s="93"/>
      <c r="VNX20" s="30"/>
      <c r="VOC20" s="93"/>
      <c r="VOD20" s="30"/>
      <c r="VOI20" s="93"/>
      <c r="VOJ20" s="30"/>
      <c r="VOO20" s="93"/>
      <c r="VOP20" s="30"/>
      <c r="VOU20" s="93"/>
      <c r="VOV20" s="30"/>
      <c r="VPA20" s="93"/>
      <c r="VPB20" s="30"/>
      <c r="VPG20" s="93"/>
      <c r="VPH20" s="30"/>
      <c r="VPM20" s="93"/>
      <c r="VPN20" s="30"/>
      <c r="VPS20" s="93"/>
      <c r="VPT20" s="30"/>
      <c r="VPY20" s="93"/>
      <c r="VPZ20" s="30"/>
      <c r="VQE20" s="93"/>
      <c r="VQF20" s="30"/>
      <c r="VQK20" s="93"/>
      <c r="VQL20" s="30"/>
      <c r="VQQ20" s="93"/>
      <c r="VQR20" s="30"/>
      <c r="VQW20" s="93"/>
      <c r="VQX20" s="30"/>
      <c r="VRC20" s="93"/>
      <c r="VRD20" s="30"/>
      <c r="VRI20" s="93"/>
      <c r="VRJ20" s="30"/>
      <c r="VRO20" s="93"/>
      <c r="VRP20" s="30"/>
      <c r="VRU20" s="93"/>
      <c r="VRV20" s="30"/>
      <c r="VSA20" s="93"/>
      <c r="VSB20" s="30"/>
      <c r="VSG20" s="93"/>
      <c r="VSH20" s="30"/>
      <c r="VSM20" s="93"/>
      <c r="VSN20" s="30"/>
      <c r="VSS20" s="93"/>
      <c r="VST20" s="30"/>
      <c r="VSY20" s="93"/>
      <c r="VSZ20" s="30"/>
      <c r="VTE20" s="93"/>
      <c r="VTF20" s="30"/>
      <c r="VTK20" s="93"/>
      <c r="VTL20" s="30"/>
      <c r="VTQ20" s="93"/>
      <c r="VTR20" s="30"/>
      <c r="VTW20" s="93"/>
      <c r="VTX20" s="30"/>
      <c r="VUC20" s="93"/>
      <c r="VUD20" s="30"/>
      <c r="VUI20" s="93"/>
      <c r="VUJ20" s="30"/>
      <c r="VUO20" s="93"/>
      <c r="VUP20" s="30"/>
      <c r="VUU20" s="93"/>
      <c r="VUV20" s="30"/>
      <c r="VVA20" s="93"/>
      <c r="VVB20" s="30"/>
      <c r="VVG20" s="93"/>
      <c r="VVH20" s="30"/>
      <c r="VVM20" s="93"/>
      <c r="VVN20" s="30"/>
      <c r="VVS20" s="93"/>
      <c r="VVT20" s="30"/>
      <c r="VVY20" s="93"/>
      <c r="VVZ20" s="30"/>
      <c r="VWE20" s="93"/>
      <c r="VWF20" s="30"/>
      <c r="VWK20" s="93"/>
      <c r="VWL20" s="30"/>
      <c r="VWQ20" s="93"/>
      <c r="VWR20" s="30"/>
      <c r="VWW20" s="93"/>
      <c r="VWX20" s="30"/>
      <c r="VXC20" s="93"/>
      <c r="VXD20" s="30"/>
      <c r="VXI20" s="93"/>
      <c r="VXJ20" s="30"/>
      <c r="VXO20" s="93"/>
      <c r="VXP20" s="30"/>
      <c r="VXU20" s="93"/>
      <c r="VXV20" s="30"/>
      <c r="VYA20" s="93"/>
      <c r="VYB20" s="30"/>
      <c r="VYG20" s="93"/>
      <c r="VYH20" s="30"/>
      <c r="VYM20" s="93"/>
      <c r="VYN20" s="30"/>
      <c r="VYS20" s="93"/>
      <c r="VYT20" s="30"/>
      <c r="VYY20" s="93"/>
      <c r="VYZ20" s="30"/>
      <c r="VZE20" s="93"/>
      <c r="VZF20" s="30"/>
      <c r="VZK20" s="93"/>
      <c r="VZL20" s="30"/>
      <c r="VZQ20" s="93"/>
      <c r="VZR20" s="30"/>
      <c r="VZW20" s="93"/>
      <c r="VZX20" s="30"/>
      <c r="WAC20" s="93"/>
      <c r="WAD20" s="30"/>
      <c r="WAI20" s="93"/>
      <c r="WAJ20" s="30"/>
      <c r="WAO20" s="93"/>
      <c r="WAP20" s="30"/>
      <c r="WAU20" s="93"/>
      <c r="WAV20" s="30"/>
      <c r="WBA20" s="93"/>
      <c r="WBB20" s="30"/>
      <c r="WBG20" s="93"/>
      <c r="WBH20" s="30"/>
      <c r="WBM20" s="93"/>
      <c r="WBN20" s="30"/>
      <c r="WBS20" s="93"/>
      <c r="WBT20" s="30"/>
      <c r="WBY20" s="93"/>
      <c r="WBZ20" s="30"/>
      <c r="WCE20" s="93"/>
      <c r="WCF20" s="30"/>
      <c r="WCK20" s="93"/>
      <c r="WCL20" s="30"/>
      <c r="WCQ20" s="93"/>
      <c r="WCR20" s="30"/>
      <c r="WCW20" s="93"/>
      <c r="WCX20" s="30"/>
      <c r="WDC20" s="93"/>
      <c r="WDD20" s="30"/>
      <c r="WDI20" s="93"/>
      <c r="WDJ20" s="30"/>
      <c r="WDO20" s="93"/>
      <c r="WDP20" s="30"/>
      <c r="WDU20" s="93"/>
      <c r="WDV20" s="30"/>
      <c r="WEA20" s="93"/>
      <c r="WEB20" s="30"/>
      <c r="WEG20" s="93"/>
      <c r="WEH20" s="30"/>
      <c r="WEM20" s="93"/>
      <c r="WEN20" s="30"/>
      <c r="WES20" s="93"/>
      <c r="WET20" s="30"/>
      <c r="WEY20" s="93"/>
      <c r="WEZ20" s="30"/>
      <c r="WFE20" s="93"/>
      <c r="WFF20" s="30"/>
      <c r="WFK20" s="93"/>
      <c r="WFL20" s="30"/>
      <c r="WFQ20" s="93"/>
      <c r="WFR20" s="30"/>
      <c r="WFW20" s="93"/>
      <c r="WFX20" s="30"/>
      <c r="WGC20" s="93"/>
      <c r="WGD20" s="30"/>
      <c r="WGI20" s="93"/>
      <c r="WGJ20" s="30"/>
      <c r="WGO20" s="93"/>
      <c r="WGP20" s="30"/>
      <c r="WGU20" s="93"/>
      <c r="WGV20" s="30"/>
      <c r="WHA20" s="93"/>
      <c r="WHB20" s="30"/>
      <c r="WHG20" s="93"/>
      <c r="WHH20" s="30"/>
      <c r="WHM20" s="93"/>
      <c r="WHN20" s="30"/>
      <c r="WHS20" s="93"/>
      <c r="WHT20" s="30"/>
      <c r="WHY20" s="93"/>
      <c r="WHZ20" s="30"/>
      <c r="WIE20" s="93"/>
      <c r="WIF20" s="30"/>
      <c r="WIK20" s="93"/>
      <c r="WIL20" s="30"/>
      <c r="WIQ20" s="93"/>
      <c r="WIR20" s="30"/>
      <c r="WIW20" s="93"/>
      <c r="WIX20" s="30"/>
      <c r="WJC20" s="93"/>
      <c r="WJD20" s="30"/>
      <c r="WJI20" s="93"/>
      <c r="WJJ20" s="30"/>
      <c r="WJO20" s="93"/>
      <c r="WJP20" s="30"/>
      <c r="WJU20" s="93"/>
      <c r="WJV20" s="30"/>
      <c r="WKA20" s="93"/>
      <c r="WKB20" s="30"/>
      <c r="WKG20" s="93"/>
      <c r="WKH20" s="30"/>
      <c r="WKM20" s="93"/>
      <c r="WKN20" s="30"/>
      <c r="WKS20" s="93"/>
      <c r="WKT20" s="30"/>
      <c r="WKY20" s="93"/>
      <c r="WKZ20" s="30"/>
      <c r="WLE20" s="93"/>
      <c r="WLF20" s="30"/>
      <c r="WLK20" s="93"/>
      <c r="WLL20" s="30"/>
      <c r="WLQ20" s="93"/>
      <c r="WLR20" s="30"/>
      <c r="WLW20" s="93"/>
      <c r="WLX20" s="30"/>
      <c r="WMC20" s="93"/>
      <c r="WMD20" s="30"/>
      <c r="WMI20" s="93"/>
      <c r="WMJ20" s="30"/>
      <c r="WMO20" s="93"/>
      <c r="WMP20" s="30"/>
      <c r="WMU20" s="93"/>
      <c r="WMV20" s="30"/>
      <c r="WNA20" s="93"/>
      <c r="WNB20" s="30"/>
      <c r="WNG20" s="93"/>
      <c r="WNH20" s="30"/>
      <c r="WNM20" s="93"/>
      <c r="WNN20" s="30"/>
      <c r="WNS20" s="93"/>
      <c r="WNT20" s="30"/>
      <c r="WNY20" s="93"/>
      <c r="WNZ20" s="30"/>
      <c r="WOE20" s="93"/>
      <c r="WOF20" s="30"/>
      <c r="WOK20" s="93"/>
      <c r="WOL20" s="30"/>
      <c r="WOQ20" s="93"/>
      <c r="WOR20" s="30"/>
      <c r="WOW20" s="93"/>
      <c r="WOX20" s="30"/>
      <c r="WPC20" s="93"/>
      <c r="WPD20" s="30"/>
      <c r="WPI20" s="93"/>
      <c r="WPJ20" s="30"/>
      <c r="WPO20" s="93"/>
      <c r="WPP20" s="30"/>
      <c r="WPU20" s="93"/>
      <c r="WPV20" s="30"/>
      <c r="WQA20" s="93"/>
      <c r="WQB20" s="30"/>
      <c r="WQG20" s="93"/>
      <c r="WQH20" s="30"/>
      <c r="WQM20" s="93"/>
      <c r="WQN20" s="30"/>
      <c r="WQS20" s="93"/>
      <c r="WQT20" s="30"/>
      <c r="WQY20" s="93"/>
      <c r="WQZ20" s="30"/>
      <c r="WRE20" s="93"/>
      <c r="WRF20" s="30"/>
      <c r="WRK20" s="93"/>
      <c r="WRL20" s="30"/>
      <c r="WRQ20" s="93"/>
      <c r="WRR20" s="30"/>
      <c r="WRW20" s="93"/>
      <c r="WRX20" s="30"/>
      <c r="WSC20" s="93"/>
      <c r="WSD20" s="30"/>
      <c r="WSI20" s="93"/>
      <c r="WSJ20" s="30"/>
      <c r="WSO20" s="93"/>
      <c r="WSP20" s="30"/>
      <c r="WSU20" s="93"/>
      <c r="WSV20" s="30"/>
      <c r="WTA20" s="93"/>
      <c r="WTB20" s="30"/>
      <c r="WTG20" s="93"/>
      <c r="WTH20" s="30"/>
      <c r="WTM20" s="93"/>
      <c r="WTN20" s="30"/>
      <c r="WTS20" s="93"/>
      <c r="WTT20" s="30"/>
      <c r="WTY20" s="93"/>
      <c r="WTZ20" s="30"/>
      <c r="WUE20" s="93"/>
      <c r="WUF20" s="30"/>
      <c r="WUK20" s="93"/>
      <c r="WUL20" s="30"/>
      <c r="WUQ20" s="93"/>
      <c r="WUR20" s="30"/>
      <c r="WUW20" s="93"/>
      <c r="WUX20" s="30"/>
      <c r="WVC20" s="93"/>
      <c r="WVD20" s="30"/>
      <c r="WVI20" s="93"/>
      <c r="WVJ20" s="30"/>
      <c r="WVO20" s="93"/>
      <c r="WVP20" s="30"/>
      <c r="WVU20" s="93"/>
      <c r="WVV20" s="30"/>
      <c r="WWA20" s="93"/>
      <c r="WWB20" s="30"/>
      <c r="WWG20" s="93"/>
      <c r="WWH20" s="30"/>
      <c r="WWM20" s="93"/>
      <c r="WWN20" s="30"/>
      <c r="WWS20" s="93"/>
      <c r="WWT20" s="30"/>
      <c r="WWY20" s="93"/>
      <c r="WWZ20" s="30"/>
      <c r="WXE20" s="93"/>
      <c r="WXF20" s="30"/>
      <c r="WXK20" s="93"/>
      <c r="WXL20" s="30"/>
      <c r="WXQ20" s="93"/>
      <c r="WXR20" s="30"/>
      <c r="WXW20" s="93"/>
      <c r="WXX20" s="30"/>
      <c r="WYC20" s="93"/>
      <c r="WYD20" s="30"/>
      <c r="WYI20" s="93"/>
      <c r="WYJ20" s="30"/>
      <c r="WYO20" s="93"/>
      <c r="WYP20" s="30"/>
      <c r="WYU20" s="93"/>
      <c r="WYV20" s="30"/>
      <c r="WZA20" s="93"/>
      <c r="WZB20" s="30"/>
      <c r="WZG20" s="93"/>
      <c r="WZH20" s="30"/>
      <c r="WZM20" s="93"/>
      <c r="WZN20" s="30"/>
      <c r="WZS20" s="93"/>
      <c r="WZT20" s="30"/>
      <c r="WZY20" s="93"/>
      <c r="WZZ20" s="30"/>
      <c r="XAE20" s="93"/>
      <c r="XAF20" s="30"/>
      <c r="XAK20" s="93"/>
      <c r="XAL20" s="30"/>
      <c r="XAQ20" s="93"/>
      <c r="XAR20" s="30"/>
      <c r="XAW20" s="93"/>
      <c r="XAX20" s="30"/>
      <c r="XBC20" s="93"/>
      <c r="XBD20" s="30"/>
      <c r="XBI20" s="93"/>
      <c r="XBJ20" s="30"/>
      <c r="XBO20" s="93"/>
      <c r="XBP20" s="30"/>
      <c r="XBU20" s="93"/>
      <c r="XBV20" s="30"/>
      <c r="XCA20" s="93"/>
      <c r="XCB20" s="30"/>
      <c r="XCG20" s="93"/>
      <c r="XCH20" s="30"/>
      <c r="XCM20" s="93"/>
      <c r="XCN20" s="30"/>
      <c r="XCS20" s="93"/>
      <c r="XCT20" s="30"/>
      <c r="XCY20" s="93"/>
      <c r="XCZ20" s="30"/>
      <c r="XDE20" s="93"/>
      <c r="XDF20" s="30"/>
      <c r="XDK20" s="93"/>
      <c r="XDL20" s="30"/>
      <c r="XDQ20" s="93"/>
      <c r="XDR20" s="30"/>
      <c r="XDW20" s="93"/>
      <c r="XDX20" s="30"/>
      <c r="XEC20" s="93"/>
      <c r="XED20" s="30"/>
      <c r="XEI20" s="93"/>
      <c r="XEJ20" s="30"/>
      <c r="XEO20" s="93"/>
      <c r="XEP20" s="30"/>
      <c r="XEU20" s="93"/>
      <c r="XEV20" s="30"/>
      <c r="XFA20" s="93"/>
      <c r="XFB20" s="30"/>
    </row>
    <row r="21" spans="1:1022 1027:2048 2053:3068 3073:4094 4099:5120 5125:6140 6145:7166 7171:8192 8197:9212 9217:10238 10243:11264 11269:12284 12289:13310 13315:14336 14341:15356 15361:16382" s="8" customFormat="1" ht="16" x14ac:dyDescent="0.2">
      <c r="A21" s="93" t="s">
        <v>37</v>
      </c>
      <c r="B21" s="10" t="s">
        <v>572</v>
      </c>
      <c r="C21" s="9" t="s">
        <v>584</v>
      </c>
      <c r="D21" s="10"/>
      <c r="E21" s="10"/>
      <c r="F21" s="10"/>
      <c r="G21" s="10"/>
      <c r="H21" s="10"/>
      <c r="I21" s="10"/>
      <c r="J21" s="10"/>
      <c r="K21" s="10"/>
      <c r="L21" s="10"/>
      <c r="M21" s="93"/>
      <c r="N21" s="30"/>
      <c r="S21" s="93"/>
      <c r="T21" s="30"/>
      <c r="Y21" s="93"/>
      <c r="Z21" s="30"/>
      <c r="AE21" s="93"/>
      <c r="AF21" s="30"/>
      <c r="AK21" s="93"/>
      <c r="AL21" s="30"/>
      <c r="AQ21" s="93"/>
      <c r="AR21" s="30"/>
      <c r="AW21" s="93"/>
      <c r="AX21" s="30"/>
      <c r="BC21" s="93"/>
      <c r="BD21" s="30"/>
      <c r="BI21" s="93"/>
      <c r="BJ21" s="30"/>
      <c r="BO21" s="93"/>
      <c r="BP21" s="30"/>
      <c r="BU21" s="93"/>
      <c r="BV21" s="30"/>
      <c r="CA21" s="93"/>
      <c r="CB21" s="30"/>
      <c r="CG21" s="93"/>
      <c r="CH21" s="30"/>
      <c r="CM21" s="93"/>
      <c r="CN21" s="30"/>
      <c r="CS21" s="93"/>
      <c r="CT21" s="30"/>
      <c r="CY21" s="93"/>
      <c r="CZ21" s="30"/>
      <c r="DE21" s="93"/>
      <c r="DF21" s="30"/>
      <c r="DK21" s="93"/>
      <c r="DL21" s="30"/>
      <c r="DQ21" s="93"/>
      <c r="DR21" s="30"/>
      <c r="DW21" s="93"/>
      <c r="DX21" s="30"/>
      <c r="EC21" s="93"/>
      <c r="ED21" s="30"/>
      <c r="EI21" s="93"/>
      <c r="EJ21" s="30"/>
      <c r="EO21" s="93"/>
      <c r="EP21" s="30"/>
      <c r="EU21" s="93"/>
      <c r="EV21" s="30"/>
      <c r="FA21" s="93"/>
      <c r="FB21" s="30"/>
      <c r="FG21" s="93"/>
      <c r="FH21" s="30"/>
      <c r="FM21" s="93"/>
      <c r="FN21" s="30"/>
      <c r="FS21" s="93"/>
      <c r="FT21" s="30"/>
      <c r="FY21" s="93"/>
      <c r="FZ21" s="30"/>
      <c r="GE21" s="93"/>
      <c r="GF21" s="30"/>
      <c r="GK21" s="93"/>
      <c r="GL21" s="30"/>
      <c r="GQ21" s="93"/>
      <c r="GR21" s="30"/>
      <c r="GW21" s="93"/>
      <c r="GX21" s="30"/>
      <c r="HC21" s="93"/>
      <c r="HD21" s="30"/>
      <c r="HI21" s="93"/>
      <c r="HJ21" s="30"/>
      <c r="HO21" s="93"/>
      <c r="HP21" s="30"/>
      <c r="HU21" s="93"/>
      <c r="HV21" s="30"/>
      <c r="IA21" s="93"/>
      <c r="IB21" s="30"/>
      <c r="IG21" s="93"/>
      <c r="IH21" s="30"/>
      <c r="IM21" s="93"/>
      <c r="IN21" s="30"/>
      <c r="IS21" s="93"/>
      <c r="IT21" s="30"/>
      <c r="IY21" s="93"/>
      <c r="IZ21" s="30"/>
      <c r="JE21" s="93"/>
      <c r="JF21" s="30"/>
      <c r="JK21" s="93"/>
      <c r="JL21" s="30"/>
      <c r="JQ21" s="93"/>
      <c r="JR21" s="30"/>
      <c r="JW21" s="93"/>
      <c r="JX21" s="30"/>
      <c r="KC21" s="93"/>
      <c r="KD21" s="30"/>
      <c r="KI21" s="93"/>
      <c r="KJ21" s="30"/>
      <c r="KO21" s="93"/>
      <c r="KP21" s="30"/>
      <c r="KU21" s="93"/>
      <c r="KV21" s="30"/>
      <c r="LA21" s="93"/>
      <c r="LB21" s="30"/>
      <c r="LG21" s="93"/>
      <c r="LH21" s="30"/>
      <c r="LM21" s="93"/>
      <c r="LN21" s="30"/>
      <c r="LS21" s="93"/>
      <c r="LT21" s="30"/>
      <c r="LY21" s="93"/>
      <c r="LZ21" s="30"/>
      <c r="ME21" s="93"/>
      <c r="MF21" s="30"/>
      <c r="MK21" s="93"/>
      <c r="ML21" s="30"/>
      <c r="MQ21" s="93"/>
      <c r="MR21" s="30"/>
      <c r="MW21" s="93"/>
      <c r="MX21" s="30"/>
      <c r="NC21" s="93"/>
      <c r="ND21" s="30"/>
      <c r="NI21" s="93"/>
      <c r="NJ21" s="30"/>
      <c r="NO21" s="93"/>
      <c r="NP21" s="30"/>
      <c r="NU21" s="93"/>
      <c r="NV21" s="30"/>
      <c r="OA21" s="93"/>
      <c r="OB21" s="30"/>
      <c r="OG21" s="93"/>
      <c r="OH21" s="30"/>
      <c r="OM21" s="93"/>
      <c r="ON21" s="30"/>
      <c r="OS21" s="93"/>
      <c r="OT21" s="30"/>
      <c r="OY21" s="93"/>
      <c r="OZ21" s="30"/>
      <c r="PE21" s="93"/>
      <c r="PF21" s="30"/>
      <c r="PK21" s="93"/>
      <c r="PL21" s="30"/>
      <c r="PQ21" s="93"/>
      <c r="PR21" s="30"/>
      <c r="PW21" s="93"/>
      <c r="PX21" s="30"/>
      <c r="QC21" s="93"/>
      <c r="QD21" s="30"/>
      <c r="QI21" s="93"/>
      <c r="QJ21" s="30"/>
      <c r="QO21" s="93"/>
      <c r="QP21" s="30"/>
      <c r="QU21" s="93"/>
      <c r="QV21" s="30"/>
      <c r="RA21" s="93"/>
      <c r="RB21" s="30"/>
      <c r="RG21" s="93"/>
      <c r="RH21" s="30"/>
      <c r="RM21" s="93"/>
      <c r="RN21" s="30"/>
      <c r="RS21" s="93"/>
      <c r="RT21" s="30"/>
      <c r="RY21" s="93"/>
      <c r="RZ21" s="30"/>
      <c r="SE21" s="93"/>
      <c r="SF21" s="30"/>
      <c r="SK21" s="93"/>
      <c r="SL21" s="30"/>
      <c r="SQ21" s="93"/>
      <c r="SR21" s="30"/>
      <c r="SW21" s="93"/>
      <c r="SX21" s="30"/>
      <c r="TC21" s="93"/>
      <c r="TD21" s="30"/>
      <c r="TI21" s="93"/>
      <c r="TJ21" s="30"/>
      <c r="TO21" s="93"/>
      <c r="TP21" s="30"/>
      <c r="TU21" s="93"/>
      <c r="TV21" s="30"/>
      <c r="UA21" s="93"/>
      <c r="UB21" s="30"/>
      <c r="UG21" s="93"/>
      <c r="UH21" s="30"/>
      <c r="UM21" s="93"/>
      <c r="UN21" s="30"/>
      <c r="US21" s="93"/>
      <c r="UT21" s="30"/>
      <c r="UY21" s="93"/>
      <c r="UZ21" s="30"/>
      <c r="VE21" s="93"/>
      <c r="VF21" s="30"/>
      <c r="VK21" s="93"/>
      <c r="VL21" s="30"/>
      <c r="VQ21" s="93"/>
      <c r="VR21" s="30"/>
      <c r="VW21" s="93"/>
      <c r="VX21" s="30"/>
      <c r="WC21" s="93"/>
      <c r="WD21" s="30"/>
      <c r="WI21" s="93"/>
      <c r="WJ21" s="30"/>
      <c r="WO21" s="93"/>
      <c r="WP21" s="30"/>
      <c r="WU21" s="93"/>
      <c r="WV21" s="30"/>
      <c r="XA21" s="93"/>
      <c r="XB21" s="30"/>
      <c r="XG21" s="93"/>
      <c r="XH21" s="30"/>
      <c r="XM21" s="93"/>
      <c r="XN21" s="30"/>
      <c r="XS21" s="93"/>
      <c r="XT21" s="30"/>
      <c r="XY21" s="93"/>
      <c r="XZ21" s="30"/>
      <c r="YE21" s="93"/>
      <c r="YF21" s="30"/>
      <c r="YK21" s="93"/>
      <c r="YL21" s="30"/>
      <c r="YQ21" s="93"/>
      <c r="YR21" s="30"/>
      <c r="YW21" s="93"/>
      <c r="YX21" s="30"/>
      <c r="ZC21" s="93"/>
      <c r="ZD21" s="30"/>
      <c r="ZI21" s="93"/>
      <c r="ZJ21" s="30"/>
      <c r="ZO21" s="93"/>
      <c r="ZP21" s="30"/>
      <c r="ZU21" s="93"/>
      <c r="ZV21" s="30"/>
      <c r="AAA21" s="93"/>
      <c r="AAB21" s="30"/>
      <c r="AAG21" s="93"/>
      <c r="AAH21" s="30"/>
      <c r="AAM21" s="93"/>
      <c r="AAN21" s="30"/>
      <c r="AAS21" s="93"/>
      <c r="AAT21" s="30"/>
      <c r="AAY21" s="93"/>
      <c r="AAZ21" s="30"/>
      <c r="ABE21" s="93"/>
      <c r="ABF21" s="30"/>
      <c r="ABK21" s="93"/>
      <c r="ABL21" s="30"/>
      <c r="ABQ21" s="93"/>
      <c r="ABR21" s="30"/>
      <c r="ABW21" s="93"/>
      <c r="ABX21" s="30"/>
      <c r="ACC21" s="93"/>
      <c r="ACD21" s="30"/>
      <c r="ACI21" s="93"/>
      <c r="ACJ21" s="30"/>
      <c r="ACO21" s="93"/>
      <c r="ACP21" s="30"/>
      <c r="ACU21" s="93"/>
      <c r="ACV21" s="30"/>
      <c r="ADA21" s="93"/>
      <c r="ADB21" s="30"/>
      <c r="ADG21" s="93"/>
      <c r="ADH21" s="30"/>
      <c r="ADM21" s="93"/>
      <c r="ADN21" s="30"/>
      <c r="ADS21" s="93"/>
      <c r="ADT21" s="30"/>
      <c r="ADY21" s="93"/>
      <c r="ADZ21" s="30"/>
      <c r="AEE21" s="93"/>
      <c r="AEF21" s="30"/>
      <c r="AEK21" s="93"/>
      <c r="AEL21" s="30"/>
      <c r="AEQ21" s="93"/>
      <c r="AER21" s="30"/>
      <c r="AEW21" s="93"/>
      <c r="AEX21" s="30"/>
      <c r="AFC21" s="93"/>
      <c r="AFD21" s="30"/>
      <c r="AFI21" s="93"/>
      <c r="AFJ21" s="30"/>
      <c r="AFO21" s="93"/>
      <c r="AFP21" s="30"/>
      <c r="AFU21" s="93"/>
      <c r="AFV21" s="30"/>
      <c r="AGA21" s="93"/>
      <c r="AGB21" s="30"/>
      <c r="AGG21" s="93"/>
      <c r="AGH21" s="30"/>
      <c r="AGM21" s="93"/>
      <c r="AGN21" s="30"/>
      <c r="AGS21" s="93"/>
      <c r="AGT21" s="30"/>
      <c r="AGY21" s="93"/>
      <c r="AGZ21" s="30"/>
      <c r="AHE21" s="93"/>
      <c r="AHF21" s="30"/>
      <c r="AHK21" s="93"/>
      <c r="AHL21" s="30"/>
      <c r="AHQ21" s="93"/>
      <c r="AHR21" s="30"/>
      <c r="AHW21" s="93"/>
      <c r="AHX21" s="30"/>
      <c r="AIC21" s="93"/>
      <c r="AID21" s="30"/>
      <c r="AII21" s="93"/>
      <c r="AIJ21" s="30"/>
      <c r="AIO21" s="93"/>
      <c r="AIP21" s="30"/>
      <c r="AIU21" s="93"/>
      <c r="AIV21" s="30"/>
      <c r="AJA21" s="93"/>
      <c r="AJB21" s="30"/>
      <c r="AJG21" s="93"/>
      <c r="AJH21" s="30"/>
      <c r="AJM21" s="93"/>
      <c r="AJN21" s="30"/>
      <c r="AJS21" s="93"/>
      <c r="AJT21" s="30"/>
      <c r="AJY21" s="93"/>
      <c r="AJZ21" s="30"/>
      <c r="AKE21" s="93"/>
      <c r="AKF21" s="30"/>
      <c r="AKK21" s="93"/>
      <c r="AKL21" s="30"/>
      <c r="AKQ21" s="93"/>
      <c r="AKR21" s="30"/>
      <c r="AKW21" s="93"/>
      <c r="AKX21" s="30"/>
      <c r="ALC21" s="93"/>
      <c r="ALD21" s="30"/>
      <c r="ALI21" s="93"/>
      <c r="ALJ21" s="30"/>
      <c r="ALO21" s="93"/>
      <c r="ALP21" s="30"/>
      <c r="ALU21" s="93"/>
      <c r="ALV21" s="30"/>
      <c r="AMA21" s="93"/>
      <c r="AMB21" s="30"/>
      <c r="AMG21" s="93"/>
      <c r="AMH21" s="30"/>
      <c r="AMM21" s="93"/>
      <c r="AMN21" s="30"/>
      <c r="AMS21" s="93"/>
      <c r="AMT21" s="30"/>
      <c r="AMY21" s="93"/>
      <c r="AMZ21" s="30"/>
      <c r="ANE21" s="93"/>
      <c r="ANF21" s="30"/>
      <c r="ANK21" s="93"/>
      <c r="ANL21" s="30"/>
      <c r="ANQ21" s="93"/>
      <c r="ANR21" s="30"/>
      <c r="ANW21" s="93"/>
      <c r="ANX21" s="30"/>
      <c r="AOC21" s="93"/>
      <c r="AOD21" s="30"/>
      <c r="AOI21" s="93"/>
      <c r="AOJ21" s="30"/>
      <c r="AOO21" s="93"/>
      <c r="AOP21" s="30"/>
      <c r="AOU21" s="93"/>
      <c r="AOV21" s="30"/>
      <c r="APA21" s="93"/>
      <c r="APB21" s="30"/>
      <c r="APG21" s="93"/>
      <c r="APH21" s="30"/>
      <c r="APM21" s="93"/>
      <c r="APN21" s="30"/>
      <c r="APS21" s="93"/>
      <c r="APT21" s="30"/>
      <c r="APY21" s="93"/>
      <c r="APZ21" s="30"/>
      <c r="AQE21" s="93"/>
      <c r="AQF21" s="30"/>
      <c r="AQK21" s="93"/>
      <c r="AQL21" s="30"/>
      <c r="AQQ21" s="93"/>
      <c r="AQR21" s="30"/>
      <c r="AQW21" s="93"/>
      <c r="AQX21" s="30"/>
      <c r="ARC21" s="93"/>
      <c r="ARD21" s="30"/>
      <c r="ARI21" s="93"/>
      <c r="ARJ21" s="30"/>
      <c r="ARO21" s="93"/>
      <c r="ARP21" s="30"/>
      <c r="ARU21" s="93"/>
      <c r="ARV21" s="30"/>
      <c r="ASA21" s="93"/>
      <c r="ASB21" s="30"/>
      <c r="ASG21" s="93"/>
      <c r="ASH21" s="30"/>
      <c r="ASM21" s="93"/>
      <c r="ASN21" s="30"/>
      <c r="ASS21" s="93"/>
      <c r="AST21" s="30"/>
      <c r="ASY21" s="93"/>
      <c r="ASZ21" s="30"/>
      <c r="ATE21" s="93"/>
      <c r="ATF21" s="30"/>
      <c r="ATK21" s="93"/>
      <c r="ATL21" s="30"/>
      <c r="ATQ21" s="93"/>
      <c r="ATR21" s="30"/>
      <c r="ATW21" s="93"/>
      <c r="ATX21" s="30"/>
      <c r="AUC21" s="93"/>
      <c r="AUD21" s="30"/>
      <c r="AUI21" s="93"/>
      <c r="AUJ21" s="30"/>
      <c r="AUO21" s="93"/>
      <c r="AUP21" s="30"/>
      <c r="AUU21" s="93"/>
      <c r="AUV21" s="30"/>
      <c r="AVA21" s="93"/>
      <c r="AVB21" s="30"/>
      <c r="AVG21" s="93"/>
      <c r="AVH21" s="30"/>
      <c r="AVM21" s="93"/>
      <c r="AVN21" s="30"/>
      <c r="AVS21" s="93"/>
      <c r="AVT21" s="30"/>
      <c r="AVY21" s="93"/>
      <c r="AVZ21" s="30"/>
      <c r="AWE21" s="93"/>
      <c r="AWF21" s="30"/>
      <c r="AWK21" s="93"/>
      <c r="AWL21" s="30"/>
      <c r="AWQ21" s="93"/>
      <c r="AWR21" s="30"/>
      <c r="AWW21" s="93"/>
      <c r="AWX21" s="30"/>
      <c r="AXC21" s="93"/>
      <c r="AXD21" s="30"/>
      <c r="AXI21" s="93"/>
      <c r="AXJ21" s="30"/>
      <c r="AXO21" s="93"/>
      <c r="AXP21" s="30"/>
      <c r="AXU21" s="93"/>
      <c r="AXV21" s="30"/>
      <c r="AYA21" s="93"/>
      <c r="AYB21" s="30"/>
      <c r="AYG21" s="93"/>
      <c r="AYH21" s="30"/>
      <c r="AYM21" s="93"/>
      <c r="AYN21" s="30"/>
      <c r="AYS21" s="93"/>
      <c r="AYT21" s="30"/>
      <c r="AYY21" s="93"/>
      <c r="AYZ21" s="30"/>
      <c r="AZE21" s="93"/>
      <c r="AZF21" s="30"/>
      <c r="AZK21" s="93"/>
      <c r="AZL21" s="30"/>
      <c r="AZQ21" s="93"/>
      <c r="AZR21" s="30"/>
      <c r="AZW21" s="93"/>
      <c r="AZX21" s="30"/>
      <c r="BAC21" s="93"/>
      <c r="BAD21" s="30"/>
      <c r="BAI21" s="93"/>
      <c r="BAJ21" s="30"/>
      <c r="BAO21" s="93"/>
      <c r="BAP21" s="30"/>
      <c r="BAU21" s="93"/>
      <c r="BAV21" s="30"/>
      <c r="BBA21" s="93"/>
      <c r="BBB21" s="30"/>
      <c r="BBG21" s="93"/>
      <c r="BBH21" s="30"/>
      <c r="BBM21" s="93"/>
      <c r="BBN21" s="30"/>
      <c r="BBS21" s="93"/>
      <c r="BBT21" s="30"/>
      <c r="BBY21" s="93"/>
      <c r="BBZ21" s="30"/>
      <c r="BCE21" s="93"/>
      <c r="BCF21" s="30"/>
      <c r="BCK21" s="93"/>
      <c r="BCL21" s="30"/>
      <c r="BCQ21" s="93"/>
      <c r="BCR21" s="30"/>
      <c r="BCW21" s="93"/>
      <c r="BCX21" s="30"/>
      <c r="BDC21" s="93"/>
      <c r="BDD21" s="30"/>
      <c r="BDI21" s="93"/>
      <c r="BDJ21" s="30"/>
      <c r="BDO21" s="93"/>
      <c r="BDP21" s="30"/>
      <c r="BDU21" s="93"/>
      <c r="BDV21" s="30"/>
      <c r="BEA21" s="93"/>
      <c r="BEB21" s="30"/>
      <c r="BEG21" s="93"/>
      <c r="BEH21" s="30"/>
      <c r="BEM21" s="93"/>
      <c r="BEN21" s="30"/>
      <c r="BES21" s="93"/>
      <c r="BET21" s="30"/>
      <c r="BEY21" s="93"/>
      <c r="BEZ21" s="30"/>
      <c r="BFE21" s="93"/>
      <c r="BFF21" s="30"/>
      <c r="BFK21" s="93"/>
      <c r="BFL21" s="30"/>
      <c r="BFQ21" s="93"/>
      <c r="BFR21" s="30"/>
      <c r="BFW21" s="93"/>
      <c r="BFX21" s="30"/>
      <c r="BGC21" s="93"/>
      <c r="BGD21" s="30"/>
      <c r="BGI21" s="93"/>
      <c r="BGJ21" s="30"/>
      <c r="BGO21" s="93"/>
      <c r="BGP21" s="30"/>
      <c r="BGU21" s="93"/>
      <c r="BGV21" s="30"/>
      <c r="BHA21" s="93"/>
      <c r="BHB21" s="30"/>
      <c r="BHG21" s="93"/>
      <c r="BHH21" s="30"/>
      <c r="BHM21" s="93"/>
      <c r="BHN21" s="30"/>
      <c r="BHS21" s="93"/>
      <c r="BHT21" s="30"/>
      <c r="BHY21" s="93"/>
      <c r="BHZ21" s="30"/>
      <c r="BIE21" s="93"/>
      <c r="BIF21" s="30"/>
      <c r="BIK21" s="93"/>
      <c r="BIL21" s="30"/>
      <c r="BIQ21" s="93"/>
      <c r="BIR21" s="30"/>
      <c r="BIW21" s="93"/>
      <c r="BIX21" s="30"/>
      <c r="BJC21" s="93"/>
      <c r="BJD21" s="30"/>
      <c r="BJI21" s="93"/>
      <c r="BJJ21" s="30"/>
      <c r="BJO21" s="93"/>
      <c r="BJP21" s="30"/>
      <c r="BJU21" s="93"/>
      <c r="BJV21" s="30"/>
      <c r="BKA21" s="93"/>
      <c r="BKB21" s="30"/>
      <c r="BKG21" s="93"/>
      <c r="BKH21" s="30"/>
      <c r="BKM21" s="93"/>
      <c r="BKN21" s="30"/>
      <c r="BKS21" s="93"/>
      <c r="BKT21" s="30"/>
      <c r="BKY21" s="93"/>
      <c r="BKZ21" s="30"/>
      <c r="BLE21" s="93"/>
      <c r="BLF21" s="30"/>
      <c r="BLK21" s="93"/>
      <c r="BLL21" s="30"/>
      <c r="BLQ21" s="93"/>
      <c r="BLR21" s="30"/>
      <c r="BLW21" s="93"/>
      <c r="BLX21" s="30"/>
      <c r="BMC21" s="93"/>
      <c r="BMD21" s="30"/>
      <c r="BMI21" s="93"/>
      <c r="BMJ21" s="30"/>
      <c r="BMO21" s="93"/>
      <c r="BMP21" s="30"/>
      <c r="BMU21" s="93"/>
      <c r="BMV21" s="30"/>
      <c r="BNA21" s="93"/>
      <c r="BNB21" s="30"/>
      <c r="BNG21" s="93"/>
      <c r="BNH21" s="30"/>
      <c r="BNM21" s="93"/>
      <c r="BNN21" s="30"/>
      <c r="BNS21" s="93"/>
      <c r="BNT21" s="30"/>
      <c r="BNY21" s="93"/>
      <c r="BNZ21" s="30"/>
      <c r="BOE21" s="93"/>
      <c r="BOF21" s="30"/>
      <c r="BOK21" s="93"/>
      <c r="BOL21" s="30"/>
      <c r="BOQ21" s="93"/>
      <c r="BOR21" s="30"/>
      <c r="BOW21" s="93"/>
      <c r="BOX21" s="30"/>
      <c r="BPC21" s="93"/>
      <c r="BPD21" s="30"/>
      <c r="BPI21" s="93"/>
      <c r="BPJ21" s="30"/>
      <c r="BPO21" s="93"/>
      <c r="BPP21" s="30"/>
      <c r="BPU21" s="93"/>
      <c r="BPV21" s="30"/>
      <c r="BQA21" s="93"/>
      <c r="BQB21" s="30"/>
      <c r="BQG21" s="93"/>
      <c r="BQH21" s="30"/>
      <c r="BQM21" s="93"/>
      <c r="BQN21" s="30"/>
      <c r="BQS21" s="93"/>
      <c r="BQT21" s="30"/>
      <c r="BQY21" s="93"/>
      <c r="BQZ21" s="30"/>
      <c r="BRE21" s="93"/>
      <c r="BRF21" s="30"/>
      <c r="BRK21" s="93"/>
      <c r="BRL21" s="30"/>
      <c r="BRQ21" s="93"/>
      <c r="BRR21" s="30"/>
      <c r="BRW21" s="93"/>
      <c r="BRX21" s="30"/>
      <c r="BSC21" s="93"/>
      <c r="BSD21" s="30"/>
      <c r="BSI21" s="93"/>
      <c r="BSJ21" s="30"/>
      <c r="BSO21" s="93"/>
      <c r="BSP21" s="30"/>
      <c r="BSU21" s="93"/>
      <c r="BSV21" s="30"/>
      <c r="BTA21" s="93"/>
      <c r="BTB21" s="30"/>
      <c r="BTG21" s="93"/>
      <c r="BTH21" s="30"/>
      <c r="BTM21" s="93"/>
      <c r="BTN21" s="30"/>
      <c r="BTS21" s="93"/>
      <c r="BTT21" s="30"/>
      <c r="BTY21" s="93"/>
      <c r="BTZ21" s="30"/>
      <c r="BUE21" s="93"/>
      <c r="BUF21" s="30"/>
      <c r="BUK21" s="93"/>
      <c r="BUL21" s="30"/>
      <c r="BUQ21" s="93"/>
      <c r="BUR21" s="30"/>
      <c r="BUW21" s="93"/>
      <c r="BUX21" s="30"/>
      <c r="BVC21" s="93"/>
      <c r="BVD21" s="30"/>
      <c r="BVI21" s="93"/>
      <c r="BVJ21" s="30"/>
      <c r="BVO21" s="93"/>
      <c r="BVP21" s="30"/>
      <c r="BVU21" s="93"/>
      <c r="BVV21" s="30"/>
      <c r="BWA21" s="93"/>
      <c r="BWB21" s="30"/>
      <c r="BWG21" s="93"/>
      <c r="BWH21" s="30"/>
      <c r="BWM21" s="93"/>
      <c r="BWN21" s="30"/>
      <c r="BWS21" s="93"/>
      <c r="BWT21" s="30"/>
      <c r="BWY21" s="93"/>
      <c r="BWZ21" s="30"/>
      <c r="BXE21" s="93"/>
      <c r="BXF21" s="30"/>
      <c r="BXK21" s="93"/>
      <c r="BXL21" s="30"/>
      <c r="BXQ21" s="93"/>
      <c r="BXR21" s="30"/>
      <c r="BXW21" s="93"/>
      <c r="BXX21" s="30"/>
      <c r="BYC21" s="93"/>
      <c r="BYD21" s="30"/>
      <c r="BYI21" s="93"/>
      <c r="BYJ21" s="30"/>
      <c r="BYO21" s="93"/>
      <c r="BYP21" s="30"/>
      <c r="BYU21" s="93"/>
      <c r="BYV21" s="30"/>
      <c r="BZA21" s="93"/>
      <c r="BZB21" s="30"/>
      <c r="BZG21" s="93"/>
      <c r="BZH21" s="30"/>
      <c r="BZM21" s="93"/>
      <c r="BZN21" s="30"/>
      <c r="BZS21" s="93"/>
      <c r="BZT21" s="30"/>
      <c r="BZY21" s="93"/>
      <c r="BZZ21" s="30"/>
      <c r="CAE21" s="93"/>
      <c r="CAF21" s="30"/>
      <c r="CAK21" s="93"/>
      <c r="CAL21" s="30"/>
      <c r="CAQ21" s="93"/>
      <c r="CAR21" s="30"/>
      <c r="CAW21" s="93"/>
      <c r="CAX21" s="30"/>
      <c r="CBC21" s="93"/>
      <c r="CBD21" s="30"/>
      <c r="CBI21" s="93"/>
      <c r="CBJ21" s="30"/>
      <c r="CBO21" s="93"/>
      <c r="CBP21" s="30"/>
      <c r="CBU21" s="93"/>
      <c r="CBV21" s="30"/>
      <c r="CCA21" s="93"/>
      <c r="CCB21" s="30"/>
      <c r="CCG21" s="93"/>
      <c r="CCH21" s="30"/>
      <c r="CCM21" s="93"/>
      <c r="CCN21" s="30"/>
      <c r="CCS21" s="93"/>
      <c r="CCT21" s="30"/>
      <c r="CCY21" s="93"/>
      <c r="CCZ21" s="30"/>
      <c r="CDE21" s="93"/>
      <c r="CDF21" s="30"/>
      <c r="CDK21" s="93"/>
      <c r="CDL21" s="30"/>
      <c r="CDQ21" s="93"/>
      <c r="CDR21" s="30"/>
      <c r="CDW21" s="93"/>
      <c r="CDX21" s="30"/>
      <c r="CEC21" s="93"/>
      <c r="CED21" s="30"/>
      <c r="CEI21" s="93"/>
      <c r="CEJ21" s="30"/>
      <c r="CEO21" s="93"/>
      <c r="CEP21" s="30"/>
      <c r="CEU21" s="93"/>
      <c r="CEV21" s="30"/>
      <c r="CFA21" s="93"/>
      <c r="CFB21" s="30"/>
      <c r="CFG21" s="93"/>
      <c r="CFH21" s="30"/>
      <c r="CFM21" s="93"/>
      <c r="CFN21" s="30"/>
      <c r="CFS21" s="93"/>
      <c r="CFT21" s="30"/>
      <c r="CFY21" s="93"/>
      <c r="CFZ21" s="30"/>
      <c r="CGE21" s="93"/>
      <c r="CGF21" s="30"/>
      <c r="CGK21" s="93"/>
      <c r="CGL21" s="30"/>
      <c r="CGQ21" s="93"/>
      <c r="CGR21" s="30"/>
      <c r="CGW21" s="93"/>
      <c r="CGX21" s="30"/>
      <c r="CHC21" s="93"/>
      <c r="CHD21" s="30"/>
      <c r="CHI21" s="93"/>
      <c r="CHJ21" s="30"/>
      <c r="CHO21" s="93"/>
      <c r="CHP21" s="30"/>
      <c r="CHU21" s="93"/>
      <c r="CHV21" s="30"/>
      <c r="CIA21" s="93"/>
      <c r="CIB21" s="30"/>
      <c r="CIG21" s="93"/>
      <c r="CIH21" s="30"/>
      <c r="CIM21" s="93"/>
      <c r="CIN21" s="30"/>
      <c r="CIS21" s="93"/>
      <c r="CIT21" s="30"/>
      <c r="CIY21" s="93"/>
      <c r="CIZ21" s="30"/>
      <c r="CJE21" s="93"/>
      <c r="CJF21" s="30"/>
      <c r="CJK21" s="93"/>
      <c r="CJL21" s="30"/>
      <c r="CJQ21" s="93"/>
      <c r="CJR21" s="30"/>
      <c r="CJW21" s="93"/>
      <c r="CJX21" s="30"/>
      <c r="CKC21" s="93"/>
      <c r="CKD21" s="30"/>
      <c r="CKI21" s="93"/>
      <c r="CKJ21" s="30"/>
      <c r="CKO21" s="93"/>
      <c r="CKP21" s="30"/>
      <c r="CKU21" s="93"/>
      <c r="CKV21" s="30"/>
      <c r="CLA21" s="93"/>
      <c r="CLB21" s="30"/>
      <c r="CLG21" s="93"/>
      <c r="CLH21" s="30"/>
      <c r="CLM21" s="93"/>
      <c r="CLN21" s="30"/>
      <c r="CLS21" s="93"/>
      <c r="CLT21" s="30"/>
      <c r="CLY21" s="93"/>
      <c r="CLZ21" s="30"/>
      <c r="CME21" s="93"/>
      <c r="CMF21" s="30"/>
      <c r="CMK21" s="93"/>
      <c r="CML21" s="30"/>
      <c r="CMQ21" s="93"/>
      <c r="CMR21" s="30"/>
      <c r="CMW21" s="93"/>
      <c r="CMX21" s="30"/>
      <c r="CNC21" s="93"/>
      <c r="CND21" s="30"/>
      <c r="CNI21" s="93"/>
      <c r="CNJ21" s="30"/>
      <c r="CNO21" s="93"/>
      <c r="CNP21" s="30"/>
      <c r="CNU21" s="93"/>
      <c r="CNV21" s="30"/>
      <c r="COA21" s="93"/>
      <c r="COB21" s="30"/>
      <c r="COG21" s="93"/>
      <c r="COH21" s="30"/>
      <c r="COM21" s="93"/>
      <c r="CON21" s="30"/>
      <c r="COS21" s="93"/>
      <c r="COT21" s="30"/>
      <c r="COY21" s="93"/>
      <c r="COZ21" s="30"/>
      <c r="CPE21" s="93"/>
      <c r="CPF21" s="30"/>
      <c r="CPK21" s="93"/>
      <c r="CPL21" s="30"/>
      <c r="CPQ21" s="93"/>
      <c r="CPR21" s="30"/>
      <c r="CPW21" s="93"/>
      <c r="CPX21" s="30"/>
      <c r="CQC21" s="93"/>
      <c r="CQD21" s="30"/>
      <c r="CQI21" s="93"/>
      <c r="CQJ21" s="30"/>
      <c r="CQO21" s="93"/>
      <c r="CQP21" s="30"/>
      <c r="CQU21" s="93"/>
      <c r="CQV21" s="30"/>
      <c r="CRA21" s="93"/>
      <c r="CRB21" s="30"/>
      <c r="CRG21" s="93"/>
      <c r="CRH21" s="30"/>
      <c r="CRM21" s="93"/>
      <c r="CRN21" s="30"/>
      <c r="CRS21" s="93"/>
      <c r="CRT21" s="30"/>
      <c r="CRY21" s="93"/>
      <c r="CRZ21" s="30"/>
      <c r="CSE21" s="93"/>
      <c r="CSF21" s="30"/>
      <c r="CSK21" s="93"/>
      <c r="CSL21" s="30"/>
      <c r="CSQ21" s="93"/>
      <c r="CSR21" s="30"/>
      <c r="CSW21" s="93"/>
      <c r="CSX21" s="30"/>
      <c r="CTC21" s="93"/>
      <c r="CTD21" s="30"/>
      <c r="CTI21" s="93"/>
      <c r="CTJ21" s="30"/>
      <c r="CTO21" s="93"/>
      <c r="CTP21" s="30"/>
      <c r="CTU21" s="93"/>
      <c r="CTV21" s="30"/>
      <c r="CUA21" s="93"/>
      <c r="CUB21" s="30"/>
      <c r="CUG21" s="93"/>
      <c r="CUH21" s="30"/>
      <c r="CUM21" s="93"/>
      <c r="CUN21" s="30"/>
      <c r="CUS21" s="93"/>
      <c r="CUT21" s="30"/>
      <c r="CUY21" s="93"/>
      <c r="CUZ21" s="30"/>
      <c r="CVE21" s="93"/>
      <c r="CVF21" s="30"/>
      <c r="CVK21" s="93"/>
      <c r="CVL21" s="30"/>
      <c r="CVQ21" s="93"/>
      <c r="CVR21" s="30"/>
      <c r="CVW21" s="93"/>
      <c r="CVX21" s="30"/>
      <c r="CWC21" s="93"/>
      <c r="CWD21" s="30"/>
      <c r="CWI21" s="93"/>
      <c r="CWJ21" s="30"/>
      <c r="CWO21" s="93"/>
      <c r="CWP21" s="30"/>
      <c r="CWU21" s="93"/>
      <c r="CWV21" s="30"/>
      <c r="CXA21" s="93"/>
      <c r="CXB21" s="30"/>
      <c r="CXG21" s="93"/>
      <c r="CXH21" s="30"/>
      <c r="CXM21" s="93"/>
      <c r="CXN21" s="30"/>
      <c r="CXS21" s="93"/>
      <c r="CXT21" s="30"/>
      <c r="CXY21" s="93"/>
      <c r="CXZ21" s="30"/>
      <c r="CYE21" s="93"/>
      <c r="CYF21" s="30"/>
      <c r="CYK21" s="93"/>
      <c r="CYL21" s="30"/>
      <c r="CYQ21" s="93"/>
      <c r="CYR21" s="30"/>
      <c r="CYW21" s="93"/>
      <c r="CYX21" s="30"/>
      <c r="CZC21" s="93"/>
      <c r="CZD21" s="30"/>
      <c r="CZI21" s="93"/>
      <c r="CZJ21" s="30"/>
      <c r="CZO21" s="93"/>
      <c r="CZP21" s="30"/>
      <c r="CZU21" s="93"/>
      <c r="CZV21" s="30"/>
      <c r="DAA21" s="93"/>
      <c r="DAB21" s="30"/>
      <c r="DAG21" s="93"/>
      <c r="DAH21" s="30"/>
      <c r="DAM21" s="93"/>
      <c r="DAN21" s="30"/>
      <c r="DAS21" s="93"/>
      <c r="DAT21" s="30"/>
      <c r="DAY21" s="93"/>
      <c r="DAZ21" s="30"/>
      <c r="DBE21" s="93"/>
      <c r="DBF21" s="30"/>
      <c r="DBK21" s="93"/>
      <c r="DBL21" s="30"/>
      <c r="DBQ21" s="93"/>
      <c r="DBR21" s="30"/>
      <c r="DBW21" s="93"/>
      <c r="DBX21" s="30"/>
      <c r="DCC21" s="93"/>
      <c r="DCD21" s="30"/>
      <c r="DCI21" s="93"/>
      <c r="DCJ21" s="30"/>
      <c r="DCO21" s="93"/>
      <c r="DCP21" s="30"/>
      <c r="DCU21" s="93"/>
      <c r="DCV21" s="30"/>
      <c r="DDA21" s="93"/>
      <c r="DDB21" s="30"/>
      <c r="DDG21" s="93"/>
      <c r="DDH21" s="30"/>
      <c r="DDM21" s="93"/>
      <c r="DDN21" s="30"/>
      <c r="DDS21" s="93"/>
      <c r="DDT21" s="30"/>
      <c r="DDY21" s="93"/>
      <c r="DDZ21" s="30"/>
      <c r="DEE21" s="93"/>
      <c r="DEF21" s="30"/>
      <c r="DEK21" s="93"/>
      <c r="DEL21" s="30"/>
      <c r="DEQ21" s="93"/>
      <c r="DER21" s="30"/>
      <c r="DEW21" s="93"/>
      <c r="DEX21" s="30"/>
      <c r="DFC21" s="93"/>
      <c r="DFD21" s="30"/>
      <c r="DFI21" s="93"/>
      <c r="DFJ21" s="30"/>
      <c r="DFO21" s="93"/>
      <c r="DFP21" s="30"/>
      <c r="DFU21" s="93"/>
      <c r="DFV21" s="30"/>
      <c r="DGA21" s="93"/>
      <c r="DGB21" s="30"/>
      <c r="DGG21" s="93"/>
      <c r="DGH21" s="30"/>
      <c r="DGM21" s="93"/>
      <c r="DGN21" s="30"/>
      <c r="DGS21" s="93"/>
      <c r="DGT21" s="30"/>
      <c r="DGY21" s="93"/>
      <c r="DGZ21" s="30"/>
      <c r="DHE21" s="93"/>
      <c r="DHF21" s="30"/>
      <c r="DHK21" s="93"/>
      <c r="DHL21" s="30"/>
      <c r="DHQ21" s="93"/>
      <c r="DHR21" s="30"/>
      <c r="DHW21" s="93"/>
      <c r="DHX21" s="30"/>
      <c r="DIC21" s="93"/>
      <c r="DID21" s="30"/>
      <c r="DII21" s="93"/>
      <c r="DIJ21" s="30"/>
      <c r="DIO21" s="93"/>
      <c r="DIP21" s="30"/>
      <c r="DIU21" s="93"/>
      <c r="DIV21" s="30"/>
      <c r="DJA21" s="93"/>
      <c r="DJB21" s="30"/>
      <c r="DJG21" s="93"/>
      <c r="DJH21" s="30"/>
      <c r="DJM21" s="93"/>
      <c r="DJN21" s="30"/>
      <c r="DJS21" s="93"/>
      <c r="DJT21" s="30"/>
      <c r="DJY21" s="93"/>
      <c r="DJZ21" s="30"/>
      <c r="DKE21" s="93"/>
      <c r="DKF21" s="30"/>
      <c r="DKK21" s="93"/>
      <c r="DKL21" s="30"/>
      <c r="DKQ21" s="93"/>
      <c r="DKR21" s="30"/>
      <c r="DKW21" s="93"/>
      <c r="DKX21" s="30"/>
      <c r="DLC21" s="93"/>
      <c r="DLD21" s="30"/>
      <c r="DLI21" s="93"/>
      <c r="DLJ21" s="30"/>
      <c r="DLO21" s="93"/>
      <c r="DLP21" s="30"/>
      <c r="DLU21" s="93"/>
      <c r="DLV21" s="30"/>
      <c r="DMA21" s="93"/>
      <c r="DMB21" s="30"/>
      <c r="DMG21" s="93"/>
      <c r="DMH21" s="30"/>
      <c r="DMM21" s="93"/>
      <c r="DMN21" s="30"/>
      <c r="DMS21" s="93"/>
      <c r="DMT21" s="30"/>
      <c r="DMY21" s="93"/>
      <c r="DMZ21" s="30"/>
      <c r="DNE21" s="93"/>
      <c r="DNF21" s="30"/>
      <c r="DNK21" s="93"/>
      <c r="DNL21" s="30"/>
      <c r="DNQ21" s="93"/>
      <c r="DNR21" s="30"/>
      <c r="DNW21" s="93"/>
      <c r="DNX21" s="30"/>
      <c r="DOC21" s="93"/>
      <c r="DOD21" s="30"/>
      <c r="DOI21" s="93"/>
      <c r="DOJ21" s="30"/>
      <c r="DOO21" s="93"/>
      <c r="DOP21" s="30"/>
      <c r="DOU21" s="93"/>
      <c r="DOV21" s="30"/>
      <c r="DPA21" s="93"/>
      <c r="DPB21" s="30"/>
      <c r="DPG21" s="93"/>
      <c r="DPH21" s="30"/>
      <c r="DPM21" s="93"/>
      <c r="DPN21" s="30"/>
      <c r="DPS21" s="93"/>
      <c r="DPT21" s="30"/>
      <c r="DPY21" s="93"/>
      <c r="DPZ21" s="30"/>
      <c r="DQE21" s="93"/>
      <c r="DQF21" s="30"/>
      <c r="DQK21" s="93"/>
      <c r="DQL21" s="30"/>
      <c r="DQQ21" s="93"/>
      <c r="DQR21" s="30"/>
      <c r="DQW21" s="93"/>
      <c r="DQX21" s="30"/>
      <c r="DRC21" s="93"/>
      <c r="DRD21" s="30"/>
      <c r="DRI21" s="93"/>
      <c r="DRJ21" s="30"/>
      <c r="DRO21" s="93"/>
      <c r="DRP21" s="30"/>
      <c r="DRU21" s="93"/>
      <c r="DRV21" s="30"/>
      <c r="DSA21" s="93"/>
      <c r="DSB21" s="30"/>
      <c r="DSG21" s="93"/>
      <c r="DSH21" s="30"/>
      <c r="DSM21" s="93"/>
      <c r="DSN21" s="30"/>
      <c r="DSS21" s="93"/>
      <c r="DST21" s="30"/>
      <c r="DSY21" s="93"/>
      <c r="DSZ21" s="30"/>
      <c r="DTE21" s="93"/>
      <c r="DTF21" s="30"/>
      <c r="DTK21" s="93"/>
      <c r="DTL21" s="30"/>
      <c r="DTQ21" s="93"/>
      <c r="DTR21" s="30"/>
      <c r="DTW21" s="93"/>
      <c r="DTX21" s="30"/>
      <c r="DUC21" s="93"/>
      <c r="DUD21" s="30"/>
      <c r="DUI21" s="93"/>
      <c r="DUJ21" s="30"/>
      <c r="DUO21" s="93"/>
      <c r="DUP21" s="30"/>
      <c r="DUU21" s="93"/>
      <c r="DUV21" s="30"/>
      <c r="DVA21" s="93"/>
      <c r="DVB21" s="30"/>
      <c r="DVG21" s="93"/>
      <c r="DVH21" s="30"/>
      <c r="DVM21" s="93"/>
      <c r="DVN21" s="30"/>
      <c r="DVS21" s="93"/>
      <c r="DVT21" s="30"/>
      <c r="DVY21" s="93"/>
      <c r="DVZ21" s="30"/>
      <c r="DWE21" s="93"/>
      <c r="DWF21" s="30"/>
      <c r="DWK21" s="93"/>
      <c r="DWL21" s="30"/>
      <c r="DWQ21" s="93"/>
      <c r="DWR21" s="30"/>
      <c r="DWW21" s="93"/>
      <c r="DWX21" s="30"/>
      <c r="DXC21" s="93"/>
      <c r="DXD21" s="30"/>
      <c r="DXI21" s="93"/>
      <c r="DXJ21" s="30"/>
      <c r="DXO21" s="93"/>
      <c r="DXP21" s="30"/>
      <c r="DXU21" s="93"/>
      <c r="DXV21" s="30"/>
      <c r="DYA21" s="93"/>
      <c r="DYB21" s="30"/>
      <c r="DYG21" s="93"/>
      <c r="DYH21" s="30"/>
      <c r="DYM21" s="93"/>
      <c r="DYN21" s="30"/>
      <c r="DYS21" s="93"/>
      <c r="DYT21" s="30"/>
      <c r="DYY21" s="93"/>
      <c r="DYZ21" s="30"/>
      <c r="DZE21" s="93"/>
      <c r="DZF21" s="30"/>
      <c r="DZK21" s="93"/>
      <c r="DZL21" s="30"/>
      <c r="DZQ21" s="93"/>
      <c r="DZR21" s="30"/>
      <c r="DZW21" s="93"/>
      <c r="DZX21" s="30"/>
      <c r="EAC21" s="93"/>
      <c r="EAD21" s="30"/>
      <c r="EAI21" s="93"/>
      <c r="EAJ21" s="30"/>
      <c r="EAO21" s="93"/>
      <c r="EAP21" s="30"/>
      <c r="EAU21" s="93"/>
      <c r="EAV21" s="30"/>
      <c r="EBA21" s="93"/>
      <c r="EBB21" s="30"/>
      <c r="EBG21" s="93"/>
      <c r="EBH21" s="30"/>
      <c r="EBM21" s="93"/>
      <c r="EBN21" s="30"/>
      <c r="EBS21" s="93"/>
      <c r="EBT21" s="30"/>
      <c r="EBY21" s="93"/>
      <c r="EBZ21" s="30"/>
      <c r="ECE21" s="93"/>
      <c r="ECF21" s="30"/>
      <c r="ECK21" s="93"/>
      <c r="ECL21" s="30"/>
      <c r="ECQ21" s="93"/>
      <c r="ECR21" s="30"/>
      <c r="ECW21" s="93"/>
      <c r="ECX21" s="30"/>
      <c r="EDC21" s="93"/>
      <c r="EDD21" s="30"/>
      <c r="EDI21" s="93"/>
      <c r="EDJ21" s="30"/>
      <c r="EDO21" s="93"/>
      <c r="EDP21" s="30"/>
      <c r="EDU21" s="93"/>
      <c r="EDV21" s="30"/>
      <c r="EEA21" s="93"/>
      <c r="EEB21" s="30"/>
      <c r="EEG21" s="93"/>
      <c r="EEH21" s="30"/>
      <c r="EEM21" s="93"/>
      <c r="EEN21" s="30"/>
      <c r="EES21" s="93"/>
      <c r="EET21" s="30"/>
      <c r="EEY21" s="93"/>
      <c r="EEZ21" s="30"/>
      <c r="EFE21" s="93"/>
      <c r="EFF21" s="30"/>
      <c r="EFK21" s="93"/>
      <c r="EFL21" s="30"/>
      <c r="EFQ21" s="93"/>
      <c r="EFR21" s="30"/>
      <c r="EFW21" s="93"/>
      <c r="EFX21" s="30"/>
      <c r="EGC21" s="93"/>
      <c r="EGD21" s="30"/>
      <c r="EGI21" s="93"/>
      <c r="EGJ21" s="30"/>
      <c r="EGO21" s="93"/>
      <c r="EGP21" s="30"/>
      <c r="EGU21" s="93"/>
      <c r="EGV21" s="30"/>
      <c r="EHA21" s="93"/>
      <c r="EHB21" s="30"/>
      <c r="EHG21" s="93"/>
      <c r="EHH21" s="30"/>
      <c r="EHM21" s="93"/>
      <c r="EHN21" s="30"/>
      <c r="EHS21" s="93"/>
      <c r="EHT21" s="30"/>
      <c r="EHY21" s="93"/>
      <c r="EHZ21" s="30"/>
      <c r="EIE21" s="93"/>
      <c r="EIF21" s="30"/>
      <c r="EIK21" s="93"/>
      <c r="EIL21" s="30"/>
      <c r="EIQ21" s="93"/>
      <c r="EIR21" s="30"/>
      <c r="EIW21" s="93"/>
      <c r="EIX21" s="30"/>
      <c r="EJC21" s="93"/>
      <c r="EJD21" s="30"/>
      <c r="EJI21" s="93"/>
      <c r="EJJ21" s="30"/>
      <c r="EJO21" s="93"/>
      <c r="EJP21" s="30"/>
      <c r="EJU21" s="93"/>
      <c r="EJV21" s="30"/>
      <c r="EKA21" s="93"/>
      <c r="EKB21" s="30"/>
      <c r="EKG21" s="93"/>
      <c r="EKH21" s="30"/>
      <c r="EKM21" s="93"/>
      <c r="EKN21" s="30"/>
      <c r="EKS21" s="93"/>
      <c r="EKT21" s="30"/>
      <c r="EKY21" s="93"/>
      <c r="EKZ21" s="30"/>
      <c r="ELE21" s="93"/>
      <c r="ELF21" s="30"/>
      <c r="ELK21" s="93"/>
      <c r="ELL21" s="30"/>
      <c r="ELQ21" s="93"/>
      <c r="ELR21" s="30"/>
      <c r="ELW21" s="93"/>
      <c r="ELX21" s="30"/>
      <c r="EMC21" s="93"/>
      <c r="EMD21" s="30"/>
      <c r="EMI21" s="93"/>
      <c r="EMJ21" s="30"/>
      <c r="EMO21" s="93"/>
      <c r="EMP21" s="30"/>
      <c r="EMU21" s="93"/>
      <c r="EMV21" s="30"/>
      <c r="ENA21" s="93"/>
      <c r="ENB21" s="30"/>
      <c r="ENG21" s="93"/>
      <c r="ENH21" s="30"/>
      <c r="ENM21" s="93"/>
      <c r="ENN21" s="30"/>
      <c r="ENS21" s="93"/>
      <c r="ENT21" s="30"/>
      <c r="ENY21" s="93"/>
      <c r="ENZ21" s="30"/>
      <c r="EOE21" s="93"/>
      <c r="EOF21" s="30"/>
      <c r="EOK21" s="93"/>
      <c r="EOL21" s="30"/>
      <c r="EOQ21" s="93"/>
      <c r="EOR21" s="30"/>
      <c r="EOW21" s="93"/>
      <c r="EOX21" s="30"/>
      <c r="EPC21" s="93"/>
      <c r="EPD21" s="30"/>
      <c r="EPI21" s="93"/>
      <c r="EPJ21" s="30"/>
      <c r="EPO21" s="93"/>
      <c r="EPP21" s="30"/>
      <c r="EPU21" s="93"/>
      <c r="EPV21" s="30"/>
      <c r="EQA21" s="93"/>
      <c r="EQB21" s="30"/>
      <c r="EQG21" s="93"/>
      <c r="EQH21" s="30"/>
      <c r="EQM21" s="93"/>
      <c r="EQN21" s="30"/>
      <c r="EQS21" s="93"/>
      <c r="EQT21" s="30"/>
      <c r="EQY21" s="93"/>
      <c r="EQZ21" s="30"/>
      <c r="ERE21" s="93"/>
      <c r="ERF21" s="30"/>
      <c r="ERK21" s="93"/>
      <c r="ERL21" s="30"/>
      <c r="ERQ21" s="93"/>
      <c r="ERR21" s="30"/>
      <c r="ERW21" s="93"/>
      <c r="ERX21" s="30"/>
      <c r="ESC21" s="93"/>
      <c r="ESD21" s="30"/>
      <c r="ESI21" s="93"/>
      <c r="ESJ21" s="30"/>
      <c r="ESO21" s="93"/>
      <c r="ESP21" s="30"/>
      <c r="ESU21" s="93"/>
      <c r="ESV21" s="30"/>
      <c r="ETA21" s="93"/>
      <c r="ETB21" s="30"/>
      <c r="ETG21" s="93"/>
      <c r="ETH21" s="30"/>
      <c r="ETM21" s="93"/>
      <c r="ETN21" s="30"/>
      <c r="ETS21" s="93"/>
      <c r="ETT21" s="30"/>
      <c r="ETY21" s="93"/>
      <c r="ETZ21" s="30"/>
      <c r="EUE21" s="93"/>
      <c r="EUF21" s="30"/>
      <c r="EUK21" s="93"/>
      <c r="EUL21" s="30"/>
      <c r="EUQ21" s="93"/>
      <c r="EUR21" s="30"/>
      <c r="EUW21" s="93"/>
      <c r="EUX21" s="30"/>
      <c r="EVC21" s="93"/>
      <c r="EVD21" s="30"/>
      <c r="EVI21" s="93"/>
      <c r="EVJ21" s="30"/>
      <c r="EVO21" s="93"/>
      <c r="EVP21" s="30"/>
      <c r="EVU21" s="93"/>
      <c r="EVV21" s="30"/>
      <c r="EWA21" s="93"/>
      <c r="EWB21" s="30"/>
      <c r="EWG21" s="93"/>
      <c r="EWH21" s="30"/>
      <c r="EWM21" s="93"/>
      <c r="EWN21" s="30"/>
      <c r="EWS21" s="93"/>
      <c r="EWT21" s="30"/>
      <c r="EWY21" s="93"/>
      <c r="EWZ21" s="30"/>
      <c r="EXE21" s="93"/>
      <c r="EXF21" s="30"/>
      <c r="EXK21" s="93"/>
      <c r="EXL21" s="30"/>
      <c r="EXQ21" s="93"/>
      <c r="EXR21" s="30"/>
      <c r="EXW21" s="93"/>
      <c r="EXX21" s="30"/>
      <c r="EYC21" s="93"/>
      <c r="EYD21" s="30"/>
      <c r="EYI21" s="93"/>
      <c r="EYJ21" s="30"/>
      <c r="EYO21" s="93"/>
      <c r="EYP21" s="30"/>
      <c r="EYU21" s="93"/>
      <c r="EYV21" s="30"/>
      <c r="EZA21" s="93"/>
      <c r="EZB21" s="30"/>
      <c r="EZG21" s="93"/>
      <c r="EZH21" s="30"/>
      <c r="EZM21" s="93"/>
      <c r="EZN21" s="30"/>
      <c r="EZS21" s="93"/>
      <c r="EZT21" s="30"/>
      <c r="EZY21" s="93"/>
      <c r="EZZ21" s="30"/>
      <c r="FAE21" s="93"/>
      <c r="FAF21" s="30"/>
      <c r="FAK21" s="93"/>
      <c r="FAL21" s="30"/>
      <c r="FAQ21" s="93"/>
      <c r="FAR21" s="30"/>
      <c r="FAW21" s="93"/>
      <c r="FAX21" s="30"/>
      <c r="FBC21" s="93"/>
      <c r="FBD21" s="30"/>
      <c r="FBI21" s="93"/>
      <c r="FBJ21" s="30"/>
      <c r="FBO21" s="93"/>
      <c r="FBP21" s="30"/>
      <c r="FBU21" s="93"/>
      <c r="FBV21" s="30"/>
      <c r="FCA21" s="93"/>
      <c r="FCB21" s="30"/>
      <c r="FCG21" s="93"/>
      <c r="FCH21" s="30"/>
      <c r="FCM21" s="93"/>
      <c r="FCN21" s="30"/>
      <c r="FCS21" s="93"/>
      <c r="FCT21" s="30"/>
      <c r="FCY21" s="93"/>
      <c r="FCZ21" s="30"/>
      <c r="FDE21" s="93"/>
      <c r="FDF21" s="30"/>
      <c r="FDK21" s="93"/>
      <c r="FDL21" s="30"/>
      <c r="FDQ21" s="93"/>
      <c r="FDR21" s="30"/>
      <c r="FDW21" s="93"/>
      <c r="FDX21" s="30"/>
      <c r="FEC21" s="93"/>
      <c r="FED21" s="30"/>
      <c r="FEI21" s="93"/>
      <c r="FEJ21" s="30"/>
      <c r="FEO21" s="93"/>
      <c r="FEP21" s="30"/>
      <c r="FEU21" s="93"/>
      <c r="FEV21" s="30"/>
      <c r="FFA21" s="93"/>
      <c r="FFB21" s="30"/>
      <c r="FFG21" s="93"/>
      <c r="FFH21" s="30"/>
      <c r="FFM21" s="93"/>
      <c r="FFN21" s="30"/>
      <c r="FFS21" s="93"/>
      <c r="FFT21" s="30"/>
      <c r="FFY21" s="93"/>
      <c r="FFZ21" s="30"/>
      <c r="FGE21" s="93"/>
      <c r="FGF21" s="30"/>
      <c r="FGK21" s="93"/>
      <c r="FGL21" s="30"/>
      <c r="FGQ21" s="93"/>
      <c r="FGR21" s="30"/>
      <c r="FGW21" s="93"/>
      <c r="FGX21" s="30"/>
      <c r="FHC21" s="93"/>
      <c r="FHD21" s="30"/>
      <c r="FHI21" s="93"/>
      <c r="FHJ21" s="30"/>
      <c r="FHO21" s="93"/>
      <c r="FHP21" s="30"/>
      <c r="FHU21" s="93"/>
      <c r="FHV21" s="30"/>
      <c r="FIA21" s="93"/>
      <c r="FIB21" s="30"/>
      <c r="FIG21" s="93"/>
      <c r="FIH21" s="30"/>
      <c r="FIM21" s="93"/>
      <c r="FIN21" s="30"/>
      <c r="FIS21" s="93"/>
      <c r="FIT21" s="30"/>
      <c r="FIY21" s="93"/>
      <c r="FIZ21" s="30"/>
      <c r="FJE21" s="93"/>
      <c r="FJF21" s="30"/>
      <c r="FJK21" s="93"/>
      <c r="FJL21" s="30"/>
      <c r="FJQ21" s="93"/>
      <c r="FJR21" s="30"/>
      <c r="FJW21" s="93"/>
      <c r="FJX21" s="30"/>
      <c r="FKC21" s="93"/>
      <c r="FKD21" s="30"/>
      <c r="FKI21" s="93"/>
      <c r="FKJ21" s="30"/>
      <c r="FKO21" s="93"/>
      <c r="FKP21" s="30"/>
      <c r="FKU21" s="93"/>
      <c r="FKV21" s="30"/>
      <c r="FLA21" s="93"/>
      <c r="FLB21" s="30"/>
      <c r="FLG21" s="93"/>
      <c r="FLH21" s="30"/>
      <c r="FLM21" s="93"/>
      <c r="FLN21" s="30"/>
      <c r="FLS21" s="93"/>
      <c r="FLT21" s="30"/>
      <c r="FLY21" s="93"/>
      <c r="FLZ21" s="30"/>
      <c r="FME21" s="93"/>
      <c r="FMF21" s="30"/>
      <c r="FMK21" s="93"/>
      <c r="FML21" s="30"/>
      <c r="FMQ21" s="93"/>
      <c r="FMR21" s="30"/>
      <c r="FMW21" s="93"/>
      <c r="FMX21" s="30"/>
      <c r="FNC21" s="93"/>
      <c r="FND21" s="30"/>
      <c r="FNI21" s="93"/>
      <c r="FNJ21" s="30"/>
      <c r="FNO21" s="93"/>
      <c r="FNP21" s="30"/>
      <c r="FNU21" s="93"/>
      <c r="FNV21" s="30"/>
      <c r="FOA21" s="93"/>
      <c r="FOB21" s="30"/>
      <c r="FOG21" s="93"/>
      <c r="FOH21" s="30"/>
      <c r="FOM21" s="93"/>
      <c r="FON21" s="30"/>
      <c r="FOS21" s="93"/>
      <c r="FOT21" s="30"/>
      <c r="FOY21" s="93"/>
      <c r="FOZ21" s="30"/>
      <c r="FPE21" s="93"/>
      <c r="FPF21" s="30"/>
      <c r="FPK21" s="93"/>
      <c r="FPL21" s="30"/>
      <c r="FPQ21" s="93"/>
      <c r="FPR21" s="30"/>
      <c r="FPW21" s="93"/>
      <c r="FPX21" s="30"/>
      <c r="FQC21" s="93"/>
      <c r="FQD21" s="30"/>
      <c r="FQI21" s="93"/>
      <c r="FQJ21" s="30"/>
      <c r="FQO21" s="93"/>
      <c r="FQP21" s="30"/>
      <c r="FQU21" s="93"/>
      <c r="FQV21" s="30"/>
      <c r="FRA21" s="93"/>
      <c r="FRB21" s="30"/>
      <c r="FRG21" s="93"/>
      <c r="FRH21" s="30"/>
      <c r="FRM21" s="93"/>
      <c r="FRN21" s="30"/>
      <c r="FRS21" s="93"/>
      <c r="FRT21" s="30"/>
      <c r="FRY21" s="93"/>
      <c r="FRZ21" s="30"/>
      <c r="FSE21" s="93"/>
      <c r="FSF21" s="30"/>
      <c r="FSK21" s="93"/>
      <c r="FSL21" s="30"/>
      <c r="FSQ21" s="93"/>
      <c r="FSR21" s="30"/>
      <c r="FSW21" s="93"/>
      <c r="FSX21" s="30"/>
      <c r="FTC21" s="93"/>
      <c r="FTD21" s="30"/>
      <c r="FTI21" s="93"/>
      <c r="FTJ21" s="30"/>
      <c r="FTO21" s="93"/>
      <c r="FTP21" s="30"/>
      <c r="FTU21" s="93"/>
      <c r="FTV21" s="30"/>
      <c r="FUA21" s="93"/>
      <c r="FUB21" s="30"/>
      <c r="FUG21" s="93"/>
      <c r="FUH21" s="30"/>
      <c r="FUM21" s="93"/>
      <c r="FUN21" s="30"/>
      <c r="FUS21" s="93"/>
      <c r="FUT21" s="30"/>
      <c r="FUY21" s="93"/>
      <c r="FUZ21" s="30"/>
      <c r="FVE21" s="93"/>
      <c r="FVF21" s="30"/>
      <c r="FVK21" s="93"/>
      <c r="FVL21" s="30"/>
      <c r="FVQ21" s="93"/>
      <c r="FVR21" s="30"/>
      <c r="FVW21" s="93"/>
      <c r="FVX21" s="30"/>
      <c r="FWC21" s="93"/>
      <c r="FWD21" s="30"/>
      <c r="FWI21" s="93"/>
      <c r="FWJ21" s="30"/>
      <c r="FWO21" s="93"/>
      <c r="FWP21" s="30"/>
      <c r="FWU21" s="93"/>
      <c r="FWV21" s="30"/>
      <c r="FXA21" s="93"/>
      <c r="FXB21" s="30"/>
      <c r="FXG21" s="93"/>
      <c r="FXH21" s="30"/>
      <c r="FXM21" s="93"/>
      <c r="FXN21" s="30"/>
      <c r="FXS21" s="93"/>
      <c r="FXT21" s="30"/>
      <c r="FXY21" s="93"/>
      <c r="FXZ21" s="30"/>
      <c r="FYE21" s="93"/>
      <c r="FYF21" s="30"/>
      <c r="FYK21" s="93"/>
      <c r="FYL21" s="30"/>
      <c r="FYQ21" s="93"/>
      <c r="FYR21" s="30"/>
      <c r="FYW21" s="93"/>
      <c r="FYX21" s="30"/>
      <c r="FZC21" s="93"/>
      <c r="FZD21" s="30"/>
      <c r="FZI21" s="93"/>
      <c r="FZJ21" s="30"/>
      <c r="FZO21" s="93"/>
      <c r="FZP21" s="30"/>
      <c r="FZU21" s="93"/>
      <c r="FZV21" s="30"/>
      <c r="GAA21" s="93"/>
      <c r="GAB21" s="30"/>
      <c r="GAG21" s="93"/>
      <c r="GAH21" s="30"/>
      <c r="GAM21" s="93"/>
      <c r="GAN21" s="30"/>
      <c r="GAS21" s="93"/>
      <c r="GAT21" s="30"/>
      <c r="GAY21" s="93"/>
      <c r="GAZ21" s="30"/>
      <c r="GBE21" s="93"/>
      <c r="GBF21" s="30"/>
      <c r="GBK21" s="93"/>
      <c r="GBL21" s="30"/>
      <c r="GBQ21" s="93"/>
      <c r="GBR21" s="30"/>
      <c r="GBW21" s="93"/>
      <c r="GBX21" s="30"/>
      <c r="GCC21" s="93"/>
      <c r="GCD21" s="30"/>
      <c r="GCI21" s="93"/>
      <c r="GCJ21" s="30"/>
      <c r="GCO21" s="93"/>
      <c r="GCP21" s="30"/>
      <c r="GCU21" s="93"/>
      <c r="GCV21" s="30"/>
      <c r="GDA21" s="93"/>
      <c r="GDB21" s="30"/>
      <c r="GDG21" s="93"/>
      <c r="GDH21" s="30"/>
      <c r="GDM21" s="93"/>
      <c r="GDN21" s="30"/>
      <c r="GDS21" s="93"/>
      <c r="GDT21" s="30"/>
      <c r="GDY21" s="93"/>
      <c r="GDZ21" s="30"/>
      <c r="GEE21" s="93"/>
      <c r="GEF21" s="30"/>
      <c r="GEK21" s="93"/>
      <c r="GEL21" s="30"/>
      <c r="GEQ21" s="93"/>
      <c r="GER21" s="30"/>
      <c r="GEW21" s="93"/>
      <c r="GEX21" s="30"/>
      <c r="GFC21" s="93"/>
      <c r="GFD21" s="30"/>
      <c r="GFI21" s="93"/>
      <c r="GFJ21" s="30"/>
      <c r="GFO21" s="93"/>
      <c r="GFP21" s="30"/>
      <c r="GFU21" s="93"/>
      <c r="GFV21" s="30"/>
      <c r="GGA21" s="93"/>
      <c r="GGB21" s="30"/>
      <c r="GGG21" s="93"/>
      <c r="GGH21" s="30"/>
      <c r="GGM21" s="93"/>
      <c r="GGN21" s="30"/>
      <c r="GGS21" s="93"/>
      <c r="GGT21" s="30"/>
      <c r="GGY21" s="93"/>
      <c r="GGZ21" s="30"/>
      <c r="GHE21" s="93"/>
      <c r="GHF21" s="30"/>
      <c r="GHK21" s="93"/>
      <c r="GHL21" s="30"/>
      <c r="GHQ21" s="93"/>
      <c r="GHR21" s="30"/>
      <c r="GHW21" s="93"/>
      <c r="GHX21" s="30"/>
      <c r="GIC21" s="93"/>
      <c r="GID21" s="30"/>
      <c r="GII21" s="93"/>
      <c r="GIJ21" s="30"/>
      <c r="GIO21" s="93"/>
      <c r="GIP21" s="30"/>
      <c r="GIU21" s="93"/>
      <c r="GIV21" s="30"/>
      <c r="GJA21" s="93"/>
      <c r="GJB21" s="30"/>
      <c r="GJG21" s="93"/>
      <c r="GJH21" s="30"/>
      <c r="GJM21" s="93"/>
      <c r="GJN21" s="30"/>
      <c r="GJS21" s="93"/>
      <c r="GJT21" s="30"/>
      <c r="GJY21" s="93"/>
      <c r="GJZ21" s="30"/>
      <c r="GKE21" s="93"/>
      <c r="GKF21" s="30"/>
      <c r="GKK21" s="93"/>
      <c r="GKL21" s="30"/>
      <c r="GKQ21" s="93"/>
      <c r="GKR21" s="30"/>
      <c r="GKW21" s="93"/>
      <c r="GKX21" s="30"/>
      <c r="GLC21" s="93"/>
      <c r="GLD21" s="30"/>
      <c r="GLI21" s="93"/>
      <c r="GLJ21" s="30"/>
      <c r="GLO21" s="93"/>
      <c r="GLP21" s="30"/>
      <c r="GLU21" s="93"/>
      <c r="GLV21" s="30"/>
      <c r="GMA21" s="93"/>
      <c r="GMB21" s="30"/>
      <c r="GMG21" s="93"/>
      <c r="GMH21" s="30"/>
      <c r="GMM21" s="93"/>
      <c r="GMN21" s="30"/>
      <c r="GMS21" s="93"/>
      <c r="GMT21" s="30"/>
      <c r="GMY21" s="93"/>
      <c r="GMZ21" s="30"/>
      <c r="GNE21" s="93"/>
      <c r="GNF21" s="30"/>
      <c r="GNK21" s="93"/>
      <c r="GNL21" s="30"/>
      <c r="GNQ21" s="93"/>
      <c r="GNR21" s="30"/>
      <c r="GNW21" s="93"/>
      <c r="GNX21" s="30"/>
      <c r="GOC21" s="93"/>
      <c r="GOD21" s="30"/>
      <c r="GOI21" s="93"/>
      <c r="GOJ21" s="30"/>
      <c r="GOO21" s="93"/>
      <c r="GOP21" s="30"/>
      <c r="GOU21" s="93"/>
      <c r="GOV21" s="30"/>
      <c r="GPA21" s="93"/>
      <c r="GPB21" s="30"/>
      <c r="GPG21" s="93"/>
      <c r="GPH21" s="30"/>
      <c r="GPM21" s="93"/>
      <c r="GPN21" s="30"/>
      <c r="GPS21" s="93"/>
      <c r="GPT21" s="30"/>
      <c r="GPY21" s="93"/>
      <c r="GPZ21" s="30"/>
      <c r="GQE21" s="93"/>
      <c r="GQF21" s="30"/>
      <c r="GQK21" s="93"/>
      <c r="GQL21" s="30"/>
      <c r="GQQ21" s="93"/>
      <c r="GQR21" s="30"/>
      <c r="GQW21" s="93"/>
      <c r="GQX21" s="30"/>
      <c r="GRC21" s="93"/>
      <c r="GRD21" s="30"/>
      <c r="GRI21" s="93"/>
      <c r="GRJ21" s="30"/>
      <c r="GRO21" s="93"/>
      <c r="GRP21" s="30"/>
      <c r="GRU21" s="93"/>
      <c r="GRV21" s="30"/>
      <c r="GSA21" s="93"/>
      <c r="GSB21" s="30"/>
      <c r="GSG21" s="93"/>
      <c r="GSH21" s="30"/>
      <c r="GSM21" s="93"/>
      <c r="GSN21" s="30"/>
      <c r="GSS21" s="93"/>
      <c r="GST21" s="30"/>
      <c r="GSY21" s="93"/>
      <c r="GSZ21" s="30"/>
      <c r="GTE21" s="93"/>
      <c r="GTF21" s="30"/>
      <c r="GTK21" s="93"/>
      <c r="GTL21" s="30"/>
      <c r="GTQ21" s="93"/>
      <c r="GTR21" s="30"/>
      <c r="GTW21" s="93"/>
      <c r="GTX21" s="30"/>
      <c r="GUC21" s="93"/>
      <c r="GUD21" s="30"/>
      <c r="GUI21" s="93"/>
      <c r="GUJ21" s="30"/>
      <c r="GUO21" s="93"/>
      <c r="GUP21" s="30"/>
      <c r="GUU21" s="93"/>
      <c r="GUV21" s="30"/>
      <c r="GVA21" s="93"/>
      <c r="GVB21" s="30"/>
      <c r="GVG21" s="93"/>
      <c r="GVH21" s="30"/>
      <c r="GVM21" s="93"/>
      <c r="GVN21" s="30"/>
      <c r="GVS21" s="93"/>
      <c r="GVT21" s="30"/>
      <c r="GVY21" s="93"/>
      <c r="GVZ21" s="30"/>
      <c r="GWE21" s="93"/>
      <c r="GWF21" s="30"/>
      <c r="GWK21" s="93"/>
      <c r="GWL21" s="30"/>
      <c r="GWQ21" s="93"/>
      <c r="GWR21" s="30"/>
      <c r="GWW21" s="93"/>
      <c r="GWX21" s="30"/>
      <c r="GXC21" s="93"/>
      <c r="GXD21" s="30"/>
      <c r="GXI21" s="93"/>
      <c r="GXJ21" s="30"/>
      <c r="GXO21" s="93"/>
      <c r="GXP21" s="30"/>
      <c r="GXU21" s="93"/>
      <c r="GXV21" s="30"/>
      <c r="GYA21" s="93"/>
      <c r="GYB21" s="30"/>
      <c r="GYG21" s="93"/>
      <c r="GYH21" s="30"/>
      <c r="GYM21" s="93"/>
      <c r="GYN21" s="30"/>
      <c r="GYS21" s="93"/>
      <c r="GYT21" s="30"/>
      <c r="GYY21" s="93"/>
      <c r="GYZ21" s="30"/>
      <c r="GZE21" s="93"/>
      <c r="GZF21" s="30"/>
      <c r="GZK21" s="93"/>
      <c r="GZL21" s="30"/>
      <c r="GZQ21" s="93"/>
      <c r="GZR21" s="30"/>
      <c r="GZW21" s="93"/>
      <c r="GZX21" s="30"/>
      <c r="HAC21" s="93"/>
      <c r="HAD21" s="30"/>
      <c r="HAI21" s="93"/>
      <c r="HAJ21" s="30"/>
      <c r="HAO21" s="93"/>
      <c r="HAP21" s="30"/>
      <c r="HAU21" s="93"/>
      <c r="HAV21" s="30"/>
      <c r="HBA21" s="93"/>
      <c r="HBB21" s="30"/>
      <c r="HBG21" s="93"/>
      <c r="HBH21" s="30"/>
      <c r="HBM21" s="93"/>
      <c r="HBN21" s="30"/>
      <c r="HBS21" s="93"/>
      <c r="HBT21" s="30"/>
      <c r="HBY21" s="93"/>
      <c r="HBZ21" s="30"/>
      <c r="HCE21" s="93"/>
      <c r="HCF21" s="30"/>
      <c r="HCK21" s="93"/>
      <c r="HCL21" s="30"/>
      <c r="HCQ21" s="93"/>
      <c r="HCR21" s="30"/>
      <c r="HCW21" s="93"/>
      <c r="HCX21" s="30"/>
      <c r="HDC21" s="93"/>
      <c r="HDD21" s="30"/>
      <c r="HDI21" s="93"/>
      <c r="HDJ21" s="30"/>
      <c r="HDO21" s="93"/>
      <c r="HDP21" s="30"/>
      <c r="HDU21" s="93"/>
      <c r="HDV21" s="30"/>
      <c r="HEA21" s="93"/>
      <c r="HEB21" s="30"/>
      <c r="HEG21" s="93"/>
      <c r="HEH21" s="30"/>
      <c r="HEM21" s="93"/>
      <c r="HEN21" s="30"/>
      <c r="HES21" s="93"/>
      <c r="HET21" s="30"/>
      <c r="HEY21" s="93"/>
      <c r="HEZ21" s="30"/>
      <c r="HFE21" s="93"/>
      <c r="HFF21" s="30"/>
      <c r="HFK21" s="93"/>
      <c r="HFL21" s="30"/>
      <c r="HFQ21" s="93"/>
      <c r="HFR21" s="30"/>
      <c r="HFW21" s="93"/>
      <c r="HFX21" s="30"/>
      <c r="HGC21" s="93"/>
      <c r="HGD21" s="30"/>
      <c r="HGI21" s="93"/>
      <c r="HGJ21" s="30"/>
      <c r="HGO21" s="93"/>
      <c r="HGP21" s="30"/>
      <c r="HGU21" s="93"/>
      <c r="HGV21" s="30"/>
      <c r="HHA21" s="93"/>
      <c r="HHB21" s="30"/>
      <c r="HHG21" s="93"/>
      <c r="HHH21" s="30"/>
      <c r="HHM21" s="93"/>
      <c r="HHN21" s="30"/>
      <c r="HHS21" s="93"/>
      <c r="HHT21" s="30"/>
      <c r="HHY21" s="93"/>
      <c r="HHZ21" s="30"/>
      <c r="HIE21" s="93"/>
      <c r="HIF21" s="30"/>
      <c r="HIK21" s="93"/>
      <c r="HIL21" s="30"/>
      <c r="HIQ21" s="93"/>
      <c r="HIR21" s="30"/>
      <c r="HIW21" s="93"/>
      <c r="HIX21" s="30"/>
      <c r="HJC21" s="93"/>
      <c r="HJD21" s="30"/>
      <c r="HJI21" s="93"/>
      <c r="HJJ21" s="30"/>
      <c r="HJO21" s="93"/>
      <c r="HJP21" s="30"/>
      <c r="HJU21" s="93"/>
      <c r="HJV21" s="30"/>
      <c r="HKA21" s="93"/>
      <c r="HKB21" s="30"/>
      <c r="HKG21" s="93"/>
      <c r="HKH21" s="30"/>
      <c r="HKM21" s="93"/>
      <c r="HKN21" s="30"/>
      <c r="HKS21" s="93"/>
      <c r="HKT21" s="30"/>
      <c r="HKY21" s="93"/>
      <c r="HKZ21" s="30"/>
      <c r="HLE21" s="93"/>
      <c r="HLF21" s="30"/>
      <c r="HLK21" s="93"/>
      <c r="HLL21" s="30"/>
      <c r="HLQ21" s="93"/>
      <c r="HLR21" s="30"/>
      <c r="HLW21" s="93"/>
      <c r="HLX21" s="30"/>
      <c r="HMC21" s="93"/>
      <c r="HMD21" s="30"/>
      <c r="HMI21" s="93"/>
      <c r="HMJ21" s="30"/>
      <c r="HMO21" s="93"/>
      <c r="HMP21" s="30"/>
      <c r="HMU21" s="93"/>
      <c r="HMV21" s="30"/>
      <c r="HNA21" s="93"/>
      <c r="HNB21" s="30"/>
      <c r="HNG21" s="93"/>
      <c r="HNH21" s="30"/>
      <c r="HNM21" s="93"/>
      <c r="HNN21" s="30"/>
      <c r="HNS21" s="93"/>
      <c r="HNT21" s="30"/>
      <c r="HNY21" s="93"/>
      <c r="HNZ21" s="30"/>
      <c r="HOE21" s="93"/>
      <c r="HOF21" s="30"/>
      <c r="HOK21" s="93"/>
      <c r="HOL21" s="30"/>
      <c r="HOQ21" s="93"/>
      <c r="HOR21" s="30"/>
      <c r="HOW21" s="93"/>
      <c r="HOX21" s="30"/>
      <c r="HPC21" s="93"/>
      <c r="HPD21" s="30"/>
      <c r="HPI21" s="93"/>
      <c r="HPJ21" s="30"/>
      <c r="HPO21" s="93"/>
      <c r="HPP21" s="30"/>
      <c r="HPU21" s="93"/>
      <c r="HPV21" s="30"/>
      <c r="HQA21" s="93"/>
      <c r="HQB21" s="30"/>
      <c r="HQG21" s="93"/>
      <c r="HQH21" s="30"/>
      <c r="HQM21" s="93"/>
      <c r="HQN21" s="30"/>
      <c r="HQS21" s="93"/>
      <c r="HQT21" s="30"/>
      <c r="HQY21" s="93"/>
      <c r="HQZ21" s="30"/>
      <c r="HRE21" s="93"/>
      <c r="HRF21" s="30"/>
      <c r="HRK21" s="93"/>
      <c r="HRL21" s="30"/>
      <c r="HRQ21" s="93"/>
      <c r="HRR21" s="30"/>
      <c r="HRW21" s="93"/>
      <c r="HRX21" s="30"/>
      <c r="HSC21" s="93"/>
      <c r="HSD21" s="30"/>
      <c r="HSI21" s="93"/>
      <c r="HSJ21" s="30"/>
      <c r="HSO21" s="93"/>
      <c r="HSP21" s="30"/>
      <c r="HSU21" s="93"/>
      <c r="HSV21" s="30"/>
      <c r="HTA21" s="93"/>
      <c r="HTB21" s="30"/>
      <c r="HTG21" s="93"/>
      <c r="HTH21" s="30"/>
      <c r="HTM21" s="93"/>
      <c r="HTN21" s="30"/>
      <c r="HTS21" s="93"/>
      <c r="HTT21" s="30"/>
      <c r="HTY21" s="93"/>
      <c r="HTZ21" s="30"/>
      <c r="HUE21" s="93"/>
      <c r="HUF21" s="30"/>
      <c r="HUK21" s="93"/>
      <c r="HUL21" s="30"/>
      <c r="HUQ21" s="93"/>
      <c r="HUR21" s="30"/>
      <c r="HUW21" s="93"/>
      <c r="HUX21" s="30"/>
      <c r="HVC21" s="93"/>
      <c r="HVD21" s="30"/>
      <c r="HVI21" s="93"/>
      <c r="HVJ21" s="30"/>
      <c r="HVO21" s="93"/>
      <c r="HVP21" s="30"/>
      <c r="HVU21" s="93"/>
      <c r="HVV21" s="30"/>
      <c r="HWA21" s="93"/>
      <c r="HWB21" s="30"/>
      <c r="HWG21" s="93"/>
      <c r="HWH21" s="30"/>
      <c r="HWM21" s="93"/>
      <c r="HWN21" s="30"/>
      <c r="HWS21" s="93"/>
      <c r="HWT21" s="30"/>
      <c r="HWY21" s="93"/>
      <c r="HWZ21" s="30"/>
      <c r="HXE21" s="93"/>
      <c r="HXF21" s="30"/>
      <c r="HXK21" s="93"/>
      <c r="HXL21" s="30"/>
      <c r="HXQ21" s="93"/>
      <c r="HXR21" s="30"/>
      <c r="HXW21" s="93"/>
      <c r="HXX21" s="30"/>
      <c r="HYC21" s="93"/>
      <c r="HYD21" s="30"/>
      <c r="HYI21" s="93"/>
      <c r="HYJ21" s="30"/>
      <c r="HYO21" s="93"/>
      <c r="HYP21" s="30"/>
      <c r="HYU21" s="93"/>
      <c r="HYV21" s="30"/>
      <c r="HZA21" s="93"/>
      <c r="HZB21" s="30"/>
      <c r="HZG21" s="93"/>
      <c r="HZH21" s="30"/>
      <c r="HZM21" s="93"/>
      <c r="HZN21" s="30"/>
      <c r="HZS21" s="93"/>
      <c r="HZT21" s="30"/>
      <c r="HZY21" s="93"/>
      <c r="HZZ21" s="30"/>
      <c r="IAE21" s="93"/>
      <c r="IAF21" s="30"/>
      <c r="IAK21" s="93"/>
      <c r="IAL21" s="30"/>
      <c r="IAQ21" s="93"/>
      <c r="IAR21" s="30"/>
      <c r="IAW21" s="93"/>
      <c r="IAX21" s="30"/>
      <c r="IBC21" s="93"/>
      <c r="IBD21" s="30"/>
      <c r="IBI21" s="93"/>
      <c r="IBJ21" s="30"/>
      <c r="IBO21" s="93"/>
      <c r="IBP21" s="30"/>
      <c r="IBU21" s="93"/>
      <c r="IBV21" s="30"/>
      <c r="ICA21" s="93"/>
      <c r="ICB21" s="30"/>
      <c r="ICG21" s="93"/>
      <c r="ICH21" s="30"/>
      <c r="ICM21" s="93"/>
      <c r="ICN21" s="30"/>
      <c r="ICS21" s="93"/>
      <c r="ICT21" s="30"/>
      <c r="ICY21" s="93"/>
      <c r="ICZ21" s="30"/>
      <c r="IDE21" s="93"/>
      <c r="IDF21" s="30"/>
      <c r="IDK21" s="93"/>
      <c r="IDL21" s="30"/>
      <c r="IDQ21" s="93"/>
      <c r="IDR21" s="30"/>
      <c r="IDW21" s="93"/>
      <c r="IDX21" s="30"/>
      <c r="IEC21" s="93"/>
      <c r="IED21" s="30"/>
      <c r="IEI21" s="93"/>
      <c r="IEJ21" s="30"/>
      <c r="IEO21" s="93"/>
      <c r="IEP21" s="30"/>
      <c r="IEU21" s="93"/>
      <c r="IEV21" s="30"/>
      <c r="IFA21" s="93"/>
      <c r="IFB21" s="30"/>
      <c r="IFG21" s="93"/>
      <c r="IFH21" s="30"/>
      <c r="IFM21" s="93"/>
      <c r="IFN21" s="30"/>
      <c r="IFS21" s="93"/>
      <c r="IFT21" s="30"/>
      <c r="IFY21" s="93"/>
      <c r="IFZ21" s="30"/>
      <c r="IGE21" s="93"/>
      <c r="IGF21" s="30"/>
      <c r="IGK21" s="93"/>
      <c r="IGL21" s="30"/>
      <c r="IGQ21" s="93"/>
      <c r="IGR21" s="30"/>
      <c r="IGW21" s="93"/>
      <c r="IGX21" s="30"/>
      <c r="IHC21" s="93"/>
      <c r="IHD21" s="30"/>
      <c r="IHI21" s="93"/>
      <c r="IHJ21" s="30"/>
      <c r="IHO21" s="93"/>
      <c r="IHP21" s="30"/>
      <c r="IHU21" s="93"/>
      <c r="IHV21" s="30"/>
      <c r="IIA21" s="93"/>
      <c r="IIB21" s="30"/>
      <c r="IIG21" s="93"/>
      <c r="IIH21" s="30"/>
      <c r="IIM21" s="93"/>
      <c r="IIN21" s="30"/>
      <c r="IIS21" s="93"/>
      <c r="IIT21" s="30"/>
      <c r="IIY21" s="93"/>
      <c r="IIZ21" s="30"/>
      <c r="IJE21" s="93"/>
      <c r="IJF21" s="30"/>
      <c r="IJK21" s="93"/>
      <c r="IJL21" s="30"/>
      <c r="IJQ21" s="93"/>
      <c r="IJR21" s="30"/>
      <c r="IJW21" s="93"/>
      <c r="IJX21" s="30"/>
      <c r="IKC21" s="93"/>
      <c r="IKD21" s="30"/>
      <c r="IKI21" s="93"/>
      <c r="IKJ21" s="30"/>
      <c r="IKO21" s="93"/>
      <c r="IKP21" s="30"/>
      <c r="IKU21" s="93"/>
      <c r="IKV21" s="30"/>
      <c r="ILA21" s="93"/>
      <c r="ILB21" s="30"/>
      <c r="ILG21" s="93"/>
      <c r="ILH21" s="30"/>
      <c r="ILM21" s="93"/>
      <c r="ILN21" s="30"/>
      <c r="ILS21" s="93"/>
      <c r="ILT21" s="30"/>
      <c r="ILY21" s="93"/>
      <c r="ILZ21" s="30"/>
      <c r="IME21" s="93"/>
      <c r="IMF21" s="30"/>
      <c r="IMK21" s="93"/>
      <c r="IML21" s="30"/>
      <c r="IMQ21" s="93"/>
      <c r="IMR21" s="30"/>
      <c r="IMW21" s="93"/>
      <c r="IMX21" s="30"/>
      <c r="INC21" s="93"/>
      <c r="IND21" s="30"/>
      <c r="INI21" s="93"/>
      <c r="INJ21" s="30"/>
      <c r="INO21" s="93"/>
      <c r="INP21" s="30"/>
      <c r="INU21" s="93"/>
      <c r="INV21" s="30"/>
      <c r="IOA21" s="93"/>
      <c r="IOB21" s="30"/>
      <c r="IOG21" s="93"/>
      <c r="IOH21" s="30"/>
      <c r="IOM21" s="93"/>
      <c r="ION21" s="30"/>
      <c r="IOS21" s="93"/>
      <c r="IOT21" s="30"/>
      <c r="IOY21" s="93"/>
      <c r="IOZ21" s="30"/>
      <c r="IPE21" s="93"/>
      <c r="IPF21" s="30"/>
      <c r="IPK21" s="93"/>
      <c r="IPL21" s="30"/>
      <c r="IPQ21" s="93"/>
      <c r="IPR21" s="30"/>
      <c r="IPW21" s="93"/>
      <c r="IPX21" s="30"/>
      <c r="IQC21" s="93"/>
      <c r="IQD21" s="30"/>
      <c r="IQI21" s="93"/>
      <c r="IQJ21" s="30"/>
      <c r="IQO21" s="93"/>
      <c r="IQP21" s="30"/>
      <c r="IQU21" s="93"/>
      <c r="IQV21" s="30"/>
      <c r="IRA21" s="93"/>
      <c r="IRB21" s="30"/>
      <c r="IRG21" s="93"/>
      <c r="IRH21" s="30"/>
      <c r="IRM21" s="93"/>
      <c r="IRN21" s="30"/>
      <c r="IRS21" s="93"/>
      <c r="IRT21" s="30"/>
      <c r="IRY21" s="93"/>
      <c r="IRZ21" s="30"/>
      <c r="ISE21" s="93"/>
      <c r="ISF21" s="30"/>
      <c r="ISK21" s="93"/>
      <c r="ISL21" s="30"/>
      <c r="ISQ21" s="93"/>
      <c r="ISR21" s="30"/>
      <c r="ISW21" s="93"/>
      <c r="ISX21" s="30"/>
      <c r="ITC21" s="93"/>
      <c r="ITD21" s="30"/>
      <c r="ITI21" s="93"/>
      <c r="ITJ21" s="30"/>
      <c r="ITO21" s="93"/>
      <c r="ITP21" s="30"/>
      <c r="ITU21" s="93"/>
      <c r="ITV21" s="30"/>
      <c r="IUA21" s="93"/>
      <c r="IUB21" s="30"/>
      <c r="IUG21" s="93"/>
      <c r="IUH21" s="30"/>
      <c r="IUM21" s="93"/>
      <c r="IUN21" s="30"/>
      <c r="IUS21" s="93"/>
      <c r="IUT21" s="30"/>
      <c r="IUY21" s="93"/>
      <c r="IUZ21" s="30"/>
      <c r="IVE21" s="93"/>
      <c r="IVF21" s="30"/>
      <c r="IVK21" s="93"/>
      <c r="IVL21" s="30"/>
      <c r="IVQ21" s="93"/>
      <c r="IVR21" s="30"/>
      <c r="IVW21" s="93"/>
      <c r="IVX21" s="30"/>
      <c r="IWC21" s="93"/>
      <c r="IWD21" s="30"/>
      <c r="IWI21" s="93"/>
      <c r="IWJ21" s="30"/>
      <c r="IWO21" s="93"/>
      <c r="IWP21" s="30"/>
      <c r="IWU21" s="93"/>
      <c r="IWV21" s="30"/>
      <c r="IXA21" s="93"/>
      <c r="IXB21" s="30"/>
      <c r="IXG21" s="93"/>
      <c r="IXH21" s="30"/>
      <c r="IXM21" s="93"/>
      <c r="IXN21" s="30"/>
      <c r="IXS21" s="93"/>
      <c r="IXT21" s="30"/>
      <c r="IXY21" s="93"/>
      <c r="IXZ21" s="30"/>
      <c r="IYE21" s="93"/>
      <c r="IYF21" s="30"/>
      <c r="IYK21" s="93"/>
      <c r="IYL21" s="30"/>
      <c r="IYQ21" s="93"/>
      <c r="IYR21" s="30"/>
      <c r="IYW21" s="93"/>
      <c r="IYX21" s="30"/>
      <c r="IZC21" s="93"/>
      <c r="IZD21" s="30"/>
      <c r="IZI21" s="93"/>
      <c r="IZJ21" s="30"/>
      <c r="IZO21" s="93"/>
      <c r="IZP21" s="30"/>
      <c r="IZU21" s="93"/>
      <c r="IZV21" s="30"/>
      <c r="JAA21" s="93"/>
      <c r="JAB21" s="30"/>
      <c r="JAG21" s="93"/>
      <c r="JAH21" s="30"/>
      <c r="JAM21" s="93"/>
      <c r="JAN21" s="30"/>
      <c r="JAS21" s="93"/>
      <c r="JAT21" s="30"/>
      <c r="JAY21" s="93"/>
      <c r="JAZ21" s="30"/>
      <c r="JBE21" s="93"/>
      <c r="JBF21" s="30"/>
      <c r="JBK21" s="93"/>
      <c r="JBL21" s="30"/>
      <c r="JBQ21" s="93"/>
      <c r="JBR21" s="30"/>
      <c r="JBW21" s="93"/>
      <c r="JBX21" s="30"/>
      <c r="JCC21" s="93"/>
      <c r="JCD21" s="30"/>
      <c r="JCI21" s="93"/>
      <c r="JCJ21" s="30"/>
      <c r="JCO21" s="93"/>
      <c r="JCP21" s="30"/>
      <c r="JCU21" s="93"/>
      <c r="JCV21" s="30"/>
      <c r="JDA21" s="93"/>
      <c r="JDB21" s="30"/>
      <c r="JDG21" s="93"/>
      <c r="JDH21" s="30"/>
      <c r="JDM21" s="93"/>
      <c r="JDN21" s="30"/>
      <c r="JDS21" s="93"/>
      <c r="JDT21" s="30"/>
      <c r="JDY21" s="93"/>
      <c r="JDZ21" s="30"/>
      <c r="JEE21" s="93"/>
      <c r="JEF21" s="30"/>
      <c r="JEK21" s="93"/>
      <c r="JEL21" s="30"/>
      <c r="JEQ21" s="93"/>
      <c r="JER21" s="30"/>
      <c r="JEW21" s="93"/>
      <c r="JEX21" s="30"/>
      <c r="JFC21" s="93"/>
      <c r="JFD21" s="30"/>
      <c r="JFI21" s="93"/>
      <c r="JFJ21" s="30"/>
      <c r="JFO21" s="93"/>
      <c r="JFP21" s="30"/>
      <c r="JFU21" s="93"/>
      <c r="JFV21" s="30"/>
      <c r="JGA21" s="93"/>
      <c r="JGB21" s="30"/>
      <c r="JGG21" s="93"/>
      <c r="JGH21" s="30"/>
      <c r="JGM21" s="93"/>
      <c r="JGN21" s="30"/>
      <c r="JGS21" s="93"/>
      <c r="JGT21" s="30"/>
      <c r="JGY21" s="93"/>
      <c r="JGZ21" s="30"/>
      <c r="JHE21" s="93"/>
      <c r="JHF21" s="30"/>
      <c r="JHK21" s="93"/>
      <c r="JHL21" s="30"/>
      <c r="JHQ21" s="93"/>
      <c r="JHR21" s="30"/>
      <c r="JHW21" s="93"/>
      <c r="JHX21" s="30"/>
      <c r="JIC21" s="93"/>
      <c r="JID21" s="30"/>
      <c r="JII21" s="93"/>
      <c r="JIJ21" s="30"/>
      <c r="JIO21" s="93"/>
      <c r="JIP21" s="30"/>
      <c r="JIU21" s="93"/>
      <c r="JIV21" s="30"/>
      <c r="JJA21" s="93"/>
      <c r="JJB21" s="30"/>
      <c r="JJG21" s="93"/>
      <c r="JJH21" s="30"/>
      <c r="JJM21" s="93"/>
      <c r="JJN21" s="30"/>
      <c r="JJS21" s="93"/>
      <c r="JJT21" s="30"/>
      <c r="JJY21" s="93"/>
      <c r="JJZ21" s="30"/>
      <c r="JKE21" s="93"/>
      <c r="JKF21" s="30"/>
      <c r="JKK21" s="93"/>
      <c r="JKL21" s="30"/>
      <c r="JKQ21" s="93"/>
      <c r="JKR21" s="30"/>
      <c r="JKW21" s="93"/>
      <c r="JKX21" s="30"/>
      <c r="JLC21" s="93"/>
      <c r="JLD21" s="30"/>
      <c r="JLI21" s="93"/>
      <c r="JLJ21" s="30"/>
      <c r="JLO21" s="93"/>
      <c r="JLP21" s="30"/>
      <c r="JLU21" s="93"/>
      <c r="JLV21" s="30"/>
      <c r="JMA21" s="93"/>
      <c r="JMB21" s="30"/>
      <c r="JMG21" s="93"/>
      <c r="JMH21" s="30"/>
      <c r="JMM21" s="93"/>
      <c r="JMN21" s="30"/>
      <c r="JMS21" s="93"/>
      <c r="JMT21" s="30"/>
      <c r="JMY21" s="93"/>
      <c r="JMZ21" s="30"/>
      <c r="JNE21" s="93"/>
      <c r="JNF21" s="30"/>
      <c r="JNK21" s="93"/>
      <c r="JNL21" s="30"/>
      <c r="JNQ21" s="93"/>
      <c r="JNR21" s="30"/>
      <c r="JNW21" s="93"/>
      <c r="JNX21" s="30"/>
      <c r="JOC21" s="93"/>
      <c r="JOD21" s="30"/>
      <c r="JOI21" s="93"/>
      <c r="JOJ21" s="30"/>
      <c r="JOO21" s="93"/>
      <c r="JOP21" s="30"/>
      <c r="JOU21" s="93"/>
      <c r="JOV21" s="30"/>
      <c r="JPA21" s="93"/>
      <c r="JPB21" s="30"/>
      <c r="JPG21" s="93"/>
      <c r="JPH21" s="30"/>
      <c r="JPM21" s="93"/>
      <c r="JPN21" s="30"/>
      <c r="JPS21" s="93"/>
      <c r="JPT21" s="30"/>
      <c r="JPY21" s="93"/>
      <c r="JPZ21" s="30"/>
      <c r="JQE21" s="93"/>
      <c r="JQF21" s="30"/>
      <c r="JQK21" s="93"/>
      <c r="JQL21" s="30"/>
      <c r="JQQ21" s="93"/>
      <c r="JQR21" s="30"/>
      <c r="JQW21" s="93"/>
      <c r="JQX21" s="30"/>
      <c r="JRC21" s="93"/>
      <c r="JRD21" s="30"/>
      <c r="JRI21" s="93"/>
      <c r="JRJ21" s="30"/>
      <c r="JRO21" s="93"/>
      <c r="JRP21" s="30"/>
      <c r="JRU21" s="93"/>
      <c r="JRV21" s="30"/>
      <c r="JSA21" s="93"/>
      <c r="JSB21" s="30"/>
      <c r="JSG21" s="93"/>
      <c r="JSH21" s="30"/>
      <c r="JSM21" s="93"/>
      <c r="JSN21" s="30"/>
      <c r="JSS21" s="93"/>
      <c r="JST21" s="30"/>
      <c r="JSY21" s="93"/>
      <c r="JSZ21" s="30"/>
      <c r="JTE21" s="93"/>
      <c r="JTF21" s="30"/>
      <c r="JTK21" s="93"/>
      <c r="JTL21" s="30"/>
      <c r="JTQ21" s="93"/>
      <c r="JTR21" s="30"/>
      <c r="JTW21" s="93"/>
      <c r="JTX21" s="30"/>
      <c r="JUC21" s="93"/>
      <c r="JUD21" s="30"/>
      <c r="JUI21" s="93"/>
      <c r="JUJ21" s="30"/>
      <c r="JUO21" s="93"/>
      <c r="JUP21" s="30"/>
      <c r="JUU21" s="93"/>
      <c r="JUV21" s="30"/>
      <c r="JVA21" s="93"/>
      <c r="JVB21" s="30"/>
      <c r="JVG21" s="93"/>
      <c r="JVH21" s="30"/>
      <c r="JVM21" s="93"/>
      <c r="JVN21" s="30"/>
      <c r="JVS21" s="93"/>
      <c r="JVT21" s="30"/>
      <c r="JVY21" s="93"/>
      <c r="JVZ21" s="30"/>
      <c r="JWE21" s="93"/>
      <c r="JWF21" s="30"/>
      <c r="JWK21" s="93"/>
      <c r="JWL21" s="30"/>
      <c r="JWQ21" s="93"/>
      <c r="JWR21" s="30"/>
      <c r="JWW21" s="93"/>
      <c r="JWX21" s="30"/>
      <c r="JXC21" s="93"/>
      <c r="JXD21" s="30"/>
      <c r="JXI21" s="93"/>
      <c r="JXJ21" s="30"/>
      <c r="JXO21" s="93"/>
      <c r="JXP21" s="30"/>
      <c r="JXU21" s="93"/>
      <c r="JXV21" s="30"/>
      <c r="JYA21" s="93"/>
      <c r="JYB21" s="30"/>
      <c r="JYG21" s="93"/>
      <c r="JYH21" s="30"/>
      <c r="JYM21" s="93"/>
      <c r="JYN21" s="30"/>
      <c r="JYS21" s="93"/>
      <c r="JYT21" s="30"/>
      <c r="JYY21" s="93"/>
      <c r="JYZ21" s="30"/>
      <c r="JZE21" s="93"/>
      <c r="JZF21" s="30"/>
      <c r="JZK21" s="93"/>
      <c r="JZL21" s="30"/>
      <c r="JZQ21" s="93"/>
      <c r="JZR21" s="30"/>
      <c r="JZW21" s="93"/>
      <c r="JZX21" s="30"/>
      <c r="KAC21" s="93"/>
      <c r="KAD21" s="30"/>
      <c r="KAI21" s="93"/>
      <c r="KAJ21" s="30"/>
      <c r="KAO21" s="93"/>
      <c r="KAP21" s="30"/>
      <c r="KAU21" s="93"/>
      <c r="KAV21" s="30"/>
      <c r="KBA21" s="93"/>
      <c r="KBB21" s="30"/>
      <c r="KBG21" s="93"/>
      <c r="KBH21" s="30"/>
      <c r="KBM21" s="93"/>
      <c r="KBN21" s="30"/>
      <c r="KBS21" s="93"/>
      <c r="KBT21" s="30"/>
      <c r="KBY21" s="93"/>
      <c r="KBZ21" s="30"/>
      <c r="KCE21" s="93"/>
      <c r="KCF21" s="30"/>
      <c r="KCK21" s="93"/>
      <c r="KCL21" s="30"/>
      <c r="KCQ21" s="93"/>
      <c r="KCR21" s="30"/>
      <c r="KCW21" s="93"/>
      <c r="KCX21" s="30"/>
      <c r="KDC21" s="93"/>
      <c r="KDD21" s="30"/>
      <c r="KDI21" s="93"/>
      <c r="KDJ21" s="30"/>
      <c r="KDO21" s="93"/>
      <c r="KDP21" s="30"/>
      <c r="KDU21" s="93"/>
      <c r="KDV21" s="30"/>
      <c r="KEA21" s="93"/>
      <c r="KEB21" s="30"/>
      <c r="KEG21" s="93"/>
      <c r="KEH21" s="30"/>
      <c r="KEM21" s="93"/>
      <c r="KEN21" s="30"/>
      <c r="KES21" s="93"/>
      <c r="KET21" s="30"/>
      <c r="KEY21" s="93"/>
      <c r="KEZ21" s="30"/>
      <c r="KFE21" s="93"/>
      <c r="KFF21" s="30"/>
      <c r="KFK21" s="93"/>
      <c r="KFL21" s="30"/>
      <c r="KFQ21" s="93"/>
      <c r="KFR21" s="30"/>
      <c r="KFW21" s="93"/>
      <c r="KFX21" s="30"/>
      <c r="KGC21" s="93"/>
      <c r="KGD21" s="30"/>
      <c r="KGI21" s="93"/>
      <c r="KGJ21" s="30"/>
      <c r="KGO21" s="93"/>
      <c r="KGP21" s="30"/>
      <c r="KGU21" s="93"/>
      <c r="KGV21" s="30"/>
      <c r="KHA21" s="93"/>
      <c r="KHB21" s="30"/>
      <c r="KHG21" s="93"/>
      <c r="KHH21" s="30"/>
      <c r="KHM21" s="93"/>
      <c r="KHN21" s="30"/>
      <c r="KHS21" s="93"/>
      <c r="KHT21" s="30"/>
      <c r="KHY21" s="93"/>
      <c r="KHZ21" s="30"/>
      <c r="KIE21" s="93"/>
      <c r="KIF21" s="30"/>
      <c r="KIK21" s="93"/>
      <c r="KIL21" s="30"/>
      <c r="KIQ21" s="93"/>
      <c r="KIR21" s="30"/>
      <c r="KIW21" s="93"/>
      <c r="KIX21" s="30"/>
      <c r="KJC21" s="93"/>
      <c r="KJD21" s="30"/>
      <c r="KJI21" s="93"/>
      <c r="KJJ21" s="30"/>
      <c r="KJO21" s="93"/>
      <c r="KJP21" s="30"/>
      <c r="KJU21" s="93"/>
      <c r="KJV21" s="30"/>
      <c r="KKA21" s="93"/>
      <c r="KKB21" s="30"/>
      <c r="KKG21" s="93"/>
      <c r="KKH21" s="30"/>
      <c r="KKM21" s="93"/>
      <c r="KKN21" s="30"/>
      <c r="KKS21" s="93"/>
      <c r="KKT21" s="30"/>
      <c r="KKY21" s="93"/>
      <c r="KKZ21" s="30"/>
      <c r="KLE21" s="93"/>
      <c r="KLF21" s="30"/>
      <c r="KLK21" s="93"/>
      <c r="KLL21" s="30"/>
      <c r="KLQ21" s="93"/>
      <c r="KLR21" s="30"/>
      <c r="KLW21" s="93"/>
      <c r="KLX21" s="30"/>
      <c r="KMC21" s="93"/>
      <c r="KMD21" s="30"/>
      <c r="KMI21" s="93"/>
      <c r="KMJ21" s="30"/>
      <c r="KMO21" s="93"/>
      <c r="KMP21" s="30"/>
      <c r="KMU21" s="93"/>
      <c r="KMV21" s="30"/>
      <c r="KNA21" s="93"/>
      <c r="KNB21" s="30"/>
      <c r="KNG21" s="93"/>
      <c r="KNH21" s="30"/>
      <c r="KNM21" s="93"/>
      <c r="KNN21" s="30"/>
      <c r="KNS21" s="93"/>
      <c r="KNT21" s="30"/>
      <c r="KNY21" s="93"/>
      <c r="KNZ21" s="30"/>
      <c r="KOE21" s="93"/>
      <c r="KOF21" s="30"/>
      <c r="KOK21" s="93"/>
      <c r="KOL21" s="30"/>
      <c r="KOQ21" s="93"/>
      <c r="KOR21" s="30"/>
      <c r="KOW21" s="93"/>
      <c r="KOX21" s="30"/>
      <c r="KPC21" s="93"/>
      <c r="KPD21" s="30"/>
      <c r="KPI21" s="93"/>
      <c r="KPJ21" s="30"/>
      <c r="KPO21" s="93"/>
      <c r="KPP21" s="30"/>
      <c r="KPU21" s="93"/>
      <c r="KPV21" s="30"/>
      <c r="KQA21" s="93"/>
      <c r="KQB21" s="30"/>
      <c r="KQG21" s="93"/>
      <c r="KQH21" s="30"/>
      <c r="KQM21" s="93"/>
      <c r="KQN21" s="30"/>
      <c r="KQS21" s="93"/>
      <c r="KQT21" s="30"/>
      <c r="KQY21" s="93"/>
      <c r="KQZ21" s="30"/>
      <c r="KRE21" s="93"/>
      <c r="KRF21" s="30"/>
      <c r="KRK21" s="93"/>
      <c r="KRL21" s="30"/>
      <c r="KRQ21" s="93"/>
      <c r="KRR21" s="30"/>
      <c r="KRW21" s="93"/>
      <c r="KRX21" s="30"/>
      <c r="KSC21" s="93"/>
      <c r="KSD21" s="30"/>
      <c r="KSI21" s="93"/>
      <c r="KSJ21" s="30"/>
      <c r="KSO21" s="93"/>
      <c r="KSP21" s="30"/>
      <c r="KSU21" s="93"/>
      <c r="KSV21" s="30"/>
      <c r="KTA21" s="93"/>
      <c r="KTB21" s="30"/>
      <c r="KTG21" s="93"/>
      <c r="KTH21" s="30"/>
      <c r="KTM21" s="93"/>
      <c r="KTN21" s="30"/>
      <c r="KTS21" s="93"/>
      <c r="KTT21" s="30"/>
      <c r="KTY21" s="93"/>
      <c r="KTZ21" s="30"/>
      <c r="KUE21" s="93"/>
      <c r="KUF21" s="30"/>
      <c r="KUK21" s="93"/>
      <c r="KUL21" s="30"/>
      <c r="KUQ21" s="93"/>
      <c r="KUR21" s="30"/>
      <c r="KUW21" s="93"/>
      <c r="KUX21" s="30"/>
      <c r="KVC21" s="93"/>
      <c r="KVD21" s="30"/>
      <c r="KVI21" s="93"/>
      <c r="KVJ21" s="30"/>
      <c r="KVO21" s="93"/>
      <c r="KVP21" s="30"/>
      <c r="KVU21" s="93"/>
      <c r="KVV21" s="30"/>
      <c r="KWA21" s="93"/>
      <c r="KWB21" s="30"/>
      <c r="KWG21" s="93"/>
      <c r="KWH21" s="30"/>
      <c r="KWM21" s="93"/>
      <c r="KWN21" s="30"/>
      <c r="KWS21" s="93"/>
      <c r="KWT21" s="30"/>
      <c r="KWY21" s="93"/>
      <c r="KWZ21" s="30"/>
      <c r="KXE21" s="93"/>
      <c r="KXF21" s="30"/>
      <c r="KXK21" s="93"/>
      <c r="KXL21" s="30"/>
      <c r="KXQ21" s="93"/>
      <c r="KXR21" s="30"/>
      <c r="KXW21" s="93"/>
      <c r="KXX21" s="30"/>
      <c r="KYC21" s="93"/>
      <c r="KYD21" s="30"/>
      <c r="KYI21" s="93"/>
      <c r="KYJ21" s="30"/>
      <c r="KYO21" s="93"/>
      <c r="KYP21" s="30"/>
      <c r="KYU21" s="93"/>
      <c r="KYV21" s="30"/>
      <c r="KZA21" s="93"/>
      <c r="KZB21" s="30"/>
      <c r="KZG21" s="93"/>
      <c r="KZH21" s="30"/>
      <c r="KZM21" s="93"/>
      <c r="KZN21" s="30"/>
      <c r="KZS21" s="93"/>
      <c r="KZT21" s="30"/>
      <c r="KZY21" s="93"/>
      <c r="KZZ21" s="30"/>
      <c r="LAE21" s="93"/>
      <c r="LAF21" s="30"/>
      <c r="LAK21" s="93"/>
      <c r="LAL21" s="30"/>
      <c r="LAQ21" s="93"/>
      <c r="LAR21" s="30"/>
      <c r="LAW21" s="93"/>
      <c r="LAX21" s="30"/>
      <c r="LBC21" s="93"/>
      <c r="LBD21" s="30"/>
      <c r="LBI21" s="93"/>
      <c r="LBJ21" s="30"/>
      <c r="LBO21" s="93"/>
      <c r="LBP21" s="30"/>
      <c r="LBU21" s="93"/>
      <c r="LBV21" s="30"/>
      <c r="LCA21" s="93"/>
      <c r="LCB21" s="30"/>
      <c r="LCG21" s="93"/>
      <c r="LCH21" s="30"/>
      <c r="LCM21" s="93"/>
      <c r="LCN21" s="30"/>
      <c r="LCS21" s="93"/>
      <c r="LCT21" s="30"/>
      <c r="LCY21" s="93"/>
      <c r="LCZ21" s="30"/>
      <c r="LDE21" s="93"/>
      <c r="LDF21" s="30"/>
      <c r="LDK21" s="93"/>
      <c r="LDL21" s="30"/>
      <c r="LDQ21" s="93"/>
      <c r="LDR21" s="30"/>
      <c r="LDW21" s="93"/>
      <c r="LDX21" s="30"/>
      <c r="LEC21" s="93"/>
      <c r="LED21" s="30"/>
      <c r="LEI21" s="93"/>
      <c r="LEJ21" s="30"/>
      <c r="LEO21" s="93"/>
      <c r="LEP21" s="30"/>
      <c r="LEU21" s="93"/>
      <c r="LEV21" s="30"/>
      <c r="LFA21" s="93"/>
      <c r="LFB21" s="30"/>
      <c r="LFG21" s="93"/>
      <c r="LFH21" s="30"/>
      <c r="LFM21" s="93"/>
      <c r="LFN21" s="30"/>
      <c r="LFS21" s="93"/>
      <c r="LFT21" s="30"/>
      <c r="LFY21" s="93"/>
      <c r="LFZ21" s="30"/>
      <c r="LGE21" s="93"/>
      <c r="LGF21" s="30"/>
      <c r="LGK21" s="93"/>
      <c r="LGL21" s="30"/>
      <c r="LGQ21" s="93"/>
      <c r="LGR21" s="30"/>
      <c r="LGW21" s="93"/>
      <c r="LGX21" s="30"/>
      <c r="LHC21" s="93"/>
      <c r="LHD21" s="30"/>
      <c r="LHI21" s="93"/>
      <c r="LHJ21" s="30"/>
      <c r="LHO21" s="93"/>
      <c r="LHP21" s="30"/>
      <c r="LHU21" s="93"/>
      <c r="LHV21" s="30"/>
      <c r="LIA21" s="93"/>
      <c r="LIB21" s="30"/>
      <c r="LIG21" s="93"/>
      <c r="LIH21" s="30"/>
      <c r="LIM21" s="93"/>
      <c r="LIN21" s="30"/>
      <c r="LIS21" s="93"/>
      <c r="LIT21" s="30"/>
      <c r="LIY21" s="93"/>
      <c r="LIZ21" s="30"/>
      <c r="LJE21" s="93"/>
      <c r="LJF21" s="30"/>
      <c r="LJK21" s="93"/>
      <c r="LJL21" s="30"/>
      <c r="LJQ21" s="93"/>
      <c r="LJR21" s="30"/>
      <c r="LJW21" s="93"/>
      <c r="LJX21" s="30"/>
      <c r="LKC21" s="93"/>
      <c r="LKD21" s="30"/>
      <c r="LKI21" s="93"/>
      <c r="LKJ21" s="30"/>
      <c r="LKO21" s="93"/>
      <c r="LKP21" s="30"/>
      <c r="LKU21" s="93"/>
      <c r="LKV21" s="30"/>
      <c r="LLA21" s="93"/>
      <c r="LLB21" s="30"/>
      <c r="LLG21" s="93"/>
      <c r="LLH21" s="30"/>
      <c r="LLM21" s="93"/>
      <c r="LLN21" s="30"/>
      <c r="LLS21" s="93"/>
      <c r="LLT21" s="30"/>
      <c r="LLY21" s="93"/>
      <c r="LLZ21" s="30"/>
      <c r="LME21" s="93"/>
      <c r="LMF21" s="30"/>
      <c r="LMK21" s="93"/>
      <c r="LML21" s="30"/>
      <c r="LMQ21" s="93"/>
      <c r="LMR21" s="30"/>
      <c r="LMW21" s="93"/>
      <c r="LMX21" s="30"/>
      <c r="LNC21" s="93"/>
      <c r="LND21" s="30"/>
      <c r="LNI21" s="93"/>
      <c r="LNJ21" s="30"/>
      <c r="LNO21" s="93"/>
      <c r="LNP21" s="30"/>
      <c r="LNU21" s="93"/>
      <c r="LNV21" s="30"/>
      <c r="LOA21" s="93"/>
      <c r="LOB21" s="30"/>
      <c r="LOG21" s="93"/>
      <c r="LOH21" s="30"/>
      <c r="LOM21" s="93"/>
      <c r="LON21" s="30"/>
      <c r="LOS21" s="93"/>
      <c r="LOT21" s="30"/>
      <c r="LOY21" s="93"/>
      <c r="LOZ21" s="30"/>
      <c r="LPE21" s="93"/>
      <c r="LPF21" s="30"/>
      <c r="LPK21" s="93"/>
      <c r="LPL21" s="30"/>
      <c r="LPQ21" s="93"/>
      <c r="LPR21" s="30"/>
      <c r="LPW21" s="93"/>
      <c r="LPX21" s="30"/>
      <c r="LQC21" s="93"/>
      <c r="LQD21" s="30"/>
      <c r="LQI21" s="93"/>
      <c r="LQJ21" s="30"/>
      <c r="LQO21" s="93"/>
      <c r="LQP21" s="30"/>
      <c r="LQU21" s="93"/>
      <c r="LQV21" s="30"/>
      <c r="LRA21" s="93"/>
      <c r="LRB21" s="30"/>
      <c r="LRG21" s="93"/>
      <c r="LRH21" s="30"/>
      <c r="LRM21" s="93"/>
      <c r="LRN21" s="30"/>
      <c r="LRS21" s="93"/>
      <c r="LRT21" s="30"/>
      <c r="LRY21" s="93"/>
      <c r="LRZ21" s="30"/>
      <c r="LSE21" s="93"/>
      <c r="LSF21" s="30"/>
      <c r="LSK21" s="93"/>
      <c r="LSL21" s="30"/>
      <c r="LSQ21" s="93"/>
      <c r="LSR21" s="30"/>
      <c r="LSW21" s="93"/>
      <c r="LSX21" s="30"/>
      <c r="LTC21" s="93"/>
      <c r="LTD21" s="30"/>
      <c r="LTI21" s="93"/>
      <c r="LTJ21" s="30"/>
      <c r="LTO21" s="93"/>
      <c r="LTP21" s="30"/>
      <c r="LTU21" s="93"/>
      <c r="LTV21" s="30"/>
      <c r="LUA21" s="93"/>
      <c r="LUB21" s="30"/>
      <c r="LUG21" s="93"/>
      <c r="LUH21" s="30"/>
      <c r="LUM21" s="93"/>
      <c r="LUN21" s="30"/>
      <c r="LUS21" s="93"/>
      <c r="LUT21" s="30"/>
      <c r="LUY21" s="93"/>
      <c r="LUZ21" s="30"/>
      <c r="LVE21" s="93"/>
      <c r="LVF21" s="30"/>
      <c r="LVK21" s="93"/>
      <c r="LVL21" s="30"/>
      <c r="LVQ21" s="93"/>
      <c r="LVR21" s="30"/>
      <c r="LVW21" s="93"/>
      <c r="LVX21" s="30"/>
      <c r="LWC21" s="93"/>
      <c r="LWD21" s="30"/>
      <c r="LWI21" s="93"/>
      <c r="LWJ21" s="30"/>
      <c r="LWO21" s="93"/>
      <c r="LWP21" s="30"/>
      <c r="LWU21" s="93"/>
      <c r="LWV21" s="30"/>
      <c r="LXA21" s="93"/>
      <c r="LXB21" s="30"/>
      <c r="LXG21" s="93"/>
      <c r="LXH21" s="30"/>
      <c r="LXM21" s="93"/>
      <c r="LXN21" s="30"/>
      <c r="LXS21" s="93"/>
      <c r="LXT21" s="30"/>
      <c r="LXY21" s="93"/>
      <c r="LXZ21" s="30"/>
      <c r="LYE21" s="93"/>
      <c r="LYF21" s="30"/>
      <c r="LYK21" s="93"/>
      <c r="LYL21" s="30"/>
      <c r="LYQ21" s="93"/>
      <c r="LYR21" s="30"/>
      <c r="LYW21" s="93"/>
      <c r="LYX21" s="30"/>
      <c r="LZC21" s="93"/>
      <c r="LZD21" s="30"/>
      <c r="LZI21" s="93"/>
      <c r="LZJ21" s="30"/>
      <c r="LZO21" s="93"/>
      <c r="LZP21" s="30"/>
      <c r="LZU21" s="93"/>
      <c r="LZV21" s="30"/>
      <c r="MAA21" s="93"/>
      <c r="MAB21" s="30"/>
      <c r="MAG21" s="93"/>
      <c r="MAH21" s="30"/>
      <c r="MAM21" s="93"/>
      <c r="MAN21" s="30"/>
      <c r="MAS21" s="93"/>
      <c r="MAT21" s="30"/>
      <c r="MAY21" s="93"/>
      <c r="MAZ21" s="30"/>
      <c r="MBE21" s="93"/>
      <c r="MBF21" s="30"/>
      <c r="MBK21" s="93"/>
      <c r="MBL21" s="30"/>
      <c r="MBQ21" s="93"/>
      <c r="MBR21" s="30"/>
      <c r="MBW21" s="93"/>
      <c r="MBX21" s="30"/>
      <c r="MCC21" s="93"/>
      <c r="MCD21" s="30"/>
      <c r="MCI21" s="93"/>
      <c r="MCJ21" s="30"/>
      <c r="MCO21" s="93"/>
      <c r="MCP21" s="30"/>
      <c r="MCU21" s="93"/>
      <c r="MCV21" s="30"/>
      <c r="MDA21" s="93"/>
      <c r="MDB21" s="30"/>
      <c r="MDG21" s="93"/>
      <c r="MDH21" s="30"/>
      <c r="MDM21" s="93"/>
      <c r="MDN21" s="30"/>
      <c r="MDS21" s="93"/>
      <c r="MDT21" s="30"/>
      <c r="MDY21" s="93"/>
      <c r="MDZ21" s="30"/>
      <c r="MEE21" s="93"/>
      <c r="MEF21" s="30"/>
      <c r="MEK21" s="93"/>
      <c r="MEL21" s="30"/>
      <c r="MEQ21" s="93"/>
      <c r="MER21" s="30"/>
      <c r="MEW21" s="93"/>
      <c r="MEX21" s="30"/>
      <c r="MFC21" s="93"/>
      <c r="MFD21" s="30"/>
      <c r="MFI21" s="93"/>
      <c r="MFJ21" s="30"/>
      <c r="MFO21" s="93"/>
      <c r="MFP21" s="30"/>
      <c r="MFU21" s="93"/>
      <c r="MFV21" s="30"/>
      <c r="MGA21" s="93"/>
      <c r="MGB21" s="30"/>
      <c r="MGG21" s="93"/>
      <c r="MGH21" s="30"/>
      <c r="MGM21" s="93"/>
      <c r="MGN21" s="30"/>
      <c r="MGS21" s="93"/>
      <c r="MGT21" s="30"/>
      <c r="MGY21" s="93"/>
      <c r="MGZ21" s="30"/>
      <c r="MHE21" s="93"/>
      <c r="MHF21" s="30"/>
      <c r="MHK21" s="93"/>
      <c r="MHL21" s="30"/>
      <c r="MHQ21" s="93"/>
      <c r="MHR21" s="30"/>
      <c r="MHW21" s="93"/>
      <c r="MHX21" s="30"/>
      <c r="MIC21" s="93"/>
      <c r="MID21" s="30"/>
      <c r="MII21" s="93"/>
      <c r="MIJ21" s="30"/>
      <c r="MIO21" s="93"/>
      <c r="MIP21" s="30"/>
      <c r="MIU21" s="93"/>
      <c r="MIV21" s="30"/>
      <c r="MJA21" s="93"/>
      <c r="MJB21" s="30"/>
      <c r="MJG21" s="93"/>
      <c r="MJH21" s="30"/>
      <c r="MJM21" s="93"/>
      <c r="MJN21" s="30"/>
      <c r="MJS21" s="93"/>
      <c r="MJT21" s="30"/>
      <c r="MJY21" s="93"/>
      <c r="MJZ21" s="30"/>
      <c r="MKE21" s="93"/>
      <c r="MKF21" s="30"/>
      <c r="MKK21" s="93"/>
      <c r="MKL21" s="30"/>
      <c r="MKQ21" s="93"/>
      <c r="MKR21" s="30"/>
      <c r="MKW21" s="93"/>
      <c r="MKX21" s="30"/>
      <c r="MLC21" s="93"/>
      <c r="MLD21" s="30"/>
      <c r="MLI21" s="93"/>
      <c r="MLJ21" s="30"/>
      <c r="MLO21" s="93"/>
      <c r="MLP21" s="30"/>
      <c r="MLU21" s="93"/>
      <c r="MLV21" s="30"/>
      <c r="MMA21" s="93"/>
      <c r="MMB21" s="30"/>
      <c r="MMG21" s="93"/>
      <c r="MMH21" s="30"/>
      <c r="MMM21" s="93"/>
      <c r="MMN21" s="30"/>
      <c r="MMS21" s="93"/>
      <c r="MMT21" s="30"/>
      <c r="MMY21" s="93"/>
      <c r="MMZ21" s="30"/>
      <c r="MNE21" s="93"/>
      <c r="MNF21" s="30"/>
      <c r="MNK21" s="93"/>
      <c r="MNL21" s="30"/>
      <c r="MNQ21" s="93"/>
      <c r="MNR21" s="30"/>
      <c r="MNW21" s="93"/>
      <c r="MNX21" s="30"/>
      <c r="MOC21" s="93"/>
      <c r="MOD21" s="30"/>
      <c r="MOI21" s="93"/>
      <c r="MOJ21" s="30"/>
      <c r="MOO21" s="93"/>
      <c r="MOP21" s="30"/>
      <c r="MOU21" s="93"/>
      <c r="MOV21" s="30"/>
      <c r="MPA21" s="93"/>
      <c r="MPB21" s="30"/>
      <c r="MPG21" s="93"/>
      <c r="MPH21" s="30"/>
      <c r="MPM21" s="93"/>
      <c r="MPN21" s="30"/>
      <c r="MPS21" s="93"/>
      <c r="MPT21" s="30"/>
      <c r="MPY21" s="93"/>
      <c r="MPZ21" s="30"/>
      <c r="MQE21" s="93"/>
      <c r="MQF21" s="30"/>
      <c r="MQK21" s="93"/>
      <c r="MQL21" s="30"/>
      <c r="MQQ21" s="93"/>
      <c r="MQR21" s="30"/>
      <c r="MQW21" s="93"/>
      <c r="MQX21" s="30"/>
      <c r="MRC21" s="93"/>
      <c r="MRD21" s="30"/>
      <c r="MRI21" s="93"/>
      <c r="MRJ21" s="30"/>
      <c r="MRO21" s="93"/>
      <c r="MRP21" s="30"/>
      <c r="MRU21" s="93"/>
      <c r="MRV21" s="30"/>
      <c r="MSA21" s="93"/>
      <c r="MSB21" s="30"/>
      <c r="MSG21" s="93"/>
      <c r="MSH21" s="30"/>
      <c r="MSM21" s="93"/>
      <c r="MSN21" s="30"/>
      <c r="MSS21" s="93"/>
      <c r="MST21" s="30"/>
      <c r="MSY21" s="93"/>
      <c r="MSZ21" s="30"/>
      <c r="MTE21" s="93"/>
      <c r="MTF21" s="30"/>
      <c r="MTK21" s="93"/>
      <c r="MTL21" s="30"/>
      <c r="MTQ21" s="93"/>
      <c r="MTR21" s="30"/>
      <c r="MTW21" s="93"/>
      <c r="MTX21" s="30"/>
      <c r="MUC21" s="93"/>
      <c r="MUD21" s="30"/>
      <c r="MUI21" s="93"/>
      <c r="MUJ21" s="30"/>
      <c r="MUO21" s="93"/>
      <c r="MUP21" s="30"/>
      <c r="MUU21" s="93"/>
      <c r="MUV21" s="30"/>
      <c r="MVA21" s="93"/>
      <c r="MVB21" s="30"/>
      <c r="MVG21" s="93"/>
      <c r="MVH21" s="30"/>
      <c r="MVM21" s="93"/>
      <c r="MVN21" s="30"/>
      <c r="MVS21" s="93"/>
      <c r="MVT21" s="30"/>
      <c r="MVY21" s="93"/>
      <c r="MVZ21" s="30"/>
      <c r="MWE21" s="93"/>
      <c r="MWF21" s="30"/>
      <c r="MWK21" s="93"/>
      <c r="MWL21" s="30"/>
      <c r="MWQ21" s="93"/>
      <c r="MWR21" s="30"/>
      <c r="MWW21" s="93"/>
      <c r="MWX21" s="30"/>
      <c r="MXC21" s="93"/>
      <c r="MXD21" s="30"/>
      <c r="MXI21" s="93"/>
      <c r="MXJ21" s="30"/>
      <c r="MXO21" s="93"/>
      <c r="MXP21" s="30"/>
      <c r="MXU21" s="93"/>
      <c r="MXV21" s="30"/>
      <c r="MYA21" s="93"/>
      <c r="MYB21" s="30"/>
      <c r="MYG21" s="93"/>
      <c r="MYH21" s="30"/>
      <c r="MYM21" s="93"/>
      <c r="MYN21" s="30"/>
      <c r="MYS21" s="93"/>
      <c r="MYT21" s="30"/>
      <c r="MYY21" s="93"/>
      <c r="MYZ21" s="30"/>
      <c r="MZE21" s="93"/>
      <c r="MZF21" s="30"/>
      <c r="MZK21" s="93"/>
      <c r="MZL21" s="30"/>
      <c r="MZQ21" s="93"/>
      <c r="MZR21" s="30"/>
      <c r="MZW21" s="93"/>
      <c r="MZX21" s="30"/>
      <c r="NAC21" s="93"/>
      <c r="NAD21" s="30"/>
      <c r="NAI21" s="93"/>
      <c r="NAJ21" s="30"/>
      <c r="NAO21" s="93"/>
      <c r="NAP21" s="30"/>
      <c r="NAU21" s="93"/>
      <c r="NAV21" s="30"/>
      <c r="NBA21" s="93"/>
      <c r="NBB21" s="30"/>
      <c r="NBG21" s="93"/>
      <c r="NBH21" s="30"/>
      <c r="NBM21" s="93"/>
      <c r="NBN21" s="30"/>
      <c r="NBS21" s="93"/>
      <c r="NBT21" s="30"/>
      <c r="NBY21" s="93"/>
      <c r="NBZ21" s="30"/>
      <c r="NCE21" s="93"/>
      <c r="NCF21" s="30"/>
      <c r="NCK21" s="93"/>
      <c r="NCL21" s="30"/>
      <c r="NCQ21" s="93"/>
      <c r="NCR21" s="30"/>
      <c r="NCW21" s="93"/>
      <c r="NCX21" s="30"/>
      <c r="NDC21" s="93"/>
      <c r="NDD21" s="30"/>
      <c r="NDI21" s="93"/>
      <c r="NDJ21" s="30"/>
      <c r="NDO21" s="93"/>
      <c r="NDP21" s="30"/>
      <c r="NDU21" s="93"/>
      <c r="NDV21" s="30"/>
      <c r="NEA21" s="93"/>
      <c r="NEB21" s="30"/>
      <c r="NEG21" s="93"/>
      <c r="NEH21" s="30"/>
      <c r="NEM21" s="93"/>
      <c r="NEN21" s="30"/>
      <c r="NES21" s="93"/>
      <c r="NET21" s="30"/>
      <c r="NEY21" s="93"/>
      <c r="NEZ21" s="30"/>
      <c r="NFE21" s="93"/>
      <c r="NFF21" s="30"/>
      <c r="NFK21" s="93"/>
      <c r="NFL21" s="30"/>
      <c r="NFQ21" s="93"/>
      <c r="NFR21" s="30"/>
      <c r="NFW21" s="93"/>
      <c r="NFX21" s="30"/>
      <c r="NGC21" s="93"/>
      <c r="NGD21" s="30"/>
      <c r="NGI21" s="93"/>
      <c r="NGJ21" s="30"/>
      <c r="NGO21" s="93"/>
      <c r="NGP21" s="30"/>
      <c r="NGU21" s="93"/>
      <c r="NGV21" s="30"/>
      <c r="NHA21" s="93"/>
      <c r="NHB21" s="30"/>
      <c r="NHG21" s="93"/>
      <c r="NHH21" s="30"/>
      <c r="NHM21" s="93"/>
      <c r="NHN21" s="30"/>
      <c r="NHS21" s="93"/>
      <c r="NHT21" s="30"/>
      <c r="NHY21" s="93"/>
      <c r="NHZ21" s="30"/>
      <c r="NIE21" s="93"/>
      <c r="NIF21" s="30"/>
      <c r="NIK21" s="93"/>
      <c r="NIL21" s="30"/>
      <c r="NIQ21" s="93"/>
      <c r="NIR21" s="30"/>
      <c r="NIW21" s="93"/>
      <c r="NIX21" s="30"/>
      <c r="NJC21" s="93"/>
      <c r="NJD21" s="30"/>
      <c r="NJI21" s="93"/>
      <c r="NJJ21" s="30"/>
      <c r="NJO21" s="93"/>
      <c r="NJP21" s="30"/>
      <c r="NJU21" s="93"/>
      <c r="NJV21" s="30"/>
      <c r="NKA21" s="93"/>
      <c r="NKB21" s="30"/>
      <c r="NKG21" s="93"/>
      <c r="NKH21" s="30"/>
      <c r="NKM21" s="93"/>
      <c r="NKN21" s="30"/>
      <c r="NKS21" s="93"/>
      <c r="NKT21" s="30"/>
      <c r="NKY21" s="93"/>
      <c r="NKZ21" s="30"/>
      <c r="NLE21" s="93"/>
      <c r="NLF21" s="30"/>
      <c r="NLK21" s="93"/>
      <c r="NLL21" s="30"/>
      <c r="NLQ21" s="93"/>
      <c r="NLR21" s="30"/>
      <c r="NLW21" s="93"/>
      <c r="NLX21" s="30"/>
      <c r="NMC21" s="93"/>
      <c r="NMD21" s="30"/>
      <c r="NMI21" s="93"/>
      <c r="NMJ21" s="30"/>
      <c r="NMO21" s="93"/>
      <c r="NMP21" s="30"/>
      <c r="NMU21" s="93"/>
      <c r="NMV21" s="30"/>
      <c r="NNA21" s="93"/>
      <c r="NNB21" s="30"/>
      <c r="NNG21" s="93"/>
      <c r="NNH21" s="30"/>
      <c r="NNM21" s="93"/>
      <c r="NNN21" s="30"/>
      <c r="NNS21" s="93"/>
      <c r="NNT21" s="30"/>
      <c r="NNY21" s="93"/>
      <c r="NNZ21" s="30"/>
      <c r="NOE21" s="93"/>
      <c r="NOF21" s="30"/>
      <c r="NOK21" s="93"/>
      <c r="NOL21" s="30"/>
      <c r="NOQ21" s="93"/>
      <c r="NOR21" s="30"/>
      <c r="NOW21" s="93"/>
      <c r="NOX21" s="30"/>
      <c r="NPC21" s="93"/>
      <c r="NPD21" s="30"/>
      <c r="NPI21" s="93"/>
      <c r="NPJ21" s="30"/>
      <c r="NPO21" s="93"/>
      <c r="NPP21" s="30"/>
      <c r="NPU21" s="93"/>
      <c r="NPV21" s="30"/>
      <c r="NQA21" s="93"/>
      <c r="NQB21" s="30"/>
      <c r="NQG21" s="93"/>
      <c r="NQH21" s="30"/>
      <c r="NQM21" s="93"/>
      <c r="NQN21" s="30"/>
      <c r="NQS21" s="93"/>
      <c r="NQT21" s="30"/>
      <c r="NQY21" s="93"/>
      <c r="NQZ21" s="30"/>
      <c r="NRE21" s="93"/>
      <c r="NRF21" s="30"/>
      <c r="NRK21" s="93"/>
      <c r="NRL21" s="30"/>
      <c r="NRQ21" s="93"/>
      <c r="NRR21" s="30"/>
      <c r="NRW21" s="93"/>
      <c r="NRX21" s="30"/>
      <c r="NSC21" s="93"/>
      <c r="NSD21" s="30"/>
      <c r="NSI21" s="93"/>
      <c r="NSJ21" s="30"/>
      <c r="NSO21" s="93"/>
      <c r="NSP21" s="30"/>
      <c r="NSU21" s="93"/>
      <c r="NSV21" s="30"/>
      <c r="NTA21" s="93"/>
      <c r="NTB21" s="30"/>
      <c r="NTG21" s="93"/>
      <c r="NTH21" s="30"/>
      <c r="NTM21" s="93"/>
      <c r="NTN21" s="30"/>
      <c r="NTS21" s="93"/>
      <c r="NTT21" s="30"/>
      <c r="NTY21" s="93"/>
      <c r="NTZ21" s="30"/>
      <c r="NUE21" s="93"/>
      <c r="NUF21" s="30"/>
      <c r="NUK21" s="93"/>
      <c r="NUL21" s="30"/>
      <c r="NUQ21" s="93"/>
      <c r="NUR21" s="30"/>
      <c r="NUW21" s="93"/>
      <c r="NUX21" s="30"/>
      <c r="NVC21" s="93"/>
      <c r="NVD21" s="30"/>
      <c r="NVI21" s="93"/>
      <c r="NVJ21" s="30"/>
      <c r="NVO21" s="93"/>
      <c r="NVP21" s="30"/>
      <c r="NVU21" s="93"/>
      <c r="NVV21" s="30"/>
      <c r="NWA21" s="93"/>
      <c r="NWB21" s="30"/>
      <c r="NWG21" s="93"/>
      <c r="NWH21" s="30"/>
      <c r="NWM21" s="93"/>
      <c r="NWN21" s="30"/>
      <c r="NWS21" s="93"/>
      <c r="NWT21" s="30"/>
      <c r="NWY21" s="93"/>
      <c r="NWZ21" s="30"/>
      <c r="NXE21" s="93"/>
      <c r="NXF21" s="30"/>
      <c r="NXK21" s="93"/>
      <c r="NXL21" s="30"/>
      <c r="NXQ21" s="93"/>
      <c r="NXR21" s="30"/>
      <c r="NXW21" s="93"/>
      <c r="NXX21" s="30"/>
      <c r="NYC21" s="93"/>
      <c r="NYD21" s="30"/>
      <c r="NYI21" s="93"/>
      <c r="NYJ21" s="30"/>
      <c r="NYO21" s="93"/>
      <c r="NYP21" s="30"/>
      <c r="NYU21" s="93"/>
      <c r="NYV21" s="30"/>
      <c r="NZA21" s="93"/>
      <c r="NZB21" s="30"/>
      <c r="NZG21" s="93"/>
      <c r="NZH21" s="30"/>
      <c r="NZM21" s="93"/>
      <c r="NZN21" s="30"/>
      <c r="NZS21" s="93"/>
      <c r="NZT21" s="30"/>
      <c r="NZY21" s="93"/>
      <c r="NZZ21" s="30"/>
      <c r="OAE21" s="93"/>
      <c r="OAF21" s="30"/>
      <c r="OAK21" s="93"/>
      <c r="OAL21" s="30"/>
      <c r="OAQ21" s="93"/>
      <c r="OAR21" s="30"/>
      <c r="OAW21" s="93"/>
      <c r="OAX21" s="30"/>
      <c r="OBC21" s="93"/>
      <c r="OBD21" s="30"/>
      <c r="OBI21" s="93"/>
      <c r="OBJ21" s="30"/>
      <c r="OBO21" s="93"/>
      <c r="OBP21" s="30"/>
      <c r="OBU21" s="93"/>
      <c r="OBV21" s="30"/>
      <c r="OCA21" s="93"/>
      <c r="OCB21" s="30"/>
      <c r="OCG21" s="93"/>
      <c r="OCH21" s="30"/>
      <c r="OCM21" s="93"/>
      <c r="OCN21" s="30"/>
      <c r="OCS21" s="93"/>
      <c r="OCT21" s="30"/>
      <c r="OCY21" s="93"/>
      <c r="OCZ21" s="30"/>
      <c r="ODE21" s="93"/>
      <c r="ODF21" s="30"/>
      <c r="ODK21" s="93"/>
      <c r="ODL21" s="30"/>
      <c r="ODQ21" s="93"/>
      <c r="ODR21" s="30"/>
      <c r="ODW21" s="93"/>
      <c r="ODX21" s="30"/>
      <c r="OEC21" s="93"/>
      <c r="OED21" s="30"/>
      <c r="OEI21" s="93"/>
      <c r="OEJ21" s="30"/>
      <c r="OEO21" s="93"/>
      <c r="OEP21" s="30"/>
      <c r="OEU21" s="93"/>
      <c r="OEV21" s="30"/>
      <c r="OFA21" s="93"/>
      <c r="OFB21" s="30"/>
      <c r="OFG21" s="93"/>
      <c r="OFH21" s="30"/>
      <c r="OFM21" s="93"/>
      <c r="OFN21" s="30"/>
      <c r="OFS21" s="93"/>
      <c r="OFT21" s="30"/>
      <c r="OFY21" s="93"/>
      <c r="OFZ21" s="30"/>
      <c r="OGE21" s="93"/>
      <c r="OGF21" s="30"/>
      <c r="OGK21" s="93"/>
      <c r="OGL21" s="30"/>
      <c r="OGQ21" s="93"/>
      <c r="OGR21" s="30"/>
      <c r="OGW21" s="93"/>
      <c r="OGX21" s="30"/>
      <c r="OHC21" s="93"/>
      <c r="OHD21" s="30"/>
      <c r="OHI21" s="93"/>
      <c r="OHJ21" s="30"/>
      <c r="OHO21" s="93"/>
      <c r="OHP21" s="30"/>
      <c r="OHU21" s="93"/>
      <c r="OHV21" s="30"/>
      <c r="OIA21" s="93"/>
      <c r="OIB21" s="30"/>
      <c r="OIG21" s="93"/>
      <c r="OIH21" s="30"/>
      <c r="OIM21" s="93"/>
      <c r="OIN21" s="30"/>
      <c r="OIS21" s="93"/>
      <c r="OIT21" s="30"/>
      <c r="OIY21" s="93"/>
      <c r="OIZ21" s="30"/>
      <c r="OJE21" s="93"/>
      <c r="OJF21" s="30"/>
      <c r="OJK21" s="93"/>
      <c r="OJL21" s="30"/>
      <c r="OJQ21" s="93"/>
      <c r="OJR21" s="30"/>
      <c r="OJW21" s="93"/>
      <c r="OJX21" s="30"/>
      <c r="OKC21" s="93"/>
      <c r="OKD21" s="30"/>
      <c r="OKI21" s="93"/>
      <c r="OKJ21" s="30"/>
      <c r="OKO21" s="93"/>
      <c r="OKP21" s="30"/>
      <c r="OKU21" s="93"/>
      <c r="OKV21" s="30"/>
      <c r="OLA21" s="93"/>
      <c r="OLB21" s="30"/>
      <c r="OLG21" s="93"/>
      <c r="OLH21" s="30"/>
      <c r="OLM21" s="93"/>
      <c r="OLN21" s="30"/>
      <c r="OLS21" s="93"/>
      <c r="OLT21" s="30"/>
      <c r="OLY21" s="93"/>
      <c r="OLZ21" s="30"/>
      <c r="OME21" s="93"/>
      <c r="OMF21" s="30"/>
      <c r="OMK21" s="93"/>
      <c r="OML21" s="30"/>
      <c r="OMQ21" s="93"/>
      <c r="OMR21" s="30"/>
      <c r="OMW21" s="93"/>
      <c r="OMX21" s="30"/>
      <c r="ONC21" s="93"/>
      <c r="OND21" s="30"/>
      <c r="ONI21" s="93"/>
      <c r="ONJ21" s="30"/>
      <c r="ONO21" s="93"/>
      <c r="ONP21" s="30"/>
      <c r="ONU21" s="93"/>
      <c r="ONV21" s="30"/>
      <c r="OOA21" s="93"/>
      <c r="OOB21" s="30"/>
      <c r="OOG21" s="93"/>
      <c r="OOH21" s="30"/>
      <c r="OOM21" s="93"/>
      <c r="OON21" s="30"/>
      <c r="OOS21" s="93"/>
      <c r="OOT21" s="30"/>
      <c r="OOY21" s="93"/>
      <c r="OOZ21" s="30"/>
      <c r="OPE21" s="93"/>
      <c r="OPF21" s="30"/>
      <c r="OPK21" s="93"/>
      <c r="OPL21" s="30"/>
      <c r="OPQ21" s="93"/>
      <c r="OPR21" s="30"/>
      <c r="OPW21" s="93"/>
      <c r="OPX21" s="30"/>
      <c r="OQC21" s="93"/>
      <c r="OQD21" s="30"/>
      <c r="OQI21" s="93"/>
      <c r="OQJ21" s="30"/>
      <c r="OQO21" s="93"/>
      <c r="OQP21" s="30"/>
      <c r="OQU21" s="93"/>
      <c r="OQV21" s="30"/>
      <c r="ORA21" s="93"/>
      <c r="ORB21" s="30"/>
      <c r="ORG21" s="93"/>
      <c r="ORH21" s="30"/>
      <c r="ORM21" s="93"/>
      <c r="ORN21" s="30"/>
      <c r="ORS21" s="93"/>
      <c r="ORT21" s="30"/>
      <c r="ORY21" s="93"/>
      <c r="ORZ21" s="30"/>
      <c r="OSE21" s="93"/>
      <c r="OSF21" s="30"/>
      <c r="OSK21" s="93"/>
      <c r="OSL21" s="30"/>
      <c r="OSQ21" s="93"/>
      <c r="OSR21" s="30"/>
      <c r="OSW21" s="93"/>
      <c r="OSX21" s="30"/>
      <c r="OTC21" s="93"/>
      <c r="OTD21" s="30"/>
      <c r="OTI21" s="93"/>
      <c r="OTJ21" s="30"/>
      <c r="OTO21" s="93"/>
      <c r="OTP21" s="30"/>
      <c r="OTU21" s="93"/>
      <c r="OTV21" s="30"/>
      <c r="OUA21" s="93"/>
      <c r="OUB21" s="30"/>
      <c r="OUG21" s="93"/>
      <c r="OUH21" s="30"/>
      <c r="OUM21" s="93"/>
      <c r="OUN21" s="30"/>
      <c r="OUS21" s="93"/>
      <c r="OUT21" s="30"/>
      <c r="OUY21" s="93"/>
      <c r="OUZ21" s="30"/>
      <c r="OVE21" s="93"/>
      <c r="OVF21" s="30"/>
      <c r="OVK21" s="93"/>
      <c r="OVL21" s="30"/>
      <c r="OVQ21" s="93"/>
      <c r="OVR21" s="30"/>
      <c r="OVW21" s="93"/>
      <c r="OVX21" s="30"/>
      <c r="OWC21" s="93"/>
      <c r="OWD21" s="30"/>
      <c r="OWI21" s="93"/>
      <c r="OWJ21" s="30"/>
      <c r="OWO21" s="93"/>
      <c r="OWP21" s="30"/>
      <c r="OWU21" s="93"/>
      <c r="OWV21" s="30"/>
      <c r="OXA21" s="93"/>
      <c r="OXB21" s="30"/>
      <c r="OXG21" s="93"/>
      <c r="OXH21" s="30"/>
      <c r="OXM21" s="93"/>
      <c r="OXN21" s="30"/>
      <c r="OXS21" s="93"/>
      <c r="OXT21" s="30"/>
      <c r="OXY21" s="93"/>
      <c r="OXZ21" s="30"/>
      <c r="OYE21" s="93"/>
      <c r="OYF21" s="30"/>
      <c r="OYK21" s="93"/>
      <c r="OYL21" s="30"/>
      <c r="OYQ21" s="93"/>
      <c r="OYR21" s="30"/>
      <c r="OYW21" s="93"/>
      <c r="OYX21" s="30"/>
      <c r="OZC21" s="93"/>
      <c r="OZD21" s="30"/>
      <c r="OZI21" s="93"/>
      <c r="OZJ21" s="30"/>
      <c r="OZO21" s="93"/>
      <c r="OZP21" s="30"/>
      <c r="OZU21" s="93"/>
      <c r="OZV21" s="30"/>
      <c r="PAA21" s="93"/>
      <c r="PAB21" s="30"/>
      <c r="PAG21" s="93"/>
      <c r="PAH21" s="30"/>
      <c r="PAM21" s="93"/>
      <c r="PAN21" s="30"/>
      <c r="PAS21" s="93"/>
      <c r="PAT21" s="30"/>
      <c r="PAY21" s="93"/>
      <c r="PAZ21" s="30"/>
      <c r="PBE21" s="93"/>
      <c r="PBF21" s="30"/>
      <c r="PBK21" s="93"/>
      <c r="PBL21" s="30"/>
      <c r="PBQ21" s="93"/>
      <c r="PBR21" s="30"/>
      <c r="PBW21" s="93"/>
      <c r="PBX21" s="30"/>
      <c r="PCC21" s="93"/>
      <c r="PCD21" s="30"/>
      <c r="PCI21" s="93"/>
      <c r="PCJ21" s="30"/>
      <c r="PCO21" s="93"/>
      <c r="PCP21" s="30"/>
      <c r="PCU21" s="93"/>
      <c r="PCV21" s="30"/>
      <c r="PDA21" s="93"/>
      <c r="PDB21" s="30"/>
      <c r="PDG21" s="93"/>
      <c r="PDH21" s="30"/>
      <c r="PDM21" s="93"/>
      <c r="PDN21" s="30"/>
      <c r="PDS21" s="93"/>
      <c r="PDT21" s="30"/>
      <c r="PDY21" s="93"/>
      <c r="PDZ21" s="30"/>
      <c r="PEE21" s="93"/>
      <c r="PEF21" s="30"/>
      <c r="PEK21" s="93"/>
      <c r="PEL21" s="30"/>
      <c r="PEQ21" s="93"/>
      <c r="PER21" s="30"/>
      <c r="PEW21" s="93"/>
      <c r="PEX21" s="30"/>
      <c r="PFC21" s="93"/>
      <c r="PFD21" s="30"/>
      <c r="PFI21" s="93"/>
      <c r="PFJ21" s="30"/>
      <c r="PFO21" s="93"/>
      <c r="PFP21" s="30"/>
      <c r="PFU21" s="93"/>
      <c r="PFV21" s="30"/>
      <c r="PGA21" s="93"/>
      <c r="PGB21" s="30"/>
      <c r="PGG21" s="93"/>
      <c r="PGH21" s="30"/>
      <c r="PGM21" s="93"/>
      <c r="PGN21" s="30"/>
      <c r="PGS21" s="93"/>
      <c r="PGT21" s="30"/>
      <c r="PGY21" s="93"/>
      <c r="PGZ21" s="30"/>
      <c r="PHE21" s="93"/>
      <c r="PHF21" s="30"/>
      <c r="PHK21" s="93"/>
      <c r="PHL21" s="30"/>
      <c r="PHQ21" s="93"/>
      <c r="PHR21" s="30"/>
      <c r="PHW21" s="93"/>
      <c r="PHX21" s="30"/>
      <c r="PIC21" s="93"/>
      <c r="PID21" s="30"/>
      <c r="PII21" s="93"/>
      <c r="PIJ21" s="30"/>
      <c r="PIO21" s="93"/>
      <c r="PIP21" s="30"/>
      <c r="PIU21" s="93"/>
      <c r="PIV21" s="30"/>
      <c r="PJA21" s="93"/>
      <c r="PJB21" s="30"/>
      <c r="PJG21" s="93"/>
      <c r="PJH21" s="30"/>
      <c r="PJM21" s="93"/>
      <c r="PJN21" s="30"/>
      <c r="PJS21" s="93"/>
      <c r="PJT21" s="30"/>
      <c r="PJY21" s="93"/>
      <c r="PJZ21" s="30"/>
      <c r="PKE21" s="93"/>
      <c r="PKF21" s="30"/>
      <c r="PKK21" s="93"/>
      <c r="PKL21" s="30"/>
      <c r="PKQ21" s="93"/>
      <c r="PKR21" s="30"/>
      <c r="PKW21" s="93"/>
      <c r="PKX21" s="30"/>
      <c r="PLC21" s="93"/>
      <c r="PLD21" s="30"/>
      <c r="PLI21" s="93"/>
      <c r="PLJ21" s="30"/>
      <c r="PLO21" s="93"/>
      <c r="PLP21" s="30"/>
      <c r="PLU21" s="93"/>
      <c r="PLV21" s="30"/>
      <c r="PMA21" s="93"/>
      <c r="PMB21" s="30"/>
      <c r="PMG21" s="93"/>
      <c r="PMH21" s="30"/>
      <c r="PMM21" s="93"/>
      <c r="PMN21" s="30"/>
      <c r="PMS21" s="93"/>
      <c r="PMT21" s="30"/>
      <c r="PMY21" s="93"/>
      <c r="PMZ21" s="30"/>
      <c r="PNE21" s="93"/>
      <c r="PNF21" s="30"/>
      <c r="PNK21" s="93"/>
      <c r="PNL21" s="30"/>
      <c r="PNQ21" s="93"/>
      <c r="PNR21" s="30"/>
      <c r="PNW21" s="93"/>
      <c r="PNX21" s="30"/>
      <c r="POC21" s="93"/>
      <c r="POD21" s="30"/>
      <c r="POI21" s="93"/>
      <c r="POJ21" s="30"/>
      <c r="POO21" s="93"/>
      <c r="POP21" s="30"/>
      <c r="POU21" s="93"/>
      <c r="POV21" s="30"/>
      <c r="PPA21" s="93"/>
      <c r="PPB21" s="30"/>
      <c r="PPG21" s="93"/>
      <c r="PPH21" s="30"/>
      <c r="PPM21" s="93"/>
      <c r="PPN21" s="30"/>
      <c r="PPS21" s="93"/>
      <c r="PPT21" s="30"/>
      <c r="PPY21" s="93"/>
      <c r="PPZ21" s="30"/>
      <c r="PQE21" s="93"/>
      <c r="PQF21" s="30"/>
      <c r="PQK21" s="93"/>
      <c r="PQL21" s="30"/>
      <c r="PQQ21" s="93"/>
      <c r="PQR21" s="30"/>
      <c r="PQW21" s="93"/>
      <c r="PQX21" s="30"/>
      <c r="PRC21" s="93"/>
      <c r="PRD21" s="30"/>
      <c r="PRI21" s="93"/>
      <c r="PRJ21" s="30"/>
      <c r="PRO21" s="93"/>
      <c r="PRP21" s="30"/>
      <c r="PRU21" s="93"/>
      <c r="PRV21" s="30"/>
      <c r="PSA21" s="93"/>
      <c r="PSB21" s="30"/>
      <c r="PSG21" s="93"/>
      <c r="PSH21" s="30"/>
      <c r="PSM21" s="93"/>
      <c r="PSN21" s="30"/>
      <c r="PSS21" s="93"/>
      <c r="PST21" s="30"/>
      <c r="PSY21" s="93"/>
      <c r="PSZ21" s="30"/>
      <c r="PTE21" s="93"/>
      <c r="PTF21" s="30"/>
      <c r="PTK21" s="93"/>
      <c r="PTL21" s="30"/>
      <c r="PTQ21" s="93"/>
      <c r="PTR21" s="30"/>
      <c r="PTW21" s="93"/>
      <c r="PTX21" s="30"/>
      <c r="PUC21" s="93"/>
      <c r="PUD21" s="30"/>
      <c r="PUI21" s="93"/>
      <c r="PUJ21" s="30"/>
      <c r="PUO21" s="93"/>
      <c r="PUP21" s="30"/>
      <c r="PUU21" s="93"/>
      <c r="PUV21" s="30"/>
      <c r="PVA21" s="93"/>
      <c r="PVB21" s="30"/>
      <c r="PVG21" s="93"/>
      <c r="PVH21" s="30"/>
      <c r="PVM21" s="93"/>
      <c r="PVN21" s="30"/>
      <c r="PVS21" s="93"/>
      <c r="PVT21" s="30"/>
      <c r="PVY21" s="93"/>
      <c r="PVZ21" s="30"/>
      <c r="PWE21" s="93"/>
      <c r="PWF21" s="30"/>
      <c r="PWK21" s="93"/>
      <c r="PWL21" s="30"/>
      <c r="PWQ21" s="93"/>
      <c r="PWR21" s="30"/>
      <c r="PWW21" s="93"/>
      <c r="PWX21" s="30"/>
      <c r="PXC21" s="93"/>
      <c r="PXD21" s="30"/>
      <c r="PXI21" s="93"/>
      <c r="PXJ21" s="30"/>
      <c r="PXO21" s="93"/>
      <c r="PXP21" s="30"/>
      <c r="PXU21" s="93"/>
      <c r="PXV21" s="30"/>
      <c r="PYA21" s="93"/>
      <c r="PYB21" s="30"/>
      <c r="PYG21" s="93"/>
      <c r="PYH21" s="30"/>
      <c r="PYM21" s="93"/>
      <c r="PYN21" s="30"/>
      <c r="PYS21" s="93"/>
      <c r="PYT21" s="30"/>
      <c r="PYY21" s="93"/>
      <c r="PYZ21" s="30"/>
      <c r="PZE21" s="93"/>
      <c r="PZF21" s="30"/>
      <c r="PZK21" s="93"/>
      <c r="PZL21" s="30"/>
      <c r="PZQ21" s="93"/>
      <c r="PZR21" s="30"/>
      <c r="PZW21" s="93"/>
      <c r="PZX21" s="30"/>
      <c r="QAC21" s="93"/>
      <c r="QAD21" s="30"/>
      <c r="QAI21" s="93"/>
      <c r="QAJ21" s="30"/>
      <c r="QAO21" s="93"/>
      <c r="QAP21" s="30"/>
      <c r="QAU21" s="93"/>
      <c r="QAV21" s="30"/>
      <c r="QBA21" s="93"/>
      <c r="QBB21" s="30"/>
      <c r="QBG21" s="93"/>
      <c r="QBH21" s="30"/>
      <c r="QBM21" s="93"/>
      <c r="QBN21" s="30"/>
      <c r="QBS21" s="93"/>
      <c r="QBT21" s="30"/>
      <c r="QBY21" s="93"/>
      <c r="QBZ21" s="30"/>
      <c r="QCE21" s="93"/>
      <c r="QCF21" s="30"/>
      <c r="QCK21" s="93"/>
      <c r="QCL21" s="30"/>
      <c r="QCQ21" s="93"/>
      <c r="QCR21" s="30"/>
      <c r="QCW21" s="93"/>
      <c r="QCX21" s="30"/>
      <c r="QDC21" s="93"/>
      <c r="QDD21" s="30"/>
      <c r="QDI21" s="93"/>
      <c r="QDJ21" s="30"/>
      <c r="QDO21" s="93"/>
      <c r="QDP21" s="30"/>
      <c r="QDU21" s="93"/>
      <c r="QDV21" s="30"/>
      <c r="QEA21" s="93"/>
      <c r="QEB21" s="30"/>
      <c r="QEG21" s="93"/>
      <c r="QEH21" s="30"/>
      <c r="QEM21" s="93"/>
      <c r="QEN21" s="30"/>
      <c r="QES21" s="93"/>
      <c r="QET21" s="30"/>
      <c r="QEY21" s="93"/>
      <c r="QEZ21" s="30"/>
      <c r="QFE21" s="93"/>
      <c r="QFF21" s="30"/>
      <c r="QFK21" s="93"/>
      <c r="QFL21" s="30"/>
      <c r="QFQ21" s="93"/>
      <c r="QFR21" s="30"/>
      <c r="QFW21" s="93"/>
      <c r="QFX21" s="30"/>
      <c r="QGC21" s="93"/>
      <c r="QGD21" s="30"/>
      <c r="QGI21" s="93"/>
      <c r="QGJ21" s="30"/>
      <c r="QGO21" s="93"/>
      <c r="QGP21" s="30"/>
      <c r="QGU21" s="93"/>
      <c r="QGV21" s="30"/>
      <c r="QHA21" s="93"/>
      <c r="QHB21" s="30"/>
      <c r="QHG21" s="93"/>
      <c r="QHH21" s="30"/>
      <c r="QHM21" s="93"/>
      <c r="QHN21" s="30"/>
      <c r="QHS21" s="93"/>
      <c r="QHT21" s="30"/>
      <c r="QHY21" s="93"/>
      <c r="QHZ21" s="30"/>
      <c r="QIE21" s="93"/>
      <c r="QIF21" s="30"/>
      <c r="QIK21" s="93"/>
      <c r="QIL21" s="30"/>
      <c r="QIQ21" s="93"/>
      <c r="QIR21" s="30"/>
      <c r="QIW21" s="93"/>
      <c r="QIX21" s="30"/>
      <c r="QJC21" s="93"/>
      <c r="QJD21" s="30"/>
      <c r="QJI21" s="93"/>
      <c r="QJJ21" s="30"/>
      <c r="QJO21" s="93"/>
      <c r="QJP21" s="30"/>
      <c r="QJU21" s="93"/>
      <c r="QJV21" s="30"/>
      <c r="QKA21" s="93"/>
      <c r="QKB21" s="30"/>
      <c r="QKG21" s="93"/>
      <c r="QKH21" s="30"/>
      <c r="QKM21" s="93"/>
      <c r="QKN21" s="30"/>
      <c r="QKS21" s="93"/>
      <c r="QKT21" s="30"/>
      <c r="QKY21" s="93"/>
      <c r="QKZ21" s="30"/>
      <c r="QLE21" s="93"/>
      <c r="QLF21" s="30"/>
      <c r="QLK21" s="93"/>
      <c r="QLL21" s="30"/>
      <c r="QLQ21" s="93"/>
      <c r="QLR21" s="30"/>
      <c r="QLW21" s="93"/>
      <c r="QLX21" s="30"/>
      <c r="QMC21" s="93"/>
      <c r="QMD21" s="30"/>
      <c r="QMI21" s="93"/>
      <c r="QMJ21" s="30"/>
      <c r="QMO21" s="93"/>
      <c r="QMP21" s="30"/>
      <c r="QMU21" s="93"/>
      <c r="QMV21" s="30"/>
      <c r="QNA21" s="93"/>
      <c r="QNB21" s="30"/>
      <c r="QNG21" s="93"/>
      <c r="QNH21" s="30"/>
      <c r="QNM21" s="93"/>
      <c r="QNN21" s="30"/>
      <c r="QNS21" s="93"/>
      <c r="QNT21" s="30"/>
      <c r="QNY21" s="93"/>
      <c r="QNZ21" s="30"/>
      <c r="QOE21" s="93"/>
      <c r="QOF21" s="30"/>
      <c r="QOK21" s="93"/>
      <c r="QOL21" s="30"/>
      <c r="QOQ21" s="93"/>
      <c r="QOR21" s="30"/>
      <c r="QOW21" s="93"/>
      <c r="QOX21" s="30"/>
      <c r="QPC21" s="93"/>
      <c r="QPD21" s="30"/>
      <c r="QPI21" s="93"/>
      <c r="QPJ21" s="30"/>
      <c r="QPO21" s="93"/>
      <c r="QPP21" s="30"/>
      <c r="QPU21" s="93"/>
      <c r="QPV21" s="30"/>
      <c r="QQA21" s="93"/>
      <c r="QQB21" s="30"/>
      <c r="QQG21" s="93"/>
      <c r="QQH21" s="30"/>
      <c r="QQM21" s="93"/>
      <c r="QQN21" s="30"/>
      <c r="QQS21" s="93"/>
      <c r="QQT21" s="30"/>
      <c r="QQY21" s="93"/>
      <c r="QQZ21" s="30"/>
      <c r="QRE21" s="93"/>
      <c r="QRF21" s="30"/>
      <c r="QRK21" s="93"/>
      <c r="QRL21" s="30"/>
      <c r="QRQ21" s="93"/>
      <c r="QRR21" s="30"/>
      <c r="QRW21" s="93"/>
      <c r="QRX21" s="30"/>
      <c r="QSC21" s="93"/>
      <c r="QSD21" s="30"/>
      <c r="QSI21" s="93"/>
      <c r="QSJ21" s="30"/>
      <c r="QSO21" s="93"/>
      <c r="QSP21" s="30"/>
      <c r="QSU21" s="93"/>
      <c r="QSV21" s="30"/>
      <c r="QTA21" s="93"/>
      <c r="QTB21" s="30"/>
      <c r="QTG21" s="93"/>
      <c r="QTH21" s="30"/>
      <c r="QTM21" s="93"/>
      <c r="QTN21" s="30"/>
      <c r="QTS21" s="93"/>
      <c r="QTT21" s="30"/>
      <c r="QTY21" s="93"/>
      <c r="QTZ21" s="30"/>
      <c r="QUE21" s="93"/>
      <c r="QUF21" s="30"/>
      <c r="QUK21" s="93"/>
      <c r="QUL21" s="30"/>
      <c r="QUQ21" s="93"/>
      <c r="QUR21" s="30"/>
      <c r="QUW21" s="93"/>
      <c r="QUX21" s="30"/>
      <c r="QVC21" s="93"/>
      <c r="QVD21" s="30"/>
      <c r="QVI21" s="93"/>
      <c r="QVJ21" s="30"/>
      <c r="QVO21" s="93"/>
      <c r="QVP21" s="30"/>
      <c r="QVU21" s="93"/>
      <c r="QVV21" s="30"/>
      <c r="QWA21" s="93"/>
      <c r="QWB21" s="30"/>
      <c r="QWG21" s="93"/>
      <c r="QWH21" s="30"/>
      <c r="QWM21" s="93"/>
      <c r="QWN21" s="30"/>
      <c r="QWS21" s="93"/>
      <c r="QWT21" s="30"/>
      <c r="QWY21" s="93"/>
      <c r="QWZ21" s="30"/>
      <c r="QXE21" s="93"/>
      <c r="QXF21" s="30"/>
      <c r="QXK21" s="93"/>
      <c r="QXL21" s="30"/>
      <c r="QXQ21" s="93"/>
      <c r="QXR21" s="30"/>
      <c r="QXW21" s="93"/>
      <c r="QXX21" s="30"/>
      <c r="QYC21" s="93"/>
      <c r="QYD21" s="30"/>
      <c r="QYI21" s="93"/>
      <c r="QYJ21" s="30"/>
      <c r="QYO21" s="93"/>
      <c r="QYP21" s="30"/>
      <c r="QYU21" s="93"/>
      <c r="QYV21" s="30"/>
      <c r="QZA21" s="93"/>
      <c r="QZB21" s="30"/>
      <c r="QZG21" s="93"/>
      <c r="QZH21" s="30"/>
      <c r="QZM21" s="93"/>
      <c r="QZN21" s="30"/>
      <c r="QZS21" s="93"/>
      <c r="QZT21" s="30"/>
      <c r="QZY21" s="93"/>
      <c r="QZZ21" s="30"/>
      <c r="RAE21" s="93"/>
      <c r="RAF21" s="30"/>
      <c r="RAK21" s="93"/>
      <c r="RAL21" s="30"/>
      <c r="RAQ21" s="93"/>
      <c r="RAR21" s="30"/>
      <c r="RAW21" s="93"/>
      <c r="RAX21" s="30"/>
      <c r="RBC21" s="93"/>
      <c r="RBD21" s="30"/>
      <c r="RBI21" s="93"/>
      <c r="RBJ21" s="30"/>
      <c r="RBO21" s="93"/>
      <c r="RBP21" s="30"/>
      <c r="RBU21" s="93"/>
      <c r="RBV21" s="30"/>
      <c r="RCA21" s="93"/>
      <c r="RCB21" s="30"/>
      <c r="RCG21" s="93"/>
      <c r="RCH21" s="30"/>
      <c r="RCM21" s="93"/>
      <c r="RCN21" s="30"/>
      <c r="RCS21" s="93"/>
      <c r="RCT21" s="30"/>
      <c r="RCY21" s="93"/>
      <c r="RCZ21" s="30"/>
      <c r="RDE21" s="93"/>
      <c r="RDF21" s="30"/>
      <c r="RDK21" s="93"/>
      <c r="RDL21" s="30"/>
      <c r="RDQ21" s="93"/>
      <c r="RDR21" s="30"/>
      <c r="RDW21" s="93"/>
      <c r="RDX21" s="30"/>
      <c r="REC21" s="93"/>
      <c r="RED21" s="30"/>
      <c r="REI21" s="93"/>
      <c r="REJ21" s="30"/>
      <c r="REO21" s="93"/>
      <c r="REP21" s="30"/>
      <c r="REU21" s="93"/>
      <c r="REV21" s="30"/>
      <c r="RFA21" s="93"/>
      <c r="RFB21" s="30"/>
      <c r="RFG21" s="93"/>
      <c r="RFH21" s="30"/>
      <c r="RFM21" s="93"/>
      <c r="RFN21" s="30"/>
      <c r="RFS21" s="93"/>
      <c r="RFT21" s="30"/>
      <c r="RFY21" s="93"/>
      <c r="RFZ21" s="30"/>
      <c r="RGE21" s="93"/>
      <c r="RGF21" s="30"/>
      <c r="RGK21" s="93"/>
      <c r="RGL21" s="30"/>
      <c r="RGQ21" s="93"/>
      <c r="RGR21" s="30"/>
      <c r="RGW21" s="93"/>
      <c r="RGX21" s="30"/>
      <c r="RHC21" s="93"/>
      <c r="RHD21" s="30"/>
      <c r="RHI21" s="93"/>
      <c r="RHJ21" s="30"/>
      <c r="RHO21" s="93"/>
      <c r="RHP21" s="30"/>
      <c r="RHU21" s="93"/>
      <c r="RHV21" s="30"/>
      <c r="RIA21" s="93"/>
      <c r="RIB21" s="30"/>
      <c r="RIG21" s="93"/>
      <c r="RIH21" s="30"/>
      <c r="RIM21" s="93"/>
      <c r="RIN21" s="30"/>
      <c r="RIS21" s="93"/>
      <c r="RIT21" s="30"/>
      <c r="RIY21" s="93"/>
      <c r="RIZ21" s="30"/>
      <c r="RJE21" s="93"/>
      <c r="RJF21" s="30"/>
      <c r="RJK21" s="93"/>
      <c r="RJL21" s="30"/>
      <c r="RJQ21" s="93"/>
      <c r="RJR21" s="30"/>
      <c r="RJW21" s="93"/>
      <c r="RJX21" s="30"/>
      <c r="RKC21" s="93"/>
      <c r="RKD21" s="30"/>
      <c r="RKI21" s="93"/>
      <c r="RKJ21" s="30"/>
      <c r="RKO21" s="93"/>
      <c r="RKP21" s="30"/>
      <c r="RKU21" s="93"/>
      <c r="RKV21" s="30"/>
      <c r="RLA21" s="93"/>
      <c r="RLB21" s="30"/>
      <c r="RLG21" s="93"/>
      <c r="RLH21" s="30"/>
      <c r="RLM21" s="93"/>
      <c r="RLN21" s="30"/>
      <c r="RLS21" s="93"/>
      <c r="RLT21" s="30"/>
      <c r="RLY21" s="93"/>
      <c r="RLZ21" s="30"/>
      <c r="RME21" s="93"/>
      <c r="RMF21" s="30"/>
      <c r="RMK21" s="93"/>
      <c r="RML21" s="30"/>
      <c r="RMQ21" s="93"/>
      <c r="RMR21" s="30"/>
      <c r="RMW21" s="93"/>
      <c r="RMX21" s="30"/>
      <c r="RNC21" s="93"/>
      <c r="RND21" s="30"/>
      <c r="RNI21" s="93"/>
      <c r="RNJ21" s="30"/>
      <c r="RNO21" s="93"/>
      <c r="RNP21" s="30"/>
      <c r="RNU21" s="93"/>
      <c r="RNV21" s="30"/>
      <c r="ROA21" s="93"/>
      <c r="ROB21" s="30"/>
      <c r="ROG21" s="93"/>
      <c r="ROH21" s="30"/>
      <c r="ROM21" s="93"/>
      <c r="RON21" s="30"/>
      <c r="ROS21" s="93"/>
      <c r="ROT21" s="30"/>
      <c r="ROY21" s="93"/>
      <c r="ROZ21" s="30"/>
      <c r="RPE21" s="93"/>
      <c r="RPF21" s="30"/>
      <c r="RPK21" s="93"/>
      <c r="RPL21" s="30"/>
      <c r="RPQ21" s="93"/>
      <c r="RPR21" s="30"/>
      <c r="RPW21" s="93"/>
      <c r="RPX21" s="30"/>
      <c r="RQC21" s="93"/>
      <c r="RQD21" s="30"/>
      <c r="RQI21" s="93"/>
      <c r="RQJ21" s="30"/>
      <c r="RQO21" s="93"/>
      <c r="RQP21" s="30"/>
      <c r="RQU21" s="93"/>
      <c r="RQV21" s="30"/>
      <c r="RRA21" s="93"/>
      <c r="RRB21" s="30"/>
      <c r="RRG21" s="93"/>
      <c r="RRH21" s="30"/>
      <c r="RRM21" s="93"/>
      <c r="RRN21" s="30"/>
      <c r="RRS21" s="93"/>
      <c r="RRT21" s="30"/>
      <c r="RRY21" s="93"/>
      <c r="RRZ21" s="30"/>
      <c r="RSE21" s="93"/>
      <c r="RSF21" s="30"/>
      <c r="RSK21" s="93"/>
      <c r="RSL21" s="30"/>
      <c r="RSQ21" s="93"/>
      <c r="RSR21" s="30"/>
      <c r="RSW21" s="93"/>
      <c r="RSX21" s="30"/>
      <c r="RTC21" s="93"/>
      <c r="RTD21" s="30"/>
      <c r="RTI21" s="93"/>
      <c r="RTJ21" s="30"/>
      <c r="RTO21" s="93"/>
      <c r="RTP21" s="30"/>
      <c r="RTU21" s="93"/>
      <c r="RTV21" s="30"/>
      <c r="RUA21" s="93"/>
      <c r="RUB21" s="30"/>
      <c r="RUG21" s="93"/>
      <c r="RUH21" s="30"/>
      <c r="RUM21" s="93"/>
      <c r="RUN21" s="30"/>
      <c r="RUS21" s="93"/>
      <c r="RUT21" s="30"/>
      <c r="RUY21" s="93"/>
      <c r="RUZ21" s="30"/>
      <c r="RVE21" s="93"/>
      <c r="RVF21" s="30"/>
      <c r="RVK21" s="93"/>
      <c r="RVL21" s="30"/>
      <c r="RVQ21" s="93"/>
      <c r="RVR21" s="30"/>
      <c r="RVW21" s="93"/>
      <c r="RVX21" s="30"/>
      <c r="RWC21" s="93"/>
      <c r="RWD21" s="30"/>
      <c r="RWI21" s="93"/>
      <c r="RWJ21" s="30"/>
      <c r="RWO21" s="93"/>
      <c r="RWP21" s="30"/>
      <c r="RWU21" s="93"/>
      <c r="RWV21" s="30"/>
      <c r="RXA21" s="93"/>
      <c r="RXB21" s="30"/>
      <c r="RXG21" s="93"/>
      <c r="RXH21" s="30"/>
      <c r="RXM21" s="93"/>
      <c r="RXN21" s="30"/>
      <c r="RXS21" s="93"/>
      <c r="RXT21" s="30"/>
      <c r="RXY21" s="93"/>
      <c r="RXZ21" s="30"/>
      <c r="RYE21" s="93"/>
      <c r="RYF21" s="30"/>
      <c r="RYK21" s="93"/>
      <c r="RYL21" s="30"/>
      <c r="RYQ21" s="93"/>
      <c r="RYR21" s="30"/>
      <c r="RYW21" s="93"/>
      <c r="RYX21" s="30"/>
      <c r="RZC21" s="93"/>
      <c r="RZD21" s="30"/>
      <c r="RZI21" s="93"/>
      <c r="RZJ21" s="30"/>
      <c r="RZO21" s="93"/>
      <c r="RZP21" s="30"/>
      <c r="RZU21" s="93"/>
      <c r="RZV21" s="30"/>
      <c r="SAA21" s="93"/>
      <c r="SAB21" s="30"/>
      <c r="SAG21" s="93"/>
      <c r="SAH21" s="30"/>
      <c r="SAM21" s="93"/>
      <c r="SAN21" s="30"/>
      <c r="SAS21" s="93"/>
      <c r="SAT21" s="30"/>
      <c r="SAY21" s="93"/>
      <c r="SAZ21" s="30"/>
      <c r="SBE21" s="93"/>
      <c r="SBF21" s="30"/>
      <c r="SBK21" s="93"/>
      <c r="SBL21" s="30"/>
      <c r="SBQ21" s="93"/>
      <c r="SBR21" s="30"/>
      <c r="SBW21" s="93"/>
      <c r="SBX21" s="30"/>
      <c r="SCC21" s="93"/>
      <c r="SCD21" s="30"/>
      <c r="SCI21" s="93"/>
      <c r="SCJ21" s="30"/>
      <c r="SCO21" s="93"/>
      <c r="SCP21" s="30"/>
      <c r="SCU21" s="93"/>
      <c r="SCV21" s="30"/>
      <c r="SDA21" s="93"/>
      <c r="SDB21" s="30"/>
      <c r="SDG21" s="93"/>
      <c r="SDH21" s="30"/>
      <c r="SDM21" s="93"/>
      <c r="SDN21" s="30"/>
      <c r="SDS21" s="93"/>
      <c r="SDT21" s="30"/>
      <c r="SDY21" s="93"/>
      <c r="SDZ21" s="30"/>
      <c r="SEE21" s="93"/>
      <c r="SEF21" s="30"/>
      <c r="SEK21" s="93"/>
      <c r="SEL21" s="30"/>
      <c r="SEQ21" s="93"/>
      <c r="SER21" s="30"/>
      <c r="SEW21" s="93"/>
      <c r="SEX21" s="30"/>
      <c r="SFC21" s="93"/>
      <c r="SFD21" s="30"/>
      <c r="SFI21" s="93"/>
      <c r="SFJ21" s="30"/>
      <c r="SFO21" s="93"/>
      <c r="SFP21" s="30"/>
      <c r="SFU21" s="93"/>
      <c r="SFV21" s="30"/>
      <c r="SGA21" s="93"/>
      <c r="SGB21" s="30"/>
      <c r="SGG21" s="93"/>
      <c r="SGH21" s="30"/>
      <c r="SGM21" s="93"/>
      <c r="SGN21" s="30"/>
      <c r="SGS21" s="93"/>
      <c r="SGT21" s="30"/>
      <c r="SGY21" s="93"/>
      <c r="SGZ21" s="30"/>
      <c r="SHE21" s="93"/>
      <c r="SHF21" s="30"/>
      <c r="SHK21" s="93"/>
      <c r="SHL21" s="30"/>
      <c r="SHQ21" s="93"/>
      <c r="SHR21" s="30"/>
      <c r="SHW21" s="93"/>
      <c r="SHX21" s="30"/>
      <c r="SIC21" s="93"/>
      <c r="SID21" s="30"/>
      <c r="SII21" s="93"/>
      <c r="SIJ21" s="30"/>
      <c r="SIO21" s="93"/>
      <c r="SIP21" s="30"/>
      <c r="SIU21" s="93"/>
      <c r="SIV21" s="30"/>
      <c r="SJA21" s="93"/>
      <c r="SJB21" s="30"/>
      <c r="SJG21" s="93"/>
      <c r="SJH21" s="30"/>
      <c r="SJM21" s="93"/>
      <c r="SJN21" s="30"/>
      <c r="SJS21" s="93"/>
      <c r="SJT21" s="30"/>
      <c r="SJY21" s="93"/>
      <c r="SJZ21" s="30"/>
      <c r="SKE21" s="93"/>
      <c r="SKF21" s="30"/>
      <c r="SKK21" s="93"/>
      <c r="SKL21" s="30"/>
      <c r="SKQ21" s="93"/>
      <c r="SKR21" s="30"/>
      <c r="SKW21" s="93"/>
      <c r="SKX21" s="30"/>
      <c r="SLC21" s="93"/>
      <c r="SLD21" s="30"/>
      <c r="SLI21" s="93"/>
      <c r="SLJ21" s="30"/>
      <c r="SLO21" s="93"/>
      <c r="SLP21" s="30"/>
      <c r="SLU21" s="93"/>
      <c r="SLV21" s="30"/>
      <c r="SMA21" s="93"/>
      <c r="SMB21" s="30"/>
      <c r="SMG21" s="93"/>
      <c r="SMH21" s="30"/>
      <c r="SMM21" s="93"/>
      <c r="SMN21" s="30"/>
      <c r="SMS21" s="93"/>
      <c r="SMT21" s="30"/>
      <c r="SMY21" s="93"/>
      <c r="SMZ21" s="30"/>
      <c r="SNE21" s="93"/>
      <c r="SNF21" s="30"/>
      <c r="SNK21" s="93"/>
      <c r="SNL21" s="30"/>
      <c r="SNQ21" s="93"/>
      <c r="SNR21" s="30"/>
      <c r="SNW21" s="93"/>
      <c r="SNX21" s="30"/>
      <c r="SOC21" s="93"/>
      <c r="SOD21" s="30"/>
      <c r="SOI21" s="93"/>
      <c r="SOJ21" s="30"/>
      <c r="SOO21" s="93"/>
      <c r="SOP21" s="30"/>
      <c r="SOU21" s="93"/>
      <c r="SOV21" s="30"/>
      <c r="SPA21" s="93"/>
      <c r="SPB21" s="30"/>
      <c r="SPG21" s="93"/>
      <c r="SPH21" s="30"/>
      <c r="SPM21" s="93"/>
      <c r="SPN21" s="30"/>
      <c r="SPS21" s="93"/>
      <c r="SPT21" s="30"/>
      <c r="SPY21" s="93"/>
      <c r="SPZ21" s="30"/>
      <c r="SQE21" s="93"/>
      <c r="SQF21" s="30"/>
      <c r="SQK21" s="93"/>
      <c r="SQL21" s="30"/>
      <c r="SQQ21" s="93"/>
      <c r="SQR21" s="30"/>
      <c r="SQW21" s="93"/>
      <c r="SQX21" s="30"/>
      <c r="SRC21" s="93"/>
      <c r="SRD21" s="30"/>
      <c r="SRI21" s="93"/>
      <c r="SRJ21" s="30"/>
      <c r="SRO21" s="93"/>
      <c r="SRP21" s="30"/>
      <c r="SRU21" s="93"/>
      <c r="SRV21" s="30"/>
      <c r="SSA21" s="93"/>
      <c r="SSB21" s="30"/>
      <c r="SSG21" s="93"/>
      <c r="SSH21" s="30"/>
      <c r="SSM21" s="93"/>
      <c r="SSN21" s="30"/>
      <c r="SSS21" s="93"/>
      <c r="SST21" s="30"/>
      <c r="SSY21" s="93"/>
      <c r="SSZ21" s="30"/>
      <c r="STE21" s="93"/>
      <c r="STF21" s="30"/>
      <c r="STK21" s="93"/>
      <c r="STL21" s="30"/>
      <c r="STQ21" s="93"/>
      <c r="STR21" s="30"/>
      <c r="STW21" s="93"/>
      <c r="STX21" s="30"/>
      <c r="SUC21" s="93"/>
      <c r="SUD21" s="30"/>
      <c r="SUI21" s="93"/>
      <c r="SUJ21" s="30"/>
      <c r="SUO21" s="93"/>
      <c r="SUP21" s="30"/>
      <c r="SUU21" s="93"/>
      <c r="SUV21" s="30"/>
      <c r="SVA21" s="93"/>
      <c r="SVB21" s="30"/>
      <c r="SVG21" s="93"/>
      <c r="SVH21" s="30"/>
      <c r="SVM21" s="93"/>
      <c r="SVN21" s="30"/>
      <c r="SVS21" s="93"/>
      <c r="SVT21" s="30"/>
      <c r="SVY21" s="93"/>
      <c r="SVZ21" s="30"/>
      <c r="SWE21" s="93"/>
      <c r="SWF21" s="30"/>
      <c r="SWK21" s="93"/>
      <c r="SWL21" s="30"/>
      <c r="SWQ21" s="93"/>
      <c r="SWR21" s="30"/>
      <c r="SWW21" s="93"/>
      <c r="SWX21" s="30"/>
      <c r="SXC21" s="93"/>
      <c r="SXD21" s="30"/>
      <c r="SXI21" s="93"/>
      <c r="SXJ21" s="30"/>
      <c r="SXO21" s="93"/>
      <c r="SXP21" s="30"/>
      <c r="SXU21" s="93"/>
      <c r="SXV21" s="30"/>
      <c r="SYA21" s="93"/>
      <c r="SYB21" s="30"/>
      <c r="SYG21" s="93"/>
      <c r="SYH21" s="30"/>
      <c r="SYM21" s="93"/>
      <c r="SYN21" s="30"/>
      <c r="SYS21" s="93"/>
      <c r="SYT21" s="30"/>
      <c r="SYY21" s="93"/>
      <c r="SYZ21" s="30"/>
      <c r="SZE21" s="93"/>
      <c r="SZF21" s="30"/>
      <c r="SZK21" s="93"/>
      <c r="SZL21" s="30"/>
      <c r="SZQ21" s="93"/>
      <c r="SZR21" s="30"/>
      <c r="SZW21" s="93"/>
      <c r="SZX21" s="30"/>
      <c r="TAC21" s="93"/>
      <c r="TAD21" s="30"/>
      <c r="TAI21" s="93"/>
      <c r="TAJ21" s="30"/>
      <c r="TAO21" s="93"/>
      <c r="TAP21" s="30"/>
      <c r="TAU21" s="93"/>
      <c r="TAV21" s="30"/>
      <c r="TBA21" s="93"/>
      <c r="TBB21" s="30"/>
      <c r="TBG21" s="93"/>
      <c r="TBH21" s="30"/>
      <c r="TBM21" s="93"/>
      <c r="TBN21" s="30"/>
      <c r="TBS21" s="93"/>
      <c r="TBT21" s="30"/>
      <c r="TBY21" s="93"/>
      <c r="TBZ21" s="30"/>
      <c r="TCE21" s="93"/>
      <c r="TCF21" s="30"/>
      <c r="TCK21" s="93"/>
      <c r="TCL21" s="30"/>
      <c r="TCQ21" s="93"/>
      <c r="TCR21" s="30"/>
      <c r="TCW21" s="93"/>
      <c r="TCX21" s="30"/>
      <c r="TDC21" s="93"/>
      <c r="TDD21" s="30"/>
      <c r="TDI21" s="93"/>
      <c r="TDJ21" s="30"/>
      <c r="TDO21" s="93"/>
      <c r="TDP21" s="30"/>
      <c r="TDU21" s="93"/>
      <c r="TDV21" s="30"/>
      <c r="TEA21" s="93"/>
      <c r="TEB21" s="30"/>
      <c r="TEG21" s="93"/>
      <c r="TEH21" s="30"/>
      <c r="TEM21" s="93"/>
      <c r="TEN21" s="30"/>
      <c r="TES21" s="93"/>
      <c r="TET21" s="30"/>
      <c r="TEY21" s="93"/>
      <c r="TEZ21" s="30"/>
      <c r="TFE21" s="93"/>
      <c r="TFF21" s="30"/>
      <c r="TFK21" s="93"/>
      <c r="TFL21" s="30"/>
      <c r="TFQ21" s="93"/>
      <c r="TFR21" s="30"/>
      <c r="TFW21" s="93"/>
      <c r="TFX21" s="30"/>
      <c r="TGC21" s="93"/>
      <c r="TGD21" s="30"/>
      <c r="TGI21" s="93"/>
      <c r="TGJ21" s="30"/>
      <c r="TGO21" s="93"/>
      <c r="TGP21" s="30"/>
      <c r="TGU21" s="93"/>
      <c r="TGV21" s="30"/>
      <c r="THA21" s="93"/>
      <c r="THB21" s="30"/>
      <c r="THG21" s="93"/>
      <c r="THH21" s="30"/>
      <c r="THM21" s="93"/>
      <c r="THN21" s="30"/>
      <c r="THS21" s="93"/>
      <c r="THT21" s="30"/>
      <c r="THY21" s="93"/>
      <c r="THZ21" s="30"/>
      <c r="TIE21" s="93"/>
      <c r="TIF21" s="30"/>
      <c r="TIK21" s="93"/>
      <c r="TIL21" s="30"/>
      <c r="TIQ21" s="93"/>
      <c r="TIR21" s="30"/>
      <c r="TIW21" s="93"/>
      <c r="TIX21" s="30"/>
      <c r="TJC21" s="93"/>
      <c r="TJD21" s="30"/>
      <c r="TJI21" s="93"/>
      <c r="TJJ21" s="30"/>
      <c r="TJO21" s="93"/>
      <c r="TJP21" s="30"/>
      <c r="TJU21" s="93"/>
      <c r="TJV21" s="30"/>
      <c r="TKA21" s="93"/>
      <c r="TKB21" s="30"/>
      <c r="TKG21" s="93"/>
      <c r="TKH21" s="30"/>
      <c r="TKM21" s="93"/>
      <c r="TKN21" s="30"/>
      <c r="TKS21" s="93"/>
      <c r="TKT21" s="30"/>
      <c r="TKY21" s="93"/>
      <c r="TKZ21" s="30"/>
      <c r="TLE21" s="93"/>
      <c r="TLF21" s="30"/>
      <c r="TLK21" s="93"/>
      <c r="TLL21" s="30"/>
      <c r="TLQ21" s="93"/>
      <c r="TLR21" s="30"/>
      <c r="TLW21" s="93"/>
      <c r="TLX21" s="30"/>
      <c r="TMC21" s="93"/>
      <c r="TMD21" s="30"/>
      <c r="TMI21" s="93"/>
      <c r="TMJ21" s="30"/>
      <c r="TMO21" s="93"/>
      <c r="TMP21" s="30"/>
      <c r="TMU21" s="93"/>
      <c r="TMV21" s="30"/>
      <c r="TNA21" s="93"/>
      <c r="TNB21" s="30"/>
      <c r="TNG21" s="93"/>
      <c r="TNH21" s="30"/>
      <c r="TNM21" s="93"/>
      <c r="TNN21" s="30"/>
      <c r="TNS21" s="93"/>
      <c r="TNT21" s="30"/>
      <c r="TNY21" s="93"/>
      <c r="TNZ21" s="30"/>
      <c r="TOE21" s="93"/>
      <c r="TOF21" s="30"/>
      <c r="TOK21" s="93"/>
      <c r="TOL21" s="30"/>
      <c r="TOQ21" s="93"/>
      <c r="TOR21" s="30"/>
      <c r="TOW21" s="93"/>
      <c r="TOX21" s="30"/>
      <c r="TPC21" s="93"/>
      <c r="TPD21" s="30"/>
      <c r="TPI21" s="93"/>
      <c r="TPJ21" s="30"/>
      <c r="TPO21" s="93"/>
      <c r="TPP21" s="30"/>
      <c r="TPU21" s="93"/>
      <c r="TPV21" s="30"/>
      <c r="TQA21" s="93"/>
      <c r="TQB21" s="30"/>
      <c r="TQG21" s="93"/>
      <c r="TQH21" s="30"/>
      <c r="TQM21" s="93"/>
      <c r="TQN21" s="30"/>
      <c r="TQS21" s="93"/>
      <c r="TQT21" s="30"/>
      <c r="TQY21" s="93"/>
      <c r="TQZ21" s="30"/>
      <c r="TRE21" s="93"/>
      <c r="TRF21" s="30"/>
      <c r="TRK21" s="93"/>
      <c r="TRL21" s="30"/>
      <c r="TRQ21" s="93"/>
      <c r="TRR21" s="30"/>
      <c r="TRW21" s="93"/>
      <c r="TRX21" s="30"/>
      <c r="TSC21" s="93"/>
      <c r="TSD21" s="30"/>
      <c r="TSI21" s="93"/>
      <c r="TSJ21" s="30"/>
      <c r="TSO21" s="93"/>
      <c r="TSP21" s="30"/>
      <c r="TSU21" s="93"/>
      <c r="TSV21" s="30"/>
      <c r="TTA21" s="93"/>
      <c r="TTB21" s="30"/>
      <c r="TTG21" s="93"/>
      <c r="TTH21" s="30"/>
      <c r="TTM21" s="93"/>
      <c r="TTN21" s="30"/>
      <c r="TTS21" s="93"/>
      <c r="TTT21" s="30"/>
      <c r="TTY21" s="93"/>
      <c r="TTZ21" s="30"/>
      <c r="TUE21" s="93"/>
      <c r="TUF21" s="30"/>
      <c r="TUK21" s="93"/>
      <c r="TUL21" s="30"/>
      <c r="TUQ21" s="93"/>
      <c r="TUR21" s="30"/>
      <c r="TUW21" s="93"/>
      <c r="TUX21" s="30"/>
      <c r="TVC21" s="93"/>
      <c r="TVD21" s="30"/>
      <c r="TVI21" s="93"/>
      <c r="TVJ21" s="30"/>
      <c r="TVO21" s="93"/>
      <c r="TVP21" s="30"/>
      <c r="TVU21" s="93"/>
      <c r="TVV21" s="30"/>
      <c r="TWA21" s="93"/>
      <c r="TWB21" s="30"/>
      <c r="TWG21" s="93"/>
      <c r="TWH21" s="30"/>
      <c r="TWM21" s="93"/>
      <c r="TWN21" s="30"/>
      <c r="TWS21" s="93"/>
      <c r="TWT21" s="30"/>
      <c r="TWY21" s="93"/>
      <c r="TWZ21" s="30"/>
      <c r="TXE21" s="93"/>
      <c r="TXF21" s="30"/>
      <c r="TXK21" s="93"/>
      <c r="TXL21" s="30"/>
      <c r="TXQ21" s="93"/>
      <c r="TXR21" s="30"/>
      <c r="TXW21" s="93"/>
      <c r="TXX21" s="30"/>
      <c r="TYC21" s="93"/>
      <c r="TYD21" s="30"/>
      <c r="TYI21" s="93"/>
      <c r="TYJ21" s="30"/>
      <c r="TYO21" s="93"/>
      <c r="TYP21" s="30"/>
      <c r="TYU21" s="93"/>
      <c r="TYV21" s="30"/>
      <c r="TZA21" s="93"/>
      <c r="TZB21" s="30"/>
      <c r="TZG21" s="93"/>
      <c r="TZH21" s="30"/>
      <c r="TZM21" s="93"/>
      <c r="TZN21" s="30"/>
      <c r="TZS21" s="93"/>
      <c r="TZT21" s="30"/>
      <c r="TZY21" s="93"/>
      <c r="TZZ21" s="30"/>
      <c r="UAE21" s="93"/>
      <c r="UAF21" s="30"/>
      <c r="UAK21" s="93"/>
      <c r="UAL21" s="30"/>
      <c r="UAQ21" s="93"/>
      <c r="UAR21" s="30"/>
      <c r="UAW21" s="93"/>
      <c r="UAX21" s="30"/>
      <c r="UBC21" s="93"/>
      <c r="UBD21" s="30"/>
      <c r="UBI21" s="93"/>
      <c r="UBJ21" s="30"/>
      <c r="UBO21" s="93"/>
      <c r="UBP21" s="30"/>
      <c r="UBU21" s="93"/>
      <c r="UBV21" s="30"/>
      <c r="UCA21" s="93"/>
      <c r="UCB21" s="30"/>
      <c r="UCG21" s="93"/>
      <c r="UCH21" s="30"/>
      <c r="UCM21" s="93"/>
      <c r="UCN21" s="30"/>
      <c r="UCS21" s="93"/>
      <c r="UCT21" s="30"/>
      <c r="UCY21" s="93"/>
      <c r="UCZ21" s="30"/>
      <c r="UDE21" s="93"/>
      <c r="UDF21" s="30"/>
      <c r="UDK21" s="93"/>
      <c r="UDL21" s="30"/>
      <c r="UDQ21" s="93"/>
      <c r="UDR21" s="30"/>
      <c r="UDW21" s="93"/>
      <c r="UDX21" s="30"/>
      <c r="UEC21" s="93"/>
      <c r="UED21" s="30"/>
      <c r="UEI21" s="93"/>
      <c r="UEJ21" s="30"/>
      <c r="UEO21" s="93"/>
      <c r="UEP21" s="30"/>
      <c r="UEU21" s="93"/>
      <c r="UEV21" s="30"/>
      <c r="UFA21" s="93"/>
      <c r="UFB21" s="30"/>
      <c r="UFG21" s="93"/>
      <c r="UFH21" s="30"/>
      <c r="UFM21" s="93"/>
      <c r="UFN21" s="30"/>
      <c r="UFS21" s="93"/>
      <c r="UFT21" s="30"/>
      <c r="UFY21" s="93"/>
      <c r="UFZ21" s="30"/>
      <c r="UGE21" s="93"/>
      <c r="UGF21" s="30"/>
      <c r="UGK21" s="93"/>
      <c r="UGL21" s="30"/>
      <c r="UGQ21" s="93"/>
      <c r="UGR21" s="30"/>
      <c r="UGW21" s="93"/>
      <c r="UGX21" s="30"/>
      <c r="UHC21" s="93"/>
      <c r="UHD21" s="30"/>
      <c r="UHI21" s="93"/>
      <c r="UHJ21" s="30"/>
      <c r="UHO21" s="93"/>
      <c r="UHP21" s="30"/>
      <c r="UHU21" s="93"/>
      <c r="UHV21" s="30"/>
      <c r="UIA21" s="93"/>
      <c r="UIB21" s="30"/>
      <c r="UIG21" s="93"/>
      <c r="UIH21" s="30"/>
      <c r="UIM21" s="93"/>
      <c r="UIN21" s="30"/>
      <c r="UIS21" s="93"/>
      <c r="UIT21" s="30"/>
      <c r="UIY21" s="93"/>
      <c r="UIZ21" s="30"/>
      <c r="UJE21" s="93"/>
      <c r="UJF21" s="30"/>
      <c r="UJK21" s="93"/>
      <c r="UJL21" s="30"/>
      <c r="UJQ21" s="93"/>
      <c r="UJR21" s="30"/>
      <c r="UJW21" s="93"/>
      <c r="UJX21" s="30"/>
      <c r="UKC21" s="93"/>
      <c r="UKD21" s="30"/>
      <c r="UKI21" s="93"/>
      <c r="UKJ21" s="30"/>
      <c r="UKO21" s="93"/>
      <c r="UKP21" s="30"/>
      <c r="UKU21" s="93"/>
      <c r="UKV21" s="30"/>
      <c r="ULA21" s="93"/>
      <c r="ULB21" s="30"/>
      <c r="ULG21" s="93"/>
      <c r="ULH21" s="30"/>
      <c r="ULM21" s="93"/>
      <c r="ULN21" s="30"/>
      <c r="ULS21" s="93"/>
      <c r="ULT21" s="30"/>
      <c r="ULY21" s="93"/>
      <c r="ULZ21" s="30"/>
      <c r="UME21" s="93"/>
      <c r="UMF21" s="30"/>
      <c r="UMK21" s="93"/>
      <c r="UML21" s="30"/>
      <c r="UMQ21" s="93"/>
      <c r="UMR21" s="30"/>
      <c r="UMW21" s="93"/>
      <c r="UMX21" s="30"/>
      <c r="UNC21" s="93"/>
      <c r="UND21" s="30"/>
      <c r="UNI21" s="93"/>
      <c r="UNJ21" s="30"/>
      <c r="UNO21" s="93"/>
      <c r="UNP21" s="30"/>
      <c r="UNU21" s="93"/>
      <c r="UNV21" s="30"/>
      <c r="UOA21" s="93"/>
      <c r="UOB21" s="30"/>
      <c r="UOG21" s="93"/>
      <c r="UOH21" s="30"/>
      <c r="UOM21" s="93"/>
      <c r="UON21" s="30"/>
      <c r="UOS21" s="93"/>
      <c r="UOT21" s="30"/>
      <c r="UOY21" s="93"/>
      <c r="UOZ21" s="30"/>
      <c r="UPE21" s="93"/>
      <c r="UPF21" s="30"/>
      <c r="UPK21" s="93"/>
      <c r="UPL21" s="30"/>
      <c r="UPQ21" s="93"/>
      <c r="UPR21" s="30"/>
      <c r="UPW21" s="93"/>
      <c r="UPX21" s="30"/>
      <c r="UQC21" s="93"/>
      <c r="UQD21" s="30"/>
      <c r="UQI21" s="93"/>
      <c r="UQJ21" s="30"/>
      <c r="UQO21" s="93"/>
      <c r="UQP21" s="30"/>
      <c r="UQU21" s="93"/>
      <c r="UQV21" s="30"/>
      <c r="URA21" s="93"/>
      <c r="URB21" s="30"/>
      <c r="URG21" s="93"/>
      <c r="URH21" s="30"/>
      <c r="URM21" s="93"/>
      <c r="URN21" s="30"/>
      <c r="URS21" s="93"/>
      <c r="URT21" s="30"/>
      <c r="URY21" s="93"/>
      <c r="URZ21" s="30"/>
      <c r="USE21" s="93"/>
      <c r="USF21" s="30"/>
      <c r="USK21" s="93"/>
      <c r="USL21" s="30"/>
      <c r="USQ21" s="93"/>
      <c r="USR21" s="30"/>
      <c r="USW21" s="93"/>
      <c r="USX21" s="30"/>
      <c r="UTC21" s="93"/>
      <c r="UTD21" s="30"/>
      <c r="UTI21" s="93"/>
      <c r="UTJ21" s="30"/>
      <c r="UTO21" s="93"/>
      <c r="UTP21" s="30"/>
      <c r="UTU21" s="93"/>
      <c r="UTV21" s="30"/>
      <c r="UUA21" s="93"/>
      <c r="UUB21" s="30"/>
      <c r="UUG21" s="93"/>
      <c r="UUH21" s="30"/>
      <c r="UUM21" s="93"/>
      <c r="UUN21" s="30"/>
      <c r="UUS21" s="93"/>
      <c r="UUT21" s="30"/>
      <c r="UUY21" s="93"/>
      <c r="UUZ21" s="30"/>
      <c r="UVE21" s="93"/>
      <c r="UVF21" s="30"/>
      <c r="UVK21" s="93"/>
      <c r="UVL21" s="30"/>
      <c r="UVQ21" s="93"/>
      <c r="UVR21" s="30"/>
      <c r="UVW21" s="93"/>
      <c r="UVX21" s="30"/>
      <c r="UWC21" s="93"/>
      <c r="UWD21" s="30"/>
      <c r="UWI21" s="93"/>
      <c r="UWJ21" s="30"/>
      <c r="UWO21" s="93"/>
      <c r="UWP21" s="30"/>
      <c r="UWU21" s="93"/>
      <c r="UWV21" s="30"/>
      <c r="UXA21" s="93"/>
      <c r="UXB21" s="30"/>
      <c r="UXG21" s="93"/>
      <c r="UXH21" s="30"/>
      <c r="UXM21" s="93"/>
      <c r="UXN21" s="30"/>
      <c r="UXS21" s="93"/>
      <c r="UXT21" s="30"/>
      <c r="UXY21" s="93"/>
      <c r="UXZ21" s="30"/>
      <c r="UYE21" s="93"/>
      <c r="UYF21" s="30"/>
      <c r="UYK21" s="93"/>
      <c r="UYL21" s="30"/>
      <c r="UYQ21" s="93"/>
      <c r="UYR21" s="30"/>
      <c r="UYW21" s="93"/>
      <c r="UYX21" s="30"/>
      <c r="UZC21" s="93"/>
      <c r="UZD21" s="30"/>
      <c r="UZI21" s="93"/>
      <c r="UZJ21" s="30"/>
      <c r="UZO21" s="93"/>
      <c r="UZP21" s="30"/>
      <c r="UZU21" s="93"/>
      <c r="UZV21" s="30"/>
      <c r="VAA21" s="93"/>
      <c r="VAB21" s="30"/>
      <c r="VAG21" s="93"/>
      <c r="VAH21" s="30"/>
      <c r="VAM21" s="93"/>
      <c r="VAN21" s="30"/>
      <c r="VAS21" s="93"/>
      <c r="VAT21" s="30"/>
      <c r="VAY21" s="93"/>
      <c r="VAZ21" s="30"/>
      <c r="VBE21" s="93"/>
      <c r="VBF21" s="30"/>
      <c r="VBK21" s="93"/>
      <c r="VBL21" s="30"/>
      <c r="VBQ21" s="93"/>
      <c r="VBR21" s="30"/>
      <c r="VBW21" s="93"/>
      <c r="VBX21" s="30"/>
      <c r="VCC21" s="93"/>
      <c r="VCD21" s="30"/>
      <c r="VCI21" s="93"/>
      <c r="VCJ21" s="30"/>
      <c r="VCO21" s="93"/>
      <c r="VCP21" s="30"/>
      <c r="VCU21" s="93"/>
      <c r="VCV21" s="30"/>
      <c r="VDA21" s="93"/>
      <c r="VDB21" s="30"/>
      <c r="VDG21" s="93"/>
      <c r="VDH21" s="30"/>
      <c r="VDM21" s="93"/>
      <c r="VDN21" s="30"/>
      <c r="VDS21" s="93"/>
      <c r="VDT21" s="30"/>
      <c r="VDY21" s="93"/>
      <c r="VDZ21" s="30"/>
      <c r="VEE21" s="93"/>
      <c r="VEF21" s="30"/>
      <c r="VEK21" s="93"/>
      <c r="VEL21" s="30"/>
      <c r="VEQ21" s="93"/>
      <c r="VER21" s="30"/>
      <c r="VEW21" s="93"/>
      <c r="VEX21" s="30"/>
      <c r="VFC21" s="93"/>
      <c r="VFD21" s="30"/>
      <c r="VFI21" s="93"/>
      <c r="VFJ21" s="30"/>
      <c r="VFO21" s="93"/>
      <c r="VFP21" s="30"/>
      <c r="VFU21" s="93"/>
      <c r="VFV21" s="30"/>
      <c r="VGA21" s="93"/>
      <c r="VGB21" s="30"/>
      <c r="VGG21" s="93"/>
      <c r="VGH21" s="30"/>
      <c r="VGM21" s="93"/>
      <c r="VGN21" s="30"/>
      <c r="VGS21" s="93"/>
      <c r="VGT21" s="30"/>
      <c r="VGY21" s="93"/>
      <c r="VGZ21" s="30"/>
      <c r="VHE21" s="93"/>
      <c r="VHF21" s="30"/>
      <c r="VHK21" s="93"/>
      <c r="VHL21" s="30"/>
      <c r="VHQ21" s="93"/>
      <c r="VHR21" s="30"/>
      <c r="VHW21" s="93"/>
      <c r="VHX21" s="30"/>
      <c r="VIC21" s="93"/>
      <c r="VID21" s="30"/>
      <c r="VII21" s="93"/>
      <c r="VIJ21" s="30"/>
      <c r="VIO21" s="93"/>
      <c r="VIP21" s="30"/>
      <c r="VIU21" s="93"/>
      <c r="VIV21" s="30"/>
      <c r="VJA21" s="93"/>
      <c r="VJB21" s="30"/>
      <c r="VJG21" s="93"/>
      <c r="VJH21" s="30"/>
      <c r="VJM21" s="93"/>
      <c r="VJN21" s="30"/>
      <c r="VJS21" s="93"/>
      <c r="VJT21" s="30"/>
      <c r="VJY21" s="93"/>
      <c r="VJZ21" s="30"/>
      <c r="VKE21" s="93"/>
      <c r="VKF21" s="30"/>
      <c r="VKK21" s="93"/>
      <c r="VKL21" s="30"/>
      <c r="VKQ21" s="93"/>
      <c r="VKR21" s="30"/>
      <c r="VKW21" s="93"/>
      <c r="VKX21" s="30"/>
      <c r="VLC21" s="93"/>
      <c r="VLD21" s="30"/>
      <c r="VLI21" s="93"/>
      <c r="VLJ21" s="30"/>
      <c r="VLO21" s="93"/>
      <c r="VLP21" s="30"/>
      <c r="VLU21" s="93"/>
      <c r="VLV21" s="30"/>
      <c r="VMA21" s="93"/>
      <c r="VMB21" s="30"/>
      <c r="VMG21" s="93"/>
      <c r="VMH21" s="30"/>
      <c r="VMM21" s="93"/>
      <c r="VMN21" s="30"/>
      <c r="VMS21" s="93"/>
      <c r="VMT21" s="30"/>
      <c r="VMY21" s="93"/>
      <c r="VMZ21" s="30"/>
      <c r="VNE21" s="93"/>
      <c r="VNF21" s="30"/>
      <c r="VNK21" s="93"/>
      <c r="VNL21" s="30"/>
      <c r="VNQ21" s="93"/>
      <c r="VNR21" s="30"/>
      <c r="VNW21" s="93"/>
      <c r="VNX21" s="30"/>
      <c r="VOC21" s="93"/>
      <c r="VOD21" s="30"/>
      <c r="VOI21" s="93"/>
      <c r="VOJ21" s="30"/>
      <c r="VOO21" s="93"/>
      <c r="VOP21" s="30"/>
      <c r="VOU21" s="93"/>
      <c r="VOV21" s="30"/>
      <c r="VPA21" s="93"/>
      <c r="VPB21" s="30"/>
      <c r="VPG21" s="93"/>
      <c r="VPH21" s="30"/>
      <c r="VPM21" s="93"/>
      <c r="VPN21" s="30"/>
      <c r="VPS21" s="93"/>
      <c r="VPT21" s="30"/>
      <c r="VPY21" s="93"/>
      <c r="VPZ21" s="30"/>
      <c r="VQE21" s="93"/>
      <c r="VQF21" s="30"/>
      <c r="VQK21" s="93"/>
      <c r="VQL21" s="30"/>
      <c r="VQQ21" s="93"/>
      <c r="VQR21" s="30"/>
      <c r="VQW21" s="93"/>
      <c r="VQX21" s="30"/>
      <c r="VRC21" s="93"/>
      <c r="VRD21" s="30"/>
      <c r="VRI21" s="93"/>
      <c r="VRJ21" s="30"/>
      <c r="VRO21" s="93"/>
      <c r="VRP21" s="30"/>
      <c r="VRU21" s="93"/>
      <c r="VRV21" s="30"/>
      <c r="VSA21" s="93"/>
      <c r="VSB21" s="30"/>
      <c r="VSG21" s="93"/>
      <c r="VSH21" s="30"/>
      <c r="VSM21" s="93"/>
      <c r="VSN21" s="30"/>
      <c r="VSS21" s="93"/>
      <c r="VST21" s="30"/>
      <c r="VSY21" s="93"/>
      <c r="VSZ21" s="30"/>
      <c r="VTE21" s="93"/>
      <c r="VTF21" s="30"/>
      <c r="VTK21" s="93"/>
      <c r="VTL21" s="30"/>
      <c r="VTQ21" s="93"/>
      <c r="VTR21" s="30"/>
      <c r="VTW21" s="93"/>
      <c r="VTX21" s="30"/>
      <c r="VUC21" s="93"/>
      <c r="VUD21" s="30"/>
      <c r="VUI21" s="93"/>
      <c r="VUJ21" s="30"/>
      <c r="VUO21" s="93"/>
      <c r="VUP21" s="30"/>
      <c r="VUU21" s="93"/>
      <c r="VUV21" s="30"/>
      <c r="VVA21" s="93"/>
      <c r="VVB21" s="30"/>
      <c r="VVG21" s="93"/>
      <c r="VVH21" s="30"/>
      <c r="VVM21" s="93"/>
      <c r="VVN21" s="30"/>
      <c r="VVS21" s="93"/>
      <c r="VVT21" s="30"/>
      <c r="VVY21" s="93"/>
      <c r="VVZ21" s="30"/>
      <c r="VWE21" s="93"/>
      <c r="VWF21" s="30"/>
      <c r="VWK21" s="93"/>
      <c r="VWL21" s="30"/>
      <c r="VWQ21" s="93"/>
      <c r="VWR21" s="30"/>
      <c r="VWW21" s="93"/>
      <c r="VWX21" s="30"/>
      <c r="VXC21" s="93"/>
      <c r="VXD21" s="30"/>
      <c r="VXI21" s="93"/>
      <c r="VXJ21" s="30"/>
      <c r="VXO21" s="93"/>
      <c r="VXP21" s="30"/>
      <c r="VXU21" s="93"/>
      <c r="VXV21" s="30"/>
      <c r="VYA21" s="93"/>
      <c r="VYB21" s="30"/>
      <c r="VYG21" s="93"/>
      <c r="VYH21" s="30"/>
      <c r="VYM21" s="93"/>
      <c r="VYN21" s="30"/>
      <c r="VYS21" s="93"/>
      <c r="VYT21" s="30"/>
      <c r="VYY21" s="93"/>
      <c r="VYZ21" s="30"/>
      <c r="VZE21" s="93"/>
      <c r="VZF21" s="30"/>
      <c r="VZK21" s="93"/>
      <c r="VZL21" s="30"/>
      <c r="VZQ21" s="93"/>
      <c r="VZR21" s="30"/>
      <c r="VZW21" s="93"/>
      <c r="VZX21" s="30"/>
      <c r="WAC21" s="93"/>
      <c r="WAD21" s="30"/>
      <c r="WAI21" s="93"/>
      <c r="WAJ21" s="30"/>
      <c r="WAO21" s="93"/>
      <c r="WAP21" s="30"/>
      <c r="WAU21" s="93"/>
      <c r="WAV21" s="30"/>
      <c r="WBA21" s="93"/>
      <c r="WBB21" s="30"/>
      <c r="WBG21" s="93"/>
      <c r="WBH21" s="30"/>
      <c r="WBM21" s="93"/>
      <c r="WBN21" s="30"/>
      <c r="WBS21" s="93"/>
      <c r="WBT21" s="30"/>
      <c r="WBY21" s="93"/>
      <c r="WBZ21" s="30"/>
      <c r="WCE21" s="93"/>
      <c r="WCF21" s="30"/>
      <c r="WCK21" s="93"/>
      <c r="WCL21" s="30"/>
      <c r="WCQ21" s="93"/>
      <c r="WCR21" s="30"/>
      <c r="WCW21" s="93"/>
      <c r="WCX21" s="30"/>
      <c r="WDC21" s="93"/>
      <c r="WDD21" s="30"/>
      <c r="WDI21" s="93"/>
      <c r="WDJ21" s="30"/>
      <c r="WDO21" s="93"/>
      <c r="WDP21" s="30"/>
      <c r="WDU21" s="93"/>
      <c r="WDV21" s="30"/>
      <c r="WEA21" s="93"/>
      <c r="WEB21" s="30"/>
      <c r="WEG21" s="93"/>
      <c r="WEH21" s="30"/>
      <c r="WEM21" s="93"/>
      <c r="WEN21" s="30"/>
      <c r="WES21" s="93"/>
      <c r="WET21" s="30"/>
      <c r="WEY21" s="93"/>
      <c r="WEZ21" s="30"/>
      <c r="WFE21" s="93"/>
      <c r="WFF21" s="30"/>
      <c r="WFK21" s="93"/>
      <c r="WFL21" s="30"/>
      <c r="WFQ21" s="93"/>
      <c r="WFR21" s="30"/>
      <c r="WFW21" s="93"/>
      <c r="WFX21" s="30"/>
      <c r="WGC21" s="93"/>
      <c r="WGD21" s="30"/>
      <c r="WGI21" s="93"/>
      <c r="WGJ21" s="30"/>
      <c r="WGO21" s="93"/>
      <c r="WGP21" s="30"/>
      <c r="WGU21" s="93"/>
      <c r="WGV21" s="30"/>
      <c r="WHA21" s="93"/>
      <c r="WHB21" s="30"/>
      <c r="WHG21" s="93"/>
      <c r="WHH21" s="30"/>
      <c r="WHM21" s="93"/>
      <c r="WHN21" s="30"/>
      <c r="WHS21" s="93"/>
      <c r="WHT21" s="30"/>
      <c r="WHY21" s="93"/>
      <c r="WHZ21" s="30"/>
      <c r="WIE21" s="93"/>
      <c r="WIF21" s="30"/>
      <c r="WIK21" s="93"/>
      <c r="WIL21" s="30"/>
      <c r="WIQ21" s="93"/>
      <c r="WIR21" s="30"/>
      <c r="WIW21" s="93"/>
      <c r="WIX21" s="30"/>
      <c r="WJC21" s="93"/>
      <c r="WJD21" s="30"/>
      <c r="WJI21" s="93"/>
      <c r="WJJ21" s="30"/>
      <c r="WJO21" s="93"/>
      <c r="WJP21" s="30"/>
      <c r="WJU21" s="93"/>
      <c r="WJV21" s="30"/>
      <c r="WKA21" s="93"/>
      <c r="WKB21" s="30"/>
      <c r="WKG21" s="93"/>
      <c r="WKH21" s="30"/>
      <c r="WKM21" s="93"/>
      <c r="WKN21" s="30"/>
      <c r="WKS21" s="93"/>
      <c r="WKT21" s="30"/>
      <c r="WKY21" s="93"/>
      <c r="WKZ21" s="30"/>
      <c r="WLE21" s="93"/>
      <c r="WLF21" s="30"/>
      <c r="WLK21" s="93"/>
      <c r="WLL21" s="30"/>
      <c r="WLQ21" s="93"/>
      <c r="WLR21" s="30"/>
      <c r="WLW21" s="93"/>
      <c r="WLX21" s="30"/>
      <c r="WMC21" s="93"/>
      <c r="WMD21" s="30"/>
      <c r="WMI21" s="93"/>
      <c r="WMJ21" s="30"/>
      <c r="WMO21" s="93"/>
      <c r="WMP21" s="30"/>
      <c r="WMU21" s="93"/>
      <c r="WMV21" s="30"/>
      <c r="WNA21" s="93"/>
      <c r="WNB21" s="30"/>
      <c r="WNG21" s="93"/>
      <c r="WNH21" s="30"/>
      <c r="WNM21" s="93"/>
      <c r="WNN21" s="30"/>
      <c r="WNS21" s="93"/>
      <c r="WNT21" s="30"/>
      <c r="WNY21" s="93"/>
      <c r="WNZ21" s="30"/>
      <c r="WOE21" s="93"/>
      <c r="WOF21" s="30"/>
      <c r="WOK21" s="93"/>
      <c r="WOL21" s="30"/>
      <c r="WOQ21" s="93"/>
      <c r="WOR21" s="30"/>
      <c r="WOW21" s="93"/>
      <c r="WOX21" s="30"/>
      <c r="WPC21" s="93"/>
      <c r="WPD21" s="30"/>
      <c r="WPI21" s="93"/>
      <c r="WPJ21" s="30"/>
      <c r="WPO21" s="93"/>
      <c r="WPP21" s="30"/>
      <c r="WPU21" s="93"/>
      <c r="WPV21" s="30"/>
      <c r="WQA21" s="93"/>
      <c r="WQB21" s="30"/>
      <c r="WQG21" s="93"/>
      <c r="WQH21" s="30"/>
      <c r="WQM21" s="93"/>
      <c r="WQN21" s="30"/>
      <c r="WQS21" s="93"/>
      <c r="WQT21" s="30"/>
      <c r="WQY21" s="93"/>
      <c r="WQZ21" s="30"/>
      <c r="WRE21" s="93"/>
      <c r="WRF21" s="30"/>
      <c r="WRK21" s="93"/>
      <c r="WRL21" s="30"/>
      <c r="WRQ21" s="93"/>
      <c r="WRR21" s="30"/>
      <c r="WRW21" s="93"/>
      <c r="WRX21" s="30"/>
      <c r="WSC21" s="93"/>
      <c r="WSD21" s="30"/>
      <c r="WSI21" s="93"/>
      <c r="WSJ21" s="30"/>
      <c r="WSO21" s="93"/>
      <c r="WSP21" s="30"/>
      <c r="WSU21" s="93"/>
      <c r="WSV21" s="30"/>
      <c r="WTA21" s="93"/>
      <c r="WTB21" s="30"/>
      <c r="WTG21" s="93"/>
      <c r="WTH21" s="30"/>
      <c r="WTM21" s="93"/>
      <c r="WTN21" s="30"/>
      <c r="WTS21" s="93"/>
      <c r="WTT21" s="30"/>
      <c r="WTY21" s="93"/>
      <c r="WTZ21" s="30"/>
      <c r="WUE21" s="93"/>
      <c r="WUF21" s="30"/>
      <c r="WUK21" s="93"/>
      <c r="WUL21" s="30"/>
      <c r="WUQ21" s="93"/>
      <c r="WUR21" s="30"/>
      <c r="WUW21" s="93"/>
      <c r="WUX21" s="30"/>
      <c r="WVC21" s="93"/>
      <c r="WVD21" s="30"/>
      <c r="WVI21" s="93"/>
      <c r="WVJ21" s="30"/>
      <c r="WVO21" s="93"/>
      <c r="WVP21" s="30"/>
      <c r="WVU21" s="93"/>
      <c r="WVV21" s="30"/>
      <c r="WWA21" s="93"/>
      <c r="WWB21" s="30"/>
      <c r="WWG21" s="93"/>
      <c r="WWH21" s="30"/>
      <c r="WWM21" s="93"/>
      <c r="WWN21" s="30"/>
      <c r="WWS21" s="93"/>
      <c r="WWT21" s="30"/>
      <c r="WWY21" s="93"/>
      <c r="WWZ21" s="30"/>
      <c r="WXE21" s="93"/>
      <c r="WXF21" s="30"/>
      <c r="WXK21" s="93"/>
      <c r="WXL21" s="30"/>
      <c r="WXQ21" s="93"/>
      <c r="WXR21" s="30"/>
      <c r="WXW21" s="93"/>
      <c r="WXX21" s="30"/>
      <c r="WYC21" s="93"/>
      <c r="WYD21" s="30"/>
      <c r="WYI21" s="93"/>
      <c r="WYJ21" s="30"/>
      <c r="WYO21" s="93"/>
      <c r="WYP21" s="30"/>
      <c r="WYU21" s="93"/>
      <c r="WYV21" s="30"/>
      <c r="WZA21" s="93"/>
      <c r="WZB21" s="30"/>
      <c r="WZG21" s="93"/>
      <c r="WZH21" s="30"/>
      <c r="WZM21" s="93"/>
      <c r="WZN21" s="30"/>
      <c r="WZS21" s="93"/>
      <c r="WZT21" s="30"/>
      <c r="WZY21" s="93"/>
      <c r="WZZ21" s="30"/>
      <c r="XAE21" s="93"/>
      <c r="XAF21" s="30"/>
      <c r="XAK21" s="93"/>
      <c r="XAL21" s="30"/>
      <c r="XAQ21" s="93"/>
      <c r="XAR21" s="30"/>
      <c r="XAW21" s="93"/>
      <c r="XAX21" s="30"/>
      <c r="XBC21" s="93"/>
      <c r="XBD21" s="30"/>
      <c r="XBI21" s="93"/>
      <c r="XBJ21" s="30"/>
      <c r="XBO21" s="93"/>
      <c r="XBP21" s="30"/>
      <c r="XBU21" s="93"/>
      <c r="XBV21" s="30"/>
      <c r="XCA21" s="93"/>
      <c r="XCB21" s="30"/>
      <c r="XCG21" s="93"/>
      <c r="XCH21" s="30"/>
      <c r="XCM21" s="93"/>
      <c r="XCN21" s="30"/>
      <c r="XCS21" s="93"/>
      <c r="XCT21" s="30"/>
      <c r="XCY21" s="93"/>
      <c r="XCZ21" s="30"/>
      <c r="XDE21" s="93"/>
      <c r="XDF21" s="30"/>
      <c r="XDK21" s="93"/>
      <c r="XDL21" s="30"/>
      <c r="XDQ21" s="93"/>
      <c r="XDR21" s="30"/>
      <c r="XDW21" s="93"/>
      <c r="XDX21" s="30"/>
      <c r="XEC21" s="93"/>
      <c r="XED21" s="30"/>
      <c r="XEI21" s="93"/>
      <c r="XEJ21" s="30"/>
      <c r="XEO21" s="93"/>
      <c r="XEP21" s="30"/>
      <c r="XEU21" s="93"/>
      <c r="XEV21" s="30"/>
      <c r="XFA21" s="93"/>
      <c r="XFB21" s="30"/>
    </row>
    <row r="22" spans="1:1022 1027:2048 2053:3068 3073:4094 4099:5120 5125:6140 6145:7166 7171:8192 8197:9212 9217:10238 10243:11264 11269:12284 12289:13310 13315:14336 14341:15356 15361:16382" s="8" customFormat="1" ht="16" x14ac:dyDescent="0.2">
      <c r="A22" s="93" t="s">
        <v>40</v>
      </c>
      <c r="B22" s="10" t="s">
        <v>578</v>
      </c>
      <c r="C22" s="9" t="s">
        <v>585</v>
      </c>
      <c r="D22" s="10"/>
      <c r="E22" s="10"/>
      <c r="F22" s="10"/>
      <c r="G22" s="10"/>
      <c r="H22" s="10"/>
      <c r="I22" s="10"/>
      <c r="J22" s="10"/>
      <c r="K22" s="10"/>
      <c r="L22" s="10"/>
      <c r="M22" s="93"/>
      <c r="N22" s="30"/>
      <c r="S22" s="93"/>
      <c r="T22" s="30"/>
      <c r="Y22" s="93"/>
      <c r="Z22" s="30"/>
      <c r="AE22" s="93"/>
      <c r="AF22" s="30"/>
      <c r="AK22" s="93"/>
      <c r="AL22" s="30"/>
      <c r="AQ22" s="93"/>
      <c r="AR22" s="30"/>
      <c r="AW22" s="93"/>
      <c r="AX22" s="30"/>
      <c r="BC22" s="93"/>
      <c r="BD22" s="30"/>
      <c r="BI22" s="93"/>
      <c r="BJ22" s="30"/>
      <c r="BO22" s="93"/>
      <c r="BP22" s="30"/>
      <c r="BU22" s="93"/>
      <c r="BV22" s="30"/>
      <c r="CA22" s="93"/>
      <c r="CB22" s="30"/>
      <c r="CG22" s="93"/>
      <c r="CH22" s="30"/>
      <c r="CM22" s="93"/>
      <c r="CN22" s="30"/>
      <c r="CS22" s="93"/>
      <c r="CT22" s="30"/>
      <c r="CY22" s="93"/>
      <c r="CZ22" s="30"/>
      <c r="DE22" s="93"/>
      <c r="DF22" s="30"/>
      <c r="DK22" s="93"/>
      <c r="DL22" s="30"/>
      <c r="DQ22" s="93"/>
      <c r="DR22" s="30"/>
      <c r="DW22" s="93"/>
      <c r="DX22" s="30"/>
      <c r="EC22" s="93"/>
      <c r="ED22" s="30"/>
      <c r="EI22" s="93"/>
      <c r="EJ22" s="30"/>
      <c r="EO22" s="93"/>
      <c r="EP22" s="30"/>
      <c r="EU22" s="93"/>
      <c r="EV22" s="30"/>
      <c r="FA22" s="93"/>
      <c r="FB22" s="30"/>
      <c r="FG22" s="93"/>
      <c r="FH22" s="30"/>
      <c r="FM22" s="93"/>
      <c r="FN22" s="30"/>
      <c r="FS22" s="93"/>
      <c r="FT22" s="30"/>
      <c r="FY22" s="93"/>
      <c r="FZ22" s="30"/>
      <c r="GE22" s="93"/>
      <c r="GF22" s="30"/>
      <c r="GK22" s="93"/>
      <c r="GL22" s="30"/>
      <c r="GQ22" s="93"/>
      <c r="GR22" s="30"/>
      <c r="GW22" s="93"/>
      <c r="GX22" s="30"/>
      <c r="HC22" s="93"/>
      <c r="HD22" s="30"/>
      <c r="HI22" s="93"/>
      <c r="HJ22" s="30"/>
      <c r="HO22" s="93"/>
      <c r="HP22" s="30"/>
      <c r="HU22" s="93"/>
      <c r="HV22" s="30"/>
      <c r="IA22" s="93"/>
      <c r="IB22" s="30"/>
      <c r="IG22" s="93"/>
      <c r="IH22" s="30"/>
      <c r="IM22" s="93"/>
      <c r="IN22" s="30"/>
      <c r="IS22" s="93"/>
      <c r="IT22" s="30"/>
      <c r="IY22" s="93"/>
      <c r="IZ22" s="30"/>
      <c r="JE22" s="93"/>
      <c r="JF22" s="30"/>
      <c r="JK22" s="93"/>
      <c r="JL22" s="30"/>
      <c r="JQ22" s="93"/>
      <c r="JR22" s="30"/>
      <c r="JW22" s="93"/>
      <c r="JX22" s="30"/>
      <c r="KC22" s="93"/>
      <c r="KD22" s="30"/>
      <c r="KI22" s="93"/>
      <c r="KJ22" s="30"/>
      <c r="KO22" s="93"/>
      <c r="KP22" s="30"/>
      <c r="KU22" s="93"/>
      <c r="KV22" s="30"/>
      <c r="LA22" s="93"/>
      <c r="LB22" s="30"/>
      <c r="LG22" s="93"/>
      <c r="LH22" s="30"/>
      <c r="LM22" s="93"/>
      <c r="LN22" s="30"/>
      <c r="LS22" s="93"/>
      <c r="LT22" s="30"/>
      <c r="LY22" s="93"/>
      <c r="LZ22" s="30"/>
      <c r="ME22" s="93"/>
      <c r="MF22" s="30"/>
      <c r="MK22" s="93"/>
      <c r="ML22" s="30"/>
      <c r="MQ22" s="93"/>
      <c r="MR22" s="30"/>
      <c r="MW22" s="93"/>
      <c r="MX22" s="30"/>
      <c r="NC22" s="93"/>
      <c r="ND22" s="30"/>
      <c r="NI22" s="93"/>
      <c r="NJ22" s="30"/>
      <c r="NO22" s="93"/>
      <c r="NP22" s="30"/>
      <c r="NU22" s="93"/>
      <c r="NV22" s="30"/>
      <c r="OA22" s="93"/>
      <c r="OB22" s="30"/>
      <c r="OG22" s="93"/>
      <c r="OH22" s="30"/>
      <c r="OM22" s="93"/>
      <c r="ON22" s="30"/>
      <c r="OS22" s="93"/>
      <c r="OT22" s="30"/>
      <c r="OY22" s="93"/>
      <c r="OZ22" s="30"/>
      <c r="PE22" s="93"/>
      <c r="PF22" s="30"/>
      <c r="PK22" s="93"/>
      <c r="PL22" s="30"/>
      <c r="PQ22" s="93"/>
      <c r="PR22" s="30"/>
      <c r="PW22" s="93"/>
      <c r="PX22" s="30"/>
      <c r="QC22" s="93"/>
      <c r="QD22" s="30"/>
      <c r="QI22" s="93"/>
      <c r="QJ22" s="30"/>
      <c r="QO22" s="93"/>
      <c r="QP22" s="30"/>
      <c r="QU22" s="93"/>
      <c r="QV22" s="30"/>
      <c r="RA22" s="93"/>
      <c r="RB22" s="30"/>
      <c r="RG22" s="93"/>
      <c r="RH22" s="30"/>
      <c r="RM22" s="93"/>
      <c r="RN22" s="30"/>
      <c r="RS22" s="93"/>
      <c r="RT22" s="30"/>
      <c r="RY22" s="93"/>
      <c r="RZ22" s="30"/>
      <c r="SE22" s="93"/>
      <c r="SF22" s="30"/>
      <c r="SK22" s="93"/>
      <c r="SL22" s="30"/>
      <c r="SQ22" s="93"/>
      <c r="SR22" s="30"/>
      <c r="SW22" s="93"/>
      <c r="SX22" s="30"/>
      <c r="TC22" s="93"/>
      <c r="TD22" s="30"/>
      <c r="TI22" s="93"/>
      <c r="TJ22" s="30"/>
      <c r="TO22" s="93"/>
      <c r="TP22" s="30"/>
      <c r="TU22" s="93"/>
      <c r="TV22" s="30"/>
      <c r="UA22" s="93"/>
      <c r="UB22" s="30"/>
      <c r="UG22" s="93"/>
      <c r="UH22" s="30"/>
      <c r="UM22" s="93"/>
      <c r="UN22" s="30"/>
      <c r="US22" s="93"/>
      <c r="UT22" s="30"/>
      <c r="UY22" s="93"/>
      <c r="UZ22" s="30"/>
      <c r="VE22" s="93"/>
      <c r="VF22" s="30"/>
      <c r="VK22" s="93"/>
      <c r="VL22" s="30"/>
      <c r="VQ22" s="93"/>
      <c r="VR22" s="30"/>
      <c r="VW22" s="93"/>
      <c r="VX22" s="30"/>
      <c r="WC22" s="93"/>
      <c r="WD22" s="30"/>
      <c r="WI22" s="93"/>
      <c r="WJ22" s="30"/>
      <c r="WO22" s="93"/>
      <c r="WP22" s="30"/>
      <c r="WU22" s="93"/>
      <c r="WV22" s="30"/>
      <c r="XA22" s="93"/>
      <c r="XB22" s="30"/>
      <c r="XG22" s="93"/>
      <c r="XH22" s="30"/>
      <c r="XM22" s="93"/>
      <c r="XN22" s="30"/>
      <c r="XS22" s="93"/>
      <c r="XT22" s="30"/>
      <c r="XY22" s="93"/>
      <c r="XZ22" s="30"/>
      <c r="YE22" s="93"/>
      <c r="YF22" s="30"/>
      <c r="YK22" s="93"/>
      <c r="YL22" s="30"/>
      <c r="YQ22" s="93"/>
      <c r="YR22" s="30"/>
      <c r="YW22" s="93"/>
      <c r="YX22" s="30"/>
      <c r="ZC22" s="93"/>
      <c r="ZD22" s="30"/>
      <c r="ZI22" s="93"/>
      <c r="ZJ22" s="30"/>
      <c r="ZO22" s="93"/>
      <c r="ZP22" s="30"/>
      <c r="ZU22" s="93"/>
      <c r="ZV22" s="30"/>
      <c r="AAA22" s="93"/>
      <c r="AAB22" s="30"/>
      <c r="AAG22" s="93"/>
      <c r="AAH22" s="30"/>
      <c r="AAM22" s="93"/>
      <c r="AAN22" s="30"/>
      <c r="AAS22" s="93"/>
      <c r="AAT22" s="30"/>
      <c r="AAY22" s="93"/>
      <c r="AAZ22" s="30"/>
      <c r="ABE22" s="93"/>
      <c r="ABF22" s="30"/>
      <c r="ABK22" s="93"/>
      <c r="ABL22" s="30"/>
      <c r="ABQ22" s="93"/>
      <c r="ABR22" s="30"/>
      <c r="ABW22" s="93"/>
      <c r="ABX22" s="30"/>
      <c r="ACC22" s="93"/>
      <c r="ACD22" s="30"/>
      <c r="ACI22" s="93"/>
      <c r="ACJ22" s="30"/>
      <c r="ACO22" s="93"/>
      <c r="ACP22" s="30"/>
      <c r="ACU22" s="93"/>
      <c r="ACV22" s="30"/>
      <c r="ADA22" s="93"/>
      <c r="ADB22" s="30"/>
      <c r="ADG22" s="93"/>
      <c r="ADH22" s="30"/>
      <c r="ADM22" s="93"/>
      <c r="ADN22" s="30"/>
      <c r="ADS22" s="93"/>
      <c r="ADT22" s="30"/>
      <c r="ADY22" s="93"/>
      <c r="ADZ22" s="30"/>
      <c r="AEE22" s="93"/>
      <c r="AEF22" s="30"/>
      <c r="AEK22" s="93"/>
      <c r="AEL22" s="30"/>
      <c r="AEQ22" s="93"/>
      <c r="AER22" s="30"/>
      <c r="AEW22" s="93"/>
      <c r="AEX22" s="30"/>
      <c r="AFC22" s="93"/>
      <c r="AFD22" s="30"/>
      <c r="AFI22" s="93"/>
      <c r="AFJ22" s="30"/>
      <c r="AFO22" s="93"/>
      <c r="AFP22" s="30"/>
      <c r="AFU22" s="93"/>
      <c r="AFV22" s="30"/>
      <c r="AGA22" s="93"/>
      <c r="AGB22" s="30"/>
      <c r="AGG22" s="93"/>
      <c r="AGH22" s="30"/>
      <c r="AGM22" s="93"/>
      <c r="AGN22" s="30"/>
      <c r="AGS22" s="93"/>
      <c r="AGT22" s="30"/>
      <c r="AGY22" s="93"/>
      <c r="AGZ22" s="30"/>
      <c r="AHE22" s="93"/>
      <c r="AHF22" s="30"/>
      <c r="AHK22" s="93"/>
      <c r="AHL22" s="30"/>
      <c r="AHQ22" s="93"/>
      <c r="AHR22" s="30"/>
      <c r="AHW22" s="93"/>
      <c r="AHX22" s="30"/>
      <c r="AIC22" s="93"/>
      <c r="AID22" s="30"/>
      <c r="AII22" s="93"/>
      <c r="AIJ22" s="30"/>
      <c r="AIO22" s="93"/>
      <c r="AIP22" s="30"/>
      <c r="AIU22" s="93"/>
      <c r="AIV22" s="30"/>
      <c r="AJA22" s="93"/>
      <c r="AJB22" s="30"/>
      <c r="AJG22" s="93"/>
      <c r="AJH22" s="30"/>
      <c r="AJM22" s="93"/>
      <c r="AJN22" s="30"/>
      <c r="AJS22" s="93"/>
      <c r="AJT22" s="30"/>
      <c r="AJY22" s="93"/>
      <c r="AJZ22" s="30"/>
      <c r="AKE22" s="93"/>
      <c r="AKF22" s="30"/>
      <c r="AKK22" s="93"/>
      <c r="AKL22" s="30"/>
      <c r="AKQ22" s="93"/>
      <c r="AKR22" s="30"/>
      <c r="AKW22" s="93"/>
      <c r="AKX22" s="30"/>
      <c r="ALC22" s="93"/>
      <c r="ALD22" s="30"/>
      <c r="ALI22" s="93"/>
      <c r="ALJ22" s="30"/>
      <c r="ALO22" s="93"/>
      <c r="ALP22" s="30"/>
      <c r="ALU22" s="93"/>
      <c r="ALV22" s="30"/>
      <c r="AMA22" s="93"/>
      <c r="AMB22" s="30"/>
      <c r="AMG22" s="93"/>
      <c r="AMH22" s="30"/>
      <c r="AMM22" s="93"/>
      <c r="AMN22" s="30"/>
      <c r="AMS22" s="93"/>
      <c r="AMT22" s="30"/>
      <c r="AMY22" s="93"/>
      <c r="AMZ22" s="30"/>
      <c r="ANE22" s="93"/>
      <c r="ANF22" s="30"/>
      <c r="ANK22" s="93"/>
      <c r="ANL22" s="30"/>
      <c r="ANQ22" s="93"/>
      <c r="ANR22" s="30"/>
      <c r="ANW22" s="93"/>
      <c r="ANX22" s="30"/>
      <c r="AOC22" s="93"/>
      <c r="AOD22" s="30"/>
      <c r="AOI22" s="93"/>
      <c r="AOJ22" s="30"/>
      <c r="AOO22" s="93"/>
      <c r="AOP22" s="30"/>
      <c r="AOU22" s="93"/>
      <c r="AOV22" s="30"/>
      <c r="APA22" s="93"/>
      <c r="APB22" s="30"/>
      <c r="APG22" s="93"/>
      <c r="APH22" s="30"/>
      <c r="APM22" s="93"/>
      <c r="APN22" s="30"/>
      <c r="APS22" s="93"/>
      <c r="APT22" s="30"/>
      <c r="APY22" s="93"/>
      <c r="APZ22" s="30"/>
      <c r="AQE22" s="93"/>
      <c r="AQF22" s="30"/>
      <c r="AQK22" s="93"/>
      <c r="AQL22" s="30"/>
      <c r="AQQ22" s="93"/>
      <c r="AQR22" s="30"/>
      <c r="AQW22" s="93"/>
      <c r="AQX22" s="30"/>
      <c r="ARC22" s="93"/>
      <c r="ARD22" s="30"/>
      <c r="ARI22" s="93"/>
      <c r="ARJ22" s="30"/>
      <c r="ARO22" s="93"/>
      <c r="ARP22" s="30"/>
      <c r="ARU22" s="93"/>
      <c r="ARV22" s="30"/>
      <c r="ASA22" s="93"/>
      <c r="ASB22" s="30"/>
      <c r="ASG22" s="93"/>
      <c r="ASH22" s="30"/>
      <c r="ASM22" s="93"/>
      <c r="ASN22" s="30"/>
      <c r="ASS22" s="93"/>
      <c r="AST22" s="30"/>
      <c r="ASY22" s="93"/>
      <c r="ASZ22" s="30"/>
      <c r="ATE22" s="93"/>
      <c r="ATF22" s="30"/>
      <c r="ATK22" s="93"/>
      <c r="ATL22" s="30"/>
      <c r="ATQ22" s="93"/>
      <c r="ATR22" s="30"/>
      <c r="ATW22" s="93"/>
      <c r="ATX22" s="30"/>
      <c r="AUC22" s="93"/>
      <c r="AUD22" s="30"/>
      <c r="AUI22" s="93"/>
      <c r="AUJ22" s="30"/>
      <c r="AUO22" s="93"/>
      <c r="AUP22" s="30"/>
      <c r="AUU22" s="93"/>
      <c r="AUV22" s="30"/>
      <c r="AVA22" s="93"/>
      <c r="AVB22" s="30"/>
      <c r="AVG22" s="93"/>
      <c r="AVH22" s="30"/>
      <c r="AVM22" s="93"/>
      <c r="AVN22" s="30"/>
      <c r="AVS22" s="93"/>
      <c r="AVT22" s="30"/>
      <c r="AVY22" s="93"/>
      <c r="AVZ22" s="30"/>
      <c r="AWE22" s="93"/>
      <c r="AWF22" s="30"/>
      <c r="AWK22" s="93"/>
      <c r="AWL22" s="30"/>
      <c r="AWQ22" s="93"/>
      <c r="AWR22" s="30"/>
      <c r="AWW22" s="93"/>
      <c r="AWX22" s="30"/>
      <c r="AXC22" s="93"/>
      <c r="AXD22" s="30"/>
      <c r="AXI22" s="93"/>
      <c r="AXJ22" s="30"/>
      <c r="AXO22" s="93"/>
      <c r="AXP22" s="30"/>
      <c r="AXU22" s="93"/>
      <c r="AXV22" s="30"/>
      <c r="AYA22" s="93"/>
      <c r="AYB22" s="30"/>
      <c r="AYG22" s="93"/>
      <c r="AYH22" s="30"/>
      <c r="AYM22" s="93"/>
      <c r="AYN22" s="30"/>
      <c r="AYS22" s="93"/>
      <c r="AYT22" s="30"/>
      <c r="AYY22" s="93"/>
      <c r="AYZ22" s="30"/>
      <c r="AZE22" s="93"/>
      <c r="AZF22" s="30"/>
      <c r="AZK22" s="93"/>
      <c r="AZL22" s="30"/>
      <c r="AZQ22" s="93"/>
      <c r="AZR22" s="30"/>
      <c r="AZW22" s="93"/>
      <c r="AZX22" s="30"/>
      <c r="BAC22" s="93"/>
      <c r="BAD22" s="30"/>
      <c r="BAI22" s="93"/>
      <c r="BAJ22" s="30"/>
      <c r="BAO22" s="93"/>
      <c r="BAP22" s="30"/>
      <c r="BAU22" s="93"/>
      <c r="BAV22" s="30"/>
      <c r="BBA22" s="93"/>
      <c r="BBB22" s="30"/>
      <c r="BBG22" s="93"/>
      <c r="BBH22" s="30"/>
      <c r="BBM22" s="93"/>
      <c r="BBN22" s="30"/>
      <c r="BBS22" s="93"/>
      <c r="BBT22" s="30"/>
      <c r="BBY22" s="93"/>
      <c r="BBZ22" s="30"/>
      <c r="BCE22" s="93"/>
      <c r="BCF22" s="30"/>
      <c r="BCK22" s="93"/>
      <c r="BCL22" s="30"/>
      <c r="BCQ22" s="93"/>
      <c r="BCR22" s="30"/>
      <c r="BCW22" s="93"/>
      <c r="BCX22" s="30"/>
      <c r="BDC22" s="93"/>
      <c r="BDD22" s="30"/>
      <c r="BDI22" s="93"/>
      <c r="BDJ22" s="30"/>
      <c r="BDO22" s="93"/>
      <c r="BDP22" s="30"/>
      <c r="BDU22" s="93"/>
      <c r="BDV22" s="30"/>
      <c r="BEA22" s="93"/>
      <c r="BEB22" s="30"/>
      <c r="BEG22" s="93"/>
      <c r="BEH22" s="30"/>
      <c r="BEM22" s="93"/>
      <c r="BEN22" s="30"/>
      <c r="BES22" s="93"/>
      <c r="BET22" s="30"/>
      <c r="BEY22" s="93"/>
      <c r="BEZ22" s="30"/>
      <c r="BFE22" s="93"/>
      <c r="BFF22" s="30"/>
      <c r="BFK22" s="93"/>
      <c r="BFL22" s="30"/>
      <c r="BFQ22" s="93"/>
      <c r="BFR22" s="30"/>
      <c r="BFW22" s="93"/>
      <c r="BFX22" s="30"/>
      <c r="BGC22" s="93"/>
      <c r="BGD22" s="30"/>
      <c r="BGI22" s="93"/>
      <c r="BGJ22" s="30"/>
      <c r="BGO22" s="93"/>
      <c r="BGP22" s="30"/>
      <c r="BGU22" s="93"/>
      <c r="BGV22" s="30"/>
      <c r="BHA22" s="93"/>
      <c r="BHB22" s="30"/>
      <c r="BHG22" s="93"/>
      <c r="BHH22" s="30"/>
      <c r="BHM22" s="93"/>
      <c r="BHN22" s="30"/>
      <c r="BHS22" s="93"/>
      <c r="BHT22" s="30"/>
      <c r="BHY22" s="93"/>
      <c r="BHZ22" s="30"/>
      <c r="BIE22" s="93"/>
      <c r="BIF22" s="30"/>
      <c r="BIK22" s="93"/>
      <c r="BIL22" s="30"/>
      <c r="BIQ22" s="93"/>
      <c r="BIR22" s="30"/>
      <c r="BIW22" s="93"/>
      <c r="BIX22" s="30"/>
      <c r="BJC22" s="93"/>
      <c r="BJD22" s="30"/>
      <c r="BJI22" s="93"/>
      <c r="BJJ22" s="30"/>
      <c r="BJO22" s="93"/>
      <c r="BJP22" s="30"/>
      <c r="BJU22" s="93"/>
      <c r="BJV22" s="30"/>
      <c r="BKA22" s="93"/>
      <c r="BKB22" s="30"/>
      <c r="BKG22" s="93"/>
      <c r="BKH22" s="30"/>
      <c r="BKM22" s="93"/>
      <c r="BKN22" s="30"/>
      <c r="BKS22" s="93"/>
      <c r="BKT22" s="30"/>
      <c r="BKY22" s="93"/>
      <c r="BKZ22" s="30"/>
      <c r="BLE22" s="93"/>
      <c r="BLF22" s="30"/>
      <c r="BLK22" s="93"/>
      <c r="BLL22" s="30"/>
      <c r="BLQ22" s="93"/>
      <c r="BLR22" s="30"/>
      <c r="BLW22" s="93"/>
      <c r="BLX22" s="30"/>
      <c r="BMC22" s="93"/>
      <c r="BMD22" s="30"/>
      <c r="BMI22" s="93"/>
      <c r="BMJ22" s="30"/>
      <c r="BMO22" s="93"/>
      <c r="BMP22" s="30"/>
      <c r="BMU22" s="93"/>
      <c r="BMV22" s="30"/>
      <c r="BNA22" s="93"/>
      <c r="BNB22" s="30"/>
      <c r="BNG22" s="93"/>
      <c r="BNH22" s="30"/>
      <c r="BNM22" s="93"/>
      <c r="BNN22" s="30"/>
      <c r="BNS22" s="93"/>
      <c r="BNT22" s="30"/>
      <c r="BNY22" s="93"/>
      <c r="BNZ22" s="30"/>
      <c r="BOE22" s="93"/>
      <c r="BOF22" s="30"/>
      <c r="BOK22" s="93"/>
      <c r="BOL22" s="30"/>
      <c r="BOQ22" s="93"/>
      <c r="BOR22" s="30"/>
      <c r="BOW22" s="93"/>
      <c r="BOX22" s="30"/>
      <c r="BPC22" s="93"/>
      <c r="BPD22" s="30"/>
      <c r="BPI22" s="93"/>
      <c r="BPJ22" s="30"/>
      <c r="BPO22" s="93"/>
      <c r="BPP22" s="30"/>
      <c r="BPU22" s="93"/>
      <c r="BPV22" s="30"/>
      <c r="BQA22" s="93"/>
      <c r="BQB22" s="30"/>
      <c r="BQG22" s="93"/>
      <c r="BQH22" s="30"/>
      <c r="BQM22" s="93"/>
      <c r="BQN22" s="30"/>
      <c r="BQS22" s="93"/>
      <c r="BQT22" s="30"/>
      <c r="BQY22" s="93"/>
      <c r="BQZ22" s="30"/>
      <c r="BRE22" s="93"/>
      <c r="BRF22" s="30"/>
      <c r="BRK22" s="93"/>
      <c r="BRL22" s="30"/>
      <c r="BRQ22" s="93"/>
      <c r="BRR22" s="30"/>
      <c r="BRW22" s="93"/>
      <c r="BRX22" s="30"/>
      <c r="BSC22" s="93"/>
      <c r="BSD22" s="30"/>
      <c r="BSI22" s="93"/>
      <c r="BSJ22" s="30"/>
      <c r="BSO22" s="93"/>
      <c r="BSP22" s="30"/>
      <c r="BSU22" s="93"/>
      <c r="BSV22" s="30"/>
      <c r="BTA22" s="93"/>
      <c r="BTB22" s="30"/>
      <c r="BTG22" s="93"/>
      <c r="BTH22" s="30"/>
      <c r="BTM22" s="93"/>
      <c r="BTN22" s="30"/>
      <c r="BTS22" s="93"/>
      <c r="BTT22" s="30"/>
      <c r="BTY22" s="93"/>
      <c r="BTZ22" s="30"/>
      <c r="BUE22" s="93"/>
      <c r="BUF22" s="30"/>
      <c r="BUK22" s="93"/>
      <c r="BUL22" s="30"/>
      <c r="BUQ22" s="93"/>
      <c r="BUR22" s="30"/>
      <c r="BUW22" s="93"/>
      <c r="BUX22" s="30"/>
      <c r="BVC22" s="93"/>
      <c r="BVD22" s="30"/>
      <c r="BVI22" s="93"/>
      <c r="BVJ22" s="30"/>
      <c r="BVO22" s="93"/>
      <c r="BVP22" s="30"/>
      <c r="BVU22" s="93"/>
      <c r="BVV22" s="30"/>
      <c r="BWA22" s="93"/>
      <c r="BWB22" s="30"/>
      <c r="BWG22" s="93"/>
      <c r="BWH22" s="30"/>
      <c r="BWM22" s="93"/>
      <c r="BWN22" s="30"/>
      <c r="BWS22" s="93"/>
      <c r="BWT22" s="30"/>
      <c r="BWY22" s="93"/>
      <c r="BWZ22" s="30"/>
      <c r="BXE22" s="93"/>
      <c r="BXF22" s="30"/>
      <c r="BXK22" s="93"/>
      <c r="BXL22" s="30"/>
      <c r="BXQ22" s="93"/>
      <c r="BXR22" s="30"/>
      <c r="BXW22" s="93"/>
      <c r="BXX22" s="30"/>
      <c r="BYC22" s="93"/>
      <c r="BYD22" s="30"/>
      <c r="BYI22" s="93"/>
      <c r="BYJ22" s="30"/>
      <c r="BYO22" s="93"/>
      <c r="BYP22" s="30"/>
      <c r="BYU22" s="93"/>
      <c r="BYV22" s="30"/>
      <c r="BZA22" s="93"/>
      <c r="BZB22" s="30"/>
      <c r="BZG22" s="93"/>
      <c r="BZH22" s="30"/>
      <c r="BZM22" s="93"/>
      <c r="BZN22" s="30"/>
      <c r="BZS22" s="93"/>
      <c r="BZT22" s="30"/>
      <c r="BZY22" s="93"/>
      <c r="BZZ22" s="30"/>
      <c r="CAE22" s="93"/>
      <c r="CAF22" s="30"/>
      <c r="CAK22" s="93"/>
      <c r="CAL22" s="30"/>
      <c r="CAQ22" s="93"/>
      <c r="CAR22" s="30"/>
      <c r="CAW22" s="93"/>
      <c r="CAX22" s="30"/>
      <c r="CBC22" s="93"/>
      <c r="CBD22" s="30"/>
      <c r="CBI22" s="93"/>
      <c r="CBJ22" s="30"/>
      <c r="CBO22" s="93"/>
      <c r="CBP22" s="30"/>
      <c r="CBU22" s="93"/>
      <c r="CBV22" s="30"/>
      <c r="CCA22" s="93"/>
      <c r="CCB22" s="30"/>
      <c r="CCG22" s="93"/>
      <c r="CCH22" s="30"/>
      <c r="CCM22" s="93"/>
      <c r="CCN22" s="30"/>
      <c r="CCS22" s="93"/>
      <c r="CCT22" s="30"/>
      <c r="CCY22" s="93"/>
      <c r="CCZ22" s="30"/>
      <c r="CDE22" s="93"/>
      <c r="CDF22" s="30"/>
      <c r="CDK22" s="93"/>
      <c r="CDL22" s="30"/>
      <c r="CDQ22" s="93"/>
      <c r="CDR22" s="30"/>
      <c r="CDW22" s="93"/>
      <c r="CDX22" s="30"/>
      <c r="CEC22" s="93"/>
      <c r="CED22" s="30"/>
      <c r="CEI22" s="93"/>
      <c r="CEJ22" s="30"/>
      <c r="CEO22" s="93"/>
      <c r="CEP22" s="30"/>
      <c r="CEU22" s="93"/>
      <c r="CEV22" s="30"/>
      <c r="CFA22" s="93"/>
      <c r="CFB22" s="30"/>
      <c r="CFG22" s="93"/>
      <c r="CFH22" s="30"/>
      <c r="CFM22" s="93"/>
      <c r="CFN22" s="30"/>
      <c r="CFS22" s="93"/>
      <c r="CFT22" s="30"/>
      <c r="CFY22" s="93"/>
      <c r="CFZ22" s="30"/>
      <c r="CGE22" s="93"/>
      <c r="CGF22" s="30"/>
      <c r="CGK22" s="93"/>
      <c r="CGL22" s="30"/>
      <c r="CGQ22" s="93"/>
      <c r="CGR22" s="30"/>
      <c r="CGW22" s="93"/>
      <c r="CGX22" s="30"/>
      <c r="CHC22" s="93"/>
      <c r="CHD22" s="30"/>
      <c r="CHI22" s="93"/>
      <c r="CHJ22" s="30"/>
      <c r="CHO22" s="93"/>
      <c r="CHP22" s="30"/>
      <c r="CHU22" s="93"/>
      <c r="CHV22" s="30"/>
      <c r="CIA22" s="93"/>
      <c r="CIB22" s="30"/>
      <c r="CIG22" s="93"/>
      <c r="CIH22" s="30"/>
      <c r="CIM22" s="93"/>
      <c r="CIN22" s="30"/>
      <c r="CIS22" s="93"/>
      <c r="CIT22" s="30"/>
      <c r="CIY22" s="93"/>
      <c r="CIZ22" s="30"/>
      <c r="CJE22" s="93"/>
      <c r="CJF22" s="30"/>
      <c r="CJK22" s="93"/>
      <c r="CJL22" s="30"/>
      <c r="CJQ22" s="93"/>
      <c r="CJR22" s="30"/>
      <c r="CJW22" s="93"/>
      <c r="CJX22" s="30"/>
      <c r="CKC22" s="93"/>
      <c r="CKD22" s="30"/>
      <c r="CKI22" s="93"/>
      <c r="CKJ22" s="30"/>
      <c r="CKO22" s="93"/>
      <c r="CKP22" s="30"/>
      <c r="CKU22" s="93"/>
      <c r="CKV22" s="30"/>
      <c r="CLA22" s="93"/>
      <c r="CLB22" s="30"/>
      <c r="CLG22" s="93"/>
      <c r="CLH22" s="30"/>
      <c r="CLM22" s="93"/>
      <c r="CLN22" s="30"/>
      <c r="CLS22" s="93"/>
      <c r="CLT22" s="30"/>
      <c r="CLY22" s="93"/>
      <c r="CLZ22" s="30"/>
      <c r="CME22" s="93"/>
      <c r="CMF22" s="30"/>
      <c r="CMK22" s="93"/>
      <c r="CML22" s="30"/>
      <c r="CMQ22" s="93"/>
      <c r="CMR22" s="30"/>
      <c r="CMW22" s="93"/>
      <c r="CMX22" s="30"/>
      <c r="CNC22" s="93"/>
      <c r="CND22" s="30"/>
      <c r="CNI22" s="93"/>
      <c r="CNJ22" s="30"/>
      <c r="CNO22" s="93"/>
      <c r="CNP22" s="30"/>
      <c r="CNU22" s="93"/>
      <c r="CNV22" s="30"/>
      <c r="COA22" s="93"/>
      <c r="COB22" s="30"/>
      <c r="COG22" s="93"/>
      <c r="COH22" s="30"/>
      <c r="COM22" s="93"/>
      <c r="CON22" s="30"/>
      <c r="COS22" s="93"/>
      <c r="COT22" s="30"/>
      <c r="COY22" s="93"/>
      <c r="COZ22" s="30"/>
      <c r="CPE22" s="93"/>
      <c r="CPF22" s="30"/>
      <c r="CPK22" s="93"/>
      <c r="CPL22" s="30"/>
      <c r="CPQ22" s="93"/>
      <c r="CPR22" s="30"/>
      <c r="CPW22" s="93"/>
      <c r="CPX22" s="30"/>
      <c r="CQC22" s="93"/>
      <c r="CQD22" s="30"/>
      <c r="CQI22" s="93"/>
      <c r="CQJ22" s="30"/>
      <c r="CQO22" s="93"/>
      <c r="CQP22" s="30"/>
      <c r="CQU22" s="93"/>
      <c r="CQV22" s="30"/>
      <c r="CRA22" s="93"/>
      <c r="CRB22" s="30"/>
      <c r="CRG22" s="93"/>
      <c r="CRH22" s="30"/>
      <c r="CRM22" s="93"/>
      <c r="CRN22" s="30"/>
      <c r="CRS22" s="93"/>
      <c r="CRT22" s="30"/>
      <c r="CRY22" s="93"/>
      <c r="CRZ22" s="30"/>
      <c r="CSE22" s="93"/>
      <c r="CSF22" s="30"/>
      <c r="CSK22" s="93"/>
      <c r="CSL22" s="30"/>
      <c r="CSQ22" s="93"/>
      <c r="CSR22" s="30"/>
      <c r="CSW22" s="93"/>
      <c r="CSX22" s="30"/>
      <c r="CTC22" s="93"/>
      <c r="CTD22" s="30"/>
      <c r="CTI22" s="93"/>
      <c r="CTJ22" s="30"/>
      <c r="CTO22" s="93"/>
      <c r="CTP22" s="30"/>
      <c r="CTU22" s="93"/>
      <c r="CTV22" s="30"/>
      <c r="CUA22" s="93"/>
      <c r="CUB22" s="30"/>
      <c r="CUG22" s="93"/>
      <c r="CUH22" s="30"/>
      <c r="CUM22" s="93"/>
      <c r="CUN22" s="30"/>
      <c r="CUS22" s="93"/>
      <c r="CUT22" s="30"/>
      <c r="CUY22" s="93"/>
      <c r="CUZ22" s="30"/>
      <c r="CVE22" s="93"/>
      <c r="CVF22" s="30"/>
      <c r="CVK22" s="93"/>
      <c r="CVL22" s="30"/>
      <c r="CVQ22" s="93"/>
      <c r="CVR22" s="30"/>
      <c r="CVW22" s="93"/>
      <c r="CVX22" s="30"/>
      <c r="CWC22" s="93"/>
      <c r="CWD22" s="30"/>
      <c r="CWI22" s="93"/>
      <c r="CWJ22" s="30"/>
      <c r="CWO22" s="93"/>
      <c r="CWP22" s="30"/>
      <c r="CWU22" s="93"/>
      <c r="CWV22" s="30"/>
      <c r="CXA22" s="93"/>
      <c r="CXB22" s="30"/>
      <c r="CXG22" s="93"/>
      <c r="CXH22" s="30"/>
      <c r="CXM22" s="93"/>
      <c r="CXN22" s="30"/>
      <c r="CXS22" s="93"/>
      <c r="CXT22" s="30"/>
      <c r="CXY22" s="93"/>
      <c r="CXZ22" s="30"/>
      <c r="CYE22" s="93"/>
      <c r="CYF22" s="30"/>
      <c r="CYK22" s="93"/>
      <c r="CYL22" s="30"/>
      <c r="CYQ22" s="93"/>
      <c r="CYR22" s="30"/>
      <c r="CYW22" s="93"/>
      <c r="CYX22" s="30"/>
      <c r="CZC22" s="93"/>
      <c r="CZD22" s="30"/>
      <c r="CZI22" s="93"/>
      <c r="CZJ22" s="30"/>
      <c r="CZO22" s="93"/>
      <c r="CZP22" s="30"/>
      <c r="CZU22" s="93"/>
      <c r="CZV22" s="30"/>
      <c r="DAA22" s="93"/>
      <c r="DAB22" s="30"/>
      <c r="DAG22" s="93"/>
      <c r="DAH22" s="30"/>
      <c r="DAM22" s="93"/>
      <c r="DAN22" s="30"/>
      <c r="DAS22" s="93"/>
      <c r="DAT22" s="30"/>
      <c r="DAY22" s="93"/>
      <c r="DAZ22" s="30"/>
      <c r="DBE22" s="93"/>
      <c r="DBF22" s="30"/>
      <c r="DBK22" s="93"/>
      <c r="DBL22" s="30"/>
      <c r="DBQ22" s="93"/>
      <c r="DBR22" s="30"/>
      <c r="DBW22" s="93"/>
      <c r="DBX22" s="30"/>
      <c r="DCC22" s="93"/>
      <c r="DCD22" s="30"/>
      <c r="DCI22" s="93"/>
      <c r="DCJ22" s="30"/>
      <c r="DCO22" s="93"/>
      <c r="DCP22" s="30"/>
      <c r="DCU22" s="93"/>
      <c r="DCV22" s="30"/>
      <c r="DDA22" s="93"/>
      <c r="DDB22" s="30"/>
      <c r="DDG22" s="93"/>
      <c r="DDH22" s="30"/>
      <c r="DDM22" s="93"/>
      <c r="DDN22" s="30"/>
      <c r="DDS22" s="93"/>
      <c r="DDT22" s="30"/>
      <c r="DDY22" s="93"/>
      <c r="DDZ22" s="30"/>
      <c r="DEE22" s="93"/>
      <c r="DEF22" s="30"/>
      <c r="DEK22" s="93"/>
      <c r="DEL22" s="30"/>
      <c r="DEQ22" s="93"/>
      <c r="DER22" s="30"/>
      <c r="DEW22" s="93"/>
      <c r="DEX22" s="30"/>
      <c r="DFC22" s="93"/>
      <c r="DFD22" s="30"/>
      <c r="DFI22" s="93"/>
      <c r="DFJ22" s="30"/>
      <c r="DFO22" s="93"/>
      <c r="DFP22" s="30"/>
      <c r="DFU22" s="93"/>
      <c r="DFV22" s="30"/>
      <c r="DGA22" s="93"/>
      <c r="DGB22" s="30"/>
      <c r="DGG22" s="93"/>
      <c r="DGH22" s="30"/>
      <c r="DGM22" s="93"/>
      <c r="DGN22" s="30"/>
      <c r="DGS22" s="93"/>
      <c r="DGT22" s="30"/>
      <c r="DGY22" s="93"/>
      <c r="DGZ22" s="30"/>
      <c r="DHE22" s="93"/>
      <c r="DHF22" s="30"/>
      <c r="DHK22" s="93"/>
      <c r="DHL22" s="30"/>
      <c r="DHQ22" s="93"/>
      <c r="DHR22" s="30"/>
      <c r="DHW22" s="93"/>
      <c r="DHX22" s="30"/>
      <c r="DIC22" s="93"/>
      <c r="DID22" s="30"/>
      <c r="DII22" s="93"/>
      <c r="DIJ22" s="30"/>
      <c r="DIO22" s="93"/>
      <c r="DIP22" s="30"/>
      <c r="DIU22" s="93"/>
      <c r="DIV22" s="30"/>
      <c r="DJA22" s="93"/>
      <c r="DJB22" s="30"/>
      <c r="DJG22" s="93"/>
      <c r="DJH22" s="30"/>
      <c r="DJM22" s="93"/>
      <c r="DJN22" s="30"/>
      <c r="DJS22" s="93"/>
      <c r="DJT22" s="30"/>
      <c r="DJY22" s="93"/>
      <c r="DJZ22" s="30"/>
      <c r="DKE22" s="93"/>
      <c r="DKF22" s="30"/>
      <c r="DKK22" s="93"/>
      <c r="DKL22" s="30"/>
      <c r="DKQ22" s="93"/>
      <c r="DKR22" s="30"/>
      <c r="DKW22" s="93"/>
      <c r="DKX22" s="30"/>
      <c r="DLC22" s="93"/>
      <c r="DLD22" s="30"/>
      <c r="DLI22" s="93"/>
      <c r="DLJ22" s="30"/>
      <c r="DLO22" s="93"/>
      <c r="DLP22" s="30"/>
      <c r="DLU22" s="93"/>
      <c r="DLV22" s="30"/>
      <c r="DMA22" s="93"/>
      <c r="DMB22" s="30"/>
      <c r="DMG22" s="93"/>
      <c r="DMH22" s="30"/>
      <c r="DMM22" s="93"/>
      <c r="DMN22" s="30"/>
      <c r="DMS22" s="93"/>
      <c r="DMT22" s="30"/>
      <c r="DMY22" s="93"/>
      <c r="DMZ22" s="30"/>
      <c r="DNE22" s="93"/>
      <c r="DNF22" s="30"/>
      <c r="DNK22" s="93"/>
      <c r="DNL22" s="30"/>
      <c r="DNQ22" s="93"/>
      <c r="DNR22" s="30"/>
      <c r="DNW22" s="93"/>
      <c r="DNX22" s="30"/>
      <c r="DOC22" s="93"/>
      <c r="DOD22" s="30"/>
      <c r="DOI22" s="93"/>
      <c r="DOJ22" s="30"/>
      <c r="DOO22" s="93"/>
      <c r="DOP22" s="30"/>
      <c r="DOU22" s="93"/>
      <c r="DOV22" s="30"/>
      <c r="DPA22" s="93"/>
      <c r="DPB22" s="30"/>
      <c r="DPG22" s="93"/>
      <c r="DPH22" s="30"/>
      <c r="DPM22" s="93"/>
      <c r="DPN22" s="30"/>
      <c r="DPS22" s="93"/>
      <c r="DPT22" s="30"/>
      <c r="DPY22" s="93"/>
      <c r="DPZ22" s="30"/>
      <c r="DQE22" s="93"/>
      <c r="DQF22" s="30"/>
      <c r="DQK22" s="93"/>
      <c r="DQL22" s="30"/>
      <c r="DQQ22" s="93"/>
      <c r="DQR22" s="30"/>
      <c r="DQW22" s="93"/>
      <c r="DQX22" s="30"/>
      <c r="DRC22" s="93"/>
      <c r="DRD22" s="30"/>
      <c r="DRI22" s="93"/>
      <c r="DRJ22" s="30"/>
      <c r="DRO22" s="93"/>
      <c r="DRP22" s="30"/>
      <c r="DRU22" s="93"/>
      <c r="DRV22" s="30"/>
      <c r="DSA22" s="93"/>
      <c r="DSB22" s="30"/>
      <c r="DSG22" s="93"/>
      <c r="DSH22" s="30"/>
      <c r="DSM22" s="93"/>
      <c r="DSN22" s="30"/>
      <c r="DSS22" s="93"/>
      <c r="DST22" s="30"/>
      <c r="DSY22" s="93"/>
      <c r="DSZ22" s="30"/>
      <c r="DTE22" s="93"/>
      <c r="DTF22" s="30"/>
      <c r="DTK22" s="93"/>
      <c r="DTL22" s="30"/>
      <c r="DTQ22" s="93"/>
      <c r="DTR22" s="30"/>
      <c r="DTW22" s="93"/>
      <c r="DTX22" s="30"/>
      <c r="DUC22" s="93"/>
      <c r="DUD22" s="30"/>
      <c r="DUI22" s="93"/>
      <c r="DUJ22" s="30"/>
      <c r="DUO22" s="93"/>
      <c r="DUP22" s="30"/>
      <c r="DUU22" s="93"/>
      <c r="DUV22" s="30"/>
      <c r="DVA22" s="93"/>
      <c r="DVB22" s="30"/>
      <c r="DVG22" s="93"/>
      <c r="DVH22" s="30"/>
      <c r="DVM22" s="93"/>
      <c r="DVN22" s="30"/>
      <c r="DVS22" s="93"/>
      <c r="DVT22" s="30"/>
      <c r="DVY22" s="93"/>
      <c r="DVZ22" s="30"/>
      <c r="DWE22" s="93"/>
      <c r="DWF22" s="30"/>
      <c r="DWK22" s="93"/>
      <c r="DWL22" s="30"/>
      <c r="DWQ22" s="93"/>
      <c r="DWR22" s="30"/>
      <c r="DWW22" s="93"/>
      <c r="DWX22" s="30"/>
      <c r="DXC22" s="93"/>
      <c r="DXD22" s="30"/>
      <c r="DXI22" s="93"/>
      <c r="DXJ22" s="30"/>
      <c r="DXO22" s="93"/>
      <c r="DXP22" s="30"/>
      <c r="DXU22" s="93"/>
      <c r="DXV22" s="30"/>
      <c r="DYA22" s="93"/>
      <c r="DYB22" s="30"/>
      <c r="DYG22" s="93"/>
      <c r="DYH22" s="30"/>
      <c r="DYM22" s="93"/>
      <c r="DYN22" s="30"/>
      <c r="DYS22" s="93"/>
      <c r="DYT22" s="30"/>
      <c r="DYY22" s="93"/>
      <c r="DYZ22" s="30"/>
      <c r="DZE22" s="93"/>
      <c r="DZF22" s="30"/>
      <c r="DZK22" s="93"/>
      <c r="DZL22" s="30"/>
      <c r="DZQ22" s="93"/>
      <c r="DZR22" s="30"/>
      <c r="DZW22" s="93"/>
      <c r="DZX22" s="30"/>
      <c r="EAC22" s="93"/>
      <c r="EAD22" s="30"/>
      <c r="EAI22" s="93"/>
      <c r="EAJ22" s="30"/>
      <c r="EAO22" s="93"/>
      <c r="EAP22" s="30"/>
      <c r="EAU22" s="93"/>
      <c r="EAV22" s="30"/>
      <c r="EBA22" s="93"/>
      <c r="EBB22" s="30"/>
      <c r="EBG22" s="93"/>
      <c r="EBH22" s="30"/>
      <c r="EBM22" s="93"/>
      <c r="EBN22" s="30"/>
      <c r="EBS22" s="93"/>
      <c r="EBT22" s="30"/>
      <c r="EBY22" s="93"/>
      <c r="EBZ22" s="30"/>
      <c r="ECE22" s="93"/>
      <c r="ECF22" s="30"/>
      <c r="ECK22" s="93"/>
      <c r="ECL22" s="30"/>
      <c r="ECQ22" s="93"/>
      <c r="ECR22" s="30"/>
      <c r="ECW22" s="93"/>
      <c r="ECX22" s="30"/>
      <c r="EDC22" s="93"/>
      <c r="EDD22" s="30"/>
      <c r="EDI22" s="93"/>
      <c r="EDJ22" s="30"/>
      <c r="EDO22" s="93"/>
      <c r="EDP22" s="30"/>
      <c r="EDU22" s="93"/>
      <c r="EDV22" s="30"/>
      <c r="EEA22" s="93"/>
      <c r="EEB22" s="30"/>
      <c r="EEG22" s="93"/>
      <c r="EEH22" s="30"/>
      <c r="EEM22" s="93"/>
      <c r="EEN22" s="30"/>
      <c r="EES22" s="93"/>
      <c r="EET22" s="30"/>
      <c r="EEY22" s="93"/>
      <c r="EEZ22" s="30"/>
      <c r="EFE22" s="93"/>
      <c r="EFF22" s="30"/>
      <c r="EFK22" s="93"/>
      <c r="EFL22" s="30"/>
      <c r="EFQ22" s="93"/>
      <c r="EFR22" s="30"/>
      <c r="EFW22" s="93"/>
      <c r="EFX22" s="30"/>
      <c r="EGC22" s="93"/>
      <c r="EGD22" s="30"/>
      <c r="EGI22" s="93"/>
      <c r="EGJ22" s="30"/>
      <c r="EGO22" s="93"/>
      <c r="EGP22" s="30"/>
      <c r="EGU22" s="93"/>
      <c r="EGV22" s="30"/>
      <c r="EHA22" s="93"/>
      <c r="EHB22" s="30"/>
      <c r="EHG22" s="93"/>
      <c r="EHH22" s="30"/>
      <c r="EHM22" s="93"/>
      <c r="EHN22" s="30"/>
      <c r="EHS22" s="93"/>
      <c r="EHT22" s="30"/>
      <c r="EHY22" s="93"/>
      <c r="EHZ22" s="30"/>
      <c r="EIE22" s="93"/>
      <c r="EIF22" s="30"/>
      <c r="EIK22" s="93"/>
      <c r="EIL22" s="30"/>
      <c r="EIQ22" s="93"/>
      <c r="EIR22" s="30"/>
      <c r="EIW22" s="93"/>
      <c r="EIX22" s="30"/>
      <c r="EJC22" s="93"/>
      <c r="EJD22" s="30"/>
      <c r="EJI22" s="93"/>
      <c r="EJJ22" s="30"/>
      <c r="EJO22" s="93"/>
      <c r="EJP22" s="30"/>
      <c r="EJU22" s="93"/>
      <c r="EJV22" s="30"/>
      <c r="EKA22" s="93"/>
      <c r="EKB22" s="30"/>
      <c r="EKG22" s="93"/>
      <c r="EKH22" s="30"/>
      <c r="EKM22" s="93"/>
      <c r="EKN22" s="30"/>
      <c r="EKS22" s="93"/>
      <c r="EKT22" s="30"/>
      <c r="EKY22" s="93"/>
      <c r="EKZ22" s="30"/>
      <c r="ELE22" s="93"/>
      <c r="ELF22" s="30"/>
      <c r="ELK22" s="93"/>
      <c r="ELL22" s="30"/>
      <c r="ELQ22" s="93"/>
      <c r="ELR22" s="30"/>
      <c r="ELW22" s="93"/>
      <c r="ELX22" s="30"/>
      <c r="EMC22" s="93"/>
      <c r="EMD22" s="30"/>
      <c r="EMI22" s="93"/>
      <c r="EMJ22" s="30"/>
      <c r="EMO22" s="93"/>
      <c r="EMP22" s="30"/>
      <c r="EMU22" s="93"/>
      <c r="EMV22" s="30"/>
      <c r="ENA22" s="93"/>
      <c r="ENB22" s="30"/>
      <c r="ENG22" s="93"/>
      <c r="ENH22" s="30"/>
      <c r="ENM22" s="93"/>
      <c r="ENN22" s="30"/>
      <c r="ENS22" s="93"/>
      <c r="ENT22" s="30"/>
      <c r="ENY22" s="93"/>
      <c r="ENZ22" s="30"/>
      <c r="EOE22" s="93"/>
      <c r="EOF22" s="30"/>
      <c r="EOK22" s="93"/>
      <c r="EOL22" s="30"/>
      <c r="EOQ22" s="93"/>
      <c r="EOR22" s="30"/>
      <c r="EOW22" s="93"/>
      <c r="EOX22" s="30"/>
      <c r="EPC22" s="93"/>
      <c r="EPD22" s="30"/>
      <c r="EPI22" s="93"/>
      <c r="EPJ22" s="30"/>
      <c r="EPO22" s="93"/>
      <c r="EPP22" s="30"/>
      <c r="EPU22" s="93"/>
      <c r="EPV22" s="30"/>
      <c r="EQA22" s="93"/>
      <c r="EQB22" s="30"/>
      <c r="EQG22" s="93"/>
      <c r="EQH22" s="30"/>
      <c r="EQM22" s="93"/>
      <c r="EQN22" s="30"/>
      <c r="EQS22" s="93"/>
      <c r="EQT22" s="30"/>
      <c r="EQY22" s="93"/>
      <c r="EQZ22" s="30"/>
      <c r="ERE22" s="93"/>
      <c r="ERF22" s="30"/>
      <c r="ERK22" s="93"/>
      <c r="ERL22" s="30"/>
      <c r="ERQ22" s="93"/>
      <c r="ERR22" s="30"/>
      <c r="ERW22" s="93"/>
      <c r="ERX22" s="30"/>
      <c r="ESC22" s="93"/>
      <c r="ESD22" s="30"/>
      <c r="ESI22" s="93"/>
      <c r="ESJ22" s="30"/>
      <c r="ESO22" s="93"/>
      <c r="ESP22" s="30"/>
      <c r="ESU22" s="93"/>
      <c r="ESV22" s="30"/>
      <c r="ETA22" s="93"/>
      <c r="ETB22" s="30"/>
      <c r="ETG22" s="93"/>
      <c r="ETH22" s="30"/>
      <c r="ETM22" s="93"/>
      <c r="ETN22" s="30"/>
      <c r="ETS22" s="93"/>
      <c r="ETT22" s="30"/>
      <c r="ETY22" s="93"/>
      <c r="ETZ22" s="30"/>
      <c r="EUE22" s="93"/>
      <c r="EUF22" s="30"/>
      <c r="EUK22" s="93"/>
      <c r="EUL22" s="30"/>
      <c r="EUQ22" s="93"/>
      <c r="EUR22" s="30"/>
      <c r="EUW22" s="93"/>
      <c r="EUX22" s="30"/>
      <c r="EVC22" s="93"/>
      <c r="EVD22" s="30"/>
      <c r="EVI22" s="93"/>
      <c r="EVJ22" s="30"/>
      <c r="EVO22" s="93"/>
      <c r="EVP22" s="30"/>
      <c r="EVU22" s="93"/>
      <c r="EVV22" s="30"/>
      <c r="EWA22" s="93"/>
      <c r="EWB22" s="30"/>
      <c r="EWG22" s="93"/>
      <c r="EWH22" s="30"/>
      <c r="EWM22" s="93"/>
      <c r="EWN22" s="30"/>
      <c r="EWS22" s="93"/>
      <c r="EWT22" s="30"/>
      <c r="EWY22" s="93"/>
      <c r="EWZ22" s="30"/>
      <c r="EXE22" s="93"/>
      <c r="EXF22" s="30"/>
      <c r="EXK22" s="93"/>
      <c r="EXL22" s="30"/>
      <c r="EXQ22" s="93"/>
      <c r="EXR22" s="30"/>
      <c r="EXW22" s="93"/>
      <c r="EXX22" s="30"/>
      <c r="EYC22" s="93"/>
      <c r="EYD22" s="30"/>
      <c r="EYI22" s="93"/>
      <c r="EYJ22" s="30"/>
      <c r="EYO22" s="93"/>
      <c r="EYP22" s="30"/>
      <c r="EYU22" s="93"/>
      <c r="EYV22" s="30"/>
      <c r="EZA22" s="93"/>
      <c r="EZB22" s="30"/>
      <c r="EZG22" s="93"/>
      <c r="EZH22" s="30"/>
      <c r="EZM22" s="93"/>
      <c r="EZN22" s="30"/>
      <c r="EZS22" s="93"/>
      <c r="EZT22" s="30"/>
      <c r="EZY22" s="93"/>
      <c r="EZZ22" s="30"/>
      <c r="FAE22" s="93"/>
      <c r="FAF22" s="30"/>
      <c r="FAK22" s="93"/>
      <c r="FAL22" s="30"/>
      <c r="FAQ22" s="93"/>
      <c r="FAR22" s="30"/>
      <c r="FAW22" s="93"/>
      <c r="FAX22" s="30"/>
      <c r="FBC22" s="93"/>
      <c r="FBD22" s="30"/>
      <c r="FBI22" s="93"/>
      <c r="FBJ22" s="30"/>
      <c r="FBO22" s="93"/>
      <c r="FBP22" s="30"/>
      <c r="FBU22" s="93"/>
      <c r="FBV22" s="30"/>
      <c r="FCA22" s="93"/>
      <c r="FCB22" s="30"/>
      <c r="FCG22" s="93"/>
      <c r="FCH22" s="30"/>
      <c r="FCM22" s="93"/>
      <c r="FCN22" s="30"/>
      <c r="FCS22" s="93"/>
      <c r="FCT22" s="30"/>
      <c r="FCY22" s="93"/>
      <c r="FCZ22" s="30"/>
      <c r="FDE22" s="93"/>
      <c r="FDF22" s="30"/>
      <c r="FDK22" s="93"/>
      <c r="FDL22" s="30"/>
      <c r="FDQ22" s="93"/>
      <c r="FDR22" s="30"/>
      <c r="FDW22" s="93"/>
      <c r="FDX22" s="30"/>
      <c r="FEC22" s="93"/>
      <c r="FED22" s="30"/>
      <c r="FEI22" s="93"/>
      <c r="FEJ22" s="30"/>
      <c r="FEO22" s="93"/>
      <c r="FEP22" s="30"/>
      <c r="FEU22" s="93"/>
      <c r="FEV22" s="30"/>
      <c r="FFA22" s="93"/>
      <c r="FFB22" s="30"/>
      <c r="FFG22" s="93"/>
      <c r="FFH22" s="30"/>
      <c r="FFM22" s="93"/>
      <c r="FFN22" s="30"/>
      <c r="FFS22" s="93"/>
      <c r="FFT22" s="30"/>
      <c r="FFY22" s="93"/>
      <c r="FFZ22" s="30"/>
      <c r="FGE22" s="93"/>
      <c r="FGF22" s="30"/>
      <c r="FGK22" s="93"/>
      <c r="FGL22" s="30"/>
      <c r="FGQ22" s="93"/>
      <c r="FGR22" s="30"/>
      <c r="FGW22" s="93"/>
      <c r="FGX22" s="30"/>
      <c r="FHC22" s="93"/>
      <c r="FHD22" s="30"/>
      <c r="FHI22" s="93"/>
      <c r="FHJ22" s="30"/>
      <c r="FHO22" s="93"/>
      <c r="FHP22" s="30"/>
      <c r="FHU22" s="93"/>
      <c r="FHV22" s="30"/>
      <c r="FIA22" s="93"/>
      <c r="FIB22" s="30"/>
      <c r="FIG22" s="93"/>
      <c r="FIH22" s="30"/>
      <c r="FIM22" s="93"/>
      <c r="FIN22" s="30"/>
      <c r="FIS22" s="93"/>
      <c r="FIT22" s="30"/>
      <c r="FIY22" s="93"/>
      <c r="FIZ22" s="30"/>
      <c r="FJE22" s="93"/>
      <c r="FJF22" s="30"/>
      <c r="FJK22" s="93"/>
      <c r="FJL22" s="30"/>
      <c r="FJQ22" s="93"/>
      <c r="FJR22" s="30"/>
      <c r="FJW22" s="93"/>
      <c r="FJX22" s="30"/>
      <c r="FKC22" s="93"/>
      <c r="FKD22" s="30"/>
      <c r="FKI22" s="93"/>
      <c r="FKJ22" s="30"/>
      <c r="FKO22" s="93"/>
      <c r="FKP22" s="30"/>
      <c r="FKU22" s="93"/>
      <c r="FKV22" s="30"/>
      <c r="FLA22" s="93"/>
      <c r="FLB22" s="30"/>
      <c r="FLG22" s="93"/>
      <c r="FLH22" s="30"/>
      <c r="FLM22" s="93"/>
      <c r="FLN22" s="30"/>
      <c r="FLS22" s="93"/>
      <c r="FLT22" s="30"/>
      <c r="FLY22" s="93"/>
      <c r="FLZ22" s="30"/>
      <c r="FME22" s="93"/>
      <c r="FMF22" s="30"/>
      <c r="FMK22" s="93"/>
      <c r="FML22" s="30"/>
      <c r="FMQ22" s="93"/>
      <c r="FMR22" s="30"/>
      <c r="FMW22" s="93"/>
      <c r="FMX22" s="30"/>
      <c r="FNC22" s="93"/>
      <c r="FND22" s="30"/>
      <c r="FNI22" s="93"/>
      <c r="FNJ22" s="30"/>
      <c r="FNO22" s="93"/>
      <c r="FNP22" s="30"/>
      <c r="FNU22" s="93"/>
      <c r="FNV22" s="30"/>
      <c r="FOA22" s="93"/>
      <c r="FOB22" s="30"/>
      <c r="FOG22" s="93"/>
      <c r="FOH22" s="30"/>
      <c r="FOM22" s="93"/>
      <c r="FON22" s="30"/>
      <c r="FOS22" s="93"/>
      <c r="FOT22" s="30"/>
      <c r="FOY22" s="93"/>
      <c r="FOZ22" s="30"/>
      <c r="FPE22" s="93"/>
      <c r="FPF22" s="30"/>
      <c r="FPK22" s="93"/>
      <c r="FPL22" s="30"/>
      <c r="FPQ22" s="93"/>
      <c r="FPR22" s="30"/>
      <c r="FPW22" s="93"/>
      <c r="FPX22" s="30"/>
      <c r="FQC22" s="93"/>
      <c r="FQD22" s="30"/>
      <c r="FQI22" s="93"/>
      <c r="FQJ22" s="30"/>
      <c r="FQO22" s="93"/>
      <c r="FQP22" s="30"/>
      <c r="FQU22" s="93"/>
      <c r="FQV22" s="30"/>
      <c r="FRA22" s="93"/>
      <c r="FRB22" s="30"/>
      <c r="FRG22" s="93"/>
      <c r="FRH22" s="30"/>
      <c r="FRM22" s="93"/>
      <c r="FRN22" s="30"/>
      <c r="FRS22" s="93"/>
      <c r="FRT22" s="30"/>
      <c r="FRY22" s="93"/>
      <c r="FRZ22" s="30"/>
      <c r="FSE22" s="93"/>
      <c r="FSF22" s="30"/>
      <c r="FSK22" s="93"/>
      <c r="FSL22" s="30"/>
      <c r="FSQ22" s="93"/>
      <c r="FSR22" s="30"/>
      <c r="FSW22" s="93"/>
      <c r="FSX22" s="30"/>
      <c r="FTC22" s="93"/>
      <c r="FTD22" s="30"/>
      <c r="FTI22" s="93"/>
      <c r="FTJ22" s="30"/>
      <c r="FTO22" s="93"/>
      <c r="FTP22" s="30"/>
      <c r="FTU22" s="93"/>
      <c r="FTV22" s="30"/>
      <c r="FUA22" s="93"/>
      <c r="FUB22" s="30"/>
      <c r="FUG22" s="93"/>
      <c r="FUH22" s="30"/>
      <c r="FUM22" s="93"/>
      <c r="FUN22" s="30"/>
      <c r="FUS22" s="93"/>
      <c r="FUT22" s="30"/>
      <c r="FUY22" s="93"/>
      <c r="FUZ22" s="30"/>
      <c r="FVE22" s="93"/>
      <c r="FVF22" s="30"/>
      <c r="FVK22" s="93"/>
      <c r="FVL22" s="30"/>
      <c r="FVQ22" s="93"/>
      <c r="FVR22" s="30"/>
      <c r="FVW22" s="93"/>
      <c r="FVX22" s="30"/>
      <c r="FWC22" s="93"/>
      <c r="FWD22" s="30"/>
      <c r="FWI22" s="93"/>
      <c r="FWJ22" s="30"/>
      <c r="FWO22" s="93"/>
      <c r="FWP22" s="30"/>
      <c r="FWU22" s="93"/>
      <c r="FWV22" s="30"/>
      <c r="FXA22" s="93"/>
      <c r="FXB22" s="30"/>
      <c r="FXG22" s="93"/>
      <c r="FXH22" s="30"/>
      <c r="FXM22" s="93"/>
      <c r="FXN22" s="30"/>
      <c r="FXS22" s="93"/>
      <c r="FXT22" s="30"/>
      <c r="FXY22" s="93"/>
      <c r="FXZ22" s="30"/>
      <c r="FYE22" s="93"/>
      <c r="FYF22" s="30"/>
      <c r="FYK22" s="93"/>
      <c r="FYL22" s="30"/>
      <c r="FYQ22" s="93"/>
      <c r="FYR22" s="30"/>
      <c r="FYW22" s="93"/>
      <c r="FYX22" s="30"/>
      <c r="FZC22" s="93"/>
      <c r="FZD22" s="30"/>
      <c r="FZI22" s="93"/>
      <c r="FZJ22" s="30"/>
      <c r="FZO22" s="93"/>
      <c r="FZP22" s="30"/>
      <c r="FZU22" s="93"/>
      <c r="FZV22" s="30"/>
      <c r="GAA22" s="93"/>
      <c r="GAB22" s="30"/>
      <c r="GAG22" s="93"/>
      <c r="GAH22" s="30"/>
      <c r="GAM22" s="93"/>
      <c r="GAN22" s="30"/>
      <c r="GAS22" s="93"/>
      <c r="GAT22" s="30"/>
      <c r="GAY22" s="93"/>
      <c r="GAZ22" s="30"/>
      <c r="GBE22" s="93"/>
      <c r="GBF22" s="30"/>
      <c r="GBK22" s="93"/>
      <c r="GBL22" s="30"/>
      <c r="GBQ22" s="93"/>
      <c r="GBR22" s="30"/>
      <c r="GBW22" s="93"/>
      <c r="GBX22" s="30"/>
      <c r="GCC22" s="93"/>
      <c r="GCD22" s="30"/>
      <c r="GCI22" s="93"/>
      <c r="GCJ22" s="30"/>
      <c r="GCO22" s="93"/>
      <c r="GCP22" s="30"/>
      <c r="GCU22" s="93"/>
      <c r="GCV22" s="30"/>
      <c r="GDA22" s="93"/>
      <c r="GDB22" s="30"/>
      <c r="GDG22" s="93"/>
      <c r="GDH22" s="30"/>
      <c r="GDM22" s="93"/>
      <c r="GDN22" s="30"/>
      <c r="GDS22" s="93"/>
      <c r="GDT22" s="30"/>
      <c r="GDY22" s="93"/>
      <c r="GDZ22" s="30"/>
      <c r="GEE22" s="93"/>
      <c r="GEF22" s="30"/>
      <c r="GEK22" s="93"/>
      <c r="GEL22" s="30"/>
      <c r="GEQ22" s="93"/>
      <c r="GER22" s="30"/>
      <c r="GEW22" s="93"/>
      <c r="GEX22" s="30"/>
      <c r="GFC22" s="93"/>
      <c r="GFD22" s="30"/>
      <c r="GFI22" s="93"/>
      <c r="GFJ22" s="30"/>
      <c r="GFO22" s="93"/>
      <c r="GFP22" s="30"/>
      <c r="GFU22" s="93"/>
      <c r="GFV22" s="30"/>
      <c r="GGA22" s="93"/>
      <c r="GGB22" s="30"/>
      <c r="GGG22" s="93"/>
      <c r="GGH22" s="30"/>
      <c r="GGM22" s="93"/>
      <c r="GGN22" s="30"/>
      <c r="GGS22" s="93"/>
      <c r="GGT22" s="30"/>
      <c r="GGY22" s="93"/>
      <c r="GGZ22" s="30"/>
      <c r="GHE22" s="93"/>
      <c r="GHF22" s="30"/>
      <c r="GHK22" s="93"/>
      <c r="GHL22" s="30"/>
      <c r="GHQ22" s="93"/>
      <c r="GHR22" s="30"/>
      <c r="GHW22" s="93"/>
      <c r="GHX22" s="30"/>
      <c r="GIC22" s="93"/>
      <c r="GID22" s="30"/>
      <c r="GII22" s="93"/>
      <c r="GIJ22" s="30"/>
      <c r="GIO22" s="93"/>
      <c r="GIP22" s="30"/>
      <c r="GIU22" s="93"/>
      <c r="GIV22" s="30"/>
      <c r="GJA22" s="93"/>
      <c r="GJB22" s="30"/>
      <c r="GJG22" s="93"/>
      <c r="GJH22" s="30"/>
      <c r="GJM22" s="93"/>
      <c r="GJN22" s="30"/>
      <c r="GJS22" s="93"/>
      <c r="GJT22" s="30"/>
      <c r="GJY22" s="93"/>
      <c r="GJZ22" s="30"/>
      <c r="GKE22" s="93"/>
      <c r="GKF22" s="30"/>
      <c r="GKK22" s="93"/>
      <c r="GKL22" s="30"/>
      <c r="GKQ22" s="93"/>
      <c r="GKR22" s="30"/>
      <c r="GKW22" s="93"/>
      <c r="GKX22" s="30"/>
      <c r="GLC22" s="93"/>
      <c r="GLD22" s="30"/>
      <c r="GLI22" s="93"/>
      <c r="GLJ22" s="30"/>
      <c r="GLO22" s="93"/>
      <c r="GLP22" s="30"/>
      <c r="GLU22" s="93"/>
      <c r="GLV22" s="30"/>
      <c r="GMA22" s="93"/>
      <c r="GMB22" s="30"/>
      <c r="GMG22" s="93"/>
      <c r="GMH22" s="30"/>
      <c r="GMM22" s="93"/>
      <c r="GMN22" s="30"/>
      <c r="GMS22" s="93"/>
      <c r="GMT22" s="30"/>
      <c r="GMY22" s="93"/>
      <c r="GMZ22" s="30"/>
      <c r="GNE22" s="93"/>
      <c r="GNF22" s="30"/>
      <c r="GNK22" s="93"/>
      <c r="GNL22" s="30"/>
      <c r="GNQ22" s="93"/>
      <c r="GNR22" s="30"/>
      <c r="GNW22" s="93"/>
      <c r="GNX22" s="30"/>
      <c r="GOC22" s="93"/>
      <c r="GOD22" s="30"/>
      <c r="GOI22" s="93"/>
      <c r="GOJ22" s="30"/>
      <c r="GOO22" s="93"/>
      <c r="GOP22" s="30"/>
      <c r="GOU22" s="93"/>
      <c r="GOV22" s="30"/>
      <c r="GPA22" s="93"/>
      <c r="GPB22" s="30"/>
      <c r="GPG22" s="93"/>
      <c r="GPH22" s="30"/>
      <c r="GPM22" s="93"/>
      <c r="GPN22" s="30"/>
      <c r="GPS22" s="93"/>
      <c r="GPT22" s="30"/>
      <c r="GPY22" s="93"/>
      <c r="GPZ22" s="30"/>
      <c r="GQE22" s="93"/>
      <c r="GQF22" s="30"/>
      <c r="GQK22" s="93"/>
      <c r="GQL22" s="30"/>
      <c r="GQQ22" s="93"/>
      <c r="GQR22" s="30"/>
      <c r="GQW22" s="93"/>
      <c r="GQX22" s="30"/>
      <c r="GRC22" s="93"/>
      <c r="GRD22" s="30"/>
      <c r="GRI22" s="93"/>
      <c r="GRJ22" s="30"/>
      <c r="GRO22" s="93"/>
      <c r="GRP22" s="30"/>
      <c r="GRU22" s="93"/>
      <c r="GRV22" s="30"/>
      <c r="GSA22" s="93"/>
      <c r="GSB22" s="30"/>
      <c r="GSG22" s="93"/>
      <c r="GSH22" s="30"/>
      <c r="GSM22" s="93"/>
      <c r="GSN22" s="30"/>
      <c r="GSS22" s="93"/>
      <c r="GST22" s="30"/>
      <c r="GSY22" s="93"/>
      <c r="GSZ22" s="30"/>
      <c r="GTE22" s="93"/>
      <c r="GTF22" s="30"/>
      <c r="GTK22" s="93"/>
      <c r="GTL22" s="30"/>
      <c r="GTQ22" s="93"/>
      <c r="GTR22" s="30"/>
      <c r="GTW22" s="93"/>
      <c r="GTX22" s="30"/>
      <c r="GUC22" s="93"/>
      <c r="GUD22" s="30"/>
      <c r="GUI22" s="93"/>
      <c r="GUJ22" s="30"/>
      <c r="GUO22" s="93"/>
      <c r="GUP22" s="30"/>
      <c r="GUU22" s="93"/>
      <c r="GUV22" s="30"/>
      <c r="GVA22" s="93"/>
      <c r="GVB22" s="30"/>
      <c r="GVG22" s="93"/>
      <c r="GVH22" s="30"/>
      <c r="GVM22" s="93"/>
      <c r="GVN22" s="30"/>
      <c r="GVS22" s="93"/>
      <c r="GVT22" s="30"/>
      <c r="GVY22" s="93"/>
      <c r="GVZ22" s="30"/>
      <c r="GWE22" s="93"/>
      <c r="GWF22" s="30"/>
      <c r="GWK22" s="93"/>
      <c r="GWL22" s="30"/>
      <c r="GWQ22" s="93"/>
      <c r="GWR22" s="30"/>
      <c r="GWW22" s="93"/>
      <c r="GWX22" s="30"/>
      <c r="GXC22" s="93"/>
      <c r="GXD22" s="30"/>
      <c r="GXI22" s="93"/>
      <c r="GXJ22" s="30"/>
      <c r="GXO22" s="93"/>
      <c r="GXP22" s="30"/>
      <c r="GXU22" s="93"/>
      <c r="GXV22" s="30"/>
      <c r="GYA22" s="93"/>
      <c r="GYB22" s="30"/>
      <c r="GYG22" s="93"/>
      <c r="GYH22" s="30"/>
      <c r="GYM22" s="93"/>
      <c r="GYN22" s="30"/>
      <c r="GYS22" s="93"/>
      <c r="GYT22" s="30"/>
      <c r="GYY22" s="93"/>
      <c r="GYZ22" s="30"/>
      <c r="GZE22" s="93"/>
      <c r="GZF22" s="30"/>
      <c r="GZK22" s="93"/>
      <c r="GZL22" s="30"/>
      <c r="GZQ22" s="93"/>
      <c r="GZR22" s="30"/>
      <c r="GZW22" s="93"/>
      <c r="GZX22" s="30"/>
      <c r="HAC22" s="93"/>
      <c r="HAD22" s="30"/>
      <c r="HAI22" s="93"/>
      <c r="HAJ22" s="30"/>
      <c r="HAO22" s="93"/>
      <c r="HAP22" s="30"/>
      <c r="HAU22" s="93"/>
      <c r="HAV22" s="30"/>
      <c r="HBA22" s="93"/>
      <c r="HBB22" s="30"/>
      <c r="HBG22" s="93"/>
      <c r="HBH22" s="30"/>
      <c r="HBM22" s="93"/>
      <c r="HBN22" s="30"/>
      <c r="HBS22" s="93"/>
      <c r="HBT22" s="30"/>
      <c r="HBY22" s="93"/>
      <c r="HBZ22" s="30"/>
      <c r="HCE22" s="93"/>
      <c r="HCF22" s="30"/>
      <c r="HCK22" s="93"/>
      <c r="HCL22" s="30"/>
      <c r="HCQ22" s="93"/>
      <c r="HCR22" s="30"/>
      <c r="HCW22" s="93"/>
      <c r="HCX22" s="30"/>
      <c r="HDC22" s="93"/>
      <c r="HDD22" s="30"/>
      <c r="HDI22" s="93"/>
      <c r="HDJ22" s="30"/>
      <c r="HDO22" s="93"/>
      <c r="HDP22" s="30"/>
      <c r="HDU22" s="93"/>
      <c r="HDV22" s="30"/>
      <c r="HEA22" s="93"/>
      <c r="HEB22" s="30"/>
      <c r="HEG22" s="93"/>
      <c r="HEH22" s="30"/>
      <c r="HEM22" s="93"/>
      <c r="HEN22" s="30"/>
      <c r="HES22" s="93"/>
      <c r="HET22" s="30"/>
      <c r="HEY22" s="93"/>
      <c r="HEZ22" s="30"/>
      <c r="HFE22" s="93"/>
      <c r="HFF22" s="30"/>
      <c r="HFK22" s="93"/>
      <c r="HFL22" s="30"/>
      <c r="HFQ22" s="93"/>
      <c r="HFR22" s="30"/>
      <c r="HFW22" s="93"/>
      <c r="HFX22" s="30"/>
      <c r="HGC22" s="93"/>
      <c r="HGD22" s="30"/>
      <c r="HGI22" s="93"/>
      <c r="HGJ22" s="30"/>
      <c r="HGO22" s="93"/>
      <c r="HGP22" s="30"/>
      <c r="HGU22" s="93"/>
      <c r="HGV22" s="30"/>
      <c r="HHA22" s="93"/>
      <c r="HHB22" s="30"/>
      <c r="HHG22" s="93"/>
      <c r="HHH22" s="30"/>
      <c r="HHM22" s="93"/>
      <c r="HHN22" s="30"/>
      <c r="HHS22" s="93"/>
      <c r="HHT22" s="30"/>
      <c r="HHY22" s="93"/>
      <c r="HHZ22" s="30"/>
      <c r="HIE22" s="93"/>
      <c r="HIF22" s="30"/>
      <c r="HIK22" s="93"/>
      <c r="HIL22" s="30"/>
      <c r="HIQ22" s="93"/>
      <c r="HIR22" s="30"/>
      <c r="HIW22" s="93"/>
      <c r="HIX22" s="30"/>
      <c r="HJC22" s="93"/>
      <c r="HJD22" s="30"/>
      <c r="HJI22" s="93"/>
      <c r="HJJ22" s="30"/>
      <c r="HJO22" s="93"/>
      <c r="HJP22" s="30"/>
      <c r="HJU22" s="93"/>
      <c r="HJV22" s="30"/>
      <c r="HKA22" s="93"/>
      <c r="HKB22" s="30"/>
      <c r="HKG22" s="93"/>
      <c r="HKH22" s="30"/>
      <c r="HKM22" s="93"/>
      <c r="HKN22" s="30"/>
      <c r="HKS22" s="93"/>
      <c r="HKT22" s="30"/>
      <c r="HKY22" s="93"/>
      <c r="HKZ22" s="30"/>
      <c r="HLE22" s="93"/>
      <c r="HLF22" s="30"/>
      <c r="HLK22" s="93"/>
      <c r="HLL22" s="30"/>
      <c r="HLQ22" s="93"/>
      <c r="HLR22" s="30"/>
      <c r="HLW22" s="93"/>
      <c r="HLX22" s="30"/>
      <c r="HMC22" s="93"/>
      <c r="HMD22" s="30"/>
      <c r="HMI22" s="93"/>
      <c r="HMJ22" s="30"/>
      <c r="HMO22" s="93"/>
      <c r="HMP22" s="30"/>
      <c r="HMU22" s="93"/>
      <c r="HMV22" s="30"/>
      <c r="HNA22" s="93"/>
      <c r="HNB22" s="30"/>
      <c r="HNG22" s="93"/>
      <c r="HNH22" s="30"/>
      <c r="HNM22" s="93"/>
      <c r="HNN22" s="30"/>
      <c r="HNS22" s="93"/>
      <c r="HNT22" s="30"/>
      <c r="HNY22" s="93"/>
      <c r="HNZ22" s="30"/>
      <c r="HOE22" s="93"/>
      <c r="HOF22" s="30"/>
      <c r="HOK22" s="93"/>
      <c r="HOL22" s="30"/>
      <c r="HOQ22" s="93"/>
      <c r="HOR22" s="30"/>
      <c r="HOW22" s="93"/>
      <c r="HOX22" s="30"/>
      <c r="HPC22" s="93"/>
      <c r="HPD22" s="30"/>
      <c r="HPI22" s="93"/>
      <c r="HPJ22" s="30"/>
      <c r="HPO22" s="93"/>
      <c r="HPP22" s="30"/>
      <c r="HPU22" s="93"/>
      <c r="HPV22" s="30"/>
      <c r="HQA22" s="93"/>
      <c r="HQB22" s="30"/>
      <c r="HQG22" s="93"/>
      <c r="HQH22" s="30"/>
      <c r="HQM22" s="93"/>
      <c r="HQN22" s="30"/>
      <c r="HQS22" s="93"/>
      <c r="HQT22" s="30"/>
      <c r="HQY22" s="93"/>
      <c r="HQZ22" s="30"/>
      <c r="HRE22" s="93"/>
      <c r="HRF22" s="30"/>
      <c r="HRK22" s="93"/>
      <c r="HRL22" s="30"/>
      <c r="HRQ22" s="93"/>
      <c r="HRR22" s="30"/>
      <c r="HRW22" s="93"/>
      <c r="HRX22" s="30"/>
      <c r="HSC22" s="93"/>
      <c r="HSD22" s="30"/>
      <c r="HSI22" s="93"/>
      <c r="HSJ22" s="30"/>
      <c r="HSO22" s="93"/>
      <c r="HSP22" s="30"/>
      <c r="HSU22" s="93"/>
      <c r="HSV22" s="30"/>
      <c r="HTA22" s="93"/>
      <c r="HTB22" s="30"/>
      <c r="HTG22" s="93"/>
      <c r="HTH22" s="30"/>
      <c r="HTM22" s="93"/>
      <c r="HTN22" s="30"/>
      <c r="HTS22" s="93"/>
      <c r="HTT22" s="30"/>
      <c r="HTY22" s="93"/>
      <c r="HTZ22" s="30"/>
      <c r="HUE22" s="93"/>
      <c r="HUF22" s="30"/>
      <c r="HUK22" s="93"/>
      <c r="HUL22" s="30"/>
      <c r="HUQ22" s="93"/>
      <c r="HUR22" s="30"/>
      <c r="HUW22" s="93"/>
      <c r="HUX22" s="30"/>
      <c r="HVC22" s="93"/>
      <c r="HVD22" s="30"/>
      <c r="HVI22" s="93"/>
      <c r="HVJ22" s="30"/>
      <c r="HVO22" s="93"/>
      <c r="HVP22" s="30"/>
      <c r="HVU22" s="93"/>
      <c r="HVV22" s="30"/>
      <c r="HWA22" s="93"/>
      <c r="HWB22" s="30"/>
      <c r="HWG22" s="93"/>
      <c r="HWH22" s="30"/>
      <c r="HWM22" s="93"/>
      <c r="HWN22" s="30"/>
      <c r="HWS22" s="93"/>
      <c r="HWT22" s="30"/>
      <c r="HWY22" s="93"/>
      <c r="HWZ22" s="30"/>
      <c r="HXE22" s="93"/>
      <c r="HXF22" s="30"/>
      <c r="HXK22" s="93"/>
      <c r="HXL22" s="30"/>
      <c r="HXQ22" s="93"/>
      <c r="HXR22" s="30"/>
      <c r="HXW22" s="93"/>
      <c r="HXX22" s="30"/>
      <c r="HYC22" s="93"/>
      <c r="HYD22" s="30"/>
      <c r="HYI22" s="93"/>
      <c r="HYJ22" s="30"/>
      <c r="HYO22" s="93"/>
      <c r="HYP22" s="30"/>
      <c r="HYU22" s="93"/>
      <c r="HYV22" s="30"/>
      <c r="HZA22" s="93"/>
      <c r="HZB22" s="30"/>
      <c r="HZG22" s="93"/>
      <c r="HZH22" s="30"/>
      <c r="HZM22" s="93"/>
      <c r="HZN22" s="30"/>
      <c r="HZS22" s="93"/>
      <c r="HZT22" s="30"/>
      <c r="HZY22" s="93"/>
      <c r="HZZ22" s="30"/>
      <c r="IAE22" s="93"/>
      <c r="IAF22" s="30"/>
      <c r="IAK22" s="93"/>
      <c r="IAL22" s="30"/>
      <c r="IAQ22" s="93"/>
      <c r="IAR22" s="30"/>
      <c r="IAW22" s="93"/>
      <c r="IAX22" s="30"/>
      <c r="IBC22" s="93"/>
      <c r="IBD22" s="30"/>
      <c r="IBI22" s="93"/>
      <c r="IBJ22" s="30"/>
      <c r="IBO22" s="93"/>
      <c r="IBP22" s="30"/>
      <c r="IBU22" s="93"/>
      <c r="IBV22" s="30"/>
      <c r="ICA22" s="93"/>
      <c r="ICB22" s="30"/>
      <c r="ICG22" s="93"/>
      <c r="ICH22" s="30"/>
      <c r="ICM22" s="93"/>
      <c r="ICN22" s="30"/>
      <c r="ICS22" s="93"/>
      <c r="ICT22" s="30"/>
      <c r="ICY22" s="93"/>
      <c r="ICZ22" s="30"/>
      <c r="IDE22" s="93"/>
      <c r="IDF22" s="30"/>
      <c r="IDK22" s="93"/>
      <c r="IDL22" s="30"/>
      <c r="IDQ22" s="93"/>
      <c r="IDR22" s="30"/>
      <c r="IDW22" s="93"/>
      <c r="IDX22" s="30"/>
      <c r="IEC22" s="93"/>
      <c r="IED22" s="30"/>
      <c r="IEI22" s="93"/>
      <c r="IEJ22" s="30"/>
      <c r="IEO22" s="93"/>
      <c r="IEP22" s="30"/>
      <c r="IEU22" s="93"/>
      <c r="IEV22" s="30"/>
      <c r="IFA22" s="93"/>
      <c r="IFB22" s="30"/>
      <c r="IFG22" s="93"/>
      <c r="IFH22" s="30"/>
      <c r="IFM22" s="93"/>
      <c r="IFN22" s="30"/>
      <c r="IFS22" s="93"/>
      <c r="IFT22" s="30"/>
      <c r="IFY22" s="93"/>
      <c r="IFZ22" s="30"/>
      <c r="IGE22" s="93"/>
      <c r="IGF22" s="30"/>
      <c r="IGK22" s="93"/>
      <c r="IGL22" s="30"/>
      <c r="IGQ22" s="93"/>
      <c r="IGR22" s="30"/>
      <c r="IGW22" s="93"/>
      <c r="IGX22" s="30"/>
      <c r="IHC22" s="93"/>
      <c r="IHD22" s="30"/>
      <c r="IHI22" s="93"/>
      <c r="IHJ22" s="30"/>
      <c r="IHO22" s="93"/>
      <c r="IHP22" s="30"/>
      <c r="IHU22" s="93"/>
      <c r="IHV22" s="30"/>
      <c r="IIA22" s="93"/>
      <c r="IIB22" s="30"/>
      <c r="IIG22" s="93"/>
      <c r="IIH22" s="30"/>
      <c r="IIM22" s="93"/>
      <c r="IIN22" s="30"/>
      <c r="IIS22" s="93"/>
      <c r="IIT22" s="30"/>
      <c r="IIY22" s="93"/>
      <c r="IIZ22" s="30"/>
      <c r="IJE22" s="93"/>
      <c r="IJF22" s="30"/>
      <c r="IJK22" s="93"/>
      <c r="IJL22" s="30"/>
      <c r="IJQ22" s="93"/>
      <c r="IJR22" s="30"/>
      <c r="IJW22" s="93"/>
      <c r="IJX22" s="30"/>
      <c r="IKC22" s="93"/>
      <c r="IKD22" s="30"/>
      <c r="IKI22" s="93"/>
      <c r="IKJ22" s="30"/>
      <c r="IKO22" s="93"/>
      <c r="IKP22" s="30"/>
      <c r="IKU22" s="93"/>
      <c r="IKV22" s="30"/>
      <c r="ILA22" s="93"/>
      <c r="ILB22" s="30"/>
      <c r="ILG22" s="93"/>
      <c r="ILH22" s="30"/>
      <c r="ILM22" s="93"/>
      <c r="ILN22" s="30"/>
      <c r="ILS22" s="93"/>
      <c r="ILT22" s="30"/>
      <c r="ILY22" s="93"/>
      <c r="ILZ22" s="30"/>
      <c r="IME22" s="93"/>
      <c r="IMF22" s="30"/>
      <c r="IMK22" s="93"/>
      <c r="IML22" s="30"/>
      <c r="IMQ22" s="93"/>
      <c r="IMR22" s="30"/>
      <c r="IMW22" s="93"/>
      <c r="IMX22" s="30"/>
      <c r="INC22" s="93"/>
      <c r="IND22" s="30"/>
      <c r="INI22" s="93"/>
      <c r="INJ22" s="30"/>
      <c r="INO22" s="93"/>
      <c r="INP22" s="30"/>
      <c r="INU22" s="93"/>
      <c r="INV22" s="30"/>
      <c r="IOA22" s="93"/>
      <c r="IOB22" s="30"/>
      <c r="IOG22" s="93"/>
      <c r="IOH22" s="30"/>
      <c r="IOM22" s="93"/>
      <c r="ION22" s="30"/>
      <c r="IOS22" s="93"/>
      <c r="IOT22" s="30"/>
      <c r="IOY22" s="93"/>
      <c r="IOZ22" s="30"/>
      <c r="IPE22" s="93"/>
      <c r="IPF22" s="30"/>
      <c r="IPK22" s="93"/>
      <c r="IPL22" s="30"/>
      <c r="IPQ22" s="93"/>
      <c r="IPR22" s="30"/>
      <c r="IPW22" s="93"/>
      <c r="IPX22" s="30"/>
      <c r="IQC22" s="93"/>
      <c r="IQD22" s="30"/>
      <c r="IQI22" s="93"/>
      <c r="IQJ22" s="30"/>
      <c r="IQO22" s="93"/>
      <c r="IQP22" s="30"/>
      <c r="IQU22" s="93"/>
      <c r="IQV22" s="30"/>
      <c r="IRA22" s="93"/>
      <c r="IRB22" s="30"/>
      <c r="IRG22" s="93"/>
      <c r="IRH22" s="30"/>
      <c r="IRM22" s="93"/>
      <c r="IRN22" s="30"/>
      <c r="IRS22" s="93"/>
      <c r="IRT22" s="30"/>
      <c r="IRY22" s="93"/>
      <c r="IRZ22" s="30"/>
      <c r="ISE22" s="93"/>
      <c r="ISF22" s="30"/>
      <c r="ISK22" s="93"/>
      <c r="ISL22" s="30"/>
      <c r="ISQ22" s="93"/>
      <c r="ISR22" s="30"/>
      <c r="ISW22" s="93"/>
      <c r="ISX22" s="30"/>
      <c r="ITC22" s="93"/>
      <c r="ITD22" s="30"/>
      <c r="ITI22" s="93"/>
      <c r="ITJ22" s="30"/>
      <c r="ITO22" s="93"/>
      <c r="ITP22" s="30"/>
      <c r="ITU22" s="93"/>
      <c r="ITV22" s="30"/>
      <c r="IUA22" s="93"/>
      <c r="IUB22" s="30"/>
      <c r="IUG22" s="93"/>
      <c r="IUH22" s="30"/>
      <c r="IUM22" s="93"/>
      <c r="IUN22" s="30"/>
      <c r="IUS22" s="93"/>
      <c r="IUT22" s="30"/>
      <c r="IUY22" s="93"/>
      <c r="IUZ22" s="30"/>
      <c r="IVE22" s="93"/>
      <c r="IVF22" s="30"/>
      <c r="IVK22" s="93"/>
      <c r="IVL22" s="30"/>
      <c r="IVQ22" s="93"/>
      <c r="IVR22" s="30"/>
      <c r="IVW22" s="93"/>
      <c r="IVX22" s="30"/>
      <c r="IWC22" s="93"/>
      <c r="IWD22" s="30"/>
      <c r="IWI22" s="93"/>
      <c r="IWJ22" s="30"/>
      <c r="IWO22" s="93"/>
      <c r="IWP22" s="30"/>
      <c r="IWU22" s="93"/>
      <c r="IWV22" s="30"/>
      <c r="IXA22" s="93"/>
      <c r="IXB22" s="30"/>
      <c r="IXG22" s="93"/>
      <c r="IXH22" s="30"/>
      <c r="IXM22" s="93"/>
      <c r="IXN22" s="30"/>
      <c r="IXS22" s="93"/>
      <c r="IXT22" s="30"/>
      <c r="IXY22" s="93"/>
      <c r="IXZ22" s="30"/>
      <c r="IYE22" s="93"/>
      <c r="IYF22" s="30"/>
      <c r="IYK22" s="93"/>
      <c r="IYL22" s="30"/>
      <c r="IYQ22" s="93"/>
      <c r="IYR22" s="30"/>
      <c r="IYW22" s="93"/>
      <c r="IYX22" s="30"/>
      <c r="IZC22" s="93"/>
      <c r="IZD22" s="30"/>
      <c r="IZI22" s="93"/>
      <c r="IZJ22" s="30"/>
      <c r="IZO22" s="93"/>
      <c r="IZP22" s="30"/>
      <c r="IZU22" s="93"/>
      <c r="IZV22" s="30"/>
      <c r="JAA22" s="93"/>
      <c r="JAB22" s="30"/>
      <c r="JAG22" s="93"/>
      <c r="JAH22" s="30"/>
      <c r="JAM22" s="93"/>
      <c r="JAN22" s="30"/>
      <c r="JAS22" s="93"/>
      <c r="JAT22" s="30"/>
      <c r="JAY22" s="93"/>
      <c r="JAZ22" s="30"/>
      <c r="JBE22" s="93"/>
      <c r="JBF22" s="30"/>
      <c r="JBK22" s="93"/>
      <c r="JBL22" s="30"/>
      <c r="JBQ22" s="93"/>
      <c r="JBR22" s="30"/>
      <c r="JBW22" s="93"/>
      <c r="JBX22" s="30"/>
      <c r="JCC22" s="93"/>
      <c r="JCD22" s="30"/>
      <c r="JCI22" s="93"/>
      <c r="JCJ22" s="30"/>
      <c r="JCO22" s="93"/>
      <c r="JCP22" s="30"/>
      <c r="JCU22" s="93"/>
      <c r="JCV22" s="30"/>
      <c r="JDA22" s="93"/>
      <c r="JDB22" s="30"/>
      <c r="JDG22" s="93"/>
      <c r="JDH22" s="30"/>
      <c r="JDM22" s="93"/>
      <c r="JDN22" s="30"/>
      <c r="JDS22" s="93"/>
      <c r="JDT22" s="30"/>
      <c r="JDY22" s="93"/>
      <c r="JDZ22" s="30"/>
      <c r="JEE22" s="93"/>
      <c r="JEF22" s="30"/>
      <c r="JEK22" s="93"/>
      <c r="JEL22" s="30"/>
      <c r="JEQ22" s="93"/>
      <c r="JER22" s="30"/>
      <c r="JEW22" s="93"/>
      <c r="JEX22" s="30"/>
      <c r="JFC22" s="93"/>
      <c r="JFD22" s="30"/>
      <c r="JFI22" s="93"/>
      <c r="JFJ22" s="30"/>
      <c r="JFO22" s="93"/>
      <c r="JFP22" s="30"/>
      <c r="JFU22" s="93"/>
      <c r="JFV22" s="30"/>
      <c r="JGA22" s="93"/>
      <c r="JGB22" s="30"/>
      <c r="JGG22" s="93"/>
      <c r="JGH22" s="30"/>
      <c r="JGM22" s="93"/>
      <c r="JGN22" s="30"/>
      <c r="JGS22" s="93"/>
      <c r="JGT22" s="30"/>
      <c r="JGY22" s="93"/>
      <c r="JGZ22" s="30"/>
      <c r="JHE22" s="93"/>
      <c r="JHF22" s="30"/>
      <c r="JHK22" s="93"/>
      <c r="JHL22" s="30"/>
      <c r="JHQ22" s="93"/>
      <c r="JHR22" s="30"/>
      <c r="JHW22" s="93"/>
      <c r="JHX22" s="30"/>
      <c r="JIC22" s="93"/>
      <c r="JID22" s="30"/>
      <c r="JII22" s="93"/>
      <c r="JIJ22" s="30"/>
      <c r="JIO22" s="93"/>
      <c r="JIP22" s="30"/>
      <c r="JIU22" s="93"/>
      <c r="JIV22" s="30"/>
      <c r="JJA22" s="93"/>
      <c r="JJB22" s="30"/>
      <c r="JJG22" s="93"/>
      <c r="JJH22" s="30"/>
      <c r="JJM22" s="93"/>
      <c r="JJN22" s="30"/>
      <c r="JJS22" s="93"/>
      <c r="JJT22" s="30"/>
      <c r="JJY22" s="93"/>
      <c r="JJZ22" s="30"/>
      <c r="JKE22" s="93"/>
      <c r="JKF22" s="30"/>
      <c r="JKK22" s="93"/>
      <c r="JKL22" s="30"/>
      <c r="JKQ22" s="93"/>
      <c r="JKR22" s="30"/>
      <c r="JKW22" s="93"/>
      <c r="JKX22" s="30"/>
      <c r="JLC22" s="93"/>
      <c r="JLD22" s="30"/>
      <c r="JLI22" s="93"/>
      <c r="JLJ22" s="30"/>
      <c r="JLO22" s="93"/>
      <c r="JLP22" s="30"/>
      <c r="JLU22" s="93"/>
      <c r="JLV22" s="30"/>
      <c r="JMA22" s="93"/>
      <c r="JMB22" s="30"/>
      <c r="JMG22" s="93"/>
      <c r="JMH22" s="30"/>
      <c r="JMM22" s="93"/>
      <c r="JMN22" s="30"/>
      <c r="JMS22" s="93"/>
      <c r="JMT22" s="30"/>
      <c r="JMY22" s="93"/>
      <c r="JMZ22" s="30"/>
      <c r="JNE22" s="93"/>
      <c r="JNF22" s="30"/>
      <c r="JNK22" s="93"/>
      <c r="JNL22" s="30"/>
      <c r="JNQ22" s="93"/>
      <c r="JNR22" s="30"/>
      <c r="JNW22" s="93"/>
      <c r="JNX22" s="30"/>
      <c r="JOC22" s="93"/>
      <c r="JOD22" s="30"/>
      <c r="JOI22" s="93"/>
      <c r="JOJ22" s="30"/>
      <c r="JOO22" s="93"/>
      <c r="JOP22" s="30"/>
      <c r="JOU22" s="93"/>
      <c r="JOV22" s="30"/>
      <c r="JPA22" s="93"/>
      <c r="JPB22" s="30"/>
      <c r="JPG22" s="93"/>
      <c r="JPH22" s="30"/>
      <c r="JPM22" s="93"/>
      <c r="JPN22" s="30"/>
      <c r="JPS22" s="93"/>
      <c r="JPT22" s="30"/>
      <c r="JPY22" s="93"/>
      <c r="JPZ22" s="30"/>
      <c r="JQE22" s="93"/>
      <c r="JQF22" s="30"/>
      <c r="JQK22" s="93"/>
      <c r="JQL22" s="30"/>
      <c r="JQQ22" s="93"/>
      <c r="JQR22" s="30"/>
      <c r="JQW22" s="93"/>
      <c r="JQX22" s="30"/>
      <c r="JRC22" s="93"/>
      <c r="JRD22" s="30"/>
      <c r="JRI22" s="93"/>
      <c r="JRJ22" s="30"/>
      <c r="JRO22" s="93"/>
      <c r="JRP22" s="30"/>
      <c r="JRU22" s="93"/>
      <c r="JRV22" s="30"/>
      <c r="JSA22" s="93"/>
      <c r="JSB22" s="30"/>
      <c r="JSG22" s="93"/>
      <c r="JSH22" s="30"/>
      <c r="JSM22" s="93"/>
      <c r="JSN22" s="30"/>
      <c r="JSS22" s="93"/>
      <c r="JST22" s="30"/>
      <c r="JSY22" s="93"/>
      <c r="JSZ22" s="30"/>
      <c r="JTE22" s="93"/>
      <c r="JTF22" s="30"/>
      <c r="JTK22" s="93"/>
      <c r="JTL22" s="30"/>
      <c r="JTQ22" s="93"/>
      <c r="JTR22" s="30"/>
      <c r="JTW22" s="93"/>
      <c r="JTX22" s="30"/>
      <c r="JUC22" s="93"/>
      <c r="JUD22" s="30"/>
      <c r="JUI22" s="93"/>
      <c r="JUJ22" s="30"/>
      <c r="JUO22" s="93"/>
      <c r="JUP22" s="30"/>
      <c r="JUU22" s="93"/>
      <c r="JUV22" s="30"/>
      <c r="JVA22" s="93"/>
      <c r="JVB22" s="30"/>
      <c r="JVG22" s="93"/>
      <c r="JVH22" s="30"/>
      <c r="JVM22" s="93"/>
      <c r="JVN22" s="30"/>
      <c r="JVS22" s="93"/>
      <c r="JVT22" s="30"/>
      <c r="JVY22" s="93"/>
      <c r="JVZ22" s="30"/>
      <c r="JWE22" s="93"/>
      <c r="JWF22" s="30"/>
      <c r="JWK22" s="93"/>
      <c r="JWL22" s="30"/>
      <c r="JWQ22" s="93"/>
      <c r="JWR22" s="30"/>
      <c r="JWW22" s="93"/>
      <c r="JWX22" s="30"/>
      <c r="JXC22" s="93"/>
      <c r="JXD22" s="30"/>
      <c r="JXI22" s="93"/>
      <c r="JXJ22" s="30"/>
      <c r="JXO22" s="93"/>
      <c r="JXP22" s="30"/>
      <c r="JXU22" s="93"/>
      <c r="JXV22" s="30"/>
      <c r="JYA22" s="93"/>
      <c r="JYB22" s="30"/>
      <c r="JYG22" s="93"/>
      <c r="JYH22" s="30"/>
      <c r="JYM22" s="93"/>
      <c r="JYN22" s="30"/>
      <c r="JYS22" s="93"/>
      <c r="JYT22" s="30"/>
      <c r="JYY22" s="93"/>
      <c r="JYZ22" s="30"/>
      <c r="JZE22" s="93"/>
      <c r="JZF22" s="30"/>
      <c r="JZK22" s="93"/>
      <c r="JZL22" s="30"/>
      <c r="JZQ22" s="93"/>
      <c r="JZR22" s="30"/>
      <c r="JZW22" s="93"/>
      <c r="JZX22" s="30"/>
      <c r="KAC22" s="93"/>
      <c r="KAD22" s="30"/>
      <c r="KAI22" s="93"/>
      <c r="KAJ22" s="30"/>
      <c r="KAO22" s="93"/>
      <c r="KAP22" s="30"/>
      <c r="KAU22" s="93"/>
      <c r="KAV22" s="30"/>
      <c r="KBA22" s="93"/>
      <c r="KBB22" s="30"/>
      <c r="KBG22" s="93"/>
      <c r="KBH22" s="30"/>
      <c r="KBM22" s="93"/>
      <c r="KBN22" s="30"/>
      <c r="KBS22" s="93"/>
      <c r="KBT22" s="30"/>
      <c r="KBY22" s="93"/>
      <c r="KBZ22" s="30"/>
      <c r="KCE22" s="93"/>
      <c r="KCF22" s="30"/>
      <c r="KCK22" s="93"/>
      <c r="KCL22" s="30"/>
      <c r="KCQ22" s="93"/>
      <c r="KCR22" s="30"/>
      <c r="KCW22" s="93"/>
      <c r="KCX22" s="30"/>
      <c r="KDC22" s="93"/>
      <c r="KDD22" s="30"/>
      <c r="KDI22" s="93"/>
      <c r="KDJ22" s="30"/>
      <c r="KDO22" s="93"/>
      <c r="KDP22" s="30"/>
      <c r="KDU22" s="93"/>
      <c r="KDV22" s="30"/>
      <c r="KEA22" s="93"/>
      <c r="KEB22" s="30"/>
      <c r="KEG22" s="93"/>
      <c r="KEH22" s="30"/>
      <c r="KEM22" s="93"/>
      <c r="KEN22" s="30"/>
      <c r="KES22" s="93"/>
      <c r="KET22" s="30"/>
      <c r="KEY22" s="93"/>
      <c r="KEZ22" s="30"/>
      <c r="KFE22" s="93"/>
      <c r="KFF22" s="30"/>
      <c r="KFK22" s="93"/>
      <c r="KFL22" s="30"/>
      <c r="KFQ22" s="93"/>
      <c r="KFR22" s="30"/>
      <c r="KFW22" s="93"/>
      <c r="KFX22" s="30"/>
      <c r="KGC22" s="93"/>
      <c r="KGD22" s="30"/>
      <c r="KGI22" s="93"/>
      <c r="KGJ22" s="30"/>
      <c r="KGO22" s="93"/>
      <c r="KGP22" s="30"/>
      <c r="KGU22" s="93"/>
      <c r="KGV22" s="30"/>
      <c r="KHA22" s="93"/>
      <c r="KHB22" s="30"/>
      <c r="KHG22" s="93"/>
      <c r="KHH22" s="30"/>
      <c r="KHM22" s="93"/>
      <c r="KHN22" s="30"/>
      <c r="KHS22" s="93"/>
      <c r="KHT22" s="30"/>
      <c r="KHY22" s="93"/>
      <c r="KHZ22" s="30"/>
      <c r="KIE22" s="93"/>
      <c r="KIF22" s="30"/>
      <c r="KIK22" s="93"/>
      <c r="KIL22" s="30"/>
      <c r="KIQ22" s="93"/>
      <c r="KIR22" s="30"/>
      <c r="KIW22" s="93"/>
      <c r="KIX22" s="30"/>
      <c r="KJC22" s="93"/>
      <c r="KJD22" s="30"/>
      <c r="KJI22" s="93"/>
      <c r="KJJ22" s="30"/>
      <c r="KJO22" s="93"/>
      <c r="KJP22" s="30"/>
      <c r="KJU22" s="93"/>
      <c r="KJV22" s="30"/>
      <c r="KKA22" s="93"/>
      <c r="KKB22" s="30"/>
      <c r="KKG22" s="93"/>
      <c r="KKH22" s="30"/>
      <c r="KKM22" s="93"/>
      <c r="KKN22" s="30"/>
      <c r="KKS22" s="93"/>
      <c r="KKT22" s="30"/>
      <c r="KKY22" s="93"/>
      <c r="KKZ22" s="30"/>
      <c r="KLE22" s="93"/>
      <c r="KLF22" s="30"/>
      <c r="KLK22" s="93"/>
      <c r="KLL22" s="30"/>
      <c r="KLQ22" s="93"/>
      <c r="KLR22" s="30"/>
      <c r="KLW22" s="93"/>
      <c r="KLX22" s="30"/>
      <c r="KMC22" s="93"/>
      <c r="KMD22" s="30"/>
      <c r="KMI22" s="93"/>
      <c r="KMJ22" s="30"/>
      <c r="KMO22" s="93"/>
      <c r="KMP22" s="30"/>
      <c r="KMU22" s="93"/>
      <c r="KMV22" s="30"/>
      <c r="KNA22" s="93"/>
      <c r="KNB22" s="30"/>
      <c r="KNG22" s="93"/>
      <c r="KNH22" s="30"/>
      <c r="KNM22" s="93"/>
      <c r="KNN22" s="30"/>
      <c r="KNS22" s="93"/>
      <c r="KNT22" s="30"/>
      <c r="KNY22" s="93"/>
      <c r="KNZ22" s="30"/>
      <c r="KOE22" s="93"/>
      <c r="KOF22" s="30"/>
      <c r="KOK22" s="93"/>
      <c r="KOL22" s="30"/>
      <c r="KOQ22" s="93"/>
      <c r="KOR22" s="30"/>
      <c r="KOW22" s="93"/>
      <c r="KOX22" s="30"/>
      <c r="KPC22" s="93"/>
      <c r="KPD22" s="30"/>
      <c r="KPI22" s="93"/>
      <c r="KPJ22" s="30"/>
      <c r="KPO22" s="93"/>
      <c r="KPP22" s="30"/>
      <c r="KPU22" s="93"/>
      <c r="KPV22" s="30"/>
      <c r="KQA22" s="93"/>
      <c r="KQB22" s="30"/>
      <c r="KQG22" s="93"/>
      <c r="KQH22" s="30"/>
      <c r="KQM22" s="93"/>
      <c r="KQN22" s="30"/>
      <c r="KQS22" s="93"/>
      <c r="KQT22" s="30"/>
      <c r="KQY22" s="93"/>
      <c r="KQZ22" s="30"/>
      <c r="KRE22" s="93"/>
      <c r="KRF22" s="30"/>
      <c r="KRK22" s="93"/>
      <c r="KRL22" s="30"/>
      <c r="KRQ22" s="93"/>
      <c r="KRR22" s="30"/>
      <c r="KRW22" s="93"/>
      <c r="KRX22" s="30"/>
      <c r="KSC22" s="93"/>
      <c r="KSD22" s="30"/>
      <c r="KSI22" s="93"/>
      <c r="KSJ22" s="30"/>
      <c r="KSO22" s="93"/>
      <c r="KSP22" s="30"/>
      <c r="KSU22" s="93"/>
      <c r="KSV22" s="30"/>
      <c r="KTA22" s="93"/>
      <c r="KTB22" s="30"/>
      <c r="KTG22" s="93"/>
      <c r="KTH22" s="30"/>
      <c r="KTM22" s="93"/>
      <c r="KTN22" s="30"/>
      <c r="KTS22" s="93"/>
      <c r="KTT22" s="30"/>
      <c r="KTY22" s="93"/>
      <c r="KTZ22" s="30"/>
      <c r="KUE22" s="93"/>
      <c r="KUF22" s="30"/>
      <c r="KUK22" s="93"/>
      <c r="KUL22" s="30"/>
      <c r="KUQ22" s="93"/>
      <c r="KUR22" s="30"/>
      <c r="KUW22" s="93"/>
      <c r="KUX22" s="30"/>
      <c r="KVC22" s="93"/>
      <c r="KVD22" s="30"/>
      <c r="KVI22" s="93"/>
      <c r="KVJ22" s="30"/>
      <c r="KVO22" s="93"/>
      <c r="KVP22" s="30"/>
      <c r="KVU22" s="93"/>
      <c r="KVV22" s="30"/>
      <c r="KWA22" s="93"/>
      <c r="KWB22" s="30"/>
      <c r="KWG22" s="93"/>
      <c r="KWH22" s="30"/>
      <c r="KWM22" s="93"/>
      <c r="KWN22" s="30"/>
      <c r="KWS22" s="93"/>
      <c r="KWT22" s="30"/>
      <c r="KWY22" s="93"/>
      <c r="KWZ22" s="30"/>
      <c r="KXE22" s="93"/>
      <c r="KXF22" s="30"/>
      <c r="KXK22" s="93"/>
      <c r="KXL22" s="30"/>
      <c r="KXQ22" s="93"/>
      <c r="KXR22" s="30"/>
      <c r="KXW22" s="93"/>
      <c r="KXX22" s="30"/>
      <c r="KYC22" s="93"/>
      <c r="KYD22" s="30"/>
      <c r="KYI22" s="93"/>
      <c r="KYJ22" s="30"/>
      <c r="KYO22" s="93"/>
      <c r="KYP22" s="30"/>
      <c r="KYU22" s="93"/>
      <c r="KYV22" s="30"/>
      <c r="KZA22" s="93"/>
      <c r="KZB22" s="30"/>
      <c r="KZG22" s="93"/>
      <c r="KZH22" s="30"/>
      <c r="KZM22" s="93"/>
      <c r="KZN22" s="30"/>
      <c r="KZS22" s="93"/>
      <c r="KZT22" s="30"/>
      <c r="KZY22" s="93"/>
      <c r="KZZ22" s="30"/>
      <c r="LAE22" s="93"/>
      <c r="LAF22" s="30"/>
      <c r="LAK22" s="93"/>
      <c r="LAL22" s="30"/>
      <c r="LAQ22" s="93"/>
      <c r="LAR22" s="30"/>
      <c r="LAW22" s="93"/>
      <c r="LAX22" s="30"/>
      <c r="LBC22" s="93"/>
      <c r="LBD22" s="30"/>
      <c r="LBI22" s="93"/>
      <c r="LBJ22" s="30"/>
      <c r="LBO22" s="93"/>
      <c r="LBP22" s="30"/>
      <c r="LBU22" s="93"/>
      <c r="LBV22" s="30"/>
      <c r="LCA22" s="93"/>
      <c r="LCB22" s="30"/>
      <c r="LCG22" s="93"/>
      <c r="LCH22" s="30"/>
      <c r="LCM22" s="93"/>
      <c r="LCN22" s="30"/>
      <c r="LCS22" s="93"/>
      <c r="LCT22" s="30"/>
      <c r="LCY22" s="93"/>
      <c r="LCZ22" s="30"/>
      <c r="LDE22" s="93"/>
      <c r="LDF22" s="30"/>
      <c r="LDK22" s="93"/>
      <c r="LDL22" s="30"/>
      <c r="LDQ22" s="93"/>
      <c r="LDR22" s="30"/>
      <c r="LDW22" s="93"/>
      <c r="LDX22" s="30"/>
      <c r="LEC22" s="93"/>
      <c r="LED22" s="30"/>
      <c r="LEI22" s="93"/>
      <c r="LEJ22" s="30"/>
      <c r="LEO22" s="93"/>
      <c r="LEP22" s="30"/>
      <c r="LEU22" s="93"/>
      <c r="LEV22" s="30"/>
      <c r="LFA22" s="93"/>
      <c r="LFB22" s="30"/>
      <c r="LFG22" s="93"/>
      <c r="LFH22" s="30"/>
      <c r="LFM22" s="93"/>
      <c r="LFN22" s="30"/>
      <c r="LFS22" s="93"/>
      <c r="LFT22" s="30"/>
      <c r="LFY22" s="93"/>
      <c r="LFZ22" s="30"/>
      <c r="LGE22" s="93"/>
      <c r="LGF22" s="30"/>
      <c r="LGK22" s="93"/>
      <c r="LGL22" s="30"/>
      <c r="LGQ22" s="93"/>
      <c r="LGR22" s="30"/>
      <c r="LGW22" s="93"/>
      <c r="LGX22" s="30"/>
      <c r="LHC22" s="93"/>
      <c r="LHD22" s="30"/>
      <c r="LHI22" s="93"/>
      <c r="LHJ22" s="30"/>
      <c r="LHO22" s="93"/>
      <c r="LHP22" s="30"/>
      <c r="LHU22" s="93"/>
      <c r="LHV22" s="30"/>
      <c r="LIA22" s="93"/>
      <c r="LIB22" s="30"/>
      <c r="LIG22" s="93"/>
      <c r="LIH22" s="30"/>
      <c r="LIM22" s="93"/>
      <c r="LIN22" s="30"/>
      <c r="LIS22" s="93"/>
      <c r="LIT22" s="30"/>
      <c r="LIY22" s="93"/>
      <c r="LIZ22" s="30"/>
      <c r="LJE22" s="93"/>
      <c r="LJF22" s="30"/>
      <c r="LJK22" s="93"/>
      <c r="LJL22" s="30"/>
      <c r="LJQ22" s="93"/>
      <c r="LJR22" s="30"/>
      <c r="LJW22" s="93"/>
      <c r="LJX22" s="30"/>
      <c r="LKC22" s="93"/>
      <c r="LKD22" s="30"/>
      <c r="LKI22" s="93"/>
      <c r="LKJ22" s="30"/>
      <c r="LKO22" s="93"/>
      <c r="LKP22" s="30"/>
      <c r="LKU22" s="93"/>
      <c r="LKV22" s="30"/>
      <c r="LLA22" s="93"/>
      <c r="LLB22" s="30"/>
      <c r="LLG22" s="93"/>
      <c r="LLH22" s="30"/>
      <c r="LLM22" s="93"/>
      <c r="LLN22" s="30"/>
      <c r="LLS22" s="93"/>
      <c r="LLT22" s="30"/>
      <c r="LLY22" s="93"/>
      <c r="LLZ22" s="30"/>
      <c r="LME22" s="93"/>
      <c r="LMF22" s="30"/>
      <c r="LMK22" s="93"/>
      <c r="LML22" s="30"/>
      <c r="LMQ22" s="93"/>
      <c r="LMR22" s="30"/>
      <c r="LMW22" s="93"/>
      <c r="LMX22" s="30"/>
      <c r="LNC22" s="93"/>
      <c r="LND22" s="30"/>
      <c r="LNI22" s="93"/>
      <c r="LNJ22" s="30"/>
      <c r="LNO22" s="93"/>
      <c r="LNP22" s="30"/>
      <c r="LNU22" s="93"/>
      <c r="LNV22" s="30"/>
      <c r="LOA22" s="93"/>
      <c r="LOB22" s="30"/>
      <c r="LOG22" s="93"/>
      <c r="LOH22" s="30"/>
      <c r="LOM22" s="93"/>
      <c r="LON22" s="30"/>
      <c r="LOS22" s="93"/>
      <c r="LOT22" s="30"/>
      <c r="LOY22" s="93"/>
      <c r="LOZ22" s="30"/>
      <c r="LPE22" s="93"/>
      <c r="LPF22" s="30"/>
      <c r="LPK22" s="93"/>
      <c r="LPL22" s="30"/>
      <c r="LPQ22" s="93"/>
      <c r="LPR22" s="30"/>
      <c r="LPW22" s="93"/>
      <c r="LPX22" s="30"/>
      <c r="LQC22" s="93"/>
      <c r="LQD22" s="30"/>
      <c r="LQI22" s="93"/>
      <c r="LQJ22" s="30"/>
      <c r="LQO22" s="93"/>
      <c r="LQP22" s="30"/>
      <c r="LQU22" s="93"/>
      <c r="LQV22" s="30"/>
      <c r="LRA22" s="93"/>
      <c r="LRB22" s="30"/>
      <c r="LRG22" s="93"/>
      <c r="LRH22" s="30"/>
      <c r="LRM22" s="93"/>
      <c r="LRN22" s="30"/>
      <c r="LRS22" s="93"/>
      <c r="LRT22" s="30"/>
      <c r="LRY22" s="93"/>
      <c r="LRZ22" s="30"/>
      <c r="LSE22" s="93"/>
      <c r="LSF22" s="30"/>
      <c r="LSK22" s="93"/>
      <c r="LSL22" s="30"/>
      <c r="LSQ22" s="93"/>
      <c r="LSR22" s="30"/>
      <c r="LSW22" s="93"/>
      <c r="LSX22" s="30"/>
      <c r="LTC22" s="93"/>
      <c r="LTD22" s="30"/>
      <c r="LTI22" s="93"/>
      <c r="LTJ22" s="30"/>
      <c r="LTO22" s="93"/>
      <c r="LTP22" s="30"/>
      <c r="LTU22" s="93"/>
      <c r="LTV22" s="30"/>
      <c r="LUA22" s="93"/>
      <c r="LUB22" s="30"/>
      <c r="LUG22" s="93"/>
      <c r="LUH22" s="30"/>
      <c r="LUM22" s="93"/>
      <c r="LUN22" s="30"/>
      <c r="LUS22" s="93"/>
      <c r="LUT22" s="30"/>
      <c r="LUY22" s="93"/>
      <c r="LUZ22" s="30"/>
      <c r="LVE22" s="93"/>
      <c r="LVF22" s="30"/>
      <c r="LVK22" s="93"/>
      <c r="LVL22" s="30"/>
      <c r="LVQ22" s="93"/>
      <c r="LVR22" s="30"/>
      <c r="LVW22" s="93"/>
      <c r="LVX22" s="30"/>
      <c r="LWC22" s="93"/>
      <c r="LWD22" s="30"/>
      <c r="LWI22" s="93"/>
      <c r="LWJ22" s="30"/>
      <c r="LWO22" s="93"/>
      <c r="LWP22" s="30"/>
      <c r="LWU22" s="93"/>
      <c r="LWV22" s="30"/>
      <c r="LXA22" s="93"/>
      <c r="LXB22" s="30"/>
      <c r="LXG22" s="93"/>
      <c r="LXH22" s="30"/>
      <c r="LXM22" s="93"/>
      <c r="LXN22" s="30"/>
      <c r="LXS22" s="93"/>
      <c r="LXT22" s="30"/>
      <c r="LXY22" s="93"/>
      <c r="LXZ22" s="30"/>
      <c r="LYE22" s="93"/>
      <c r="LYF22" s="30"/>
      <c r="LYK22" s="93"/>
      <c r="LYL22" s="30"/>
      <c r="LYQ22" s="93"/>
      <c r="LYR22" s="30"/>
      <c r="LYW22" s="93"/>
      <c r="LYX22" s="30"/>
      <c r="LZC22" s="93"/>
      <c r="LZD22" s="30"/>
      <c r="LZI22" s="93"/>
      <c r="LZJ22" s="30"/>
      <c r="LZO22" s="93"/>
      <c r="LZP22" s="30"/>
      <c r="LZU22" s="93"/>
      <c r="LZV22" s="30"/>
      <c r="MAA22" s="93"/>
      <c r="MAB22" s="30"/>
      <c r="MAG22" s="93"/>
      <c r="MAH22" s="30"/>
      <c r="MAM22" s="93"/>
      <c r="MAN22" s="30"/>
      <c r="MAS22" s="93"/>
      <c r="MAT22" s="30"/>
      <c r="MAY22" s="93"/>
      <c r="MAZ22" s="30"/>
      <c r="MBE22" s="93"/>
      <c r="MBF22" s="30"/>
      <c r="MBK22" s="93"/>
      <c r="MBL22" s="30"/>
      <c r="MBQ22" s="93"/>
      <c r="MBR22" s="30"/>
      <c r="MBW22" s="93"/>
      <c r="MBX22" s="30"/>
      <c r="MCC22" s="93"/>
      <c r="MCD22" s="30"/>
      <c r="MCI22" s="93"/>
      <c r="MCJ22" s="30"/>
      <c r="MCO22" s="93"/>
      <c r="MCP22" s="30"/>
      <c r="MCU22" s="93"/>
      <c r="MCV22" s="30"/>
      <c r="MDA22" s="93"/>
      <c r="MDB22" s="30"/>
      <c r="MDG22" s="93"/>
      <c r="MDH22" s="30"/>
      <c r="MDM22" s="93"/>
      <c r="MDN22" s="30"/>
      <c r="MDS22" s="93"/>
      <c r="MDT22" s="30"/>
      <c r="MDY22" s="93"/>
      <c r="MDZ22" s="30"/>
      <c r="MEE22" s="93"/>
      <c r="MEF22" s="30"/>
      <c r="MEK22" s="93"/>
      <c r="MEL22" s="30"/>
      <c r="MEQ22" s="93"/>
      <c r="MER22" s="30"/>
      <c r="MEW22" s="93"/>
      <c r="MEX22" s="30"/>
      <c r="MFC22" s="93"/>
      <c r="MFD22" s="30"/>
      <c r="MFI22" s="93"/>
      <c r="MFJ22" s="30"/>
      <c r="MFO22" s="93"/>
      <c r="MFP22" s="30"/>
      <c r="MFU22" s="93"/>
      <c r="MFV22" s="30"/>
      <c r="MGA22" s="93"/>
      <c r="MGB22" s="30"/>
      <c r="MGG22" s="93"/>
      <c r="MGH22" s="30"/>
      <c r="MGM22" s="93"/>
      <c r="MGN22" s="30"/>
      <c r="MGS22" s="93"/>
      <c r="MGT22" s="30"/>
      <c r="MGY22" s="93"/>
      <c r="MGZ22" s="30"/>
      <c r="MHE22" s="93"/>
      <c r="MHF22" s="30"/>
      <c r="MHK22" s="93"/>
      <c r="MHL22" s="30"/>
      <c r="MHQ22" s="93"/>
      <c r="MHR22" s="30"/>
      <c r="MHW22" s="93"/>
      <c r="MHX22" s="30"/>
      <c r="MIC22" s="93"/>
      <c r="MID22" s="30"/>
      <c r="MII22" s="93"/>
      <c r="MIJ22" s="30"/>
      <c r="MIO22" s="93"/>
      <c r="MIP22" s="30"/>
      <c r="MIU22" s="93"/>
      <c r="MIV22" s="30"/>
      <c r="MJA22" s="93"/>
      <c r="MJB22" s="30"/>
      <c r="MJG22" s="93"/>
      <c r="MJH22" s="30"/>
      <c r="MJM22" s="93"/>
      <c r="MJN22" s="30"/>
      <c r="MJS22" s="93"/>
      <c r="MJT22" s="30"/>
      <c r="MJY22" s="93"/>
      <c r="MJZ22" s="30"/>
      <c r="MKE22" s="93"/>
      <c r="MKF22" s="30"/>
      <c r="MKK22" s="93"/>
      <c r="MKL22" s="30"/>
      <c r="MKQ22" s="93"/>
      <c r="MKR22" s="30"/>
      <c r="MKW22" s="93"/>
      <c r="MKX22" s="30"/>
      <c r="MLC22" s="93"/>
      <c r="MLD22" s="30"/>
      <c r="MLI22" s="93"/>
      <c r="MLJ22" s="30"/>
      <c r="MLO22" s="93"/>
      <c r="MLP22" s="30"/>
      <c r="MLU22" s="93"/>
      <c r="MLV22" s="30"/>
      <c r="MMA22" s="93"/>
      <c r="MMB22" s="30"/>
      <c r="MMG22" s="93"/>
      <c r="MMH22" s="30"/>
      <c r="MMM22" s="93"/>
      <c r="MMN22" s="30"/>
      <c r="MMS22" s="93"/>
      <c r="MMT22" s="30"/>
      <c r="MMY22" s="93"/>
      <c r="MMZ22" s="30"/>
      <c r="MNE22" s="93"/>
      <c r="MNF22" s="30"/>
      <c r="MNK22" s="93"/>
      <c r="MNL22" s="30"/>
      <c r="MNQ22" s="93"/>
      <c r="MNR22" s="30"/>
      <c r="MNW22" s="93"/>
      <c r="MNX22" s="30"/>
      <c r="MOC22" s="93"/>
      <c r="MOD22" s="30"/>
      <c r="MOI22" s="93"/>
      <c r="MOJ22" s="30"/>
      <c r="MOO22" s="93"/>
      <c r="MOP22" s="30"/>
      <c r="MOU22" s="93"/>
      <c r="MOV22" s="30"/>
      <c r="MPA22" s="93"/>
      <c r="MPB22" s="30"/>
      <c r="MPG22" s="93"/>
      <c r="MPH22" s="30"/>
      <c r="MPM22" s="93"/>
      <c r="MPN22" s="30"/>
      <c r="MPS22" s="93"/>
      <c r="MPT22" s="30"/>
      <c r="MPY22" s="93"/>
      <c r="MPZ22" s="30"/>
      <c r="MQE22" s="93"/>
      <c r="MQF22" s="30"/>
      <c r="MQK22" s="93"/>
      <c r="MQL22" s="30"/>
      <c r="MQQ22" s="93"/>
      <c r="MQR22" s="30"/>
      <c r="MQW22" s="93"/>
      <c r="MQX22" s="30"/>
      <c r="MRC22" s="93"/>
      <c r="MRD22" s="30"/>
      <c r="MRI22" s="93"/>
      <c r="MRJ22" s="30"/>
      <c r="MRO22" s="93"/>
      <c r="MRP22" s="30"/>
      <c r="MRU22" s="93"/>
      <c r="MRV22" s="30"/>
      <c r="MSA22" s="93"/>
      <c r="MSB22" s="30"/>
      <c r="MSG22" s="93"/>
      <c r="MSH22" s="30"/>
      <c r="MSM22" s="93"/>
      <c r="MSN22" s="30"/>
      <c r="MSS22" s="93"/>
      <c r="MST22" s="30"/>
      <c r="MSY22" s="93"/>
      <c r="MSZ22" s="30"/>
      <c r="MTE22" s="93"/>
      <c r="MTF22" s="30"/>
      <c r="MTK22" s="93"/>
      <c r="MTL22" s="30"/>
      <c r="MTQ22" s="93"/>
      <c r="MTR22" s="30"/>
      <c r="MTW22" s="93"/>
      <c r="MTX22" s="30"/>
      <c r="MUC22" s="93"/>
      <c r="MUD22" s="30"/>
      <c r="MUI22" s="93"/>
      <c r="MUJ22" s="30"/>
      <c r="MUO22" s="93"/>
      <c r="MUP22" s="30"/>
      <c r="MUU22" s="93"/>
      <c r="MUV22" s="30"/>
      <c r="MVA22" s="93"/>
      <c r="MVB22" s="30"/>
      <c r="MVG22" s="93"/>
      <c r="MVH22" s="30"/>
      <c r="MVM22" s="93"/>
      <c r="MVN22" s="30"/>
      <c r="MVS22" s="93"/>
      <c r="MVT22" s="30"/>
      <c r="MVY22" s="93"/>
      <c r="MVZ22" s="30"/>
      <c r="MWE22" s="93"/>
      <c r="MWF22" s="30"/>
      <c r="MWK22" s="93"/>
      <c r="MWL22" s="30"/>
      <c r="MWQ22" s="93"/>
      <c r="MWR22" s="30"/>
      <c r="MWW22" s="93"/>
      <c r="MWX22" s="30"/>
      <c r="MXC22" s="93"/>
      <c r="MXD22" s="30"/>
      <c r="MXI22" s="93"/>
      <c r="MXJ22" s="30"/>
      <c r="MXO22" s="93"/>
      <c r="MXP22" s="30"/>
      <c r="MXU22" s="93"/>
      <c r="MXV22" s="30"/>
      <c r="MYA22" s="93"/>
      <c r="MYB22" s="30"/>
      <c r="MYG22" s="93"/>
      <c r="MYH22" s="30"/>
      <c r="MYM22" s="93"/>
      <c r="MYN22" s="30"/>
      <c r="MYS22" s="93"/>
      <c r="MYT22" s="30"/>
      <c r="MYY22" s="93"/>
      <c r="MYZ22" s="30"/>
      <c r="MZE22" s="93"/>
      <c r="MZF22" s="30"/>
      <c r="MZK22" s="93"/>
      <c r="MZL22" s="30"/>
      <c r="MZQ22" s="93"/>
      <c r="MZR22" s="30"/>
      <c r="MZW22" s="93"/>
      <c r="MZX22" s="30"/>
      <c r="NAC22" s="93"/>
      <c r="NAD22" s="30"/>
      <c r="NAI22" s="93"/>
      <c r="NAJ22" s="30"/>
      <c r="NAO22" s="93"/>
      <c r="NAP22" s="30"/>
      <c r="NAU22" s="93"/>
      <c r="NAV22" s="30"/>
      <c r="NBA22" s="93"/>
      <c r="NBB22" s="30"/>
      <c r="NBG22" s="93"/>
      <c r="NBH22" s="30"/>
      <c r="NBM22" s="93"/>
      <c r="NBN22" s="30"/>
      <c r="NBS22" s="93"/>
      <c r="NBT22" s="30"/>
      <c r="NBY22" s="93"/>
      <c r="NBZ22" s="30"/>
      <c r="NCE22" s="93"/>
      <c r="NCF22" s="30"/>
      <c r="NCK22" s="93"/>
      <c r="NCL22" s="30"/>
      <c r="NCQ22" s="93"/>
      <c r="NCR22" s="30"/>
      <c r="NCW22" s="93"/>
      <c r="NCX22" s="30"/>
      <c r="NDC22" s="93"/>
      <c r="NDD22" s="30"/>
      <c r="NDI22" s="93"/>
      <c r="NDJ22" s="30"/>
      <c r="NDO22" s="93"/>
      <c r="NDP22" s="30"/>
      <c r="NDU22" s="93"/>
      <c r="NDV22" s="30"/>
      <c r="NEA22" s="93"/>
      <c r="NEB22" s="30"/>
      <c r="NEG22" s="93"/>
      <c r="NEH22" s="30"/>
      <c r="NEM22" s="93"/>
      <c r="NEN22" s="30"/>
      <c r="NES22" s="93"/>
      <c r="NET22" s="30"/>
      <c r="NEY22" s="93"/>
      <c r="NEZ22" s="30"/>
      <c r="NFE22" s="93"/>
      <c r="NFF22" s="30"/>
      <c r="NFK22" s="93"/>
      <c r="NFL22" s="30"/>
      <c r="NFQ22" s="93"/>
      <c r="NFR22" s="30"/>
      <c r="NFW22" s="93"/>
      <c r="NFX22" s="30"/>
      <c r="NGC22" s="93"/>
      <c r="NGD22" s="30"/>
      <c r="NGI22" s="93"/>
      <c r="NGJ22" s="30"/>
      <c r="NGO22" s="93"/>
      <c r="NGP22" s="30"/>
      <c r="NGU22" s="93"/>
      <c r="NGV22" s="30"/>
      <c r="NHA22" s="93"/>
      <c r="NHB22" s="30"/>
      <c r="NHG22" s="93"/>
      <c r="NHH22" s="30"/>
      <c r="NHM22" s="93"/>
      <c r="NHN22" s="30"/>
      <c r="NHS22" s="93"/>
      <c r="NHT22" s="30"/>
      <c r="NHY22" s="93"/>
      <c r="NHZ22" s="30"/>
      <c r="NIE22" s="93"/>
      <c r="NIF22" s="30"/>
      <c r="NIK22" s="93"/>
      <c r="NIL22" s="30"/>
      <c r="NIQ22" s="93"/>
      <c r="NIR22" s="30"/>
      <c r="NIW22" s="93"/>
      <c r="NIX22" s="30"/>
      <c r="NJC22" s="93"/>
      <c r="NJD22" s="30"/>
      <c r="NJI22" s="93"/>
      <c r="NJJ22" s="30"/>
      <c r="NJO22" s="93"/>
      <c r="NJP22" s="30"/>
      <c r="NJU22" s="93"/>
      <c r="NJV22" s="30"/>
      <c r="NKA22" s="93"/>
      <c r="NKB22" s="30"/>
      <c r="NKG22" s="93"/>
      <c r="NKH22" s="30"/>
      <c r="NKM22" s="93"/>
      <c r="NKN22" s="30"/>
      <c r="NKS22" s="93"/>
      <c r="NKT22" s="30"/>
      <c r="NKY22" s="93"/>
      <c r="NKZ22" s="30"/>
      <c r="NLE22" s="93"/>
      <c r="NLF22" s="30"/>
      <c r="NLK22" s="93"/>
      <c r="NLL22" s="30"/>
      <c r="NLQ22" s="93"/>
      <c r="NLR22" s="30"/>
      <c r="NLW22" s="93"/>
      <c r="NLX22" s="30"/>
      <c r="NMC22" s="93"/>
      <c r="NMD22" s="30"/>
      <c r="NMI22" s="93"/>
      <c r="NMJ22" s="30"/>
      <c r="NMO22" s="93"/>
      <c r="NMP22" s="30"/>
      <c r="NMU22" s="93"/>
      <c r="NMV22" s="30"/>
      <c r="NNA22" s="93"/>
      <c r="NNB22" s="30"/>
      <c r="NNG22" s="93"/>
      <c r="NNH22" s="30"/>
      <c r="NNM22" s="93"/>
      <c r="NNN22" s="30"/>
      <c r="NNS22" s="93"/>
      <c r="NNT22" s="30"/>
      <c r="NNY22" s="93"/>
      <c r="NNZ22" s="30"/>
      <c r="NOE22" s="93"/>
      <c r="NOF22" s="30"/>
      <c r="NOK22" s="93"/>
      <c r="NOL22" s="30"/>
      <c r="NOQ22" s="93"/>
      <c r="NOR22" s="30"/>
      <c r="NOW22" s="93"/>
      <c r="NOX22" s="30"/>
      <c r="NPC22" s="93"/>
      <c r="NPD22" s="30"/>
      <c r="NPI22" s="93"/>
      <c r="NPJ22" s="30"/>
      <c r="NPO22" s="93"/>
      <c r="NPP22" s="30"/>
      <c r="NPU22" s="93"/>
      <c r="NPV22" s="30"/>
      <c r="NQA22" s="93"/>
      <c r="NQB22" s="30"/>
      <c r="NQG22" s="93"/>
      <c r="NQH22" s="30"/>
      <c r="NQM22" s="93"/>
      <c r="NQN22" s="30"/>
      <c r="NQS22" s="93"/>
      <c r="NQT22" s="30"/>
      <c r="NQY22" s="93"/>
      <c r="NQZ22" s="30"/>
      <c r="NRE22" s="93"/>
      <c r="NRF22" s="30"/>
      <c r="NRK22" s="93"/>
      <c r="NRL22" s="30"/>
      <c r="NRQ22" s="93"/>
      <c r="NRR22" s="30"/>
      <c r="NRW22" s="93"/>
      <c r="NRX22" s="30"/>
      <c r="NSC22" s="93"/>
      <c r="NSD22" s="30"/>
      <c r="NSI22" s="93"/>
      <c r="NSJ22" s="30"/>
      <c r="NSO22" s="93"/>
      <c r="NSP22" s="30"/>
      <c r="NSU22" s="93"/>
      <c r="NSV22" s="30"/>
      <c r="NTA22" s="93"/>
      <c r="NTB22" s="30"/>
      <c r="NTG22" s="93"/>
      <c r="NTH22" s="30"/>
      <c r="NTM22" s="93"/>
      <c r="NTN22" s="30"/>
      <c r="NTS22" s="93"/>
      <c r="NTT22" s="30"/>
      <c r="NTY22" s="93"/>
      <c r="NTZ22" s="30"/>
      <c r="NUE22" s="93"/>
      <c r="NUF22" s="30"/>
      <c r="NUK22" s="93"/>
      <c r="NUL22" s="30"/>
      <c r="NUQ22" s="93"/>
      <c r="NUR22" s="30"/>
      <c r="NUW22" s="93"/>
      <c r="NUX22" s="30"/>
      <c r="NVC22" s="93"/>
      <c r="NVD22" s="30"/>
      <c r="NVI22" s="93"/>
      <c r="NVJ22" s="30"/>
      <c r="NVO22" s="93"/>
      <c r="NVP22" s="30"/>
      <c r="NVU22" s="93"/>
      <c r="NVV22" s="30"/>
      <c r="NWA22" s="93"/>
      <c r="NWB22" s="30"/>
      <c r="NWG22" s="93"/>
      <c r="NWH22" s="30"/>
      <c r="NWM22" s="93"/>
      <c r="NWN22" s="30"/>
      <c r="NWS22" s="93"/>
      <c r="NWT22" s="30"/>
      <c r="NWY22" s="93"/>
      <c r="NWZ22" s="30"/>
      <c r="NXE22" s="93"/>
      <c r="NXF22" s="30"/>
      <c r="NXK22" s="93"/>
      <c r="NXL22" s="30"/>
      <c r="NXQ22" s="93"/>
      <c r="NXR22" s="30"/>
      <c r="NXW22" s="93"/>
      <c r="NXX22" s="30"/>
      <c r="NYC22" s="93"/>
      <c r="NYD22" s="30"/>
      <c r="NYI22" s="93"/>
      <c r="NYJ22" s="30"/>
      <c r="NYO22" s="93"/>
      <c r="NYP22" s="30"/>
      <c r="NYU22" s="93"/>
      <c r="NYV22" s="30"/>
      <c r="NZA22" s="93"/>
      <c r="NZB22" s="30"/>
      <c r="NZG22" s="93"/>
      <c r="NZH22" s="30"/>
      <c r="NZM22" s="93"/>
      <c r="NZN22" s="30"/>
      <c r="NZS22" s="93"/>
      <c r="NZT22" s="30"/>
      <c r="NZY22" s="93"/>
      <c r="NZZ22" s="30"/>
      <c r="OAE22" s="93"/>
      <c r="OAF22" s="30"/>
      <c r="OAK22" s="93"/>
      <c r="OAL22" s="30"/>
      <c r="OAQ22" s="93"/>
      <c r="OAR22" s="30"/>
      <c r="OAW22" s="93"/>
      <c r="OAX22" s="30"/>
      <c r="OBC22" s="93"/>
      <c r="OBD22" s="30"/>
      <c r="OBI22" s="93"/>
      <c r="OBJ22" s="30"/>
      <c r="OBO22" s="93"/>
      <c r="OBP22" s="30"/>
      <c r="OBU22" s="93"/>
      <c r="OBV22" s="30"/>
      <c r="OCA22" s="93"/>
      <c r="OCB22" s="30"/>
      <c r="OCG22" s="93"/>
      <c r="OCH22" s="30"/>
      <c r="OCM22" s="93"/>
      <c r="OCN22" s="30"/>
      <c r="OCS22" s="93"/>
      <c r="OCT22" s="30"/>
      <c r="OCY22" s="93"/>
      <c r="OCZ22" s="30"/>
      <c r="ODE22" s="93"/>
      <c r="ODF22" s="30"/>
      <c r="ODK22" s="93"/>
      <c r="ODL22" s="30"/>
      <c r="ODQ22" s="93"/>
      <c r="ODR22" s="30"/>
      <c r="ODW22" s="93"/>
      <c r="ODX22" s="30"/>
      <c r="OEC22" s="93"/>
      <c r="OED22" s="30"/>
      <c r="OEI22" s="93"/>
      <c r="OEJ22" s="30"/>
      <c r="OEO22" s="93"/>
      <c r="OEP22" s="30"/>
      <c r="OEU22" s="93"/>
      <c r="OEV22" s="30"/>
      <c r="OFA22" s="93"/>
      <c r="OFB22" s="30"/>
      <c r="OFG22" s="93"/>
      <c r="OFH22" s="30"/>
      <c r="OFM22" s="93"/>
      <c r="OFN22" s="30"/>
      <c r="OFS22" s="93"/>
      <c r="OFT22" s="30"/>
      <c r="OFY22" s="93"/>
      <c r="OFZ22" s="30"/>
      <c r="OGE22" s="93"/>
      <c r="OGF22" s="30"/>
      <c r="OGK22" s="93"/>
      <c r="OGL22" s="30"/>
      <c r="OGQ22" s="93"/>
      <c r="OGR22" s="30"/>
      <c r="OGW22" s="93"/>
      <c r="OGX22" s="30"/>
      <c r="OHC22" s="93"/>
      <c r="OHD22" s="30"/>
      <c r="OHI22" s="93"/>
      <c r="OHJ22" s="30"/>
      <c r="OHO22" s="93"/>
      <c r="OHP22" s="30"/>
      <c r="OHU22" s="93"/>
      <c r="OHV22" s="30"/>
      <c r="OIA22" s="93"/>
      <c r="OIB22" s="30"/>
      <c r="OIG22" s="93"/>
      <c r="OIH22" s="30"/>
      <c r="OIM22" s="93"/>
      <c r="OIN22" s="30"/>
      <c r="OIS22" s="93"/>
      <c r="OIT22" s="30"/>
      <c r="OIY22" s="93"/>
      <c r="OIZ22" s="30"/>
      <c r="OJE22" s="93"/>
      <c r="OJF22" s="30"/>
      <c r="OJK22" s="93"/>
      <c r="OJL22" s="30"/>
      <c r="OJQ22" s="93"/>
      <c r="OJR22" s="30"/>
      <c r="OJW22" s="93"/>
      <c r="OJX22" s="30"/>
      <c r="OKC22" s="93"/>
      <c r="OKD22" s="30"/>
      <c r="OKI22" s="93"/>
      <c r="OKJ22" s="30"/>
      <c r="OKO22" s="93"/>
      <c r="OKP22" s="30"/>
      <c r="OKU22" s="93"/>
      <c r="OKV22" s="30"/>
      <c r="OLA22" s="93"/>
      <c r="OLB22" s="30"/>
      <c r="OLG22" s="93"/>
      <c r="OLH22" s="30"/>
      <c r="OLM22" s="93"/>
      <c r="OLN22" s="30"/>
      <c r="OLS22" s="93"/>
      <c r="OLT22" s="30"/>
      <c r="OLY22" s="93"/>
      <c r="OLZ22" s="30"/>
      <c r="OME22" s="93"/>
      <c r="OMF22" s="30"/>
      <c r="OMK22" s="93"/>
      <c r="OML22" s="30"/>
      <c r="OMQ22" s="93"/>
      <c r="OMR22" s="30"/>
      <c r="OMW22" s="93"/>
      <c r="OMX22" s="30"/>
      <c r="ONC22" s="93"/>
      <c r="OND22" s="30"/>
      <c r="ONI22" s="93"/>
      <c r="ONJ22" s="30"/>
      <c r="ONO22" s="93"/>
      <c r="ONP22" s="30"/>
      <c r="ONU22" s="93"/>
      <c r="ONV22" s="30"/>
      <c r="OOA22" s="93"/>
      <c r="OOB22" s="30"/>
      <c r="OOG22" s="93"/>
      <c r="OOH22" s="30"/>
      <c r="OOM22" s="93"/>
      <c r="OON22" s="30"/>
      <c r="OOS22" s="93"/>
      <c r="OOT22" s="30"/>
      <c r="OOY22" s="93"/>
      <c r="OOZ22" s="30"/>
      <c r="OPE22" s="93"/>
      <c r="OPF22" s="30"/>
      <c r="OPK22" s="93"/>
      <c r="OPL22" s="30"/>
      <c r="OPQ22" s="93"/>
      <c r="OPR22" s="30"/>
      <c r="OPW22" s="93"/>
      <c r="OPX22" s="30"/>
      <c r="OQC22" s="93"/>
      <c r="OQD22" s="30"/>
      <c r="OQI22" s="93"/>
      <c r="OQJ22" s="30"/>
      <c r="OQO22" s="93"/>
      <c r="OQP22" s="30"/>
      <c r="OQU22" s="93"/>
      <c r="OQV22" s="30"/>
      <c r="ORA22" s="93"/>
      <c r="ORB22" s="30"/>
      <c r="ORG22" s="93"/>
      <c r="ORH22" s="30"/>
      <c r="ORM22" s="93"/>
      <c r="ORN22" s="30"/>
      <c r="ORS22" s="93"/>
      <c r="ORT22" s="30"/>
      <c r="ORY22" s="93"/>
      <c r="ORZ22" s="30"/>
      <c r="OSE22" s="93"/>
      <c r="OSF22" s="30"/>
      <c r="OSK22" s="93"/>
      <c r="OSL22" s="30"/>
      <c r="OSQ22" s="93"/>
      <c r="OSR22" s="30"/>
      <c r="OSW22" s="93"/>
      <c r="OSX22" s="30"/>
      <c r="OTC22" s="93"/>
      <c r="OTD22" s="30"/>
      <c r="OTI22" s="93"/>
      <c r="OTJ22" s="30"/>
      <c r="OTO22" s="93"/>
      <c r="OTP22" s="30"/>
      <c r="OTU22" s="93"/>
      <c r="OTV22" s="30"/>
      <c r="OUA22" s="93"/>
      <c r="OUB22" s="30"/>
      <c r="OUG22" s="93"/>
      <c r="OUH22" s="30"/>
      <c r="OUM22" s="93"/>
      <c r="OUN22" s="30"/>
      <c r="OUS22" s="93"/>
      <c r="OUT22" s="30"/>
      <c r="OUY22" s="93"/>
      <c r="OUZ22" s="30"/>
      <c r="OVE22" s="93"/>
      <c r="OVF22" s="30"/>
      <c r="OVK22" s="93"/>
      <c r="OVL22" s="30"/>
      <c r="OVQ22" s="93"/>
      <c r="OVR22" s="30"/>
      <c r="OVW22" s="93"/>
      <c r="OVX22" s="30"/>
      <c r="OWC22" s="93"/>
      <c r="OWD22" s="30"/>
      <c r="OWI22" s="93"/>
      <c r="OWJ22" s="30"/>
      <c r="OWO22" s="93"/>
      <c r="OWP22" s="30"/>
      <c r="OWU22" s="93"/>
      <c r="OWV22" s="30"/>
      <c r="OXA22" s="93"/>
      <c r="OXB22" s="30"/>
      <c r="OXG22" s="93"/>
      <c r="OXH22" s="30"/>
      <c r="OXM22" s="93"/>
      <c r="OXN22" s="30"/>
      <c r="OXS22" s="93"/>
      <c r="OXT22" s="30"/>
      <c r="OXY22" s="93"/>
      <c r="OXZ22" s="30"/>
      <c r="OYE22" s="93"/>
      <c r="OYF22" s="30"/>
      <c r="OYK22" s="93"/>
      <c r="OYL22" s="30"/>
      <c r="OYQ22" s="93"/>
      <c r="OYR22" s="30"/>
      <c r="OYW22" s="93"/>
      <c r="OYX22" s="30"/>
      <c r="OZC22" s="93"/>
      <c r="OZD22" s="30"/>
      <c r="OZI22" s="93"/>
      <c r="OZJ22" s="30"/>
      <c r="OZO22" s="93"/>
      <c r="OZP22" s="30"/>
      <c r="OZU22" s="93"/>
      <c r="OZV22" s="30"/>
      <c r="PAA22" s="93"/>
      <c r="PAB22" s="30"/>
      <c r="PAG22" s="93"/>
      <c r="PAH22" s="30"/>
      <c r="PAM22" s="93"/>
      <c r="PAN22" s="30"/>
      <c r="PAS22" s="93"/>
      <c r="PAT22" s="30"/>
      <c r="PAY22" s="93"/>
      <c r="PAZ22" s="30"/>
      <c r="PBE22" s="93"/>
      <c r="PBF22" s="30"/>
      <c r="PBK22" s="93"/>
      <c r="PBL22" s="30"/>
      <c r="PBQ22" s="93"/>
      <c r="PBR22" s="30"/>
      <c r="PBW22" s="93"/>
      <c r="PBX22" s="30"/>
      <c r="PCC22" s="93"/>
      <c r="PCD22" s="30"/>
      <c r="PCI22" s="93"/>
      <c r="PCJ22" s="30"/>
      <c r="PCO22" s="93"/>
      <c r="PCP22" s="30"/>
      <c r="PCU22" s="93"/>
      <c r="PCV22" s="30"/>
      <c r="PDA22" s="93"/>
      <c r="PDB22" s="30"/>
      <c r="PDG22" s="93"/>
      <c r="PDH22" s="30"/>
      <c r="PDM22" s="93"/>
      <c r="PDN22" s="30"/>
      <c r="PDS22" s="93"/>
      <c r="PDT22" s="30"/>
      <c r="PDY22" s="93"/>
      <c r="PDZ22" s="30"/>
      <c r="PEE22" s="93"/>
      <c r="PEF22" s="30"/>
      <c r="PEK22" s="93"/>
      <c r="PEL22" s="30"/>
      <c r="PEQ22" s="93"/>
      <c r="PER22" s="30"/>
      <c r="PEW22" s="93"/>
      <c r="PEX22" s="30"/>
      <c r="PFC22" s="93"/>
      <c r="PFD22" s="30"/>
      <c r="PFI22" s="93"/>
      <c r="PFJ22" s="30"/>
      <c r="PFO22" s="93"/>
      <c r="PFP22" s="30"/>
      <c r="PFU22" s="93"/>
      <c r="PFV22" s="30"/>
      <c r="PGA22" s="93"/>
      <c r="PGB22" s="30"/>
      <c r="PGG22" s="93"/>
      <c r="PGH22" s="30"/>
      <c r="PGM22" s="93"/>
      <c r="PGN22" s="30"/>
      <c r="PGS22" s="93"/>
      <c r="PGT22" s="30"/>
      <c r="PGY22" s="93"/>
      <c r="PGZ22" s="30"/>
      <c r="PHE22" s="93"/>
      <c r="PHF22" s="30"/>
      <c r="PHK22" s="93"/>
      <c r="PHL22" s="30"/>
      <c r="PHQ22" s="93"/>
      <c r="PHR22" s="30"/>
      <c r="PHW22" s="93"/>
      <c r="PHX22" s="30"/>
      <c r="PIC22" s="93"/>
      <c r="PID22" s="30"/>
      <c r="PII22" s="93"/>
      <c r="PIJ22" s="30"/>
      <c r="PIO22" s="93"/>
      <c r="PIP22" s="30"/>
      <c r="PIU22" s="93"/>
      <c r="PIV22" s="30"/>
      <c r="PJA22" s="93"/>
      <c r="PJB22" s="30"/>
      <c r="PJG22" s="93"/>
      <c r="PJH22" s="30"/>
      <c r="PJM22" s="93"/>
      <c r="PJN22" s="30"/>
      <c r="PJS22" s="93"/>
      <c r="PJT22" s="30"/>
      <c r="PJY22" s="93"/>
      <c r="PJZ22" s="30"/>
      <c r="PKE22" s="93"/>
      <c r="PKF22" s="30"/>
      <c r="PKK22" s="93"/>
      <c r="PKL22" s="30"/>
      <c r="PKQ22" s="93"/>
      <c r="PKR22" s="30"/>
      <c r="PKW22" s="93"/>
      <c r="PKX22" s="30"/>
      <c r="PLC22" s="93"/>
      <c r="PLD22" s="30"/>
      <c r="PLI22" s="93"/>
      <c r="PLJ22" s="30"/>
      <c r="PLO22" s="93"/>
      <c r="PLP22" s="30"/>
      <c r="PLU22" s="93"/>
      <c r="PLV22" s="30"/>
      <c r="PMA22" s="93"/>
      <c r="PMB22" s="30"/>
      <c r="PMG22" s="93"/>
      <c r="PMH22" s="30"/>
      <c r="PMM22" s="93"/>
      <c r="PMN22" s="30"/>
      <c r="PMS22" s="93"/>
      <c r="PMT22" s="30"/>
      <c r="PMY22" s="93"/>
      <c r="PMZ22" s="30"/>
      <c r="PNE22" s="93"/>
      <c r="PNF22" s="30"/>
      <c r="PNK22" s="93"/>
      <c r="PNL22" s="30"/>
      <c r="PNQ22" s="93"/>
      <c r="PNR22" s="30"/>
      <c r="PNW22" s="93"/>
      <c r="PNX22" s="30"/>
      <c r="POC22" s="93"/>
      <c r="POD22" s="30"/>
      <c r="POI22" s="93"/>
      <c r="POJ22" s="30"/>
      <c r="POO22" s="93"/>
      <c r="POP22" s="30"/>
      <c r="POU22" s="93"/>
      <c r="POV22" s="30"/>
      <c r="PPA22" s="93"/>
      <c r="PPB22" s="30"/>
      <c r="PPG22" s="93"/>
      <c r="PPH22" s="30"/>
      <c r="PPM22" s="93"/>
      <c r="PPN22" s="30"/>
      <c r="PPS22" s="93"/>
      <c r="PPT22" s="30"/>
      <c r="PPY22" s="93"/>
      <c r="PPZ22" s="30"/>
      <c r="PQE22" s="93"/>
      <c r="PQF22" s="30"/>
      <c r="PQK22" s="93"/>
      <c r="PQL22" s="30"/>
      <c r="PQQ22" s="93"/>
      <c r="PQR22" s="30"/>
      <c r="PQW22" s="93"/>
      <c r="PQX22" s="30"/>
      <c r="PRC22" s="93"/>
      <c r="PRD22" s="30"/>
      <c r="PRI22" s="93"/>
      <c r="PRJ22" s="30"/>
      <c r="PRO22" s="93"/>
      <c r="PRP22" s="30"/>
      <c r="PRU22" s="93"/>
      <c r="PRV22" s="30"/>
      <c r="PSA22" s="93"/>
      <c r="PSB22" s="30"/>
      <c r="PSG22" s="93"/>
      <c r="PSH22" s="30"/>
      <c r="PSM22" s="93"/>
      <c r="PSN22" s="30"/>
      <c r="PSS22" s="93"/>
      <c r="PST22" s="30"/>
      <c r="PSY22" s="93"/>
      <c r="PSZ22" s="30"/>
      <c r="PTE22" s="93"/>
      <c r="PTF22" s="30"/>
      <c r="PTK22" s="93"/>
      <c r="PTL22" s="30"/>
      <c r="PTQ22" s="93"/>
      <c r="PTR22" s="30"/>
      <c r="PTW22" s="93"/>
      <c r="PTX22" s="30"/>
      <c r="PUC22" s="93"/>
      <c r="PUD22" s="30"/>
      <c r="PUI22" s="93"/>
      <c r="PUJ22" s="30"/>
      <c r="PUO22" s="93"/>
      <c r="PUP22" s="30"/>
      <c r="PUU22" s="93"/>
      <c r="PUV22" s="30"/>
      <c r="PVA22" s="93"/>
      <c r="PVB22" s="30"/>
      <c r="PVG22" s="93"/>
      <c r="PVH22" s="30"/>
      <c r="PVM22" s="93"/>
      <c r="PVN22" s="30"/>
      <c r="PVS22" s="93"/>
      <c r="PVT22" s="30"/>
      <c r="PVY22" s="93"/>
      <c r="PVZ22" s="30"/>
      <c r="PWE22" s="93"/>
      <c r="PWF22" s="30"/>
      <c r="PWK22" s="93"/>
      <c r="PWL22" s="30"/>
      <c r="PWQ22" s="93"/>
      <c r="PWR22" s="30"/>
      <c r="PWW22" s="93"/>
      <c r="PWX22" s="30"/>
      <c r="PXC22" s="93"/>
      <c r="PXD22" s="30"/>
      <c r="PXI22" s="93"/>
      <c r="PXJ22" s="30"/>
      <c r="PXO22" s="93"/>
      <c r="PXP22" s="30"/>
      <c r="PXU22" s="93"/>
      <c r="PXV22" s="30"/>
      <c r="PYA22" s="93"/>
      <c r="PYB22" s="30"/>
      <c r="PYG22" s="93"/>
      <c r="PYH22" s="30"/>
      <c r="PYM22" s="93"/>
      <c r="PYN22" s="30"/>
      <c r="PYS22" s="93"/>
      <c r="PYT22" s="30"/>
      <c r="PYY22" s="93"/>
      <c r="PYZ22" s="30"/>
      <c r="PZE22" s="93"/>
      <c r="PZF22" s="30"/>
      <c r="PZK22" s="93"/>
      <c r="PZL22" s="30"/>
      <c r="PZQ22" s="93"/>
      <c r="PZR22" s="30"/>
      <c r="PZW22" s="93"/>
      <c r="PZX22" s="30"/>
      <c r="QAC22" s="93"/>
      <c r="QAD22" s="30"/>
      <c r="QAI22" s="93"/>
      <c r="QAJ22" s="30"/>
      <c r="QAO22" s="93"/>
      <c r="QAP22" s="30"/>
      <c r="QAU22" s="93"/>
      <c r="QAV22" s="30"/>
      <c r="QBA22" s="93"/>
      <c r="QBB22" s="30"/>
      <c r="QBG22" s="93"/>
      <c r="QBH22" s="30"/>
      <c r="QBM22" s="93"/>
      <c r="QBN22" s="30"/>
      <c r="QBS22" s="93"/>
      <c r="QBT22" s="30"/>
      <c r="QBY22" s="93"/>
      <c r="QBZ22" s="30"/>
      <c r="QCE22" s="93"/>
      <c r="QCF22" s="30"/>
      <c r="QCK22" s="93"/>
      <c r="QCL22" s="30"/>
      <c r="QCQ22" s="93"/>
      <c r="QCR22" s="30"/>
      <c r="QCW22" s="93"/>
      <c r="QCX22" s="30"/>
      <c r="QDC22" s="93"/>
      <c r="QDD22" s="30"/>
      <c r="QDI22" s="93"/>
      <c r="QDJ22" s="30"/>
      <c r="QDO22" s="93"/>
      <c r="QDP22" s="30"/>
      <c r="QDU22" s="93"/>
      <c r="QDV22" s="30"/>
      <c r="QEA22" s="93"/>
      <c r="QEB22" s="30"/>
      <c r="QEG22" s="93"/>
      <c r="QEH22" s="30"/>
      <c r="QEM22" s="93"/>
      <c r="QEN22" s="30"/>
      <c r="QES22" s="93"/>
      <c r="QET22" s="30"/>
      <c r="QEY22" s="93"/>
      <c r="QEZ22" s="30"/>
      <c r="QFE22" s="93"/>
      <c r="QFF22" s="30"/>
      <c r="QFK22" s="93"/>
      <c r="QFL22" s="30"/>
      <c r="QFQ22" s="93"/>
      <c r="QFR22" s="30"/>
      <c r="QFW22" s="93"/>
      <c r="QFX22" s="30"/>
      <c r="QGC22" s="93"/>
      <c r="QGD22" s="30"/>
      <c r="QGI22" s="93"/>
      <c r="QGJ22" s="30"/>
      <c r="QGO22" s="93"/>
      <c r="QGP22" s="30"/>
      <c r="QGU22" s="93"/>
      <c r="QGV22" s="30"/>
      <c r="QHA22" s="93"/>
      <c r="QHB22" s="30"/>
      <c r="QHG22" s="93"/>
      <c r="QHH22" s="30"/>
      <c r="QHM22" s="93"/>
      <c r="QHN22" s="30"/>
      <c r="QHS22" s="93"/>
      <c r="QHT22" s="30"/>
      <c r="QHY22" s="93"/>
      <c r="QHZ22" s="30"/>
      <c r="QIE22" s="93"/>
      <c r="QIF22" s="30"/>
      <c r="QIK22" s="93"/>
      <c r="QIL22" s="30"/>
      <c r="QIQ22" s="93"/>
      <c r="QIR22" s="30"/>
      <c r="QIW22" s="93"/>
      <c r="QIX22" s="30"/>
      <c r="QJC22" s="93"/>
      <c r="QJD22" s="30"/>
      <c r="QJI22" s="93"/>
      <c r="QJJ22" s="30"/>
      <c r="QJO22" s="93"/>
      <c r="QJP22" s="30"/>
      <c r="QJU22" s="93"/>
      <c r="QJV22" s="30"/>
      <c r="QKA22" s="93"/>
      <c r="QKB22" s="30"/>
      <c r="QKG22" s="93"/>
      <c r="QKH22" s="30"/>
      <c r="QKM22" s="93"/>
      <c r="QKN22" s="30"/>
      <c r="QKS22" s="93"/>
      <c r="QKT22" s="30"/>
      <c r="QKY22" s="93"/>
      <c r="QKZ22" s="30"/>
      <c r="QLE22" s="93"/>
      <c r="QLF22" s="30"/>
      <c r="QLK22" s="93"/>
      <c r="QLL22" s="30"/>
      <c r="QLQ22" s="93"/>
      <c r="QLR22" s="30"/>
      <c r="QLW22" s="93"/>
      <c r="QLX22" s="30"/>
      <c r="QMC22" s="93"/>
      <c r="QMD22" s="30"/>
      <c r="QMI22" s="93"/>
      <c r="QMJ22" s="30"/>
      <c r="QMO22" s="93"/>
      <c r="QMP22" s="30"/>
      <c r="QMU22" s="93"/>
      <c r="QMV22" s="30"/>
      <c r="QNA22" s="93"/>
      <c r="QNB22" s="30"/>
      <c r="QNG22" s="93"/>
      <c r="QNH22" s="30"/>
      <c r="QNM22" s="93"/>
      <c r="QNN22" s="30"/>
      <c r="QNS22" s="93"/>
      <c r="QNT22" s="30"/>
      <c r="QNY22" s="93"/>
      <c r="QNZ22" s="30"/>
      <c r="QOE22" s="93"/>
      <c r="QOF22" s="30"/>
      <c r="QOK22" s="93"/>
      <c r="QOL22" s="30"/>
      <c r="QOQ22" s="93"/>
      <c r="QOR22" s="30"/>
      <c r="QOW22" s="93"/>
      <c r="QOX22" s="30"/>
      <c r="QPC22" s="93"/>
      <c r="QPD22" s="30"/>
      <c r="QPI22" s="93"/>
      <c r="QPJ22" s="30"/>
      <c r="QPO22" s="93"/>
      <c r="QPP22" s="30"/>
      <c r="QPU22" s="93"/>
      <c r="QPV22" s="30"/>
      <c r="QQA22" s="93"/>
      <c r="QQB22" s="30"/>
      <c r="QQG22" s="93"/>
      <c r="QQH22" s="30"/>
      <c r="QQM22" s="93"/>
      <c r="QQN22" s="30"/>
      <c r="QQS22" s="93"/>
      <c r="QQT22" s="30"/>
      <c r="QQY22" s="93"/>
      <c r="QQZ22" s="30"/>
      <c r="QRE22" s="93"/>
      <c r="QRF22" s="30"/>
      <c r="QRK22" s="93"/>
      <c r="QRL22" s="30"/>
      <c r="QRQ22" s="93"/>
      <c r="QRR22" s="30"/>
      <c r="QRW22" s="93"/>
      <c r="QRX22" s="30"/>
      <c r="QSC22" s="93"/>
      <c r="QSD22" s="30"/>
      <c r="QSI22" s="93"/>
      <c r="QSJ22" s="30"/>
      <c r="QSO22" s="93"/>
      <c r="QSP22" s="30"/>
      <c r="QSU22" s="93"/>
      <c r="QSV22" s="30"/>
      <c r="QTA22" s="93"/>
      <c r="QTB22" s="30"/>
      <c r="QTG22" s="93"/>
      <c r="QTH22" s="30"/>
      <c r="QTM22" s="93"/>
      <c r="QTN22" s="30"/>
      <c r="QTS22" s="93"/>
      <c r="QTT22" s="30"/>
      <c r="QTY22" s="93"/>
      <c r="QTZ22" s="30"/>
      <c r="QUE22" s="93"/>
      <c r="QUF22" s="30"/>
      <c r="QUK22" s="93"/>
      <c r="QUL22" s="30"/>
      <c r="QUQ22" s="93"/>
      <c r="QUR22" s="30"/>
      <c r="QUW22" s="93"/>
      <c r="QUX22" s="30"/>
      <c r="QVC22" s="93"/>
      <c r="QVD22" s="30"/>
      <c r="QVI22" s="93"/>
      <c r="QVJ22" s="30"/>
      <c r="QVO22" s="93"/>
      <c r="QVP22" s="30"/>
      <c r="QVU22" s="93"/>
      <c r="QVV22" s="30"/>
      <c r="QWA22" s="93"/>
      <c r="QWB22" s="30"/>
      <c r="QWG22" s="93"/>
      <c r="QWH22" s="30"/>
      <c r="QWM22" s="93"/>
      <c r="QWN22" s="30"/>
      <c r="QWS22" s="93"/>
      <c r="QWT22" s="30"/>
      <c r="QWY22" s="93"/>
      <c r="QWZ22" s="30"/>
      <c r="QXE22" s="93"/>
      <c r="QXF22" s="30"/>
      <c r="QXK22" s="93"/>
      <c r="QXL22" s="30"/>
      <c r="QXQ22" s="93"/>
      <c r="QXR22" s="30"/>
      <c r="QXW22" s="93"/>
      <c r="QXX22" s="30"/>
      <c r="QYC22" s="93"/>
      <c r="QYD22" s="30"/>
      <c r="QYI22" s="93"/>
      <c r="QYJ22" s="30"/>
      <c r="QYO22" s="93"/>
      <c r="QYP22" s="30"/>
      <c r="QYU22" s="93"/>
      <c r="QYV22" s="30"/>
      <c r="QZA22" s="93"/>
      <c r="QZB22" s="30"/>
      <c r="QZG22" s="93"/>
      <c r="QZH22" s="30"/>
      <c r="QZM22" s="93"/>
      <c r="QZN22" s="30"/>
      <c r="QZS22" s="93"/>
      <c r="QZT22" s="30"/>
      <c r="QZY22" s="93"/>
      <c r="QZZ22" s="30"/>
      <c r="RAE22" s="93"/>
      <c r="RAF22" s="30"/>
      <c r="RAK22" s="93"/>
      <c r="RAL22" s="30"/>
      <c r="RAQ22" s="93"/>
      <c r="RAR22" s="30"/>
      <c r="RAW22" s="93"/>
      <c r="RAX22" s="30"/>
      <c r="RBC22" s="93"/>
      <c r="RBD22" s="30"/>
      <c r="RBI22" s="93"/>
      <c r="RBJ22" s="30"/>
      <c r="RBO22" s="93"/>
      <c r="RBP22" s="30"/>
      <c r="RBU22" s="93"/>
      <c r="RBV22" s="30"/>
      <c r="RCA22" s="93"/>
      <c r="RCB22" s="30"/>
      <c r="RCG22" s="93"/>
      <c r="RCH22" s="30"/>
      <c r="RCM22" s="93"/>
      <c r="RCN22" s="30"/>
      <c r="RCS22" s="93"/>
      <c r="RCT22" s="30"/>
      <c r="RCY22" s="93"/>
      <c r="RCZ22" s="30"/>
      <c r="RDE22" s="93"/>
      <c r="RDF22" s="30"/>
      <c r="RDK22" s="93"/>
      <c r="RDL22" s="30"/>
      <c r="RDQ22" s="93"/>
      <c r="RDR22" s="30"/>
      <c r="RDW22" s="93"/>
      <c r="RDX22" s="30"/>
      <c r="REC22" s="93"/>
      <c r="RED22" s="30"/>
      <c r="REI22" s="93"/>
      <c r="REJ22" s="30"/>
      <c r="REO22" s="93"/>
      <c r="REP22" s="30"/>
      <c r="REU22" s="93"/>
      <c r="REV22" s="30"/>
      <c r="RFA22" s="93"/>
      <c r="RFB22" s="30"/>
      <c r="RFG22" s="93"/>
      <c r="RFH22" s="30"/>
      <c r="RFM22" s="93"/>
      <c r="RFN22" s="30"/>
      <c r="RFS22" s="93"/>
      <c r="RFT22" s="30"/>
      <c r="RFY22" s="93"/>
      <c r="RFZ22" s="30"/>
      <c r="RGE22" s="93"/>
      <c r="RGF22" s="30"/>
      <c r="RGK22" s="93"/>
      <c r="RGL22" s="30"/>
      <c r="RGQ22" s="93"/>
      <c r="RGR22" s="30"/>
      <c r="RGW22" s="93"/>
      <c r="RGX22" s="30"/>
      <c r="RHC22" s="93"/>
      <c r="RHD22" s="30"/>
      <c r="RHI22" s="93"/>
      <c r="RHJ22" s="30"/>
      <c r="RHO22" s="93"/>
      <c r="RHP22" s="30"/>
      <c r="RHU22" s="93"/>
      <c r="RHV22" s="30"/>
      <c r="RIA22" s="93"/>
      <c r="RIB22" s="30"/>
      <c r="RIG22" s="93"/>
      <c r="RIH22" s="30"/>
      <c r="RIM22" s="93"/>
      <c r="RIN22" s="30"/>
      <c r="RIS22" s="93"/>
      <c r="RIT22" s="30"/>
      <c r="RIY22" s="93"/>
      <c r="RIZ22" s="30"/>
      <c r="RJE22" s="93"/>
      <c r="RJF22" s="30"/>
      <c r="RJK22" s="93"/>
      <c r="RJL22" s="30"/>
      <c r="RJQ22" s="93"/>
      <c r="RJR22" s="30"/>
      <c r="RJW22" s="93"/>
      <c r="RJX22" s="30"/>
      <c r="RKC22" s="93"/>
      <c r="RKD22" s="30"/>
      <c r="RKI22" s="93"/>
      <c r="RKJ22" s="30"/>
      <c r="RKO22" s="93"/>
      <c r="RKP22" s="30"/>
      <c r="RKU22" s="93"/>
      <c r="RKV22" s="30"/>
      <c r="RLA22" s="93"/>
      <c r="RLB22" s="30"/>
      <c r="RLG22" s="93"/>
      <c r="RLH22" s="30"/>
      <c r="RLM22" s="93"/>
      <c r="RLN22" s="30"/>
      <c r="RLS22" s="93"/>
      <c r="RLT22" s="30"/>
      <c r="RLY22" s="93"/>
      <c r="RLZ22" s="30"/>
      <c r="RME22" s="93"/>
      <c r="RMF22" s="30"/>
      <c r="RMK22" s="93"/>
      <c r="RML22" s="30"/>
      <c r="RMQ22" s="93"/>
      <c r="RMR22" s="30"/>
      <c r="RMW22" s="93"/>
      <c r="RMX22" s="30"/>
      <c r="RNC22" s="93"/>
      <c r="RND22" s="30"/>
      <c r="RNI22" s="93"/>
      <c r="RNJ22" s="30"/>
      <c r="RNO22" s="93"/>
      <c r="RNP22" s="30"/>
      <c r="RNU22" s="93"/>
      <c r="RNV22" s="30"/>
      <c r="ROA22" s="93"/>
      <c r="ROB22" s="30"/>
      <c r="ROG22" s="93"/>
      <c r="ROH22" s="30"/>
      <c r="ROM22" s="93"/>
      <c r="RON22" s="30"/>
      <c r="ROS22" s="93"/>
      <c r="ROT22" s="30"/>
      <c r="ROY22" s="93"/>
      <c r="ROZ22" s="30"/>
      <c r="RPE22" s="93"/>
      <c r="RPF22" s="30"/>
      <c r="RPK22" s="93"/>
      <c r="RPL22" s="30"/>
      <c r="RPQ22" s="93"/>
      <c r="RPR22" s="30"/>
      <c r="RPW22" s="93"/>
      <c r="RPX22" s="30"/>
      <c r="RQC22" s="93"/>
      <c r="RQD22" s="30"/>
      <c r="RQI22" s="93"/>
      <c r="RQJ22" s="30"/>
      <c r="RQO22" s="93"/>
      <c r="RQP22" s="30"/>
      <c r="RQU22" s="93"/>
      <c r="RQV22" s="30"/>
      <c r="RRA22" s="93"/>
      <c r="RRB22" s="30"/>
      <c r="RRG22" s="93"/>
      <c r="RRH22" s="30"/>
      <c r="RRM22" s="93"/>
      <c r="RRN22" s="30"/>
      <c r="RRS22" s="93"/>
      <c r="RRT22" s="30"/>
      <c r="RRY22" s="93"/>
      <c r="RRZ22" s="30"/>
      <c r="RSE22" s="93"/>
      <c r="RSF22" s="30"/>
      <c r="RSK22" s="93"/>
      <c r="RSL22" s="30"/>
      <c r="RSQ22" s="93"/>
      <c r="RSR22" s="30"/>
      <c r="RSW22" s="93"/>
      <c r="RSX22" s="30"/>
      <c r="RTC22" s="93"/>
      <c r="RTD22" s="30"/>
      <c r="RTI22" s="93"/>
      <c r="RTJ22" s="30"/>
      <c r="RTO22" s="93"/>
      <c r="RTP22" s="30"/>
      <c r="RTU22" s="93"/>
      <c r="RTV22" s="30"/>
      <c r="RUA22" s="93"/>
      <c r="RUB22" s="30"/>
      <c r="RUG22" s="93"/>
      <c r="RUH22" s="30"/>
      <c r="RUM22" s="93"/>
      <c r="RUN22" s="30"/>
      <c r="RUS22" s="93"/>
      <c r="RUT22" s="30"/>
      <c r="RUY22" s="93"/>
      <c r="RUZ22" s="30"/>
      <c r="RVE22" s="93"/>
      <c r="RVF22" s="30"/>
      <c r="RVK22" s="93"/>
      <c r="RVL22" s="30"/>
      <c r="RVQ22" s="93"/>
      <c r="RVR22" s="30"/>
      <c r="RVW22" s="93"/>
      <c r="RVX22" s="30"/>
      <c r="RWC22" s="93"/>
      <c r="RWD22" s="30"/>
      <c r="RWI22" s="93"/>
      <c r="RWJ22" s="30"/>
      <c r="RWO22" s="93"/>
      <c r="RWP22" s="30"/>
      <c r="RWU22" s="93"/>
      <c r="RWV22" s="30"/>
      <c r="RXA22" s="93"/>
      <c r="RXB22" s="30"/>
      <c r="RXG22" s="93"/>
      <c r="RXH22" s="30"/>
      <c r="RXM22" s="93"/>
      <c r="RXN22" s="30"/>
      <c r="RXS22" s="93"/>
      <c r="RXT22" s="30"/>
      <c r="RXY22" s="93"/>
      <c r="RXZ22" s="30"/>
      <c r="RYE22" s="93"/>
      <c r="RYF22" s="30"/>
      <c r="RYK22" s="93"/>
      <c r="RYL22" s="30"/>
      <c r="RYQ22" s="93"/>
      <c r="RYR22" s="30"/>
      <c r="RYW22" s="93"/>
      <c r="RYX22" s="30"/>
      <c r="RZC22" s="93"/>
      <c r="RZD22" s="30"/>
      <c r="RZI22" s="93"/>
      <c r="RZJ22" s="30"/>
      <c r="RZO22" s="93"/>
      <c r="RZP22" s="30"/>
      <c r="RZU22" s="93"/>
      <c r="RZV22" s="30"/>
      <c r="SAA22" s="93"/>
      <c r="SAB22" s="30"/>
      <c r="SAG22" s="93"/>
      <c r="SAH22" s="30"/>
      <c r="SAM22" s="93"/>
      <c r="SAN22" s="30"/>
      <c r="SAS22" s="93"/>
      <c r="SAT22" s="30"/>
      <c r="SAY22" s="93"/>
      <c r="SAZ22" s="30"/>
      <c r="SBE22" s="93"/>
      <c r="SBF22" s="30"/>
      <c r="SBK22" s="93"/>
      <c r="SBL22" s="30"/>
      <c r="SBQ22" s="93"/>
      <c r="SBR22" s="30"/>
      <c r="SBW22" s="93"/>
      <c r="SBX22" s="30"/>
      <c r="SCC22" s="93"/>
      <c r="SCD22" s="30"/>
      <c r="SCI22" s="93"/>
      <c r="SCJ22" s="30"/>
      <c r="SCO22" s="93"/>
      <c r="SCP22" s="30"/>
      <c r="SCU22" s="93"/>
      <c r="SCV22" s="30"/>
      <c r="SDA22" s="93"/>
      <c r="SDB22" s="30"/>
      <c r="SDG22" s="93"/>
      <c r="SDH22" s="30"/>
      <c r="SDM22" s="93"/>
      <c r="SDN22" s="30"/>
      <c r="SDS22" s="93"/>
      <c r="SDT22" s="30"/>
      <c r="SDY22" s="93"/>
      <c r="SDZ22" s="30"/>
      <c r="SEE22" s="93"/>
      <c r="SEF22" s="30"/>
      <c r="SEK22" s="93"/>
      <c r="SEL22" s="30"/>
      <c r="SEQ22" s="93"/>
      <c r="SER22" s="30"/>
      <c r="SEW22" s="93"/>
      <c r="SEX22" s="30"/>
      <c r="SFC22" s="93"/>
      <c r="SFD22" s="30"/>
      <c r="SFI22" s="93"/>
      <c r="SFJ22" s="30"/>
      <c r="SFO22" s="93"/>
      <c r="SFP22" s="30"/>
      <c r="SFU22" s="93"/>
      <c r="SFV22" s="30"/>
      <c r="SGA22" s="93"/>
      <c r="SGB22" s="30"/>
      <c r="SGG22" s="93"/>
      <c r="SGH22" s="30"/>
      <c r="SGM22" s="93"/>
      <c r="SGN22" s="30"/>
      <c r="SGS22" s="93"/>
      <c r="SGT22" s="30"/>
      <c r="SGY22" s="93"/>
      <c r="SGZ22" s="30"/>
      <c r="SHE22" s="93"/>
      <c r="SHF22" s="30"/>
      <c r="SHK22" s="93"/>
      <c r="SHL22" s="30"/>
      <c r="SHQ22" s="93"/>
      <c r="SHR22" s="30"/>
      <c r="SHW22" s="93"/>
      <c r="SHX22" s="30"/>
      <c r="SIC22" s="93"/>
      <c r="SID22" s="30"/>
      <c r="SII22" s="93"/>
      <c r="SIJ22" s="30"/>
      <c r="SIO22" s="93"/>
      <c r="SIP22" s="30"/>
      <c r="SIU22" s="93"/>
      <c r="SIV22" s="30"/>
      <c r="SJA22" s="93"/>
      <c r="SJB22" s="30"/>
      <c r="SJG22" s="93"/>
      <c r="SJH22" s="30"/>
      <c r="SJM22" s="93"/>
      <c r="SJN22" s="30"/>
      <c r="SJS22" s="93"/>
      <c r="SJT22" s="30"/>
      <c r="SJY22" s="93"/>
      <c r="SJZ22" s="30"/>
      <c r="SKE22" s="93"/>
      <c r="SKF22" s="30"/>
      <c r="SKK22" s="93"/>
      <c r="SKL22" s="30"/>
      <c r="SKQ22" s="93"/>
      <c r="SKR22" s="30"/>
      <c r="SKW22" s="93"/>
      <c r="SKX22" s="30"/>
      <c r="SLC22" s="93"/>
      <c r="SLD22" s="30"/>
      <c r="SLI22" s="93"/>
      <c r="SLJ22" s="30"/>
      <c r="SLO22" s="93"/>
      <c r="SLP22" s="30"/>
      <c r="SLU22" s="93"/>
      <c r="SLV22" s="30"/>
      <c r="SMA22" s="93"/>
      <c r="SMB22" s="30"/>
      <c r="SMG22" s="93"/>
      <c r="SMH22" s="30"/>
      <c r="SMM22" s="93"/>
      <c r="SMN22" s="30"/>
      <c r="SMS22" s="93"/>
      <c r="SMT22" s="30"/>
      <c r="SMY22" s="93"/>
      <c r="SMZ22" s="30"/>
      <c r="SNE22" s="93"/>
      <c r="SNF22" s="30"/>
      <c r="SNK22" s="93"/>
      <c r="SNL22" s="30"/>
      <c r="SNQ22" s="93"/>
      <c r="SNR22" s="30"/>
      <c r="SNW22" s="93"/>
      <c r="SNX22" s="30"/>
      <c r="SOC22" s="93"/>
      <c r="SOD22" s="30"/>
      <c r="SOI22" s="93"/>
      <c r="SOJ22" s="30"/>
      <c r="SOO22" s="93"/>
      <c r="SOP22" s="30"/>
      <c r="SOU22" s="93"/>
      <c r="SOV22" s="30"/>
      <c r="SPA22" s="93"/>
      <c r="SPB22" s="30"/>
      <c r="SPG22" s="93"/>
      <c r="SPH22" s="30"/>
      <c r="SPM22" s="93"/>
      <c r="SPN22" s="30"/>
      <c r="SPS22" s="93"/>
      <c r="SPT22" s="30"/>
      <c r="SPY22" s="93"/>
      <c r="SPZ22" s="30"/>
      <c r="SQE22" s="93"/>
      <c r="SQF22" s="30"/>
      <c r="SQK22" s="93"/>
      <c r="SQL22" s="30"/>
      <c r="SQQ22" s="93"/>
      <c r="SQR22" s="30"/>
      <c r="SQW22" s="93"/>
      <c r="SQX22" s="30"/>
      <c r="SRC22" s="93"/>
      <c r="SRD22" s="30"/>
      <c r="SRI22" s="93"/>
      <c r="SRJ22" s="30"/>
      <c r="SRO22" s="93"/>
      <c r="SRP22" s="30"/>
      <c r="SRU22" s="93"/>
      <c r="SRV22" s="30"/>
      <c r="SSA22" s="93"/>
      <c r="SSB22" s="30"/>
      <c r="SSG22" s="93"/>
      <c r="SSH22" s="30"/>
      <c r="SSM22" s="93"/>
      <c r="SSN22" s="30"/>
      <c r="SSS22" s="93"/>
      <c r="SST22" s="30"/>
      <c r="SSY22" s="93"/>
      <c r="SSZ22" s="30"/>
      <c r="STE22" s="93"/>
      <c r="STF22" s="30"/>
      <c r="STK22" s="93"/>
      <c r="STL22" s="30"/>
      <c r="STQ22" s="93"/>
      <c r="STR22" s="30"/>
      <c r="STW22" s="93"/>
      <c r="STX22" s="30"/>
      <c r="SUC22" s="93"/>
      <c r="SUD22" s="30"/>
      <c r="SUI22" s="93"/>
      <c r="SUJ22" s="30"/>
      <c r="SUO22" s="93"/>
      <c r="SUP22" s="30"/>
      <c r="SUU22" s="93"/>
      <c r="SUV22" s="30"/>
      <c r="SVA22" s="93"/>
      <c r="SVB22" s="30"/>
      <c r="SVG22" s="93"/>
      <c r="SVH22" s="30"/>
      <c r="SVM22" s="93"/>
      <c r="SVN22" s="30"/>
      <c r="SVS22" s="93"/>
      <c r="SVT22" s="30"/>
      <c r="SVY22" s="93"/>
      <c r="SVZ22" s="30"/>
      <c r="SWE22" s="93"/>
      <c r="SWF22" s="30"/>
      <c r="SWK22" s="93"/>
      <c r="SWL22" s="30"/>
      <c r="SWQ22" s="93"/>
      <c r="SWR22" s="30"/>
      <c r="SWW22" s="93"/>
      <c r="SWX22" s="30"/>
      <c r="SXC22" s="93"/>
      <c r="SXD22" s="30"/>
      <c r="SXI22" s="93"/>
      <c r="SXJ22" s="30"/>
      <c r="SXO22" s="93"/>
      <c r="SXP22" s="30"/>
      <c r="SXU22" s="93"/>
      <c r="SXV22" s="30"/>
      <c r="SYA22" s="93"/>
      <c r="SYB22" s="30"/>
      <c r="SYG22" s="93"/>
      <c r="SYH22" s="30"/>
      <c r="SYM22" s="93"/>
      <c r="SYN22" s="30"/>
      <c r="SYS22" s="93"/>
      <c r="SYT22" s="30"/>
      <c r="SYY22" s="93"/>
      <c r="SYZ22" s="30"/>
      <c r="SZE22" s="93"/>
      <c r="SZF22" s="30"/>
      <c r="SZK22" s="93"/>
      <c r="SZL22" s="30"/>
      <c r="SZQ22" s="93"/>
      <c r="SZR22" s="30"/>
      <c r="SZW22" s="93"/>
      <c r="SZX22" s="30"/>
      <c r="TAC22" s="93"/>
      <c r="TAD22" s="30"/>
      <c r="TAI22" s="93"/>
      <c r="TAJ22" s="30"/>
      <c r="TAO22" s="93"/>
      <c r="TAP22" s="30"/>
      <c r="TAU22" s="93"/>
      <c r="TAV22" s="30"/>
      <c r="TBA22" s="93"/>
      <c r="TBB22" s="30"/>
      <c r="TBG22" s="93"/>
      <c r="TBH22" s="30"/>
      <c r="TBM22" s="93"/>
      <c r="TBN22" s="30"/>
      <c r="TBS22" s="93"/>
      <c r="TBT22" s="30"/>
      <c r="TBY22" s="93"/>
      <c r="TBZ22" s="30"/>
      <c r="TCE22" s="93"/>
      <c r="TCF22" s="30"/>
      <c r="TCK22" s="93"/>
      <c r="TCL22" s="30"/>
      <c r="TCQ22" s="93"/>
      <c r="TCR22" s="30"/>
      <c r="TCW22" s="93"/>
      <c r="TCX22" s="30"/>
      <c r="TDC22" s="93"/>
      <c r="TDD22" s="30"/>
      <c r="TDI22" s="93"/>
      <c r="TDJ22" s="30"/>
      <c r="TDO22" s="93"/>
      <c r="TDP22" s="30"/>
      <c r="TDU22" s="93"/>
      <c r="TDV22" s="30"/>
      <c r="TEA22" s="93"/>
      <c r="TEB22" s="30"/>
      <c r="TEG22" s="93"/>
      <c r="TEH22" s="30"/>
      <c r="TEM22" s="93"/>
      <c r="TEN22" s="30"/>
      <c r="TES22" s="93"/>
      <c r="TET22" s="30"/>
      <c r="TEY22" s="93"/>
      <c r="TEZ22" s="30"/>
      <c r="TFE22" s="93"/>
      <c r="TFF22" s="30"/>
      <c r="TFK22" s="93"/>
      <c r="TFL22" s="30"/>
      <c r="TFQ22" s="93"/>
      <c r="TFR22" s="30"/>
      <c r="TFW22" s="93"/>
      <c r="TFX22" s="30"/>
      <c r="TGC22" s="93"/>
      <c r="TGD22" s="30"/>
      <c r="TGI22" s="93"/>
      <c r="TGJ22" s="30"/>
      <c r="TGO22" s="93"/>
      <c r="TGP22" s="30"/>
      <c r="TGU22" s="93"/>
      <c r="TGV22" s="30"/>
      <c r="THA22" s="93"/>
      <c r="THB22" s="30"/>
      <c r="THG22" s="93"/>
      <c r="THH22" s="30"/>
      <c r="THM22" s="93"/>
      <c r="THN22" s="30"/>
      <c r="THS22" s="93"/>
      <c r="THT22" s="30"/>
      <c r="THY22" s="93"/>
      <c r="THZ22" s="30"/>
      <c r="TIE22" s="93"/>
      <c r="TIF22" s="30"/>
      <c r="TIK22" s="93"/>
      <c r="TIL22" s="30"/>
      <c r="TIQ22" s="93"/>
      <c r="TIR22" s="30"/>
      <c r="TIW22" s="93"/>
      <c r="TIX22" s="30"/>
      <c r="TJC22" s="93"/>
      <c r="TJD22" s="30"/>
      <c r="TJI22" s="93"/>
      <c r="TJJ22" s="30"/>
      <c r="TJO22" s="93"/>
      <c r="TJP22" s="30"/>
      <c r="TJU22" s="93"/>
      <c r="TJV22" s="30"/>
      <c r="TKA22" s="93"/>
      <c r="TKB22" s="30"/>
      <c r="TKG22" s="93"/>
      <c r="TKH22" s="30"/>
      <c r="TKM22" s="93"/>
      <c r="TKN22" s="30"/>
      <c r="TKS22" s="93"/>
      <c r="TKT22" s="30"/>
      <c r="TKY22" s="93"/>
      <c r="TKZ22" s="30"/>
      <c r="TLE22" s="93"/>
      <c r="TLF22" s="30"/>
      <c r="TLK22" s="93"/>
      <c r="TLL22" s="30"/>
      <c r="TLQ22" s="93"/>
      <c r="TLR22" s="30"/>
      <c r="TLW22" s="93"/>
      <c r="TLX22" s="30"/>
      <c r="TMC22" s="93"/>
      <c r="TMD22" s="30"/>
      <c r="TMI22" s="93"/>
      <c r="TMJ22" s="30"/>
      <c r="TMO22" s="93"/>
      <c r="TMP22" s="30"/>
      <c r="TMU22" s="93"/>
      <c r="TMV22" s="30"/>
      <c r="TNA22" s="93"/>
      <c r="TNB22" s="30"/>
      <c r="TNG22" s="93"/>
      <c r="TNH22" s="30"/>
      <c r="TNM22" s="93"/>
      <c r="TNN22" s="30"/>
      <c r="TNS22" s="93"/>
      <c r="TNT22" s="30"/>
      <c r="TNY22" s="93"/>
      <c r="TNZ22" s="30"/>
      <c r="TOE22" s="93"/>
      <c r="TOF22" s="30"/>
      <c r="TOK22" s="93"/>
      <c r="TOL22" s="30"/>
      <c r="TOQ22" s="93"/>
      <c r="TOR22" s="30"/>
      <c r="TOW22" s="93"/>
      <c r="TOX22" s="30"/>
      <c r="TPC22" s="93"/>
      <c r="TPD22" s="30"/>
      <c r="TPI22" s="93"/>
      <c r="TPJ22" s="30"/>
      <c r="TPO22" s="93"/>
      <c r="TPP22" s="30"/>
      <c r="TPU22" s="93"/>
      <c r="TPV22" s="30"/>
      <c r="TQA22" s="93"/>
      <c r="TQB22" s="30"/>
      <c r="TQG22" s="93"/>
      <c r="TQH22" s="30"/>
      <c r="TQM22" s="93"/>
      <c r="TQN22" s="30"/>
      <c r="TQS22" s="93"/>
      <c r="TQT22" s="30"/>
      <c r="TQY22" s="93"/>
      <c r="TQZ22" s="30"/>
      <c r="TRE22" s="93"/>
      <c r="TRF22" s="30"/>
      <c r="TRK22" s="93"/>
      <c r="TRL22" s="30"/>
      <c r="TRQ22" s="93"/>
      <c r="TRR22" s="30"/>
      <c r="TRW22" s="93"/>
      <c r="TRX22" s="30"/>
      <c r="TSC22" s="93"/>
      <c r="TSD22" s="30"/>
      <c r="TSI22" s="93"/>
      <c r="TSJ22" s="30"/>
      <c r="TSO22" s="93"/>
      <c r="TSP22" s="30"/>
      <c r="TSU22" s="93"/>
      <c r="TSV22" s="30"/>
      <c r="TTA22" s="93"/>
      <c r="TTB22" s="30"/>
      <c r="TTG22" s="93"/>
      <c r="TTH22" s="30"/>
      <c r="TTM22" s="93"/>
      <c r="TTN22" s="30"/>
      <c r="TTS22" s="93"/>
      <c r="TTT22" s="30"/>
      <c r="TTY22" s="93"/>
      <c r="TTZ22" s="30"/>
      <c r="TUE22" s="93"/>
      <c r="TUF22" s="30"/>
      <c r="TUK22" s="93"/>
      <c r="TUL22" s="30"/>
      <c r="TUQ22" s="93"/>
      <c r="TUR22" s="30"/>
      <c r="TUW22" s="93"/>
      <c r="TUX22" s="30"/>
      <c r="TVC22" s="93"/>
      <c r="TVD22" s="30"/>
      <c r="TVI22" s="93"/>
      <c r="TVJ22" s="30"/>
      <c r="TVO22" s="93"/>
      <c r="TVP22" s="30"/>
      <c r="TVU22" s="93"/>
      <c r="TVV22" s="30"/>
      <c r="TWA22" s="93"/>
      <c r="TWB22" s="30"/>
      <c r="TWG22" s="93"/>
      <c r="TWH22" s="30"/>
      <c r="TWM22" s="93"/>
      <c r="TWN22" s="30"/>
      <c r="TWS22" s="93"/>
      <c r="TWT22" s="30"/>
      <c r="TWY22" s="93"/>
      <c r="TWZ22" s="30"/>
      <c r="TXE22" s="93"/>
      <c r="TXF22" s="30"/>
      <c r="TXK22" s="93"/>
      <c r="TXL22" s="30"/>
      <c r="TXQ22" s="93"/>
      <c r="TXR22" s="30"/>
      <c r="TXW22" s="93"/>
      <c r="TXX22" s="30"/>
      <c r="TYC22" s="93"/>
      <c r="TYD22" s="30"/>
      <c r="TYI22" s="93"/>
      <c r="TYJ22" s="30"/>
      <c r="TYO22" s="93"/>
      <c r="TYP22" s="30"/>
      <c r="TYU22" s="93"/>
      <c r="TYV22" s="30"/>
      <c r="TZA22" s="93"/>
      <c r="TZB22" s="30"/>
      <c r="TZG22" s="93"/>
      <c r="TZH22" s="30"/>
      <c r="TZM22" s="93"/>
      <c r="TZN22" s="30"/>
      <c r="TZS22" s="93"/>
      <c r="TZT22" s="30"/>
      <c r="TZY22" s="93"/>
      <c r="TZZ22" s="30"/>
      <c r="UAE22" s="93"/>
      <c r="UAF22" s="30"/>
      <c r="UAK22" s="93"/>
      <c r="UAL22" s="30"/>
      <c r="UAQ22" s="93"/>
      <c r="UAR22" s="30"/>
      <c r="UAW22" s="93"/>
      <c r="UAX22" s="30"/>
      <c r="UBC22" s="93"/>
      <c r="UBD22" s="30"/>
      <c r="UBI22" s="93"/>
      <c r="UBJ22" s="30"/>
      <c r="UBO22" s="93"/>
      <c r="UBP22" s="30"/>
      <c r="UBU22" s="93"/>
      <c r="UBV22" s="30"/>
      <c r="UCA22" s="93"/>
      <c r="UCB22" s="30"/>
      <c r="UCG22" s="93"/>
      <c r="UCH22" s="30"/>
      <c r="UCM22" s="93"/>
      <c r="UCN22" s="30"/>
      <c r="UCS22" s="93"/>
      <c r="UCT22" s="30"/>
      <c r="UCY22" s="93"/>
      <c r="UCZ22" s="30"/>
      <c r="UDE22" s="93"/>
      <c r="UDF22" s="30"/>
      <c r="UDK22" s="93"/>
      <c r="UDL22" s="30"/>
      <c r="UDQ22" s="93"/>
      <c r="UDR22" s="30"/>
      <c r="UDW22" s="93"/>
      <c r="UDX22" s="30"/>
      <c r="UEC22" s="93"/>
      <c r="UED22" s="30"/>
      <c r="UEI22" s="93"/>
      <c r="UEJ22" s="30"/>
      <c r="UEO22" s="93"/>
      <c r="UEP22" s="30"/>
      <c r="UEU22" s="93"/>
      <c r="UEV22" s="30"/>
      <c r="UFA22" s="93"/>
      <c r="UFB22" s="30"/>
      <c r="UFG22" s="93"/>
      <c r="UFH22" s="30"/>
      <c r="UFM22" s="93"/>
      <c r="UFN22" s="30"/>
      <c r="UFS22" s="93"/>
      <c r="UFT22" s="30"/>
      <c r="UFY22" s="93"/>
      <c r="UFZ22" s="30"/>
      <c r="UGE22" s="93"/>
      <c r="UGF22" s="30"/>
      <c r="UGK22" s="93"/>
      <c r="UGL22" s="30"/>
      <c r="UGQ22" s="93"/>
      <c r="UGR22" s="30"/>
      <c r="UGW22" s="93"/>
      <c r="UGX22" s="30"/>
      <c r="UHC22" s="93"/>
      <c r="UHD22" s="30"/>
      <c r="UHI22" s="93"/>
      <c r="UHJ22" s="30"/>
      <c r="UHO22" s="93"/>
      <c r="UHP22" s="30"/>
      <c r="UHU22" s="93"/>
      <c r="UHV22" s="30"/>
      <c r="UIA22" s="93"/>
      <c r="UIB22" s="30"/>
      <c r="UIG22" s="93"/>
      <c r="UIH22" s="30"/>
      <c r="UIM22" s="93"/>
      <c r="UIN22" s="30"/>
      <c r="UIS22" s="93"/>
      <c r="UIT22" s="30"/>
      <c r="UIY22" s="93"/>
      <c r="UIZ22" s="30"/>
      <c r="UJE22" s="93"/>
      <c r="UJF22" s="30"/>
      <c r="UJK22" s="93"/>
      <c r="UJL22" s="30"/>
      <c r="UJQ22" s="93"/>
      <c r="UJR22" s="30"/>
      <c r="UJW22" s="93"/>
      <c r="UJX22" s="30"/>
      <c r="UKC22" s="93"/>
      <c r="UKD22" s="30"/>
      <c r="UKI22" s="93"/>
      <c r="UKJ22" s="30"/>
      <c r="UKO22" s="93"/>
      <c r="UKP22" s="30"/>
      <c r="UKU22" s="93"/>
      <c r="UKV22" s="30"/>
      <c r="ULA22" s="93"/>
      <c r="ULB22" s="30"/>
      <c r="ULG22" s="93"/>
      <c r="ULH22" s="30"/>
      <c r="ULM22" s="93"/>
      <c r="ULN22" s="30"/>
      <c r="ULS22" s="93"/>
      <c r="ULT22" s="30"/>
      <c r="ULY22" s="93"/>
      <c r="ULZ22" s="30"/>
      <c r="UME22" s="93"/>
      <c r="UMF22" s="30"/>
      <c r="UMK22" s="93"/>
      <c r="UML22" s="30"/>
      <c r="UMQ22" s="93"/>
      <c r="UMR22" s="30"/>
      <c r="UMW22" s="93"/>
      <c r="UMX22" s="30"/>
      <c r="UNC22" s="93"/>
      <c r="UND22" s="30"/>
      <c r="UNI22" s="93"/>
      <c r="UNJ22" s="30"/>
      <c r="UNO22" s="93"/>
      <c r="UNP22" s="30"/>
      <c r="UNU22" s="93"/>
      <c r="UNV22" s="30"/>
      <c r="UOA22" s="93"/>
      <c r="UOB22" s="30"/>
      <c r="UOG22" s="93"/>
      <c r="UOH22" s="30"/>
      <c r="UOM22" s="93"/>
      <c r="UON22" s="30"/>
      <c r="UOS22" s="93"/>
      <c r="UOT22" s="30"/>
      <c r="UOY22" s="93"/>
      <c r="UOZ22" s="30"/>
      <c r="UPE22" s="93"/>
      <c r="UPF22" s="30"/>
      <c r="UPK22" s="93"/>
      <c r="UPL22" s="30"/>
      <c r="UPQ22" s="93"/>
      <c r="UPR22" s="30"/>
      <c r="UPW22" s="93"/>
      <c r="UPX22" s="30"/>
      <c r="UQC22" s="93"/>
      <c r="UQD22" s="30"/>
      <c r="UQI22" s="93"/>
      <c r="UQJ22" s="30"/>
      <c r="UQO22" s="93"/>
      <c r="UQP22" s="30"/>
      <c r="UQU22" s="93"/>
      <c r="UQV22" s="30"/>
      <c r="URA22" s="93"/>
      <c r="URB22" s="30"/>
      <c r="URG22" s="93"/>
      <c r="URH22" s="30"/>
      <c r="URM22" s="93"/>
      <c r="URN22" s="30"/>
      <c r="URS22" s="93"/>
      <c r="URT22" s="30"/>
      <c r="URY22" s="93"/>
      <c r="URZ22" s="30"/>
      <c r="USE22" s="93"/>
      <c r="USF22" s="30"/>
      <c r="USK22" s="93"/>
      <c r="USL22" s="30"/>
      <c r="USQ22" s="93"/>
      <c r="USR22" s="30"/>
      <c r="USW22" s="93"/>
      <c r="USX22" s="30"/>
      <c r="UTC22" s="93"/>
      <c r="UTD22" s="30"/>
      <c r="UTI22" s="93"/>
      <c r="UTJ22" s="30"/>
      <c r="UTO22" s="93"/>
      <c r="UTP22" s="30"/>
      <c r="UTU22" s="93"/>
      <c r="UTV22" s="30"/>
      <c r="UUA22" s="93"/>
      <c r="UUB22" s="30"/>
      <c r="UUG22" s="93"/>
      <c r="UUH22" s="30"/>
      <c r="UUM22" s="93"/>
      <c r="UUN22" s="30"/>
      <c r="UUS22" s="93"/>
      <c r="UUT22" s="30"/>
      <c r="UUY22" s="93"/>
      <c r="UUZ22" s="30"/>
      <c r="UVE22" s="93"/>
      <c r="UVF22" s="30"/>
      <c r="UVK22" s="93"/>
      <c r="UVL22" s="30"/>
      <c r="UVQ22" s="93"/>
      <c r="UVR22" s="30"/>
      <c r="UVW22" s="93"/>
      <c r="UVX22" s="30"/>
      <c r="UWC22" s="93"/>
      <c r="UWD22" s="30"/>
      <c r="UWI22" s="93"/>
      <c r="UWJ22" s="30"/>
      <c r="UWO22" s="93"/>
      <c r="UWP22" s="30"/>
      <c r="UWU22" s="93"/>
      <c r="UWV22" s="30"/>
      <c r="UXA22" s="93"/>
      <c r="UXB22" s="30"/>
      <c r="UXG22" s="93"/>
      <c r="UXH22" s="30"/>
      <c r="UXM22" s="93"/>
      <c r="UXN22" s="30"/>
      <c r="UXS22" s="93"/>
      <c r="UXT22" s="30"/>
      <c r="UXY22" s="93"/>
      <c r="UXZ22" s="30"/>
      <c r="UYE22" s="93"/>
      <c r="UYF22" s="30"/>
      <c r="UYK22" s="93"/>
      <c r="UYL22" s="30"/>
      <c r="UYQ22" s="93"/>
      <c r="UYR22" s="30"/>
      <c r="UYW22" s="93"/>
      <c r="UYX22" s="30"/>
      <c r="UZC22" s="93"/>
      <c r="UZD22" s="30"/>
      <c r="UZI22" s="93"/>
      <c r="UZJ22" s="30"/>
      <c r="UZO22" s="93"/>
      <c r="UZP22" s="30"/>
      <c r="UZU22" s="93"/>
      <c r="UZV22" s="30"/>
      <c r="VAA22" s="93"/>
      <c r="VAB22" s="30"/>
      <c r="VAG22" s="93"/>
      <c r="VAH22" s="30"/>
      <c r="VAM22" s="93"/>
      <c r="VAN22" s="30"/>
      <c r="VAS22" s="93"/>
      <c r="VAT22" s="30"/>
      <c r="VAY22" s="93"/>
      <c r="VAZ22" s="30"/>
      <c r="VBE22" s="93"/>
      <c r="VBF22" s="30"/>
      <c r="VBK22" s="93"/>
      <c r="VBL22" s="30"/>
      <c r="VBQ22" s="93"/>
      <c r="VBR22" s="30"/>
      <c r="VBW22" s="93"/>
      <c r="VBX22" s="30"/>
      <c r="VCC22" s="93"/>
      <c r="VCD22" s="30"/>
      <c r="VCI22" s="93"/>
      <c r="VCJ22" s="30"/>
      <c r="VCO22" s="93"/>
      <c r="VCP22" s="30"/>
      <c r="VCU22" s="93"/>
      <c r="VCV22" s="30"/>
      <c r="VDA22" s="93"/>
      <c r="VDB22" s="30"/>
      <c r="VDG22" s="93"/>
      <c r="VDH22" s="30"/>
      <c r="VDM22" s="93"/>
      <c r="VDN22" s="30"/>
      <c r="VDS22" s="93"/>
      <c r="VDT22" s="30"/>
      <c r="VDY22" s="93"/>
      <c r="VDZ22" s="30"/>
      <c r="VEE22" s="93"/>
      <c r="VEF22" s="30"/>
      <c r="VEK22" s="93"/>
      <c r="VEL22" s="30"/>
      <c r="VEQ22" s="93"/>
      <c r="VER22" s="30"/>
      <c r="VEW22" s="93"/>
      <c r="VEX22" s="30"/>
      <c r="VFC22" s="93"/>
      <c r="VFD22" s="30"/>
      <c r="VFI22" s="93"/>
      <c r="VFJ22" s="30"/>
      <c r="VFO22" s="93"/>
      <c r="VFP22" s="30"/>
      <c r="VFU22" s="93"/>
      <c r="VFV22" s="30"/>
      <c r="VGA22" s="93"/>
      <c r="VGB22" s="30"/>
      <c r="VGG22" s="93"/>
      <c r="VGH22" s="30"/>
      <c r="VGM22" s="93"/>
      <c r="VGN22" s="30"/>
      <c r="VGS22" s="93"/>
      <c r="VGT22" s="30"/>
      <c r="VGY22" s="93"/>
      <c r="VGZ22" s="30"/>
      <c r="VHE22" s="93"/>
      <c r="VHF22" s="30"/>
      <c r="VHK22" s="93"/>
      <c r="VHL22" s="30"/>
      <c r="VHQ22" s="93"/>
      <c r="VHR22" s="30"/>
      <c r="VHW22" s="93"/>
      <c r="VHX22" s="30"/>
      <c r="VIC22" s="93"/>
      <c r="VID22" s="30"/>
      <c r="VII22" s="93"/>
      <c r="VIJ22" s="30"/>
      <c r="VIO22" s="93"/>
      <c r="VIP22" s="30"/>
      <c r="VIU22" s="93"/>
      <c r="VIV22" s="30"/>
      <c r="VJA22" s="93"/>
      <c r="VJB22" s="30"/>
      <c r="VJG22" s="93"/>
      <c r="VJH22" s="30"/>
      <c r="VJM22" s="93"/>
      <c r="VJN22" s="30"/>
      <c r="VJS22" s="93"/>
      <c r="VJT22" s="30"/>
      <c r="VJY22" s="93"/>
      <c r="VJZ22" s="30"/>
      <c r="VKE22" s="93"/>
      <c r="VKF22" s="30"/>
      <c r="VKK22" s="93"/>
      <c r="VKL22" s="30"/>
      <c r="VKQ22" s="93"/>
      <c r="VKR22" s="30"/>
      <c r="VKW22" s="93"/>
      <c r="VKX22" s="30"/>
      <c r="VLC22" s="93"/>
      <c r="VLD22" s="30"/>
      <c r="VLI22" s="93"/>
      <c r="VLJ22" s="30"/>
      <c r="VLO22" s="93"/>
      <c r="VLP22" s="30"/>
      <c r="VLU22" s="93"/>
      <c r="VLV22" s="30"/>
      <c r="VMA22" s="93"/>
      <c r="VMB22" s="30"/>
      <c r="VMG22" s="93"/>
      <c r="VMH22" s="30"/>
      <c r="VMM22" s="93"/>
      <c r="VMN22" s="30"/>
      <c r="VMS22" s="93"/>
      <c r="VMT22" s="30"/>
      <c r="VMY22" s="93"/>
      <c r="VMZ22" s="30"/>
      <c r="VNE22" s="93"/>
      <c r="VNF22" s="30"/>
      <c r="VNK22" s="93"/>
      <c r="VNL22" s="30"/>
      <c r="VNQ22" s="93"/>
      <c r="VNR22" s="30"/>
      <c r="VNW22" s="93"/>
      <c r="VNX22" s="30"/>
      <c r="VOC22" s="93"/>
      <c r="VOD22" s="30"/>
      <c r="VOI22" s="93"/>
      <c r="VOJ22" s="30"/>
      <c r="VOO22" s="93"/>
      <c r="VOP22" s="30"/>
      <c r="VOU22" s="93"/>
      <c r="VOV22" s="30"/>
      <c r="VPA22" s="93"/>
      <c r="VPB22" s="30"/>
      <c r="VPG22" s="93"/>
      <c r="VPH22" s="30"/>
      <c r="VPM22" s="93"/>
      <c r="VPN22" s="30"/>
      <c r="VPS22" s="93"/>
      <c r="VPT22" s="30"/>
      <c r="VPY22" s="93"/>
      <c r="VPZ22" s="30"/>
      <c r="VQE22" s="93"/>
      <c r="VQF22" s="30"/>
      <c r="VQK22" s="93"/>
      <c r="VQL22" s="30"/>
      <c r="VQQ22" s="93"/>
      <c r="VQR22" s="30"/>
      <c r="VQW22" s="93"/>
      <c r="VQX22" s="30"/>
      <c r="VRC22" s="93"/>
      <c r="VRD22" s="30"/>
      <c r="VRI22" s="93"/>
      <c r="VRJ22" s="30"/>
      <c r="VRO22" s="93"/>
      <c r="VRP22" s="30"/>
      <c r="VRU22" s="93"/>
      <c r="VRV22" s="30"/>
      <c r="VSA22" s="93"/>
      <c r="VSB22" s="30"/>
      <c r="VSG22" s="93"/>
      <c r="VSH22" s="30"/>
      <c r="VSM22" s="93"/>
      <c r="VSN22" s="30"/>
      <c r="VSS22" s="93"/>
      <c r="VST22" s="30"/>
      <c r="VSY22" s="93"/>
      <c r="VSZ22" s="30"/>
      <c r="VTE22" s="93"/>
      <c r="VTF22" s="30"/>
      <c r="VTK22" s="93"/>
      <c r="VTL22" s="30"/>
      <c r="VTQ22" s="93"/>
      <c r="VTR22" s="30"/>
      <c r="VTW22" s="93"/>
      <c r="VTX22" s="30"/>
      <c r="VUC22" s="93"/>
      <c r="VUD22" s="30"/>
      <c r="VUI22" s="93"/>
      <c r="VUJ22" s="30"/>
      <c r="VUO22" s="93"/>
      <c r="VUP22" s="30"/>
      <c r="VUU22" s="93"/>
      <c r="VUV22" s="30"/>
      <c r="VVA22" s="93"/>
      <c r="VVB22" s="30"/>
      <c r="VVG22" s="93"/>
      <c r="VVH22" s="30"/>
      <c r="VVM22" s="93"/>
      <c r="VVN22" s="30"/>
      <c r="VVS22" s="93"/>
      <c r="VVT22" s="30"/>
      <c r="VVY22" s="93"/>
      <c r="VVZ22" s="30"/>
      <c r="VWE22" s="93"/>
      <c r="VWF22" s="30"/>
      <c r="VWK22" s="93"/>
      <c r="VWL22" s="30"/>
      <c r="VWQ22" s="93"/>
      <c r="VWR22" s="30"/>
      <c r="VWW22" s="93"/>
      <c r="VWX22" s="30"/>
      <c r="VXC22" s="93"/>
      <c r="VXD22" s="30"/>
      <c r="VXI22" s="93"/>
      <c r="VXJ22" s="30"/>
      <c r="VXO22" s="93"/>
      <c r="VXP22" s="30"/>
      <c r="VXU22" s="93"/>
      <c r="VXV22" s="30"/>
      <c r="VYA22" s="93"/>
      <c r="VYB22" s="30"/>
      <c r="VYG22" s="93"/>
      <c r="VYH22" s="30"/>
      <c r="VYM22" s="93"/>
      <c r="VYN22" s="30"/>
      <c r="VYS22" s="93"/>
      <c r="VYT22" s="30"/>
      <c r="VYY22" s="93"/>
      <c r="VYZ22" s="30"/>
      <c r="VZE22" s="93"/>
      <c r="VZF22" s="30"/>
      <c r="VZK22" s="93"/>
      <c r="VZL22" s="30"/>
      <c r="VZQ22" s="93"/>
      <c r="VZR22" s="30"/>
      <c r="VZW22" s="93"/>
      <c r="VZX22" s="30"/>
      <c r="WAC22" s="93"/>
      <c r="WAD22" s="30"/>
      <c r="WAI22" s="93"/>
      <c r="WAJ22" s="30"/>
      <c r="WAO22" s="93"/>
      <c r="WAP22" s="30"/>
      <c r="WAU22" s="93"/>
      <c r="WAV22" s="30"/>
      <c r="WBA22" s="93"/>
      <c r="WBB22" s="30"/>
      <c r="WBG22" s="93"/>
      <c r="WBH22" s="30"/>
      <c r="WBM22" s="93"/>
      <c r="WBN22" s="30"/>
      <c r="WBS22" s="93"/>
      <c r="WBT22" s="30"/>
      <c r="WBY22" s="93"/>
      <c r="WBZ22" s="30"/>
      <c r="WCE22" s="93"/>
      <c r="WCF22" s="30"/>
      <c r="WCK22" s="93"/>
      <c r="WCL22" s="30"/>
      <c r="WCQ22" s="93"/>
      <c r="WCR22" s="30"/>
      <c r="WCW22" s="93"/>
      <c r="WCX22" s="30"/>
      <c r="WDC22" s="93"/>
      <c r="WDD22" s="30"/>
      <c r="WDI22" s="93"/>
      <c r="WDJ22" s="30"/>
      <c r="WDO22" s="93"/>
      <c r="WDP22" s="30"/>
      <c r="WDU22" s="93"/>
      <c r="WDV22" s="30"/>
      <c r="WEA22" s="93"/>
      <c r="WEB22" s="30"/>
      <c r="WEG22" s="93"/>
      <c r="WEH22" s="30"/>
      <c r="WEM22" s="93"/>
      <c r="WEN22" s="30"/>
      <c r="WES22" s="93"/>
      <c r="WET22" s="30"/>
      <c r="WEY22" s="93"/>
      <c r="WEZ22" s="30"/>
      <c r="WFE22" s="93"/>
      <c r="WFF22" s="30"/>
      <c r="WFK22" s="93"/>
      <c r="WFL22" s="30"/>
      <c r="WFQ22" s="93"/>
      <c r="WFR22" s="30"/>
      <c r="WFW22" s="93"/>
      <c r="WFX22" s="30"/>
      <c r="WGC22" s="93"/>
      <c r="WGD22" s="30"/>
      <c r="WGI22" s="93"/>
      <c r="WGJ22" s="30"/>
      <c r="WGO22" s="93"/>
      <c r="WGP22" s="30"/>
      <c r="WGU22" s="93"/>
      <c r="WGV22" s="30"/>
      <c r="WHA22" s="93"/>
      <c r="WHB22" s="30"/>
      <c r="WHG22" s="93"/>
      <c r="WHH22" s="30"/>
      <c r="WHM22" s="93"/>
      <c r="WHN22" s="30"/>
      <c r="WHS22" s="93"/>
      <c r="WHT22" s="30"/>
      <c r="WHY22" s="93"/>
      <c r="WHZ22" s="30"/>
      <c r="WIE22" s="93"/>
      <c r="WIF22" s="30"/>
      <c r="WIK22" s="93"/>
      <c r="WIL22" s="30"/>
      <c r="WIQ22" s="93"/>
      <c r="WIR22" s="30"/>
      <c r="WIW22" s="93"/>
      <c r="WIX22" s="30"/>
      <c r="WJC22" s="93"/>
      <c r="WJD22" s="30"/>
      <c r="WJI22" s="93"/>
      <c r="WJJ22" s="30"/>
      <c r="WJO22" s="93"/>
      <c r="WJP22" s="30"/>
      <c r="WJU22" s="93"/>
      <c r="WJV22" s="30"/>
      <c r="WKA22" s="93"/>
      <c r="WKB22" s="30"/>
      <c r="WKG22" s="93"/>
      <c r="WKH22" s="30"/>
      <c r="WKM22" s="93"/>
      <c r="WKN22" s="30"/>
      <c r="WKS22" s="93"/>
      <c r="WKT22" s="30"/>
      <c r="WKY22" s="93"/>
      <c r="WKZ22" s="30"/>
      <c r="WLE22" s="93"/>
      <c r="WLF22" s="30"/>
      <c r="WLK22" s="93"/>
      <c r="WLL22" s="30"/>
      <c r="WLQ22" s="93"/>
      <c r="WLR22" s="30"/>
      <c r="WLW22" s="93"/>
      <c r="WLX22" s="30"/>
      <c r="WMC22" s="93"/>
      <c r="WMD22" s="30"/>
      <c r="WMI22" s="93"/>
      <c r="WMJ22" s="30"/>
      <c r="WMO22" s="93"/>
      <c r="WMP22" s="30"/>
      <c r="WMU22" s="93"/>
      <c r="WMV22" s="30"/>
      <c r="WNA22" s="93"/>
      <c r="WNB22" s="30"/>
      <c r="WNG22" s="93"/>
      <c r="WNH22" s="30"/>
      <c r="WNM22" s="93"/>
      <c r="WNN22" s="30"/>
      <c r="WNS22" s="93"/>
      <c r="WNT22" s="30"/>
      <c r="WNY22" s="93"/>
      <c r="WNZ22" s="30"/>
      <c r="WOE22" s="93"/>
      <c r="WOF22" s="30"/>
      <c r="WOK22" s="93"/>
      <c r="WOL22" s="30"/>
      <c r="WOQ22" s="93"/>
      <c r="WOR22" s="30"/>
      <c r="WOW22" s="93"/>
      <c r="WOX22" s="30"/>
      <c r="WPC22" s="93"/>
      <c r="WPD22" s="30"/>
      <c r="WPI22" s="93"/>
      <c r="WPJ22" s="30"/>
      <c r="WPO22" s="93"/>
      <c r="WPP22" s="30"/>
      <c r="WPU22" s="93"/>
      <c r="WPV22" s="30"/>
      <c r="WQA22" s="93"/>
      <c r="WQB22" s="30"/>
      <c r="WQG22" s="93"/>
      <c r="WQH22" s="30"/>
      <c r="WQM22" s="93"/>
      <c r="WQN22" s="30"/>
      <c r="WQS22" s="93"/>
      <c r="WQT22" s="30"/>
      <c r="WQY22" s="93"/>
      <c r="WQZ22" s="30"/>
      <c r="WRE22" s="93"/>
      <c r="WRF22" s="30"/>
      <c r="WRK22" s="93"/>
      <c r="WRL22" s="30"/>
      <c r="WRQ22" s="93"/>
      <c r="WRR22" s="30"/>
      <c r="WRW22" s="93"/>
      <c r="WRX22" s="30"/>
      <c r="WSC22" s="93"/>
      <c r="WSD22" s="30"/>
      <c r="WSI22" s="93"/>
      <c r="WSJ22" s="30"/>
      <c r="WSO22" s="93"/>
      <c r="WSP22" s="30"/>
      <c r="WSU22" s="93"/>
      <c r="WSV22" s="30"/>
      <c r="WTA22" s="93"/>
      <c r="WTB22" s="30"/>
      <c r="WTG22" s="93"/>
      <c r="WTH22" s="30"/>
      <c r="WTM22" s="93"/>
      <c r="WTN22" s="30"/>
      <c r="WTS22" s="93"/>
      <c r="WTT22" s="30"/>
      <c r="WTY22" s="93"/>
      <c r="WTZ22" s="30"/>
      <c r="WUE22" s="93"/>
      <c r="WUF22" s="30"/>
      <c r="WUK22" s="93"/>
      <c r="WUL22" s="30"/>
      <c r="WUQ22" s="93"/>
      <c r="WUR22" s="30"/>
      <c r="WUW22" s="93"/>
      <c r="WUX22" s="30"/>
      <c r="WVC22" s="93"/>
      <c r="WVD22" s="30"/>
      <c r="WVI22" s="93"/>
      <c r="WVJ22" s="30"/>
      <c r="WVO22" s="93"/>
      <c r="WVP22" s="30"/>
      <c r="WVU22" s="93"/>
      <c r="WVV22" s="30"/>
      <c r="WWA22" s="93"/>
      <c r="WWB22" s="30"/>
      <c r="WWG22" s="93"/>
      <c r="WWH22" s="30"/>
      <c r="WWM22" s="93"/>
      <c r="WWN22" s="30"/>
      <c r="WWS22" s="93"/>
      <c r="WWT22" s="30"/>
      <c r="WWY22" s="93"/>
      <c r="WWZ22" s="30"/>
      <c r="WXE22" s="93"/>
      <c r="WXF22" s="30"/>
      <c r="WXK22" s="93"/>
      <c r="WXL22" s="30"/>
      <c r="WXQ22" s="93"/>
      <c r="WXR22" s="30"/>
      <c r="WXW22" s="93"/>
      <c r="WXX22" s="30"/>
      <c r="WYC22" s="93"/>
      <c r="WYD22" s="30"/>
      <c r="WYI22" s="93"/>
      <c r="WYJ22" s="30"/>
      <c r="WYO22" s="93"/>
      <c r="WYP22" s="30"/>
      <c r="WYU22" s="93"/>
      <c r="WYV22" s="30"/>
      <c r="WZA22" s="93"/>
      <c r="WZB22" s="30"/>
      <c r="WZG22" s="93"/>
      <c r="WZH22" s="30"/>
      <c r="WZM22" s="93"/>
      <c r="WZN22" s="30"/>
      <c r="WZS22" s="93"/>
      <c r="WZT22" s="30"/>
      <c r="WZY22" s="93"/>
      <c r="WZZ22" s="30"/>
      <c r="XAE22" s="93"/>
      <c r="XAF22" s="30"/>
      <c r="XAK22" s="93"/>
      <c r="XAL22" s="30"/>
      <c r="XAQ22" s="93"/>
      <c r="XAR22" s="30"/>
      <c r="XAW22" s="93"/>
      <c r="XAX22" s="30"/>
      <c r="XBC22" s="93"/>
      <c r="XBD22" s="30"/>
      <c r="XBI22" s="93"/>
      <c r="XBJ22" s="30"/>
      <c r="XBO22" s="93"/>
      <c r="XBP22" s="30"/>
      <c r="XBU22" s="93"/>
      <c r="XBV22" s="30"/>
      <c r="XCA22" s="93"/>
      <c r="XCB22" s="30"/>
      <c r="XCG22" s="93"/>
      <c r="XCH22" s="30"/>
      <c r="XCM22" s="93"/>
      <c r="XCN22" s="30"/>
      <c r="XCS22" s="93"/>
      <c r="XCT22" s="30"/>
      <c r="XCY22" s="93"/>
      <c r="XCZ22" s="30"/>
      <c r="XDE22" s="93"/>
      <c r="XDF22" s="30"/>
      <c r="XDK22" s="93"/>
      <c r="XDL22" s="30"/>
      <c r="XDQ22" s="93"/>
      <c r="XDR22" s="30"/>
      <c r="XDW22" s="93"/>
      <c r="XDX22" s="30"/>
      <c r="XEC22" s="93"/>
      <c r="XED22" s="30"/>
      <c r="XEI22" s="93"/>
      <c r="XEJ22" s="30"/>
      <c r="XEO22" s="93"/>
      <c r="XEP22" s="30"/>
      <c r="XEU22" s="93"/>
      <c r="XEV22" s="30"/>
      <c r="XFA22" s="93"/>
      <c r="XFB22" s="30"/>
    </row>
    <row r="23" spans="1:1022 1027:2048 2053:3068 3073:4094 4099:5120 5125:6140 6145:7166 7171:8192 8197:9212 9217:10238 10243:11264 11269:12284 12289:13310 13315:14336 14341:15356 15361:16382" s="8" customFormat="1" ht="16" x14ac:dyDescent="0.2">
      <c r="A23" s="93" t="s">
        <v>41</v>
      </c>
      <c r="B23" s="10" t="s">
        <v>579</v>
      </c>
      <c r="C23" s="9" t="s">
        <v>586</v>
      </c>
      <c r="D23" s="10"/>
      <c r="E23" s="10"/>
      <c r="F23" s="10"/>
      <c r="G23" s="10"/>
      <c r="H23" s="10"/>
      <c r="I23" s="10"/>
      <c r="J23" s="10"/>
      <c r="K23" s="10"/>
      <c r="L23" s="10"/>
      <c r="M23" s="93"/>
      <c r="N23" s="30"/>
      <c r="O23" s="8" t="s">
        <v>630</v>
      </c>
      <c r="S23" s="93"/>
      <c r="T23" s="30"/>
      <c r="Y23" s="93"/>
      <c r="Z23" s="30"/>
      <c r="AE23" s="93"/>
      <c r="AF23" s="30"/>
      <c r="AK23" s="93"/>
      <c r="AL23" s="30"/>
      <c r="AQ23" s="93"/>
      <c r="AR23" s="30"/>
      <c r="AW23" s="93"/>
      <c r="AX23" s="30"/>
      <c r="BC23" s="93"/>
      <c r="BD23" s="30"/>
      <c r="BI23" s="93"/>
      <c r="BJ23" s="30"/>
      <c r="BO23" s="93"/>
      <c r="BP23" s="30"/>
      <c r="BU23" s="93"/>
      <c r="BV23" s="30"/>
      <c r="CA23" s="93"/>
      <c r="CB23" s="30"/>
      <c r="CG23" s="93"/>
      <c r="CH23" s="30"/>
      <c r="CM23" s="93"/>
      <c r="CN23" s="30"/>
      <c r="CS23" s="93"/>
      <c r="CT23" s="30"/>
      <c r="CY23" s="93"/>
      <c r="CZ23" s="30"/>
      <c r="DE23" s="93"/>
      <c r="DF23" s="30"/>
      <c r="DK23" s="93"/>
      <c r="DL23" s="30"/>
      <c r="DQ23" s="93"/>
      <c r="DR23" s="30"/>
      <c r="DW23" s="93"/>
      <c r="DX23" s="30"/>
      <c r="EC23" s="93"/>
      <c r="ED23" s="30"/>
      <c r="EI23" s="93"/>
      <c r="EJ23" s="30"/>
      <c r="EO23" s="93"/>
      <c r="EP23" s="30"/>
      <c r="EU23" s="93"/>
      <c r="EV23" s="30"/>
      <c r="FA23" s="93"/>
      <c r="FB23" s="30"/>
      <c r="FG23" s="93"/>
      <c r="FH23" s="30"/>
      <c r="FM23" s="93"/>
      <c r="FN23" s="30"/>
      <c r="FS23" s="93"/>
      <c r="FT23" s="30"/>
      <c r="FY23" s="93"/>
      <c r="FZ23" s="30"/>
      <c r="GE23" s="93"/>
      <c r="GF23" s="30"/>
      <c r="GK23" s="93"/>
      <c r="GL23" s="30"/>
      <c r="GQ23" s="93"/>
      <c r="GR23" s="30"/>
      <c r="GW23" s="93"/>
      <c r="GX23" s="30"/>
      <c r="HC23" s="93"/>
      <c r="HD23" s="30"/>
      <c r="HI23" s="93"/>
      <c r="HJ23" s="30"/>
      <c r="HO23" s="93"/>
      <c r="HP23" s="30"/>
      <c r="HU23" s="93"/>
      <c r="HV23" s="30"/>
      <c r="IA23" s="93"/>
      <c r="IB23" s="30"/>
      <c r="IG23" s="93"/>
      <c r="IH23" s="30"/>
      <c r="IM23" s="93"/>
      <c r="IN23" s="30"/>
      <c r="IS23" s="93"/>
      <c r="IT23" s="30"/>
      <c r="IY23" s="93"/>
      <c r="IZ23" s="30"/>
      <c r="JE23" s="93"/>
      <c r="JF23" s="30"/>
      <c r="JK23" s="93"/>
      <c r="JL23" s="30"/>
      <c r="JQ23" s="93"/>
      <c r="JR23" s="30"/>
      <c r="JW23" s="93"/>
      <c r="JX23" s="30"/>
      <c r="KC23" s="93"/>
      <c r="KD23" s="30"/>
      <c r="KI23" s="93"/>
      <c r="KJ23" s="30"/>
      <c r="KO23" s="93"/>
      <c r="KP23" s="30"/>
      <c r="KU23" s="93"/>
      <c r="KV23" s="30"/>
      <c r="LA23" s="93"/>
      <c r="LB23" s="30"/>
      <c r="LG23" s="93"/>
      <c r="LH23" s="30"/>
      <c r="LM23" s="93"/>
      <c r="LN23" s="30"/>
      <c r="LS23" s="93"/>
      <c r="LT23" s="30"/>
      <c r="LY23" s="93"/>
      <c r="LZ23" s="30"/>
      <c r="ME23" s="93"/>
      <c r="MF23" s="30"/>
      <c r="MK23" s="93"/>
      <c r="ML23" s="30"/>
      <c r="MQ23" s="93"/>
      <c r="MR23" s="30"/>
      <c r="MW23" s="93"/>
      <c r="MX23" s="30"/>
      <c r="NC23" s="93"/>
      <c r="ND23" s="30"/>
      <c r="NI23" s="93"/>
      <c r="NJ23" s="30"/>
      <c r="NO23" s="93"/>
      <c r="NP23" s="30"/>
      <c r="NU23" s="93"/>
      <c r="NV23" s="30"/>
      <c r="OA23" s="93"/>
      <c r="OB23" s="30"/>
      <c r="OG23" s="93"/>
      <c r="OH23" s="30"/>
      <c r="OM23" s="93"/>
      <c r="ON23" s="30"/>
      <c r="OS23" s="93"/>
      <c r="OT23" s="30"/>
      <c r="OY23" s="93"/>
      <c r="OZ23" s="30"/>
      <c r="PE23" s="93"/>
      <c r="PF23" s="30"/>
      <c r="PK23" s="93"/>
      <c r="PL23" s="30"/>
      <c r="PQ23" s="93"/>
      <c r="PR23" s="30"/>
      <c r="PW23" s="93"/>
      <c r="PX23" s="30"/>
      <c r="QC23" s="93"/>
      <c r="QD23" s="30"/>
      <c r="QI23" s="93"/>
      <c r="QJ23" s="30"/>
      <c r="QO23" s="93"/>
      <c r="QP23" s="30"/>
      <c r="QU23" s="93"/>
      <c r="QV23" s="30"/>
      <c r="RA23" s="93"/>
      <c r="RB23" s="30"/>
      <c r="RG23" s="93"/>
      <c r="RH23" s="30"/>
      <c r="RM23" s="93"/>
      <c r="RN23" s="30"/>
      <c r="RS23" s="93"/>
      <c r="RT23" s="30"/>
      <c r="RY23" s="93"/>
      <c r="RZ23" s="30"/>
      <c r="SE23" s="93"/>
      <c r="SF23" s="30"/>
      <c r="SK23" s="93"/>
      <c r="SL23" s="30"/>
      <c r="SQ23" s="93"/>
      <c r="SR23" s="30"/>
      <c r="SW23" s="93"/>
      <c r="SX23" s="30"/>
      <c r="TC23" s="93"/>
      <c r="TD23" s="30"/>
      <c r="TI23" s="93"/>
      <c r="TJ23" s="30"/>
      <c r="TO23" s="93"/>
      <c r="TP23" s="30"/>
      <c r="TU23" s="93"/>
      <c r="TV23" s="30"/>
      <c r="UA23" s="93"/>
      <c r="UB23" s="30"/>
      <c r="UG23" s="93"/>
      <c r="UH23" s="30"/>
      <c r="UM23" s="93"/>
      <c r="UN23" s="30"/>
      <c r="US23" s="93"/>
      <c r="UT23" s="30"/>
      <c r="UY23" s="93"/>
      <c r="UZ23" s="30"/>
      <c r="VE23" s="93"/>
      <c r="VF23" s="30"/>
      <c r="VK23" s="93"/>
      <c r="VL23" s="30"/>
      <c r="VQ23" s="93"/>
      <c r="VR23" s="30"/>
      <c r="VW23" s="93"/>
      <c r="VX23" s="30"/>
      <c r="WC23" s="93"/>
      <c r="WD23" s="30"/>
      <c r="WI23" s="93"/>
      <c r="WJ23" s="30"/>
      <c r="WO23" s="93"/>
      <c r="WP23" s="30"/>
      <c r="WU23" s="93"/>
      <c r="WV23" s="30"/>
      <c r="XA23" s="93"/>
      <c r="XB23" s="30"/>
      <c r="XG23" s="93"/>
      <c r="XH23" s="30"/>
      <c r="XM23" s="93"/>
      <c r="XN23" s="30"/>
      <c r="XS23" s="93"/>
      <c r="XT23" s="30"/>
      <c r="XY23" s="93"/>
      <c r="XZ23" s="30"/>
      <c r="YE23" s="93"/>
      <c r="YF23" s="30"/>
      <c r="YK23" s="93"/>
      <c r="YL23" s="30"/>
      <c r="YQ23" s="93"/>
      <c r="YR23" s="30"/>
      <c r="YW23" s="93"/>
      <c r="YX23" s="30"/>
      <c r="ZC23" s="93"/>
      <c r="ZD23" s="30"/>
      <c r="ZI23" s="93"/>
      <c r="ZJ23" s="30"/>
      <c r="ZO23" s="93"/>
      <c r="ZP23" s="30"/>
      <c r="ZU23" s="93"/>
      <c r="ZV23" s="30"/>
      <c r="AAA23" s="93"/>
      <c r="AAB23" s="30"/>
      <c r="AAG23" s="93"/>
      <c r="AAH23" s="30"/>
      <c r="AAM23" s="93"/>
      <c r="AAN23" s="30"/>
      <c r="AAS23" s="93"/>
      <c r="AAT23" s="30"/>
      <c r="AAY23" s="93"/>
      <c r="AAZ23" s="30"/>
      <c r="ABE23" s="93"/>
      <c r="ABF23" s="30"/>
      <c r="ABK23" s="93"/>
      <c r="ABL23" s="30"/>
      <c r="ABQ23" s="93"/>
      <c r="ABR23" s="30"/>
      <c r="ABW23" s="93"/>
      <c r="ABX23" s="30"/>
      <c r="ACC23" s="93"/>
      <c r="ACD23" s="30"/>
      <c r="ACI23" s="93"/>
      <c r="ACJ23" s="30"/>
      <c r="ACO23" s="93"/>
      <c r="ACP23" s="30"/>
      <c r="ACU23" s="93"/>
      <c r="ACV23" s="30"/>
      <c r="ADA23" s="93"/>
      <c r="ADB23" s="30"/>
      <c r="ADG23" s="93"/>
      <c r="ADH23" s="30"/>
      <c r="ADM23" s="93"/>
      <c r="ADN23" s="30"/>
      <c r="ADS23" s="93"/>
      <c r="ADT23" s="30"/>
      <c r="ADY23" s="93"/>
      <c r="ADZ23" s="30"/>
      <c r="AEE23" s="93"/>
      <c r="AEF23" s="30"/>
      <c r="AEK23" s="93"/>
      <c r="AEL23" s="30"/>
      <c r="AEQ23" s="93"/>
      <c r="AER23" s="30"/>
      <c r="AEW23" s="93"/>
      <c r="AEX23" s="30"/>
      <c r="AFC23" s="93"/>
      <c r="AFD23" s="30"/>
      <c r="AFI23" s="93"/>
      <c r="AFJ23" s="30"/>
      <c r="AFO23" s="93"/>
      <c r="AFP23" s="30"/>
      <c r="AFU23" s="93"/>
      <c r="AFV23" s="30"/>
      <c r="AGA23" s="93"/>
      <c r="AGB23" s="30"/>
      <c r="AGG23" s="93"/>
      <c r="AGH23" s="30"/>
      <c r="AGM23" s="93"/>
      <c r="AGN23" s="30"/>
      <c r="AGS23" s="93"/>
      <c r="AGT23" s="30"/>
      <c r="AGY23" s="93"/>
      <c r="AGZ23" s="30"/>
      <c r="AHE23" s="93"/>
      <c r="AHF23" s="30"/>
      <c r="AHK23" s="93"/>
      <c r="AHL23" s="30"/>
      <c r="AHQ23" s="93"/>
      <c r="AHR23" s="30"/>
      <c r="AHW23" s="93"/>
      <c r="AHX23" s="30"/>
      <c r="AIC23" s="93"/>
      <c r="AID23" s="30"/>
      <c r="AII23" s="93"/>
      <c r="AIJ23" s="30"/>
      <c r="AIO23" s="93"/>
      <c r="AIP23" s="30"/>
      <c r="AIU23" s="93"/>
      <c r="AIV23" s="30"/>
      <c r="AJA23" s="93"/>
      <c r="AJB23" s="30"/>
      <c r="AJG23" s="93"/>
      <c r="AJH23" s="30"/>
      <c r="AJM23" s="93"/>
      <c r="AJN23" s="30"/>
      <c r="AJS23" s="93"/>
      <c r="AJT23" s="30"/>
      <c r="AJY23" s="93"/>
      <c r="AJZ23" s="30"/>
      <c r="AKE23" s="93"/>
      <c r="AKF23" s="30"/>
      <c r="AKK23" s="93"/>
      <c r="AKL23" s="30"/>
      <c r="AKQ23" s="93"/>
      <c r="AKR23" s="30"/>
      <c r="AKW23" s="93"/>
      <c r="AKX23" s="30"/>
      <c r="ALC23" s="93"/>
      <c r="ALD23" s="30"/>
      <c r="ALI23" s="93"/>
      <c r="ALJ23" s="30"/>
      <c r="ALO23" s="93"/>
      <c r="ALP23" s="30"/>
      <c r="ALU23" s="93"/>
      <c r="ALV23" s="30"/>
      <c r="AMA23" s="93"/>
      <c r="AMB23" s="30"/>
      <c r="AMG23" s="93"/>
      <c r="AMH23" s="30"/>
      <c r="AMM23" s="93"/>
      <c r="AMN23" s="30"/>
      <c r="AMS23" s="93"/>
      <c r="AMT23" s="30"/>
      <c r="AMY23" s="93"/>
      <c r="AMZ23" s="30"/>
      <c r="ANE23" s="93"/>
      <c r="ANF23" s="30"/>
      <c r="ANK23" s="93"/>
      <c r="ANL23" s="30"/>
      <c r="ANQ23" s="93"/>
      <c r="ANR23" s="30"/>
      <c r="ANW23" s="93"/>
      <c r="ANX23" s="30"/>
      <c r="AOC23" s="93"/>
      <c r="AOD23" s="30"/>
      <c r="AOI23" s="93"/>
      <c r="AOJ23" s="30"/>
      <c r="AOO23" s="93"/>
      <c r="AOP23" s="30"/>
      <c r="AOU23" s="93"/>
      <c r="AOV23" s="30"/>
      <c r="APA23" s="93"/>
      <c r="APB23" s="30"/>
      <c r="APG23" s="93"/>
      <c r="APH23" s="30"/>
      <c r="APM23" s="93"/>
      <c r="APN23" s="30"/>
      <c r="APS23" s="93"/>
      <c r="APT23" s="30"/>
      <c r="APY23" s="93"/>
      <c r="APZ23" s="30"/>
      <c r="AQE23" s="93"/>
      <c r="AQF23" s="30"/>
      <c r="AQK23" s="93"/>
      <c r="AQL23" s="30"/>
      <c r="AQQ23" s="93"/>
      <c r="AQR23" s="30"/>
      <c r="AQW23" s="93"/>
      <c r="AQX23" s="30"/>
      <c r="ARC23" s="93"/>
      <c r="ARD23" s="30"/>
      <c r="ARI23" s="93"/>
      <c r="ARJ23" s="30"/>
      <c r="ARO23" s="93"/>
      <c r="ARP23" s="30"/>
      <c r="ARU23" s="93"/>
      <c r="ARV23" s="30"/>
      <c r="ASA23" s="93"/>
      <c r="ASB23" s="30"/>
      <c r="ASG23" s="93"/>
      <c r="ASH23" s="30"/>
      <c r="ASM23" s="93"/>
      <c r="ASN23" s="30"/>
      <c r="ASS23" s="93"/>
      <c r="AST23" s="30"/>
      <c r="ASY23" s="93"/>
      <c r="ASZ23" s="30"/>
      <c r="ATE23" s="93"/>
      <c r="ATF23" s="30"/>
      <c r="ATK23" s="93"/>
      <c r="ATL23" s="30"/>
      <c r="ATQ23" s="93"/>
      <c r="ATR23" s="30"/>
      <c r="ATW23" s="93"/>
      <c r="ATX23" s="30"/>
      <c r="AUC23" s="93"/>
      <c r="AUD23" s="30"/>
      <c r="AUI23" s="93"/>
      <c r="AUJ23" s="30"/>
      <c r="AUO23" s="93"/>
      <c r="AUP23" s="30"/>
      <c r="AUU23" s="93"/>
      <c r="AUV23" s="30"/>
      <c r="AVA23" s="93"/>
      <c r="AVB23" s="30"/>
      <c r="AVG23" s="93"/>
      <c r="AVH23" s="30"/>
      <c r="AVM23" s="93"/>
      <c r="AVN23" s="30"/>
      <c r="AVS23" s="93"/>
      <c r="AVT23" s="30"/>
      <c r="AVY23" s="93"/>
      <c r="AVZ23" s="30"/>
      <c r="AWE23" s="93"/>
      <c r="AWF23" s="30"/>
      <c r="AWK23" s="93"/>
      <c r="AWL23" s="30"/>
      <c r="AWQ23" s="93"/>
      <c r="AWR23" s="30"/>
      <c r="AWW23" s="93"/>
      <c r="AWX23" s="30"/>
      <c r="AXC23" s="93"/>
      <c r="AXD23" s="30"/>
      <c r="AXI23" s="93"/>
      <c r="AXJ23" s="30"/>
      <c r="AXO23" s="93"/>
      <c r="AXP23" s="30"/>
      <c r="AXU23" s="93"/>
      <c r="AXV23" s="30"/>
      <c r="AYA23" s="93"/>
      <c r="AYB23" s="30"/>
      <c r="AYG23" s="93"/>
      <c r="AYH23" s="30"/>
      <c r="AYM23" s="93"/>
      <c r="AYN23" s="30"/>
      <c r="AYS23" s="93"/>
      <c r="AYT23" s="30"/>
      <c r="AYY23" s="93"/>
      <c r="AYZ23" s="30"/>
      <c r="AZE23" s="93"/>
      <c r="AZF23" s="30"/>
      <c r="AZK23" s="93"/>
      <c r="AZL23" s="30"/>
      <c r="AZQ23" s="93"/>
      <c r="AZR23" s="30"/>
      <c r="AZW23" s="93"/>
      <c r="AZX23" s="30"/>
      <c r="BAC23" s="93"/>
      <c r="BAD23" s="30"/>
      <c r="BAI23" s="93"/>
      <c r="BAJ23" s="30"/>
      <c r="BAO23" s="93"/>
      <c r="BAP23" s="30"/>
      <c r="BAU23" s="93"/>
      <c r="BAV23" s="30"/>
      <c r="BBA23" s="93"/>
      <c r="BBB23" s="30"/>
      <c r="BBG23" s="93"/>
      <c r="BBH23" s="30"/>
      <c r="BBM23" s="93"/>
      <c r="BBN23" s="30"/>
      <c r="BBS23" s="93"/>
      <c r="BBT23" s="30"/>
      <c r="BBY23" s="93"/>
      <c r="BBZ23" s="30"/>
      <c r="BCE23" s="93"/>
      <c r="BCF23" s="30"/>
      <c r="BCK23" s="93"/>
      <c r="BCL23" s="30"/>
      <c r="BCQ23" s="93"/>
      <c r="BCR23" s="30"/>
      <c r="BCW23" s="93"/>
      <c r="BCX23" s="30"/>
      <c r="BDC23" s="93"/>
      <c r="BDD23" s="30"/>
      <c r="BDI23" s="93"/>
      <c r="BDJ23" s="30"/>
      <c r="BDO23" s="93"/>
      <c r="BDP23" s="30"/>
      <c r="BDU23" s="93"/>
      <c r="BDV23" s="30"/>
      <c r="BEA23" s="93"/>
      <c r="BEB23" s="30"/>
      <c r="BEG23" s="93"/>
      <c r="BEH23" s="30"/>
      <c r="BEM23" s="93"/>
      <c r="BEN23" s="30"/>
      <c r="BES23" s="93"/>
      <c r="BET23" s="30"/>
      <c r="BEY23" s="93"/>
      <c r="BEZ23" s="30"/>
      <c r="BFE23" s="93"/>
      <c r="BFF23" s="30"/>
      <c r="BFK23" s="93"/>
      <c r="BFL23" s="30"/>
      <c r="BFQ23" s="93"/>
      <c r="BFR23" s="30"/>
      <c r="BFW23" s="93"/>
      <c r="BFX23" s="30"/>
      <c r="BGC23" s="93"/>
      <c r="BGD23" s="30"/>
      <c r="BGI23" s="93"/>
      <c r="BGJ23" s="30"/>
      <c r="BGO23" s="93"/>
      <c r="BGP23" s="30"/>
      <c r="BGU23" s="93"/>
      <c r="BGV23" s="30"/>
      <c r="BHA23" s="93"/>
      <c r="BHB23" s="30"/>
      <c r="BHG23" s="93"/>
      <c r="BHH23" s="30"/>
      <c r="BHM23" s="93"/>
      <c r="BHN23" s="30"/>
      <c r="BHS23" s="93"/>
      <c r="BHT23" s="30"/>
      <c r="BHY23" s="93"/>
      <c r="BHZ23" s="30"/>
      <c r="BIE23" s="93"/>
      <c r="BIF23" s="30"/>
      <c r="BIK23" s="93"/>
      <c r="BIL23" s="30"/>
      <c r="BIQ23" s="93"/>
      <c r="BIR23" s="30"/>
      <c r="BIW23" s="93"/>
      <c r="BIX23" s="30"/>
      <c r="BJC23" s="93"/>
      <c r="BJD23" s="30"/>
      <c r="BJI23" s="93"/>
      <c r="BJJ23" s="30"/>
      <c r="BJO23" s="93"/>
      <c r="BJP23" s="30"/>
      <c r="BJU23" s="93"/>
      <c r="BJV23" s="30"/>
      <c r="BKA23" s="93"/>
      <c r="BKB23" s="30"/>
      <c r="BKG23" s="93"/>
      <c r="BKH23" s="30"/>
      <c r="BKM23" s="93"/>
      <c r="BKN23" s="30"/>
      <c r="BKS23" s="93"/>
      <c r="BKT23" s="30"/>
      <c r="BKY23" s="93"/>
      <c r="BKZ23" s="30"/>
      <c r="BLE23" s="93"/>
      <c r="BLF23" s="30"/>
      <c r="BLK23" s="93"/>
      <c r="BLL23" s="30"/>
      <c r="BLQ23" s="93"/>
      <c r="BLR23" s="30"/>
      <c r="BLW23" s="93"/>
      <c r="BLX23" s="30"/>
      <c r="BMC23" s="93"/>
      <c r="BMD23" s="30"/>
      <c r="BMI23" s="93"/>
      <c r="BMJ23" s="30"/>
      <c r="BMO23" s="93"/>
      <c r="BMP23" s="30"/>
      <c r="BMU23" s="93"/>
      <c r="BMV23" s="30"/>
      <c r="BNA23" s="93"/>
      <c r="BNB23" s="30"/>
      <c r="BNG23" s="93"/>
      <c r="BNH23" s="30"/>
      <c r="BNM23" s="93"/>
      <c r="BNN23" s="30"/>
      <c r="BNS23" s="93"/>
      <c r="BNT23" s="30"/>
      <c r="BNY23" s="93"/>
      <c r="BNZ23" s="30"/>
      <c r="BOE23" s="93"/>
      <c r="BOF23" s="30"/>
      <c r="BOK23" s="93"/>
      <c r="BOL23" s="30"/>
      <c r="BOQ23" s="93"/>
      <c r="BOR23" s="30"/>
      <c r="BOW23" s="93"/>
      <c r="BOX23" s="30"/>
      <c r="BPC23" s="93"/>
      <c r="BPD23" s="30"/>
      <c r="BPI23" s="93"/>
      <c r="BPJ23" s="30"/>
      <c r="BPO23" s="93"/>
      <c r="BPP23" s="30"/>
      <c r="BPU23" s="93"/>
      <c r="BPV23" s="30"/>
      <c r="BQA23" s="93"/>
      <c r="BQB23" s="30"/>
      <c r="BQG23" s="93"/>
      <c r="BQH23" s="30"/>
      <c r="BQM23" s="93"/>
      <c r="BQN23" s="30"/>
      <c r="BQS23" s="93"/>
      <c r="BQT23" s="30"/>
      <c r="BQY23" s="93"/>
      <c r="BQZ23" s="30"/>
      <c r="BRE23" s="93"/>
      <c r="BRF23" s="30"/>
      <c r="BRK23" s="93"/>
      <c r="BRL23" s="30"/>
      <c r="BRQ23" s="93"/>
      <c r="BRR23" s="30"/>
      <c r="BRW23" s="93"/>
      <c r="BRX23" s="30"/>
      <c r="BSC23" s="93"/>
      <c r="BSD23" s="30"/>
      <c r="BSI23" s="93"/>
      <c r="BSJ23" s="30"/>
      <c r="BSO23" s="93"/>
      <c r="BSP23" s="30"/>
      <c r="BSU23" s="93"/>
      <c r="BSV23" s="30"/>
      <c r="BTA23" s="93"/>
      <c r="BTB23" s="30"/>
      <c r="BTG23" s="93"/>
      <c r="BTH23" s="30"/>
      <c r="BTM23" s="93"/>
      <c r="BTN23" s="30"/>
      <c r="BTS23" s="93"/>
      <c r="BTT23" s="30"/>
      <c r="BTY23" s="93"/>
      <c r="BTZ23" s="30"/>
      <c r="BUE23" s="93"/>
      <c r="BUF23" s="30"/>
      <c r="BUK23" s="93"/>
      <c r="BUL23" s="30"/>
      <c r="BUQ23" s="93"/>
      <c r="BUR23" s="30"/>
      <c r="BUW23" s="93"/>
      <c r="BUX23" s="30"/>
      <c r="BVC23" s="93"/>
      <c r="BVD23" s="30"/>
      <c r="BVI23" s="93"/>
      <c r="BVJ23" s="30"/>
      <c r="BVO23" s="93"/>
      <c r="BVP23" s="30"/>
      <c r="BVU23" s="93"/>
      <c r="BVV23" s="30"/>
      <c r="BWA23" s="93"/>
      <c r="BWB23" s="30"/>
      <c r="BWG23" s="93"/>
      <c r="BWH23" s="30"/>
      <c r="BWM23" s="93"/>
      <c r="BWN23" s="30"/>
      <c r="BWS23" s="93"/>
      <c r="BWT23" s="30"/>
      <c r="BWY23" s="93"/>
      <c r="BWZ23" s="30"/>
      <c r="BXE23" s="93"/>
      <c r="BXF23" s="30"/>
      <c r="BXK23" s="93"/>
      <c r="BXL23" s="30"/>
      <c r="BXQ23" s="93"/>
      <c r="BXR23" s="30"/>
      <c r="BXW23" s="93"/>
      <c r="BXX23" s="30"/>
      <c r="BYC23" s="93"/>
      <c r="BYD23" s="30"/>
      <c r="BYI23" s="93"/>
      <c r="BYJ23" s="30"/>
      <c r="BYO23" s="93"/>
      <c r="BYP23" s="30"/>
      <c r="BYU23" s="93"/>
      <c r="BYV23" s="30"/>
      <c r="BZA23" s="93"/>
      <c r="BZB23" s="30"/>
      <c r="BZG23" s="93"/>
      <c r="BZH23" s="30"/>
      <c r="BZM23" s="93"/>
      <c r="BZN23" s="30"/>
      <c r="BZS23" s="93"/>
      <c r="BZT23" s="30"/>
      <c r="BZY23" s="93"/>
      <c r="BZZ23" s="30"/>
      <c r="CAE23" s="93"/>
      <c r="CAF23" s="30"/>
      <c r="CAK23" s="93"/>
      <c r="CAL23" s="30"/>
      <c r="CAQ23" s="93"/>
      <c r="CAR23" s="30"/>
      <c r="CAW23" s="93"/>
      <c r="CAX23" s="30"/>
      <c r="CBC23" s="93"/>
      <c r="CBD23" s="30"/>
      <c r="CBI23" s="93"/>
      <c r="CBJ23" s="30"/>
      <c r="CBO23" s="93"/>
      <c r="CBP23" s="30"/>
      <c r="CBU23" s="93"/>
      <c r="CBV23" s="30"/>
      <c r="CCA23" s="93"/>
      <c r="CCB23" s="30"/>
      <c r="CCG23" s="93"/>
      <c r="CCH23" s="30"/>
      <c r="CCM23" s="93"/>
      <c r="CCN23" s="30"/>
      <c r="CCS23" s="93"/>
      <c r="CCT23" s="30"/>
      <c r="CCY23" s="93"/>
      <c r="CCZ23" s="30"/>
      <c r="CDE23" s="93"/>
      <c r="CDF23" s="30"/>
      <c r="CDK23" s="93"/>
      <c r="CDL23" s="30"/>
      <c r="CDQ23" s="93"/>
      <c r="CDR23" s="30"/>
      <c r="CDW23" s="93"/>
      <c r="CDX23" s="30"/>
      <c r="CEC23" s="93"/>
      <c r="CED23" s="30"/>
      <c r="CEI23" s="93"/>
      <c r="CEJ23" s="30"/>
      <c r="CEO23" s="93"/>
      <c r="CEP23" s="30"/>
      <c r="CEU23" s="93"/>
      <c r="CEV23" s="30"/>
      <c r="CFA23" s="93"/>
      <c r="CFB23" s="30"/>
      <c r="CFG23" s="93"/>
      <c r="CFH23" s="30"/>
      <c r="CFM23" s="93"/>
      <c r="CFN23" s="30"/>
      <c r="CFS23" s="93"/>
      <c r="CFT23" s="30"/>
      <c r="CFY23" s="93"/>
      <c r="CFZ23" s="30"/>
      <c r="CGE23" s="93"/>
      <c r="CGF23" s="30"/>
      <c r="CGK23" s="93"/>
      <c r="CGL23" s="30"/>
      <c r="CGQ23" s="93"/>
      <c r="CGR23" s="30"/>
      <c r="CGW23" s="93"/>
      <c r="CGX23" s="30"/>
      <c r="CHC23" s="93"/>
      <c r="CHD23" s="30"/>
      <c r="CHI23" s="93"/>
      <c r="CHJ23" s="30"/>
      <c r="CHO23" s="93"/>
      <c r="CHP23" s="30"/>
      <c r="CHU23" s="93"/>
      <c r="CHV23" s="30"/>
      <c r="CIA23" s="93"/>
      <c r="CIB23" s="30"/>
      <c r="CIG23" s="93"/>
      <c r="CIH23" s="30"/>
      <c r="CIM23" s="93"/>
      <c r="CIN23" s="30"/>
      <c r="CIS23" s="93"/>
      <c r="CIT23" s="30"/>
      <c r="CIY23" s="93"/>
      <c r="CIZ23" s="30"/>
      <c r="CJE23" s="93"/>
      <c r="CJF23" s="30"/>
      <c r="CJK23" s="93"/>
      <c r="CJL23" s="30"/>
      <c r="CJQ23" s="93"/>
      <c r="CJR23" s="30"/>
      <c r="CJW23" s="93"/>
      <c r="CJX23" s="30"/>
      <c r="CKC23" s="93"/>
      <c r="CKD23" s="30"/>
      <c r="CKI23" s="93"/>
      <c r="CKJ23" s="30"/>
      <c r="CKO23" s="93"/>
      <c r="CKP23" s="30"/>
      <c r="CKU23" s="93"/>
      <c r="CKV23" s="30"/>
      <c r="CLA23" s="93"/>
      <c r="CLB23" s="30"/>
      <c r="CLG23" s="93"/>
      <c r="CLH23" s="30"/>
      <c r="CLM23" s="93"/>
      <c r="CLN23" s="30"/>
      <c r="CLS23" s="93"/>
      <c r="CLT23" s="30"/>
      <c r="CLY23" s="93"/>
      <c r="CLZ23" s="30"/>
      <c r="CME23" s="93"/>
      <c r="CMF23" s="30"/>
      <c r="CMK23" s="93"/>
      <c r="CML23" s="30"/>
      <c r="CMQ23" s="93"/>
      <c r="CMR23" s="30"/>
      <c r="CMW23" s="93"/>
      <c r="CMX23" s="30"/>
      <c r="CNC23" s="93"/>
      <c r="CND23" s="30"/>
      <c r="CNI23" s="93"/>
      <c r="CNJ23" s="30"/>
      <c r="CNO23" s="93"/>
      <c r="CNP23" s="30"/>
      <c r="CNU23" s="93"/>
      <c r="CNV23" s="30"/>
      <c r="COA23" s="93"/>
      <c r="COB23" s="30"/>
      <c r="COG23" s="93"/>
      <c r="COH23" s="30"/>
      <c r="COM23" s="93"/>
      <c r="CON23" s="30"/>
      <c r="COS23" s="93"/>
      <c r="COT23" s="30"/>
      <c r="COY23" s="93"/>
      <c r="COZ23" s="30"/>
      <c r="CPE23" s="93"/>
      <c r="CPF23" s="30"/>
      <c r="CPK23" s="93"/>
      <c r="CPL23" s="30"/>
      <c r="CPQ23" s="93"/>
      <c r="CPR23" s="30"/>
      <c r="CPW23" s="93"/>
      <c r="CPX23" s="30"/>
      <c r="CQC23" s="93"/>
      <c r="CQD23" s="30"/>
      <c r="CQI23" s="93"/>
      <c r="CQJ23" s="30"/>
      <c r="CQO23" s="93"/>
      <c r="CQP23" s="30"/>
      <c r="CQU23" s="93"/>
      <c r="CQV23" s="30"/>
      <c r="CRA23" s="93"/>
      <c r="CRB23" s="30"/>
      <c r="CRG23" s="93"/>
      <c r="CRH23" s="30"/>
      <c r="CRM23" s="93"/>
      <c r="CRN23" s="30"/>
      <c r="CRS23" s="93"/>
      <c r="CRT23" s="30"/>
      <c r="CRY23" s="93"/>
      <c r="CRZ23" s="30"/>
      <c r="CSE23" s="93"/>
      <c r="CSF23" s="30"/>
      <c r="CSK23" s="93"/>
      <c r="CSL23" s="30"/>
      <c r="CSQ23" s="93"/>
      <c r="CSR23" s="30"/>
      <c r="CSW23" s="93"/>
      <c r="CSX23" s="30"/>
      <c r="CTC23" s="93"/>
      <c r="CTD23" s="30"/>
      <c r="CTI23" s="93"/>
      <c r="CTJ23" s="30"/>
      <c r="CTO23" s="93"/>
      <c r="CTP23" s="30"/>
      <c r="CTU23" s="93"/>
      <c r="CTV23" s="30"/>
      <c r="CUA23" s="93"/>
      <c r="CUB23" s="30"/>
      <c r="CUG23" s="93"/>
      <c r="CUH23" s="30"/>
      <c r="CUM23" s="93"/>
      <c r="CUN23" s="30"/>
      <c r="CUS23" s="93"/>
      <c r="CUT23" s="30"/>
      <c r="CUY23" s="93"/>
      <c r="CUZ23" s="30"/>
      <c r="CVE23" s="93"/>
      <c r="CVF23" s="30"/>
      <c r="CVK23" s="93"/>
      <c r="CVL23" s="30"/>
      <c r="CVQ23" s="93"/>
      <c r="CVR23" s="30"/>
      <c r="CVW23" s="93"/>
      <c r="CVX23" s="30"/>
      <c r="CWC23" s="93"/>
      <c r="CWD23" s="30"/>
      <c r="CWI23" s="93"/>
      <c r="CWJ23" s="30"/>
      <c r="CWO23" s="93"/>
      <c r="CWP23" s="30"/>
      <c r="CWU23" s="93"/>
      <c r="CWV23" s="30"/>
      <c r="CXA23" s="93"/>
      <c r="CXB23" s="30"/>
      <c r="CXG23" s="93"/>
      <c r="CXH23" s="30"/>
      <c r="CXM23" s="93"/>
      <c r="CXN23" s="30"/>
      <c r="CXS23" s="93"/>
      <c r="CXT23" s="30"/>
      <c r="CXY23" s="93"/>
      <c r="CXZ23" s="30"/>
      <c r="CYE23" s="93"/>
      <c r="CYF23" s="30"/>
      <c r="CYK23" s="93"/>
      <c r="CYL23" s="30"/>
      <c r="CYQ23" s="93"/>
      <c r="CYR23" s="30"/>
      <c r="CYW23" s="93"/>
      <c r="CYX23" s="30"/>
      <c r="CZC23" s="93"/>
      <c r="CZD23" s="30"/>
      <c r="CZI23" s="93"/>
      <c r="CZJ23" s="30"/>
      <c r="CZO23" s="93"/>
      <c r="CZP23" s="30"/>
      <c r="CZU23" s="93"/>
      <c r="CZV23" s="30"/>
      <c r="DAA23" s="93"/>
      <c r="DAB23" s="30"/>
      <c r="DAG23" s="93"/>
      <c r="DAH23" s="30"/>
      <c r="DAM23" s="93"/>
      <c r="DAN23" s="30"/>
      <c r="DAS23" s="93"/>
      <c r="DAT23" s="30"/>
      <c r="DAY23" s="93"/>
      <c r="DAZ23" s="30"/>
      <c r="DBE23" s="93"/>
      <c r="DBF23" s="30"/>
      <c r="DBK23" s="93"/>
      <c r="DBL23" s="30"/>
      <c r="DBQ23" s="93"/>
      <c r="DBR23" s="30"/>
      <c r="DBW23" s="93"/>
      <c r="DBX23" s="30"/>
      <c r="DCC23" s="93"/>
      <c r="DCD23" s="30"/>
      <c r="DCI23" s="93"/>
      <c r="DCJ23" s="30"/>
      <c r="DCO23" s="93"/>
      <c r="DCP23" s="30"/>
      <c r="DCU23" s="93"/>
      <c r="DCV23" s="30"/>
      <c r="DDA23" s="93"/>
      <c r="DDB23" s="30"/>
      <c r="DDG23" s="93"/>
      <c r="DDH23" s="30"/>
      <c r="DDM23" s="93"/>
      <c r="DDN23" s="30"/>
      <c r="DDS23" s="93"/>
      <c r="DDT23" s="30"/>
      <c r="DDY23" s="93"/>
      <c r="DDZ23" s="30"/>
      <c r="DEE23" s="93"/>
      <c r="DEF23" s="30"/>
      <c r="DEK23" s="93"/>
      <c r="DEL23" s="30"/>
      <c r="DEQ23" s="93"/>
      <c r="DER23" s="30"/>
      <c r="DEW23" s="93"/>
      <c r="DEX23" s="30"/>
      <c r="DFC23" s="93"/>
      <c r="DFD23" s="30"/>
      <c r="DFI23" s="93"/>
      <c r="DFJ23" s="30"/>
      <c r="DFO23" s="93"/>
      <c r="DFP23" s="30"/>
      <c r="DFU23" s="93"/>
      <c r="DFV23" s="30"/>
      <c r="DGA23" s="93"/>
      <c r="DGB23" s="30"/>
      <c r="DGG23" s="93"/>
      <c r="DGH23" s="30"/>
      <c r="DGM23" s="93"/>
      <c r="DGN23" s="30"/>
      <c r="DGS23" s="93"/>
      <c r="DGT23" s="30"/>
      <c r="DGY23" s="93"/>
      <c r="DGZ23" s="30"/>
      <c r="DHE23" s="93"/>
      <c r="DHF23" s="30"/>
      <c r="DHK23" s="93"/>
      <c r="DHL23" s="30"/>
      <c r="DHQ23" s="93"/>
      <c r="DHR23" s="30"/>
      <c r="DHW23" s="93"/>
      <c r="DHX23" s="30"/>
      <c r="DIC23" s="93"/>
      <c r="DID23" s="30"/>
      <c r="DII23" s="93"/>
      <c r="DIJ23" s="30"/>
      <c r="DIO23" s="93"/>
      <c r="DIP23" s="30"/>
      <c r="DIU23" s="93"/>
      <c r="DIV23" s="30"/>
      <c r="DJA23" s="93"/>
      <c r="DJB23" s="30"/>
      <c r="DJG23" s="93"/>
      <c r="DJH23" s="30"/>
      <c r="DJM23" s="93"/>
      <c r="DJN23" s="30"/>
      <c r="DJS23" s="93"/>
      <c r="DJT23" s="30"/>
      <c r="DJY23" s="93"/>
      <c r="DJZ23" s="30"/>
      <c r="DKE23" s="93"/>
      <c r="DKF23" s="30"/>
      <c r="DKK23" s="93"/>
      <c r="DKL23" s="30"/>
      <c r="DKQ23" s="93"/>
      <c r="DKR23" s="30"/>
      <c r="DKW23" s="93"/>
      <c r="DKX23" s="30"/>
      <c r="DLC23" s="93"/>
      <c r="DLD23" s="30"/>
      <c r="DLI23" s="93"/>
      <c r="DLJ23" s="30"/>
      <c r="DLO23" s="93"/>
      <c r="DLP23" s="30"/>
      <c r="DLU23" s="93"/>
      <c r="DLV23" s="30"/>
      <c r="DMA23" s="93"/>
      <c r="DMB23" s="30"/>
      <c r="DMG23" s="93"/>
      <c r="DMH23" s="30"/>
      <c r="DMM23" s="93"/>
      <c r="DMN23" s="30"/>
      <c r="DMS23" s="93"/>
      <c r="DMT23" s="30"/>
      <c r="DMY23" s="93"/>
      <c r="DMZ23" s="30"/>
      <c r="DNE23" s="93"/>
      <c r="DNF23" s="30"/>
      <c r="DNK23" s="93"/>
      <c r="DNL23" s="30"/>
      <c r="DNQ23" s="93"/>
      <c r="DNR23" s="30"/>
      <c r="DNW23" s="93"/>
      <c r="DNX23" s="30"/>
      <c r="DOC23" s="93"/>
      <c r="DOD23" s="30"/>
      <c r="DOI23" s="93"/>
      <c r="DOJ23" s="30"/>
      <c r="DOO23" s="93"/>
      <c r="DOP23" s="30"/>
      <c r="DOU23" s="93"/>
      <c r="DOV23" s="30"/>
      <c r="DPA23" s="93"/>
      <c r="DPB23" s="30"/>
      <c r="DPG23" s="93"/>
      <c r="DPH23" s="30"/>
      <c r="DPM23" s="93"/>
      <c r="DPN23" s="30"/>
      <c r="DPS23" s="93"/>
      <c r="DPT23" s="30"/>
      <c r="DPY23" s="93"/>
      <c r="DPZ23" s="30"/>
      <c r="DQE23" s="93"/>
      <c r="DQF23" s="30"/>
      <c r="DQK23" s="93"/>
      <c r="DQL23" s="30"/>
      <c r="DQQ23" s="93"/>
      <c r="DQR23" s="30"/>
      <c r="DQW23" s="93"/>
      <c r="DQX23" s="30"/>
      <c r="DRC23" s="93"/>
      <c r="DRD23" s="30"/>
      <c r="DRI23" s="93"/>
      <c r="DRJ23" s="30"/>
      <c r="DRO23" s="93"/>
      <c r="DRP23" s="30"/>
      <c r="DRU23" s="93"/>
      <c r="DRV23" s="30"/>
      <c r="DSA23" s="93"/>
      <c r="DSB23" s="30"/>
      <c r="DSG23" s="93"/>
      <c r="DSH23" s="30"/>
      <c r="DSM23" s="93"/>
      <c r="DSN23" s="30"/>
      <c r="DSS23" s="93"/>
      <c r="DST23" s="30"/>
      <c r="DSY23" s="93"/>
      <c r="DSZ23" s="30"/>
      <c r="DTE23" s="93"/>
      <c r="DTF23" s="30"/>
      <c r="DTK23" s="93"/>
      <c r="DTL23" s="30"/>
      <c r="DTQ23" s="93"/>
      <c r="DTR23" s="30"/>
      <c r="DTW23" s="93"/>
      <c r="DTX23" s="30"/>
      <c r="DUC23" s="93"/>
      <c r="DUD23" s="30"/>
      <c r="DUI23" s="93"/>
      <c r="DUJ23" s="30"/>
      <c r="DUO23" s="93"/>
      <c r="DUP23" s="30"/>
      <c r="DUU23" s="93"/>
      <c r="DUV23" s="30"/>
      <c r="DVA23" s="93"/>
      <c r="DVB23" s="30"/>
      <c r="DVG23" s="93"/>
      <c r="DVH23" s="30"/>
      <c r="DVM23" s="93"/>
      <c r="DVN23" s="30"/>
      <c r="DVS23" s="93"/>
      <c r="DVT23" s="30"/>
      <c r="DVY23" s="93"/>
      <c r="DVZ23" s="30"/>
      <c r="DWE23" s="93"/>
      <c r="DWF23" s="30"/>
      <c r="DWK23" s="93"/>
      <c r="DWL23" s="30"/>
      <c r="DWQ23" s="93"/>
      <c r="DWR23" s="30"/>
      <c r="DWW23" s="93"/>
      <c r="DWX23" s="30"/>
      <c r="DXC23" s="93"/>
      <c r="DXD23" s="30"/>
      <c r="DXI23" s="93"/>
      <c r="DXJ23" s="30"/>
      <c r="DXO23" s="93"/>
      <c r="DXP23" s="30"/>
      <c r="DXU23" s="93"/>
      <c r="DXV23" s="30"/>
      <c r="DYA23" s="93"/>
      <c r="DYB23" s="30"/>
      <c r="DYG23" s="93"/>
      <c r="DYH23" s="30"/>
      <c r="DYM23" s="93"/>
      <c r="DYN23" s="30"/>
      <c r="DYS23" s="93"/>
      <c r="DYT23" s="30"/>
      <c r="DYY23" s="93"/>
      <c r="DYZ23" s="30"/>
      <c r="DZE23" s="93"/>
      <c r="DZF23" s="30"/>
      <c r="DZK23" s="93"/>
      <c r="DZL23" s="30"/>
      <c r="DZQ23" s="93"/>
      <c r="DZR23" s="30"/>
      <c r="DZW23" s="93"/>
      <c r="DZX23" s="30"/>
      <c r="EAC23" s="93"/>
      <c r="EAD23" s="30"/>
      <c r="EAI23" s="93"/>
      <c r="EAJ23" s="30"/>
      <c r="EAO23" s="93"/>
      <c r="EAP23" s="30"/>
      <c r="EAU23" s="93"/>
      <c r="EAV23" s="30"/>
      <c r="EBA23" s="93"/>
      <c r="EBB23" s="30"/>
      <c r="EBG23" s="93"/>
      <c r="EBH23" s="30"/>
      <c r="EBM23" s="93"/>
      <c r="EBN23" s="30"/>
      <c r="EBS23" s="93"/>
      <c r="EBT23" s="30"/>
      <c r="EBY23" s="93"/>
      <c r="EBZ23" s="30"/>
      <c r="ECE23" s="93"/>
      <c r="ECF23" s="30"/>
      <c r="ECK23" s="93"/>
      <c r="ECL23" s="30"/>
      <c r="ECQ23" s="93"/>
      <c r="ECR23" s="30"/>
      <c r="ECW23" s="93"/>
      <c r="ECX23" s="30"/>
      <c r="EDC23" s="93"/>
      <c r="EDD23" s="30"/>
      <c r="EDI23" s="93"/>
      <c r="EDJ23" s="30"/>
      <c r="EDO23" s="93"/>
      <c r="EDP23" s="30"/>
      <c r="EDU23" s="93"/>
      <c r="EDV23" s="30"/>
      <c r="EEA23" s="93"/>
      <c r="EEB23" s="30"/>
      <c r="EEG23" s="93"/>
      <c r="EEH23" s="30"/>
      <c r="EEM23" s="93"/>
      <c r="EEN23" s="30"/>
      <c r="EES23" s="93"/>
      <c r="EET23" s="30"/>
      <c r="EEY23" s="93"/>
      <c r="EEZ23" s="30"/>
      <c r="EFE23" s="93"/>
      <c r="EFF23" s="30"/>
      <c r="EFK23" s="93"/>
      <c r="EFL23" s="30"/>
      <c r="EFQ23" s="93"/>
      <c r="EFR23" s="30"/>
      <c r="EFW23" s="93"/>
      <c r="EFX23" s="30"/>
      <c r="EGC23" s="93"/>
      <c r="EGD23" s="30"/>
      <c r="EGI23" s="93"/>
      <c r="EGJ23" s="30"/>
      <c r="EGO23" s="93"/>
      <c r="EGP23" s="30"/>
      <c r="EGU23" s="93"/>
      <c r="EGV23" s="30"/>
      <c r="EHA23" s="93"/>
      <c r="EHB23" s="30"/>
      <c r="EHG23" s="93"/>
      <c r="EHH23" s="30"/>
      <c r="EHM23" s="93"/>
      <c r="EHN23" s="30"/>
      <c r="EHS23" s="93"/>
      <c r="EHT23" s="30"/>
      <c r="EHY23" s="93"/>
      <c r="EHZ23" s="30"/>
      <c r="EIE23" s="93"/>
      <c r="EIF23" s="30"/>
      <c r="EIK23" s="93"/>
      <c r="EIL23" s="30"/>
      <c r="EIQ23" s="93"/>
      <c r="EIR23" s="30"/>
      <c r="EIW23" s="93"/>
      <c r="EIX23" s="30"/>
      <c r="EJC23" s="93"/>
      <c r="EJD23" s="30"/>
      <c r="EJI23" s="93"/>
      <c r="EJJ23" s="30"/>
      <c r="EJO23" s="93"/>
      <c r="EJP23" s="30"/>
      <c r="EJU23" s="93"/>
      <c r="EJV23" s="30"/>
      <c r="EKA23" s="93"/>
      <c r="EKB23" s="30"/>
      <c r="EKG23" s="93"/>
      <c r="EKH23" s="30"/>
      <c r="EKM23" s="93"/>
      <c r="EKN23" s="30"/>
      <c r="EKS23" s="93"/>
      <c r="EKT23" s="30"/>
      <c r="EKY23" s="93"/>
      <c r="EKZ23" s="30"/>
      <c r="ELE23" s="93"/>
      <c r="ELF23" s="30"/>
      <c r="ELK23" s="93"/>
      <c r="ELL23" s="30"/>
      <c r="ELQ23" s="93"/>
      <c r="ELR23" s="30"/>
      <c r="ELW23" s="93"/>
      <c r="ELX23" s="30"/>
      <c r="EMC23" s="93"/>
      <c r="EMD23" s="30"/>
      <c r="EMI23" s="93"/>
      <c r="EMJ23" s="30"/>
      <c r="EMO23" s="93"/>
      <c r="EMP23" s="30"/>
      <c r="EMU23" s="93"/>
      <c r="EMV23" s="30"/>
      <c r="ENA23" s="93"/>
      <c r="ENB23" s="30"/>
      <c r="ENG23" s="93"/>
      <c r="ENH23" s="30"/>
      <c r="ENM23" s="93"/>
      <c r="ENN23" s="30"/>
      <c r="ENS23" s="93"/>
      <c r="ENT23" s="30"/>
      <c r="ENY23" s="93"/>
      <c r="ENZ23" s="30"/>
      <c r="EOE23" s="93"/>
      <c r="EOF23" s="30"/>
      <c r="EOK23" s="93"/>
      <c r="EOL23" s="30"/>
      <c r="EOQ23" s="93"/>
      <c r="EOR23" s="30"/>
      <c r="EOW23" s="93"/>
      <c r="EOX23" s="30"/>
      <c r="EPC23" s="93"/>
      <c r="EPD23" s="30"/>
      <c r="EPI23" s="93"/>
      <c r="EPJ23" s="30"/>
      <c r="EPO23" s="93"/>
      <c r="EPP23" s="30"/>
      <c r="EPU23" s="93"/>
      <c r="EPV23" s="30"/>
      <c r="EQA23" s="93"/>
      <c r="EQB23" s="30"/>
      <c r="EQG23" s="93"/>
      <c r="EQH23" s="30"/>
      <c r="EQM23" s="93"/>
      <c r="EQN23" s="30"/>
      <c r="EQS23" s="93"/>
      <c r="EQT23" s="30"/>
      <c r="EQY23" s="93"/>
      <c r="EQZ23" s="30"/>
      <c r="ERE23" s="93"/>
      <c r="ERF23" s="30"/>
      <c r="ERK23" s="93"/>
      <c r="ERL23" s="30"/>
      <c r="ERQ23" s="93"/>
      <c r="ERR23" s="30"/>
      <c r="ERW23" s="93"/>
      <c r="ERX23" s="30"/>
      <c r="ESC23" s="93"/>
      <c r="ESD23" s="30"/>
      <c r="ESI23" s="93"/>
      <c r="ESJ23" s="30"/>
      <c r="ESO23" s="93"/>
      <c r="ESP23" s="30"/>
      <c r="ESU23" s="93"/>
      <c r="ESV23" s="30"/>
      <c r="ETA23" s="93"/>
      <c r="ETB23" s="30"/>
      <c r="ETG23" s="93"/>
      <c r="ETH23" s="30"/>
      <c r="ETM23" s="93"/>
      <c r="ETN23" s="30"/>
      <c r="ETS23" s="93"/>
      <c r="ETT23" s="30"/>
      <c r="ETY23" s="93"/>
      <c r="ETZ23" s="30"/>
      <c r="EUE23" s="93"/>
      <c r="EUF23" s="30"/>
      <c r="EUK23" s="93"/>
      <c r="EUL23" s="30"/>
      <c r="EUQ23" s="93"/>
      <c r="EUR23" s="30"/>
      <c r="EUW23" s="93"/>
      <c r="EUX23" s="30"/>
      <c r="EVC23" s="93"/>
      <c r="EVD23" s="30"/>
      <c r="EVI23" s="93"/>
      <c r="EVJ23" s="30"/>
      <c r="EVO23" s="93"/>
      <c r="EVP23" s="30"/>
      <c r="EVU23" s="93"/>
      <c r="EVV23" s="30"/>
      <c r="EWA23" s="93"/>
      <c r="EWB23" s="30"/>
      <c r="EWG23" s="93"/>
      <c r="EWH23" s="30"/>
      <c r="EWM23" s="93"/>
      <c r="EWN23" s="30"/>
      <c r="EWS23" s="93"/>
      <c r="EWT23" s="30"/>
      <c r="EWY23" s="93"/>
      <c r="EWZ23" s="30"/>
      <c r="EXE23" s="93"/>
      <c r="EXF23" s="30"/>
      <c r="EXK23" s="93"/>
      <c r="EXL23" s="30"/>
      <c r="EXQ23" s="93"/>
      <c r="EXR23" s="30"/>
      <c r="EXW23" s="93"/>
      <c r="EXX23" s="30"/>
      <c r="EYC23" s="93"/>
      <c r="EYD23" s="30"/>
      <c r="EYI23" s="93"/>
      <c r="EYJ23" s="30"/>
      <c r="EYO23" s="93"/>
      <c r="EYP23" s="30"/>
      <c r="EYU23" s="93"/>
      <c r="EYV23" s="30"/>
      <c r="EZA23" s="93"/>
      <c r="EZB23" s="30"/>
      <c r="EZG23" s="93"/>
      <c r="EZH23" s="30"/>
      <c r="EZM23" s="93"/>
      <c r="EZN23" s="30"/>
      <c r="EZS23" s="93"/>
      <c r="EZT23" s="30"/>
      <c r="EZY23" s="93"/>
      <c r="EZZ23" s="30"/>
      <c r="FAE23" s="93"/>
      <c r="FAF23" s="30"/>
      <c r="FAK23" s="93"/>
      <c r="FAL23" s="30"/>
      <c r="FAQ23" s="93"/>
      <c r="FAR23" s="30"/>
      <c r="FAW23" s="93"/>
      <c r="FAX23" s="30"/>
      <c r="FBC23" s="93"/>
      <c r="FBD23" s="30"/>
      <c r="FBI23" s="93"/>
      <c r="FBJ23" s="30"/>
      <c r="FBO23" s="93"/>
      <c r="FBP23" s="30"/>
      <c r="FBU23" s="93"/>
      <c r="FBV23" s="30"/>
      <c r="FCA23" s="93"/>
      <c r="FCB23" s="30"/>
      <c r="FCG23" s="93"/>
      <c r="FCH23" s="30"/>
      <c r="FCM23" s="93"/>
      <c r="FCN23" s="30"/>
      <c r="FCS23" s="93"/>
      <c r="FCT23" s="30"/>
      <c r="FCY23" s="93"/>
      <c r="FCZ23" s="30"/>
      <c r="FDE23" s="93"/>
      <c r="FDF23" s="30"/>
      <c r="FDK23" s="93"/>
      <c r="FDL23" s="30"/>
      <c r="FDQ23" s="93"/>
      <c r="FDR23" s="30"/>
      <c r="FDW23" s="93"/>
      <c r="FDX23" s="30"/>
      <c r="FEC23" s="93"/>
      <c r="FED23" s="30"/>
      <c r="FEI23" s="93"/>
      <c r="FEJ23" s="30"/>
      <c r="FEO23" s="93"/>
      <c r="FEP23" s="30"/>
      <c r="FEU23" s="93"/>
      <c r="FEV23" s="30"/>
      <c r="FFA23" s="93"/>
      <c r="FFB23" s="30"/>
      <c r="FFG23" s="93"/>
      <c r="FFH23" s="30"/>
      <c r="FFM23" s="93"/>
      <c r="FFN23" s="30"/>
      <c r="FFS23" s="93"/>
      <c r="FFT23" s="30"/>
      <c r="FFY23" s="93"/>
      <c r="FFZ23" s="30"/>
      <c r="FGE23" s="93"/>
      <c r="FGF23" s="30"/>
      <c r="FGK23" s="93"/>
      <c r="FGL23" s="30"/>
      <c r="FGQ23" s="93"/>
      <c r="FGR23" s="30"/>
      <c r="FGW23" s="93"/>
      <c r="FGX23" s="30"/>
      <c r="FHC23" s="93"/>
      <c r="FHD23" s="30"/>
      <c r="FHI23" s="93"/>
      <c r="FHJ23" s="30"/>
      <c r="FHO23" s="93"/>
      <c r="FHP23" s="30"/>
      <c r="FHU23" s="93"/>
      <c r="FHV23" s="30"/>
      <c r="FIA23" s="93"/>
      <c r="FIB23" s="30"/>
      <c r="FIG23" s="93"/>
      <c r="FIH23" s="30"/>
      <c r="FIM23" s="93"/>
      <c r="FIN23" s="30"/>
      <c r="FIS23" s="93"/>
      <c r="FIT23" s="30"/>
      <c r="FIY23" s="93"/>
      <c r="FIZ23" s="30"/>
      <c r="FJE23" s="93"/>
      <c r="FJF23" s="30"/>
      <c r="FJK23" s="93"/>
      <c r="FJL23" s="30"/>
      <c r="FJQ23" s="93"/>
      <c r="FJR23" s="30"/>
      <c r="FJW23" s="93"/>
      <c r="FJX23" s="30"/>
      <c r="FKC23" s="93"/>
      <c r="FKD23" s="30"/>
      <c r="FKI23" s="93"/>
      <c r="FKJ23" s="30"/>
      <c r="FKO23" s="93"/>
      <c r="FKP23" s="30"/>
      <c r="FKU23" s="93"/>
      <c r="FKV23" s="30"/>
      <c r="FLA23" s="93"/>
      <c r="FLB23" s="30"/>
      <c r="FLG23" s="93"/>
      <c r="FLH23" s="30"/>
      <c r="FLM23" s="93"/>
      <c r="FLN23" s="30"/>
      <c r="FLS23" s="93"/>
      <c r="FLT23" s="30"/>
      <c r="FLY23" s="93"/>
      <c r="FLZ23" s="30"/>
      <c r="FME23" s="93"/>
      <c r="FMF23" s="30"/>
      <c r="FMK23" s="93"/>
      <c r="FML23" s="30"/>
      <c r="FMQ23" s="93"/>
      <c r="FMR23" s="30"/>
      <c r="FMW23" s="93"/>
      <c r="FMX23" s="30"/>
      <c r="FNC23" s="93"/>
      <c r="FND23" s="30"/>
      <c r="FNI23" s="93"/>
      <c r="FNJ23" s="30"/>
      <c r="FNO23" s="93"/>
      <c r="FNP23" s="30"/>
      <c r="FNU23" s="93"/>
      <c r="FNV23" s="30"/>
      <c r="FOA23" s="93"/>
      <c r="FOB23" s="30"/>
      <c r="FOG23" s="93"/>
      <c r="FOH23" s="30"/>
      <c r="FOM23" s="93"/>
      <c r="FON23" s="30"/>
      <c r="FOS23" s="93"/>
      <c r="FOT23" s="30"/>
      <c r="FOY23" s="93"/>
      <c r="FOZ23" s="30"/>
      <c r="FPE23" s="93"/>
      <c r="FPF23" s="30"/>
      <c r="FPK23" s="93"/>
      <c r="FPL23" s="30"/>
      <c r="FPQ23" s="93"/>
      <c r="FPR23" s="30"/>
      <c r="FPW23" s="93"/>
      <c r="FPX23" s="30"/>
      <c r="FQC23" s="93"/>
      <c r="FQD23" s="30"/>
      <c r="FQI23" s="93"/>
      <c r="FQJ23" s="30"/>
      <c r="FQO23" s="93"/>
      <c r="FQP23" s="30"/>
      <c r="FQU23" s="93"/>
      <c r="FQV23" s="30"/>
      <c r="FRA23" s="93"/>
      <c r="FRB23" s="30"/>
      <c r="FRG23" s="93"/>
      <c r="FRH23" s="30"/>
      <c r="FRM23" s="93"/>
      <c r="FRN23" s="30"/>
      <c r="FRS23" s="93"/>
      <c r="FRT23" s="30"/>
      <c r="FRY23" s="93"/>
      <c r="FRZ23" s="30"/>
      <c r="FSE23" s="93"/>
      <c r="FSF23" s="30"/>
      <c r="FSK23" s="93"/>
      <c r="FSL23" s="30"/>
      <c r="FSQ23" s="93"/>
      <c r="FSR23" s="30"/>
      <c r="FSW23" s="93"/>
      <c r="FSX23" s="30"/>
      <c r="FTC23" s="93"/>
      <c r="FTD23" s="30"/>
      <c r="FTI23" s="93"/>
      <c r="FTJ23" s="30"/>
      <c r="FTO23" s="93"/>
      <c r="FTP23" s="30"/>
      <c r="FTU23" s="93"/>
      <c r="FTV23" s="30"/>
      <c r="FUA23" s="93"/>
      <c r="FUB23" s="30"/>
      <c r="FUG23" s="93"/>
      <c r="FUH23" s="30"/>
      <c r="FUM23" s="93"/>
      <c r="FUN23" s="30"/>
      <c r="FUS23" s="93"/>
      <c r="FUT23" s="30"/>
      <c r="FUY23" s="93"/>
      <c r="FUZ23" s="30"/>
      <c r="FVE23" s="93"/>
      <c r="FVF23" s="30"/>
      <c r="FVK23" s="93"/>
      <c r="FVL23" s="30"/>
      <c r="FVQ23" s="93"/>
      <c r="FVR23" s="30"/>
      <c r="FVW23" s="93"/>
      <c r="FVX23" s="30"/>
      <c r="FWC23" s="93"/>
      <c r="FWD23" s="30"/>
      <c r="FWI23" s="93"/>
      <c r="FWJ23" s="30"/>
      <c r="FWO23" s="93"/>
      <c r="FWP23" s="30"/>
      <c r="FWU23" s="93"/>
      <c r="FWV23" s="30"/>
      <c r="FXA23" s="93"/>
      <c r="FXB23" s="30"/>
      <c r="FXG23" s="93"/>
      <c r="FXH23" s="30"/>
      <c r="FXM23" s="93"/>
      <c r="FXN23" s="30"/>
      <c r="FXS23" s="93"/>
      <c r="FXT23" s="30"/>
      <c r="FXY23" s="93"/>
      <c r="FXZ23" s="30"/>
      <c r="FYE23" s="93"/>
      <c r="FYF23" s="30"/>
      <c r="FYK23" s="93"/>
      <c r="FYL23" s="30"/>
      <c r="FYQ23" s="93"/>
      <c r="FYR23" s="30"/>
      <c r="FYW23" s="93"/>
      <c r="FYX23" s="30"/>
      <c r="FZC23" s="93"/>
      <c r="FZD23" s="30"/>
      <c r="FZI23" s="93"/>
      <c r="FZJ23" s="30"/>
      <c r="FZO23" s="93"/>
      <c r="FZP23" s="30"/>
      <c r="FZU23" s="93"/>
      <c r="FZV23" s="30"/>
      <c r="GAA23" s="93"/>
      <c r="GAB23" s="30"/>
      <c r="GAG23" s="93"/>
      <c r="GAH23" s="30"/>
      <c r="GAM23" s="93"/>
      <c r="GAN23" s="30"/>
      <c r="GAS23" s="93"/>
      <c r="GAT23" s="30"/>
      <c r="GAY23" s="93"/>
      <c r="GAZ23" s="30"/>
      <c r="GBE23" s="93"/>
      <c r="GBF23" s="30"/>
      <c r="GBK23" s="93"/>
      <c r="GBL23" s="30"/>
      <c r="GBQ23" s="93"/>
      <c r="GBR23" s="30"/>
      <c r="GBW23" s="93"/>
      <c r="GBX23" s="30"/>
      <c r="GCC23" s="93"/>
      <c r="GCD23" s="30"/>
      <c r="GCI23" s="93"/>
      <c r="GCJ23" s="30"/>
      <c r="GCO23" s="93"/>
      <c r="GCP23" s="30"/>
      <c r="GCU23" s="93"/>
      <c r="GCV23" s="30"/>
      <c r="GDA23" s="93"/>
      <c r="GDB23" s="30"/>
      <c r="GDG23" s="93"/>
      <c r="GDH23" s="30"/>
      <c r="GDM23" s="93"/>
      <c r="GDN23" s="30"/>
      <c r="GDS23" s="93"/>
      <c r="GDT23" s="30"/>
      <c r="GDY23" s="93"/>
      <c r="GDZ23" s="30"/>
      <c r="GEE23" s="93"/>
      <c r="GEF23" s="30"/>
      <c r="GEK23" s="93"/>
      <c r="GEL23" s="30"/>
      <c r="GEQ23" s="93"/>
      <c r="GER23" s="30"/>
      <c r="GEW23" s="93"/>
      <c r="GEX23" s="30"/>
      <c r="GFC23" s="93"/>
      <c r="GFD23" s="30"/>
      <c r="GFI23" s="93"/>
      <c r="GFJ23" s="30"/>
      <c r="GFO23" s="93"/>
      <c r="GFP23" s="30"/>
      <c r="GFU23" s="93"/>
      <c r="GFV23" s="30"/>
      <c r="GGA23" s="93"/>
      <c r="GGB23" s="30"/>
      <c r="GGG23" s="93"/>
      <c r="GGH23" s="30"/>
      <c r="GGM23" s="93"/>
      <c r="GGN23" s="30"/>
      <c r="GGS23" s="93"/>
      <c r="GGT23" s="30"/>
      <c r="GGY23" s="93"/>
      <c r="GGZ23" s="30"/>
      <c r="GHE23" s="93"/>
      <c r="GHF23" s="30"/>
      <c r="GHK23" s="93"/>
      <c r="GHL23" s="30"/>
      <c r="GHQ23" s="93"/>
      <c r="GHR23" s="30"/>
      <c r="GHW23" s="93"/>
      <c r="GHX23" s="30"/>
      <c r="GIC23" s="93"/>
      <c r="GID23" s="30"/>
      <c r="GII23" s="93"/>
      <c r="GIJ23" s="30"/>
      <c r="GIO23" s="93"/>
      <c r="GIP23" s="30"/>
      <c r="GIU23" s="93"/>
      <c r="GIV23" s="30"/>
      <c r="GJA23" s="93"/>
      <c r="GJB23" s="30"/>
      <c r="GJG23" s="93"/>
      <c r="GJH23" s="30"/>
      <c r="GJM23" s="93"/>
      <c r="GJN23" s="30"/>
      <c r="GJS23" s="93"/>
      <c r="GJT23" s="30"/>
      <c r="GJY23" s="93"/>
      <c r="GJZ23" s="30"/>
      <c r="GKE23" s="93"/>
      <c r="GKF23" s="30"/>
      <c r="GKK23" s="93"/>
      <c r="GKL23" s="30"/>
      <c r="GKQ23" s="93"/>
      <c r="GKR23" s="30"/>
      <c r="GKW23" s="93"/>
      <c r="GKX23" s="30"/>
      <c r="GLC23" s="93"/>
      <c r="GLD23" s="30"/>
      <c r="GLI23" s="93"/>
      <c r="GLJ23" s="30"/>
      <c r="GLO23" s="93"/>
      <c r="GLP23" s="30"/>
      <c r="GLU23" s="93"/>
      <c r="GLV23" s="30"/>
      <c r="GMA23" s="93"/>
      <c r="GMB23" s="30"/>
      <c r="GMG23" s="93"/>
      <c r="GMH23" s="30"/>
      <c r="GMM23" s="93"/>
      <c r="GMN23" s="30"/>
      <c r="GMS23" s="93"/>
      <c r="GMT23" s="30"/>
      <c r="GMY23" s="93"/>
      <c r="GMZ23" s="30"/>
      <c r="GNE23" s="93"/>
      <c r="GNF23" s="30"/>
      <c r="GNK23" s="93"/>
      <c r="GNL23" s="30"/>
      <c r="GNQ23" s="93"/>
      <c r="GNR23" s="30"/>
      <c r="GNW23" s="93"/>
      <c r="GNX23" s="30"/>
      <c r="GOC23" s="93"/>
      <c r="GOD23" s="30"/>
      <c r="GOI23" s="93"/>
      <c r="GOJ23" s="30"/>
      <c r="GOO23" s="93"/>
      <c r="GOP23" s="30"/>
      <c r="GOU23" s="93"/>
      <c r="GOV23" s="30"/>
      <c r="GPA23" s="93"/>
      <c r="GPB23" s="30"/>
      <c r="GPG23" s="93"/>
      <c r="GPH23" s="30"/>
      <c r="GPM23" s="93"/>
      <c r="GPN23" s="30"/>
      <c r="GPS23" s="93"/>
      <c r="GPT23" s="30"/>
      <c r="GPY23" s="93"/>
      <c r="GPZ23" s="30"/>
      <c r="GQE23" s="93"/>
      <c r="GQF23" s="30"/>
      <c r="GQK23" s="93"/>
      <c r="GQL23" s="30"/>
      <c r="GQQ23" s="93"/>
      <c r="GQR23" s="30"/>
      <c r="GQW23" s="93"/>
      <c r="GQX23" s="30"/>
      <c r="GRC23" s="93"/>
      <c r="GRD23" s="30"/>
      <c r="GRI23" s="93"/>
      <c r="GRJ23" s="30"/>
      <c r="GRO23" s="93"/>
      <c r="GRP23" s="30"/>
      <c r="GRU23" s="93"/>
      <c r="GRV23" s="30"/>
      <c r="GSA23" s="93"/>
      <c r="GSB23" s="30"/>
      <c r="GSG23" s="93"/>
      <c r="GSH23" s="30"/>
      <c r="GSM23" s="93"/>
      <c r="GSN23" s="30"/>
      <c r="GSS23" s="93"/>
      <c r="GST23" s="30"/>
      <c r="GSY23" s="93"/>
      <c r="GSZ23" s="30"/>
      <c r="GTE23" s="93"/>
      <c r="GTF23" s="30"/>
      <c r="GTK23" s="93"/>
      <c r="GTL23" s="30"/>
      <c r="GTQ23" s="93"/>
      <c r="GTR23" s="30"/>
      <c r="GTW23" s="93"/>
      <c r="GTX23" s="30"/>
      <c r="GUC23" s="93"/>
      <c r="GUD23" s="30"/>
      <c r="GUI23" s="93"/>
      <c r="GUJ23" s="30"/>
      <c r="GUO23" s="93"/>
      <c r="GUP23" s="30"/>
      <c r="GUU23" s="93"/>
      <c r="GUV23" s="30"/>
      <c r="GVA23" s="93"/>
      <c r="GVB23" s="30"/>
      <c r="GVG23" s="93"/>
      <c r="GVH23" s="30"/>
      <c r="GVM23" s="93"/>
      <c r="GVN23" s="30"/>
      <c r="GVS23" s="93"/>
      <c r="GVT23" s="30"/>
      <c r="GVY23" s="93"/>
      <c r="GVZ23" s="30"/>
      <c r="GWE23" s="93"/>
      <c r="GWF23" s="30"/>
      <c r="GWK23" s="93"/>
      <c r="GWL23" s="30"/>
      <c r="GWQ23" s="93"/>
      <c r="GWR23" s="30"/>
      <c r="GWW23" s="93"/>
      <c r="GWX23" s="30"/>
      <c r="GXC23" s="93"/>
      <c r="GXD23" s="30"/>
      <c r="GXI23" s="93"/>
      <c r="GXJ23" s="30"/>
      <c r="GXO23" s="93"/>
      <c r="GXP23" s="30"/>
      <c r="GXU23" s="93"/>
      <c r="GXV23" s="30"/>
      <c r="GYA23" s="93"/>
      <c r="GYB23" s="30"/>
      <c r="GYG23" s="93"/>
      <c r="GYH23" s="30"/>
      <c r="GYM23" s="93"/>
      <c r="GYN23" s="30"/>
      <c r="GYS23" s="93"/>
      <c r="GYT23" s="30"/>
      <c r="GYY23" s="93"/>
      <c r="GYZ23" s="30"/>
      <c r="GZE23" s="93"/>
      <c r="GZF23" s="30"/>
      <c r="GZK23" s="93"/>
      <c r="GZL23" s="30"/>
      <c r="GZQ23" s="93"/>
      <c r="GZR23" s="30"/>
      <c r="GZW23" s="93"/>
      <c r="GZX23" s="30"/>
      <c r="HAC23" s="93"/>
      <c r="HAD23" s="30"/>
      <c r="HAI23" s="93"/>
      <c r="HAJ23" s="30"/>
      <c r="HAO23" s="93"/>
      <c r="HAP23" s="30"/>
      <c r="HAU23" s="93"/>
      <c r="HAV23" s="30"/>
      <c r="HBA23" s="93"/>
      <c r="HBB23" s="30"/>
      <c r="HBG23" s="93"/>
      <c r="HBH23" s="30"/>
      <c r="HBM23" s="93"/>
      <c r="HBN23" s="30"/>
      <c r="HBS23" s="93"/>
      <c r="HBT23" s="30"/>
      <c r="HBY23" s="93"/>
      <c r="HBZ23" s="30"/>
      <c r="HCE23" s="93"/>
      <c r="HCF23" s="30"/>
      <c r="HCK23" s="93"/>
      <c r="HCL23" s="30"/>
      <c r="HCQ23" s="93"/>
      <c r="HCR23" s="30"/>
      <c r="HCW23" s="93"/>
      <c r="HCX23" s="30"/>
      <c r="HDC23" s="93"/>
      <c r="HDD23" s="30"/>
      <c r="HDI23" s="93"/>
      <c r="HDJ23" s="30"/>
      <c r="HDO23" s="93"/>
      <c r="HDP23" s="30"/>
      <c r="HDU23" s="93"/>
      <c r="HDV23" s="30"/>
      <c r="HEA23" s="93"/>
      <c r="HEB23" s="30"/>
      <c r="HEG23" s="93"/>
      <c r="HEH23" s="30"/>
      <c r="HEM23" s="93"/>
      <c r="HEN23" s="30"/>
      <c r="HES23" s="93"/>
      <c r="HET23" s="30"/>
      <c r="HEY23" s="93"/>
      <c r="HEZ23" s="30"/>
      <c r="HFE23" s="93"/>
      <c r="HFF23" s="30"/>
      <c r="HFK23" s="93"/>
      <c r="HFL23" s="30"/>
      <c r="HFQ23" s="93"/>
      <c r="HFR23" s="30"/>
      <c r="HFW23" s="93"/>
      <c r="HFX23" s="30"/>
      <c r="HGC23" s="93"/>
      <c r="HGD23" s="30"/>
      <c r="HGI23" s="93"/>
      <c r="HGJ23" s="30"/>
      <c r="HGO23" s="93"/>
      <c r="HGP23" s="30"/>
      <c r="HGU23" s="93"/>
      <c r="HGV23" s="30"/>
      <c r="HHA23" s="93"/>
      <c r="HHB23" s="30"/>
      <c r="HHG23" s="93"/>
      <c r="HHH23" s="30"/>
      <c r="HHM23" s="93"/>
      <c r="HHN23" s="30"/>
      <c r="HHS23" s="93"/>
      <c r="HHT23" s="30"/>
      <c r="HHY23" s="93"/>
      <c r="HHZ23" s="30"/>
      <c r="HIE23" s="93"/>
      <c r="HIF23" s="30"/>
      <c r="HIK23" s="93"/>
      <c r="HIL23" s="30"/>
      <c r="HIQ23" s="93"/>
      <c r="HIR23" s="30"/>
      <c r="HIW23" s="93"/>
      <c r="HIX23" s="30"/>
      <c r="HJC23" s="93"/>
      <c r="HJD23" s="30"/>
      <c r="HJI23" s="93"/>
      <c r="HJJ23" s="30"/>
      <c r="HJO23" s="93"/>
      <c r="HJP23" s="30"/>
      <c r="HJU23" s="93"/>
      <c r="HJV23" s="30"/>
      <c r="HKA23" s="93"/>
      <c r="HKB23" s="30"/>
      <c r="HKG23" s="93"/>
      <c r="HKH23" s="30"/>
      <c r="HKM23" s="93"/>
      <c r="HKN23" s="30"/>
      <c r="HKS23" s="93"/>
      <c r="HKT23" s="30"/>
      <c r="HKY23" s="93"/>
      <c r="HKZ23" s="30"/>
      <c r="HLE23" s="93"/>
      <c r="HLF23" s="30"/>
      <c r="HLK23" s="93"/>
      <c r="HLL23" s="30"/>
      <c r="HLQ23" s="93"/>
      <c r="HLR23" s="30"/>
      <c r="HLW23" s="93"/>
      <c r="HLX23" s="30"/>
      <c r="HMC23" s="93"/>
      <c r="HMD23" s="30"/>
      <c r="HMI23" s="93"/>
      <c r="HMJ23" s="30"/>
      <c r="HMO23" s="93"/>
      <c r="HMP23" s="30"/>
      <c r="HMU23" s="93"/>
      <c r="HMV23" s="30"/>
      <c r="HNA23" s="93"/>
      <c r="HNB23" s="30"/>
      <c r="HNG23" s="93"/>
      <c r="HNH23" s="30"/>
      <c r="HNM23" s="93"/>
      <c r="HNN23" s="30"/>
      <c r="HNS23" s="93"/>
      <c r="HNT23" s="30"/>
      <c r="HNY23" s="93"/>
      <c r="HNZ23" s="30"/>
      <c r="HOE23" s="93"/>
      <c r="HOF23" s="30"/>
      <c r="HOK23" s="93"/>
      <c r="HOL23" s="30"/>
      <c r="HOQ23" s="93"/>
      <c r="HOR23" s="30"/>
      <c r="HOW23" s="93"/>
      <c r="HOX23" s="30"/>
      <c r="HPC23" s="93"/>
      <c r="HPD23" s="30"/>
      <c r="HPI23" s="93"/>
      <c r="HPJ23" s="30"/>
      <c r="HPO23" s="93"/>
      <c r="HPP23" s="30"/>
      <c r="HPU23" s="93"/>
      <c r="HPV23" s="30"/>
      <c r="HQA23" s="93"/>
      <c r="HQB23" s="30"/>
      <c r="HQG23" s="93"/>
      <c r="HQH23" s="30"/>
      <c r="HQM23" s="93"/>
      <c r="HQN23" s="30"/>
      <c r="HQS23" s="93"/>
      <c r="HQT23" s="30"/>
      <c r="HQY23" s="93"/>
      <c r="HQZ23" s="30"/>
      <c r="HRE23" s="93"/>
      <c r="HRF23" s="30"/>
      <c r="HRK23" s="93"/>
      <c r="HRL23" s="30"/>
      <c r="HRQ23" s="93"/>
      <c r="HRR23" s="30"/>
      <c r="HRW23" s="93"/>
      <c r="HRX23" s="30"/>
      <c r="HSC23" s="93"/>
      <c r="HSD23" s="30"/>
      <c r="HSI23" s="93"/>
      <c r="HSJ23" s="30"/>
      <c r="HSO23" s="93"/>
      <c r="HSP23" s="30"/>
      <c r="HSU23" s="93"/>
      <c r="HSV23" s="30"/>
      <c r="HTA23" s="93"/>
      <c r="HTB23" s="30"/>
      <c r="HTG23" s="93"/>
      <c r="HTH23" s="30"/>
      <c r="HTM23" s="93"/>
      <c r="HTN23" s="30"/>
      <c r="HTS23" s="93"/>
      <c r="HTT23" s="30"/>
      <c r="HTY23" s="93"/>
      <c r="HTZ23" s="30"/>
      <c r="HUE23" s="93"/>
      <c r="HUF23" s="30"/>
      <c r="HUK23" s="93"/>
      <c r="HUL23" s="30"/>
      <c r="HUQ23" s="93"/>
      <c r="HUR23" s="30"/>
      <c r="HUW23" s="93"/>
      <c r="HUX23" s="30"/>
      <c r="HVC23" s="93"/>
      <c r="HVD23" s="30"/>
      <c r="HVI23" s="93"/>
      <c r="HVJ23" s="30"/>
      <c r="HVO23" s="93"/>
      <c r="HVP23" s="30"/>
      <c r="HVU23" s="93"/>
      <c r="HVV23" s="30"/>
      <c r="HWA23" s="93"/>
      <c r="HWB23" s="30"/>
      <c r="HWG23" s="93"/>
      <c r="HWH23" s="30"/>
      <c r="HWM23" s="93"/>
      <c r="HWN23" s="30"/>
      <c r="HWS23" s="93"/>
      <c r="HWT23" s="30"/>
      <c r="HWY23" s="93"/>
      <c r="HWZ23" s="30"/>
      <c r="HXE23" s="93"/>
      <c r="HXF23" s="30"/>
      <c r="HXK23" s="93"/>
      <c r="HXL23" s="30"/>
      <c r="HXQ23" s="93"/>
      <c r="HXR23" s="30"/>
      <c r="HXW23" s="93"/>
      <c r="HXX23" s="30"/>
      <c r="HYC23" s="93"/>
      <c r="HYD23" s="30"/>
      <c r="HYI23" s="93"/>
      <c r="HYJ23" s="30"/>
      <c r="HYO23" s="93"/>
      <c r="HYP23" s="30"/>
      <c r="HYU23" s="93"/>
      <c r="HYV23" s="30"/>
      <c r="HZA23" s="93"/>
      <c r="HZB23" s="30"/>
      <c r="HZG23" s="93"/>
      <c r="HZH23" s="30"/>
      <c r="HZM23" s="93"/>
      <c r="HZN23" s="30"/>
      <c r="HZS23" s="93"/>
      <c r="HZT23" s="30"/>
      <c r="HZY23" s="93"/>
      <c r="HZZ23" s="30"/>
      <c r="IAE23" s="93"/>
      <c r="IAF23" s="30"/>
      <c r="IAK23" s="93"/>
      <c r="IAL23" s="30"/>
      <c r="IAQ23" s="93"/>
      <c r="IAR23" s="30"/>
      <c r="IAW23" s="93"/>
      <c r="IAX23" s="30"/>
      <c r="IBC23" s="93"/>
      <c r="IBD23" s="30"/>
      <c r="IBI23" s="93"/>
      <c r="IBJ23" s="30"/>
      <c r="IBO23" s="93"/>
      <c r="IBP23" s="30"/>
      <c r="IBU23" s="93"/>
      <c r="IBV23" s="30"/>
      <c r="ICA23" s="93"/>
      <c r="ICB23" s="30"/>
      <c r="ICG23" s="93"/>
      <c r="ICH23" s="30"/>
      <c r="ICM23" s="93"/>
      <c r="ICN23" s="30"/>
      <c r="ICS23" s="93"/>
      <c r="ICT23" s="30"/>
      <c r="ICY23" s="93"/>
      <c r="ICZ23" s="30"/>
      <c r="IDE23" s="93"/>
      <c r="IDF23" s="30"/>
      <c r="IDK23" s="93"/>
      <c r="IDL23" s="30"/>
      <c r="IDQ23" s="93"/>
      <c r="IDR23" s="30"/>
      <c r="IDW23" s="93"/>
      <c r="IDX23" s="30"/>
      <c r="IEC23" s="93"/>
      <c r="IED23" s="30"/>
      <c r="IEI23" s="93"/>
      <c r="IEJ23" s="30"/>
      <c r="IEO23" s="93"/>
      <c r="IEP23" s="30"/>
      <c r="IEU23" s="93"/>
      <c r="IEV23" s="30"/>
      <c r="IFA23" s="93"/>
      <c r="IFB23" s="30"/>
      <c r="IFG23" s="93"/>
      <c r="IFH23" s="30"/>
      <c r="IFM23" s="93"/>
      <c r="IFN23" s="30"/>
      <c r="IFS23" s="93"/>
      <c r="IFT23" s="30"/>
      <c r="IFY23" s="93"/>
      <c r="IFZ23" s="30"/>
      <c r="IGE23" s="93"/>
      <c r="IGF23" s="30"/>
      <c r="IGK23" s="93"/>
      <c r="IGL23" s="30"/>
      <c r="IGQ23" s="93"/>
      <c r="IGR23" s="30"/>
      <c r="IGW23" s="93"/>
      <c r="IGX23" s="30"/>
      <c r="IHC23" s="93"/>
      <c r="IHD23" s="30"/>
      <c r="IHI23" s="93"/>
      <c r="IHJ23" s="30"/>
      <c r="IHO23" s="93"/>
      <c r="IHP23" s="30"/>
      <c r="IHU23" s="93"/>
      <c r="IHV23" s="30"/>
      <c r="IIA23" s="93"/>
      <c r="IIB23" s="30"/>
      <c r="IIG23" s="93"/>
      <c r="IIH23" s="30"/>
      <c r="IIM23" s="93"/>
      <c r="IIN23" s="30"/>
      <c r="IIS23" s="93"/>
      <c r="IIT23" s="30"/>
      <c r="IIY23" s="93"/>
      <c r="IIZ23" s="30"/>
      <c r="IJE23" s="93"/>
      <c r="IJF23" s="30"/>
      <c r="IJK23" s="93"/>
      <c r="IJL23" s="30"/>
      <c r="IJQ23" s="93"/>
      <c r="IJR23" s="30"/>
      <c r="IJW23" s="93"/>
      <c r="IJX23" s="30"/>
      <c r="IKC23" s="93"/>
      <c r="IKD23" s="30"/>
      <c r="IKI23" s="93"/>
      <c r="IKJ23" s="30"/>
      <c r="IKO23" s="93"/>
      <c r="IKP23" s="30"/>
      <c r="IKU23" s="93"/>
      <c r="IKV23" s="30"/>
      <c r="ILA23" s="93"/>
      <c r="ILB23" s="30"/>
      <c r="ILG23" s="93"/>
      <c r="ILH23" s="30"/>
      <c r="ILM23" s="93"/>
      <c r="ILN23" s="30"/>
      <c r="ILS23" s="93"/>
      <c r="ILT23" s="30"/>
      <c r="ILY23" s="93"/>
      <c r="ILZ23" s="30"/>
      <c r="IME23" s="93"/>
      <c r="IMF23" s="30"/>
      <c r="IMK23" s="93"/>
      <c r="IML23" s="30"/>
      <c r="IMQ23" s="93"/>
      <c r="IMR23" s="30"/>
      <c r="IMW23" s="93"/>
      <c r="IMX23" s="30"/>
      <c r="INC23" s="93"/>
      <c r="IND23" s="30"/>
      <c r="INI23" s="93"/>
      <c r="INJ23" s="30"/>
      <c r="INO23" s="93"/>
      <c r="INP23" s="30"/>
      <c r="INU23" s="93"/>
      <c r="INV23" s="30"/>
      <c r="IOA23" s="93"/>
      <c r="IOB23" s="30"/>
      <c r="IOG23" s="93"/>
      <c r="IOH23" s="30"/>
      <c r="IOM23" s="93"/>
      <c r="ION23" s="30"/>
      <c r="IOS23" s="93"/>
      <c r="IOT23" s="30"/>
      <c r="IOY23" s="93"/>
      <c r="IOZ23" s="30"/>
      <c r="IPE23" s="93"/>
      <c r="IPF23" s="30"/>
      <c r="IPK23" s="93"/>
      <c r="IPL23" s="30"/>
      <c r="IPQ23" s="93"/>
      <c r="IPR23" s="30"/>
      <c r="IPW23" s="93"/>
      <c r="IPX23" s="30"/>
      <c r="IQC23" s="93"/>
      <c r="IQD23" s="30"/>
      <c r="IQI23" s="93"/>
      <c r="IQJ23" s="30"/>
      <c r="IQO23" s="93"/>
      <c r="IQP23" s="30"/>
      <c r="IQU23" s="93"/>
      <c r="IQV23" s="30"/>
      <c r="IRA23" s="93"/>
      <c r="IRB23" s="30"/>
      <c r="IRG23" s="93"/>
      <c r="IRH23" s="30"/>
      <c r="IRM23" s="93"/>
      <c r="IRN23" s="30"/>
      <c r="IRS23" s="93"/>
      <c r="IRT23" s="30"/>
      <c r="IRY23" s="93"/>
      <c r="IRZ23" s="30"/>
      <c r="ISE23" s="93"/>
      <c r="ISF23" s="30"/>
      <c r="ISK23" s="93"/>
      <c r="ISL23" s="30"/>
      <c r="ISQ23" s="93"/>
      <c r="ISR23" s="30"/>
      <c r="ISW23" s="93"/>
      <c r="ISX23" s="30"/>
      <c r="ITC23" s="93"/>
      <c r="ITD23" s="30"/>
      <c r="ITI23" s="93"/>
      <c r="ITJ23" s="30"/>
      <c r="ITO23" s="93"/>
      <c r="ITP23" s="30"/>
      <c r="ITU23" s="93"/>
      <c r="ITV23" s="30"/>
      <c r="IUA23" s="93"/>
      <c r="IUB23" s="30"/>
      <c r="IUG23" s="93"/>
      <c r="IUH23" s="30"/>
      <c r="IUM23" s="93"/>
      <c r="IUN23" s="30"/>
      <c r="IUS23" s="93"/>
      <c r="IUT23" s="30"/>
      <c r="IUY23" s="93"/>
      <c r="IUZ23" s="30"/>
      <c r="IVE23" s="93"/>
      <c r="IVF23" s="30"/>
      <c r="IVK23" s="93"/>
      <c r="IVL23" s="30"/>
      <c r="IVQ23" s="93"/>
      <c r="IVR23" s="30"/>
      <c r="IVW23" s="93"/>
      <c r="IVX23" s="30"/>
      <c r="IWC23" s="93"/>
      <c r="IWD23" s="30"/>
      <c r="IWI23" s="93"/>
      <c r="IWJ23" s="30"/>
      <c r="IWO23" s="93"/>
      <c r="IWP23" s="30"/>
      <c r="IWU23" s="93"/>
      <c r="IWV23" s="30"/>
      <c r="IXA23" s="93"/>
      <c r="IXB23" s="30"/>
      <c r="IXG23" s="93"/>
      <c r="IXH23" s="30"/>
      <c r="IXM23" s="93"/>
      <c r="IXN23" s="30"/>
      <c r="IXS23" s="93"/>
      <c r="IXT23" s="30"/>
      <c r="IXY23" s="93"/>
      <c r="IXZ23" s="30"/>
      <c r="IYE23" s="93"/>
      <c r="IYF23" s="30"/>
      <c r="IYK23" s="93"/>
      <c r="IYL23" s="30"/>
      <c r="IYQ23" s="93"/>
      <c r="IYR23" s="30"/>
      <c r="IYW23" s="93"/>
      <c r="IYX23" s="30"/>
      <c r="IZC23" s="93"/>
      <c r="IZD23" s="30"/>
      <c r="IZI23" s="93"/>
      <c r="IZJ23" s="30"/>
      <c r="IZO23" s="93"/>
      <c r="IZP23" s="30"/>
      <c r="IZU23" s="93"/>
      <c r="IZV23" s="30"/>
      <c r="JAA23" s="93"/>
      <c r="JAB23" s="30"/>
      <c r="JAG23" s="93"/>
      <c r="JAH23" s="30"/>
      <c r="JAM23" s="93"/>
      <c r="JAN23" s="30"/>
      <c r="JAS23" s="93"/>
      <c r="JAT23" s="30"/>
      <c r="JAY23" s="93"/>
      <c r="JAZ23" s="30"/>
      <c r="JBE23" s="93"/>
      <c r="JBF23" s="30"/>
      <c r="JBK23" s="93"/>
      <c r="JBL23" s="30"/>
      <c r="JBQ23" s="93"/>
      <c r="JBR23" s="30"/>
      <c r="JBW23" s="93"/>
      <c r="JBX23" s="30"/>
      <c r="JCC23" s="93"/>
      <c r="JCD23" s="30"/>
      <c r="JCI23" s="93"/>
      <c r="JCJ23" s="30"/>
      <c r="JCO23" s="93"/>
      <c r="JCP23" s="30"/>
      <c r="JCU23" s="93"/>
      <c r="JCV23" s="30"/>
      <c r="JDA23" s="93"/>
      <c r="JDB23" s="30"/>
      <c r="JDG23" s="93"/>
      <c r="JDH23" s="30"/>
      <c r="JDM23" s="93"/>
      <c r="JDN23" s="30"/>
      <c r="JDS23" s="93"/>
      <c r="JDT23" s="30"/>
      <c r="JDY23" s="93"/>
      <c r="JDZ23" s="30"/>
      <c r="JEE23" s="93"/>
      <c r="JEF23" s="30"/>
      <c r="JEK23" s="93"/>
      <c r="JEL23" s="30"/>
      <c r="JEQ23" s="93"/>
      <c r="JER23" s="30"/>
      <c r="JEW23" s="93"/>
      <c r="JEX23" s="30"/>
      <c r="JFC23" s="93"/>
      <c r="JFD23" s="30"/>
      <c r="JFI23" s="93"/>
      <c r="JFJ23" s="30"/>
      <c r="JFO23" s="93"/>
      <c r="JFP23" s="30"/>
      <c r="JFU23" s="93"/>
      <c r="JFV23" s="30"/>
      <c r="JGA23" s="93"/>
      <c r="JGB23" s="30"/>
      <c r="JGG23" s="93"/>
      <c r="JGH23" s="30"/>
      <c r="JGM23" s="93"/>
      <c r="JGN23" s="30"/>
      <c r="JGS23" s="93"/>
      <c r="JGT23" s="30"/>
      <c r="JGY23" s="93"/>
      <c r="JGZ23" s="30"/>
      <c r="JHE23" s="93"/>
      <c r="JHF23" s="30"/>
      <c r="JHK23" s="93"/>
      <c r="JHL23" s="30"/>
      <c r="JHQ23" s="93"/>
      <c r="JHR23" s="30"/>
      <c r="JHW23" s="93"/>
      <c r="JHX23" s="30"/>
      <c r="JIC23" s="93"/>
      <c r="JID23" s="30"/>
      <c r="JII23" s="93"/>
      <c r="JIJ23" s="30"/>
      <c r="JIO23" s="93"/>
      <c r="JIP23" s="30"/>
      <c r="JIU23" s="93"/>
      <c r="JIV23" s="30"/>
      <c r="JJA23" s="93"/>
      <c r="JJB23" s="30"/>
      <c r="JJG23" s="93"/>
      <c r="JJH23" s="30"/>
      <c r="JJM23" s="93"/>
      <c r="JJN23" s="30"/>
      <c r="JJS23" s="93"/>
      <c r="JJT23" s="30"/>
      <c r="JJY23" s="93"/>
      <c r="JJZ23" s="30"/>
      <c r="JKE23" s="93"/>
      <c r="JKF23" s="30"/>
      <c r="JKK23" s="93"/>
      <c r="JKL23" s="30"/>
      <c r="JKQ23" s="93"/>
      <c r="JKR23" s="30"/>
      <c r="JKW23" s="93"/>
      <c r="JKX23" s="30"/>
      <c r="JLC23" s="93"/>
      <c r="JLD23" s="30"/>
      <c r="JLI23" s="93"/>
      <c r="JLJ23" s="30"/>
      <c r="JLO23" s="93"/>
      <c r="JLP23" s="30"/>
      <c r="JLU23" s="93"/>
      <c r="JLV23" s="30"/>
      <c r="JMA23" s="93"/>
      <c r="JMB23" s="30"/>
      <c r="JMG23" s="93"/>
      <c r="JMH23" s="30"/>
      <c r="JMM23" s="93"/>
      <c r="JMN23" s="30"/>
      <c r="JMS23" s="93"/>
      <c r="JMT23" s="30"/>
      <c r="JMY23" s="93"/>
      <c r="JMZ23" s="30"/>
      <c r="JNE23" s="93"/>
      <c r="JNF23" s="30"/>
      <c r="JNK23" s="93"/>
      <c r="JNL23" s="30"/>
      <c r="JNQ23" s="93"/>
      <c r="JNR23" s="30"/>
      <c r="JNW23" s="93"/>
      <c r="JNX23" s="30"/>
      <c r="JOC23" s="93"/>
      <c r="JOD23" s="30"/>
      <c r="JOI23" s="93"/>
      <c r="JOJ23" s="30"/>
      <c r="JOO23" s="93"/>
      <c r="JOP23" s="30"/>
      <c r="JOU23" s="93"/>
      <c r="JOV23" s="30"/>
      <c r="JPA23" s="93"/>
      <c r="JPB23" s="30"/>
      <c r="JPG23" s="93"/>
      <c r="JPH23" s="30"/>
      <c r="JPM23" s="93"/>
      <c r="JPN23" s="30"/>
      <c r="JPS23" s="93"/>
      <c r="JPT23" s="30"/>
      <c r="JPY23" s="93"/>
      <c r="JPZ23" s="30"/>
      <c r="JQE23" s="93"/>
      <c r="JQF23" s="30"/>
      <c r="JQK23" s="93"/>
      <c r="JQL23" s="30"/>
      <c r="JQQ23" s="93"/>
      <c r="JQR23" s="30"/>
      <c r="JQW23" s="93"/>
      <c r="JQX23" s="30"/>
      <c r="JRC23" s="93"/>
      <c r="JRD23" s="30"/>
      <c r="JRI23" s="93"/>
      <c r="JRJ23" s="30"/>
      <c r="JRO23" s="93"/>
      <c r="JRP23" s="30"/>
      <c r="JRU23" s="93"/>
      <c r="JRV23" s="30"/>
      <c r="JSA23" s="93"/>
      <c r="JSB23" s="30"/>
      <c r="JSG23" s="93"/>
      <c r="JSH23" s="30"/>
      <c r="JSM23" s="93"/>
      <c r="JSN23" s="30"/>
      <c r="JSS23" s="93"/>
      <c r="JST23" s="30"/>
      <c r="JSY23" s="93"/>
      <c r="JSZ23" s="30"/>
      <c r="JTE23" s="93"/>
      <c r="JTF23" s="30"/>
      <c r="JTK23" s="93"/>
      <c r="JTL23" s="30"/>
      <c r="JTQ23" s="93"/>
      <c r="JTR23" s="30"/>
      <c r="JTW23" s="93"/>
      <c r="JTX23" s="30"/>
      <c r="JUC23" s="93"/>
      <c r="JUD23" s="30"/>
      <c r="JUI23" s="93"/>
      <c r="JUJ23" s="30"/>
      <c r="JUO23" s="93"/>
      <c r="JUP23" s="30"/>
      <c r="JUU23" s="93"/>
      <c r="JUV23" s="30"/>
      <c r="JVA23" s="93"/>
      <c r="JVB23" s="30"/>
      <c r="JVG23" s="93"/>
      <c r="JVH23" s="30"/>
      <c r="JVM23" s="93"/>
      <c r="JVN23" s="30"/>
      <c r="JVS23" s="93"/>
      <c r="JVT23" s="30"/>
      <c r="JVY23" s="93"/>
      <c r="JVZ23" s="30"/>
      <c r="JWE23" s="93"/>
      <c r="JWF23" s="30"/>
      <c r="JWK23" s="93"/>
      <c r="JWL23" s="30"/>
      <c r="JWQ23" s="93"/>
      <c r="JWR23" s="30"/>
      <c r="JWW23" s="93"/>
      <c r="JWX23" s="30"/>
      <c r="JXC23" s="93"/>
      <c r="JXD23" s="30"/>
      <c r="JXI23" s="93"/>
      <c r="JXJ23" s="30"/>
      <c r="JXO23" s="93"/>
      <c r="JXP23" s="30"/>
      <c r="JXU23" s="93"/>
      <c r="JXV23" s="30"/>
      <c r="JYA23" s="93"/>
      <c r="JYB23" s="30"/>
      <c r="JYG23" s="93"/>
      <c r="JYH23" s="30"/>
      <c r="JYM23" s="93"/>
      <c r="JYN23" s="30"/>
      <c r="JYS23" s="93"/>
      <c r="JYT23" s="30"/>
      <c r="JYY23" s="93"/>
      <c r="JYZ23" s="30"/>
      <c r="JZE23" s="93"/>
      <c r="JZF23" s="30"/>
      <c r="JZK23" s="93"/>
      <c r="JZL23" s="30"/>
      <c r="JZQ23" s="93"/>
      <c r="JZR23" s="30"/>
      <c r="JZW23" s="93"/>
      <c r="JZX23" s="30"/>
      <c r="KAC23" s="93"/>
      <c r="KAD23" s="30"/>
      <c r="KAI23" s="93"/>
      <c r="KAJ23" s="30"/>
      <c r="KAO23" s="93"/>
      <c r="KAP23" s="30"/>
      <c r="KAU23" s="93"/>
      <c r="KAV23" s="30"/>
      <c r="KBA23" s="93"/>
      <c r="KBB23" s="30"/>
      <c r="KBG23" s="93"/>
      <c r="KBH23" s="30"/>
      <c r="KBM23" s="93"/>
      <c r="KBN23" s="30"/>
      <c r="KBS23" s="93"/>
      <c r="KBT23" s="30"/>
      <c r="KBY23" s="93"/>
      <c r="KBZ23" s="30"/>
      <c r="KCE23" s="93"/>
      <c r="KCF23" s="30"/>
      <c r="KCK23" s="93"/>
      <c r="KCL23" s="30"/>
      <c r="KCQ23" s="93"/>
      <c r="KCR23" s="30"/>
      <c r="KCW23" s="93"/>
      <c r="KCX23" s="30"/>
      <c r="KDC23" s="93"/>
      <c r="KDD23" s="30"/>
      <c r="KDI23" s="93"/>
      <c r="KDJ23" s="30"/>
      <c r="KDO23" s="93"/>
      <c r="KDP23" s="30"/>
      <c r="KDU23" s="93"/>
      <c r="KDV23" s="30"/>
      <c r="KEA23" s="93"/>
      <c r="KEB23" s="30"/>
      <c r="KEG23" s="93"/>
      <c r="KEH23" s="30"/>
      <c r="KEM23" s="93"/>
      <c r="KEN23" s="30"/>
      <c r="KES23" s="93"/>
      <c r="KET23" s="30"/>
      <c r="KEY23" s="93"/>
      <c r="KEZ23" s="30"/>
      <c r="KFE23" s="93"/>
      <c r="KFF23" s="30"/>
      <c r="KFK23" s="93"/>
      <c r="KFL23" s="30"/>
      <c r="KFQ23" s="93"/>
      <c r="KFR23" s="30"/>
      <c r="KFW23" s="93"/>
      <c r="KFX23" s="30"/>
      <c r="KGC23" s="93"/>
      <c r="KGD23" s="30"/>
      <c r="KGI23" s="93"/>
      <c r="KGJ23" s="30"/>
      <c r="KGO23" s="93"/>
      <c r="KGP23" s="30"/>
      <c r="KGU23" s="93"/>
      <c r="KGV23" s="30"/>
      <c r="KHA23" s="93"/>
      <c r="KHB23" s="30"/>
      <c r="KHG23" s="93"/>
      <c r="KHH23" s="30"/>
      <c r="KHM23" s="93"/>
      <c r="KHN23" s="30"/>
      <c r="KHS23" s="93"/>
      <c r="KHT23" s="30"/>
      <c r="KHY23" s="93"/>
      <c r="KHZ23" s="30"/>
      <c r="KIE23" s="93"/>
      <c r="KIF23" s="30"/>
      <c r="KIK23" s="93"/>
      <c r="KIL23" s="30"/>
      <c r="KIQ23" s="93"/>
      <c r="KIR23" s="30"/>
      <c r="KIW23" s="93"/>
      <c r="KIX23" s="30"/>
      <c r="KJC23" s="93"/>
      <c r="KJD23" s="30"/>
      <c r="KJI23" s="93"/>
      <c r="KJJ23" s="30"/>
      <c r="KJO23" s="93"/>
      <c r="KJP23" s="30"/>
      <c r="KJU23" s="93"/>
      <c r="KJV23" s="30"/>
      <c r="KKA23" s="93"/>
      <c r="KKB23" s="30"/>
      <c r="KKG23" s="93"/>
      <c r="KKH23" s="30"/>
      <c r="KKM23" s="93"/>
      <c r="KKN23" s="30"/>
      <c r="KKS23" s="93"/>
      <c r="KKT23" s="30"/>
      <c r="KKY23" s="93"/>
      <c r="KKZ23" s="30"/>
      <c r="KLE23" s="93"/>
      <c r="KLF23" s="30"/>
      <c r="KLK23" s="93"/>
      <c r="KLL23" s="30"/>
      <c r="KLQ23" s="93"/>
      <c r="KLR23" s="30"/>
      <c r="KLW23" s="93"/>
      <c r="KLX23" s="30"/>
      <c r="KMC23" s="93"/>
      <c r="KMD23" s="30"/>
      <c r="KMI23" s="93"/>
      <c r="KMJ23" s="30"/>
      <c r="KMO23" s="93"/>
      <c r="KMP23" s="30"/>
      <c r="KMU23" s="93"/>
      <c r="KMV23" s="30"/>
      <c r="KNA23" s="93"/>
      <c r="KNB23" s="30"/>
      <c r="KNG23" s="93"/>
      <c r="KNH23" s="30"/>
      <c r="KNM23" s="93"/>
      <c r="KNN23" s="30"/>
      <c r="KNS23" s="93"/>
      <c r="KNT23" s="30"/>
      <c r="KNY23" s="93"/>
      <c r="KNZ23" s="30"/>
      <c r="KOE23" s="93"/>
      <c r="KOF23" s="30"/>
      <c r="KOK23" s="93"/>
      <c r="KOL23" s="30"/>
      <c r="KOQ23" s="93"/>
      <c r="KOR23" s="30"/>
      <c r="KOW23" s="93"/>
      <c r="KOX23" s="30"/>
      <c r="KPC23" s="93"/>
      <c r="KPD23" s="30"/>
      <c r="KPI23" s="93"/>
      <c r="KPJ23" s="30"/>
      <c r="KPO23" s="93"/>
      <c r="KPP23" s="30"/>
      <c r="KPU23" s="93"/>
      <c r="KPV23" s="30"/>
      <c r="KQA23" s="93"/>
      <c r="KQB23" s="30"/>
      <c r="KQG23" s="93"/>
      <c r="KQH23" s="30"/>
      <c r="KQM23" s="93"/>
      <c r="KQN23" s="30"/>
      <c r="KQS23" s="93"/>
      <c r="KQT23" s="30"/>
      <c r="KQY23" s="93"/>
      <c r="KQZ23" s="30"/>
      <c r="KRE23" s="93"/>
      <c r="KRF23" s="30"/>
      <c r="KRK23" s="93"/>
      <c r="KRL23" s="30"/>
      <c r="KRQ23" s="93"/>
      <c r="KRR23" s="30"/>
      <c r="KRW23" s="93"/>
      <c r="KRX23" s="30"/>
      <c r="KSC23" s="93"/>
      <c r="KSD23" s="30"/>
      <c r="KSI23" s="93"/>
      <c r="KSJ23" s="30"/>
      <c r="KSO23" s="93"/>
      <c r="KSP23" s="30"/>
      <c r="KSU23" s="93"/>
      <c r="KSV23" s="30"/>
      <c r="KTA23" s="93"/>
      <c r="KTB23" s="30"/>
      <c r="KTG23" s="93"/>
      <c r="KTH23" s="30"/>
      <c r="KTM23" s="93"/>
      <c r="KTN23" s="30"/>
      <c r="KTS23" s="93"/>
      <c r="KTT23" s="30"/>
      <c r="KTY23" s="93"/>
      <c r="KTZ23" s="30"/>
      <c r="KUE23" s="93"/>
      <c r="KUF23" s="30"/>
      <c r="KUK23" s="93"/>
      <c r="KUL23" s="30"/>
      <c r="KUQ23" s="93"/>
      <c r="KUR23" s="30"/>
      <c r="KUW23" s="93"/>
      <c r="KUX23" s="30"/>
      <c r="KVC23" s="93"/>
      <c r="KVD23" s="30"/>
      <c r="KVI23" s="93"/>
      <c r="KVJ23" s="30"/>
      <c r="KVO23" s="93"/>
      <c r="KVP23" s="30"/>
      <c r="KVU23" s="93"/>
      <c r="KVV23" s="30"/>
      <c r="KWA23" s="93"/>
      <c r="KWB23" s="30"/>
      <c r="KWG23" s="93"/>
      <c r="KWH23" s="30"/>
      <c r="KWM23" s="93"/>
      <c r="KWN23" s="30"/>
      <c r="KWS23" s="93"/>
      <c r="KWT23" s="30"/>
      <c r="KWY23" s="93"/>
      <c r="KWZ23" s="30"/>
      <c r="KXE23" s="93"/>
      <c r="KXF23" s="30"/>
      <c r="KXK23" s="93"/>
      <c r="KXL23" s="30"/>
      <c r="KXQ23" s="93"/>
      <c r="KXR23" s="30"/>
      <c r="KXW23" s="93"/>
      <c r="KXX23" s="30"/>
      <c r="KYC23" s="93"/>
      <c r="KYD23" s="30"/>
      <c r="KYI23" s="93"/>
      <c r="KYJ23" s="30"/>
      <c r="KYO23" s="93"/>
      <c r="KYP23" s="30"/>
      <c r="KYU23" s="93"/>
      <c r="KYV23" s="30"/>
      <c r="KZA23" s="93"/>
      <c r="KZB23" s="30"/>
      <c r="KZG23" s="93"/>
      <c r="KZH23" s="30"/>
      <c r="KZM23" s="93"/>
      <c r="KZN23" s="30"/>
      <c r="KZS23" s="93"/>
      <c r="KZT23" s="30"/>
      <c r="KZY23" s="93"/>
      <c r="KZZ23" s="30"/>
      <c r="LAE23" s="93"/>
      <c r="LAF23" s="30"/>
      <c r="LAK23" s="93"/>
      <c r="LAL23" s="30"/>
      <c r="LAQ23" s="93"/>
      <c r="LAR23" s="30"/>
      <c r="LAW23" s="93"/>
      <c r="LAX23" s="30"/>
      <c r="LBC23" s="93"/>
      <c r="LBD23" s="30"/>
      <c r="LBI23" s="93"/>
      <c r="LBJ23" s="30"/>
      <c r="LBO23" s="93"/>
      <c r="LBP23" s="30"/>
      <c r="LBU23" s="93"/>
      <c r="LBV23" s="30"/>
      <c r="LCA23" s="93"/>
      <c r="LCB23" s="30"/>
      <c r="LCG23" s="93"/>
      <c r="LCH23" s="30"/>
      <c r="LCM23" s="93"/>
      <c r="LCN23" s="30"/>
      <c r="LCS23" s="93"/>
      <c r="LCT23" s="30"/>
      <c r="LCY23" s="93"/>
      <c r="LCZ23" s="30"/>
      <c r="LDE23" s="93"/>
      <c r="LDF23" s="30"/>
      <c r="LDK23" s="93"/>
      <c r="LDL23" s="30"/>
      <c r="LDQ23" s="93"/>
      <c r="LDR23" s="30"/>
      <c r="LDW23" s="93"/>
      <c r="LDX23" s="30"/>
      <c r="LEC23" s="93"/>
      <c r="LED23" s="30"/>
      <c r="LEI23" s="93"/>
      <c r="LEJ23" s="30"/>
      <c r="LEO23" s="93"/>
      <c r="LEP23" s="30"/>
      <c r="LEU23" s="93"/>
      <c r="LEV23" s="30"/>
      <c r="LFA23" s="93"/>
      <c r="LFB23" s="30"/>
      <c r="LFG23" s="93"/>
      <c r="LFH23" s="30"/>
      <c r="LFM23" s="93"/>
      <c r="LFN23" s="30"/>
      <c r="LFS23" s="93"/>
      <c r="LFT23" s="30"/>
      <c r="LFY23" s="93"/>
      <c r="LFZ23" s="30"/>
      <c r="LGE23" s="93"/>
      <c r="LGF23" s="30"/>
      <c r="LGK23" s="93"/>
      <c r="LGL23" s="30"/>
      <c r="LGQ23" s="93"/>
      <c r="LGR23" s="30"/>
      <c r="LGW23" s="93"/>
      <c r="LGX23" s="30"/>
      <c r="LHC23" s="93"/>
      <c r="LHD23" s="30"/>
      <c r="LHI23" s="93"/>
      <c r="LHJ23" s="30"/>
      <c r="LHO23" s="93"/>
      <c r="LHP23" s="30"/>
      <c r="LHU23" s="93"/>
      <c r="LHV23" s="30"/>
      <c r="LIA23" s="93"/>
      <c r="LIB23" s="30"/>
      <c r="LIG23" s="93"/>
      <c r="LIH23" s="30"/>
      <c r="LIM23" s="93"/>
      <c r="LIN23" s="30"/>
      <c r="LIS23" s="93"/>
      <c r="LIT23" s="30"/>
      <c r="LIY23" s="93"/>
      <c r="LIZ23" s="30"/>
      <c r="LJE23" s="93"/>
      <c r="LJF23" s="30"/>
      <c r="LJK23" s="93"/>
      <c r="LJL23" s="30"/>
      <c r="LJQ23" s="93"/>
      <c r="LJR23" s="30"/>
      <c r="LJW23" s="93"/>
      <c r="LJX23" s="30"/>
      <c r="LKC23" s="93"/>
      <c r="LKD23" s="30"/>
      <c r="LKI23" s="93"/>
      <c r="LKJ23" s="30"/>
      <c r="LKO23" s="93"/>
      <c r="LKP23" s="30"/>
      <c r="LKU23" s="93"/>
      <c r="LKV23" s="30"/>
      <c r="LLA23" s="93"/>
      <c r="LLB23" s="30"/>
      <c r="LLG23" s="93"/>
      <c r="LLH23" s="30"/>
      <c r="LLM23" s="93"/>
      <c r="LLN23" s="30"/>
      <c r="LLS23" s="93"/>
      <c r="LLT23" s="30"/>
      <c r="LLY23" s="93"/>
      <c r="LLZ23" s="30"/>
      <c r="LME23" s="93"/>
      <c r="LMF23" s="30"/>
      <c r="LMK23" s="93"/>
      <c r="LML23" s="30"/>
      <c r="LMQ23" s="93"/>
      <c r="LMR23" s="30"/>
      <c r="LMW23" s="93"/>
      <c r="LMX23" s="30"/>
      <c r="LNC23" s="93"/>
      <c r="LND23" s="30"/>
      <c r="LNI23" s="93"/>
      <c r="LNJ23" s="30"/>
      <c r="LNO23" s="93"/>
      <c r="LNP23" s="30"/>
      <c r="LNU23" s="93"/>
      <c r="LNV23" s="30"/>
      <c r="LOA23" s="93"/>
      <c r="LOB23" s="30"/>
      <c r="LOG23" s="93"/>
      <c r="LOH23" s="30"/>
      <c r="LOM23" s="93"/>
      <c r="LON23" s="30"/>
      <c r="LOS23" s="93"/>
      <c r="LOT23" s="30"/>
      <c r="LOY23" s="93"/>
      <c r="LOZ23" s="30"/>
      <c r="LPE23" s="93"/>
      <c r="LPF23" s="30"/>
      <c r="LPK23" s="93"/>
      <c r="LPL23" s="30"/>
      <c r="LPQ23" s="93"/>
      <c r="LPR23" s="30"/>
      <c r="LPW23" s="93"/>
      <c r="LPX23" s="30"/>
      <c r="LQC23" s="93"/>
      <c r="LQD23" s="30"/>
      <c r="LQI23" s="93"/>
      <c r="LQJ23" s="30"/>
      <c r="LQO23" s="93"/>
      <c r="LQP23" s="30"/>
      <c r="LQU23" s="93"/>
      <c r="LQV23" s="30"/>
      <c r="LRA23" s="93"/>
      <c r="LRB23" s="30"/>
      <c r="LRG23" s="93"/>
      <c r="LRH23" s="30"/>
      <c r="LRM23" s="93"/>
      <c r="LRN23" s="30"/>
      <c r="LRS23" s="93"/>
      <c r="LRT23" s="30"/>
      <c r="LRY23" s="93"/>
      <c r="LRZ23" s="30"/>
      <c r="LSE23" s="93"/>
      <c r="LSF23" s="30"/>
      <c r="LSK23" s="93"/>
      <c r="LSL23" s="30"/>
      <c r="LSQ23" s="93"/>
      <c r="LSR23" s="30"/>
      <c r="LSW23" s="93"/>
      <c r="LSX23" s="30"/>
      <c r="LTC23" s="93"/>
      <c r="LTD23" s="30"/>
      <c r="LTI23" s="93"/>
      <c r="LTJ23" s="30"/>
      <c r="LTO23" s="93"/>
      <c r="LTP23" s="30"/>
      <c r="LTU23" s="93"/>
      <c r="LTV23" s="30"/>
      <c r="LUA23" s="93"/>
      <c r="LUB23" s="30"/>
      <c r="LUG23" s="93"/>
      <c r="LUH23" s="30"/>
      <c r="LUM23" s="93"/>
      <c r="LUN23" s="30"/>
      <c r="LUS23" s="93"/>
      <c r="LUT23" s="30"/>
      <c r="LUY23" s="93"/>
      <c r="LUZ23" s="30"/>
      <c r="LVE23" s="93"/>
      <c r="LVF23" s="30"/>
      <c r="LVK23" s="93"/>
      <c r="LVL23" s="30"/>
      <c r="LVQ23" s="93"/>
      <c r="LVR23" s="30"/>
      <c r="LVW23" s="93"/>
      <c r="LVX23" s="30"/>
      <c r="LWC23" s="93"/>
      <c r="LWD23" s="30"/>
      <c r="LWI23" s="93"/>
      <c r="LWJ23" s="30"/>
      <c r="LWO23" s="93"/>
      <c r="LWP23" s="30"/>
      <c r="LWU23" s="93"/>
      <c r="LWV23" s="30"/>
      <c r="LXA23" s="93"/>
      <c r="LXB23" s="30"/>
      <c r="LXG23" s="93"/>
      <c r="LXH23" s="30"/>
      <c r="LXM23" s="93"/>
      <c r="LXN23" s="30"/>
      <c r="LXS23" s="93"/>
      <c r="LXT23" s="30"/>
      <c r="LXY23" s="93"/>
      <c r="LXZ23" s="30"/>
      <c r="LYE23" s="93"/>
      <c r="LYF23" s="30"/>
      <c r="LYK23" s="93"/>
      <c r="LYL23" s="30"/>
      <c r="LYQ23" s="93"/>
      <c r="LYR23" s="30"/>
      <c r="LYW23" s="93"/>
      <c r="LYX23" s="30"/>
      <c r="LZC23" s="93"/>
      <c r="LZD23" s="30"/>
      <c r="LZI23" s="93"/>
      <c r="LZJ23" s="30"/>
      <c r="LZO23" s="93"/>
      <c r="LZP23" s="30"/>
      <c r="LZU23" s="93"/>
      <c r="LZV23" s="30"/>
      <c r="MAA23" s="93"/>
      <c r="MAB23" s="30"/>
      <c r="MAG23" s="93"/>
      <c r="MAH23" s="30"/>
      <c r="MAM23" s="93"/>
      <c r="MAN23" s="30"/>
      <c r="MAS23" s="93"/>
      <c r="MAT23" s="30"/>
      <c r="MAY23" s="93"/>
      <c r="MAZ23" s="30"/>
      <c r="MBE23" s="93"/>
      <c r="MBF23" s="30"/>
      <c r="MBK23" s="93"/>
      <c r="MBL23" s="30"/>
      <c r="MBQ23" s="93"/>
      <c r="MBR23" s="30"/>
      <c r="MBW23" s="93"/>
      <c r="MBX23" s="30"/>
      <c r="MCC23" s="93"/>
      <c r="MCD23" s="30"/>
      <c r="MCI23" s="93"/>
      <c r="MCJ23" s="30"/>
      <c r="MCO23" s="93"/>
      <c r="MCP23" s="30"/>
      <c r="MCU23" s="93"/>
      <c r="MCV23" s="30"/>
      <c r="MDA23" s="93"/>
      <c r="MDB23" s="30"/>
      <c r="MDG23" s="93"/>
      <c r="MDH23" s="30"/>
      <c r="MDM23" s="93"/>
      <c r="MDN23" s="30"/>
      <c r="MDS23" s="93"/>
      <c r="MDT23" s="30"/>
      <c r="MDY23" s="93"/>
      <c r="MDZ23" s="30"/>
      <c r="MEE23" s="93"/>
      <c r="MEF23" s="30"/>
      <c r="MEK23" s="93"/>
      <c r="MEL23" s="30"/>
      <c r="MEQ23" s="93"/>
      <c r="MER23" s="30"/>
      <c r="MEW23" s="93"/>
      <c r="MEX23" s="30"/>
      <c r="MFC23" s="93"/>
      <c r="MFD23" s="30"/>
      <c r="MFI23" s="93"/>
      <c r="MFJ23" s="30"/>
      <c r="MFO23" s="93"/>
      <c r="MFP23" s="30"/>
      <c r="MFU23" s="93"/>
      <c r="MFV23" s="30"/>
      <c r="MGA23" s="93"/>
      <c r="MGB23" s="30"/>
      <c r="MGG23" s="93"/>
      <c r="MGH23" s="30"/>
      <c r="MGM23" s="93"/>
      <c r="MGN23" s="30"/>
      <c r="MGS23" s="93"/>
      <c r="MGT23" s="30"/>
      <c r="MGY23" s="93"/>
      <c r="MGZ23" s="30"/>
      <c r="MHE23" s="93"/>
      <c r="MHF23" s="30"/>
      <c r="MHK23" s="93"/>
      <c r="MHL23" s="30"/>
      <c r="MHQ23" s="93"/>
      <c r="MHR23" s="30"/>
      <c r="MHW23" s="93"/>
      <c r="MHX23" s="30"/>
      <c r="MIC23" s="93"/>
      <c r="MID23" s="30"/>
      <c r="MII23" s="93"/>
      <c r="MIJ23" s="30"/>
      <c r="MIO23" s="93"/>
      <c r="MIP23" s="30"/>
      <c r="MIU23" s="93"/>
      <c r="MIV23" s="30"/>
      <c r="MJA23" s="93"/>
      <c r="MJB23" s="30"/>
      <c r="MJG23" s="93"/>
      <c r="MJH23" s="30"/>
      <c r="MJM23" s="93"/>
      <c r="MJN23" s="30"/>
      <c r="MJS23" s="93"/>
      <c r="MJT23" s="30"/>
      <c r="MJY23" s="93"/>
      <c r="MJZ23" s="30"/>
      <c r="MKE23" s="93"/>
      <c r="MKF23" s="30"/>
      <c r="MKK23" s="93"/>
      <c r="MKL23" s="30"/>
      <c r="MKQ23" s="93"/>
      <c r="MKR23" s="30"/>
      <c r="MKW23" s="93"/>
      <c r="MKX23" s="30"/>
      <c r="MLC23" s="93"/>
      <c r="MLD23" s="30"/>
      <c r="MLI23" s="93"/>
      <c r="MLJ23" s="30"/>
      <c r="MLO23" s="93"/>
      <c r="MLP23" s="30"/>
      <c r="MLU23" s="93"/>
      <c r="MLV23" s="30"/>
      <c r="MMA23" s="93"/>
      <c r="MMB23" s="30"/>
      <c r="MMG23" s="93"/>
      <c r="MMH23" s="30"/>
      <c r="MMM23" s="93"/>
      <c r="MMN23" s="30"/>
      <c r="MMS23" s="93"/>
      <c r="MMT23" s="30"/>
      <c r="MMY23" s="93"/>
      <c r="MMZ23" s="30"/>
      <c r="MNE23" s="93"/>
      <c r="MNF23" s="30"/>
      <c r="MNK23" s="93"/>
      <c r="MNL23" s="30"/>
      <c r="MNQ23" s="93"/>
      <c r="MNR23" s="30"/>
      <c r="MNW23" s="93"/>
      <c r="MNX23" s="30"/>
      <c r="MOC23" s="93"/>
      <c r="MOD23" s="30"/>
      <c r="MOI23" s="93"/>
      <c r="MOJ23" s="30"/>
      <c r="MOO23" s="93"/>
      <c r="MOP23" s="30"/>
      <c r="MOU23" s="93"/>
      <c r="MOV23" s="30"/>
      <c r="MPA23" s="93"/>
      <c r="MPB23" s="30"/>
      <c r="MPG23" s="93"/>
      <c r="MPH23" s="30"/>
      <c r="MPM23" s="93"/>
      <c r="MPN23" s="30"/>
      <c r="MPS23" s="93"/>
      <c r="MPT23" s="30"/>
      <c r="MPY23" s="93"/>
      <c r="MPZ23" s="30"/>
      <c r="MQE23" s="93"/>
      <c r="MQF23" s="30"/>
      <c r="MQK23" s="93"/>
      <c r="MQL23" s="30"/>
      <c r="MQQ23" s="93"/>
      <c r="MQR23" s="30"/>
      <c r="MQW23" s="93"/>
      <c r="MQX23" s="30"/>
      <c r="MRC23" s="93"/>
      <c r="MRD23" s="30"/>
      <c r="MRI23" s="93"/>
      <c r="MRJ23" s="30"/>
      <c r="MRO23" s="93"/>
      <c r="MRP23" s="30"/>
      <c r="MRU23" s="93"/>
      <c r="MRV23" s="30"/>
      <c r="MSA23" s="93"/>
      <c r="MSB23" s="30"/>
      <c r="MSG23" s="93"/>
      <c r="MSH23" s="30"/>
      <c r="MSM23" s="93"/>
      <c r="MSN23" s="30"/>
      <c r="MSS23" s="93"/>
      <c r="MST23" s="30"/>
      <c r="MSY23" s="93"/>
      <c r="MSZ23" s="30"/>
      <c r="MTE23" s="93"/>
      <c r="MTF23" s="30"/>
      <c r="MTK23" s="93"/>
      <c r="MTL23" s="30"/>
      <c r="MTQ23" s="93"/>
      <c r="MTR23" s="30"/>
      <c r="MTW23" s="93"/>
      <c r="MTX23" s="30"/>
      <c r="MUC23" s="93"/>
      <c r="MUD23" s="30"/>
      <c r="MUI23" s="93"/>
      <c r="MUJ23" s="30"/>
      <c r="MUO23" s="93"/>
      <c r="MUP23" s="30"/>
      <c r="MUU23" s="93"/>
      <c r="MUV23" s="30"/>
      <c r="MVA23" s="93"/>
      <c r="MVB23" s="30"/>
      <c r="MVG23" s="93"/>
      <c r="MVH23" s="30"/>
      <c r="MVM23" s="93"/>
      <c r="MVN23" s="30"/>
      <c r="MVS23" s="93"/>
      <c r="MVT23" s="30"/>
      <c r="MVY23" s="93"/>
      <c r="MVZ23" s="30"/>
      <c r="MWE23" s="93"/>
      <c r="MWF23" s="30"/>
      <c r="MWK23" s="93"/>
      <c r="MWL23" s="30"/>
      <c r="MWQ23" s="93"/>
      <c r="MWR23" s="30"/>
      <c r="MWW23" s="93"/>
      <c r="MWX23" s="30"/>
      <c r="MXC23" s="93"/>
      <c r="MXD23" s="30"/>
      <c r="MXI23" s="93"/>
      <c r="MXJ23" s="30"/>
      <c r="MXO23" s="93"/>
      <c r="MXP23" s="30"/>
      <c r="MXU23" s="93"/>
      <c r="MXV23" s="30"/>
      <c r="MYA23" s="93"/>
      <c r="MYB23" s="30"/>
      <c r="MYG23" s="93"/>
      <c r="MYH23" s="30"/>
      <c r="MYM23" s="93"/>
      <c r="MYN23" s="30"/>
      <c r="MYS23" s="93"/>
      <c r="MYT23" s="30"/>
      <c r="MYY23" s="93"/>
      <c r="MYZ23" s="30"/>
      <c r="MZE23" s="93"/>
      <c r="MZF23" s="30"/>
      <c r="MZK23" s="93"/>
      <c r="MZL23" s="30"/>
      <c r="MZQ23" s="93"/>
      <c r="MZR23" s="30"/>
      <c r="MZW23" s="93"/>
      <c r="MZX23" s="30"/>
      <c r="NAC23" s="93"/>
      <c r="NAD23" s="30"/>
      <c r="NAI23" s="93"/>
      <c r="NAJ23" s="30"/>
      <c r="NAO23" s="93"/>
      <c r="NAP23" s="30"/>
      <c r="NAU23" s="93"/>
      <c r="NAV23" s="30"/>
      <c r="NBA23" s="93"/>
      <c r="NBB23" s="30"/>
      <c r="NBG23" s="93"/>
      <c r="NBH23" s="30"/>
      <c r="NBM23" s="93"/>
      <c r="NBN23" s="30"/>
      <c r="NBS23" s="93"/>
      <c r="NBT23" s="30"/>
      <c r="NBY23" s="93"/>
      <c r="NBZ23" s="30"/>
      <c r="NCE23" s="93"/>
      <c r="NCF23" s="30"/>
      <c r="NCK23" s="93"/>
      <c r="NCL23" s="30"/>
      <c r="NCQ23" s="93"/>
      <c r="NCR23" s="30"/>
      <c r="NCW23" s="93"/>
      <c r="NCX23" s="30"/>
      <c r="NDC23" s="93"/>
      <c r="NDD23" s="30"/>
      <c r="NDI23" s="93"/>
      <c r="NDJ23" s="30"/>
      <c r="NDO23" s="93"/>
      <c r="NDP23" s="30"/>
      <c r="NDU23" s="93"/>
      <c r="NDV23" s="30"/>
      <c r="NEA23" s="93"/>
      <c r="NEB23" s="30"/>
      <c r="NEG23" s="93"/>
      <c r="NEH23" s="30"/>
      <c r="NEM23" s="93"/>
      <c r="NEN23" s="30"/>
      <c r="NES23" s="93"/>
      <c r="NET23" s="30"/>
      <c r="NEY23" s="93"/>
      <c r="NEZ23" s="30"/>
      <c r="NFE23" s="93"/>
      <c r="NFF23" s="30"/>
      <c r="NFK23" s="93"/>
      <c r="NFL23" s="30"/>
      <c r="NFQ23" s="93"/>
      <c r="NFR23" s="30"/>
      <c r="NFW23" s="93"/>
      <c r="NFX23" s="30"/>
      <c r="NGC23" s="93"/>
      <c r="NGD23" s="30"/>
      <c r="NGI23" s="93"/>
      <c r="NGJ23" s="30"/>
      <c r="NGO23" s="93"/>
      <c r="NGP23" s="30"/>
      <c r="NGU23" s="93"/>
      <c r="NGV23" s="30"/>
      <c r="NHA23" s="93"/>
      <c r="NHB23" s="30"/>
      <c r="NHG23" s="93"/>
      <c r="NHH23" s="30"/>
      <c r="NHM23" s="93"/>
      <c r="NHN23" s="30"/>
      <c r="NHS23" s="93"/>
      <c r="NHT23" s="30"/>
      <c r="NHY23" s="93"/>
      <c r="NHZ23" s="30"/>
      <c r="NIE23" s="93"/>
      <c r="NIF23" s="30"/>
      <c r="NIK23" s="93"/>
      <c r="NIL23" s="30"/>
      <c r="NIQ23" s="93"/>
      <c r="NIR23" s="30"/>
      <c r="NIW23" s="93"/>
      <c r="NIX23" s="30"/>
      <c r="NJC23" s="93"/>
      <c r="NJD23" s="30"/>
      <c r="NJI23" s="93"/>
      <c r="NJJ23" s="30"/>
      <c r="NJO23" s="93"/>
      <c r="NJP23" s="30"/>
      <c r="NJU23" s="93"/>
      <c r="NJV23" s="30"/>
      <c r="NKA23" s="93"/>
      <c r="NKB23" s="30"/>
      <c r="NKG23" s="93"/>
      <c r="NKH23" s="30"/>
      <c r="NKM23" s="93"/>
      <c r="NKN23" s="30"/>
      <c r="NKS23" s="93"/>
      <c r="NKT23" s="30"/>
      <c r="NKY23" s="93"/>
      <c r="NKZ23" s="30"/>
      <c r="NLE23" s="93"/>
      <c r="NLF23" s="30"/>
      <c r="NLK23" s="93"/>
      <c r="NLL23" s="30"/>
      <c r="NLQ23" s="93"/>
      <c r="NLR23" s="30"/>
      <c r="NLW23" s="93"/>
      <c r="NLX23" s="30"/>
      <c r="NMC23" s="93"/>
      <c r="NMD23" s="30"/>
      <c r="NMI23" s="93"/>
      <c r="NMJ23" s="30"/>
      <c r="NMO23" s="93"/>
      <c r="NMP23" s="30"/>
      <c r="NMU23" s="93"/>
      <c r="NMV23" s="30"/>
      <c r="NNA23" s="93"/>
      <c r="NNB23" s="30"/>
      <c r="NNG23" s="93"/>
      <c r="NNH23" s="30"/>
      <c r="NNM23" s="93"/>
      <c r="NNN23" s="30"/>
      <c r="NNS23" s="93"/>
      <c r="NNT23" s="30"/>
      <c r="NNY23" s="93"/>
      <c r="NNZ23" s="30"/>
      <c r="NOE23" s="93"/>
      <c r="NOF23" s="30"/>
      <c r="NOK23" s="93"/>
      <c r="NOL23" s="30"/>
      <c r="NOQ23" s="93"/>
      <c r="NOR23" s="30"/>
      <c r="NOW23" s="93"/>
      <c r="NOX23" s="30"/>
      <c r="NPC23" s="93"/>
      <c r="NPD23" s="30"/>
      <c r="NPI23" s="93"/>
      <c r="NPJ23" s="30"/>
      <c r="NPO23" s="93"/>
      <c r="NPP23" s="30"/>
      <c r="NPU23" s="93"/>
      <c r="NPV23" s="30"/>
      <c r="NQA23" s="93"/>
      <c r="NQB23" s="30"/>
      <c r="NQG23" s="93"/>
      <c r="NQH23" s="30"/>
      <c r="NQM23" s="93"/>
      <c r="NQN23" s="30"/>
      <c r="NQS23" s="93"/>
      <c r="NQT23" s="30"/>
      <c r="NQY23" s="93"/>
      <c r="NQZ23" s="30"/>
      <c r="NRE23" s="93"/>
      <c r="NRF23" s="30"/>
      <c r="NRK23" s="93"/>
      <c r="NRL23" s="30"/>
      <c r="NRQ23" s="93"/>
      <c r="NRR23" s="30"/>
      <c r="NRW23" s="93"/>
      <c r="NRX23" s="30"/>
      <c r="NSC23" s="93"/>
      <c r="NSD23" s="30"/>
      <c r="NSI23" s="93"/>
      <c r="NSJ23" s="30"/>
      <c r="NSO23" s="93"/>
      <c r="NSP23" s="30"/>
      <c r="NSU23" s="93"/>
      <c r="NSV23" s="30"/>
      <c r="NTA23" s="93"/>
      <c r="NTB23" s="30"/>
      <c r="NTG23" s="93"/>
      <c r="NTH23" s="30"/>
      <c r="NTM23" s="93"/>
      <c r="NTN23" s="30"/>
      <c r="NTS23" s="93"/>
      <c r="NTT23" s="30"/>
      <c r="NTY23" s="93"/>
      <c r="NTZ23" s="30"/>
      <c r="NUE23" s="93"/>
      <c r="NUF23" s="30"/>
      <c r="NUK23" s="93"/>
      <c r="NUL23" s="30"/>
      <c r="NUQ23" s="93"/>
      <c r="NUR23" s="30"/>
      <c r="NUW23" s="93"/>
      <c r="NUX23" s="30"/>
      <c r="NVC23" s="93"/>
      <c r="NVD23" s="30"/>
      <c r="NVI23" s="93"/>
      <c r="NVJ23" s="30"/>
      <c r="NVO23" s="93"/>
      <c r="NVP23" s="30"/>
      <c r="NVU23" s="93"/>
      <c r="NVV23" s="30"/>
      <c r="NWA23" s="93"/>
      <c r="NWB23" s="30"/>
      <c r="NWG23" s="93"/>
      <c r="NWH23" s="30"/>
      <c r="NWM23" s="93"/>
      <c r="NWN23" s="30"/>
      <c r="NWS23" s="93"/>
      <c r="NWT23" s="30"/>
      <c r="NWY23" s="93"/>
      <c r="NWZ23" s="30"/>
      <c r="NXE23" s="93"/>
      <c r="NXF23" s="30"/>
      <c r="NXK23" s="93"/>
      <c r="NXL23" s="30"/>
      <c r="NXQ23" s="93"/>
      <c r="NXR23" s="30"/>
      <c r="NXW23" s="93"/>
      <c r="NXX23" s="30"/>
      <c r="NYC23" s="93"/>
      <c r="NYD23" s="30"/>
      <c r="NYI23" s="93"/>
      <c r="NYJ23" s="30"/>
      <c r="NYO23" s="93"/>
      <c r="NYP23" s="30"/>
      <c r="NYU23" s="93"/>
      <c r="NYV23" s="30"/>
      <c r="NZA23" s="93"/>
      <c r="NZB23" s="30"/>
      <c r="NZG23" s="93"/>
      <c r="NZH23" s="30"/>
      <c r="NZM23" s="93"/>
      <c r="NZN23" s="30"/>
      <c r="NZS23" s="93"/>
      <c r="NZT23" s="30"/>
      <c r="NZY23" s="93"/>
      <c r="NZZ23" s="30"/>
      <c r="OAE23" s="93"/>
      <c r="OAF23" s="30"/>
      <c r="OAK23" s="93"/>
      <c r="OAL23" s="30"/>
      <c r="OAQ23" s="93"/>
      <c r="OAR23" s="30"/>
      <c r="OAW23" s="93"/>
      <c r="OAX23" s="30"/>
      <c r="OBC23" s="93"/>
      <c r="OBD23" s="30"/>
      <c r="OBI23" s="93"/>
      <c r="OBJ23" s="30"/>
      <c r="OBO23" s="93"/>
      <c r="OBP23" s="30"/>
      <c r="OBU23" s="93"/>
      <c r="OBV23" s="30"/>
      <c r="OCA23" s="93"/>
      <c r="OCB23" s="30"/>
      <c r="OCG23" s="93"/>
      <c r="OCH23" s="30"/>
      <c r="OCM23" s="93"/>
      <c r="OCN23" s="30"/>
      <c r="OCS23" s="93"/>
      <c r="OCT23" s="30"/>
      <c r="OCY23" s="93"/>
      <c r="OCZ23" s="30"/>
      <c r="ODE23" s="93"/>
      <c r="ODF23" s="30"/>
      <c r="ODK23" s="93"/>
      <c r="ODL23" s="30"/>
      <c r="ODQ23" s="93"/>
      <c r="ODR23" s="30"/>
      <c r="ODW23" s="93"/>
      <c r="ODX23" s="30"/>
      <c r="OEC23" s="93"/>
      <c r="OED23" s="30"/>
      <c r="OEI23" s="93"/>
      <c r="OEJ23" s="30"/>
      <c r="OEO23" s="93"/>
      <c r="OEP23" s="30"/>
      <c r="OEU23" s="93"/>
      <c r="OEV23" s="30"/>
      <c r="OFA23" s="93"/>
      <c r="OFB23" s="30"/>
      <c r="OFG23" s="93"/>
      <c r="OFH23" s="30"/>
      <c r="OFM23" s="93"/>
      <c r="OFN23" s="30"/>
      <c r="OFS23" s="93"/>
      <c r="OFT23" s="30"/>
      <c r="OFY23" s="93"/>
      <c r="OFZ23" s="30"/>
      <c r="OGE23" s="93"/>
      <c r="OGF23" s="30"/>
      <c r="OGK23" s="93"/>
      <c r="OGL23" s="30"/>
      <c r="OGQ23" s="93"/>
      <c r="OGR23" s="30"/>
      <c r="OGW23" s="93"/>
      <c r="OGX23" s="30"/>
      <c r="OHC23" s="93"/>
      <c r="OHD23" s="30"/>
      <c r="OHI23" s="93"/>
      <c r="OHJ23" s="30"/>
      <c r="OHO23" s="93"/>
      <c r="OHP23" s="30"/>
      <c r="OHU23" s="93"/>
      <c r="OHV23" s="30"/>
      <c r="OIA23" s="93"/>
      <c r="OIB23" s="30"/>
      <c r="OIG23" s="93"/>
      <c r="OIH23" s="30"/>
      <c r="OIM23" s="93"/>
      <c r="OIN23" s="30"/>
      <c r="OIS23" s="93"/>
      <c r="OIT23" s="30"/>
      <c r="OIY23" s="93"/>
      <c r="OIZ23" s="30"/>
      <c r="OJE23" s="93"/>
      <c r="OJF23" s="30"/>
      <c r="OJK23" s="93"/>
      <c r="OJL23" s="30"/>
      <c r="OJQ23" s="93"/>
      <c r="OJR23" s="30"/>
      <c r="OJW23" s="93"/>
      <c r="OJX23" s="30"/>
      <c r="OKC23" s="93"/>
      <c r="OKD23" s="30"/>
      <c r="OKI23" s="93"/>
      <c r="OKJ23" s="30"/>
      <c r="OKO23" s="93"/>
      <c r="OKP23" s="30"/>
      <c r="OKU23" s="93"/>
      <c r="OKV23" s="30"/>
      <c r="OLA23" s="93"/>
      <c r="OLB23" s="30"/>
      <c r="OLG23" s="93"/>
      <c r="OLH23" s="30"/>
      <c r="OLM23" s="93"/>
      <c r="OLN23" s="30"/>
      <c r="OLS23" s="93"/>
      <c r="OLT23" s="30"/>
      <c r="OLY23" s="93"/>
      <c r="OLZ23" s="30"/>
      <c r="OME23" s="93"/>
      <c r="OMF23" s="30"/>
      <c r="OMK23" s="93"/>
      <c r="OML23" s="30"/>
      <c r="OMQ23" s="93"/>
      <c r="OMR23" s="30"/>
      <c r="OMW23" s="93"/>
      <c r="OMX23" s="30"/>
      <c r="ONC23" s="93"/>
      <c r="OND23" s="30"/>
      <c r="ONI23" s="93"/>
      <c r="ONJ23" s="30"/>
      <c r="ONO23" s="93"/>
      <c r="ONP23" s="30"/>
      <c r="ONU23" s="93"/>
      <c r="ONV23" s="30"/>
      <c r="OOA23" s="93"/>
      <c r="OOB23" s="30"/>
      <c r="OOG23" s="93"/>
      <c r="OOH23" s="30"/>
      <c r="OOM23" s="93"/>
      <c r="OON23" s="30"/>
      <c r="OOS23" s="93"/>
      <c r="OOT23" s="30"/>
      <c r="OOY23" s="93"/>
      <c r="OOZ23" s="30"/>
      <c r="OPE23" s="93"/>
      <c r="OPF23" s="30"/>
      <c r="OPK23" s="93"/>
      <c r="OPL23" s="30"/>
      <c r="OPQ23" s="93"/>
      <c r="OPR23" s="30"/>
      <c r="OPW23" s="93"/>
      <c r="OPX23" s="30"/>
      <c r="OQC23" s="93"/>
      <c r="OQD23" s="30"/>
      <c r="OQI23" s="93"/>
      <c r="OQJ23" s="30"/>
      <c r="OQO23" s="93"/>
      <c r="OQP23" s="30"/>
      <c r="OQU23" s="93"/>
      <c r="OQV23" s="30"/>
      <c r="ORA23" s="93"/>
      <c r="ORB23" s="30"/>
      <c r="ORG23" s="93"/>
      <c r="ORH23" s="30"/>
      <c r="ORM23" s="93"/>
      <c r="ORN23" s="30"/>
      <c r="ORS23" s="93"/>
      <c r="ORT23" s="30"/>
      <c r="ORY23" s="93"/>
      <c r="ORZ23" s="30"/>
      <c r="OSE23" s="93"/>
      <c r="OSF23" s="30"/>
      <c r="OSK23" s="93"/>
      <c r="OSL23" s="30"/>
      <c r="OSQ23" s="93"/>
      <c r="OSR23" s="30"/>
      <c r="OSW23" s="93"/>
      <c r="OSX23" s="30"/>
      <c r="OTC23" s="93"/>
      <c r="OTD23" s="30"/>
      <c r="OTI23" s="93"/>
      <c r="OTJ23" s="30"/>
      <c r="OTO23" s="93"/>
      <c r="OTP23" s="30"/>
      <c r="OTU23" s="93"/>
      <c r="OTV23" s="30"/>
      <c r="OUA23" s="93"/>
      <c r="OUB23" s="30"/>
      <c r="OUG23" s="93"/>
      <c r="OUH23" s="30"/>
      <c r="OUM23" s="93"/>
      <c r="OUN23" s="30"/>
      <c r="OUS23" s="93"/>
      <c r="OUT23" s="30"/>
      <c r="OUY23" s="93"/>
      <c r="OUZ23" s="30"/>
      <c r="OVE23" s="93"/>
      <c r="OVF23" s="30"/>
      <c r="OVK23" s="93"/>
      <c r="OVL23" s="30"/>
      <c r="OVQ23" s="93"/>
      <c r="OVR23" s="30"/>
      <c r="OVW23" s="93"/>
      <c r="OVX23" s="30"/>
      <c r="OWC23" s="93"/>
      <c r="OWD23" s="30"/>
      <c r="OWI23" s="93"/>
      <c r="OWJ23" s="30"/>
      <c r="OWO23" s="93"/>
      <c r="OWP23" s="30"/>
      <c r="OWU23" s="93"/>
      <c r="OWV23" s="30"/>
      <c r="OXA23" s="93"/>
      <c r="OXB23" s="30"/>
      <c r="OXG23" s="93"/>
      <c r="OXH23" s="30"/>
      <c r="OXM23" s="93"/>
      <c r="OXN23" s="30"/>
      <c r="OXS23" s="93"/>
      <c r="OXT23" s="30"/>
      <c r="OXY23" s="93"/>
      <c r="OXZ23" s="30"/>
      <c r="OYE23" s="93"/>
      <c r="OYF23" s="30"/>
      <c r="OYK23" s="93"/>
      <c r="OYL23" s="30"/>
      <c r="OYQ23" s="93"/>
      <c r="OYR23" s="30"/>
      <c r="OYW23" s="93"/>
      <c r="OYX23" s="30"/>
      <c r="OZC23" s="93"/>
      <c r="OZD23" s="30"/>
      <c r="OZI23" s="93"/>
      <c r="OZJ23" s="30"/>
      <c r="OZO23" s="93"/>
      <c r="OZP23" s="30"/>
      <c r="OZU23" s="93"/>
      <c r="OZV23" s="30"/>
      <c r="PAA23" s="93"/>
      <c r="PAB23" s="30"/>
      <c r="PAG23" s="93"/>
      <c r="PAH23" s="30"/>
      <c r="PAM23" s="93"/>
      <c r="PAN23" s="30"/>
      <c r="PAS23" s="93"/>
      <c r="PAT23" s="30"/>
      <c r="PAY23" s="93"/>
      <c r="PAZ23" s="30"/>
      <c r="PBE23" s="93"/>
      <c r="PBF23" s="30"/>
      <c r="PBK23" s="93"/>
      <c r="PBL23" s="30"/>
      <c r="PBQ23" s="93"/>
      <c r="PBR23" s="30"/>
      <c r="PBW23" s="93"/>
      <c r="PBX23" s="30"/>
      <c r="PCC23" s="93"/>
      <c r="PCD23" s="30"/>
      <c r="PCI23" s="93"/>
      <c r="PCJ23" s="30"/>
      <c r="PCO23" s="93"/>
      <c r="PCP23" s="30"/>
      <c r="PCU23" s="93"/>
      <c r="PCV23" s="30"/>
      <c r="PDA23" s="93"/>
      <c r="PDB23" s="30"/>
      <c r="PDG23" s="93"/>
      <c r="PDH23" s="30"/>
      <c r="PDM23" s="93"/>
      <c r="PDN23" s="30"/>
      <c r="PDS23" s="93"/>
      <c r="PDT23" s="30"/>
      <c r="PDY23" s="93"/>
      <c r="PDZ23" s="30"/>
      <c r="PEE23" s="93"/>
      <c r="PEF23" s="30"/>
      <c r="PEK23" s="93"/>
      <c r="PEL23" s="30"/>
      <c r="PEQ23" s="93"/>
      <c r="PER23" s="30"/>
      <c r="PEW23" s="93"/>
      <c r="PEX23" s="30"/>
      <c r="PFC23" s="93"/>
      <c r="PFD23" s="30"/>
      <c r="PFI23" s="93"/>
      <c r="PFJ23" s="30"/>
      <c r="PFO23" s="93"/>
      <c r="PFP23" s="30"/>
      <c r="PFU23" s="93"/>
      <c r="PFV23" s="30"/>
      <c r="PGA23" s="93"/>
      <c r="PGB23" s="30"/>
      <c r="PGG23" s="93"/>
      <c r="PGH23" s="30"/>
      <c r="PGM23" s="93"/>
      <c r="PGN23" s="30"/>
      <c r="PGS23" s="93"/>
      <c r="PGT23" s="30"/>
      <c r="PGY23" s="93"/>
      <c r="PGZ23" s="30"/>
      <c r="PHE23" s="93"/>
      <c r="PHF23" s="30"/>
      <c r="PHK23" s="93"/>
      <c r="PHL23" s="30"/>
      <c r="PHQ23" s="93"/>
      <c r="PHR23" s="30"/>
      <c r="PHW23" s="93"/>
      <c r="PHX23" s="30"/>
      <c r="PIC23" s="93"/>
      <c r="PID23" s="30"/>
      <c r="PII23" s="93"/>
      <c r="PIJ23" s="30"/>
      <c r="PIO23" s="93"/>
      <c r="PIP23" s="30"/>
      <c r="PIU23" s="93"/>
      <c r="PIV23" s="30"/>
      <c r="PJA23" s="93"/>
      <c r="PJB23" s="30"/>
      <c r="PJG23" s="93"/>
      <c r="PJH23" s="30"/>
      <c r="PJM23" s="93"/>
      <c r="PJN23" s="30"/>
      <c r="PJS23" s="93"/>
      <c r="PJT23" s="30"/>
      <c r="PJY23" s="93"/>
      <c r="PJZ23" s="30"/>
      <c r="PKE23" s="93"/>
      <c r="PKF23" s="30"/>
      <c r="PKK23" s="93"/>
      <c r="PKL23" s="30"/>
      <c r="PKQ23" s="93"/>
      <c r="PKR23" s="30"/>
      <c r="PKW23" s="93"/>
      <c r="PKX23" s="30"/>
      <c r="PLC23" s="93"/>
      <c r="PLD23" s="30"/>
      <c r="PLI23" s="93"/>
      <c r="PLJ23" s="30"/>
      <c r="PLO23" s="93"/>
      <c r="PLP23" s="30"/>
      <c r="PLU23" s="93"/>
      <c r="PLV23" s="30"/>
      <c r="PMA23" s="93"/>
      <c r="PMB23" s="30"/>
      <c r="PMG23" s="93"/>
      <c r="PMH23" s="30"/>
      <c r="PMM23" s="93"/>
      <c r="PMN23" s="30"/>
      <c r="PMS23" s="93"/>
      <c r="PMT23" s="30"/>
      <c r="PMY23" s="93"/>
      <c r="PMZ23" s="30"/>
      <c r="PNE23" s="93"/>
      <c r="PNF23" s="30"/>
      <c r="PNK23" s="93"/>
      <c r="PNL23" s="30"/>
      <c r="PNQ23" s="93"/>
      <c r="PNR23" s="30"/>
      <c r="PNW23" s="93"/>
      <c r="PNX23" s="30"/>
      <c r="POC23" s="93"/>
      <c r="POD23" s="30"/>
      <c r="POI23" s="93"/>
      <c r="POJ23" s="30"/>
      <c r="POO23" s="93"/>
      <c r="POP23" s="30"/>
      <c r="POU23" s="93"/>
      <c r="POV23" s="30"/>
      <c r="PPA23" s="93"/>
      <c r="PPB23" s="30"/>
      <c r="PPG23" s="93"/>
      <c r="PPH23" s="30"/>
      <c r="PPM23" s="93"/>
      <c r="PPN23" s="30"/>
      <c r="PPS23" s="93"/>
      <c r="PPT23" s="30"/>
      <c r="PPY23" s="93"/>
      <c r="PPZ23" s="30"/>
      <c r="PQE23" s="93"/>
      <c r="PQF23" s="30"/>
      <c r="PQK23" s="93"/>
      <c r="PQL23" s="30"/>
      <c r="PQQ23" s="93"/>
      <c r="PQR23" s="30"/>
      <c r="PQW23" s="93"/>
      <c r="PQX23" s="30"/>
      <c r="PRC23" s="93"/>
      <c r="PRD23" s="30"/>
      <c r="PRI23" s="93"/>
      <c r="PRJ23" s="30"/>
      <c r="PRO23" s="93"/>
      <c r="PRP23" s="30"/>
      <c r="PRU23" s="93"/>
      <c r="PRV23" s="30"/>
      <c r="PSA23" s="93"/>
      <c r="PSB23" s="30"/>
      <c r="PSG23" s="93"/>
      <c r="PSH23" s="30"/>
      <c r="PSM23" s="93"/>
      <c r="PSN23" s="30"/>
      <c r="PSS23" s="93"/>
      <c r="PST23" s="30"/>
      <c r="PSY23" s="93"/>
      <c r="PSZ23" s="30"/>
      <c r="PTE23" s="93"/>
      <c r="PTF23" s="30"/>
      <c r="PTK23" s="93"/>
      <c r="PTL23" s="30"/>
      <c r="PTQ23" s="93"/>
      <c r="PTR23" s="30"/>
      <c r="PTW23" s="93"/>
      <c r="PTX23" s="30"/>
      <c r="PUC23" s="93"/>
      <c r="PUD23" s="30"/>
      <c r="PUI23" s="93"/>
      <c r="PUJ23" s="30"/>
      <c r="PUO23" s="93"/>
      <c r="PUP23" s="30"/>
      <c r="PUU23" s="93"/>
      <c r="PUV23" s="30"/>
      <c r="PVA23" s="93"/>
      <c r="PVB23" s="30"/>
      <c r="PVG23" s="93"/>
      <c r="PVH23" s="30"/>
      <c r="PVM23" s="93"/>
      <c r="PVN23" s="30"/>
      <c r="PVS23" s="93"/>
      <c r="PVT23" s="30"/>
      <c r="PVY23" s="93"/>
      <c r="PVZ23" s="30"/>
      <c r="PWE23" s="93"/>
      <c r="PWF23" s="30"/>
      <c r="PWK23" s="93"/>
      <c r="PWL23" s="30"/>
      <c r="PWQ23" s="93"/>
      <c r="PWR23" s="30"/>
      <c r="PWW23" s="93"/>
      <c r="PWX23" s="30"/>
      <c r="PXC23" s="93"/>
      <c r="PXD23" s="30"/>
      <c r="PXI23" s="93"/>
      <c r="PXJ23" s="30"/>
      <c r="PXO23" s="93"/>
      <c r="PXP23" s="30"/>
      <c r="PXU23" s="93"/>
      <c r="PXV23" s="30"/>
      <c r="PYA23" s="93"/>
      <c r="PYB23" s="30"/>
      <c r="PYG23" s="93"/>
      <c r="PYH23" s="30"/>
      <c r="PYM23" s="93"/>
      <c r="PYN23" s="30"/>
      <c r="PYS23" s="93"/>
      <c r="PYT23" s="30"/>
      <c r="PYY23" s="93"/>
      <c r="PYZ23" s="30"/>
      <c r="PZE23" s="93"/>
      <c r="PZF23" s="30"/>
      <c r="PZK23" s="93"/>
      <c r="PZL23" s="30"/>
      <c r="PZQ23" s="93"/>
      <c r="PZR23" s="30"/>
      <c r="PZW23" s="93"/>
      <c r="PZX23" s="30"/>
      <c r="QAC23" s="93"/>
      <c r="QAD23" s="30"/>
      <c r="QAI23" s="93"/>
      <c r="QAJ23" s="30"/>
      <c r="QAO23" s="93"/>
      <c r="QAP23" s="30"/>
      <c r="QAU23" s="93"/>
      <c r="QAV23" s="30"/>
      <c r="QBA23" s="93"/>
      <c r="QBB23" s="30"/>
      <c r="QBG23" s="93"/>
      <c r="QBH23" s="30"/>
      <c r="QBM23" s="93"/>
      <c r="QBN23" s="30"/>
      <c r="QBS23" s="93"/>
      <c r="QBT23" s="30"/>
      <c r="QBY23" s="93"/>
      <c r="QBZ23" s="30"/>
      <c r="QCE23" s="93"/>
      <c r="QCF23" s="30"/>
      <c r="QCK23" s="93"/>
      <c r="QCL23" s="30"/>
      <c r="QCQ23" s="93"/>
      <c r="QCR23" s="30"/>
      <c r="QCW23" s="93"/>
      <c r="QCX23" s="30"/>
      <c r="QDC23" s="93"/>
      <c r="QDD23" s="30"/>
      <c r="QDI23" s="93"/>
      <c r="QDJ23" s="30"/>
      <c r="QDO23" s="93"/>
      <c r="QDP23" s="30"/>
      <c r="QDU23" s="93"/>
      <c r="QDV23" s="30"/>
      <c r="QEA23" s="93"/>
      <c r="QEB23" s="30"/>
      <c r="QEG23" s="93"/>
      <c r="QEH23" s="30"/>
      <c r="QEM23" s="93"/>
      <c r="QEN23" s="30"/>
      <c r="QES23" s="93"/>
      <c r="QET23" s="30"/>
      <c r="QEY23" s="93"/>
      <c r="QEZ23" s="30"/>
      <c r="QFE23" s="93"/>
      <c r="QFF23" s="30"/>
      <c r="QFK23" s="93"/>
      <c r="QFL23" s="30"/>
      <c r="QFQ23" s="93"/>
      <c r="QFR23" s="30"/>
      <c r="QFW23" s="93"/>
      <c r="QFX23" s="30"/>
      <c r="QGC23" s="93"/>
      <c r="QGD23" s="30"/>
      <c r="QGI23" s="93"/>
      <c r="QGJ23" s="30"/>
      <c r="QGO23" s="93"/>
      <c r="QGP23" s="30"/>
      <c r="QGU23" s="93"/>
      <c r="QGV23" s="30"/>
      <c r="QHA23" s="93"/>
      <c r="QHB23" s="30"/>
      <c r="QHG23" s="93"/>
      <c r="QHH23" s="30"/>
      <c r="QHM23" s="93"/>
      <c r="QHN23" s="30"/>
      <c r="QHS23" s="93"/>
      <c r="QHT23" s="30"/>
      <c r="QHY23" s="93"/>
      <c r="QHZ23" s="30"/>
      <c r="QIE23" s="93"/>
      <c r="QIF23" s="30"/>
      <c r="QIK23" s="93"/>
      <c r="QIL23" s="30"/>
      <c r="QIQ23" s="93"/>
      <c r="QIR23" s="30"/>
      <c r="QIW23" s="93"/>
      <c r="QIX23" s="30"/>
      <c r="QJC23" s="93"/>
      <c r="QJD23" s="30"/>
      <c r="QJI23" s="93"/>
      <c r="QJJ23" s="30"/>
      <c r="QJO23" s="93"/>
      <c r="QJP23" s="30"/>
      <c r="QJU23" s="93"/>
      <c r="QJV23" s="30"/>
      <c r="QKA23" s="93"/>
      <c r="QKB23" s="30"/>
      <c r="QKG23" s="93"/>
      <c r="QKH23" s="30"/>
      <c r="QKM23" s="93"/>
      <c r="QKN23" s="30"/>
      <c r="QKS23" s="93"/>
      <c r="QKT23" s="30"/>
      <c r="QKY23" s="93"/>
      <c r="QKZ23" s="30"/>
      <c r="QLE23" s="93"/>
      <c r="QLF23" s="30"/>
      <c r="QLK23" s="93"/>
      <c r="QLL23" s="30"/>
      <c r="QLQ23" s="93"/>
      <c r="QLR23" s="30"/>
      <c r="QLW23" s="93"/>
      <c r="QLX23" s="30"/>
      <c r="QMC23" s="93"/>
      <c r="QMD23" s="30"/>
      <c r="QMI23" s="93"/>
      <c r="QMJ23" s="30"/>
      <c r="QMO23" s="93"/>
      <c r="QMP23" s="30"/>
      <c r="QMU23" s="93"/>
      <c r="QMV23" s="30"/>
      <c r="QNA23" s="93"/>
      <c r="QNB23" s="30"/>
      <c r="QNG23" s="93"/>
      <c r="QNH23" s="30"/>
      <c r="QNM23" s="93"/>
      <c r="QNN23" s="30"/>
      <c r="QNS23" s="93"/>
      <c r="QNT23" s="30"/>
      <c r="QNY23" s="93"/>
      <c r="QNZ23" s="30"/>
      <c r="QOE23" s="93"/>
      <c r="QOF23" s="30"/>
      <c r="QOK23" s="93"/>
      <c r="QOL23" s="30"/>
      <c r="QOQ23" s="93"/>
      <c r="QOR23" s="30"/>
      <c r="QOW23" s="93"/>
      <c r="QOX23" s="30"/>
      <c r="QPC23" s="93"/>
      <c r="QPD23" s="30"/>
      <c r="QPI23" s="93"/>
      <c r="QPJ23" s="30"/>
      <c r="QPO23" s="93"/>
      <c r="QPP23" s="30"/>
      <c r="QPU23" s="93"/>
      <c r="QPV23" s="30"/>
      <c r="QQA23" s="93"/>
      <c r="QQB23" s="30"/>
      <c r="QQG23" s="93"/>
      <c r="QQH23" s="30"/>
      <c r="QQM23" s="93"/>
      <c r="QQN23" s="30"/>
      <c r="QQS23" s="93"/>
      <c r="QQT23" s="30"/>
      <c r="QQY23" s="93"/>
      <c r="QQZ23" s="30"/>
      <c r="QRE23" s="93"/>
      <c r="QRF23" s="30"/>
      <c r="QRK23" s="93"/>
      <c r="QRL23" s="30"/>
      <c r="QRQ23" s="93"/>
      <c r="QRR23" s="30"/>
      <c r="QRW23" s="93"/>
      <c r="QRX23" s="30"/>
      <c r="QSC23" s="93"/>
      <c r="QSD23" s="30"/>
      <c r="QSI23" s="93"/>
      <c r="QSJ23" s="30"/>
      <c r="QSO23" s="93"/>
      <c r="QSP23" s="30"/>
      <c r="QSU23" s="93"/>
      <c r="QSV23" s="30"/>
      <c r="QTA23" s="93"/>
      <c r="QTB23" s="30"/>
      <c r="QTG23" s="93"/>
      <c r="QTH23" s="30"/>
      <c r="QTM23" s="93"/>
      <c r="QTN23" s="30"/>
      <c r="QTS23" s="93"/>
      <c r="QTT23" s="30"/>
      <c r="QTY23" s="93"/>
      <c r="QTZ23" s="30"/>
      <c r="QUE23" s="93"/>
      <c r="QUF23" s="30"/>
      <c r="QUK23" s="93"/>
      <c r="QUL23" s="30"/>
      <c r="QUQ23" s="93"/>
      <c r="QUR23" s="30"/>
      <c r="QUW23" s="93"/>
      <c r="QUX23" s="30"/>
      <c r="QVC23" s="93"/>
      <c r="QVD23" s="30"/>
      <c r="QVI23" s="93"/>
      <c r="QVJ23" s="30"/>
      <c r="QVO23" s="93"/>
      <c r="QVP23" s="30"/>
      <c r="QVU23" s="93"/>
      <c r="QVV23" s="30"/>
      <c r="QWA23" s="93"/>
      <c r="QWB23" s="30"/>
      <c r="QWG23" s="93"/>
      <c r="QWH23" s="30"/>
      <c r="QWM23" s="93"/>
      <c r="QWN23" s="30"/>
      <c r="QWS23" s="93"/>
      <c r="QWT23" s="30"/>
      <c r="QWY23" s="93"/>
      <c r="QWZ23" s="30"/>
      <c r="QXE23" s="93"/>
      <c r="QXF23" s="30"/>
      <c r="QXK23" s="93"/>
      <c r="QXL23" s="30"/>
      <c r="QXQ23" s="93"/>
      <c r="QXR23" s="30"/>
      <c r="QXW23" s="93"/>
      <c r="QXX23" s="30"/>
      <c r="QYC23" s="93"/>
      <c r="QYD23" s="30"/>
      <c r="QYI23" s="93"/>
      <c r="QYJ23" s="30"/>
      <c r="QYO23" s="93"/>
      <c r="QYP23" s="30"/>
      <c r="QYU23" s="93"/>
      <c r="QYV23" s="30"/>
      <c r="QZA23" s="93"/>
      <c r="QZB23" s="30"/>
      <c r="QZG23" s="93"/>
      <c r="QZH23" s="30"/>
      <c r="QZM23" s="93"/>
      <c r="QZN23" s="30"/>
      <c r="QZS23" s="93"/>
      <c r="QZT23" s="30"/>
      <c r="QZY23" s="93"/>
      <c r="QZZ23" s="30"/>
      <c r="RAE23" s="93"/>
      <c r="RAF23" s="30"/>
      <c r="RAK23" s="93"/>
      <c r="RAL23" s="30"/>
      <c r="RAQ23" s="93"/>
      <c r="RAR23" s="30"/>
      <c r="RAW23" s="93"/>
      <c r="RAX23" s="30"/>
      <c r="RBC23" s="93"/>
      <c r="RBD23" s="30"/>
      <c r="RBI23" s="93"/>
      <c r="RBJ23" s="30"/>
      <c r="RBO23" s="93"/>
      <c r="RBP23" s="30"/>
      <c r="RBU23" s="93"/>
      <c r="RBV23" s="30"/>
      <c r="RCA23" s="93"/>
      <c r="RCB23" s="30"/>
      <c r="RCG23" s="93"/>
      <c r="RCH23" s="30"/>
      <c r="RCM23" s="93"/>
      <c r="RCN23" s="30"/>
      <c r="RCS23" s="93"/>
      <c r="RCT23" s="30"/>
      <c r="RCY23" s="93"/>
      <c r="RCZ23" s="30"/>
      <c r="RDE23" s="93"/>
      <c r="RDF23" s="30"/>
      <c r="RDK23" s="93"/>
      <c r="RDL23" s="30"/>
      <c r="RDQ23" s="93"/>
      <c r="RDR23" s="30"/>
      <c r="RDW23" s="93"/>
      <c r="RDX23" s="30"/>
      <c r="REC23" s="93"/>
      <c r="RED23" s="30"/>
      <c r="REI23" s="93"/>
      <c r="REJ23" s="30"/>
      <c r="REO23" s="93"/>
      <c r="REP23" s="30"/>
      <c r="REU23" s="93"/>
      <c r="REV23" s="30"/>
      <c r="RFA23" s="93"/>
      <c r="RFB23" s="30"/>
      <c r="RFG23" s="93"/>
      <c r="RFH23" s="30"/>
      <c r="RFM23" s="93"/>
      <c r="RFN23" s="30"/>
      <c r="RFS23" s="93"/>
      <c r="RFT23" s="30"/>
      <c r="RFY23" s="93"/>
      <c r="RFZ23" s="30"/>
      <c r="RGE23" s="93"/>
      <c r="RGF23" s="30"/>
      <c r="RGK23" s="93"/>
      <c r="RGL23" s="30"/>
      <c r="RGQ23" s="93"/>
      <c r="RGR23" s="30"/>
      <c r="RGW23" s="93"/>
      <c r="RGX23" s="30"/>
      <c r="RHC23" s="93"/>
      <c r="RHD23" s="30"/>
      <c r="RHI23" s="93"/>
      <c r="RHJ23" s="30"/>
      <c r="RHO23" s="93"/>
      <c r="RHP23" s="30"/>
      <c r="RHU23" s="93"/>
      <c r="RHV23" s="30"/>
      <c r="RIA23" s="93"/>
      <c r="RIB23" s="30"/>
      <c r="RIG23" s="93"/>
      <c r="RIH23" s="30"/>
      <c r="RIM23" s="93"/>
      <c r="RIN23" s="30"/>
      <c r="RIS23" s="93"/>
      <c r="RIT23" s="30"/>
      <c r="RIY23" s="93"/>
      <c r="RIZ23" s="30"/>
      <c r="RJE23" s="93"/>
      <c r="RJF23" s="30"/>
      <c r="RJK23" s="93"/>
      <c r="RJL23" s="30"/>
      <c r="RJQ23" s="93"/>
      <c r="RJR23" s="30"/>
      <c r="RJW23" s="93"/>
      <c r="RJX23" s="30"/>
      <c r="RKC23" s="93"/>
      <c r="RKD23" s="30"/>
      <c r="RKI23" s="93"/>
      <c r="RKJ23" s="30"/>
      <c r="RKO23" s="93"/>
      <c r="RKP23" s="30"/>
      <c r="RKU23" s="93"/>
      <c r="RKV23" s="30"/>
      <c r="RLA23" s="93"/>
      <c r="RLB23" s="30"/>
      <c r="RLG23" s="93"/>
      <c r="RLH23" s="30"/>
      <c r="RLM23" s="93"/>
      <c r="RLN23" s="30"/>
      <c r="RLS23" s="93"/>
      <c r="RLT23" s="30"/>
      <c r="RLY23" s="93"/>
      <c r="RLZ23" s="30"/>
      <c r="RME23" s="93"/>
      <c r="RMF23" s="30"/>
      <c r="RMK23" s="93"/>
      <c r="RML23" s="30"/>
      <c r="RMQ23" s="93"/>
      <c r="RMR23" s="30"/>
      <c r="RMW23" s="93"/>
      <c r="RMX23" s="30"/>
      <c r="RNC23" s="93"/>
      <c r="RND23" s="30"/>
      <c r="RNI23" s="93"/>
      <c r="RNJ23" s="30"/>
      <c r="RNO23" s="93"/>
      <c r="RNP23" s="30"/>
      <c r="RNU23" s="93"/>
      <c r="RNV23" s="30"/>
      <c r="ROA23" s="93"/>
      <c r="ROB23" s="30"/>
      <c r="ROG23" s="93"/>
      <c r="ROH23" s="30"/>
      <c r="ROM23" s="93"/>
      <c r="RON23" s="30"/>
      <c r="ROS23" s="93"/>
      <c r="ROT23" s="30"/>
      <c r="ROY23" s="93"/>
      <c r="ROZ23" s="30"/>
      <c r="RPE23" s="93"/>
      <c r="RPF23" s="30"/>
      <c r="RPK23" s="93"/>
      <c r="RPL23" s="30"/>
      <c r="RPQ23" s="93"/>
      <c r="RPR23" s="30"/>
      <c r="RPW23" s="93"/>
      <c r="RPX23" s="30"/>
      <c r="RQC23" s="93"/>
      <c r="RQD23" s="30"/>
      <c r="RQI23" s="93"/>
      <c r="RQJ23" s="30"/>
      <c r="RQO23" s="93"/>
      <c r="RQP23" s="30"/>
      <c r="RQU23" s="93"/>
      <c r="RQV23" s="30"/>
      <c r="RRA23" s="93"/>
      <c r="RRB23" s="30"/>
      <c r="RRG23" s="93"/>
      <c r="RRH23" s="30"/>
      <c r="RRM23" s="93"/>
      <c r="RRN23" s="30"/>
      <c r="RRS23" s="93"/>
      <c r="RRT23" s="30"/>
      <c r="RRY23" s="93"/>
      <c r="RRZ23" s="30"/>
      <c r="RSE23" s="93"/>
      <c r="RSF23" s="30"/>
      <c r="RSK23" s="93"/>
      <c r="RSL23" s="30"/>
      <c r="RSQ23" s="93"/>
      <c r="RSR23" s="30"/>
      <c r="RSW23" s="93"/>
      <c r="RSX23" s="30"/>
      <c r="RTC23" s="93"/>
      <c r="RTD23" s="30"/>
      <c r="RTI23" s="93"/>
      <c r="RTJ23" s="30"/>
      <c r="RTO23" s="93"/>
      <c r="RTP23" s="30"/>
      <c r="RTU23" s="93"/>
      <c r="RTV23" s="30"/>
      <c r="RUA23" s="93"/>
      <c r="RUB23" s="30"/>
      <c r="RUG23" s="93"/>
      <c r="RUH23" s="30"/>
      <c r="RUM23" s="93"/>
      <c r="RUN23" s="30"/>
      <c r="RUS23" s="93"/>
      <c r="RUT23" s="30"/>
      <c r="RUY23" s="93"/>
      <c r="RUZ23" s="30"/>
      <c r="RVE23" s="93"/>
      <c r="RVF23" s="30"/>
      <c r="RVK23" s="93"/>
      <c r="RVL23" s="30"/>
      <c r="RVQ23" s="93"/>
      <c r="RVR23" s="30"/>
      <c r="RVW23" s="93"/>
      <c r="RVX23" s="30"/>
      <c r="RWC23" s="93"/>
      <c r="RWD23" s="30"/>
      <c r="RWI23" s="93"/>
      <c r="RWJ23" s="30"/>
      <c r="RWO23" s="93"/>
      <c r="RWP23" s="30"/>
      <c r="RWU23" s="93"/>
      <c r="RWV23" s="30"/>
      <c r="RXA23" s="93"/>
      <c r="RXB23" s="30"/>
      <c r="RXG23" s="93"/>
      <c r="RXH23" s="30"/>
      <c r="RXM23" s="93"/>
      <c r="RXN23" s="30"/>
      <c r="RXS23" s="93"/>
      <c r="RXT23" s="30"/>
      <c r="RXY23" s="93"/>
      <c r="RXZ23" s="30"/>
      <c r="RYE23" s="93"/>
      <c r="RYF23" s="30"/>
      <c r="RYK23" s="93"/>
      <c r="RYL23" s="30"/>
      <c r="RYQ23" s="93"/>
      <c r="RYR23" s="30"/>
      <c r="RYW23" s="93"/>
      <c r="RYX23" s="30"/>
      <c r="RZC23" s="93"/>
      <c r="RZD23" s="30"/>
      <c r="RZI23" s="93"/>
      <c r="RZJ23" s="30"/>
      <c r="RZO23" s="93"/>
      <c r="RZP23" s="30"/>
      <c r="RZU23" s="93"/>
      <c r="RZV23" s="30"/>
      <c r="SAA23" s="93"/>
      <c r="SAB23" s="30"/>
      <c r="SAG23" s="93"/>
      <c r="SAH23" s="30"/>
      <c r="SAM23" s="93"/>
      <c r="SAN23" s="30"/>
      <c r="SAS23" s="93"/>
      <c r="SAT23" s="30"/>
      <c r="SAY23" s="93"/>
      <c r="SAZ23" s="30"/>
      <c r="SBE23" s="93"/>
      <c r="SBF23" s="30"/>
      <c r="SBK23" s="93"/>
      <c r="SBL23" s="30"/>
      <c r="SBQ23" s="93"/>
      <c r="SBR23" s="30"/>
      <c r="SBW23" s="93"/>
      <c r="SBX23" s="30"/>
      <c r="SCC23" s="93"/>
      <c r="SCD23" s="30"/>
      <c r="SCI23" s="93"/>
      <c r="SCJ23" s="30"/>
      <c r="SCO23" s="93"/>
      <c r="SCP23" s="30"/>
      <c r="SCU23" s="93"/>
      <c r="SCV23" s="30"/>
      <c r="SDA23" s="93"/>
      <c r="SDB23" s="30"/>
      <c r="SDG23" s="93"/>
      <c r="SDH23" s="30"/>
      <c r="SDM23" s="93"/>
      <c r="SDN23" s="30"/>
      <c r="SDS23" s="93"/>
      <c r="SDT23" s="30"/>
      <c r="SDY23" s="93"/>
      <c r="SDZ23" s="30"/>
      <c r="SEE23" s="93"/>
      <c r="SEF23" s="30"/>
      <c r="SEK23" s="93"/>
      <c r="SEL23" s="30"/>
      <c r="SEQ23" s="93"/>
      <c r="SER23" s="30"/>
      <c r="SEW23" s="93"/>
      <c r="SEX23" s="30"/>
      <c r="SFC23" s="93"/>
      <c r="SFD23" s="30"/>
      <c r="SFI23" s="93"/>
      <c r="SFJ23" s="30"/>
      <c r="SFO23" s="93"/>
      <c r="SFP23" s="30"/>
      <c r="SFU23" s="93"/>
      <c r="SFV23" s="30"/>
      <c r="SGA23" s="93"/>
      <c r="SGB23" s="30"/>
      <c r="SGG23" s="93"/>
      <c r="SGH23" s="30"/>
      <c r="SGM23" s="93"/>
      <c r="SGN23" s="30"/>
      <c r="SGS23" s="93"/>
      <c r="SGT23" s="30"/>
      <c r="SGY23" s="93"/>
      <c r="SGZ23" s="30"/>
      <c r="SHE23" s="93"/>
      <c r="SHF23" s="30"/>
      <c r="SHK23" s="93"/>
      <c r="SHL23" s="30"/>
      <c r="SHQ23" s="93"/>
      <c r="SHR23" s="30"/>
      <c r="SHW23" s="93"/>
      <c r="SHX23" s="30"/>
      <c r="SIC23" s="93"/>
      <c r="SID23" s="30"/>
      <c r="SII23" s="93"/>
      <c r="SIJ23" s="30"/>
      <c r="SIO23" s="93"/>
      <c r="SIP23" s="30"/>
      <c r="SIU23" s="93"/>
      <c r="SIV23" s="30"/>
      <c r="SJA23" s="93"/>
      <c r="SJB23" s="30"/>
      <c r="SJG23" s="93"/>
      <c r="SJH23" s="30"/>
      <c r="SJM23" s="93"/>
      <c r="SJN23" s="30"/>
      <c r="SJS23" s="93"/>
      <c r="SJT23" s="30"/>
      <c r="SJY23" s="93"/>
      <c r="SJZ23" s="30"/>
      <c r="SKE23" s="93"/>
      <c r="SKF23" s="30"/>
      <c r="SKK23" s="93"/>
      <c r="SKL23" s="30"/>
      <c r="SKQ23" s="93"/>
      <c r="SKR23" s="30"/>
      <c r="SKW23" s="93"/>
      <c r="SKX23" s="30"/>
      <c r="SLC23" s="93"/>
      <c r="SLD23" s="30"/>
      <c r="SLI23" s="93"/>
      <c r="SLJ23" s="30"/>
      <c r="SLO23" s="93"/>
      <c r="SLP23" s="30"/>
      <c r="SLU23" s="93"/>
      <c r="SLV23" s="30"/>
      <c r="SMA23" s="93"/>
      <c r="SMB23" s="30"/>
      <c r="SMG23" s="93"/>
      <c r="SMH23" s="30"/>
      <c r="SMM23" s="93"/>
      <c r="SMN23" s="30"/>
      <c r="SMS23" s="93"/>
      <c r="SMT23" s="30"/>
      <c r="SMY23" s="93"/>
      <c r="SMZ23" s="30"/>
      <c r="SNE23" s="93"/>
      <c r="SNF23" s="30"/>
      <c r="SNK23" s="93"/>
      <c r="SNL23" s="30"/>
      <c r="SNQ23" s="93"/>
      <c r="SNR23" s="30"/>
      <c r="SNW23" s="93"/>
      <c r="SNX23" s="30"/>
      <c r="SOC23" s="93"/>
      <c r="SOD23" s="30"/>
      <c r="SOI23" s="93"/>
      <c r="SOJ23" s="30"/>
      <c r="SOO23" s="93"/>
      <c r="SOP23" s="30"/>
      <c r="SOU23" s="93"/>
      <c r="SOV23" s="30"/>
      <c r="SPA23" s="93"/>
      <c r="SPB23" s="30"/>
      <c r="SPG23" s="93"/>
      <c r="SPH23" s="30"/>
      <c r="SPM23" s="93"/>
      <c r="SPN23" s="30"/>
      <c r="SPS23" s="93"/>
      <c r="SPT23" s="30"/>
      <c r="SPY23" s="93"/>
      <c r="SPZ23" s="30"/>
      <c r="SQE23" s="93"/>
      <c r="SQF23" s="30"/>
      <c r="SQK23" s="93"/>
      <c r="SQL23" s="30"/>
      <c r="SQQ23" s="93"/>
      <c r="SQR23" s="30"/>
      <c r="SQW23" s="93"/>
      <c r="SQX23" s="30"/>
      <c r="SRC23" s="93"/>
      <c r="SRD23" s="30"/>
      <c r="SRI23" s="93"/>
      <c r="SRJ23" s="30"/>
      <c r="SRO23" s="93"/>
      <c r="SRP23" s="30"/>
      <c r="SRU23" s="93"/>
      <c r="SRV23" s="30"/>
      <c r="SSA23" s="93"/>
      <c r="SSB23" s="30"/>
      <c r="SSG23" s="93"/>
      <c r="SSH23" s="30"/>
      <c r="SSM23" s="93"/>
      <c r="SSN23" s="30"/>
      <c r="SSS23" s="93"/>
      <c r="SST23" s="30"/>
      <c r="SSY23" s="93"/>
      <c r="SSZ23" s="30"/>
      <c r="STE23" s="93"/>
      <c r="STF23" s="30"/>
      <c r="STK23" s="93"/>
      <c r="STL23" s="30"/>
      <c r="STQ23" s="93"/>
      <c r="STR23" s="30"/>
      <c r="STW23" s="93"/>
      <c r="STX23" s="30"/>
      <c r="SUC23" s="93"/>
      <c r="SUD23" s="30"/>
      <c r="SUI23" s="93"/>
      <c r="SUJ23" s="30"/>
      <c r="SUO23" s="93"/>
      <c r="SUP23" s="30"/>
      <c r="SUU23" s="93"/>
      <c r="SUV23" s="30"/>
      <c r="SVA23" s="93"/>
      <c r="SVB23" s="30"/>
      <c r="SVG23" s="93"/>
      <c r="SVH23" s="30"/>
      <c r="SVM23" s="93"/>
      <c r="SVN23" s="30"/>
      <c r="SVS23" s="93"/>
      <c r="SVT23" s="30"/>
      <c r="SVY23" s="93"/>
      <c r="SVZ23" s="30"/>
      <c r="SWE23" s="93"/>
      <c r="SWF23" s="30"/>
      <c r="SWK23" s="93"/>
      <c r="SWL23" s="30"/>
      <c r="SWQ23" s="93"/>
      <c r="SWR23" s="30"/>
      <c r="SWW23" s="93"/>
      <c r="SWX23" s="30"/>
      <c r="SXC23" s="93"/>
      <c r="SXD23" s="30"/>
      <c r="SXI23" s="93"/>
      <c r="SXJ23" s="30"/>
      <c r="SXO23" s="93"/>
      <c r="SXP23" s="30"/>
      <c r="SXU23" s="93"/>
      <c r="SXV23" s="30"/>
      <c r="SYA23" s="93"/>
      <c r="SYB23" s="30"/>
      <c r="SYG23" s="93"/>
      <c r="SYH23" s="30"/>
      <c r="SYM23" s="93"/>
      <c r="SYN23" s="30"/>
      <c r="SYS23" s="93"/>
      <c r="SYT23" s="30"/>
      <c r="SYY23" s="93"/>
      <c r="SYZ23" s="30"/>
      <c r="SZE23" s="93"/>
      <c r="SZF23" s="30"/>
      <c r="SZK23" s="93"/>
      <c r="SZL23" s="30"/>
      <c r="SZQ23" s="93"/>
      <c r="SZR23" s="30"/>
      <c r="SZW23" s="93"/>
      <c r="SZX23" s="30"/>
      <c r="TAC23" s="93"/>
      <c r="TAD23" s="30"/>
      <c r="TAI23" s="93"/>
      <c r="TAJ23" s="30"/>
      <c r="TAO23" s="93"/>
      <c r="TAP23" s="30"/>
      <c r="TAU23" s="93"/>
      <c r="TAV23" s="30"/>
      <c r="TBA23" s="93"/>
      <c r="TBB23" s="30"/>
      <c r="TBG23" s="93"/>
      <c r="TBH23" s="30"/>
      <c r="TBM23" s="93"/>
      <c r="TBN23" s="30"/>
      <c r="TBS23" s="93"/>
      <c r="TBT23" s="30"/>
      <c r="TBY23" s="93"/>
      <c r="TBZ23" s="30"/>
      <c r="TCE23" s="93"/>
      <c r="TCF23" s="30"/>
      <c r="TCK23" s="93"/>
      <c r="TCL23" s="30"/>
      <c r="TCQ23" s="93"/>
      <c r="TCR23" s="30"/>
      <c r="TCW23" s="93"/>
      <c r="TCX23" s="30"/>
      <c r="TDC23" s="93"/>
      <c r="TDD23" s="30"/>
      <c r="TDI23" s="93"/>
      <c r="TDJ23" s="30"/>
      <c r="TDO23" s="93"/>
      <c r="TDP23" s="30"/>
      <c r="TDU23" s="93"/>
      <c r="TDV23" s="30"/>
      <c r="TEA23" s="93"/>
      <c r="TEB23" s="30"/>
      <c r="TEG23" s="93"/>
      <c r="TEH23" s="30"/>
      <c r="TEM23" s="93"/>
      <c r="TEN23" s="30"/>
      <c r="TES23" s="93"/>
      <c r="TET23" s="30"/>
      <c r="TEY23" s="93"/>
      <c r="TEZ23" s="30"/>
      <c r="TFE23" s="93"/>
      <c r="TFF23" s="30"/>
      <c r="TFK23" s="93"/>
      <c r="TFL23" s="30"/>
      <c r="TFQ23" s="93"/>
      <c r="TFR23" s="30"/>
      <c r="TFW23" s="93"/>
      <c r="TFX23" s="30"/>
      <c r="TGC23" s="93"/>
      <c r="TGD23" s="30"/>
      <c r="TGI23" s="93"/>
      <c r="TGJ23" s="30"/>
      <c r="TGO23" s="93"/>
      <c r="TGP23" s="30"/>
      <c r="TGU23" s="93"/>
      <c r="TGV23" s="30"/>
      <c r="THA23" s="93"/>
      <c r="THB23" s="30"/>
      <c r="THG23" s="93"/>
      <c r="THH23" s="30"/>
      <c r="THM23" s="93"/>
      <c r="THN23" s="30"/>
      <c r="THS23" s="93"/>
      <c r="THT23" s="30"/>
      <c r="THY23" s="93"/>
      <c r="THZ23" s="30"/>
      <c r="TIE23" s="93"/>
      <c r="TIF23" s="30"/>
      <c r="TIK23" s="93"/>
      <c r="TIL23" s="30"/>
      <c r="TIQ23" s="93"/>
      <c r="TIR23" s="30"/>
      <c r="TIW23" s="93"/>
      <c r="TIX23" s="30"/>
      <c r="TJC23" s="93"/>
      <c r="TJD23" s="30"/>
      <c r="TJI23" s="93"/>
      <c r="TJJ23" s="30"/>
      <c r="TJO23" s="93"/>
      <c r="TJP23" s="30"/>
      <c r="TJU23" s="93"/>
      <c r="TJV23" s="30"/>
      <c r="TKA23" s="93"/>
      <c r="TKB23" s="30"/>
      <c r="TKG23" s="93"/>
      <c r="TKH23" s="30"/>
      <c r="TKM23" s="93"/>
      <c r="TKN23" s="30"/>
      <c r="TKS23" s="93"/>
      <c r="TKT23" s="30"/>
      <c r="TKY23" s="93"/>
      <c r="TKZ23" s="30"/>
      <c r="TLE23" s="93"/>
      <c r="TLF23" s="30"/>
      <c r="TLK23" s="93"/>
      <c r="TLL23" s="30"/>
      <c r="TLQ23" s="93"/>
      <c r="TLR23" s="30"/>
      <c r="TLW23" s="93"/>
      <c r="TLX23" s="30"/>
      <c r="TMC23" s="93"/>
      <c r="TMD23" s="30"/>
      <c r="TMI23" s="93"/>
      <c r="TMJ23" s="30"/>
      <c r="TMO23" s="93"/>
      <c r="TMP23" s="30"/>
      <c r="TMU23" s="93"/>
      <c r="TMV23" s="30"/>
      <c r="TNA23" s="93"/>
      <c r="TNB23" s="30"/>
      <c r="TNG23" s="93"/>
      <c r="TNH23" s="30"/>
      <c r="TNM23" s="93"/>
      <c r="TNN23" s="30"/>
      <c r="TNS23" s="93"/>
      <c r="TNT23" s="30"/>
      <c r="TNY23" s="93"/>
      <c r="TNZ23" s="30"/>
      <c r="TOE23" s="93"/>
      <c r="TOF23" s="30"/>
      <c r="TOK23" s="93"/>
      <c r="TOL23" s="30"/>
      <c r="TOQ23" s="93"/>
      <c r="TOR23" s="30"/>
      <c r="TOW23" s="93"/>
      <c r="TOX23" s="30"/>
      <c r="TPC23" s="93"/>
      <c r="TPD23" s="30"/>
      <c r="TPI23" s="93"/>
      <c r="TPJ23" s="30"/>
      <c r="TPO23" s="93"/>
      <c r="TPP23" s="30"/>
      <c r="TPU23" s="93"/>
      <c r="TPV23" s="30"/>
      <c r="TQA23" s="93"/>
      <c r="TQB23" s="30"/>
      <c r="TQG23" s="93"/>
      <c r="TQH23" s="30"/>
      <c r="TQM23" s="93"/>
      <c r="TQN23" s="30"/>
      <c r="TQS23" s="93"/>
      <c r="TQT23" s="30"/>
      <c r="TQY23" s="93"/>
      <c r="TQZ23" s="30"/>
      <c r="TRE23" s="93"/>
      <c r="TRF23" s="30"/>
      <c r="TRK23" s="93"/>
      <c r="TRL23" s="30"/>
      <c r="TRQ23" s="93"/>
      <c r="TRR23" s="30"/>
      <c r="TRW23" s="93"/>
      <c r="TRX23" s="30"/>
      <c r="TSC23" s="93"/>
      <c r="TSD23" s="30"/>
      <c r="TSI23" s="93"/>
      <c r="TSJ23" s="30"/>
      <c r="TSO23" s="93"/>
      <c r="TSP23" s="30"/>
      <c r="TSU23" s="93"/>
      <c r="TSV23" s="30"/>
      <c r="TTA23" s="93"/>
      <c r="TTB23" s="30"/>
      <c r="TTG23" s="93"/>
      <c r="TTH23" s="30"/>
      <c r="TTM23" s="93"/>
      <c r="TTN23" s="30"/>
      <c r="TTS23" s="93"/>
      <c r="TTT23" s="30"/>
      <c r="TTY23" s="93"/>
      <c r="TTZ23" s="30"/>
      <c r="TUE23" s="93"/>
      <c r="TUF23" s="30"/>
      <c r="TUK23" s="93"/>
      <c r="TUL23" s="30"/>
      <c r="TUQ23" s="93"/>
      <c r="TUR23" s="30"/>
      <c r="TUW23" s="93"/>
      <c r="TUX23" s="30"/>
      <c r="TVC23" s="93"/>
      <c r="TVD23" s="30"/>
      <c r="TVI23" s="93"/>
      <c r="TVJ23" s="30"/>
      <c r="TVO23" s="93"/>
      <c r="TVP23" s="30"/>
      <c r="TVU23" s="93"/>
      <c r="TVV23" s="30"/>
      <c r="TWA23" s="93"/>
      <c r="TWB23" s="30"/>
      <c r="TWG23" s="93"/>
      <c r="TWH23" s="30"/>
      <c r="TWM23" s="93"/>
      <c r="TWN23" s="30"/>
      <c r="TWS23" s="93"/>
      <c r="TWT23" s="30"/>
      <c r="TWY23" s="93"/>
      <c r="TWZ23" s="30"/>
      <c r="TXE23" s="93"/>
      <c r="TXF23" s="30"/>
      <c r="TXK23" s="93"/>
      <c r="TXL23" s="30"/>
      <c r="TXQ23" s="93"/>
      <c r="TXR23" s="30"/>
      <c r="TXW23" s="93"/>
      <c r="TXX23" s="30"/>
      <c r="TYC23" s="93"/>
      <c r="TYD23" s="30"/>
      <c r="TYI23" s="93"/>
      <c r="TYJ23" s="30"/>
      <c r="TYO23" s="93"/>
      <c r="TYP23" s="30"/>
      <c r="TYU23" s="93"/>
      <c r="TYV23" s="30"/>
      <c r="TZA23" s="93"/>
      <c r="TZB23" s="30"/>
      <c r="TZG23" s="93"/>
      <c r="TZH23" s="30"/>
      <c r="TZM23" s="93"/>
      <c r="TZN23" s="30"/>
      <c r="TZS23" s="93"/>
      <c r="TZT23" s="30"/>
      <c r="TZY23" s="93"/>
      <c r="TZZ23" s="30"/>
      <c r="UAE23" s="93"/>
      <c r="UAF23" s="30"/>
      <c r="UAK23" s="93"/>
      <c r="UAL23" s="30"/>
      <c r="UAQ23" s="93"/>
      <c r="UAR23" s="30"/>
      <c r="UAW23" s="93"/>
      <c r="UAX23" s="30"/>
      <c r="UBC23" s="93"/>
      <c r="UBD23" s="30"/>
      <c r="UBI23" s="93"/>
      <c r="UBJ23" s="30"/>
      <c r="UBO23" s="93"/>
      <c r="UBP23" s="30"/>
      <c r="UBU23" s="93"/>
      <c r="UBV23" s="30"/>
      <c r="UCA23" s="93"/>
      <c r="UCB23" s="30"/>
      <c r="UCG23" s="93"/>
      <c r="UCH23" s="30"/>
      <c r="UCM23" s="93"/>
      <c r="UCN23" s="30"/>
      <c r="UCS23" s="93"/>
      <c r="UCT23" s="30"/>
      <c r="UCY23" s="93"/>
      <c r="UCZ23" s="30"/>
      <c r="UDE23" s="93"/>
      <c r="UDF23" s="30"/>
      <c r="UDK23" s="93"/>
      <c r="UDL23" s="30"/>
      <c r="UDQ23" s="93"/>
      <c r="UDR23" s="30"/>
      <c r="UDW23" s="93"/>
      <c r="UDX23" s="30"/>
      <c r="UEC23" s="93"/>
      <c r="UED23" s="30"/>
      <c r="UEI23" s="93"/>
      <c r="UEJ23" s="30"/>
      <c r="UEO23" s="93"/>
      <c r="UEP23" s="30"/>
      <c r="UEU23" s="93"/>
      <c r="UEV23" s="30"/>
      <c r="UFA23" s="93"/>
      <c r="UFB23" s="30"/>
      <c r="UFG23" s="93"/>
      <c r="UFH23" s="30"/>
      <c r="UFM23" s="93"/>
      <c r="UFN23" s="30"/>
      <c r="UFS23" s="93"/>
      <c r="UFT23" s="30"/>
      <c r="UFY23" s="93"/>
      <c r="UFZ23" s="30"/>
      <c r="UGE23" s="93"/>
      <c r="UGF23" s="30"/>
      <c r="UGK23" s="93"/>
      <c r="UGL23" s="30"/>
      <c r="UGQ23" s="93"/>
      <c r="UGR23" s="30"/>
      <c r="UGW23" s="93"/>
      <c r="UGX23" s="30"/>
      <c r="UHC23" s="93"/>
      <c r="UHD23" s="30"/>
      <c r="UHI23" s="93"/>
      <c r="UHJ23" s="30"/>
      <c r="UHO23" s="93"/>
      <c r="UHP23" s="30"/>
      <c r="UHU23" s="93"/>
      <c r="UHV23" s="30"/>
      <c r="UIA23" s="93"/>
      <c r="UIB23" s="30"/>
      <c r="UIG23" s="93"/>
      <c r="UIH23" s="30"/>
      <c r="UIM23" s="93"/>
      <c r="UIN23" s="30"/>
      <c r="UIS23" s="93"/>
      <c r="UIT23" s="30"/>
      <c r="UIY23" s="93"/>
      <c r="UIZ23" s="30"/>
      <c r="UJE23" s="93"/>
      <c r="UJF23" s="30"/>
      <c r="UJK23" s="93"/>
      <c r="UJL23" s="30"/>
      <c r="UJQ23" s="93"/>
      <c r="UJR23" s="30"/>
      <c r="UJW23" s="93"/>
      <c r="UJX23" s="30"/>
      <c r="UKC23" s="93"/>
      <c r="UKD23" s="30"/>
      <c r="UKI23" s="93"/>
      <c r="UKJ23" s="30"/>
      <c r="UKO23" s="93"/>
      <c r="UKP23" s="30"/>
      <c r="UKU23" s="93"/>
      <c r="UKV23" s="30"/>
      <c r="ULA23" s="93"/>
      <c r="ULB23" s="30"/>
      <c r="ULG23" s="93"/>
      <c r="ULH23" s="30"/>
      <c r="ULM23" s="93"/>
      <c r="ULN23" s="30"/>
      <c r="ULS23" s="93"/>
      <c r="ULT23" s="30"/>
      <c r="ULY23" s="93"/>
      <c r="ULZ23" s="30"/>
      <c r="UME23" s="93"/>
      <c r="UMF23" s="30"/>
      <c r="UMK23" s="93"/>
      <c r="UML23" s="30"/>
      <c r="UMQ23" s="93"/>
      <c r="UMR23" s="30"/>
      <c r="UMW23" s="93"/>
      <c r="UMX23" s="30"/>
      <c r="UNC23" s="93"/>
      <c r="UND23" s="30"/>
      <c r="UNI23" s="93"/>
      <c r="UNJ23" s="30"/>
      <c r="UNO23" s="93"/>
      <c r="UNP23" s="30"/>
      <c r="UNU23" s="93"/>
      <c r="UNV23" s="30"/>
      <c r="UOA23" s="93"/>
      <c r="UOB23" s="30"/>
      <c r="UOG23" s="93"/>
      <c r="UOH23" s="30"/>
      <c r="UOM23" s="93"/>
      <c r="UON23" s="30"/>
      <c r="UOS23" s="93"/>
      <c r="UOT23" s="30"/>
      <c r="UOY23" s="93"/>
      <c r="UOZ23" s="30"/>
      <c r="UPE23" s="93"/>
      <c r="UPF23" s="30"/>
      <c r="UPK23" s="93"/>
      <c r="UPL23" s="30"/>
      <c r="UPQ23" s="93"/>
      <c r="UPR23" s="30"/>
      <c r="UPW23" s="93"/>
      <c r="UPX23" s="30"/>
      <c r="UQC23" s="93"/>
      <c r="UQD23" s="30"/>
      <c r="UQI23" s="93"/>
      <c r="UQJ23" s="30"/>
      <c r="UQO23" s="93"/>
      <c r="UQP23" s="30"/>
      <c r="UQU23" s="93"/>
      <c r="UQV23" s="30"/>
      <c r="URA23" s="93"/>
      <c r="URB23" s="30"/>
      <c r="URG23" s="93"/>
      <c r="URH23" s="30"/>
      <c r="URM23" s="93"/>
      <c r="URN23" s="30"/>
      <c r="URS23" s="93"/>
      <c r="URT23" s="30"/>
      <c r="URY23" s="93"/>
      <c r="URZ23" s="30"/>
      <c r="USE23" s="93"/>
      <c r="USF23" s="30"/>
      <c r="USK23" s="93"/>
      <c r="USL23" s="30"/>
      <c r="USQ23" s="93"/>
      <c r="USR23" s="30"/>
      <c r="USW23" s="93"/>
      <c r="USX23" s="30"/>
      <c r="UTC23" s="93"/>
      <c r="UTD23" s="30"/>
      <c r="UTI23" s="93"/>
      <c r="UTJ23" s="30"/>
      <c r="UTO23" s="93"/>
      <c r="UTP23" s="30"/>
      <c r="UTU23" s="93"/>
      <c r="UTV23" s="30"/>
      <c r="UUA23" s="93"/>
      <c r="UUB23" s="30"/>
      <c r="UUG23" s="93"/>
      <c r="UUH23" s="30"/>
      <c r="UUM23" s="93"/>
      <c r="UUN23" s="30"/>
      <c r="UUS23" s="93"/>
      <c r="UUT23" s="30"/>
      <c r="UUY23" s="93"/>
      <c r="UUZ23" s="30"/>
      <c r="UVE23" s="93"/>
      <c r="UVF23" s="30"/>
      <c r="UVK23" s="93"/>
      <c r="UVL23" s="30"/>
      <c r="UVQ23" s="93"/>
      <c r="UVR23" s="30"/>
      <c r="UVW23" s="93"/>
      <c r="UVX23" s="30"/>
      <c r="UWC23" s="93"/>
      <c r="UWD23" s="30"/>
      <c r="UWI23" s="93"/>
      <c r="UWJ23" s="30"/>
      <c r="UWO23" s="93"/>
      <c r="UWP23" s="30"/>
      <c r="UWU23" s="93"/>
      <c r="UWV23" s="30"/>
      <c r="UXA23" s="93"/>
      <c r="UXB23" s="30"/>
      <c r="UXG23" s="93"/>
      <c r="UXH23" s="30"/>
      <c r="UXM23" s="93"/>
      <c r="UXN23" s="30"/>
      <c r="UXS23" s="93"/>
      <c r="UXT23" s="30"/>
      <c r="UXY23" s="93"/>
      <c r="UXZ23" s="30"/>
      <c r="UYE23" s="93"/>
      <c r="UYF23" s="30"/>
      <c r="UYK23" s="93"/>
      <c r="UYL23" s="30"/>
      <c r="UYQ23" s="93"/>
      <c r="UYR23" s="30"/>
      <c r="UYW23" s="93"/>
      <c r="UYX23" s="30"/>
      <c r="UZC23" s="93"/>
      <c r="UZD23" s="30"/>
      <c r="UZI23" s="93"/>
      <c r="UZJ23" s="30"/>
      <c r="UZO23" s="93"/>
      <c r="UZP23" s="30"/>
      <c r="UZU23" s="93"/>
      <c r="UZV23" s="30"/>
      <c r="VAA23" s="93"/>
      <c r="VAB23" s="30"/>
      <c r="VAG23" s="93"/>
      <c r="VAH23" s="30"/>
      <c r="VAM23" s="93"/>
      <c r="VAN23" s="30"/>
      <c r="VAS23" s="93"/>
      <c r="VAT23" s="30"/>
      <c r="VAY23" s="93"/>
      <c r="VAZ23" s="30"/>
      <c r="VBE23" s="93"/>
      <c r="VBF23" s="30"/>
      <c r="VBK23" s="93"/>
      <c r="VBL23" s="30"/>
      <c r="VBQ23" s="93"/>
      <c r="VBR23" s="30"/>
      <c r="VBW23" s="93"/>
      <c r="VBX23" s="30"/>
      <c r="VCC23" s="93"/>
      <c r="VCD23" s="30"/>
      <c r="VCI23" s="93"/>
      <c r="VCJ23" s="30"/>
      <c r="VCO23" s="93"/>
      <c r="VCP23" s="30"/>
      <c r="VCU23" s="93"/>
      <c r="VCV23" s="30"/>
      <c r="VDA23" s="93"/>
      <c r="VDB23" s="30"/>
      <c r="VDG23" s="93"/>
      <c r="VDH23" s="30"/>
      <c r="VDM23" s="93"/>
      <c r="VDN23" s="30"/>
      <c r="VDS23" s="93"/>
      <c r="VDT23" s="30"/>
      <c r="VDY23" s="93"/>
      <c r="VDZ23" s="30"/>
      <c r="VEE23" s="93"/>
      <c r="VEF23" s="30"/>
      <c r="VEK23" s="93"/>
      <c r="VEL23" s="30"/>
      <c r="VEQ23" s="93"/>
      <c r="VER23" s="30"/>
      <c r="VEW23" s="93"/>
      <c r="VEX23" s="30"/>
      <c r="VFC23" s="93"/>
      <c r="VFD23" s="30"/>
      <c r="VFI23" s="93"/>
      <c r="VFJ23" s="30"/>
      <c r="VFO23" s="93"/>
      <c r="VFP23" s="30"/>
      <c r="VFU23" s="93"/>
      <c r="VFV23" s="30"/>
      <c r="VGA23" s="93"/>
      <c r="VGB23" s="30"/>
      <c r="VGG23" s="93"/>
      <c r="VGH23" s="30"/>
      <c r="VGM23" s="93"/>
      <c r="VGN23" s="30"/>
      <c r="VGS23" s="93"/>
      <c r="VGT23" s="30"/>
      <c r="VGY23" s="93"/>
      <c r="VGZ23" s="30"/>
      <c r="VHE23" s="93"/>
      <c r="VHF23" s="30"/>
      <c r="VHK23" s="93"/>
      <c r="VHL23" s="30"/>
      <c r="VHQ23" s="93"/>
      <c r="VHR23" s="30"/>
      <c r="VHW23" s="93"/>
      <c r="VHX23" s="30"/>
      <c r="VIC23" s="93"/>
      <c r="VID23" s="30"/>
      <c r="VII23" s="93"/>
      <c r="VIJ23" s="30"/>
      <c r="VIO23" s="93"/>
      <c r="VIP23" s="30"/>
      <c r="VIU23" s="93"/>
      <c r="VIV23" s="30"/>
      <c r="VJA23" s="93"/>
      <c r="VJB23" s="30"/>
      <c r="VJG23" s="93"/>
      <c r="VJH23" s="30"/>
      <c r="VJM23" s="93"/>
      <c r="VJN23" s="30"/>
      <c r="VJS23" s="93"/>
      <c r="VJT23" s="30"/>
      <c r="VJY23" s="93"/>
      <c r="VJZ23" s="30"/>
      <c r="VKE23" s="93"/>
      <c r="VKF23" s="30"/>
      <c r="VKK23" s="93"/>
      <c r="VKL23" s="30"/>
      <c r="VKQ23" s="93"/>
      <c r="VKR23" s="30"/>
      <c r="VKW23" s="93"/>
      <c r="VKX23" s="30"/>
      <c r="VLC23" s="93"/>
      <c r="VLD23" s="30"/>
      <c r="VLI23" s="93"/>
      <c r="VLJ23" s="30"/>
      <c r="VLO23" s="93"/>
      <c r="VLP23" s="30"/>
      <c r="VLU23" s="93"/>
      <c r="VLV23" s="30"/>
      <c r="VMA23" s="93"/>
      <c r="VMB23" s="30"/>
      <c r="VMG23" s="93"/>
      <c r="VMH23" s="30"/>
      <c r="VMM23" s="93"/>
      <c r="VMN23" s="30"/>
      <c r="VMS23" s="93"/>
      <c r="VMT23" s="30"/>
      <c r="VMY23" s="93"/>
      <c r="VMZ23" s="30"/>
      <c r="VNE23" s="93"/>
      <c r="VNF23" s="30"/>
      <c r="VNK23" s="93"/>
      <c r="VNL23" s="30"/>
      <c r="VNQ23" s="93"/>
      <c r="VNR23" s="30"/>
      <c r="VNW23" s="93"/>
      <c r="VNX23" s="30"/>
      <c r="VOC23" s="93"/>
      <c r="VOD23" s="30"/>
      <c r="VOI23" s="93"/>
      <c r="VOJ23" s="30"/>
      <c r="VOO23" s="93"/>
      <c r="VOP23" s="30"/>
      <c r="VOU23" s="93"/>
      <c r="VOV23" s="30"/>
      <c r="VPA23" s="93"/>
      <c r="VPB23" s="30"/>
      <c r="VPG23" s="93"/>
      <c r="VPH23" s="30"/>
      <c r="VPM23" s="93"/>
      <c r="VPN23" s="30"/>
      <c r="VPS23" s="93"/>
      <c r="VPT23" s="30"/>
      <c r="VPY23" s="93"/>
      <c r="VPZ23" s="30"/>
      <c r="VQE23" s="93"/>
      <c r="VQF23" s="30"/>
      <c r="VQK23" s="93"/>
      <c r="VQL23" s="30"/>
      <c r="VQQ23" s="93"/>
      <c r="VQR23" s="30"/>
      <c r="VQW23" s="93"/>
      <c r="VQX23" s="30"/>
      <c r="VRC23" s="93"/>
      <c r="VRD23" s="30"/>
      <c r="VRI23" s="93"/>
      <c r="VRJ23" s="30"/>
      <c r="VRO23" s="93"/>
      <c r="VRP23" s="30"/>
      <c r="VRU23" s="93"/>
      <c r="VRV23" s="30"/>
      <c r="VSA23" s="93"/>
      <c r="VSB23" s="30"/>
      <c r="VSG23" s="93"/>
      <c r="VSH23" s="30"/>
      <c r="VSM23" s="93"/>
      <c r="VSN23" s="30"/>
      <c r="VSS23" s="93"/>
      <c r="VST23" s="30"/>
      <c r="VSY23" s="93"/>
      <c r="VSZ23" s="30"/>
      <c r="VTE23" s="93"/>
      <c r="VTF23" s="30"/>
      <c r="VTK23" s="93"/>
      <c r="VTL23" s="30"/>
      <c r="VTQ23" s="93"/>
      <c r="VTR23" s="30"/>
      <c r="VTW23" s="93"/>
      <c r="VTX23" s="30"/>
      <c r="VUC23" s="93"/>
      <c r="VUD23" s="30"/>
      <c r="VUI23" s="93"/>
      <c r="VUJ23" s="30"/>
      <c r="VUO23" s="93"/>
      <c r="VUP23" s="30"/>
      <c r="VUU23" s="93"/>
      <c r="VUV23" s="30"/>
      <c r="VVA23" s="93"/>
      <c r="VVB23" s="30"/>
      <c r="VVG23" s="93"/>
      <c r="VVH23" s="30"/>
      <c r="VVM23" s="93"/>
      <c r="VVN23" s="30"/>
      <c r="VVS23" s="93"/>
      <c r="VVT23" s="30"/>
      <c r="VVY23" s="93"/>
      <c r="VVZ23" s="30"/>
      <c r="VWE23" s="93"/>
      <c r="VWF23" s="30"/>
      <c r="VWK23" s="93"/>
      <c r="VWL23" s="30"/>
      <c r="VWQ23" s="93"/>
      <c r="VWR23" s="30"/>
      <c r="VWW23" s="93"/>
      <c r="VWX23" s="30"/>
      <c r="VXC23" s="93"/>
      <c r="VXD23" s="30"/>
      <c r="VXI23" s="93"/>
      <c r="VXJ23" s="30"/>
      <c r="VXO23" s="93"/>
      <c r="VXP23" s="30"/>
      <c r="VXU23" s="93"/>
      <c r="VXV23" s="30"/>
      <c r="VYA23" s="93"/>
      <c r="VYB23" s="30"/>
      <c r="VYG23" s="93"/>
      <c r="VYH23" s="30"/>
      <c r="VYM23" s="93"/>
      <c r="VYN23" s="30"/>
      <c r="VYS23" s="93"/>
      <c r="VYT23" s="30"/>
      <c r="VYY23" s="93"/>
      <c r="VYZ23" s="30"/>
      <c r="VZE23" s="93"/>
      <c r="VZF23" s="30"/>
      <c r="VZK23" s="93"/>
      <c r="VZL23" s="30"/>
      <c r="VZQ23" s="93"/>
      <c r="VZR23" s="30"/>
      <c r="VZW23" s="93"/>
      <c r="VZX23" s="30"/>
      <c r="WAC23" s="93"/>
      <c r="WAD23" s="30"/>
      <c r="WAI23" s="93"/>
      <c r="WAJ23" s="30"/>
      <c r="WAO23" s="93"/>
      <c r="WAP23" s="30"/>
      <c r="WAU23" s="93"/>
      <c r="WAV23" s="30"/>
      <c r="WBA23" s="93"/>
      <c r="WBB23" s="30"/>
      <c r="WBG23" s="93"/>
      <c r="WBH23" s="30"/>
      <c r="WBM23" s="93"/>
      <c r="WBN23" s="30"/>
      <c r="WBS23" s="93"/>
      <c r="WBT23" s="30"/>
      <c r="WBY23" s="93"/>
      <c r="WBZ23" s="30"/>
      <c r="WCE23" s="93"/>
      <c r="WCF23" s="30"/>
      <c r="WCK23" s="93"/>
      <c r="WCL23" s="30"/>
      <c r="WCQ23" s="93"/>
      <c r="WCR23" s="30"/>
      <c r="WCW23" s="93"/>
      <c r="WCX23" s="30"/>
      <c r="WDC23" s="93"/>
      <c r="WDD23" s="30"/>
      <c r="WDI23" s="93"/>
      <c r="WDJ23" s="30"/>
      <c r="WDO23" s="93"/>
      <c r="WDP23" s="30"/>
      <c r="WDU23" s="93"/>
      <c r="WDV23" s="30"/>
      <c r="WEA23" s="93"/>
      <c r="WEB23" s="30"/>
      <c r="WEG23" s="93"/>
      <c r="WEH23" s="30"/>
      <c r="WEM23" s="93"/>
      <c r="WEN23" s="30"/>
      <c r="WES23" s="93"/>
      <c r="WET23" s="30"/>
      <c r="WEY23" s="93"/>
      <c r="WEZ23" s="30"/>
      <c r="WFE23" s="93"/>
      <c r="WFF23" s="30"/>
      <c r="WFK23" s="93"/>
      <c r="WFL23" s="30"/>
      <c r="WFQ23" s="93"/>
      <c r="WFR23" s="30"/>
      <c r="WFW23" s="93"/>
      <c r="WFX23" s="30"/>
      <c r="WGC23" s="93"/>
      <c r="WGD23" s="30"/>
      <c r="WGI23" s="93"/>
      <c r="WGJ23" s="30"/>
      <c r="WGO23" s="93"/>
      <c r="WGP23" s="30"/>
      <c r="WGU23" s="93"/>
      <c r="WGV23" s="30"/>
      <c r="WHA23" s="93"/>
      <c r="WHB23" s="30"/>
      <c r="WHG23" s="93"/>
      <c r="WHH23" s="30"/>
      <c r="WHM23" s="93"/>
      <c r="WHN23" s="30"/>
      <c r="WHS23" s="93"/>
      <c r="WHT23" s="30"/>
      <c r="WHY23" s="93"/>
      <c r="WHZ23" s="30"/>
      <c r="WIE23" s="93"/>
      <c r="WIF23" s="30"/>
      <c r="WIK23" s="93"/>
      <c r="WIL23" s="30"/>
      <c r="WIQ23" s="93"/>
      <c r="WIR23" s="30"/>
      <c r="WIW23" s="93"/>
      <c r="WIX23" s="30"/>
      <c r="WJC23" s="93"/>
      <c r="WJD23" s="30"/>
      <c r="WJI23" s="93"/>
      <c r="WJJ23" s="30"/>
      <c r="WJO23" s="93"/>
      <c r="WJP23" s="30"/>
      <c r="WJU23" s="93"/>
      <c r="WJV23" s="30"/>
      <c r="WKA23" s="93"/>
      <c r="WKB23" s="30"/>
      <c r="WKG23" s="93"/>
      <c r="WKH23" s="30"/>
      <c r="WKM23" s="93"/>
      <c r="WKN23" s="30"/>
      <c r="WKS23" s="93"/>
      <c r="WKT23" s="30"/>
      <c r="WKY23" s="93"/>
      <c r="WKZ23" s="30"/>
      <c r="WLE23" s="93"/>
      <c r="WLF23" s="30"/>
      <c r="WLK23" s="93"/>
      <c r="WLL23" s="30"/>
      <c r="WLQ23" s="93"/>
      <c r="WLR23" s="30"/>
      <c r="WLW23" s="93"/>
      <c r="WLX23" s="30"/>
      <c r="WMC23" s="93"/>
      <c r="WMD23" s="30"/>
      <c r="WMI23" s="93"/>
      <c r="WMJ23" s="30"/>
      <c r="WMO23" s="93"/>
      <c r="WMP23" s="30"/>
      <c r="WMU23" s="93"/>
      <c r="WMV23" s="30"/>
      <c r="WNA23" s="93"/>
      <c r="WNB23" s="30"/>
      <c r="WNG23" s="93"/>
      <c r="WNH23" s="30"/>
      <c r="WNM23" s="93"/>
      <c r="WNN23" s="30"/>
      <c r="WNS23" s="93"/>
      <c r="WNT23" s="30"/>
      <c r="WNY23" s="93"/>
      <c r="WNZ23" s="30"/>
      <c r="WOE23" s="93"/>
      <c r="WOF23" s="30"/>
      <c r="WOK23" s="93"/>
      <c r="WOL23" s="30"/>
      <c r="WOQ23" s="93"/>
      <c r="WOR23" s="30"/>
      <c r="WOW23" s="93"/>
      <c r="WOX23" s="30"/>
      <c r="WPC23" s="93"/>
      <c r="WPD23" s="30"/>
      <c r="WPI23" s="93"/>
      <c r="WPJ23" s="30"/>
      <c r="WPO23" s="93"/>
      <c r="WPP23" s="30"/>
      <c r="WPU23" s="93"/>
      <c r="WPV23" s="30"/>
      <c r="WQA23" s="93"/>
      <c r="WQB23" s="30"/>
      <c r="WQG23" s="93"/>
      <c r="WQH23" s="30"/>
      <c r="WQM23" s="93"/>
      <c r="WQN23" s="30"/>
      <c r="WQS23" s="93"/>
      <c r="WQT23" s="30"/>
      <c r="WQY23" s="93"/>
      <c r="WQZ23" s="30"/>
      <c r="WRE23" s="93"/>
      <c r="WRF23" s="30"/>
      <c r="WRK23" s="93"/>
      <c r="WRL23" s="30"/>
      <c r="WRQ23" s="93"/>
      <c r="WRR23" s="30"/>
      <c r="WRW23" s="93"/>
      <c r="WRX23" s="30"/>
      <c r="WSC23" s="93"/>
      <c r="WSD23" s="30"/>
      <c r="WSI23" s="93"/>
      <c r="WSJ23" s="30"/>
      <c r="WSO23" s="93"/>
      <c r="WSP23" s="30"/>
      <c r="WSU23" s="93"/>
      <c r="WSV23" s="30"/>
      <c r="WTA23" s="93"/>
      <c r="WTB23" s="30"/>
      <c r="WTG23" s="93"/>
      <c r="WTH23" s="30"/>
      <c r="WTM23" s="93"/>
      <c r="WTN23" s="30"/>
      <c r="WTS23" s="93"/>
      <c r="WTT23" s="30"/>
      <c r="WTY23" s="93"/>
      <c r="WTZ23" s="30"/>
      <c r="WUE23" s="93"/>
      <c r="WUF23" s="30"/>
      <c r="WUK23" s="93"/>
      <c r="WUL23" s="30"/>
      <c r="WUQ23" s="93"/>
      <c r="WUR23" s="30"/>
      <c r="WUW23" s="93"/>
      <c r="WUX23" s="30"/>
      <c r="WVC23" s="93"/>
      <c r="WVD23" s="30"/>
      <c r="WVI23" s="93"/>
      <c r="WVJ23" s="30"/>
      <c r="WVO23" s="93"/>
      <c r="WVP23" s="30"/>
      <c r="WVU23" s="93"/>
      <c r="WVV23" s="30"/>
      <c r="WWA23" s="93"/>
      <c r="WWB23" s="30"/>
      <c r="WWG23" s="93"/>
      <c r="WWH23" s="30"/>
      <c r="WWM23" s="93"/>
      <c r="WWN23" s="30"/>
      <c r="WWS23" s="93"/>
      <c r="WWT23" s="30"/>
      <c r="WWY23" s="93"/>
      <c r="WWZ23" s="30"/>
      <c r="WXE23" s="93"/>
      <c r="WXF23" s="30"/>
      <c r="WXK23" s="93"/>
      <c r="WXL23" s="30"/>
      <c r="WXQ23" s="93"/>
      <c r="WXR23" s="30"/>
      <c r="WXW23" s="93"/>
      <c r="WXX23" s="30"/>
      <c r="WYC23" s="93"/>
      <c r="WYD23" s="30"/>
      <c r="WYI23" s="93"/>
      <c r="WYJ23" s="30"/>
      <c r="WYO23" s="93"/>
      <c r="WYP23" s="30"/>
      <c r="WYU23" s="93"/>
      <c r="WYV23" s="30"/>
      <c r="WZA23" s="93"/>
      <c r="WZB23" s="30"/>
      <c r="WZG23" s="93"/>
      <c r="WZH23" s="30"/>
      <c r="WZM23" s="93"/>
      <c r="WZN23" s="30"/>
      <c r="WZS23" s="93"/>
      <c r="WZT23" s="30"/>
      <c r="WZY23" s="93"/>
      <c r="WZZ23" s="30"/>
      <c r="XAE23" s="93"/>
      <c r="XAF23" s="30"/>
      <c r="XAK23" s="93"/>
      <c r="XAL23" s="30"/>
      <c r="XAQ23" s="93"/>
      <c r="XAR23" s="30"/>
      <c r="XAW23" s="93"/>
      <c r="XAX23" s="30"/>
      <c r="XBC23" s="93"/>
      <c r="XBD23" s="30"/>
      <c r="XBI23" s="93"/>
      <c r="XBJ23" s="30"/>
      <c r="XBO23" s="93"/>
      <c r="XBP23" s="30"/>
      <c r="XBU23" s="93"/>
      <c r="XBV23" s="30"/>
      <c r="XCA23" s="93"/>
      <c r="XCB23" s="30"/>
      <c r="XCG23" s="93"/>
      <c r="XCH23" s="30"/>
      <c r="XCM23" s="93"/>
      <c r="XCN23" s="30"/>
      <c r="XCS23" s="93"/>
      <c r="XCT23" s="30"/>
      <c r="XCY23" s="93"/>
      <c r="XCZ23" s="30"/>
      <c r="XDE23" s="93"/>
      <c r="XDF23" s="30"/>
      <c r="XDK23" s="93"/>
      <c r="XDL23" s="30"/>
      <c r="XDQ23" s="93"/>
      <c r="XDR23" s="30"/>
      <c r="XDW23" s="93"/>
      <c r="XDX23" s="30"/>
      <c r="XEC23" s="93"/>
      <c r="XED23" s="30"/>
      <c r="XEI23" s="93"/>
      <c r="XEJ23" s="30"/>
      <c r="XEO23" s="93"/>
      <c r="XEP23" s="30"/>
      <c r="XEU23" s="93"/>
      <c r="XEV23" s="30"/>
      <c r="XFA23" s="93"/>
      <c r="XFB23" s="30"/>
    </row>
    <row r="24" spans="1:1022 1027:2048 2053:3068 3073:4094 4099:5120 5125:6140 6145:7166 7171:8192 8197:9212 9217:10238 10243:11264 11269:12284 12289:13310 13315:14336 14341:15356 15361:16382" s="8" customFormat="1" ht="16" x14ac:dyDescent="0.2">
      <c r="A24" s="93" t="s">
        <v>42</v>
      </c>
      <c r="B24" s="10" t="s">
        <v>627</v>
      </c>
      <c r="C24" s="9" t="s">
        <v>628</v>
      </c>
      <c r="D24" s="10"/>
      <c r="E24" s="10"/>
      <c r="F24" s="10"/>
      <c r="G24" s="10"/>
      <c r="H24" s="10"/>
      <c r="I24" s="10"/>
      <c r="J24" s="10"/>
      <c r="K24" s="10"/>
      <c r="L24" s="10"/>
      <c r="M24" s="93"/>
      <c r="N24" s="30"/>
      <c r="S24" s="93"/>
      <c r="T24" s="30"/>
      <c r="Y24" s="93"/>
      <c r="Z24" s="30"/>
      <c r="AE24" s="93"/>
      <c r="AF24" s="30"/>
      <c r="AK24" s="93"/>
      <c r="AL24" s="30"/>
      <c r="AQ24" s="93"/>
      <c r="AR24" s="30"/>
      <c r="AW24" s="93"/>
      <c r="AX24" s="30"/>
      <c r="BC24" s="93"/>
      <c r="BD24" s="30"/>
      <c r="BI24" s="93"/>
      <c r="BJ24" s="30"/>
      <c r="BO24" s="93"/>
      <c r="BP24" s="30"/>
      <c r="BU24" s="93"/>
      <c r="BV24" s="30"/>
      <c r="CA24" s="93"/>
      <c r="CB24" s="30"/>
      <c r="CG24" s="93"/>
      <c r="CH24" s="30"/>
      <c r="CM24" s="93"/>
      <c r="CN24" s="30"/>
      <c r="CS24" s="93"/>
      <c r="CT24" s="30"/>
      <c r="CY24" s="93"/>
      <c r="CZ24" s="30"/>
      <c r="DE24" s="93"/>
      <c r="DF24" s="30"/>
      <c r="DK24" s="93"/>
      <c r="DL24" s="30"/>
      <c r="DQ24" s="93"/>
      <c r="DR24" s="30"/>
      <c r="DW24" s="93"/>
      <c r="DX24" s="30"/>
      <c r="EC24" s="93"/>
      <c r="ED24" s="30"/>
      <c r="EI24" s="93"/>
      <c r="EJ24" s="30"/>
      <c r="EO24" s="93"/>
      <c r="EP24" s="30"/>
      <c r="EU24" s="93"/>
      <c r="EV24" s="30"/>
      <c r="FA24" s="93"/>
      <c r="FB24" s="30"/>
      <c r="FG24" s="93"/>
      <c r="FH24" s="30"/>
      <c r="FM24" s="93"/>
      <c r="FN24" s="30"/>
      <c r="FS24" s="93"/>
      <c r="FT24" s="30"/>
      <c r="FY24" s="93"/>
      <c r="FZ24" s="30"/>
      <c r="GE24" s="93"/>
      <c r="GF24" s="30"/>
      <c r="GK24" s="93"/>
      <c r="GL24" s="30"/>
      <c r="GQ24" s="93"/>
      <c r="GR24" s="30"/>
      <c r="GW24" s="93"/>
      <c r="GX24" s="30"/>
      <c r="HC24" s="93"/>
      <c r="HD24" s="30"/>
      <c r="HI24" s="93"/>
      <c r="HJ24" s="30"/>
      <c r="HO24" s="93"/>
      <c r="HP24" s="30"/>
      <c r="HU24" s="93"/>
      <c r="HV24" s="30"/>
      <c r="IA24" s="93"/>
      <c r="IB24" s="30"/>
      <c r="IG24" s="93"/>
      <c r="IH24" s="30"/>
      <c r="IM24" s="93"/>
      <c r="IN24" s="30"/>
      <c r="IS24" s="93"/>
      <c r="IT24" s="30"/>
      <c r="IY24" s="93"/>
      <c r="IZ24" s="30"/>
      <c r="JE24" s="93"/>
      <c r="JF24" s="30"/>
      <c r="JK24" s="93"/>
      <c r="JL24" s="30"/>
      <c r="JQ24" s="93"/>
      <c r="JR24" s="30"/>
      <c r="JW24" s="93"/>
      <c r="JX24" s="30"/>
      <c r="KC24" s="93"/>
      <c r="KD24" s="30"/>
      <c r="KI24" s="93"/>
      <c r="KJ24" s="30"/>
      <c r="KO24" s="93"/>
      <c r="KP24" s="30"/>
      <c r="KU24" s="93"/>
      <c r="KV24" s="30"/>
      <c r="LA24" s="93"/>
      <c r="LB24" s="30"/>
      <c r="LG24" s="93"/>
      <c r="LH24" s="30"/>
      <c r="LM24" s="93"/>
      <c r="LN24" s="30"/>
      <c r="LS24" s="93"/>
      <c r="LT24" s="30"/>
      <c r="LY24" s="93"/>
      <c r="LZ24" s="30"/>
      <c r="ME24" s="93"/>
      <c r="MF24" s="30"/>
      <c r="MK24" s="93"/>
      <c r="ML24" s="30"/>
      <c r="MQ24" s="93"/>
      <c r="MR24" s="30"/>
      <c r="MW24" s="93"/>
      <c r="MX24" s="30"/>
      <c r="NC24" s="93"/>
      <c r="ND24" s="30"/>
      <c r="NI24" s="93"/>
      <c r="NJ24" s="30"/>
      <c r="NO24" s="93"/>
      <c r="NP24" s="30"/>
      <c r="NU24" s="93"/>
      <c r="NV24" s="30"/>
      <c r="OA24" s="93"/>
      <c r="OB24" s="30"/>
      <c r="OG24" s="93"/>
      <c r="OH24" s="30"/>
      <c r="OM24" s="93"/>
      <c r="ON24" s="30"/>
      <c r="OS24" s="93"/>
      <c r="OT24" s="30"/>
      <c r="OY24" s="93"/>
      <c r="OZ24" s="30"/>
      <c r="PE24" s="93"/>
      <c r="PF24" s="30"/>
      <c r="PK24" s="93"/>
      <c r="PL24" s="30"/>
      <c r="PQ24" s="93"/>
      <c r="PR24" s="30"/>
      <c r="PW24" s="93"/>
      <c r="PX24" s="30"/>
      <c r="QC24" s="93"/>
      <c r="QD24" s="30"/>
      <c r="QI24" s="93"/>
      <c r="QJ24" s="30"/>
      <c r="QO24" s="93"/>
      <c r="QP24" s="30"/>
      <c r="QU24" s="93"/>
      <c r="QV24" s="30"/>
      <c r="RA24" s="93"/>
      <c r="RB24" s="30"/>
      <c r="RG24" s="93"/>
      <c r="RH24" s="30"/>
      <c r="RM24" s="93"/>
      <c r="RN24" s="30"/>
      <c r="RS24" s="93"/>
      <c r="RT24" s="30"/>
      <c r="RY24" s="93"/>
      <c r="RZ24" s="30"/>
      <c r="SE24" s="93"/>
      <c r="SF24" s="30"/>
      <c r="SK24" s="93"/>
      <c r="SL24" s="30"/>
      <c r="SQ24" s="93"/>
      <c r="SR24" s="30"/>
      <c r="SW24" s="93"/>
      <c r="SX24" s="30"/>
      <c r="TC24" s="93"/>
      <c r="TD24" s="30"/>
      <c r="TI24" s="93"/>
      <c r="TJ24" s="30"/>
      <c r="TO24" s="93"/>
      <c r="TP24" s="30"/>
      <c r="TU24" s="93"/>
      <c r="TV24" s="30"/>
      <c r="UA24" s="93"/>
      <c r="UB24" s="30"/>
      <c r="UG24" s="93"/>
      <c r="UH24" s="30"/>
      <c r="UM24" s="93"/>
      <c r="UN24" s="30"/>
      <c r="US24" s="93"/>
      <c r="UT24" s="30"/>
      <c r="UY24" s="93"/>
      <c r="UZ24" s="30"/>
      <c r="VE24" s="93"/>
      <c r="VF24" s="30"/>
      <c r="VK24" s="93"/>
      <c r="VL24" s="30"/>
      <c r="VQ24" s="93"/>
      <c r="VR24" s="30"/>
      <c r="VW24" s="93"/>
      <c r="VX24" s="30"/>
      <c r="WC24" s="93"/>
      <c r="WD24" s="30"/>
      <c r="WI24" s="93"/>
      <c r="WJ24" s="30"/>
      <c r="WO24" s="93"/>
      <c r="WP24" s="30"/>
      <c r="WU24" s="93"/>
      <c r="WV24" s="30"/>
      <c r="XA24" s="93"/>
      <c r="XB24" s="30"/>
      <c r="XG24" s="93"/>
      <c r="XH24" s="30"/>
      <c r="XM24" s="93"/>
      <c r="XN24" s="30"/>
      <c r="XS24" s="93"/>
      <c r="XT24" s="30"/>
      <c r="XY24" s="93"/>
      <c r="XZ24" s="30"/>
      <c r="YE24" s="93"/>
      <c r="YF24" s="30"/>
      <c r="YK24" s="93"/>
      <c r="YL24" s="30"/>
      <c r="YQ24" s="93"/>
      <c r="YR24" s="30"/>
      <c r="YW24" s="93"/>
      <c r="YX24" s="30"/>
      <c r="ZC24" s="93"/>
      <c r="ZD24" s="30"/>
      <c r="ZI24" s="93"/>
      <c r="ZJ24" s="30"/>
      <c r="ZO24" s="93"/>
      <c r="ZP24" s="30"/>
      <c r="ZU24" s="93"/>
      <c r="ZV24" s="30"/>
      <c r="AAA24" s="93"/>
      <c r="AAB24" s="30"/>
      <c r="AAG24" s="93"/>
      <c r="AAH24" s="30"/>
      <c r="AAM24" s="93"/>
      <c r="AAN24" s="30"/>
      <c r="AAS24" s="93"/>
      <c r="AAT24" s="30"/>
      <c r="AAY24" s="93"/>
      <c r="AAZ24" s="30"/>
      <c r="ABE24" s="93"/>
      <c r="ABF24" s="30"/>
      <c r="ABK24" s="93"/>
      <c r="ABL24" s="30"/>
      <c r="ABQ24" s="93"/>
      <c r="ABR24" s="30"/>
      <c r="ABW24" s="93"/>
      <c r="ABX24" s="30"/>
      <c r="ACC24" s="93"/>
      <c r="ACD24" s="30"/>
      <c r="ACI24" s="93"/>
      <c r="ACJ24" s="30"/>
      <c r="ACO24" s="93"/>
      <c r="ACP24" s="30"/>
      <c r="ACU24" s="93"/>
      <c r="ACV24" s="30"/>
      <c r="ADA24" s="93"/>
      <c r="ADB24" s="30"/>
      <c r="ADG24" s="93"/>
      <c r="ADH24" s="30"/>
      <c r="ADM24" s="93"/>
      <c r="ADN24" s="30"/>
      <c r="ADS24" s="93"/>
      <c r="ADT24" s="30"/>
      <c r="ADY24" s="93"/>
      <c r="ADZ24" s="30"/>
      <c r="AEE24" s="93"/>
      <c r="AEF24" s="30"/>
      <c r="AEK24" s="93"/>
      <c r="AEL24" s="30"/>
      <c r="AEQ24" s="93"/>
      <c r="AER24" s="30"/>
      <c r="AEW24" s="93"/>
      <c r="AEX24" s="30"/>
      <c r="AFC24" s="93"/>
      <c r="AFD24" s="30"/>
      <c r="AFI24" s="93"/>
      <c r="AFJ24" s="30"/>
      <c r="AFO24" s="93"/>
      <c r="AFP24" s="30"/>
      <c r="AFU24" s="93"/>
      <c r="AFV24" s="30"/>
      <c r="AGA24" s="93"/>
      <c r="AGB24" s="30"/>
      <c r="AGG24" s="93"/>
      <c r="AGH24" s="30"/>
      <c r="AGM24" s="93"/>
      <c r="AGN24" s="30"/>
      <c r="AGS24" s="93"/>
      <c r="AGT24" s="30"/>
      <c r="AGY24" s="93"/>
      <c r="AGZ24" s="30"/>
      <c r="AHE24" s="93"/>
      <c r="AHF24" s="30"/>
      <c r="AHK24" s="93"/>
      <c r="AHL24" s="30"/>
      <c r="AHQ24" s="93"/>
      <c r="AHR24" s="30"/>
      <c r="AHW24" s="93"/>
      <c r="AHX24" s="30"/>
      <c r="AIC24" s="93"/>
      <c r="AID24" s="30"/>
      <c r="AII24" s="93"/>
      <c r="AIJ24" s="30"/>
      <c r="AIO24" s="93"/>
      <c r="AIP24" s="30"/>
      <c r="AIU24" s="93"/>
      <c r="AIV24" s="30"/>
      <c r="AJA24" s="93"/>
      <c r="AJB24" s="30"/>
      <c r="AJG24" s="93"/>
      <c r="AJH24" s="30"/>
      <c r="AJM24" s="93"/>
      <c r="AJN24" s="30"/>
      <c r="AJS24" s="93"/>
      <c r="AJT24" s="30"/>
      <c r="AJY24" s="93"/>
      <c r="AJZ24" s="30"/>
      <c r="AKE24" s="93"/>
      <c r="AKF24" s="30"/>
      <c r="AKK24" s="93"/>
      <c r="AKL24" s="30"/>
      <c r="AKQ24" s="93"/>
      <c r="AKR24" s="30"/>
      <c r="AKW24" s="93"/>
      <c r="AKX24" s="30"/>
      <c r="ALC24" s="93"/>
      <c r="ALD24" s="30"/>
      <c r="ALI24" s="93"/>
      <c r="ALJ24" s="30"/>
      <c r="ALO24" s="93"/>
      <c r="ALP24" s="30"/>
      <c r="ALU24" s="93"/>
      <c r="ALV24" s="30"/>
      <c r="AMA24" s="93"/>
      <c r="AMB24" s="30"/>
      <c r="AMG24" s="93"/>
      <c r="AMH24" s="30"/>
      <c r="AMM24" s="93"/>
      <c r="AMN24" s="30"/>
      <c r="AMS24" s="93"/>
      <c r="AMT24" s="30"/>
      <c r="AMY24" s="93"/>
      <c r="AMZ24" s="30"/>
      <c r="ANE24" s="93"/>
      <c r="ANF24" s="30"/>
      <c r="ANK24" s="93"/>
      <c r="ANL24" s="30"/>
      <c r="ANQ24" s="93"/>
      <c r="ANR24" s="30"/>
      <c r="ANW24" s="93"/>
      <c r="ANX24" s="30"/>
      <c r="AOC24" s="93"/>
      <c r="AOD24" s="30"/>
      <c r="AOI24" s="93"/>
      <c r="AOJ24" s="30"/>
      <c r="AOO24" s="93"/>
      <c r="AOP24" s="30"/>
      <c r="AOU24" s="93"/>
      <c r="AOV24" s="30"/>
      <c r="APA24" s="93"/>
      <c r="APB24" s="30"/>
      <c r="APG24" s="93"/>
      <c r="APH24" s="30"/>
      <c r="APM24" s="93"/>
      <c r="APN24" s="30"/>
      <c r="APS24" s="93"/>
      <c r="APT24" s="30"/>
      <c r="APY24" s="93"/>
      <c r="APZ24" s="30"/>
      <c r="AQE24" s="93"/>
      <c r="AQF24" s="30"/>
      <c r="AQK24" s="93"/>
      <c r="AQL24" s="30"/>
      <c r="AQQ24" s="93"/>
      <c r="AQR24" s="30"/>
      <c r="AQW24" s="93"/>
      <c r="AQX24" s="30"/>
      <c r="ARC24" s="93"/>
      <c r="ARD24" s="30"/>
      <c r="ARI24" s="93"/>
      <c r="ARJ24" s="30"/>
      <c r="ARO24" s="93"/>
      <c r="ARP24" s="30"/>
      <c r="ARU24" s="93"/>
      <c r="ARV24" s="30"/>
      <c r="ASA24" s="93"/>
      <c r="ASB24" s="30"/>
      <c r="ASG24" s="93"/>
      <c r="ASH24" s="30"/>
      <c r="ASM24" s="93"/>
      <c r="ASN24" s="30"/>
      <c r="ASS24" s="93"/>
      <c r="AST24" s="30"/>
      <c r="ASY24" s="93"/>
      <c r="ASZ24" s="30"/>
      <c r="ATE24" s="93"/>
      <c r="ATF24" s="30"/>
      <c r="ATK24" s="93"/>
      <c r="ATL24" s="30"/>
      <c r="ATQ24" s="93"/>
      <c r="ATR24" s="30"/>
      <c r="ATW24" s="93"/>
      <c r="ATX24" s="30"/>
      <c r="AUC24" s="93"/>
      <c r="AUD24" s="30"/>
      <c r="AUI24" s="93"/>
      <c r="AUJ24" s="30"/>
      <c r="AUO24" s="93"/>
      <c r="AUP24" s="30"/>
      <c r="AUU24" s="93"/>
      <c r="AUV24" s="30"/>
      <c r="AVA24" s="93"/>
      <c r="AVB24" s="30"/>
      <c r="AVG24" s="93"/>
      <c r="AVH24" s="30"/>
      <c r="AVM24" s="93"/>
      <c r="AVN24" s="30"/>
      <c r="AVS24" s="93"/>
      <c r="AVT24" s="30"/>
      <c r="AVY24" s="93"/>
      <c r="AVZ24" s="30"/>
      <c r="AWE24" s="93"/>
      <c r="AWF24" s="30"/>
      <c r="AWK24" s="93"/>
      <c r="AWL24" s="30"/>
      <c r="AWQ24" s="93"/>
      <c r="AWR24" s="30"/>
      <c r="AWW24" s="93"/>
      <c r="AWX24" s="30"/>
      <c r="AXC24" s="93"/>
      <c r="AXD24" s="30"/>
      <c r="AXI24" s="93"/>
      <c r="AXJ24" s="30"/>
      <c r="AXO24" s="93"/>
      <c r="AXP24" s="30"/>
      <c r="AXU24" s="93"/>
      <c r="AXV24" s="30"/>
      <c r="AYA24" s="93"/>
      <c r="AYB24" s="30"/>
      <c r="AYG24" s="93"/>
      <c r="AYH24" s="30"/>
      <c r="AYM24" s="93"/>
      <c r="AYN24" s="30"/>
      <c r="AYS24" s="93"/>
      <c r="AYT24" s="30"/>
      <c r="AYY24" s="93"/>
      <c r="AYZ24" s="30"/>
      <c r="AZE24" s="93"/>
      <c r="AZF24" s="30"/>
      <c r="AZK24" s="93"/>
      <c r="AZL24" s="30"/>
      <c r="AZQ24" s="93"/>
      <c r="AZR24" s="30"/>
      <c r="AZW24" s="93"/>
      <c r="AZX24" s="30"/>
      <c r="BAC24" s="93"/>
      <c r="BAD24" s="30"/>
      <c r="BAI24" s="93"/>
      <c r="BAJ24" s="30"/>
      <c r="BAO24" s="93"/>
      <c r="BAP24" s="30"/>
      <c r="BAU24" s="93"/>
      <c r="BAV24" s="30"/>
      <c r="BBA24" s="93"/>
      <c r="BBB24" s="30"/>
      <c r="BBG24" s="93"/>
      <c r="BBH24" s="30"/>
      <c r="BBM24" s="93"/>
      <c r="BBN24" s="30"/>
      <c r="BBS24" s="93"/>
      <c r="BBT24" s="30"/>
      <c r="BBY24" s="93"/>
      <c r="BBZ24" s="30"/>
      <c r="BCE24" s="93"/>
      <c r="BCF24" s="30"/>
      <c r="BCK24" s="93"/>
      <c r="BCL24" s="30"/>
      <c r="BCQ24" s="93"/>
      <c r="BCR24" s="30"/>
      <c r="BCW24" s="93"/>
      <c r="BCX24" s="30"/>
      <c r="BDC24" s="93"/>
      <c r="BDD24" s="30"/>
      <c r="BDI24" s="93"/>
      <c r="BDJ24" s="30"/>
      <c r="BDO24" s="93"/>
      <c r="BDP24" s="30"/>
      <c r="BDU24" s="93"/>
      <c r="BDV24" s="30"/>
      <c r="BEA24" s="93"/>
      <c r="BEB24" s="30"/>
      <c r="BEG24" s="93"/>
      <c r="BEH24" s="30"/>
      <c r="BEM24" s="93"/>
      <c r="BEN24" s="30"/>
      <c r="BES24" s="93"/>
      <c r="BET24" s="30"/>
      <c r="BEY24" s="93"/>
      <c r="BEZ24" s="30"/>
      <c r="BFE24" s="93"/>
      <c r="BFF24" s="30"/>
      <c r="BFK24" s="93"/>
      <c r="BFL24" s="30"/>
      <c r="BFQ24" s="93"/>
      <c r="BFR24" s="30"/>
      <c r="BFW24" s="93"/>
      <c r="BFX24" s="30"/>
      <c r="BGC24" s="93"/>
      <c r="BGD24" s="30"/>
      <c r="BGI24" s="93"/>
      <c r="BGJ24" s="30"/>
      <c r="BGO24" s="93"/>
      <c r="BGP24" s="30"/>
      <c r="BGU24" s="93"/>
      <c r="BGV24" s="30"/>
      <c r="BHA24" s="93"/>
      <c r="BHB24" s="30"/>
      <c r="BHG24" s="93"/>
      <c r="BHH24" s="30"/>
      <c r="BHM24" s="93"/>
      <c r="BHN24" s="30"/>
      <c r="BHS24" s="93"/>
      <c r="BHT24" s="30"/>
      <c r="BHY24" s="93"/>
      <c r="BHZ24" s="30"/>
      <c r="BIE24" s="93"/>
      <c r="BIF24" s="30"/>
      <c r="BIK24" s="93"/>
      <c r="BIL24" s="30"/>
      <c r="BIQ24" s="93"/>
      <c r="BIR24" s="30"/>
      <c r="BIW24" s="93"/>
      <c r="BIX24" s="30"/>
      <c r="BJC24" s="93"/>
      <c r="BJD24" s="30"/>
      <c r="BJI24" s="93"/>
      <c r="BJJ24" s="30"/>
      <c r="BJO24" s="93"/>
      <c r="BJP24" s="30"/>
      <c r="BJU24" s="93"/>
      <c r="BJV24" s="30"/>
      <c r="BKA24" s="93"/>
      <c r="BKB24" s="30"/>
      <c r="BKG24" s="93"/>
      <c r="BKH24" s="30"/>
      <c r="BKM24" s="93"/>
      <c r="BKN24" s="30"/>
      <c r="BKS24" s="93"/>
      <c r="BKT24" s="30"/>
      <c r="BKY24" s="93"/>
      <c r="BKZ24" s="30"/>
      <c r="BLE24" s="93"/>
      <c r="BLF24" s="30"/>
      <c r="BLK24" s="93"/>
      <c r="BLL24" s="30"/>
      <c r="BLQ24" s="93"/>
      <c r="BLR24" s="30"/>
      <c r="BLW24" s="93"/>
      <c r="BLX24" s="30"/>
      <c r="BMC24" s="93"/>
      <c r="BMD24" s="30"/>
      <c r="BMI24" s="93"/>
      <c r="BMJ24" s="30"/>
      <c r="BMO24" s="93"/>
      <c r="BMP24" s="30"/>
      <c r="BMU24" s="93"/>
      <c r="BMV24" s="30"/>
      <c r="BNA24" s="93"/>
      <c r="BNB24" s="30"/>
      <c r="BNG24" s="93"/>
      <c r="BNH24" s="30"/>
      <c r="BNM24" s="93"/>
      <c r="BNN24" s="30"/>
      <c r="BNS24" s="93"/>
      <c r="BNT24" s="30"/>
      <c r="BNY24" s="93"/>
      <c r="BNZ24" s="30"/>
      <c r="BOE24" s="93"/>
      <c r="BOF24" s="30"/>
      <c r="BOK24" s="93"/>
      <c r="BOL24" s="30"/>
      <c r="BOQ24" s="93"/>
      <c r="BOR24" s="30"/>
      <c r="BOW24" s="93"/>
      <c r="BOX24" s="30"/>
      <c r="BPC24" s="93"/>
      <c r="BPD24" s="30"/>
      <c r="BPI24" s="93"/>
      <c r="BPJ24" s="30"/>
      <c r="BPO24" s="93"/>
      <c r="BPP24" s="30"/>
      <c r="BPU24" s="93"/>
      <c r="BPV24" s="30"/>
      <c r="BQA24" s="93"/>
      <c r="BQB24" s="30"/>
      <c r="BQG24" s="93"/>
      <c r="BQH24" s="30"/>
      <c r="BQM24" s="93"/>
      <c r="BQN24" s="30"/>
      <c r="BQS24" s="93"/>
      <c r="BQT24" s="30"/>
      <c r="BQY24" s="93"/>
      <c r="BQZ24" s="30"/>
      <c r="BRE24" s="93"/>
      <c r="BRF24" s="30"/>
      <c r="BRK24" s="93"/>
      <c r="BRL24" s="30"/>
      <c r="BRQ24" s="93"/>
      <c r="BRR24" s="30"/>
      <c r="BRW24" s="93"/>
      <c r="BRX24" s="30"/>
      <c r="BSC24" s="93"/>
      <c r="BSD24" s="30"/>
      <c r="BSI24" s="93"/>
      <c r="BSJ24" s="30"/>
      <c r="BSO24" s="93"/>
      <c r="BSP24" s="30"/>
      <c r="BSU24" s="93"/>
      <c r="BSV24" s="30"/>
      <c r="BTA24" s="93"/>
      <c r="BTB24" s="30"/>
      <c r="BTG24" s="93"/>
      <c r="BTH24" s="30"/>
      <c r="BTM24" s="93"/>
      <c r="BTN24" s="30"/>
      <c r="BTS24" s="93"/>
      <c r="BTT24" s="30"/>
      <c r="BTY24" s="93"/>
      <c r="BTZ24" s="30"/>
      <c r="BUE24" s="93"/>
      <c r="BUF24" s="30"/>
      <c r="BUK24" s="93"/>
      <c r="BUL24" s="30"/>
      <c r="BUQ24" s="93"/>
      <c r="BUR24" s="30"/>
      <c r="BUW24" s="93"/>
      <c r="BUX24" s="30"/>
      <c r="BVC24" s="93"/>
      <c r="BVD24" s="30"/>
      <c r="BVI24" s="93"/>
      <c r="BVJ24" s="30"/>
      <c r="BVO24" s="93"/>
      <c r="BVP24" s="30"/>
      <c r="BVU24" s="93"/>
      <c r="BVV24" s="30"/>
      <c r="BWA24" s="93"/>
      <c r="BWB24" s="30"/>
      <c r="BWG24" s="93"/>
      <c r="BWH24" s="30"/>
      <c r="BWM24" s="93"/>
      <c r="BWN24" s="30"/>
      <c r="BWS24" s="93"/>
      <c r="BWT24" s="30"/>
      <c r="BWY24" s="93"/>
      <c r="BWZ24" s="30"/>
      <c r="BXE24" s="93"/>
      <c r="BXF24" s="30"/>
      <c r="BXK24" s="93"/>
      <c r="BXL24" s="30"/>
      <c r="BXQ24" s="93"/>
      <c r="BXR24" s="30"/>
      <c r="BXW24" s="93"/>
      <c r="BXX24" s="30"/>
      <c r="BYC24" s="93"/>
      <c r="BYD24" s="30"/>
      <c r="BYI24" s="93"/>
      <c r="BYJ24" s="30"/>
      <c r="BYO24" s="93"/>
      <c r="BYP24" s="30"/>
      <c r="BYU24" s="93"/>
      <c r="BYV24" s="30"/>
      <c r="BZA24" s="93"/>
      <c r="BZB24" s="30"/>
      <c r="BZG24" s="93"/>
      <c r="BZH24" s="30"/>
      <c r="BZM24" s="93"/>
      <c r="BZN24" s="30"/>
      <c r="BZS24" s="93"/>
      <c r="BZT24" s="30"/>
      <c r="BZY24" s="93"/>
      <c r="BZZ24" s="30"/>
      <c r="CAE24" s="93"/>
      <c r="CAF24" s="30"/>
      <c r="CAK24" s="93"/>
      <c r="CAL24" s="30"/>
      <c r="CAQ24" s="93"/>
      <c r="CAR24" s="30"/>
      <c r="CAW24" s="93"/>
      <c r="CAX24" s="30"/>
      <c r="CBC24" s="93"/>
      <c r="CBD24" s="30"/>
      <c r="CBI24" s="93"/>
      <c r="CBJ24" s="30"/>
      <c r="CBO24" s="93"/>
      <c r="CBP24" s="30"/>
      <c r="CBU24" s="93"/>
      <c r="CBV24" s="30"/>
      <c r="CCA24" s="93"/>
      <c r="CCB24" s="30"/>
      <c r="CCG24" s="93"/>
      <c r="CCH24" s="30"/>
      <c r="CCM24" s="93"/>
      <c r="CCN24" s="30"/>
      <c r="CCS24" s="93"/>
      <c r="CCT24" s="30"/>
      <c r="CCY24" s="93"/>
      <c r="CCZ24" s="30"/>
      <c r="CDE24" s="93"/>
      <c r="CDF24" s="30"/>
      <c r="CDK24" s="93"/>
      <c r="CDL24" s="30"/>
      <c r="CDQ24" s="93"/>
      <c r="CDR24" s="30"/>
      <c r="CDW24" s="93"/>
      <c r="CDX24" s="30"/>
      <c r="CEC24" s="93"/>
      <c r="CED24" s="30"/>
      <c r="CEI24" s="93"/>
      <c r="CEJ24" s="30"/>
      <c r="CEO24" s="93"/>
      <c r="CEP24" s="30"/>
      <c r="CEU24" s="93"/>
      <c r="CEV24" s="30"/>
      <c r="CFA24" s="93"/>
      <c r="CFB24" s="30"/>
      <c r="CFG24" s="93"/>
      <c r="CFH24" s="30"/>
      <c r="CFM24" s="93"/>
      <c r="CFN24" s="30"/>
      <c r="CFS24" s="93"/>
      <c r="CFT24" s="30"/>
      <c r="CFY24" s="93"/>
      <c r="CFZ24" s="30"/>
      <c r="CGE24" s="93"/>
      <c r="CGF24" s="30"/>
      <c r="CGK24" s="93"/>
      <c r="CGL24" s="30"/>
      <c r="CGQ24" s="93"/>
      <c r="CGR24" s="30"/>
      <c r="CGW24" s="93"/>
      <c r="CGX24" s="30"/>
      <c r="CHC24" s="93"/>
      <c r="CHD24" s="30"/>
      <c r="CHI24" s="93"/>
      <c r="CHJ24" s="30"/>
      <c r="CHO24" s="93"/>
      <c r="CHP24" s="30"/>
      <c r="CHU24" s="93"/>
      <c r="CHV24" s="30"/>
      <c r="CIA24" s="93"/>
      <c r="CIB24" s="30"/>
      <c r="CIG24" s="93"/>
      <c r="CIH24" s="30"/>
      <c r="CIM24" s="93"/>
      <c r="CIN24" s="30"/>
      <c r="CIS24" s="93"/>
      <c r="CIT24" s="30"/>
      <c r="CIY24" s="93"/>
      <c r="CIZ24" s="30"/>
      <c r="CJE24" s="93"/>
      <c r="CJF24" s="30"/>
      <c r="CJK24" s="93"/>
      <c r="CJL24" s="30"/>
      <c r="CJQ24" s="93"/>
      <c r="CJR24" s="30"/>
      <c r="CJW24" s="93"/>
      <c r="CJX24" s="30"/>
      <c r="CKC24" s="93"/>
      <c r="CKD24" s="30"/>
      <c r="CKI24" s="93"/>
      <c r="CKJ24" s="30"/>
      <c r="CKO24" s="93"/>
      <c r="CKP24" s="30"/>
      <c r="CKU24" s="93"/>
      <c r="CKV24" s="30"/>
      <c r="CLA24" s="93"/>
      <c r="CLB24" s="30"/>
      <c r="CLG24" s="93"/>
      <c r="CLH24" s="30"/>
      <c r="CLM24" s="93"/>
      <c r="CLN24" s="30"/>
      <c r="CLS24" s="93"/>
      <c r="CLT24" s="30"/>
      <c r="CLY24" s="93"/>
      <c r="CLZ24" s="30"/>
      <c r="CME24" s="93"/>
      <c r="CMF24" s="30"/>
      <c r="CMK24" s="93"/>
      <c r="CML24" s="30"/>
      <c r="CMQ24" s="93"/>
      <c r="CMR24" s="30"/>
      <c r="CMW24" s="93"/>
      <c r="CMX24" s="30"/>
      <c r="CNC24" s="93"/>
      <c r="CND24" s="30"/>
      <c r="CNI24" s="93"/>
      <c r="CNJ24" s="30"/>
      <c r="CNO24" s="93"/>
      <c r="CNP24" s="30"/>
      <c r="CNU24" s="93"/>
      <c r="CNV24" s="30"/>
      <c r="COA24" s="93"/>
      <c r="COB24" s="30"/>
      <c r="COG24" s="93"/>
      <c r="COH24" s="30"/>
      <c r="COM24" s="93"/>
      <c r="CON24" s="30"/>
      <c r="COS24" s="93"/>
      <c r="COT24" s="30"/>
      <c r="COY24" s="93"/>
      <c r="COZ24" s="30"/>
      <c r="CPE24" s="93"/>
      <c r="CPF24" s="30"/>
      <c r="CPK24" s="93"/>
      <c r="CPL24" s="30"/>
      <c r="CPQ24" s="93"/>
      <c r="CPR24" s="30"/>
      <c r="CPW24" s="93"/>
      <c r="CPX24" s="30"/>
      <c r="CQC24" s="93"/>
      <c r="CQD24" s="30"/>
      <c r="CQI24" s="93"/>
      <c r="CQJ24" s="30"/>
      <c r="CQO24" s="93"/>
      <c r="CQP24" s="30"/>
      <c r="CQU24" s="93"/>
      <c r="CQV24" s="30"/>
      <c r="CRA24" s="93"/>
      <c r="CRB24" s="30"/>
      <c r="CRG24" s="93"/>
      <c r="CRH24" s="30"/>
      <c r="CRM24" s="93"/>
      <c r="CRN24" s="30"/>
      <c r="CRS24" s="93"/>
      <c r="CRT24" s="30"/>
      <c r="CRY24" s="93"/>
      <c r="CRZ24" s="30"/>
      <c r="CSE24" s="93"/>
      <c r="CSF24" s="30"/>
      <c r="CSK24" s="93"/>
      <c r="CSL24" s="30"/>
      <c r="CSQ24" s="93"/>
      <c r="CSR24" s="30"/>
      <c r="CSW24" s="93"/>
      <c r="CSX24" s="30"/>
      <c r="CTC24" s="93"/>
      <c r="CTD24" s="30"/>
      <c r="CTI24" s="93"/>
      <c r="CTJ24" s="30"/>
      <c r="CTO24" s="93"/>
      <c r="CTP24" s="30"/>
      <c r="CTU24" s="93"/>
      <c r="CTV24" s="30"/>
      <c r="CUA24" s="93"/>
      <c r="CUB24" s="30"/>
      <c r="CUG24" s="93"/>
      <c r="CUH24" s="30"/>
      <c r="CUM24" s="93"/>
      <c r="CUN24" s="30"/>
      <c r="CUS24" s="93"/>
      <c r="CUT24" s="30"/>
      <c r="CUY24" s="93"/>
      <c r="CUZ24" s="30"/>
      <c r="CVE24" s="93"/>
      <c r="CVF24" s="30"/>
      <c r="CVK24" s="93"/>
      <c r="CVL24" s="30"/>
      <c r="CVQ24" s="93"/>
      <c r="CVR24" s="30"/>
      <c r="CVW24" s="93"/>
      <c r="CVX24" s="30"/>
      <c r="CWC24" s="93"/>
      <c r="CWD24" s="30"/>
      <c r="CWI24" s="93"/>
      <c r="CWJ24" s="30"/>
      <c r="CWO24" s="93"/>
      <c r="CWP24" s="30"/>
      <c r="CWU24" s="93"/>
      <c r="CWV24" s="30"/>
      <c r="CXA24" s="93"/>
      <c r="CXB24" s="30"/>
      <c r="CXG24" s="93"/>
      <c r="CXH24" s="30"/>
      <c r="CXM24" s="93"/>
      <c r="CXN24" s="30"/>
      <c r="CXS24" s="93"/>
      <c r="CXT24" s="30"/>
      <c r="CXY24" s="93"/>
      <c r="CXZ24" s="30"/>
      <c r="CYE24" s="93"/>
      <c r="CYF24" s="30"/>
      <c r="CYK24" s="93"/>
      <c r="CYL24" s="30"/>
      <c r="CYQ24" s="93"/>
      <c r="CYR24" s="30"/>
      <c r="CYW24" s="93"/>
      <c r="CYX24" s="30"/>
      <c r="CZC24" s="93"/>
      <c r="CZD24" s="30"/>
      <c r="CZI24" s="93"/>
      <c r="CZJ24" s="30"/>
      <c r="CZO24" s="93"/>
      <c r="CZP24" s="30"/>
      <c r="CZU24" s="93"/>
      <c r="CZV24" s="30"/>
      <c r="DAA24" s="93"/>
      <c r="DAB24" s="30"/>
      <c r="DAG24" s="93"/>
      <c r="DAH24" s="30"/>
      <c r="DAM24" s="93"/>
      <c r="DAN24" s="30"/>
      <c r="DAS24" s="93"/>
      <c r="DAT24" s="30"/>
      <c r="DAY24" s="93"/>
      <c r="DAZ24" s="30"/>
      <c r="DBE24" s="93"/>
      <c r="DBF24" s="30"/>
      <c r="DBK24" s="93"/>
      <c r="DBL24" s="30"/>
      <c r="DBQ24" s="93"/>
      <c r="DBR24" s="30"/>
      <c r="DBW24" s="93"/>
      <c r="DBX24" s="30"/>
      <c r="DCC24" s="93"/>
      <c r="DCD24" s="30"/>
      <c r="DCI24" s="93"/>
      <c r="DCJ24" s="30"/>
      <c r="DCO24" s="93"/>
      <c r="DCP24" s="30"/>
      <c r="DCU24" s="93"/>
      <c r="DCV24" s="30"/>
      <c r="DDA24" s="93"/>
      <c r="DDB24" s="30"/>
      <c r="DDG24" s="93"/>
      <c r="DDH24" s="30"/>
      <c r="DDM24" s="93"/>
      <c r="DDN24" s="30"/>
      <c r="DDS24" s="93"/>
      <c r="DDT24" s="30"/>
      <c r="DDY24" s="93"/>
      <c r="DDZ24" s="30"/>
      <c r="DEE24" s="93"/>
      <c r="DEF24" s="30"/>
      <c r="DEK24" s="93"/>
      <c r="DEL24" s="30"/>
      <c r="DEQ24" s="93"/>
      <c r="DER24" s="30"/>
      <c r="DEW24" s="93"/>
      <c r="DEX24" s="30"/>
      <c r="DFC24" s="93"/>
      <c r="DFD24" s="30"/>
      <c r="DFI24" s="93"/>
      <c r="DFJ24" s="30"/>
      <c r="DFO24" s="93"/>
      <c r="DFP24" s="30"/>
      <c r="DFU24" s="93"/>
      <c r="DFV24" s="30"/>
      <c r="DGA24" s="93"/>
      <c r="DGB24" s="30"/>
      <c r="DGG24" s="93"/>
      <c r="DGH24" s="30"/>
      <c r="DGM24" s="93"/>
      <c r="DGN24" s="30"/>
      <c r="DGS24" s="93"/>
      <c r="DGT24" s="30"/>
      <c r="DGY24" s="93"/>
      <c r="DGZ24" s="30"/>
      <c r="DHE24" s="93"/>
      <c r="DHF24" s="30"/>
      <c r="DHK24" s="93"/>
      <c r="DHL24" s="30"/>
      <c r="DHQ24" s="93"/>
      <c r="DHR24" s="30"/>
      <c r="DHW24" s="93"/>
      <c r="DHX24" s="30"/>
      <c r="DIC24" s="93"/>
      <c r="DID24" s="30"/>
      <c r="DII24" s="93"/>
      <c r="DIJ24" s="30"/>
      <c r="DIO24" s="93"/>
      <c r="DIP24" s="30"/>
      <c r="DIU24" s="93"/>
      <c r="DIV24" s="30"/>
      <c r="DJA24" s="93"/>
      <c r="DJB24" s="30"/>
      <c r="DJG24" s="93"/>
      <c r="DJH24" s="30"/>
      <c r="DJM24" s="93"/>
      <c r="DJN24" s="30"/>
      <c r="DJS24" s="93"/>
      <c r="DJT24" s="30"/>
      <c r="DJY24" s="93"/>
      <c r="DJZ24" s="30"/>
      <c r="DKE24" s="93"/>
      <c r="DKF24" s="30"/>
      <c r="DKK24" s="93"/>
      <c r="DKL24" s="30"/>
      <c r="DKQ24" s="93"/>
      <c r="DKR24" s="30"/>
      <c r="DKW24" s="93"/>
      <c r="DKX24" s="30"/>
      <c r="DLC24" s="93"/>
      <c r="DLD24" s="30"/>
      <c r="DLI24" s="93"/>
      <c r="DLJ24" s="30"/>
      <c r="DLO24" s="93"/>
      <c r="DLP24" s="30"/>
      <c r="DLU24" s="93"/>
      <c r="DLV24" s="30"/>
      <c r="DMA24" s="93"/>
      <c r="DMB24" s="30"/>
      <c r="DMG24" s="93"/>
      <c r="DMH24" s="30"/>
      <c r="DMM24" s="93"/>
      <c r="DMN24" s="30"/>
      <c r="DMS24" s="93"/>
      <c r="DMT24" s="30"/>
      <c r="DMY24" s="93"/>
      <c r="DMZ24" s="30"/>
      <c r="DNE24" s="93"/>
      <c r="DNF24" s="30"/>
      <c r="DNK24" s="93"/>
      <c r="DNL24" s="30"/>
      <c r="DNQ24" s="93"/>
      <c r="DNR24" s="30"/>
      <c r="DNW24" s="93"/>
      <c r="DNX24" s="30"/>
      <c r="DOC24" s="93"/>
      <c r="DOD24" s="30"/>
      <c r="DOI24" s="93"/>
      <c r="DOJ24" s="30"/>
      <c r="DOO24" s="93"/>
      <c r="DOP24" s="30"/>
      <c r="DOU24" s="93"/>
      <c r="DOV24" s="30"/>
      <c r="DPA24" s="93"/>
      <c r="DPB24" s="30"/>
      <c r="DPG24" s="93"/>
      <c r="DPH24" s="30"/>
      <c r="DPM24" s="93"/>
      <c r="DPN24" s="30"/>
      <c r="DPS24" s="93"/>
      <c r="DPT24" s="30"/>
      <c r="DPY24" s="93"/>
      <c r="DPZ24" s="30"/>
      <c r="DQE24" s="93"/>
      <c r="DQF24" s="30"/>
      <c r="DQK24" s="93"/>
      <c r="DQL24" s="30"/>
      <c r="DQQ24" s="93"/>
      <c r="DQR24" s="30"/>
      <c r="DQW24" s="93"/>
      <c r="DQX24" s="30"/>
      <c r="DRC24" s="93"/>
      <c r="DRD24" s="30"/>
      <c r="DRI24" s="93"/>
      <c r="DRJ24" s="30"/>
      <c r="DRO24" s="93"/>
      <c r="DRP24" s="30"/>
      <c r="DRU24" s="93"/>
      <c r="DRV24" s="30"/>
      <c r="DSA24" s="93"/>
      <c r="DSB24" s="30"/>
      <c r="DSG24" s="93"/>
      <c r="DSH24" s="30"/>
      <c r="DSM24" s="93"/>
      <c r="DSN24" s="30"/>
      <c r="DSS24" s="93"/>
      <c r="DST24" s="30"/>
      <c r="DSY24" s="93"/>
      <c r="DSZ24" s="30"/>
      <c r="DTE24" s="93"/>
      <c r="DTF24" s="30"/>
      <c r="DTK24" s="93"/>
      <c r="DTL24" s="30"/>
      <c r="DTQ24" s="93"/>
      <c r="DTR24" s="30"/>
      <c r="DTW24" s="93"/>
      <c r="DTX24" s="30"/>
      <c r="DUC24" s="93"/>
      <c r="DUD24" s="30"/>
      <c r="DUI24" s="93"/>
      <c r="DUJ24" s="30"/>
      <c r="DUO24" s="93"/>
      <c r="DUP24" s="30"/>
      <c r="DUU24" s="93"/>
      <c r="DUV24" s="30"/>
      <c r="DVA24" s="93"/>
      <c r="DVB24" s="30"/>
      <c r="DVG24" s="93"/>
      <c r="DVH24" s="30"/>
      <c r="DVM24" s="93"/>
      <c r="DVN24" s="30"/>
      <c r="DVS24" s="93"/>
      <c r="DVT24" s="30"/>
      <c r="DVY24" s="93"/>
      <c r="DVZ24" s="30"/>
      <c r="DWE24" s="93"/>
      <c r="DWF24" s="30"/>
      <c r="DWK24" s="93"/>
      <c r="DWL24" s="30"/>
      <c r="DWQ24" s="93"/>
      <c r="DWR24" s="30"/>
      <c r="DWW24" s="93"/>
      <c r="DWX24" s="30"/>
      <c r="DXC24" s="93"/>
      <c r="DXD24" s="30"/>
      <c r="DXI24" s="93"/>
      <c r="DXJ24" s="30"/>
      <c r="DXO24" s="93"/>
      <c r="DXP24" s="30"/>
      <c r="DXU24" s="93"/>
      <c r="DXV24" s="30"/>
      <c r="DYA24" s="93"/>
      <c r="DYB24" s="30"/>
      <c r="DYG24" s="93"/>
      <c r="DYH24" s="30"/>
      <c r="DYM24" s="93"/>
      <c r="DYN24" s="30"/>
      <c r="DYS24" s="93"/>
      <c r="DYT24" s="30"/>
      <c r="DYY24" s="93"/>
      <c r="DYZ24" s="30"/>
      <c r="DZE24" s="93"/>
      <c r="DZF24" s="30"/>
      <c r="DZK24" s="93"/>
      <c r="DZL24" s="30"/>
      <c r="DZQ24" s="93"/>
      <c r="DZR24" s="30"/>
      <c r="DZW24" s="93"/>
      <c r="DZX24" s="30"/>
      <c r="EAC24" s="93"/>
      <c r="EAD24" s="30"/>
      <c r="EAI24" s="93"/>
      <c r="EAJ24" s="30"/>
      <c r="EAO24" s="93"/>
      <c r="EAP24" s="30"/>
      <c r="EAU24" s="93"/>
      <c r="EAV24" s="30"/>
      <c r="EBA24" s="93"/>
      <c r="EBB24" s="30"/>
      <c r="EBG24" s="93"/>
      <c r="EBH24" s="30"/>
      <c r="EBM24" s="93"/>
      <c r="EBN24" s="30"/>
      <c r="EBS24" s="93"/>
      <c r="EBT24" s="30"/>
      <c r="EBY24" s="93"/>
      <c r="EBZ24" s="30"/>
      <c r="ECE24" s="93"/>
      <c r="ECF24" s="30"/>
      <c r="ECK24" s="93"/>
      <c r="ECL24" s="30"/>
      <c r="ECQ24" s="93"/>
      <c r="ECR24" s="30"/>
      <c r="ECW24" s="93"/>
      <c r="ECX24" s="30"/>
      <c r="EDC24" s="93"/>
      <c r="EDD24" s="30"/>
      <c r="EDI24" s="93"/>
      <c r="EDJ24" s="30"/>
      <c r="EDO24" s="93"/>
      <c r="EDP24" s="30"/>
      <c r="EDU24" s="93"/>
      <c r="EDV24" s="30"/>
      <c r="EEA24" s="93"/>
      <c r="EEB24" s="30"/>
      <c r="EEG24" s="93"/>
      <c r="EEH24" s="30"/>
      <c r="EEM24" s="93"/>
      <c r="EEN24" s="30"/>
      <c r="EES24" s="93"/>
      <c r="EET24" s="30"/>
      <c r="EEY24" s="93"/>
      <c r="EEZ24" s="30"/>
      <c r="EFE24" s="93"/>
      <c r="EFF24" s="30"/>
      <c r="EFK24" s="93"/>
      <c r="EFL24" s="30"/>
      <c r="EFQ24" s="93"/>
      <c r="EFR24" s="30"/>
      <c r="EFW24" s="93"/>
      <c r="EFX24" s="30"/>
      <c r="EGC24" s="93"/>
      <c r="EGD24" s="30"/>
      <c r="EGI24" s="93"/>
      <c r="EGJ24" s="30"/>
      <c r="EGO24" s="93"/>
      <c r="EGP24" s="30"/>
      <c r="EGU24" s="93"/>
      <c r="EGV24" s="30"/>
      <c r="EHA24" s="93"/>
      <c r="EHB24" s="30"/>
      <c r="EHG24" s="93"/>
      <c r="EHH24" s="30"/>
      <c r="EHM24" s="93"/>
      <c r="EHN24" s="30"/>
      <c r="EHS24" s="93"/>
      <c r="EHT24" s="30"/>
      <c r="EHY24" s="93"/>
      <c r="EHZ24" s="30"/>
      <c r="EIE24" s="93"/>
      <c r="EIF24" s="30"/>
      <c r="EIK24" s="93"/>
      <c r="EIL24" s="30"/>
      <c r="EIQ24" s="93"/>
      <c r="EIR24" s="30"/>
      <c r="EIW24" s="93"/>
      <c r="EIX24" s="30"/>
      <c r="EJC24" s="93"/>
      <c r="EJD24" s="30"/>
      <c r="EJI24" s="93"/>
      <c r="EJJ24" s="30"/>
      <c r="EJO24" s="93"/>
      <c r="EJP24" s="30"/>
      <c r="EJU24" s="93"/>
      <c r="EJV24" s="30"/>
      <c r="EKA24" s="93"/>
      <c r="EKB24" s="30"/>
      <c r="EKG24" s="93"/>
      <c r="EKH24" s="30"/>
      <c r="EKM24" s="93"/>
      <c r="EKN24" s="30"/>
      <c r="EKS24" s="93"/>
      <c r="EKT24" s="30"/>
      <c r="EKY24" s="93"/>
      <c r="EKZ24" s="30"/>
      <c r="ELE24" s="93"/>
      <c r="ELF24" s="30"/>
      <c r="ELK24" s="93"/>
      <c r="ELL24" s="30"/>
      <c r="ELQ24" s="93"/>
      <c r="ELR24" s="30"/>
      <c r="ELW24" s="93"/>
      <c r="ELX24" s="30"/>
      <c r="EMC24" s="93"/>
      <c r="EMD24" s="30"/>
      <c r="EMI24" s="93"/>
      <c r="EMJ24" s="30"/>
      <c r="EMO24" s="93"/>
      <c r="EMP24" s="30"/>
      <c r="EMU24" s="93"/>
      <c r="EMV24" s="30"/>
      <c r="ENA24" s="93"/>
      <c r="ENB24" s="30"/>
      <c r="ENG24" s="93"/>
      <c r="ENH24" s="30"/>
      <c r="ENM24" s="93"/>
      <c r="ENN24" s="30"/>
      <c r="ENS24" s="93"/>
      <c r="ENT24" s="30"/>
      <c r="ENY24" s="93"/>
      <c r="ENZ24" s="30"/>
      <c r="EOE24" s="93"/>
      <c r="EOF24" s="30"/>
      <c r="EOK24" s="93"/>
      <c r="EOL24" s="30"/>
      <c r="EOQ24" s="93"/>
      <c r="EOR24" s="30"/>
      <c r="EOW24" s="93"/>
      <c r="EOX24" s="30"/>
      <c r="EPC24" s="93"/>
      <c r="EPD24" s="30"/>
      <c r="EPI24" s="93"/>
      <c r="EPJ24" s="30"/>
      <c r="EPO24" s="93"/>
      <c r="EPP24" s="30"/>
      <c r="EPU24" s="93"/>
      <c r="EPV24" s="30"/>
      <c r="EQA24" s="93"/>
      <c r="EQB24" s="30"/>
      <c r="EQG24" s="93"/>
      <c r="EQH24" s="30"/>
      <c r="EQM24" s="93"/>
      <c r="EQN24" s="30"/>
      <c r="EQS24" s="93"/>
      <c r="EQT24" s="30"/>
      <c r="EQY24" s="93"/>
      <c r="EQZ24" s="30"/>
      <c r="ERE24" s="93"/>
      <c r="ERF24" s="30"/>
      <c r="ERK24" s="93"/>
      <c r="ERL24" s="30"/>
      <c r="ERQ24" s="93"/>
      <c r="ERR24" s="30"/>
      <c r="ERW24" s="93"/>
      <c r="ERX24" s="30"/>
      <c r="ESC24" s="93"/>
      <c r="ESD24" s="30"/>
      <c r="ESI24" s="93"/>
      <c r="ESJ24" s="30"/>
      <c r="ESO24" s="93"/>
      <c r="ESP24" s="30"/>
      <c r="ESU24" s="93"/>
      <c r="ESV24" s="30"/>
      <c r="ETA24" s="93"/>
      <c r="ETB24" s="30"/>
      <c r="ETG24" s="93"/>
      <c r="ETH24" s="30"/>
      <c r="ETM24" s="93"/>
      <c r="ETN24" s="30"/>
      <c r="ETS24" s="93"/>
      <c r="ETT24" s="30"/>
      <c r="ETY24" s="93"/>
      <c r="ETZ24" s="30"/>
      <c r="EUE24" s="93"/>
      <c r="EUF24" s="30"/>
      <c r="EUK24" s="93"/>
      <c r="EUL24" s="30"/>
      <c r="EUQ24" s="93"/>
      <c r="EUR24" s="30"/>
      <c r="EUW24" s="93"/>
      <c r="EUX24" s="30"/>
      <c r="EVC24" s="93"/>
      <c r="EVD24" s="30"/>
      <c r="EVI24" s="93"/>
      <c r="EVJ24" s="30"/>
      <c r="EVO24" s="93"/>
      <c r="EVP24" s="30"/>
      <c r="EVU24" s="93"/>
      <c r="EVV24" s="30"/>
      <c r="EWA24" s="93"/>
      <c r="EWB24" s="30"/>
      <c r="EWG24" s="93"/>
      <c r="EWH24" s="30"/>
      <c r="EWM24" s="93"/>
      <c r="EWN24" s="30"/>
      <c r="EWS24" s="93"/>
      <c r="EWT24" s="30"/>
      <c r="EWY24" s="93"/>
      <c r="EWZ24" s="30"/>
      <c r="EXE24" s="93"/>
      <c r="EXF24" s="30"/>
      <c r="EXK24" s="93"/>
      <c r="EXL24" s="30"/>
      <c r="EXQ24" s="93"/>
      <c r="EXR24" s="30"/>
      <c r="EXW24" s="93"/>
      <c r="EXX24" s="30"/>
      <c r="EYC24" s="93"/>
      <c r="EYD24" s="30"/>
      <c r="EYI24" s="93"/>
      <c r="EYJ24" s="30"/>
      <c r="EYO24" s="93"/>
      <c r="EYP24" s="30"/>
      <c r="EYU24" s="93"/>
      <c r="EYV24" s="30"/>
      <c r="EZA24" s="93"/>
      <c r="EZB24" s="30"/>
      <c r="EZG24" s="93"/>
      <c r="EZH24" s="30"/>
      <c r="EZM24" s="93"/>
      <c r="EZN24" s="30"/>
      <c r="EZS24" s="93"/>
      <c r="EZT24" s="30"/>
      <c r="EZY24" s="93"/>
      <c r="EZZ24" s="30"/>
      <c r="FAE24" s="93"/>
      <c r="FAF24" s="30"/>
      <c r="FAK24" s="93"/>
      <c r="FAL24" s="30"/>
      <c r="FAQ24" s="93"/>
      <c r="FAR24" s="30"/>
      <c r="FAW24" s="93"/>
      <c r="FAX24" s="30"/>
      <c r="FBC24" s="93"/>
      <c r="FBD24" s="30"/>
      <c r="FBI24" s="93"/>
      <c r="FBJ24" s="30"/>
      <c r="FBO24" s="93"/>
      <c r="FBP24" s="30"/>
      <c r="FBU24" s="93"/>
      <c r="FBV24" s="30"/>
      <c r="FCA24" s="93"/>
      <c r="FCB24" s="30"/>
      <c r="FCG24" s="93"/>
      <c r="FCH24" s="30"/>
      <c r="FCM24" s="93"/>
      <c r="FCN24" s="30"/>
      <c r="FCS24" s="93"/>
      <c r="FCT24" s="30"/>
      <c r="FCY24" s="93"/>
      <c r="FCZ24" s="30"/>
      <c r="FDE24" s="93"/>
      <c r="FDF24" s="30"/>
      <c r="FDK24" s="93"/>
      <c r="FDL24" s="30"/>
      <c r="FDQ24" s="93"/>
      <c r="FDR24" s="30"/>
      <c r="FDW24" s="93"/>
      <c r="FDX24" s="30"/>
      <c r="FEC24" s="93"/>
      <c r="FED24" s="30"/>
      <c r="FEI24" s="93"/>
      <c r="FEJ24" s="30"/>
      <c r="FEO24" s="93"/>
      <c r="FEP24" s="30"/>
      <c r="FEU24" s="93"/>
      <c r="FEV24" s="30"/>
      <c r="FFA24" s="93"/>
      <c r="FFB24" s="30"/>
      <c r="FFG24" s="93"/>
      <c r="FFH24" s="30"/>
      <c r="FFM24" s="93"/>
      <c r="FFN24" s="30"/>
      <c r="FFS24" s="93"/>
      <c r="FFT24" s="30"/>
      <c r="FFY24" s="93"/>
      <c r="FFZ24" s="30"/>
      <c r="FGE24" s="93"/>
      <c r="FGF24" s="30"/>
      <c r="FGK24" s="93"/>
      <c r="FGL24" s="30"/>
      <c r="FGQ24" s="93"/>
      <c r="FGR24" s="30"/>
      <c r="FGW24" s="93"/>
      <c r="FGX24" s="30"/>
      <c r="FHC24" s="93"/>
      <c r="FHD24" s="30"/>
      <c r="FHI24" s="93"/>
      <c r="FHJ24" s="30"/>
      <c r="FHO24" s="93"/>
      <c r="FHP24" s="30"/>
      <c r="FHU24" s="93"/>
      <c r="FHV24" s="30"/>
      <c r="FIA24" s="93"/>
      <c r="FIB24" s="30"/>
      <c r="FIG24" s="93"/>
      <c r="FIH24" s="30"/>
      <c r="FIM24" s="93"/>
      <c r="FIN24" s="30"/>
      <c r="FIS24" s="93"/>
      <c r="FIT24" s="30"/>
      <c r="FIY24" s="93"/>
      <c r="FIZ24" s="30"/>
      <c r="FJE24" s="93"/>
      <c r="FJF24" s="30"/>
      <c r="FJK24" s="93"/>
      <c r="FJL24" s="30"/>
      <c r="FJQ24" s="93"/>
      <c r="FJR24" s="30"/>
      <c r="FJW24" s="93"/>
      <c r="FJX24" s="30"/>
      <c r="FKC24" s="93"/>
      <c r="FKD24" s="30"/>
      <c r="FKI24" s="93"/>
      <c r="FKJ24" s="30"/>
      <c r="FKO24" s="93"/>
      <c r="FKP24" s="30"/>
      <c r="FKU24" s="93"/>
      <c r="FKV24" s="30"/>
      <c r="FLA24" s="93"/>
      <c r="FLB24" s="30"/>
      <c r="FLG24" s="93"/>
      <c r="FLH24" s="30"/>
      <c r="FLM24" s="93"/>
      <c r="FLN24" s="30"/>
      <c r="FLS24" s="93"/>
      <c r="FLT24" s="30"/>
      <c r="FLY24" s="93"/>
      <c r="FLZ24" s="30"/>
      <c r="FME24" s="93"/>
      <c r="FMF24" s="30"/>
      <c r="FMK24" s="93"/>
      <c r="FML24" s="30"/>
      <c r="FMQ24" s="93"/>
      <c r="FMR24" s="30"/>
      <c r="FMW24" s="93"/>
      <c r="FMX24" s="30"/>
      <c r="FNC24" s="93"/>
      <c r="FND24" s="30"/>
      <c r="FNI24" s="93"/>
      <c r="FNJ24" s="30"/>
      <c r="FNO24" s="93"/>
      <c r="FNP24" s="30"/>
      <c r="FNU24" s="93"/>
      <c r="FNV24" s="30"/>
      <c r="FOA24" s="93"/>
      <c r="FOB24" s="30"/>
      <c r="FOG24" s="93"/>
      <c r="FOH24" s="30"/>
      <c r="FOM24" s="93"/>
      <c r="FON24" s="30"/>
      <c r="FOS24" s="93"/>
      <c r="FOT24" s="30"/>
      <c r="FOY24" s="93"/>
      <c r="FOZ24" s="30"/>
      <c r="FPE24" s="93"/>
      <c r="FPF24" s="30"/>
      <c r="FPK24" s="93"/>
      <c r="FPL24" s="30"/>
      <c r="FPQ24" s="93"/>
      <c r="FPR24" s="30"/>
      <c r="FPW24" s="93"/>
      <c r="FPX24" s="30"/>
      <c r="FQC24" s="93"/>
      <c r="FQD24" s="30"/>
      <c r="FQI24" s="93"/>
      <c r="FQJ24" s="30"/>
      <c r="FQO24" s="93"/>
      <c r="FQP24" s="30"/>
      <c r="FQU24" s="93"/>
      <c r="FQV24" s="30"/>
      <c r="FRA24" s="93"/>
      <c r="FRB24" s="30"/>
      <c r="FRG24" s="93"/>
      <c r="FRH24" s="30"/>
      <c r="FRM24" s="93"/>
      <c r="FRN24" s="30"/>
      <c r="FRS24" s="93"/>
      <c r="FRT24" s="30"/>
      <c r="FRY24" s="93"/>
      <c r="FRZ24" s="30"/>
      <c r="FSE24" s="93"/>
      <c r="FSF24" s="30"/>
      <c r="FSK24" s="93"/>
      <c r="FSL24" s="30"/>
      <c r="FSQ24" s="93"/>
      <c r="FSR24" s="30"/>
      <c r="FSW24" s="93"/>
      <c r="FSX24" s="30"/>
      <c r="FTC24" s="93"/>
      <c r="FTD24" s="30"/>
      <c r="FTI24" s="93"/>
      <c r="FTJ24" s="30"/>
      <c r="FTO24" s="93"/>
      <c r="FTP24" s="30"/>
      <c r="FTU24" s="93"/>
      <c r="FTV24" s="30"/>
      <c r="FUA24" s="93"/>
      <c r="FUB24" s="30"/>
      <c r="FUG24" s="93"/>
      <c r="FUH24" s="30"/>
      <c r="FUM24" s="93"/>
      <c r="FUN24" s="30"/>
      <c r="FUS24" s="93"/>
      <c r="FUT24" s="30"/>
      <c r="FUY24" s="93"/>
      <c r="FUZ24" s="30"/>
      <c r="FVE24" s="93"/>
      <c r="FVF24" s="30"/>
      <c r="FVK24" s="93"/>
      <c r="FVL24" s="30"/>
      <c r="FVQ24" s="93"/>
      <c r="FVR24" s="30"/>
      <c r="FVW24" s="93"/>
      <c r="FVX24" s="30"/>
      <c r="FWC24" s="93"/>
      <c r="FWD24" s="30"/>
      <c r="FWI24" s="93"/>
      <c r="FWJ24" s="30"/>
      <c r="FWO24" s="93"/>
      <c r="FWP24" s="30"/>
      <c r="FWU24" s="93"/>
      <c r="FWV24" s="30"/>
      <c r="FXA24" s="93"/>
      <c r="FXB24" s="30"/>
      <c r="FXG24" s="93"/>
      <c r="FXH24" s="30"/>
      <c r="FXM24" s="93"/>
      <c r="FXN24" s="30"/>
      <c r="FXS24" s="93"/>
      <c r="FXT24" s="30"/>
      <c r="FXY24" s="93"/>
      <c r="FXZ24" s="30"/>
      <c r="FYE24" s="93"/>
      <c r="FYF24" s="30"/>
      <c r="FYK24" s="93"/>
      <c r="FYL24" s="30"/>
      <c r="FYQ24" s="93"/>
      <c r="FYR24" s="30"/>
      <c r="FYW24" s="93"/>
      <c r="FYX24" s="30"/>
      <c r="FZC24" s="93"/>
      <c r="FZD24" s="30"/>
      <c r="FZI24" s="93"/>
      <c r="FZJ24" s="30"/>
      <c r="FZO24" s="93"/>
      <c r="FZP24" s="30"/>
      <c r="FZU24" s="93"/>
      <c r="FZV24" s="30"/>
      <c r="GAA24" s="93"/>
      <c r="GAB24" s="30"/>
      <c r="GAG24" s="93"/>
      <c r="GAH24" s="30"/>
      <c r="GAM24" s="93"/>
      <c r="GAN24" s="30"/>
      <c r="GAS24" s="93"/>
      <c r="GAT24" s="30"/>
      <c r="GAY24" s="93"/>
      <c r="GAZ24" s="30"/>
      <c r="GBE24" s="93"/>
      <c r="GBF24" s="30"/>
      <c r="GBK24" s="93"/>
      <c r="GBL24" s="30"/>
      <c r="GBQ24" s="93"/>
      <c r="GBR24" s="30"/>
      <c r="GBW24" s="93"/>
      <c r="GBX24" s="30"/>
      <c r="GCC24" s="93"/>
      <c r="GCD24" s="30"/>
      <c r="GCI24" s="93"/>
      <c r="GCJ24" s="30"/>
      <c r="GCO24" s="93"/>
      <c r="GCP24" s="30"/>
      <c r="GCU24" s="93"/>
      <c r="GCV24" s="30"/>
      <c r="GDA24" s="93"/>
      <c r="GDB24" s="30"/>
      <c r="GDG24" s="93"/>
      <c r="GDH24" s="30"/>
      <c r="GDM24" s="93"/>
      <c r="GDN24" s="30"/>
      <c r="GDS24" s="93"/>
      <c r="GDT24" s="30"/>
      <c r="GDY24" s="93"/>
      <c r="GDZ24" s="30"/>
      <c r="GEE24" s="93"/>
      <c r="GEF24" s="30"/>
      <c r="GEK24" s="93"/>
      <c r="GEL24" s="30"/>
      <c r="GEQ24" s="93"/>
      <c r="GER24" s="30"/>
      <c r="GEW24" s="93"/>
      <c r="GEX24" s="30"/>
      <c r="GFC24" s="93"/>
      <c r="GFD24" s="30"/>
      <c r="GFI24" s="93"/>
      <c r="GFJ24" s="30"/>
      <c r="GFO24" s="93"/>
      <c r="GFP24" s="30"/>
      <c r="GFU24" s="93"/>
      <c r="GFV24" s="30"/>
      <c r="GGA24" s="93"/>
      <c r="GGB24" s="30"/>
      <c r="GGG24" s="93"/>
      <c r="GGH24" s="30"/>
      <c r="GGM24" s="93"/>
      <c r="GGN24" s="30"/>
      <c r="GGS24" s="93"/>
      <c r="GGT24" s="30"/>
      <c r="GGY24" s="93"/>
      <c r="GGZ24" s="30"/>
      <c r="GHE24" s="93"/>
      <c r="GHF24" s="30"/>
      <c r="GHK24" s="93"/>
      <c r="GHL24" s="30"/>
      <c r="GHQ24" s="93"/>
      <c r="GHR24" s="30"/>
      <c r="GHW24" s="93"/>
      <c r="GHX24" s="30"/>
      <c r="GIC24" s="93"/>
      <c r="GID24" s="30"/>
      <c r="GII24" s="93"/>
      <c r="GIJ24" s="30"/>
      <c r="GIO24" s="93"/>
      <c r="GIP24" s="30"/>
      <c r="GIU24" s="93"/>
      <c r="GIV24" s="30"/>
      <c r="GJA24" s="93"/>
      <c r="GJB24" s="30"/>
      <c r="GJG24" s="93"/>
      <c r="GJH24" s="30"/>
      <c r="GJM24" s="93"/>
      <c r="GJN24" s="30"/>
      <c r="GJS24" s="93"/>
      <c r="GJT24" s="30"/>
      <c r="GJY24" s="93"/>
      <c r="GJZ24" s="30"/>
      <c r="GKE24" s="93"/>
      <c r="GKF24" s="30"/>
      <c r="GKK24" s="93"/>
      <c r="GKL24" s="30"/>
      <c r="GKQ24" s="93"/>
      <c r="GKR24" s="30"/>
      <c r="GKW24" s="93"/>
      <c r="GKX24" s="30"/>
      <c r="GLC24" s="93"/>
      <c r="GLD24" s="30"/>
      <c r="GLI24" s="93"/>
      <c r="GLJ24" s="30"/>
      <c r="GLO24" s="93"/>
      <c r="GLP24" s="30"/>
      <c r="GLU24" s="93"/>
      <c r="GLV24" s="30"/>
      <c r="GMA24" s="93"/>
      <c r="GMB24" s="30"/>
      <c r="GMG24" s="93"/>
      <c r="GMH24" s="30"/>
      <c r="GMM24" s="93"/>
      <c r="GMN24" s="30"/>
      <c r="GMS24" s="93"/>
      <c r="GMT24" s="30"/>
      <c r="GMY24" s="93"/>
      <c r="GMZ24" s="30"/>
      <c r="GNE24" s="93"/>
      <c r="GNF24" s="30"/>
      <c r="GNK24" s="93"/>
      <c r="GNL24" s="30"/>
      <c r="GNQ24" s="93"/>
      <c r="GNR24" s="30"/>
      <c r="GNW24" s="93"/>
      <c r="GNX24" s="30"/>
      <c r="GOC24" s="93"/>
      <c r="GOD24" s="30"/>
      <c r="GOI24" s="93"/>
      <c r="GOJ24" s="30"/>
      <c r="GOO24" s="93"/>
      <c r="GOP24" s="30"/>
      <c r="GOU24" s="93"/>
      <c r="GOV24" s="30"/>
      <c r="GPA24" s="93"/>
      <c r="GPB24" s="30"/>
      <c r="GPG24" s="93"/>
      <c r="GPH24" s="30"/>
      <c r="GPM24" s="93"/>
      <c r="GPN24" s="30"/>
      <c r="GPS24" s="93"/>
      <c r="GPT24" s="30"/>
      <c r="GPY24" s="93"/>
      <c r="GPZ24" s="30"/>
      <c r="GQE24" s="93"/>
      <c r="GQF24" s="30"/>
      <c r="GQK24" s="93"/>
      <c r="GQL24" s="30"/>
      <c r="GQQ24" s="93"/>
      <c r="GQR24" s="30"/>
      <c r="GQW24" s="93"/>
      <c r="GQX24" s="30"/>
      <c r="GRC24" s="93"/>
      <c r="GRD24" s="30"/>
      <c r="GRI24" s="93"/>
      <c r="GRJ24" s="30"/>
      <c r="GRO24" s="93"/>
      <c r="GRP24" s="30"/>
      <c r="GRU24" s="93"/>
      <c r="GRV24" s="30"/>
      <c r="GSA24" s="93"/>
      <c r="GSB24" s="30"/>
      <c r="GSG24" s="93"/>
      <c r="GSH24" s="30"/>
      <c r="GSM24" s="93"/>
      <c r="GSN24" s="30"/>
      <c r="GSS24" s="93"/>
      <c r="GST24" s="30"/>
      <c r="GSY24" s="93"/>
      <c r="GSZ24" s="30"/>
      <c r="GTE24" s="93"/>
      <c r="GTF24" s="30"/>
      <c r="GTK24" s="93"/>
      <c r="GTL24" s="30"/>
      <c r="GTQ24" s="93"/>
      <c r="GTR24" s="30"/>
      <c r="GTW24" s="93"/>
      <c r="GTX24" s="30"/>
      <c r="GUC24" s="93"/>
      <c r="GUD24" s="30"/>
      <c r="GUI24" s="93"/>
      <c r="GUJ24" s="30"/>
      <c r="GUO24" s="93"/>
      <c r="GUP24" s="30"/>
      <c r="GUU24" s="93"/>
      <c r="GUV24" s="30"/>
      <c r="GVA24" s="93"/>
      <c r="GVB24" s="30"/>
      <c r="GVG24" s="93"/>
      <c r="GVH24" s="30"/>
      <c r="GVM24" s="93"/>
      <c r="GVN24" s="30"/>
      <c r="GVS24" s="93"/>
      <c r="GVT24" s="30"/>
      <c r="GVY24" s="93"/>
      <c r="GVZ24" s="30"/>
      <c r="GWE24" s="93"/>
      <c r="GWF24" s="30"/>
      <c r="GWK24" s="93"/>
      <c r="GWL24" s="30"/>
      <c r="GWQ24" s="93"/>
      <c r="GWR24" s="30"/>
      <c r="GWW24" s="93"/>
      <c r="GWX24" s="30"/>
      <c r="GXC24" s="93"/>
      <c r="GXD24" s="30"/>
      <c r="GXI24" s="93"/>
      <c r="GXJ24" s="30"/>
      <c r="GXO24" s="93"/>
      <c r="GXP24" s="30"/>
      <c r="GXU24" s="93"/>
      <c r="GXV24" s="30"/>
      <c r="GYA24" s="93"/>
      <c r="GYB24" s="30"/>
      <c r="GYG24" s="93"/>
      <c r="GYH24" s="30"/>
      <c r="GYM24" s="93"/>
      <c r="GYN24" s="30"/>
      <c r="GYS24" s="93"/>
      <c r="GYT24" s="30"/>
      <c r="GYY24" s="93"/>
      <c r="GYZ24" s="30"/>
      <c r="GZE24" s="93"/>
      <c r="GZF24" s="30"/>
      <c r="GZK24" s="93"/>
      <c r="GZL24" s="30"/>
      <c r="GZQ24" s="93"/>
      <c r="GZR24" s="30"/>
      <c r="GZW24" s="93"/>
      <c r="GZX24" s="30"/>
      <c r="HAC24" s="93"/>
      <c r="HAD24" s="30"/>
      <c r="HAI24" s="93"/>
      <c r="HAJ24" s="30"/>
      <c r="HAO24" s="93"/>
      <c r="HAP24" s="30"/>
      <c r="HAU24" s="93"/>
      <c r="HAV24" s="30"/>
      <c r="HBA24" s="93"/>
      <c r="HBB24" s="30"/>
      <c r="HBG24" s="93"/>
      <c r="HBH24" s="30"/>
      <c r="HBM24" s="93"/>
      <c r="HBN24" s="30"/>
      <c r="HBS24" s="93"/>
      <c r="HBT24" s="30"/>
      <c r="HBY24" s="93"/>
      <c r="HBZ24" s="30"/>
      <c r="HCE24" s="93"/>
      <c r="HCF24" s="30"/>
      <c r="HCK24" s="93"/>
      <c r="HCL24" s="30"/>
      <c r="HCQ24" s="93"/>
      <c r="HCR24" s="30"/>
      <c r="HCW24" s="93"/>
      <c r="HCX24" s="30"/>
      <c r="HDC24" s="93"/>
      <c r="HDD24" s="30"/>
      <c r="HDI24" s="93"/>
      <c r="HDJ24" s="30"/>
      <c r="HDO24" s="93"/>
      <c r="HDP24" s="30"/>
      <c r="HDU24" s="93"/>
      <c r="HDV24" s="30"/>
      <c r="HEA24" s="93"/>
      <c r="HEB24" s="30"/>
      <c r="HEG24" s="93"/>
      <c r="HEH24" s="30"/>
      <c r="HEM24" s="93"/>
      <c r="HEN24" s="30"/>
      <c r="HES24" s="93"/>
      <c r="HET24" s="30"/>
      <c r="HEY24" s="93"/>
      <c r="HEZ24" s="30"/>
      <c r="HFE24" s="93"/>
      <c r="HFF24" s="30"/>
      <c r="HFK24" s="93"/>
      <c r="HFL24" s="30"/>
      <c r="HFQ24" s="93"/>
      <c r="HFR24" s="30"/>
      <c r="HFW24" s="93"/>
      <c r="HFX24" s="30"/>
      <c r="HGC24" s="93"/>
      <c r="HGD24" s="30"/>
      <c r="HGI24" s="93"/>
      <c r="HGJ24" s="30"/>
      <c r="HGO24" s="93"/>
      <c r="HGP24" s="30"/>
      <c r="HGU24" s="93"/>
      <c r="HGV24" s="30"/>
      <c r="HHA24" s="93"/>
      <c r="HHB24" s="30"/>
      <c r="HHG24" s="93"/>
      <c r="HHH24" s="30"/>
      <c r="HHM24" s="93"/>
      <c r="HHN24" s="30"/>
      <c r="HHS24" s="93"/>
      <c r="HHT24" s="30"/>
      <c r="HHY24" s="93"/>
      <c r="HHZ24" s="30"/>
      <c r="HIE24" s="93"/>
      <c r="HIF24" s="30"/>
      <c r="HIK24" s="93"/>
      <c r="HIL24" s="30"/>
      <c r="HIQ24" s="93"/>
      <c r="HIR24" s="30"/>
      <c r="HIW24" s="93"/>
      <c r="HIX24" s="30"/>
      <c r="HJC24" s="93"/>
      <c r="HJD24" s="30"/>
      <c r="HJI24" s="93"/>
      <c r="HJJ24" s="30"/>
      <c r="HJO24" s="93"/>
      <c r="HJP24" s="30"/>
      <c r="HJU24" s="93"/>
      <c r="HJV24" s="30"/>
      <c r="HKA24" s="93"/>
      <c r="HKB24" s="30"/>
      <c r="HKG24" s="93"/>
      <c r="HKH24" s="30"/>
      <c r="HKM24" s="93"/>
      <c r="HKN24" s="30"/>
      <c r="HKS24" s="93"/>
      <c r="HKT24" s="30"/>
      <c r="HKY24" s="93"/>
      <c r="HKZ24" s="30"/>
      <c r="HLE24" s="93"/>
      <c r="HLF24" s="30"/>
      <c r="HLK24" s="93"/>
      <c r="HLL24" s="30"/>
      <c r="HLQ24" s="93"/>
      <c r="HLR24" s="30"/>
      <c r="HLW24" s="93"/>
      <c r="HLX24" s="30"/>
      <c r="HMC24" s="93"/>
      <c r="HMD24" s="30"/>
      <c r="HMI24" s="93"/>
      <c r="HMJ24" s="30"/>
      <c r="HMO24" s="93"/>
      <c r="HMP24" s="30"/>
      <c r="HMU24" s="93"/>
      <c r="HMV24" s="30"/>
      <c r="HNA24" s="93"/>
      <c r="HNB24" s="30"/>
      <c r="HNG24" s="93"/>
      <c r="HNH24" s="30"/>
      <c r="HNM24" s="93"/>
      <c r="HNN24" s="30"/>
      <c r="HNS24" s="93"/>
      <c r="HNT24" s="30"/>
      <c r="HNY24" s="93"/>
      <c r="HNZ24" s="30"/>
      <c r="HOE24" s="93"/>
      <c r="HOF24" s="30"/>
      <c r="HOK24" s="93"/>
      <c r="HOL24" s="30"/>
      <c r="HOQ24" s="93"/>
      <c r="HOR24" s="30"/>
      <c r="HOW24" s="93"/>
      <c r="HOX24" s="30"/>
      <c r="HPC24" s="93"/>
      <c r="HPD24" s="30"/>
      <c r="HPI24" s="93"/>
      <c r="HPJ24" s="30"/>
      <c r="HPO24" s="93"/>
      <c r="HPP24" s="30"/>
      <c r="HPU24" s="93"/>
      <c r="HPV24" s="30"/>
      <c r="HQA24" s="93"/>
      <c r="HQB24" s="30"/>
      <c r="HQG24" s="93"/>
      <c r="HQH24" s="30"/>
      <c r="HQM24" s="93"/>
      <c r="HQN24" s="30"/>
      <c r="HQS24" s="93"/>
      <c r="HQT24" s="30"/>
      <c r="HQY24" s="93"/>
      <c r="HQZ24" s="30"/>
      <c r="HRE24" s="93"/>
      <c r="HRF24" s="30"/>
      <c r="HRK24" s="93"/>
      <c r="HRL24" s="30"/>
      <c r="HRQ24" s="93"/>
      <c r="HRR24" s="30"/>
      <c r="HRW24" s="93"/>
      <c r="HRX24" s="30"/>
      <c r="HSC24" s="93"/>
      <c r="HSD24" s="30"/>
      <c r="HSI24" s="93"/>
      <c r="HSJ24" s="30"/>
      <c r="HSO24" s="93"/>
      <c r="HSP24" s="30"/>
      <c r="HSU24" s="93"/>
      <c r="HSV24" s="30"/>
      <c r="HTA24" s="93"/>
      <c r="HTB24" s="30"/>
      <c r="HTG24" s="93"/>
      <c r="HTH24" s="30"/>
      <c r="HTM24" s="93"/>
      <c r="HTN24" s="30"/>
      <c r="HTS24" s="93"/>
      <c r="HTT24" s="30"/>
      <c r="HTY24" s="93"/>
      <c r="HTZ24" s="30"/>
      <c r="HUE24" s="93"/>
      <c r="HUF24" s="30"/>
      <c r="HUK24" s="93"/>
      <c r="HUL24" s="30"/>
      <c r="HUQ24" s="93"/>
      <c r="HUR24" s="30"/>
      <c r="HUW24" s="93"/>
      <c r="HUX24" s="30"/>
      <c r="HVC24" s="93"/>
      <c r="HVD24" s="30"/>
      <c r="HVI24" s="93"/>
      <c r="HVJ24" s="30"/>
      <c r="HVO24" s="93"/>
      <c r="HVP24" s="30"/>
      <c r="HVU24" s="93"/>
      <c r="HVV24" s="30"/>
      <c r="HWA24" s="93"/>
      <c r="HWB24" s="30"/>
      <c r="HWG24" s="93"/>
      <c r="HWH24" s="30"/>
      <c r="HWM24" s="93"/>
      <c r="HWN24" s="30"/>
      <c r="HWS24" s="93"/>
      <c r="HWT24" s="30"/>
      <c r="HWY24" s="93"/>
      <c r="HWZ24" s="30"/>
      <c r="HXE24" s="93"/>
      <c r="HXF24" s="30"/>
      <c r="HXK24" s="93"/>
      <c r="HXL24" s="30"/>
      <c r="HXQ24" s="93"/>
      <c r="HXR24" s="30"/>
      <c r="HXW24" s="93"/>
      <c r="HXX24" s="30"/>
      <c r="HYC24" s="93"/>
      <c r="HYD24" s="30"/>
      <c r="HYI24" s="93"/>
      <c r="HYJ24" s="30"/>
      <c r="HYO24" s="93"/>
      <c r="HYP24" s="30"/>
      <c r="HYU24" s="93"/>
      <c r="HYV24" s="30"/>
      <c r="HZA24" s="93"/>
      <c r="HZB24" s="30"/>
      <c r="HZG24" s="93"/>
      <c r="HZH24" s="30"/>
      <c r="HZM24" s="93"/>
      <c r="HZN24" s="30"/>
      <c r="HZS24" s="93"/>
      <c r="HZT24" s="30"/>
      <c r="HZY24" s="93"/>
      <c r="HZZ24" s="30"/>
      <c r="IAE24" s="93"/>
      <c r="IAF24" s="30"/>
      <c r="IAK24" s="93"/>
      <c r="IAL24" s="30"/>
      <c r="IAQ24" s="93"/>
      <c r="IAR24" s="30"/>
      <c r="IAW24" s="93"/>
      <c r="IAX24" s="30"/>
      <c r="IBC24" s="93"/>
      <c r="IBD24" s="30"/>
      <c r="IBI24" s="93"/>
      <c r="IBJ24" s="30"/>
      <c r="IBO24" s="93"/>
      <c r="IBP24" s="30"/>
      <c r="IBU24" s="93"/>
      <c r="IBV24" s="30"/>
      <c r="ICA24" s="93"/>
      <c r="ICB24" s="30"/>
      <c r="ICG24" s="93"/>
      <c r="ICH24" s="30"/>
      <c r="ICM24" s="93"/>
      <c r="ICN24" s="30"/>
      <c r="ICS24" s="93"/>
      <c r="ICT24" s="30"/>
      <c r="ICY24" s="93"/>
      <c r="ICZ24" s="30"/>
      <c r="IDE24" s="93"/>
      <c r="IDF24" s="30"/>
      <c r="IDK24" s="93"/>
      <c r="IDL24" s="30"/>
      <c r="IDQ24" s="93"/>
      <c r="IDR24" s="30"/>
      <c r="IDW24" s="93"/>
      <c r="IDX24" s="30"/>
      <c r="IEC24" s="93"/>
      <c r="IED24" s="30"/>
      <c r="IEI24" s="93"/>
      <c r="IEJ24" s="30"/>
      <c r="IEO24" s="93"/>
      <c r="IEP24" s="30"/>
      <c r="IEU24" s="93"/>
      <c r="IEV24" s="30"/>
      <c r="IFA24" s="93"/>
      <c r="IFB24" s="30"/>
      <c r="IFG24" s="93"/>
      <c r="IFH24" s="30"/>
      <c r="IFM24" s="93"/>
      <c r="IFN24" s="30"/>
      <c r="IFS24" s="93"/>
      <c r="IFT24" s="30"/>
      <c r="IFY24" s="93"/>
      <c r="IFZ24" s="30"/>
      <c r="IGE24" s="93"/>
      <c r="IGF24" s="30"/>
      <c r="IGK24" s="93"/>
      <c r="IGL24" s="30"/>
      <c r="IGQ24" s="93"/>
      <c r="IGR24" s="30"/>
      <c r="IGW24" s="93"/>
      <c r="IGX24" s="30"/>
      <c r="IHC24" s="93"/>
      <c r="IHD24" s="30"/>
      <c r="IHI24" s="93"/>
      <c r="IHJ24" s="30"/>
      <c r="IHO24" s="93"/>
      <c r="IHP24" s="30"/>
      <c r="IHU24" s="93"/>
      <c r="IHV24" s="30"/>
      <c r="IIA24" s="93"/>
      <c r="IIB24" s="30"/>
      <c r="IIG24" s="93"/>
      <c r="IIH24" s="30"/>
      <c r="IIM24" s="93"/>
      <c r="IIN24" s="30"/>
      <c r="IIS24" s="93"/>
      <c r="IIT24" s="30"/>
      <c r="IIY24" s="93"/>
      <c r="IIZ24" s="30"/>
      <c r="IJE24" s="93"/>
      <c r="IJF24" s="30"/>
      <c r="IJK24" s="93"/>
      <c r="IJL24" s="30"/>
      <c r="IJQ24" s="93"/>
      <c r="IJR24" s="30"/>
      <c r="IJW24" s="93"/>
      <c r="IJX24" s="30"/>
      <c r="IKC24" s="93"/>
      <c r="IKD24" s="30"/>
      <c r="IKI24" s="93"/>
      <c r="IKJ24" s="30"/>
      <c r="IKO24" s="93"/>
      <c r="IKP24" s="30"/>
      <c r="IKU24" s="93"/>
      <c r="IKV24" s="30"/>
      <c r="ILA24" s="93"/>
      <c r="ILB24" s="30"/>
      <c r="ILG24" s="93"/>
      <c r="ILH24" s="30"/>
      <c r="ILM24" s="93"/>
      <c r="ILN24" s="30"/>
      <c r="ILS24" s="93"/>
      <c r="ILT24" s="30"/>
      <c r="ILY24" s="93"/>
      <c r="ILZ24" s="30"/>
      <c r="IME24" s="93"/>
      <c r="IMF24" s="30"/>
      <c r="IMK24" s="93"/>
      <c r="IML24" s="30"/>
      <c r="IMQ24" s="93"/>
      <c r="IMR24" s="30"/>
      <c r="IMW24" s="93"/>
      <c r="IMX24" s="30"/>
      <c r="INC24" s="93"/>
      <c r="IND24" s="30"/>
      <c r="INI24" s="93"/>
      <c r="INJ24" s="30"/>
      <c r="INO24" s="93"/>
      <c r="INP24" s="30"/>
      <c r="INU24" s="93"/>
      <c r="INV24" s="30"/>
      <c r="IOA24" s="93"/>
      <c r="IOB24" s="30"/>
      <c r="IOG24" s="93"/>
      <c r="IOH24" s="30"/>
      <c r="IOM24" s="93"/>
      <c r="ION24" s="30"/>
      <c r="IOS24" s="93"/>
      <c r="IOT24" s="30"/>
      <c r="IOY24" s="93"/>
      <c r="IOZ24" s="30"/>
      <c r="IPE24" s="93"/>
      <c r="IPF24" s="30"/>
      <c r="IPK24" s="93"/>
      <c r="IPL24" s="30"/>
      <c r="IPQ24" s="93"/>
      <c r="IPR24" s="30"/>
      <c r="IPW24" s="93"/>
      <c r="IPX24" s="30"/>
      <c r="IQC24" s="93"/>
      <c r="IQD24" s="30"/>
      <c r="IQI24" s="93"/>
      <c r="IQJ24" s="30"/>
      <c r="IQO24" s="93"/>
      <c r="IQP24" s="30"/>
      <c r="IQU24" s="93"/>
      <c r="IQV24" s="30"/>
      <c r="IRA24" s="93"/>
      <c r="IRB24" s="30"/>
      <c r="IRG24" s="93"/>
      <c r="IRH24" s="30"/>
      <c r="IRM24" s="93"/>
      <c r="IRN24" s="30"/>
      <c r="IRS24" s="93"/>
      <c r="IRT24" s="30"/>
      <c r="IRY24" s="93"/>
      <c r="IRZ24" s="30"/>
      <c r="ISE24" s="93"/>
      <c r="ISF24" s="30"/>
      <c r="ISK24" s="93"/>
      <c r="ISL24" s="30"/>
      <c r="ISQ24" s="93"/>
      <c r="ISR24" s="30"/>
      <c r="ISW24" s="93"/>
      <c r="ISX24" s="30"/>
      <c r="ITC24" s="93"/>
      <c r="ITD24" s="30"/>
      <c r="ITI24" s="93"/>
      <c r="ITJ24" s="30"/>
      <c r="ITO24" s="93"/>
      <c r="ITP24" s="30"/>
      <c r="ITU24" s="93"/>
      <c r="ITV24" s="30"/>
      <c r="IUA24" s="93"/>
      <c r="IUB24" s="30"/>
      <c r="IUG24" s="93"/>
      <c r="IUH24" s="30"/>
      <c r="IUM24" s="93"/>
      <c r="IUN24" s="30"/>
      <c r="IUS24" s="93"/>
      <c r="IUT24" s="30"/>
      <c r="IUY24" s="93"/>
      <c r="IUZ24" s="30"/>
      <c r="IVE24" s="93"/>
      <c r="IVF24" s="30"/>
      <c r="IVK24" s="93"/>
      <c r="IVL24" s="30"/>
      <c r="IVQ24" s="93"/>
      <c r="IVR24" s="30"/>
      <c r="IVW24" s="93"/>
      <c r="IVX24" s="30"/>
      <c r="IWC24" s="93"/>
      <c r="IWD24" s="30"/>
      <c r="IWI24" s="93"/>
      <c r="IWJ24" s="30"/>
      <c r="IWO24" s="93"/>
      <c r="IWP24" s="30"/>
      <c r="IWU24" s="93"/>
      <c r="IWV24" s="30"/>
      <c r="IXA24" s="93"/>
      <c r="IXB24" s="30"/>
      <c r="IXG24" s="93"/>
      <c r="IXH24" s="30"/>
      <c r="IXM24" s="93"/>
      <c r="IXN24" s="30"/>
      <c r="IXS24" s="93"/>
      <c r="IXT24" s="30"/>
      <c r="IXY24" s="93"/>
      <c r="IXZ24" s="30"/>
      <c r="IYE24" s="93"/>
      <c r="IYF24" s="30"/>
      <c r="IYK24" s="93"/>
      <c r="IYL24" s="30"/>
      <c r="IYQ24" s="93"/>
      <c r="IYR24" s="30"/>
      <c r="IYW24" s="93"/>
      <c r="IYX24" s="30"/>
      <c r="IZC24" s="93"/>
      <c r="IZD24" s="30"/>
      <c r="IZI24" s="93"/>
      <c r="IZJ24" s="30"/>
      <c r="IZO24" s="93"/>
      <c r="IZP24" s="30"/>
      <c r="IZU24" s="93"/>
      <c r="IZV24" s="30"/>
      <c r="JAA24" s="93"/>
      <c r="JAB24" s="30"/>
      <c r="JAG24" s="93"/>
      <c r="JAH24" s="30"/>
      <c r="JAM24" s="93"/>
      <c r="JAN24" s="30"/>
      <c r="JAS24" s="93"/>
      <c r="JAT24" s="30"/>
      <c r="JAY24" s="93"/>
      <c r="JAZ24" s="30"/>
      <c r="JBE24" s="93"/>
      <c r="JBF24" s="30"/>
      <c r="JBK24" s="93"/>
      <c r="JBL24" s="30"/>
      <c r="JBQ24" s="93"/>
      <c r="JBR24" s="30"/>
      <c r="JBW24" s="93"/>
      <c r="JBX24" s="30"/>
      <c r="JCC24" s="93"/>
      <c r="JCD24" s="30"/>
      <c r="JCI24" s="93"/>
      <c r="JCJ24" s="30"/>
      <c r="JCO24" s="93"/>
      <c r="JCP24" s="30"/>
      <c r="JCU24" s="93"/>
      <c r="JCV24" s="30"/>
      <c r="JDA24" s="93"/>
      <c r="JDB24" s="30"/>
      <c r="JDG24" s="93"/>
      <c r="JDH24" s="30"/>
      <c r="JDM24" s="93"/>
      <c r="JDN24" s="30"/>
      <c r="JDS24" s="93"/>
      <c r="JDT24" s="30"/>
      <c r="JDY24" s="93"/>
      <c r="JDZ24" s="30"/>
      <c r="JEE24" s="93"/>
      <c r="JEF24" s="30"/>
      <c r="JEK24" s="93"/>
      <c r="JEL24" s="30"/>
      <c r="JEQ24" s="93"/>
      <c r="JER24" s="30"/>
      <c r="JEW24" s="93"/>
      <c r="JEX24" s="30"/>
      <c r="JFC24" s="93"/>
      <c r="JFD24" s="30"/>
      <c r="JFI24" s="93"/>
      <c r="JFJ24" s="30"/>
      <c r="JFO24" s="93"/>
      <c r="JFP24" s="30"/>
      <c r="JFU24" s="93"/>
      <c r="JFV24" s="30"/>
      <c r="JGA24" s="93"/>
      <c r="JGB24" s="30"/>
      <c r="JGG24" s="93"/>
      <c r="JGH24" s="30"/>
      <c r="JGM24" s="93"/>
      <c r="JGN24" s="30"/>
      <c r="JGS24" s="93"/>
      <c r="JGT24" s="30"/>
      <c r="JGY24" s="93"/>
      <c r="JGZ24" s="30"/>
      <c r="JHE24" s="93"/>
      <c r="JHF24" s="30"/>
      <c r="JHK24" s="93"/>
      <c r="JHL24" s="30"/>
      <c r="JHQ24" s="93"/>
      <c r="JHR24" s="30"/>
      <c r="JHW24" s="93"/>
      <c r="JHX24" s="30"/>
      <c r="JIC24" s="93"/>
      <c r="JID24" s="30"/>
      <c r="JII24" s="93"/>
      <c r="JIJ24" s="30"/>
      <c r="JIO24" s="93"/>
      <c r="JIP24" s="30"/>
      <c r="JIU24" s="93"/>
      <c r="JIV24" s="30"/>
      <c r="JJA24" s="93"/>
      <c r="JJB24" s="30"/>
      <c r="JJG24" s="93"/>
      <c r="JJH24" s="30"/>
      <c r="JJM24" s="93"/>
      <c r="JJN24" s="30"/>
      <c r="JJS24" s="93"/>
      <c r="JJT24" s="30"/>
      <c r="JJY24" s="93"/>
      <c r="JJZ24" s="30"/>
      <c r="JKE24" s="93"/>
      <c r="JKF24" s="30"/>
      <c r="JKK24" s="93"/>
      <c r="JKL24" s="30"/>
      <c r="JKQ24" s="93"/>
      <c r="JKR24" s="30"/>
      <c r="JKW24" s="93"/>
      <c r="JKX24" s="30"/>
      <c r="JLC24" s="93"/>
      <c r="JLD24" s="30"/>
      <c r="JLI24" s="93"/>
      <c r="JLJ24" s="30"/>
      <c r="JLO24" s="93"/>
      <c r="JLP24" s="30"/>
      <c r="JLU24" s="93"/>
      <c r="JLV24" s="30"/>
      <c r="JMA24" s="93"/>
      <c r="JMB24" s="30"/>
      <c r="JMG24" s="93"/>
      <c r="JMH24" s="30"/>
      <c r="JMM24" s="93"/>
      <c r="JMN24" s="30"/>
      <c r="JMS24" s="93"/>
      <c r="JMT24" s="30"/>
      <c r="JMY24" s="93"/>
      <c r="JMZ24" s="30"/>
      <c r="JNE24" s="93"/>
      <c r="JNF24" s="30"/>
      <c r="JNK24" s="93"/>
      <c r="JNL24" s="30"/>
      <c r="JNQ24" s="93"/>
      <c r="JNR24" s="30"/>
      <c r="JNW24" s="93"/>
      <c r="JNX24" s="30"/>
      <c r="JOC24" s="93"/>
      <c r="JOD24" s="30"/>
      <c r="JOI24" s="93"/>
      <c r="JOJ24" s="30"/>
      <c r="JOO24" s="93"/>
      <c r="JOP24" s="30"/>
      <c r="JOU24" s="93"/>
      <c r="JOV24" s="30"/>
      <c r="JPA24" s="93"/>
      <c r="JPB24" s="30"/>
      <c r="JPG24" s="93"/>
      <c r="JPH24" s="30"/>
      <c r="JPM24" s="93"/>
      <c r="JPN24" s="30"/>
      <c r="JPS24" s="93"/>
      <c r="JPT24" s="30"/>
      <c r="JPY24" s="93"/>
      <c r="JPZ24" s="30"/>
      <c r="JQE24" s="93"/>
      <c r="JQF24" s="30"/>
      <c r="JQK24" s="93"/>
      <c r="JQL24" s="30"/>
      <c r="JQQ24" s="93"/>
      <c r="JQR24" s="30"/>
      <c r="JQW24" s="93"/>
      <c r="JQX24" s="30"/>
      <c r="JRC24" s="93"/>
      <c r="JRD24" s="30"/>
      <c r="JRI24" s="93"/>
      <c r="JRJ24" s="30"/>
      <c r="JRO24" s="93"/>
      <c r="JRP24" s="30"/>
      <c r="JRU24" s="93"/>
      <c r="JRV24" s="30"/>
      <c r="JSA24" s="93"/>
      <c r="JSB24" s="30"/>
      <c r="JSG24" s="93"/>
      <c r="JSH24" s="30"/>
      <c r="JSM24" s="93"/>
      <c r="JSN24" s="30"/>
      <c r="JSS24" s="93"/>
      <c r="JST24" s="30"/>
      <c r="JSY24" s="93"/>
      <c r="JSZ24" s="30"/>
      <c r="JTE24" s="93"/>
      <c r="JTF24" s="30"/>
      <c r="JTK24" s="93"/>
      <c r="JTL24" s="30"/>
      <c r="JTQ24" s="93"/>
      <c r="JTR24" s="30"/>
      <c r="JTW24" s="93"/>
      <c r="JTX24" s="30"/>
      <c r="JUC24" s="93"/>
      <c r="JUD24" s="30"/>
      <c r="JUI24" s="93"/>
      <c r="JUJ24" s="30"/>
      <c r="JUO24" s="93"/>
      <c r="JUP24" s="30"/>
      <c r="JUU24" s="93"/>
      <c r="JUV24" s="30"/>
      <c r="JVA24" s="93"/>
      <c r="JVB24" s="30"/>
      <c r="JVG24" s="93"/>
      <c r="JVH24" s="30"/>
      <c r="JVM24" s="93"/>
      <c r="JVN24" s="30"/>
      <c r="JVS24" s="93"/>
      <c r="JVT24" s="30"/>
      <c r="JVY24" s="93"/>
      <c r="JVZ24" s="30"/>
      <c r="JWE24" s="93"/>
      <c r="JWF24" s="30"/>
      <c r="JWK24" s="93"/>
      <c r="JWL24" s="30"/>
      <c r="JWQ24" s="93"/>
      <c r="JWR24" s="30"/>
      <c r="JWW24" s="93"/>
      <c r="JWX24" s="30"/>
      <c r="JXC24" s="93"/>
      <c r="JXD24" s="30"/>
      <c r="JXI24" s="93"/>
      <c r="JXJ24" s="30"/>
      <c r="JXO24" s="93"/>
      <c r="JXP24" s="30"/>
      <c r="JXU24" s="93"/>
      <c r="JXV24" s="30"/>
      <c r="JYA24" s="93"/>
      <c r="JYB24" s="30"/>
      <c r="JYG24" s="93"/>
      <c r="JYH24" s="30"/>
      <c r="JYM24" s="93"/>
      <c r="JYN24" s="30"/>
      <c r="JYS24" s="93"/>
      <c r="JYT24" s="30"/>
      <c r="JYY24" s="93"/>
      <c r="JYZ24" s="30"/>
      <c r="JZE24" s="93"/>
      <c r="JZF24" s="30"/>
      <c r="JZK24" s="93"/>
      <c r="JZL24" s="30"/>
      <c r="JZQ24" s="93"/>
      <c r="JZR24" s="30"/>
      <c r="JZW24" s="93"/>
      <c r="JZX24" s="30"/>
      <c r="KAC24" s="93"/>
      <c r="KAD24" s="30"/>
      <c r="KAI24" s="93"/>
      <c r="KAJ24" s="30"/>
      <c r="KAO24" s="93"/>
      <c r="KAP24" s="30"/>
      <c r="KAU24" s="93"/>
      <c r="KAV24" s="30"/>
      <c r="KBA24" s="93"/>
      <c r="KBB24" s="30"/>
      <c r="KBG24" s="93"/>
      <c r="KBH24" s="30"/>
      <c r="KBM24" s="93"/>
      <c r="KBN24" s="30"/>
      <c r="KBS24" s="93"/>
      <c r="KBT24" s="30"/>
      <c r="KBY24" s="93"/>
      <c r="KBZ24" s="30"/>
      <c r="KCE24" s="93"/>
      <c r="KCF24" s="30"/>
      <c r="KCK24" s="93"/>
      <c r="KCL24" s="30"/>
      <c r="KCQ24" s="93"/>
      <c r="KCR24" s="30"/>
      <c r="KCW24" s="93"/>
      <c r="KCX24" s="30"/>
      <c r="KDC24" s="93"/>
      <c r="KDD24" s="30"/>
      <c r="KDI24" s="93"/>
      <c r="KDJ24" s="30"/>
      <c r="KDO24" s="93"/>
      <c r="KDP24" s="30"/>
      <c r="KDU24" s="93"/>
      <c r="KDV24" s="30"/>
      <c r="KEA24" s="93"/>
      <c r="KEB24" s="30"/>
      <c r="KEG24" s="93"/>
      <c r="KEH24" s="30"/>
      <c r="KEM24" s="93"/>
      <c r="KEN24" s="30"/>
      <c r="KES24" s="93"/>
      <c r="KET24" s="30"/>
      <c r="KEY24" s="93"/>
      <c r="KEZ24" s="30"/>
      <c r="KFE24" s="93"/>
      <c r="KFF24" s="30"/>
      <c r="KFK24" s="93"/>
      <c r="KFL24" s="30"/>
      <c r="KFQ24" s="93"/>
      <c r="KFR24" s="30"/>
      <c r="KFW24" s="93"/>
      <c r="KFX24" s="30"/>
      <c r="KGC24" s="93"/>
      <c r="KGD24" s="30"/>
      <c r="KGI24" s="93"/>
      <c r="KGJ24" s="30"/>
      <c r="KGO24" s="93"/>
      <c r="KGP24" s="30"/>
      <c r="KGU24" s="93"/>
      <c r="KGV24" s="30"/>
      <c r="KHA24" s="93"/>
      <c r="KHB24" s="30"/>
      <c r="KHG24" s="93"/>
      <c r="KHH24" s="30"/>
      <c r="KHM24" s="93"/>
      <c r="KHN24" s="30"/>
      <c r="KHS24" s="93"/>
      <c r="KHT24" s="30"/>
      <c r="KHY24" s="93"/>
      <c r="KHZ24" s="30"/>
      <c r="KIE24" s="93"/>
      <c r="KIF24" s="30"/>
      <c r="KIK24" s="93"/>
      <c r="KIL24" s="30"/>
      <c r="KIQ24" s="93"/>
      <c r="KIR24" s="30"/>
      <c r="KIW24" s="93"/>
      <c r="KIX24" s="30"/>
      <c r="KJC24" s="93"/>
      <c r="KJD24" s="30"/>
      <c r="KJI24" s="93"/>
      <c r="KJJ24" s="30"/>
      <c r="KJO24" s="93"/>
      <c r="KJP24" s="30"/>
      <c r="KJU24" s="93"/>
      <c r="KJV24" s="30"/>
      <c r="KKA24" s="93"/>
      <c r="KKB24" s="30"/>
      <c r="KKG24" s="93"/>
      <c r="KKH24" s="30"/>
      <c r="KKM24" s="93"/>
      <c r="KKN24" s="30"/>
      <c r="KKS24" s="93"/>
      <c r="KKT24" s="30"/>
      <c r="KKY24" s="93"/>
      <c r="KKZ24" s="30"/>
      <c r="KLE24" s="93"/>
      <c r="KLF24" s="30"/>
      <c r="KLK24" s="93"/>
      <c r="KLL24" s="30"/>
      <c r="KLQ24" s="93"/>
      <c r="KLR24" s="30"/>
      <c r="KLW24" s="93"/>
      <c r="KLX24" s="30"/>
      <c r="KMC24" s="93"/>
      <c r="KMD24" s="30"/>
      <c r="KMI24" s="93"/>
      <c r="KMJ24" s="30"/>
      <c r="KMO24" s="93"/>
      <c r="KMP24" s="30"/>
      <c r="KMU24" s="93"/>
      <c r="KMV24" s="30"/>
      <c r="KNA24" s="93"/>
      <c r="KNB24" s="30"/>
      <c r="KNG24" s="93"/>
      <c r="KNH24" s="30"/>
      <c r="KNM24" s="93"/>
      <c r="KNN24" s="30"/>
      <c r="KNS24" s="93"/>
      <c r="KNT24" s="30"/>
      <c r="KNY24" s="93"/>
      <c r="KNZ24" s="30"/>
      <c r="KOE24" s="93"/>
      <c r="KOF24" s="30"/>
      <c r="KOK24" s="93"/>
      <c r="KOL24" s="30"/>
      <c r="KOQ24" s="93"/>
      <c r="KOR24" s="30"/>
      <c r="KOW24" s="93"/>
      <c r="KOX24" s="30"/>
      <c r="KPC24" s="93"/>
      <c r="KPD24" s="30"/>
      <c r="KPI24" s="93"/>
      <c r="KPJ24" s="30"/>
      <c r="KPO24" s="93"/>
      <c r="KPP24" s="30"/>
      <c r="KPU24" s="93"/>
      <c r="KPV24" s="30"/>
      <c r="KQA24" s="93"/>
      <c r="KQB24" s="30"/>
      <c r="KQG24" s="93"/>
      <c r="KQH24" s="30"/>
      <c r="KQM24" s="93"/>
      <c r="KQN24" s="30"/>
      <c r="KQS24" s="93"/>
      <c r="KQT24" s="30"/>
      <c r="KQY24" s="93"/>
      <c r="KQZ24" s="30"/>
      <c r="KRE24" s="93"/>
      <c r="KRF24" s="30"/>
      <c r="KRK24" s="93"/>
      <c r="KRL24" s="30"/>
      <c r="KRQ24" s="93"/>
      <c r="KRR24" s="30"/>
      <c r="KRW24" s="93"/>
      <c r="KRX24" s="30"/>
      <c r="KSC24" s="93"/>
      <c r="KSD24" s="30"/>
      <c r="KSI24" s="93"/>
      <c r="KSJ24" s="30"/>
      <c r="KSO24" s="93"/>
      <c r="KSP24" s="30"/>
      <c r="KSU24" s="93"/>
      <c r="KSV24" s="30"/>
      <c r="KTA24" s="93"/>
      <c r="KTB24" s="30"/>
      <c r="KTG24" s="93"/>
      <c r="KTH24" s="30"/>
      <c r="KTM24" s="93"/>
      <c r="KTN24" s="30"/>
      <c r="KTS24" s="93"/>
      <c r="KTT24" s="30"/>
      <c r="KTY24" s="93"/>
      <c r="KTZ24" s="30"/>
      <c r="KUE24" s="93"/>
      <c r="KUF24" s="30"/>
      <c r="KUK24" s="93"/>
      <c r="KUL24" s="30"/>
      <c r="KUQ24" s="93"/>
      <c r="KUR24" s="30"/>
      <c r="KUW24" s="93"/>
      <c r="KUX24" s="30"/>
      <c r="KVC24" s="93"/>
      <c r="KVD24" s="30"/>
      <c r="KVI24" s="93"/>
      <c r="KVJ24" s="30"/>
      <c r="KVO24" s="93"/>
      <c r="KVP24" s="30"/>
      <c r="KVU24" s="93"/>
      <c r="KVV24" s="30"/>
      <c r="KWA24" s="93"/>
      <c r="KWB24" s="30"/>
      <c r="KWG24" s="93"/>
      <c r="KWH24" s="30"/>
      <c r="KWM24" s="93"/>
      <c r="KWN24" s="30"/>
      <c r="KWS24" s="93"/>
      <c r="KWT24" s="30"/>
      <c r="KWY24" s="93"/>
      <c r="KWZ24" s="30"/>
      <c r="KXE24" s="93"/>
      <c r="KXF24" s="30"/>
      <c r="KXK24" s="93"/>
      <c r="KXL24" s="30"/>
      <c r="KXQ24" s="93"/>
      <c r="KXR24" s="30"/>
      <c r="KXW24" s="93"/>
      <c r="KXX24" s="30"/>
      <c r="KYC24" s="93"/>
      <c r="KYD24" s="30"/>
      <c r="KYI24" s="93"/>
      <c r="KYJ24" s="30"/>
      <c r="KYO24" s="93"/>
      <c r="KYP24" s="30"/>
      <c r="KYU24" s="93"/>
      <c r="KYV24" s="30"/>
      <c r="KZA24" s="93"/>
      <c r="KZB24" s="30"/>
      <c r="KZG24" s="93"/>
      <c r="KZH24" s="30"/>
      <c r="KZM24" s="93"/>
      <c r="KZN24" s="30"/>
      <c r="KZS24" s="93"/>
      <c r="KZT24" s="30"/>
      <c r="KZY24" s="93"/>
      <c r="KZZ24" s="30"/>
      <c r="LAE24" s="93"/>
      <c r="LAF24" s="30"/>
      <c r="LAK24" s="93"/>
      <c r="LAL24" s="30"/>
      <c r="LAQ24" s="93"/>
      <c r="LAR24" s="30"/>
      <c r="LAW24" s="93"/>
      <c r="LAX24" s="30"/>
      <c r="LBC24" s="93"/>
      <c r="LBD24" s="30"/>
      <c r="LBI24" s="93"/>
      <c r="LBJ24" s="30"/>
      <c r="LBO24" s="93"/>
      <c r="LBP24" s="30"/>
      <c r="LBU24" s="93"/>
      <c r="LBV24" s="30"/>
      <c r="LCA24" s="93"/>
      <c r="LCB24" s="30"/>
      <c r="LCG24" s="93"/>
      <c r="LCH24" s="30"/>
      <c r="LCM24" s="93"/>
      <c r="LCN24" s="30"/>
      <c r="LCS24" s="93"/>
      <c r="LCT24" s="30"/>
      <c r="LCY24" s="93"/>
      <c r="LCZ24" s="30"/>
      <c r="LDE24" s="93"/>
      <c r="LDF24" s="30"/>
      <c r="LDK24" s="93"/>
      <c r="LDL24" s="30"/>
      <c r="LDQ24" s="93"/>
      <c r="LDR24" s="30"/>
      <c r="LDW24" s="93"/>
      <c r="LDX24" s="30"/>
      <c r="LEC24" s="93"/>
      <c r="LED24" s="30"/>
      <c r="LEI24" s="93"/>
      <c r="LEJ24" s="30"/>
      <c r="LEO24" s="93"/>
      <c r="LEP24" s="30"/>
      <c r="LEU24" s="93"/>
      <c r="LEV24" s="30"/>
      <c r="LFA24" s="93"/>
      <c r="LFB24" s="30"/>
      <c r="LFG24" s="93"/>
      <c r="LFH24" s="30"/>
      <c r="LFM24" s="93"/>
      <c r="LFN24" s="30"/>
      <c r="LFS24" s="93"/>
      <c r="LFT24" s="30"/>
      <c r="LFY24" s="93"/>
      <c r="LFZ24" s="30"/>
      <c r="LGE24" s="93"/>
      <c r="LGF24" s="30"/>
      <c r="LGK24" s="93"/>
      <c r="LGL24" s="30"/>
      <c r="LGQ24" s="93"/>
      <c r="LGR24" s="30"/>
      <c r="LGW24" s="93"/>
      <c r="LGX24" s="30"/>
      <c r="LHC24" s="93"/>
      <c r="LHD24" s="30"/>
      <c r="LHI24" s="93"/>
      <c r="LHJ24" s="30"/>
      <c r="LHO24" s="93"/>
      <c r="LHP24" s="30"/>
      <c r="LHU24" s="93"/>
      <c r="LHV24" s="30"/>
      <c r="LIA24" s="93"/>
      <c r="LIB24" s="30"/>
      <c r="LIG24" s="93"/>
      <c r="LIH24" s="30"/>
      <c r="LIM24" s="93"/>
      <c r="LIN24" s="30"/>
      <c r="LIS24" s="93"/>
      <c r="LIT24" s="30"/>
      <c r="LIY24" s="93"/>
      <c r="LIZ24" s="30"/>
      <c r="LJE24" s="93"/>
      <c r="LJF24" s="30"/>
      <c r="LJK24" s="93"/>
      <c r="LJL24" s="30"/>
      <c r="LJQ24" s="93"/>
      <c r="LJR24" s="30"/>
      <c r="LJW24" s="93"/>
      <c r="LJX24" s="30"/>
      <c r="LKC24" s="93"/>
      <c r="LKD24" s="30"/>
      <c r="LKI24" s="93"/>
      <c r="LKJ24" s="30"/>
      <c r="LKO24" s="93"/>
      <c r="LKP24" s="30"/>
      <c r="LKU24" s="93"/>
      <c r="LKV24" s="30"/>
      <c r="LLA24" s="93"/>
      <c r="LLB24" s="30"/>
      <c r="LLG24" s="93"/>
      <c r="LLH24" s="30"/>
      <c r="LLM24" s="93"/>
      <c r="LLN24" s="30"/>
      <c r="LLS24" s="93"/>
      <c r="LLT24" s="30"/>
      <c r="LLY24" s="93"/>
      <c r="LLZ24" s="30"/>
      <c r="LME24" s="93"/>
      <c r="LMF24" s="30"/>
      <c r="LMK24" s="93"/>
      <c r="LML24" s="30"/>
      <c r="LMQ24" s="93"/>
      <c r="LMR24" s="30"/>
      <c r="LMW24" s="93"/>
      <c r="LMX24" s="30"/>
      <c r="LNC24" s="93"/>
      <c r="LND24" s="30"/>
      <c r="LNI24" s="93"/>
      <c r="LNJ24" s="30"/>
      <c r="LNO24" s="93"/>
      <c r="LNP24" s="30"/>
      <c r="LNU24" s="93"/>
      <c r="LNV24" s="30"/>
      <c r="LOA24" s="93"/>
      <c r="LOB24" s="30"/>
      <c r="LOG24" s="93"/>
      <c r="LOH24" s="30"/>
      <c r="LOM24" s="93"/>
      <c r="LON24" s="30"/>
      <c r="LOS24" s="93"/>
      <c r="LOT24" s="30"/>
      <c r="LOY24" s="93"/>
      <c r="LOZ24" s="30"/>
      <c r="LPE24" s="93"/>
      <c r="LPF24" s="30"/>
      <c r="LPK24" s="93"/>
      <c r="LPL24" s="30"/>
      <c r="LPQ24" s="93"/>
      <c r="LPR24" s="30"/>
      <c r="LPW24" s="93"/>
      <c r="LPX24" s="30"/>
      <c r="LQC24" s="93"/>
      <c r="LQD24" s="30"/>
      <c r="LQI24" s="93"/>
      <c r="LQJ24" s="30"/>
      <c r="LQO24" s="93"/>
      <c r="LQP24" s="30"/>
      <c r="LQU24" s="93"/>
      <c r="LQV24" s="30"/>
      <c r="LRA24" s="93"/>
      <c r="LRB24" s="30"/>
      <c r="LRG24" s="93"/>
      <c r="LRH24" s="30"/>
      <c r="LRM24" s="93"/>
      <c r="LRN24" s="30"/>
      <c r="LRS24" s="93"/>
      <c r="LRT24" s="30"/>
      <c r="LRY24" s="93"/>
      <c r="LRZ24" s="30"/>
      <c r="LSE24" s="93"/>
      <c r="LSF24" s="30"/>
      <c r="LSK24" s="93"/>
      <c r="LSL24" s="30"/>
      <c r="LSQ24" s="93"/>
      <c r="LSR24" s="30"/>
      <c r="LSW24" s="93"/>
      <c r="LSX24" s="30"/>
      <c r="LTC24" s="93"/>
      <c r="LTD24" s="30"/>
      <c r="LTI24" s="93"/>
      <c r="LTJ24" s="30"/>
      <c r="LTO24" s="93"/>
      <c r="LTP24" s="30"/>
      <c r="LTU24" s="93"/>
      <c r="LTV24" s="30"/>
      <c r="LUA24" s="93"/>
      <c r="LUB24" s="30"/>
      <c r="LUG24" s="93"/>
      <c r="LUH24" s="30"/>
      <c r="LUM24" s="93"/>
      <c r="LUN24" s="30"/>
      <c r="LUS24" s="93"/>
      <c r="LUT24" s="30"/>
      <c r="LUY24" s="93"/>
      <c r="LUZ24" s="30"/>
      <c r="LVE24" s="93"/>
      <c r="LVF24" s="30"/>
      <c r="LVK24" s="93"/>
      <c r="LVL24" s="30"/>
      <c r="LVQ24" s="93"/>
      <c r="LVR24" s="30"/>
      <c r="LVW24" s="93"/>
      <c r="LVX24" s="30"/>
      <c r="LWC24" s="93"/>
      <c r="LWD24" s="30"/>
      <c r="LWI24" s="93"/>
      <c r="LWJ24" s="30"/>
      <c r="LWO24" s="93"/>
      <c r="LWP24" s="30"/>
      <c r="LWU24" s="93"/>
      <c r="LWV24" s="30"/>
      <c r="LXA24" s="93"/>
      <c r="LXB24" s="30"/>
      <c r="LXG24" s="93"/>
      <c r="LXH24" s="30"/>
      <c r="LXM24" s="93"/>
      <c r="LXN24" s="30"/>
      <c r="LXS24" s="93"/>
      <c r="LXT24" s="30"/>
      <c r="LXY24" s="93"/>
      <c r="LXZ24" s="30"/>
      <c r="LYE24" s="93"/>
      <c r="LYF24" s="30"/>
      <c r="LYK24" s="93"/>
      <c r="LYL24" s="30"/>
      <c r="LYQ24" s="93"/>
      <c r="LYR24" s="30"/>
      <c r="LYW24" s="93"/>
      <c r="LYX24" s="30"/>
      <c r="LZC24" s="93"/>
      <c r="LZD24" s="30"/>
      <c r="LZI24" s="93"/>
      <c r="LZJ24" s="30"/>
      <c r="LZO24" s="93"/>
      <c r="LZP24" s="30"/>
      <c r="LZU24" s="93"/>
      <c r="LZV24" s="30"/>
      <c r="MAA24" s="93"/>
      <c r="MAB24" s="30"/>
      <c r="MAG24" s="93"/>
      <c r="MAH24" s="30"/>
      <c r="MAM24" s="93"/>
      <c r="MAN24" s="30"/>
      <c r="MAS24" s="93"/>
      <c r="MAT24" s="30"/>
      <c r="MAY24" s="93"/>
      <c r="MAZ24" s="30"/>
      <c r="MBE24" s="93"/>
      <c r="MBF24" s="30"/>
      <c r="MBK24" s="93"/>
      <c r="MBL24" s="30"/>
      <c r="MBQ24" s="93"/>
      <c r="MBR24" s="30"/>
      <c r="MBW24" s="93"/>
      <c r="MBX24" s="30"/>
      <c r="MCC24" s="93"/>
      <c r="MCD24" s="30"/>
      <c r="MCI24" s="93"/>
      <c r="MCJ24" s="30"/>
      <c r="MCO24" s="93"/>
      <c r="MCP24" s="30"/>
      <c r="MCU24" s="93"/>
      <c r="MCV24" s="30"/>
      <c r="MDA24" s="93"/>
      <c r="MDB24" s="30"/>
      <c r="MDG24" s="93"/>
      <c r="MDH24" s="30"/>
      <c r="MDM24" s="93"/>
      <c r="MDN24" s="30"/>
      <c r="MDS24" s="93"/>
      <c r="MDT24" s="30"/>
      <c r="MDY24" s="93"/>
      <c r="MDZ24" s="30"/>
      <c r="MEE24" s="93"/>
      <c r="MEF24" s="30"/>
      <c r="MEK24" s="93"/>
      <c r="MEL24" s="30"/>
      <c r="MEQ24" s="93"/>
      <c r="MER24" s="30"/>
      <c r="MEW24" s="93"/>
      <c r="MEX24" s="30"/>
      <c r="MFC24" s="93"/>
      <c r="MFD24" s="30"/>
      <c r="MFI24" s="93"/>
      <c r="MFJ24" s="30"/>
      <c r="MFO24" s="93"/>
      <c r="MFP24" s="30"/>
      <c r="MFU24" s="93"/>
      <c r="MFV24" s="30"/>
      <c r="MGA24" s="93"/>
      <c r="MGB24" s="30"/>
      <c r="MGG24" s="93"/>
      <c r="MGH24" s="30"/>
      <c r="MGM24" s="93"/>
      <c r="MGN24" s="30"/>
      <c r="MGS24" s="93"/>
      <c r="MGT24" s="30"/>
      <c r="MGY24" s="93"/>
      <c r="MGZ24" s="30"/>
      <c r="MHE24" s="93"/>
      <c r="MHF24" s="30"/>
      <c r="MHK24" s="93"/>
      <c r="MHL24" s="30"/>
      <c r="MHQ24" s="93"/>
      <c r="MHR24" s="30"/>
      <c r="MHW24" s="93"/>
      <c r="MHX24" s="30"/>
      <c r="MIC24" s="93"/>
      <c r="MID24" s="30"/>
      <c r="MII24" s="93"/>
      <c r="MIJ24" s="30"/>
      <c r="MIO24" s="93"/>
      <c r="MIP24" s="30"/>
      <c r="MIU24" s="93"/>
      <c r="MIV24" s="30"/>
      <c r="MJA24" s="93"/>
      <c r="MJB24" s="30"/>
      <c r="MJG24" s="93"/>
      <c r="MJH24" s="30"/>
      <c r="MJM24" s="93"/>
      <c r="MJN24" s="30"/>
      <c r="MJS24" s="93"/>
      <c r="MJT24" s="30"/>
      <c r="MJY24" s="93"/>
      <c r="MJZ24" s="30"/>
      <c r="MKE24" s="93"/>
      <c r="MKF24" s="30"/>
      <c r="MKK24" s="93"/>
      <c r="MKL24" s="30"/>
      <c r="MKQ24" s="93"/>
      <c r="MKR24" s="30"/>
      <c r="MKW24" s="93"/>
      <c r="MKX24" s="30"/>
      <c r="MLC24" s="93"/>
      <c r="MLD24" s="30"/>
      <c r="MLI24" s="93"/>
      <c r="MLJ24" s="30"/>
      <c r="MLO24" s="93"/>
      <c r="MLP24" s="30"/>
      <c r="MLU24" s="93"/>
      <c r="MLV24" s="30"/>
      <c r="MMA24" s="93"/>
      <c r="MMB24" s="30"/>
      <c r="MMG24" s="93"/>
      <c r="MMH24" s="30"/>
      <c r="MMM24" s="93"/>
      <c r="MMN24" s="30"/>
      <c r="MMS24" s="93"/>
      <c r="MMT24" s="30"/>
      <c r="MMY24" s="93"/>
      <c r="MMZ24" s="30"/>
      <c r="MNE24" s="93"/>
      <c r="MNF24" s="30"/>
      <c r="MNK24" s="93"/>
      <c r="MNL24" s="30"/>
      <c r="MNQ24" s="93"/>
      <c r="MNR24" s="30"/>
      <c r="MNW24" s="93"/>
      <c r="MNX24" s="30"/>
      <c r="MOC24" s="93"/>
      <c r="MOD24" s="30"/>
      <c r="MOI24" s="93"/>
      <c r="MOJ24" s="30"/>
      <c r="MOO24" s="93"/>
      <c r="MOP24" s="30"/>
      <c r="MOU24" s="93"/>
      <c r="MOV24" s="30"/>
      <c r="MPA24" s="93"/>
      <c r="MPB24" s="30"/>
      <c r="MPG24" s="93"/>
      <c r="MPH24" s="30"/>
      <c r="MPM24" s="93"/>
      <c r="MPN24" s="30"/>
      <c r="MPS24" s="93"/>
      <c r="MPT24" s="30"/>
      <c r="MPY24" s="93"/>
      <c r="MPZ24" s="30"/>
      <c r="MQE24" s="93"/>
      <c r="MQF24" s="30"/>
      <c r="MQK24" s="93"/>
      <c r="MQL24" s="30"/>
      <c r="MQQ24" s="93"/>
      <c r="MQR24" s="30"/>
      <c r="MQW24" s="93"/>
      <c r="MQX24" s="30"/>
      <c r="MRC24" s="93"/>
      <c r="MRD24" s="30"/>
      <c r="MRI24" s="93"/>
      <c r="MRJ24" s="30"/>
      <c r="MRO24" s="93"/>
      <c r="MRP24" s="30"/>
      <c r="MRU24" s="93"/>
      <c r="MRV24" s="30"/>
      <c r="MSA24" s="93"/>
      <c r="MSB24" s="30"/>
      <c r="MSG24" s="93"/>
      <c r="MSH24" s="30"/>
      <c r="MSM24" s="93"/>
      <c r="MSN24" s="30"/>
      <c r="MSS24" s="93"/>
      <c r="MST24" s="30"/>
      <c r="MSY24" s="93"/>
      <c r="MSZ24" s="30"/>
      <c r="MTE24" s="93"/>
      <c r="MTF24" s="30"/>
      <c r="MTK24" s="93"/>
      <c r="MTL24" s="30"/>
      <c r="MTQ24" s="93"/>
      <c r="MTR24" s="30"/>
      <c r="MTW24" s="93"/>
      <c r="MTX24" s="30"/>
      <c r="MUC24" s="93"/>
      <c r="MUD24" s="30"/>
      <c r="MUI24" s="93"/>
      <c r="MUJ24" s="30"/>
      <c r="MUO24" s="93"/>
      <c r="MUP24" s="30"/>
      <c r="MUU24" s="93"/>
      <c r="MUV24" s="30"/>
      <c r="MVA24" s="93"/>
      <c r="MVB24" s="30"/>
      <c r="MVG24" s="93"/>
      <c r="MVH24" s="30"/>
      <c r="MVM24" s="93"/>
      <c r="MVN24" s="30"/>
      <c r="MVS24" s="93"/>
      <c r="MVT24" s="30"/>
      <c r="MVY24" s="93"/>
      <c r="MVZ24" s="30"/>
      <c r="MWE24" s="93"/>
      <c r="MWF24" s="30"/>
      <c r="MWK24" s="93"/>
      <c r="MWL24" s="30"/>
      <c r="MWQ24" s="93"/>
      <c r="MWR24" s="30"/>
      <c r="MWW24" s="93"/>
      <c r="MWX24" s="30"/>
      <c r="MXC24" s="93"/>
      <c r="MXD24" s="30"/>
      <c r="MXI24" s="93"/>
      <c r="MXJ24" s="30"/>
      <c r="MXO24" s="93"/>
      <c r="MXP24" s="30"/>
      <c r="MXU24" s="93"/>
      <c r="MXV24" s="30"/>
      <c r="MYA24" s="93"/>
      <c r="MYB24" s="30"/>
      <c r="MYG24" s="93"/>
      <c r="MYH24" s="30"/>
      <c r="MYM24" s="93"/>
      <c r="MYN24" s="30"/>
      <c r="MYS24" s="93"/>
      <c r="MYT24" s="30"/>
      <c r="MYY24" s="93"/>
      <c r="MYZ24" s="30"/>
      <c r="MZE24" s="93"/>
      <c r="MZF24" s="30"/>
      <c r="MZK24" s="93"/>
      <c r="MZL24" s="30"/>
      <c r="MZQ24" s="93"/>
      <c r="MZR24" s="30"/>
      <c r="MZW24" s="93"/>
      <c r="MZX24" s="30"/>
      <c r="NAC24" s="93"/>
      <c r="NAD24" s="30"/>
      <c r="NAI24" s="93"/>
      <c r="NAJ24" s="30"/>
      <c r="NAO24" s="93"/>
      <c r="NAP24" s="30"/>
      <c r="NAU24" s="93"/>
      <c r="NAV24" s="30"/>
      <c r="NBA24" s="93"/>
      <c r="NBB24" s="30"/>
      <c r="NBG24" s="93"/>
      <c r="NBH24" s="30"/>
      <c r="NBM24" s="93"/>
      <c r="NBN24" s="30"/>
      <c r="NBS24" s="93"/>
      <c r="NBT24" s="30"/>
      <c r="NBY24" s="93"/>
      <c r="NBZ24" s="30"/>
      <c r="NCE24" s="93"/>
      <c r="NCF24" s="30"/>
      <c r="NCK24" s="93"/>
      <c r="NCL24" s="30"/>
      <c r="NCQ24" s="93"/>
      <c r="NCR24" s="30"/>
      <c r="NCW24" s="93"/>
      <c r="NCX24" s="30"/>
      <c r="NDC24" s="93"/>
      <c r="NDD24" s="30"/>
      <c r="NDI24" s="93"/>
      <c r="NDJ24" s="30"/>
      <c r="NDO24" s="93"/>
      <c r="NDP24" s="30"/>
      <c r="NDU24" s="93"/>
      <c r="NDV24" s="30"/>
      <c r="NEA24" s="93"/>
      <c r="NEB24" s="30"/>
      <c r="NEG24" s="93"/>
      <c r="NEH24" s="30"/>
      <c r="NEM24" s="93"/>
      <c r="NEN24" s="30"/>
      <c r="NES24" s="93"/>
      <c r="NET24" s="30"/>
      <c r="NEY24" s="93"/>
      <c r="NEZ24" s="30"/>
      <c r="NFE24" s="93"/>
      <c r="NFF24" s="30"/>
      <c r="NFK24" s="93"/>
      <c r="NFL24" s="30"/>
      <c r="NFQ24" s="93"/>
      <c r="NFR24" s="30"/>
      <c r="NFW24" s="93"/>
      <c r="NFX24" s="30"/>
      <c r="NGC24" s="93"/>
      <c r="NGD24" s="30"/>
      <c r="NGI24" s="93"/>
      <c r="NGJ24" s="30"/>
      <c r="NGO24" s="93"/>
      <c r="NGP24" s="30"/>
      <c r="NGU24" s="93"/>
      <c r="NGV24" s="30"/>
      <c r="NHA24" s="93"/>
      <c r="NHB24" s="30"/>
      <c r="NHG24" s="93"/>
      <c r="NHH24" s="30"/>
      <c r="NHM24" s="93"/>
      <c r="NHN24" s="30"/>
      <c r="NHS24" s="93"/>
      <c r="NHT24" s="30"/>
      <c r="NHY24" s="93"/>
      <c r="NHZ24" s="30"/>
      <c r="NIE24" s="93"/>
      <c r="NIF24" s="30"/>
      <c r="NIK24" s="93"/>
      <c r="NIL24" s="30"/>
      <c r="NIQ24" s="93"/>
      <c r="NIR24" s="30"/>
      <c r="NIW24" s="93"/>
      <c r="NIX24" s="30"/>
      <c r="NJC24" s="93"/>
      <c r="NJD24" s="30"/>
      <c r="NJI24" s="93"/>
      <c r="NJJ24" s="30"/>
      <c r="NJO24" s="93"/>
      <c r="NJP24" s="30"/>
      <c r="NJU24" s="93"/>
      <c r="NJV24" s="30"/>
      <c r="NKA24" s="93"/>
      <c r="NKB24" s="30"/>
      <c r="NKG24" s="93"/>
      <c r="NKH24" s="30"/>
      <c r="NKM24" s="93"/>
      <c r="NKN24" s="30"/>
      <c r="NKS24" s="93"/>
      <c r="NKT24" s="30"/>
      <c r="NKY24" s="93"/>
      <c r="NKZ24" s="30"/>
      <c r="NLE24" s="93"/>
      <c r="NLF24" s="30"/>
      <c r="NLK24" s="93"/>
      <c r="NLL24" s="30"/>
      <c r="NLQ24" s="93"/>
      <c r="NLR24" s="30"/>
      <c r="NLW24" s="93"/>
      <c r="NLX24" s="30"/>
      <c r="NMC24" s="93"/>
      <c r="NMD24" s="30"/>
      <c r="NMI24" s="93"/>
      <c r="NMJ24" s="30"/>
      <c r="NMO24" s="93"/>
      <c r="NMP24" s="30"/>
      <c r="NMU24" s="93"/>
      <c r="NMV24" s="30"/>
      <c r="NNA24" s="93"/>
      <c r="NNB24" s="30"/>
      <c r="NNG24" s="93"/>
      <c r="NNH24" s="30"/>
      <c r="NNM24" s="93"/>
      <c r="NNN24" s="30"/>
      <c r="NNS24" s="93"/>
      <c r="NNT24" s="30"/>
      <c r="NNY24" s="93"/>
      <c r="NNZ24" s="30"/>
      <c r="NOE24" s="93"/>
      <c r="NOF24" s="30"/>
      <c r="NOK24" s="93"/>
      <c r="NOL24" s="30"/>
      <c r="NOQ24" s="93"/>
      <c r="NOR24" s="30"/>
      <c r="NOW24" s="93"/>
      <c r="NOX24" s="30"/>
      <c r="NPC24" s="93"/>
      <c r="NPD24" s="30"/>
      <c r="NPI24" s="93"/>
      <c r="NPJ24" s="30"/>
      <c r="NPO24" s="93"/>
      <c r="NPP24" s="30"/>
      <c r="NPU24" s="93"/>
      <c r="NPV24" s="30"/>
      <c r="NQA24" s="93"/>
      <c r="NQB24" s="30"/>
      <c r="NQG24" s="93"/>
      <c r="NQH24" s="30"/>
      <c r="NQM24" s="93"/>
      <c r="NQN24" s="30"/>
      <c r="NQS24" s="93"/>
      <c r="NQT24" s="30"/>
      <c r="NQY24" s="93"/>
      <c r="NQZ24" s="30"/>
      <c r="NRE24" s="93"/>
      <c r="NRF24" s="30"/>
      <c r="NRK24" s="93"/>
      <c r="NRL24" s="30"/>
      <c r="NRQ24" s="93"/>
      <c r="NRR24" s="30"/>
      <c r="NRW24" s="93"/>
      <c r="NRX24" s="30"/>
      <c r="NSC24" s="93"/>
      <c r="NSD24" s="30"/>
      <c r="NSI24" s="93"/>
      <c r="NSJ24" s="30"/>
      <c r="NSO24" s="93"/>
      <c r="NSP24" s="30"/>
      <c r="NSU24" s="93"/>
      <c r="NSV24" s="30"/>
      <c r="NTA24" s="93"/>
      <c r="NTB24" s="30"/>
      <c r="NTG24" s="93"/>
      <c r="NTH24" s="30"/>
      <c r="NTM24" s="93"/>
      <c r="NTN24" s="30"/>
      <c r="NTS24" s="93"/>
      <c r="NTT24" s="30"/>
      <c r="NTY24" s="93"/>
      <c r="NTZ24" s="30"/>
      <c r="NUE24" s="93"/>
      <c r="NUF24" s="30"/>
      <c r="NUK24" s="93"/>
      <c r="NUL24" s="30"/>
      <c r="NUQ24" s="93"/>
      <c r="NUR24" s="30"/>
      <c r="NUW24" s="93"/>
      <c r="NUX24" s="30"/>
      <c r="NVC24" s="93"/>
      <c r="NVD24" s="30"/>
      <c r="NVI24" s="93"/>
      <c r="NVJ24" s="30"/>
      <c r="NVO24" s="93"/>
      <c r="NVP24" s="30"/>
      <c r="NVU24" s="93"/>
      <c r="NVV24" s="30"/>
      <c r="NWA24" s="93"/>
      <c r="NWB24" s="30"/>
      <c r="NWG24" s="93"/>
      <c r="NWH24" s="30"/>
      <c r="NWM24" s="93"/>
      <c r="NWN24" s="30"/>
      <c r="NWS24" s="93"/>
      <c r="NWT24" s="30"/>
      <c r="NWY24" s="93"/>
      <c r="NWZ24" s="30"/>
      <c r="NXE24" s="93"/>
      <c r="NXF24" s="30"/>
      <c r="NXK24" s="93"/>
      <c r="NXL24" s="30"/>
      <c r="NXQ24" s="93"/>
      <c r="NXR24" s="30"/>
      <c r="NXW24" s="93"/>
      <c r="NXX24" s="30"/>
      <c r="NYC24" s="93"/>
      <c r="NYD24" s="30"/>
      <c r="NYI24" s="93"/>
      <c r="NYJ24" s="30"/>
      <c r="NYO24" s="93"/>
      <c r="NYP24" s="30"/>
      <c r="NYU24" s="93"/>
      <c r="NYV24" s="30"/>
      <c r="NZA24" s="93"/>
      <c r="NZB24" s="30"/>
      <c r="NZG24" s="93"/>
      <c r="NZH24" s="30"/>
      <c r="NZM24" s="93"/>
      <c r="NZN24" s="30"/>
      <c r="NZS24" s="93"/>
      <c r="NZT24" s="30"/>
      <c r="NZY24" s="93"/>
      <c r="NZZ24" s="30"/>
      <c r="OAE24" s="93"/>
      <c r="OAF24" s="30"/>
      <c r="OAK24" s="93"/>
      <c r="OAL24" s="30"/>
      <c r="OAQ24" s="93"/>
      <c r="OAR24" s="30"/>
      <c r="OAW24" s="93"/>
      <c r="OAX24" s="30"/>
      <c r="OBC24" s="93"/>
      <c r="OBD24" s="30"/>
      <c r="OBI24" s="93"/>
      <c r="OBJ24" s="30"/>
      <c r="OBO24" s="93"/>
      <c r="OBP24" s="30"/>
      <c r="OBU24" s="93"/>
      <c r="OBV24" s="30"/>
      <c r="OCA24" s="93"/>
      <c r="OCB24" s="30"/>
      <c r="OCG24" s="93"/>
      <c r="OCH24" s="30"/>
      <c r="OCM24" s="93"/>
      <c r="OCN24" s="30"/>
      <c r="OCS24" s="93"/>
      <c r="OCT24" s="30"/>
      <c r="OCY24" s="93"/>
      <c r="OCZ24" s="30"/>
      <c r="ODE24" s="93"/>
      <c r="ODF24" s="30"/>
      <c r="ODK24" s="93"/>
      <c r="ODL24" s="30"/>
      <c r="ODQ24" s="93"/>
      <c r="ODR24" s="30"/>
      <c r="ODW24" s="93"/>
      <c r="ODX24" s="30"/>
      <c r="OEC24" s="93"/>
      <c r="OED24" s="30"/>
      <c r="OEI24" s="93"/>
      <c r="OEJ24" s="30"/>
      <c r="OEO24" s="93"/>
      <c r="OEP24" s="30"/>
      <c r="OEU24" s="93"/>
      <c r="OEV24" s="30"/>
      <c r="OFA24" s="93"/>
      <c r="OFB24" s="30"/>
      <c r="OFG24" s="93"/>
      <c r="OFH24" s="30"/>
      <c r="OFM24" s="93"/>
      <c r="OFN24" s="30"/>
      <c r="OFS24" s="93"/>
      <c r="OFT24" s="30"/>
      <c r="OFY24" s="93"/>
      <c r="OFZ24" s="30"/>
      <c r="OGE24" s="93"/>
      <c r="OGF24" s="30"/>
      <c r="OGK24" s="93"/>
      <c r="OGL24" s="30"/>
      <c r="OGQ24" s="93"/>
      <c r="OGR24" s="30"/>
      <c r="OGW24" s="93"/>
      <c r="OGX24" s="30"/>
      <c r="OHC24" s="93"/>
      <c r="OHD24" s="30"/>
      <c r="OHI24" s="93"/>
      <c r="OHJ24" s="30"/>
      <c r="OHO24" s="93"/>
      <c r="OHP24" s="30"/>
      <c r="OHU24" s="93"/>
      <c r="OHV24" s="30"/>
      <c r="OIA24" s="93"/>
      <c r="OIB24" s="30"/>
      <c r="OIG24" s="93"/>
      <c r="OIH24" s="30"/>
      <c r="OIM24" s="93"/>
      <c r="OIN24" s="30"/>
      <c r="OIS24" s="93"/>
      <c r="OIT24" s="30"/>
      <c r="OIY24" s="93"/>
      <c r="OIZ24" s="30"/>
      <c r="OJE24" s="93"/>
      <c r="OJF24" s="30"/>
      <c r="OJK24" s="93"/>
      <c r="OJL24" s="30"/>
      <c r="OJQ24" s="93"/>
      <c r="OJR24" s="30"/>
      <c r="OJW24" s="93"/>
      <c r="OJX24" s="30"/>
      <c r="OKC24" s="93"/>
      <c r="OKD24" s="30"/>
      <c r="OKI24" s="93"/>
      <c r="OKJ24" s="30"/>
      <c r="OKO24" s="93"/>
      <c r="OKP24" s="30"/>
      <c r="OKU24" s="93"/>
      <c r="OKV24" s="30"/>
      <c r="OLA24" s="93"/>
      <c r="OLB24" s="30"/>
      <c r="OLG24" s="93"/>
      <c r="OLH24" s="30"/>
      <c r="OLM24" s="93"/>
      <c r="OLN24" s="30"/>
      <c r="OLS24" s="93"/>
      <c r="OLT24" s="30"/>
      <c r="OLY24" s="93"/>
      <c r="OLZ24" s="30"/>
      <c r="OME24" s="93"/>
      <c r="OMF24" s="30"/>
      <c r="OMK24" s="93"/>
      <c r="OML24" s="30"/>
      <c r="OMQ24" s="93"/>
      <c r="OMR24" s="30"/>
      <c r="OMW24" s="93"/>
      <c r="OMX24" s="30"/>
      <c r="ONC24" s="93"/>
      <c r="OND24" s="30"/>
      <c r="ONI24" s="93"/>
      <c r="ONJ24" s="30"/>
      <c r="ONO24" s="93"/>
      <c r="ONP24" s="30"/>
      <c r="ONU24" s="93"/>
      <c r="ONV24" s="30"/>
      <c r="OOA24" s="93"/>
      <c r="OOB24" s="30"/>
      <c r="OOG24" s="93"/>
      <c r="OOH24" s="30"/>
      <c r="OOM24" s="93"/>
      <c r="OON24" s="30"/>
      <c r="OOS24" s="93"/>
      <c r="OOT24" s="30"/>
      <c r="OOY24" s="93"/>
      <c r="OOZ24" s="30"/>
      <c r="OPE24" s="93"/>
      <c r="OPF24" s="30"/>
      <c r="OPK24" s="93"/>
      <c r="OPL24" s="30"/>
      <c r="OPQ24" s="93"/>
      <c r="OPR24" s="30"/>
      <c r="OPW24" s="93"/>
      <c r="OPX24" s="30"/>
      <c r="OQC24" s="93"/>
      <c r="OQD24" s="30"/>
      <c r="OQI24" s="93"/>
      <c r="OQJ24" s="30"/>
      <c r="OQO24" s="93"/>
      <c r="OQP24" s="30"/>
      <c r="OQU24" s="93"/>
      <c r="OQV24" s="30"/>
      <c r="ORA24" s="93"/>
      <c r="ORB24" s="30"/>
      <c r="ORG24" s="93"/>
      <c r="ORH24" s="30"/>
      <c r="ORM24" s="93"/>
      <c r="ORN24" s="30"/>
      <c r="ORS24" s="93"/>
      <c r="ORT24" s="30"/>
      <c r="ORY24" s="93"/>
      <c r="ORZ24" s="30"/>
      <c r="OSE24" s="93"/>
      <c r="OSF24" s="30"/>
      <c r="OSK24" s="93"/>
      <c r="OSL24" s="30"/>
      <c r="OSQ24" s="93"/>
      <c r="OSR24" s="30"/>
      <c r="OSW24" s="93"/>
      <c r="OSX24" s="30"/>
      <c r="OTC24" s="93"/>
      <c r="OTD24" s="30"/>
      <c r="OTI24" s="93"/>
      <c r="OTJ24" s="30"/>
      <c r="OTO24" s="93"/>
      <c r="OTP24" s="30"/>
      <c r="OTU24" s="93"/>
      <c r="OTV24" s="30"/>
      <c r="OUA24" s="93"/>
      <c r="OUB24" s="30"/>
      <c r="OUG24" s="93"/>
      <c r="OUH24" s="30"/>
      <c r="OUM24" s="93"/>
      <c r="OUN24" s="30"/>
      <c r="OUS24" s="93"/>
      <c r="OUT24" s="30"/>
      <c r="OUY24" s="93"/>
      <c r="OUZ24" s="30"/>
      <c r="OVE24" s="93"/>
      <c r="OVF24" s="30"/>
      <c r="OVK24" s="93"/>
      <c r="OVL24" s="30"/>
      <c r="OVQ24" s="93"/>
      <c r="OVR24" s="30"/>
      <c r="OVW24" s="93"/>
      <c r="OVX24" s="30"/>
      <c r="OWC24" s="93"/>
      <c r="OWD24" s="30"/>
      <c r="OWI24" s="93"/>
      <c r="OWJ24" s="30"/>
      <c r="OWO24" s="93"/>
      <c r="OWP24" s="30"/>
      <c r="OWU24" s="93"/>
      <c r="OWV24" s="30"/>
      <c r="OXA24" s="93"/>
      <c r="OXB24" s="30"/>
      <c r="OXG24" s="93"/>
      <c r="OXH24" s="30"/>
      <c r="OXM24" s="93"/>
      <c r="OXN24" s="30"/>
      <c r="OXS24" s="93"/>
      <c r="OXT24" s="30"/>
      <c r="OXY24" s="93"/>
      <c r="OXZ24" s="30"/>
      <c r="OYE24" s="93"/>
      <c r="OYF24" s="30"/>
      <c r="OYK24" s="93"/>
      <c r="OYL24" s="30"/>
      <c r="OYQ24" s="93"/>
      <c r="OYR24" s="30"/>
      <c r="OYW24" s="93"/>
      <c r="OYX24" s="30"/>
      <c r="OZC24" s="93"/>
      <c r="OZD24" s="30"/>
      <c r="OZI24" s="93"/>
      <c r="OZJ24" s="30"/>
      <c r="OZO24" s="93"/>
      <c r="OZP24" s="30"/>
      <c r="OZU24" s="93"/>
      <c r="OZV24" s="30"/>
      <c r="PAA24" s="93"/>
      <c r="PAB24" s="30"/>
      <c r="PAG24" s="93"/>
      <c r="PAH24" s="30"/>
      <c r="PAM24" s="93"/>
      <c r="PAN24" s="30"/>
      <c r="PAS24" s="93"/>
      <c r="PAT24" s="30"/>
      <c r="PAY24" s="93"/>
      <c r="PAZ24" s="30"/>
      <c r="PBE24" s="93"/>
      <c r="PBF24" s="30"/>
      <c r="PBK24" s="93"/>
      <c r="PBL24" s="30"/>
      <c r="PBQ24" s="93"/>
      <c r="PBR24" s="30"/>
      <c r="PBW24" s="93"/>
      <c r="PBX24" s="30"/>
      <c r="PCC24" s="93"/>
      <c r="PCD24" s="30"/>
      <c r="PCI24" s="93"/>
      <c r="PCJ24" s="30"/>
      <c r="PCO24" s="93"/>
      <c r="PCP24" s="30"/>
      <c r="PCU24" s="93"/>
      <c r="PCV24" s="30"/>
      <c r="PDA24" s="93"/>
      <c r="PDB24" s="30"/>
      <c r="PDG24" s="93"/>
      <c r="PDH24" s="30"/>
      <c r="PDM24" s="93"/>
      <c r="PDN24" s="30"/>
      <c r="PDS24" s="93"/>
      <c r="PDT24" s="30"/>
      <c r="PDY24" s="93"/>
      <c r="PDZ24" s="30"/>
      <c r="PEE24" s="93"/>
      <c r="PEF24" s="30"/>
      <c r="PEK24" s="93"/>
      <c r="PEL24" s="30"/>
      <c r="PEQ24" s="93"/>
      <c r="PER24" s="30"/>
      <c r="PEW24" s="93"/>
      <c r="PEX24" s="30"/>
      <c r="PFC24" s="93"/>
      <c r="PFD24" s="30"/>
      <c r="PFI24" s="93"/>
      <c r="PFJ24" s="30"/>
      <c r="PFO24" s="93"/>
      <c r="PFP24" s="30"/>
      <c r="PFU24" s="93"/>
      <c r="PFV24" s="30"/>
      <c r="PGA24" s="93"/>
      <c r="PGB24" s="30"/>
      <c r="PGG24" s="93"/>
      <c r="PGH24" s="30"/>
      <c r="PGM24" s="93"/>
      <c r="PGN24" s="30"/>
      <c r="PGS24" s="93"/>
      <c r="PGT24" s="30"/>
      <c r="PGY24" s="93"/>
      <c r="PGZ24" s="30"/>
      <c r="PHE24" s="93"/>
      <c r="PHF24" s="30"/>
      <c r="PHK24" s="93"/>
      <c r="PHL24" s="30"/>
      <c r="PHQ24" s="93"/>
      <c r="PHR24" s="30"/>
      <c r="PHW24" s="93"/>
      <c r="PHX24" s="30"/>
      <c r="PIC24" s="93"/>
      <c r="PID24" s="30"/>
      <c r="PII24" s="93"/>
      <c r="PIJ24" s="30"/>
      <c r="PIO24" s="93"/>
      <c r="PIP24" s="30"/>
      <c r="PIU24" s="93"/>
      <c r="PIV24" s="30"/>
      <c r="PJA24" s="93"/>
      <c r="PJB24" s="30"/>
      <c r="PJG24" s="93"/>
      <c r="PJH24" s="30"/>
      <c r="PJM24" s="93"/>
      <c r="PJN24" s="30"/>
      <c r="PJS24" s="93"/>
      <c r="PJT24" s="30"/>
      <c r="PJY24" s="93"/>
      <c r="PJZ24" s="30"/>
      <c r="PKE24" s="93"/>
      <c r="PKF24" s="30"/>
      <c r="PKK24" s="93"/>
      <c r="PKL24" s="30"/>
      <c r="PKQ24" s="93"/>
      <c r="PKR24" s="30"/>
      <c r="PKW24" s="93"/>
      <c r="PKX24" s="30"/>
      <c r="PLC24" s="93"/>
      <c r="PLD24" s="30"/>
      <c r="PLI24" s="93"/>
      <c r="PLJ24" s="30"/>
      <c r="PLO24" s="93"/>
      <c r="PLP24" s="30"/>
      <c r="PLU24" s="93"/>
      <c r="PLV24" s="30"/>
      <c r="PMA24" s="93"/>
      <c r="PMB24" s="30"/>
      <c r="PMG24" s="93"/>
      <c r="PMH24" s="30"/>
      <c r="PMM24" s="93"/>
      <c r="PMN24" s="30"/>
      <c r="PMS24" s="93"/>
      <c r="PMT24" s="30"/>
      <c r="PMY24" s="93"/>
      <c r="PMZ24" s="30"/>
      <c r="PNE24" s="93"/>
      <c r="PNF24" s="30"/>
      <c r="PNK24" s="93"/>
      <c r="PNL24" s="30"/>
      <c r="PNQ24" s="93"/>
      <c r="PNR24" s="30"/>
      <c r="PNW24" s="93"/>
      <c r="PNX24" s="30"/>
      <c r="POC24" s="93"/>
      <c r="POD24" s="30"/>
      <c r="POI24" s="93"/>
      <c r="POJ24" s="30"/>
      <c r="POO24" s="93"/>
      <c r="POP24" s="30"/>
      <c r="POU24" s="93"/>
      <c r="POV24" s="30"/>
      <c r="PPA24" s="93"/>
      <c r="PPB24" s="30"/>
      <c r="PPG24" s="93"/>
      <c r="PPH24" s="30"/>
      <c r="PPM24" s="93"/>
      <c r="PPN24" s="30"/>
      <c r="PPS24" s="93"/>
      <c r="PPT24" s="30"/>
      <c r="PPY24" s="93"/>
      <c r="PPZ24" s="30"/>
      <c r="PQE24" s="93"/>
      <c r="PQF24" s="30"/>
      <c r="PQK24" s="93"/>
      <c r="PQL24" s="30"/>
      <c r="PQQ24" s="93"/>
      <c r="PQR24" s="30"/>
      <c r="PQW24" s="93"/>
      <c r="PQX24" s="30"/>
      <c r="PRC24" s="93"/>
      <c r="PRD24" s="30"/>
      <c r="PRI24" s="93"/>
      <c r="PRJ24" s="30"/>
      <c r="PRO24" s="93"/>
      <c r="PRP24" s="30"/>
      <c r="PRU24" s="93"/>
      <c r="PRV24" s="30"/>
      <c r="PSA24" s="93"/>
      <c r="PSB24" s="30"/>
      <c r="PSG24" s="93"/>
      <c r="PSH24" s="30"/>
      <c r="PSM24" s="93"/>
      <c r="PSN24" s="30"/>
      <c r="PSS24" s="93"/>
      <c r="PST24" s="30"/>
      <c r="PSY24" s="93"/>
      <c r="PSZ24" s="30"/>
      <c r="PTE24" s="93"/>
      <c r="PTF24" s="30"/>
      <c r="PTK24" s="93"/>
      <c r="PTL24" s="30"/>
      <c r="PTQ24" s="93"/>
      <c r="PTR24" s="30"/>
      <c r="PTW24" s="93"/>
      <c r="PTX24" s="30"/>
      <c r="PUC24" s="93"/>
      <c r="PUD24" s="30"/>
      <c r="PUI24" s="93"/>
      <c r="PUJ24" s="30"/>
      <c r="PUO24" s="93"/>
      <c r="PUP24" s="30"/>
      <c r="PUU24" s="93"/>
      <c r="PUV24" s="30"/>
      <c r="PVA24" s="93"/>
      <c r="PVB24" s="30"/>
      <c r="PVG24" s="93"/>
      <c r="PVH24" s="30"/>
      <c r="PVM24" s="93"/>
      <c r="PVN24" s="30"/>
      <c r="PVS24" s="93"/>
      <c r="PVT24" s="30"/>
      <c r="PVY24" s="93"/>
      <c r="PVZ24" s="30"/>
      <c r="PWE24" s="93"/>
      <c r="PWF24" s="30"/>
      <c r="PWK24" s="93"/>
      <c r="PWL24" s="30"/>
      <c r="PWQ24" s="93"/>
      <c r="PWR24" s="30"/>
      <c r="PWW24" s="93"/>
      <c r="PWX24" s="30"/>
      <c r="PXC24" s="93"/>
      <c r="PXD24" s="30"/>
      <c r="PXI24" s="93"/>
      <c r="PXJ24" s="30"/>
      <c r="PXO24" s="93"/>
      <c r="PXP24" s="30"/>
      <c r="PXU24" s="93"/>
      <c r="PXV24" s="30"/>
      <c r="PYA24" s="93"/>
      <c r="PYB24" s="30"/>
      <c r="PYG24" s="93"/>
      <c r="PYH24" s="30"/>
      <c r="PYM24" s="93"/>
      <c r="PYN24" s="30"/>
      <c r="PYS24" s="93"/>
      <c r="PYT24" s="30"/>
      <c r="PYY24" s="93"/>
      <c r="PYZ24" s="30"/>
      <c r="PZE24" s="93"/>
      <c r="PZF24" s="30"/>
      <c r="PZK24" s="93"/>
      <c r="PZL24" s="30"/>
      <c r="PZQ24" s="93"/>
      <c r="PZR24" s="30"/>
      <c r="PZW24" s="93"/>
      <c r="PZX24" s="30"/>
      <c r="QAC24" s="93"/>
      <c r="QAD24" s="30"/>
      <c r="QAI24" s="93"/>
      <c r="QAJ24" s="30"/>
      <c r="QAO24" s="93"/>
      <c r="QAP24" s="30"/>
      <c r="QAU24" s="93"/>
      <c r="QAV24" s="30"/>
      <c r="QBA24" s="93"/>
      <c r="QBB24" s="30"/>
      <c r="QBG24" s="93"/>
      <c r="QBH24" s="30"/>
      <c r="QBM24" s="93"/>
      <c r="QBN24" s="30"/>
      <c r="QBS24" s="93"/>
      <c r="QBT24" s="30"/>
      <c r="QBY24" s="93"/>
      <c r="QBZ24" s="30"/>
      <c r="QCE24" s="93"/>
      <c r="QCF24" s="30"/>
      <c r="QCK24" s="93"/>
      <c r="QCL24" s="30"/>
      <c r="QCQ24" s="93"/>
      <c r="QCR24" s="30"/>
      <c r="QCW24" s="93"/>
      <c r="QCX24" s="30"/>
      <c r="QDC24" s="93"/>
      <c r="QDD24" s="30"/>
      <c r="QDI24" s="93"/>
      <c r="QDJ24" s="30"/>
      <c r="QDO24" s="93"/>
      <c r="QDP24" s="30"/>
      <c r="QDU24" s="93"/>
      <c r="QDV24" s="30"/>
      <c r="QEA24" s="93"/>
      <c r="QEB24" s="30"/>
      <c r="QEG24" s="93"/>
      <c r="QEH24" s="30"/>
      <c r="QEM24" s="93"/>
      <c r="QEN24" s="30"/>
      <c r="QES24" s="93"/>
      <c r="QET24" s="30"/>
      <c r="QEY24" s="93"/>
      <c r="QEZ24" s="30"/>
      <c r="QFE24" s="93"/>
      <c r="QFF24" s="30"/>
      <c r="QFK24" s="93"/>
      <c r="QFL24" s="30"/>
      <c r="QFQ24" s="93"/>
      <c r="QFR24" s="30"/>
      <c r="QFW24" s="93"/>
      <c r="QFX24" s="30"/>
      <c r="QGC24" s="93"/>
      <c r="QGD24" s="30"/>
      <c r="QGI24" s="93"/>
      <c r="QGJ24" s="30"/>
      <c r="QGO24" s="93"/>
      <c r="QGP24" s="30"/>
      <c r="QGU24" s="93"/>
      <c r="QGV24" s="30"/>
      <c r="QHA24" s="93"/>
      <c r="QHB24" s="30"/>
      <c r="QHG24" s="93"/>
      <c r="QHH24" s="30"/>
      <c r="QHM24" s="93"/>
      <c r="QHN24" s="30"/>
      <c r="QHS24" s="93"/>
      <c r="QHT24" s="30"/>
      <c r="QHY24" s="93"/>
      <c r="QHZ24" s="30"/>
      <c r="QIE24" s="93"/>
      <c r="QIF24" s="30"/>
      <c r="QIK24" s="93"/>
      <c r="QIL24" s="30"/>
      <c r="QIQ24" s="93"/>
      <c r="QIR24" s="30"/>
      <c r="QIW24" s="93"/>
      <c r="QIX24" s="30"/>
      <c r="QJC24" s="93"/>
      <c r="QJD24" s="30"/>
      <c r="QJI24" s="93"/>
      <c r="QJJ24" s="30"/>
      <c r="QJO24" s="93"/>
      <c r="QJP24" s="30"/>
      <c r="QJU24" s="93"/>
      <c r="QJV24" s="30"/>
      <c r="QKA24" s="93"/>
      <c r="QKB24" s="30"/>
      <c r="QKG24" s="93"/>
      <c r="QKH24" s="30"/>
      <c r="QKM24" s="93"/>
      <c r="QKN24" s="30"/>
      <c r="QKS24" s="93"/>
      <c r="QKT24" s="30"/>
      <c r="QKY24" s="93"/>
      <c r="QKZ24" s="30"/>
      <c r="QLE24" s="93"/>
      <c r="QLF24" s="30"/>
      <c r="QLK24" s="93"/>
      <c r="QLL24" s="30"/>
      <c r="QLQ24" s="93"/>
      <c r="QLR24" s="30"/>
      <c r="QLW24" s="93"/>
      <c r="QLX24" s="30"/>
      <c r="QMC24" s="93"/>
      <c r="QMD24" s="30"/>
      <c r="QMI24" s="93"/>
      <c r="QMJ24" s="30"/>
      <c r="QMO24" s="93"/>
      <c r="QMP24" s="30"/>
      <c r="QMU24" s="93"/>
      <c r="QMV24" s="30"/>
      <c r="QNA24" s="93"/>
      <c r="QNB24" s="30"/>
      <c r="QNG24" s="93"/>
      <c r="QNH24" s="30"/>
      <c r="QNM24" s="93"/>
      <c r="QNN24" s="30"/>
      <c r="QNS24" s="93"/>
      <c r="QNT24" s="30"/>
      <c r="QNY24" s="93"/>
      <c r="QNZ24" s="30"/>
      <c r="QOE24" s="93"/>
      <c r="QOF24" s="30"/>
      <c r="QOK24" s="93"/>
      <c r="QOL24" s="30"/>
      <c r="QOQ24" s="93"/>
      <c r="QOR24" s="30"/>
      <c r="QOW24" s="93"/>
      <c r="QOX24" s="30"/>
      <c r="QPC24" s="93"/>
      <c r="QPD24" s="30"/>
      <c r="QPI24" s="93"/>
      <c r="QPJ24" s="30"/>
      <c r="QPO24" s="93"/>
      <c r="QPP24" s="30"/>
      <c r="QPU24" s="93"/>
      <c r="QPV24" s="30"/>
      <c r="QQA24" s="93"/>
      <c r="QQB24" s="30"/>
      <c r="QQG24" s="93"/>
      <c r="QQH24" s="30"/>
      <c r="QQM24" s="93"/>
      <c r="QQN24" s="30"/>
      <c r="QQS24" s="93"/>
      <c r="QQT24" s="30"/>
      <c r="QQY24" s="93"/>
      <c r="QQZ24" s="30"/>
      <c r="QRE24" s="93"/>
      <c r="QRF24" s="30"/>
      <c r="QRK24" s="93"/>
      <c r="QRL24" s="30"/>
      <c r="QRQ24" s="93"/>
      <c r="QRR24" s="30"/>
      <c r="QRW24" s="93"/>
      <c r="QRX24" s="30"/>
      <c r="QSC24" s="93"/>
      <c r="QSD24" s="30"/>
      <c r="QSI24" s="93"/>
      <c r="QSJ24" s="30"/>
      <c r="QSO24" s="93"/>
      <c r="QSP24" s="30"/>
      <c r="QSU24" s="93"/>
      <c r="QSV24" s="30"/>
      <c r="QTA24" s="93"/>
      <c r="QTB24" s="30"/>
      <c r="QTG24" s="93"/>
      <c r="QTH24" s="30"/>
      <c r="QTM24" s="93"/>
      <c r="QTN24" s="30"/>
      <c r="QTS24" s="93"/>
      <c r="QTT24" s="30"/>
      <c r="QTY24" s="93"/>
      <c r="QTZ24" s="30"/>
      <c r="QUE24" s="93"/>
      <c r="QUF24" s="30"/>
      <c r="QUK24" s="93"/>
      <c r="QUL24" s="30"/>
      <c r="QUQ24" s="93"/>
      <c r="QUR24" s="30"/>
      <c r="QUW24" s="93"/>
      <c r="QUX24" s="30"/>
      <c r="QVC24" s="93"/>
      <c r="QVD24" s="30"/>
      <c r="QVI24" s="93"/>
      <c r="QVJ24" s="30"/>
      <c r="QVO24" s="93"/>
      <c r="QVP24" s="30"/>
      <c r="QVU24" s="93"/>
      <c r="QVV24" s="30"/>
      <c r="QWA24" s="93"/>
      <c r="QWB24" s="30"/>
      <c r="QWG24" s="93"/>
      <c r="QWH24" s="30"/>
      <c r="QWM24" s="93"/>
      <c r="QWN24" s="30"/>
      <c r="QWS24" s="93"/>
      <c r="QWT24" s="30"/>
      <c r="QWY24" s="93"/>
      <c r="QWZ24" s="30"/>
      <c r="QXE24" s="93"/>
      <c r="QXF24" s="30"/>
      <c r="QXK24" s="93"/>
      <c r="QXL24" s="30"/>
      <c r="QXQ24" s="93"/>
      <c r="QXR24" s="30"/>
      <c r="QXW24" s="93"/>
      <c r="QXX24" s="30"/>
      <c r="QYC24" s="93"/>
      <c r="QYD24" s="30"/>
      <c r="QYI24" s="93"/>
      <c r="QYJ24" s="30"/>
      <c r="QYO24" s="93"/>
      <c r="QYP24" s="30"/>
      <c r="QYU24" s="93"/>
      <c r="QYV24" s="30"/>
      <c r="QZA24" s="93"/>
      <c r="QZB24" s="30"/>
      <c r="QZG24" s="93"/>
      <c r="QZH24" s="30"/>
      <c r="QZM24" s="93"/>
      <c r="QZN24" s="30"/>
      <c r="QZS24" s="93"/>
      <c r="QZT24" s="30"/>
      <c r="QZY24" s="93"/>
      <c r="QZZ24" s="30"/>
      <c r="RAE24" s="93"/>
      <c r="RAF24" s="30"/>
      <c r="RAK24" s="93"/>
      <c r="RAL24" s="30"/>
      <c r="RAQ24" s="93"/>
      <c r="RAR24" s="30"/>
      <c r="RAW24" s="93"/>
      <c r="RAX24" s="30"/>
      <c r="RBC24" s="93"/>
      <c r="RBD24" s="30"/>
      <c r="RBI24" s="93"/>
      <c r="RBJ24" s="30"/>
      <c r="RBO24" s="93"/>
      <c r="RBP24" s="30"/>
      <c r="RBU24" s="93"/>
      <c r="RBV24" s="30"/>
      <c r="RCA24" s="93"/>
      <c r="RCB24" s="30"/>
      <c r="RCG24" s="93"/>
      <c r="RCH24" s="30"/>
      <c r="RCM24" s="93"/>
      <c r="RCN24" s="30"/>
      <c r="RCS24" s="93"/>
      <c r="RCT24" s="30"/>
      <c r="RCY24" s="93"/>
      <c r="RCZ24" s="30"/>
      <c r="RDE24" s="93"/>
      <c r="RDF24" s="30"/>
      <c r="RDK24" s="93"/>
      <c r="RDL24" s="30"/>
      <c r="RDQ24" s="93"/>
      <c r="RDR24" s="30"/>
      <c r="RDW24" s="93"/>
      <c r="RDX24" s="30"/>
      <c r="REC24" s="93"/>
      <c r="RED24" s="30"/>
      <c r="REI24" s="93"/>
      <c r="REJ24" s="30"/>
      <c r="REO24" s="93"/>
      <c r="REP24" s="30"/>
      <c r="REU24" s="93"/>
      <c r="REV24" s="30"/>
      <c r="RFA24" s="93"/>
      <c r="RFB24" s="30"/>
      <c r="RFG24" s="93"/>
      <c r="RFH24" s="30"/>
      <c r="RFM24" s="93"/>
      <c r="RFN24" s="30"/>
      <c r="RFS24" s="93"/>
      <c r="RFT24" s="30"/>
      <c r="RFY24" s="93"/>
      <c r="RFZ24" s="30"/>
      <c r="RGE24" s="93"/>
      <c r="RGF24" s="30"/>
      <c r="RGK24" s="93"/>
      <c r="RGL24" s="30"/>
      <c r="RGQ24" s="93"/>
      <c r="RGR24" s="30"/>
      <c r="RGW24" s="93"/>
      <c r="RGX24" s="30"/>
      <c r="RHC24" s="93"/>
      <c r="RHD24" s="30"/>
      <c r="RHI24" s="93"/>
      <c r="RHJ24" s="30"/>
      <c r="RHO24" s="93"/>
      <c r="RHP24" s="30"/>
      <c r="RHU24" s="93"/>
      <c r="RHV24" s="30"/>
      <c r="RIA24" s="93"/>
      <c r="RIB24" s="30"/>
      <c r="RIG24" s="93"/>
      <c r="RIH24" s="30"/>
      <c r="RIM24" s="93"/>
      <c r="RIN24" s="30"/>
      <c r="RIS24" s="93"/>
      <c r="RIT24" s="30"/>
      <c r="RIY24" s="93"/>
      <c r="RIZ24" s="30"/>
      <c r="RJE24" s="93"/>
      <c r="RJF24" s="30"/>
      <c r="RJK24" s="93"/>
      <c r="RJL24" s="30"/>
      <c r="RJQ24" s="93"/>
      <c r="RJR24" s="30"/>
      <c r="RJW24" s="93"/>
      <c r="RJX24" s="30"/>
      <c r="RKC24" s="93"/>
      <c r="RKD24" s="30"/>
      <c r="RKI24" s="93"/>
      <c r="RKJ24" s="30"/>
      <c r="RKO24" s="93"/>
      <c r="RKP24" s="30"/>
      <c r="RKU24" s="93"/>
      <c r="RKV24" s="30"/>
      <c r="RLA24" s="93"/>
      <c r="RLB24" s="30"/>
      <c r="RLG24" s="93"/>
      <c r="RLH24" s="30"/>
      <c r="RLM24" s="93"/>
      <c r="RLN24" s="30"/>
      <c r="RLS24" s="93"/>
      <c r="RLT24" s="30"/>
      <c r="RLY24" s="93"/>
      <c r="RLZ24" s="30"/>
      <c r="RME24" s="93"/>
      <c r="RMF24" s="30"/>
      <c r="RMK24" s="93"/>
      <c r="RML24" s="30"/>
      <c r="RMQ24" s="93"/>
      <c r="RMR24" s="30"/>
      <c r="RMW24" s="93"/>
      <c r="RMX24" s="30"/>
      <c r="RNC24" s="93"/>
      <c r="RND24" s="30"/>
      <c r="RNI24" s="93"/>
      <c r="RNJ24" s="30"/>
      <c r="RNO24" s="93"/>
      <c r="RNP24" s="30"/>
      <c r="RNU24" s="93"/>
      <c r="RNV24" s="30"/>
      <c r="ROA24" s="93"/>
      <c r="ROB24" s="30"/>
      <c r="ROG24" s="93"/>
      <c r="ROH24" s="30"/>
      <c r="ROM24" s="93"/>
      <c r="RON24" s="30"/>
      <c r="ROS24" s="93"/>
      <c r="ROT24" s="30"/>
      <c r="ROY24" s="93"/>
      <c r="ROZ24" s="30"/>
      <c r="RPE24" s="93"/>
      <c r="RPF24" s="30"/>
      <c r="RPK24" s="93"/>
      <c r="RPL24" s="30"/>
      <c r="RPQ24" s="93"/>
      <c r="RPR24" s="30"/>
      <c r="RPW24" s="93"/>
      <c r="RPX24" s="30"/>
      <c r="RQC24" s="93"/>
      <c r="RQD24" s="30"/>
      <c r="RQI24" s="93"/>
      <c r="RQJ24" s="30"/>
      <c r="RQO24" s="93"/>
      <c r="RQP24" s="30"/>
      <c r="RQU24" s="93"/>
      <c r="RQV24" s="30"/>
      <c r="RRA24" s="93"/>
      <c r="RRB24" s="30"/>
      <c r="RRG24" s="93"/>
      <c r="RRH24" s="30"/>
      <c r="RRM24" s="93"/>
      <c r="RRN24" s="30"/>
      <c r="RRS24" s="93"/>
      <c r="RRT24" s="30"/>
      <c r="RRY24" s="93"/>
      <c r="RRZ24" s="30"/>
      <c r="RSE24" s="93"/>
      <c r="RSF24" s="30"/>
      <c r="RSK24" s="93"/>
      <c r="RSL24" s="30"/>
      <c r="RSQ24" s="93"/>
      <c r="RSR24" s="30"/>
      <c r="RSW24" s="93"/>
      <c r="RSX24" s="30"/>
      <c r="RTC24" s="93"/>
      <c r="RTD24" s="30"/>
      <c r="RTI24" s="93"/>
      <c r="RTJ24" s="30"/>
      <c r="RTO24" s="93"/>
      <c r="RTP24" s="30"/>
      <c r="RTU24" s="93"/>
      <c r="RTV24" s="30"/>
      <c r="RUA24" s="93"/>
      <c r="RUB24" s="30"/>
      <c r="RUG24" s="93"/>
      <c r="RUH24" s="30"/>
      <c r="RUM24" s="93"/>
      <c r="RUN24" s="30"/>
      <c r="RUS24" s="93"/>
      <c r="RUT24" s="30"/>
      <c r="RUY24" s="93"/>
      <c r="RUZ24" s="30"/>
      <c r="RVE24" s="93"/>
      <c r="RVF24" s="30"/>
      <c r="RVK24" s="93"/>
      <c r="RVL24" s="30"/>
      <c r="RVQ24" s="93"/>
      <c r="RVR24" s="30"/>
      <c r="RVW24" s="93"/>
      <c r="RVX24" s="30"/>
      <c r="RWC24" s="93"/>
      <c r="RWD24" s="30"/>
      <c r="RWI24" s="93"/>
      <c r="RWJ24" s="30"/>
      <c r="RWO24" s="93"/>
      <c r="RWP24" s="30"/>
      <c r="RWU24" s="93"/>
      <c r="RWV24" s="30"/>
      <c r="RXA24" s="93"/>
      <c r="RXB24" s="30"/>
      <c r="RXG24" s="93"/>
      <c r="RXH24" s="30"/>
      <c r="RXM24" s="93"/>
      <c r="RXN24" s="30"/>
      <c r="RXS24" s="93"/>
      <c r="RXT24" s="30"/>
      <c r="RXY24" s="93"/>
      <c r="RXZ24" s="30"/>
      <c r="RYE24" s="93"/>
      <c r="RYF24" s="30"/>
      <c r="RYK24" s="93"/>
      <c r="RYL24" s="30"/>
      <c r="RYQ24" s="93"/>
      <c r="RYR24" s="30"/>
      <c r="RYW24" s="93"/>
      <c r="RYX24" s="30"/>
      <c r="RZC24" s="93"/>
      <c r="RZD24" s="30"/>
      <c r="RZI24" s="93"/>
      <c r="RZJ24" s="30"/>
      <c r="RZO24" s="93"/>
      <c r="RZP24" s="30"/>
      <c r="RZU24" s="93"/>
      <c r="RZV24" s="30"/>
      <c r="SAA24" s="93"/>
      <c r="SAB24" s="30"/>
      <c r="SAG24" s="93"/>
      <c r="SAH24" s="30"/>
      <c r="SAM24" s="93"/>
      <c r="SAN24" s="30"/>
      <c r="SAS24" s="93"/>
      <c r="SAT24" s="30"/>
      <c r="SAY24" s="93"/>
      <c r="SAZ24" s="30"/>
      <c r="SBE24" s="93"/>
      <c r="SBF24" s="30"/>
      <c r="SBK24" s="93"/>
      <c r="SBL24" s="30"/>
      <c r="SBQ24" s="93"/>
      <c r="SBR24" s="30"/>
      <c r="SBW24" s="93"/>
      <c r="SBX24" s="30"/>
      <c r="SCC24" s="93"/>
      <c r="SCD24" s="30"/>
      <c r="SCI24" s="93"/>
      <c r="SCJ24" s="30"/>
      <c r="SCO24" s="93"/>
      <c r="SCP24" s="30"/>
      <c r="SCU24" s="93"/>
      <c r="SCV24" s="30"/>
      <c r="SDA24" s="93"/>
      <c r="SDB24" s="30"/>
      <c r="SDG24" s="93"/>
      <c r="SDH24" s="30"/>
      <c r="SDM24" s="93"/>
      <c r="SDN24" s="30"/>
      <c r="SDS24" s="93"/>
      <c r="SDT24" s="30"/>
      <c r="SDY24" s="93"/>
      <c r="SDZ24" s="30"/>
      <c r="SEE24" s="93"/>
      <c r="SEF24" s="30"/>
      <c r="SEK24" s="93"/>
      <c r="SEL24" s="30"/>
      <c r="SEQ24" s="93"/>
      <c r="SER24" s="30"/>
      <c r="SEW24" s="93"/>
      <c r="SEX24" s="30"/>
      <c r="SFC24" s="93"/>
      <c r="SFD24" s="30"/>
      <c r="SFI24" s="93"/>
      <c r="SFJ24" s="30"/>
      <c r="SFO24" s="93"/>
      <c r="SFP24" s="30"/>
      <c r="SFU24" s="93"/>
      <c r="SFV24" s="30"/>
      <c r="SGA24" s="93"/>
      <c r="SGB24" s="30"/>
      <c r="SGG24" s="93"/>
      <c r="SGH24" s="30"/>
      <c r="SGM24" s="93"/>
      <c r="SGN24" s="30"/>
      <c r="SGS24" s="93"/>
      <c r="SGT24" s="30"/>
      <c r="SGY24" s="93"/>
      <c r="SGZ24" s="30"/>
      <c r="SHE24" s="93"/>
      <c r="SHF24" s="30"/>
      <c r="SHK24" s="93"/>
      <c r="SHL24" s="30"/>
      <c r="SHQ24" s="93"/>
      <c r="SHR24" s="30"/>
      <c r="SHW24" s="93"/>
      <c r="SHX24" s="30"/>
      <c r="SIC24" s="93"/>
      <c r="SID24" s="30"/>
      <c r="SII24" s="93"/>
      <c r="SIJ24" s="30"/>
      <c r="SIO24" s="93"/>
      <c r="SIP24" s="30"/>
      <c r="SIU24" s="93"/>
      <c r="SIV24" s="30"/>
      <c r="SJA24" s="93"/>
      <c r="SJB24" s="30"/>
      <c r="SJG24" s="93"/>
      <c r="SJH24" s="30"/>
      <c r="SJM24" s="93"/>
      <c r="SJN24" s="30"/>
      <c r="SJS24" s="93"/>
      <c r="SJT24" s="30"/>
      <c r="SJY24" s="93"/>
      <c r="SJZ24" s="30"/>
      <c r="SKE24" s="93"/>
      <c r="SKF24" s="30"/>
      <c r="SKK24" s="93"/>
      <c r="SKL24" s="30"/>
      <c r="SKQ24" s="93"/>
      <c r="SKR24" s="30"/>
      <c r="SKW24" s="93"/>
      <c r="SKX24" s="30"/>
      <c r="SLC24" s="93"/>
      <c r="SLD24" s="30"/>
      <c r="SLI24" s="93"/>
      <c r="SLJ24" s="30"/>
      <c r="SLO24" s="93"/>
      <c r="SLP24" s="30"/>
      <c r="SLU24" s="93"/>
      <c r="SLV24" s="30"/>
      <c r="SMA24" s="93"/>
      <c r="SMB24" s="30"/>
      <c r="SMG24" s="93"/>
      <c r="SMH24" s="30"/>
      <c r="SMM24" s="93"/>
      <c r="SMN24" s="30"/>
      <c r="SMS24" s="93"/>
      <c r="SMT24" s="30"/>
      <c r="SMY24" s="93"/>
      <c r="SMZ24" s="30"/>
      <c r="SNE24" s="93"/>
      <c r="SNF24" s="30"/>
      <c r="SNK24" s="93"/>
      <c r="SNL24" s="30"/>
      <c r="SNQ24" s="93"/>
      <c r="SNR24" s="30"/>
      <c r="SNW24" s="93"/>
      <c r="SNX24" s="30"/>
      <c r="SOC24" s="93"/>
      <c r="SOD24" s="30"/>
      <c r="SOI24" s="93"/>
      <c r="SOJ24" s="30"/>
      <c r="SOO24" s="93"/>
      <c r="SOP24" s="30"/>
      <c r="SOU24" s="93"/>
      <c r="SOV24" s="30"/>
      <c r="SPA24" s="93"/>
      <c r="SPB24" s="30"/>
      <c r="SPG24" s="93"/>
      <c r="SPH24" s="30"/>
      <c r="SPM24" s="93"/>
      <c r="SPN24" s="30"/>
      <c r="SPS24" s="93"/>
      <c r="SPT24" s="30"/>
      <c r="SPY24" s="93"/>
      <c r="SPZ24" s="30"/>
      <c r="SQE24" s="93"/>
      <c r="SQF24" s="30"/>
      <c r="SQK24" s="93"/>
      <c r="SQL24" s="30"/>
      <c r="SQQ24" s="93"/>
      <c r="SQR24" s="30"/>
      <c r="SQW24" s="93"/>
      <c r="SQX24" s="30"/>
      <c r="SRC24" s="93"/>
      <c r="SRD24" s="30"/>
      <c r="SRI24" s="93"/>
      <c r="SRJ24" s="30"/>
      <c r="SRO24" s="93"/>
      <c r="SRP24" s="30"/>
      <c r="SRU24" s="93"/>
      <c r="SRV24" s="30"/>
      <c r="SSA24" s="93"/>
      <c r="SSB24" s="30"/>
      <c r="SSG24" s="93"/>
      <c r="SSH24" s="30"/>
      <c r="SSM24" s="93"/>
      <c r="SSN24" s="30"/>
      <c r="SSS24" s="93"/>
      <c r="SST24" s="30"/>
      <c r="SSY24" s="93"/>
      <c r="SSZ24" s="30"/>
      <c r="STE24" s="93"/>
      <c r="STF24" s="30"/>
      <c r="STK24" s="93"/>
      <c r="STL24" s="30"/>
      <c r="STQ24" s="93"/>
      <c r="STR24" s="30"/>
      <c r="STW24" s="93"/>
      <c r="STX24" s="30"/>
      <c r="SUC24" s="93"/>
      <c r="SUD24" s="30"/>
      <c r="SUI24" s="93"/>
      <c r="SUJ24" s="30"/>
      <c r="SUO24" s="93"/>
      <c r="SUP24" s="30"/>
      <c r="SUU24" s="93"/>
      <c r="SUV24" s="30"/>
      <c r="SVA24" s="93"/>
      <c r="SVB24" s="30"/>
      <c r="SVG24" s="93"/>
      <c r="SVH24" s="30"/>
      <c r="SVM24" s="93"/>
      <c r="SVN24" s="30"/>
      <c r="SVS24" s="93"/>
      <c r="SVT24" s="30"/>
      <c r="SVY24" s="93"/>
      <c r="SVZ24" s="30"/>
      <c r="SWE24" s="93"/>
      <c r="SWF24" s="30"/>
      <c r="SWK24" s="93"/>
      <c r="SWL24" s="30"/>
      <c r="SWQ24" s="93"/>
      <c r="SWR24" s="30"/>
      <c r="SWW24" s="93"/>
      <c r="SWX24" s="30"/>
      <c r="SXC24" s="93"/>
      <c r="SXD24" s="30"/>
      <c r="SXI24" s="93"/>
      <c r="SXJ24" s="30"/>
      <c r="SXO24" s="93"/>
      <c r="SXP24" s="30"/>
      <c r="SXU24" s="93"/>
      <c r="SXV24" s="30"/>
      <c r="SYA24" s="93"/>
      <c r="SYB24" s="30"/>
      <c r="SYG24" s="93"/>
      <c r="SYH24" s="30"/>
      <c r="SYM24" s="93"/>
      <c r="SYN24" s="30"/>
      <c r="SYS24" s="93"/>
      <c r="SYT24" s="30"/>
      <c r="SYY24" s="93"/>
      <c r="SYZ24" s="30"/>
      <c r="SZE24" s="93"/>
      <c r="SZF24" s="30"/>
      <c r="SZK24" s="93"/>
      <c r="SZL24" s="30"/>
      <c r="SZQ24" s="93"/>
      <c r="SZR24" s="30"/>
      <c r="SZW24" s="93"/>
      <c r="SZX24" s="30"/>
      <c r="TAC24" s="93"/>
      <c r="TAD24" s="30"/>
      <c r="TAI24" s="93"/>
      <c r="TAJ24" s="30"/>
      <c r="TAO24" s="93"/>
      <c r="TAP24" s="30"/>
      <c r="TAU24" s="93"/>
      <c r="TAV24" s="30"/>
      <c r="TBA24" s="93"/>
      <c r="TBB24" s="30"/>
      <c r="TBG24" s="93"/>
      <c r="TBH24" s="30"/>
      <c r="TBM24" s="93"/>
      <c r="TBN24" s="30"/>
      <c r="TBS24" s="93"/>
      <c r="TBT24" s="30"/>
      <c r="TBY24" s="93"/>
      <c r="TBZ24" s="30"/>
      <c r="TCE24" s="93"/>
      <c r="TCF24" s="30"/>
      <c r="TCK24" s="93"/>
      <c r="TCL24" s="30"/>
      <c r="TCQ24" s="93"/>
      <c r="TCR24" s="30"/>
      <c r="TCW24" s="93"/>
      <c r="TCX24" s="30"/>
      <c r="TDC24" s="93"/>
      <c r="TDD24" s="30"/>
      <c r="TDI24" s="93"/>
      <c r="TDJ24" s="30"/>
      <c r="TDO24" s="93"/>
      <c r="TDP24" s="30"/>
      <c r="TDU24" s="93"/>
      <c r="TDV24" s="30"/>
      <c r="TEA24" s="93"/>
      <c r="TEB24" s="30"/>
      <c r="TEG24" s="93"/>
      <c r="TEH24" s="30"/>
      <c r="TEM24" s="93"/>
      <c r="TEN24" s="30"/>
      <c r="TES24" s="93"/>
      <c r="TET24" s="30"/>
      <c r="TEY24" s="93"/>
      <c r="TEZ24" s="30"/>
      <c r="TFE24" s="93"/>
      <c r="TFF24" s="30"/>
      <c r="TFK24" s="93"/>
      <c r="TFL24" s="30"/>
      <c r="TFQ24" s="93"/>
      <c r="TFR24" s="30"/>
      <c r="TFW24" s="93"/>
      <c r="TFX24" s="30"/>
      <c r="TGC24" s="93"/>
      <c r="TGD24" s="30"/>
      <c r="TGI24" s="93"/>
      <c r="TGJ24" s="30"/>
      <c r="TGO24" s="93"/>
      <c r="TGP24" s="30"/>
      <c r="TGU24" s="93"/>
      <c r="TGV24" s="30"/>
      <c r="THA24" s="93"/>
      <c r="THB24" s="30"/>
      <c r="THG24" s="93"/>
      <c r="THH24" s="30"/>
      <c r="THM24" s="93"/>
      <c r="THN24" s="30"/>
      <c r="THS24" s="93"/>
      <c r="THT24" s="30"/>
      <c r="THY24" s="93"/>
      <c r="THZ24" s="30"/>
      <c r="TIE24" s="93"/>
      <c r="TIF24" s="30"/>
      <c r="TIK24" s="93"/>
      <c r="TIL24" s="30"/>
      <c r="TIQ24" s="93"/>
      <c r="TIR24" s="30"/>
      <c r="TIW24" s="93"/>
      <c r="TIX24" s="30"/>
      <c r="TJC24" s="93"/>
      <c r="TJD24" s="30"/>
      <c r="TJI24" s="93"/>
      <c r="TJJ24" s="30"/>
      <c r="TJO24" s="93"/>
      <c r="TJP24" s="30"/>
      <c r="TJU24" s="93"/>
      <c r="TJV24" s="30"/>
      <c r="TKA24" s="93"/>
      <c r="TKB24" s="30"/>
      <c r="TKG24" s="93"/>
      <c r="TKH24" s="30"/>
      <c r="TKM24" s="93"/>
      <c r="TKN24" s="30"/>
      <c r="TKS24" s="93"/>
      <c r="TKT24" s="30"/>
      <c r="TKY24" s="93"/>
      <c r="TKZ24" s="30"/>
      <c r="TLE24" s="93"/>
      <c r="TLF24" s="30"/>
      <c r="TLK24" s="93"/>
      <c r="TLL24" s="30"/>
      <c r="TLQ24" s="93"/>
      <c r="TLR24" s="30"/>
      <c r="TLW24" s="93"/>
      <c r="TLX24" s="30"/>
      <c r="TMC24" s="93"/>
      <c r="TMD24" s="30"/>
      <c r="TMI24" s="93"/>
      <c r="TMJ24" s="30"/>
      <c r="TMO24" s="93"/>
      <c r="TMP24" s="30"/>
      <c r="TMU24" s="93"/>
      <c r="TMV24" s="30"/>
      <c r="TNA24" s="93"/>
      <c r="TNB24" s="30"/>
      <c r="TNG24" s="93"/>
      <c r="TNH24" s="30"/>
      <c r="TNM24" s="93"/>
      <c r="TNN24" s="30"/>
      <c r="TNS24" s="93"/>
      <c r="TNT24" s="30"/>
      <c r="TNY24" s="93"/>
      <c r="TNZ24" s="30"/>
      <c r="TOE24" s="93"/>
      <c r="TOF24" s="30"/>
      <c r="TOK24" s="93"/>
      <c r="TOL24" s="30"/>
      <c r="TOQ24" s="93"/>
      <c r="TOR24" s="30"/>
      <c r="TOW24" s="93"/>
      <c r="TOX24" s="30"/>
      <c r="TPC24" s="93"/>
      <c r="TPD24" s="30"/>
      <c r="TPI24" s="93"/>
      <c r="TPJ24" s="30"/>
      <c r="TPO24" s="93"/>
      <c r="TPP24" s="30"/>
      <c r="TPU24" s="93"/>
      <c r="TPV24" s="30"/>
      <c r="TQA24" s="93"/>
      <c r="TQB24" s="30"/>
      <c r="TQG24" s="93"/>
      <c r="TQH24" s="30"/>
      <c r="TQM24" s="93"/>
      <c r="TQN24" s="30"/>
      <c r="TQS24" s="93"/>
      <c r="TQT24" s="30"/>
      <c r="TQY24" s="93"/>
      <c r="TQZ24" s="30"/>
      <c r="TRE24" s="93"/>
      <c r="TRF24" s="30"/>
      <c r="TRK24" s="93"/>
      <c r="TRL24" s="30"/>
      <c r="TRQ24" s="93"/>
      <c r="TRR24" s="30"/>
      <c r="TRW24" s="93"/>
      <c r="TRX24" s="30"/>
      <c r="TSC24" s="93"/>
      <c r="TSD24" s="30"/>
      <c r="TSI24" s="93"/>
      <c r="TSJ24" s="30"/>
      <c r="TSO24" s="93"/>
      <c r="TSP24" s="30"/>
      <c r="TSU24" s="93"/>
      <c r="TSV24" s="30"/>
      <c r="TTA24" s="93"/>
      <c r="TTB24" s="30"/>
      <c r="TTG24" s="93"/>
      <c r="TTH24" s="30"/>
      <c r="TTM24" s="93"/>
      <c r="TTN24" s="30"/>
      <c r="TTS24" s="93"/>
      <c r="TTT24" s="30"/>
      <c r="TTY24" s="93"/>
      <c r="TTZ24" s="30"/>
      <c r="TUE24" s="93"/>
      <c r="TUF24" s="30"/>
      <c r="TUK24" s="93"/>
      <c r="TUL24" s="30"/>
      <c r="TUQ24" s="93"/>
      <c r="TUR24" s="30"/>
      <c r="TUW24" s="93"/>
      <c r="TUX24" s="30"/>
      <c r="TVC24" s="93"/>
      <c r="TVD24" s="30"/>
      <c r="TVI24" s="93"/>
      <c r="TVJ24" s="30"/>
      <c r="TVO24" s="93"/>
      <c r="TVP24" s="30"/>
      <c r="TVU24" s="93"/>
      <c r="TVV24" s="30"/>
      <c r="TWA24" s="93"/>
      <c r="TWB24" s="30"/>
      <c r="TWG24" s="93"/>
      <c r="TWH24" s="30"/>
      <c r="TWM24" s="93"/>
      <c r="TWN24" s="30"/>
      <c r="TWS24" s="93"/>
      <c r="TWT24" s="30"/>
      <c r="TWY24" s="93"/>
      <c r="TWZ24" s="30"/>
      <c r="TXE24" s="93"/>
      <c r="TXF24" s="30"/>
      <c r="TXK24" s="93"/>
      <c r="TXL24" s="30"/>
      <c r="TXQ24" s="93"/>
      <c r="TXR24" s="30"/>
      <c r="TXW24" s="93"/>
      <c r="TXX24" s="30"/>
      <c r="TYC24" s="93"/>
      <c r="TYD24" s="30"/>
      <c r="TYI24" s="93"/>
      <c r="TYJ24" s="30"/>
      <c r="TYO24" s="93"/>
      <c r="TYP24" s="30"/>
      <c r="TYU24" s="93"/>
      <c r="TYV24" s="30"/>
      <c r="TZA24" s="93"/>
      <c r="TZB24" s="30"/>
      <c r="TZG24" s="93"/>
      <c r="TZH24" s="30"/>
      <c r="TZM24" s="93"/>
      <c r="TZN24" s="30"/>
      <c r="TZS24" s="93"/>
      <c r="TZT24" s="30"/>
      <c r="TZY24" s="93"/>
      <c r="TZZ24" s="30"/>
      <c r="UAE24" s="93"/>
      <c r="UAF24" s="30"/>
      <c r="UAK24" s="93"/>
      <c r="UAL24" s="30"/>
      <c r="UAQ24" s="93"/>
      <c r="UAR24" s="30"/>
      <c r="UAW24" s="93"/>
      <c r="UAX24" s="30"/>
      <c r="UBC24" s="93"/>
      <c r="UBD24" s="30"/>
      <c r="UBI24" s="93"/>
      <c r="UBJ24" s="30"/>
      <c r="UBO24" s="93"/>
      <c r="UBP24" s="30"/>
      <c r="UBU24" s="93"/>
      <c r="UBV24" s="30"/>
      <c r="UCA24" s="93"/>
      <c r="UCB24" s="30"/>
      <c r="UCG24" s="93"/>
      <c r="UCH24" s="30"/>
      <c r="UCM24" s="93"/>
      <c r="UCN24" s="30"/>
      <c r="UCS24" s="93"/>
      <c r="UCT24" s="30"/>
      <c r="UCY24" s="93"/>
      <c r="UCZ24" s="30"/>
      <c r="UDE24" s="93"/>
      <c r="UDF24" s="30"/>
      <c r="UDK24" s="93"/>
      <c r="UDL24" s="30"/>
      <c r="UDQ24" s="93"/>
      <c r="UDR24" s="30"/>
      <c r="UDW24" s="93"/>
      <c r="UDX24" s="30"/>
      <c r="UEC24" s="93"/>
      <c r="UED24" s="30"/>
      <c r="UEI24" s="93"/>
      <c r="UEJ24" s="30"/>
      <c r="UEO24" s="93"/>
      <c r="UEP24" s="30"/>
      <c r="UEU24" s="93"/>
      <c r="UEV24" s="30"/>
      <c r="UFA24" s="93"/>
      <c r="UFB24" s="30"/>
      <c r="UFG24" s="93"/>
      <c r="UFH24" s="30"/>
      <c r="UFM24" s="93"/>
      <c r="UFN24" s="30"/>
      <c r="UFS24" s="93"/>
      <c r="UFT24" s="30"/>
      <c r="UFY24" s="93"/>
      <c r="UFZ24" s="30"/>
      <c r="UGE24" s="93"/>
      <c r="UGF24" s="30"/>
      <c r="UGK24" s="93"/>
      <c r="UGL24" s="30"/>
      <c r="UGQ24" s="93"/>
      <c r="UGR24" s="30"/>
      <c r="UGW24" s="93"/>
      <c r="UGX24" s="30"/>
      <c r="UHC24" s="93"/>
      <c r="UHD24" s="30"/>
      <c r="UHI24" s="93"/>
      <c r="UHJ24" s="30"/>
      <c r="UHO24" s="93"/>
      <c r="UHP24" s="30"/>
      <c r="UHU24" s="93"/>
      <c r="UHV24" s="30"/>
      <c r="UIA24" s="93"/>
      <c r="UIB24" s="30"/>
      <c r="UIG24" s="93"/>
      <c r="UIH24" s="30"/>
      <c r="UIM24" s="93"/>
      <c r="UIN24" s="30"/>
      <c r="UIS24" s="93"/>
      <c r="UIT24" s="30"/>
      <c r="UIY24" s="93"/>
      <c r="UIZ24" s="30"/>
      <c r="UJE24" s="93"/>
      <c r="UJF24" s="30"/>
      <c r="UJK24" s="93"/>
      <c r="UJL24" s="30"/>
      <c r="UJQ24" s="93"/>
      <c r="UJR24" s="30"/>
      <c r="UJW24" s="93"/>
      <c r="UJX24" s="30"/>
      <c r="UKC24" s="93"/>
      <c r="UKD24" s="30"/>
      <c r="UKI24" s="93"/>
      <c r="UKJ24" s="30"/>
      <c r="UKO24" s="93"/>
      <c r="UKP24" s="30"/>
      <c r="UKU24" s="93"/>
      <c r="UKV24" s="30"/>
      <c r="ULA24" s="93"/>
      <c r="ULB24" s="30"/>
      <c r="ULG24" s="93"/>
      <c r="ULH24" s="30"/>
      <c r="ULM24" s="93"/>
      <c r="ULN24" s="30"/>
      <c r="ULS24" s="93"/>
      <c r="ULT24" s="30"/>
      <c r="ULY24" s="93"/>
      <c r="ULZ24" s="30"/>
      <c r="UME24" s="93"/>
      <c r="UMF24" s="30"/>
      <c r="UMK24" s="93"/>
      <c r="UML24" s="30"/>
      <c r="UMQ24" s="93"/>
      <c r="UMR24" s="30"/>
      <c r="UMW24" s="93"/>
      <c r="UMX24" s="30"/>
      <c r="UNC24" s="93"/>
      <c r="UND24" s="30"/>
      <c r="UNI24" s="93"/>
      <c r="UNJ24" s="30"/>
      <c r="UNO24" s="93"/>
      <c r="UNP24" s="30"/>
      <c r="UNU24" s="93"/>
      <c r="UNV24" s="30"/>
      <c r="UOA24" s="93"/>
      <c r="UOB24" s="30"/>
      <c r="UOG24" s="93"/>
      <c r="UOH24" s="30"/>
      <c r="UOM24" s="93"/>
      <c r="UON24" s="30"/>
      <c r="UOS24" s="93"/>
      <c r="UOT24" s="30"/>
      <c r="UOY24" s="93"/>
      <c r="UOZ24" s="30"/>
      <c r="UPE24" s="93"/>
      <c r="UPF24" s="30"/>
      <c r="UPK24" s="93"/>
      <c r="UPL24" s="30"/>
      <c r="UPQ24" s="93"/>
      <c r="UPR24" s="30"/>
      <c r="UPW24" s="93"/>
      <c r="UPX24" s="30"/>
      <c r="UQC24" s="93"/>
      <c r="UQD24" s="30"/>
      <c r="UQI24" s="93"/>
      <c r="UQJ24" s="30"/>
      <c r="UQO24" s="93"/>
      <c r="UQP24" s="30"/>
      <c r="UQU24" s="93"/>
      <c r="UQV24" s="30"/>
      <c r="URA24" s="93"/>
      <c r="URB24" s="30"/>
      <c r="URG24" s="93"/>
      <c r="URH24" s="30"/>
      <c r="URM24" s="93"/>
      <c r="URN24" s="30"/>
      <c r="URS24" s="93"/>
      <c r="URT24" s="30"/>
      <c r="URY24" s="93"/>
      <c r="URZ24" s="30"/>
      <c r="USE24" s="93"/>
      <c r="USF24" s="30"/>
      <c r="USK24" s="93"/>
      <c r="USL24" s="30"/>
      <c r="USQ24" s="93"/>
      <c r="USR24" s="30"/>
      <c r="USW24" s="93"/>
      <c r="USX24" s="30"/>
      <c r="UTC24" s="93"/>
      <c r="UTD24" s="30"/>
      <c r="UTI24" s="93"/>
      <c r="UTJ24" s="30"/>
      <c r="UTO24" s="93"/>
      <c r="UTP24" s="30"/>
      <c r="UTU24" s="93"/>
      <c r="UTV24" s="30"/>
      <c r="UUA24" s="93"/>
      <c r="UUB24" s="30"/>
      <c r="UUG24" s="93"/>
      <c r="UUH24" s="30"/>
      <c r="UUM24" s="93"/>
      <c r="UUN24" s="30"/>
      <c r="UUS24" s="93"/>
      <c r="UUT24" s="30"/>
      <c r="UUY24" s="93"/>
      <c r="UUZ24" s="30"/>
      <c r="UVE24" s="93"/>
      <c r="UVF24" s="30"/>
      <c r="UVK24" s="93"/>
      <c r="UVL24" s="30"/>
      <c r="UVQ24" s="93"/>
      <c r="UVR24" s="30"/>
      <c r="UVW24" s="93"/>
      <c r="UVX24" s="30"/>
      <c r="UWC24" s="93"/>
      <c r="UWD24" s="30"/>
      <c r="UWI24" s="93"/>
      <c r="UWJ24" s="30"/>
      <c r="UWO24" s="93"/>
      <c r="UWP24" s="30"/>
      <c r="UWU24" s="93"/>
      <c r="UWV24" s="30"/>
      <c r="UXA24" s="93"/>
      <c r="UXB24" s="30"/>
      <c r="UXG24" s="93"/>
      <c r="UXH24" s="30"/>
      <c r="UXM24" s="93"/>
      <c r="UXN24" s="30"/>
      <c r="UXS24" s="93"/>
      <c r="UXT24" s="30"/>
      <c r="UXY24" s="93"/>
      <c r="UXZ24" s="30"/>
      <c r="UYE24" s="93"/>
      <c r="UYF24" s="30"/>
      <c r="UYK24" s="93"/>
      <c r="UYL24" s="30"/>
      <c r="UYQ24" s="93"/>
      <c r="UYR24" s="30"/>
      <c r="UYW24" s="93"/>
      <c r="UYX24" s="30"/>
      <c r="UZC24" s="93"/>
      <c r="UZD24" s="30"/>
      <c r="UZI24" s="93"/>
      <c r="UZJ24" s="30"/>
      <c r="UZO24" s="93"/>
      <c r="UZP24" s="30"/>
      <c r="UZU24" s="93"/>
      <c r="UZV24" s="30"/>
      <c r="VAA24" s="93"/>
      <c r="VAB24" s="30"/>
      <c r="VAG24" s="93"/>
      <c r="VAH24" s="30"/>
      <c r="VAM24" s="93"/>
      <c r="VAN24" s="30"/>
      <c r="VAS24" s="93"/>
      <c r="VAT24" s="30"/>
      <c r="VAY24" s="93"/>
      <c r="VAZ24" s="30"/>
      <c r="VBE24" s="93"/>
      <c r="VBF24" s="30"/>
      <c r="VBK24" s="93"/>
      <c r="VBL24" s="30"/>
      <c r="VBQ24" s="93"/>
      <c r="VBR24" s="30"/>
      <c r="VBW24" s="93"/>
      <c r="VBX24" s="30"/>
      <c r="VCC24" s="93"/>
      <c r="VCD24" s="30"/>
      <c r="VCI24" s="93"/>
      <c r="VCJ24" s="30"/>
      <c r="VCO24" s="93"/>
      <c r="VCP24" s="30"/>
      <c r="VCU24" s="93"/>
      <c r="VCV24" s="30"/>
      <c r="VDA24" s="93"/>
      <c r="VDB24" s="30"/>
      <c r="VDG24" s="93"/>
      <c r="VDH24" s="30"/>
      <c r="VDM24" s="93"/>
      <c r="VDN24" s="30"/>
      <c r="VDS24" s="93"/>
      <c r="VDT24" s="30"/>
      <c r="VDY24" s="93"/>
      <c r="VDZ24" s="30"/>
      <c r="VEE24" s="93"/>
      <c r="VEF24" s="30"/>
      <c r="VEK24" s="93"/>
      <c r="VEL24" s="30"/>
      <c r="VEQ24" s="93"/>
      <c r="VER24" s="30"/>
      <c r="VEW24" s="93"/>
      <c r="VEX24" s="30"/>
      <c r="VFC24" s="93"/>
      <c r="VFD24" s="30"/>
      <c r="VFI24" s="93"/>
      <c r="VFJ24" s="30"/>
      <c r="VFO24" s="93"/>
      <c r="VFP24" s="30"/>
      <c r="VFU24" s="93"/>
      <c r="VFV24" s="30"/>
      <c r="VGA24" s="93"/>
      <c r="VGB24" s="30"/>
      <c r="VGG24" s="93"/>
      <c r="VGH24" s="30"/>
      <c r="VGM24" s="93"/>
      <c r="VGN24" s="30"/>
      <c r="VGS24" s="93"/>
      <c r="VGT24" s="30"/>
      <c r="VGY24" s="93"/>
      <c r="VGZ24" s="30"/>
      <c r="VHE24" s="93"/>
      <c r="VHF24" s="30"/>
      <c r="VHK24" s="93"/>
      <c r="VHL24" s="30"/>
      <c r="VHQ24" s="93"/>
      <c r="VHR24" s="30"/>
      <c r="VHW24" s="93"/>
      <c r="VHX24" s="30"/>
      <c r="VIC24" s="93"/>
      <c r="VID24" s="30"/>
      <c r="VII24" s="93"/>
      <c r="VIJ24" s="30"/>
      <c r="VIO24" s="93"/>
      <c r="VIP24" s="30"/>
      <c r="VIU24" s="93"/>
      <c r="VIV24" s="30"/>
      <c r="VJA24" s="93"/>
      <c r="VJB24" s="30"/>
      <c r="VJG24" s="93"/>
      <c r="VJH24" s="30"/>
      <c r="VJM24" s="93"/>
      <c r="VJN24" s="30"/>
      <c r="VJS24" s="93"/>
      <c r="VJT24" s="30"/>
      <c r="VJY24" s="93"/>
      <c r="VJZ24" s="30"/>
      <c r="VKE24" s="93"/>
      <c r="VKF24" s="30"/>
      <c r="VKK24" s="93"/>
      <c r="VKL24" s="30"/>
      <c r="VKQ24" s="93"/>
      <c r="VKR24" s="30"/>
      <c r="VKW24" s="93"/>
      <c r="VKX24" s="30"/>
      <c r="VLC24" s="93"/>
      <c r="VLD24" s="30"/>
      <c r="VLI24" s="93"/>
      <c r="VLJ24" s="30"/>
      <c r="VLO24" s="93"/>
      <c r="VLP24" s="30"/>
      <c r="VLU24" s="93"/>
      <c r="VLV24" s="30"/>
      <c r="VMA24" s="93"/>
      <c r="VMB24" s="30"/>
      <c r="VMG24" s="93"/>
      <c r="VMH24" s="30"/>
      <c r="VMM24" s="93"/>
      <c r="VMN24" s="30"/>
      <c r="VMS24" s="93"/>
      <c r="VMT24" s="30"/>
      <c r="VMY24" s="93"/>
      <c r="VMZ24" s="30"/>
      <c r="VNE24" s="93"/>
      <c r="VNF24" s="30"/>
      <c r="VNK24" s="93"/>
      <c r="VNL24" s="30"/>
      <c r="VNQ24" s="93"/>
      <c r="VNR24" s="30"/>
      <c r="VNW24" s="93"/>
      <c r="VNX24" s="30"/>
      <c r="VOC24" s="93"/>
      <c r="VOD24" s="30"/>
      <c r="VOI24" s="93"/>
      <c r="VOJ24" s="30"/>
      <c r="VOO24" s="93"/>
      <c r="VOP24" s="30"/>
      <c r="VOU24" s="93"/>
      <c r="VOV24" s="30"/>
      <c r="VPA24" s="93"/>
      <c r="VPB24" s="30"/>
      <c r="VPG24" s="93"/>
      <c r="VPH24" s="30"/>
      <c r="VPM24" s="93"/>
      <c r="VPN24" s="30"/>
      <c r="VPS24" s="93"/>
      <c r="VPT24" s="30"/>
      <c r="VPY24" s="93"/>
      <c r="VPZ24" s="30"/>
      <c r="VQE24" s="93"/>
      <c r="VQF24" s="30"/>
      <c r="VQK24" s="93"/>
      <c r="VQL24" s="30"/>
      <c r="VQQ24" s="93"/>
      <c r="VQR24" s="30"/>
      <c r="VQW24" s="93"/>
      <c r="VQX24" s="30"/>
      <c r="VRC24" s="93"/>
      <c r="VRD24" s="30"/>
      <c r="VRI24" s="93"/>
      <c r="VRJ24" s="30"/>
      <c r="VRO24" s="93"/>
      <c r="VRP24" s="30"/>
      <c r="VRU24" s="93"/>
      <c r="VRV24" s="30"/>
      <c r="VSA24" s="93"/>
      <c r="VSB24" s="30"/>
      <c r="VSG24" s="93"/>
      <c r="VSH24" s="30"/>
      <c r="VSM24" s="93"/>
      <c r="VSN24" s="30"/>
      <c r="VSS24" s="93"/>
      <c r="VST24" s="30"/>
      <c r="VSY24" s="93"/>
      <c r="VSZ24" s="30"/>
      <c r="VTE24" s="93"/>
      <c r="VTF24" s="30"/>
      <c r="VTK24" s="93"/>
      <c r="VTL24" s="30"/>
      <c r="VTQ24" s="93"/>
      <c r="VTR24" s="30"/>
      <c r="VTW24" s="93"/>
      <c r="VTX24" s="30"/>
      <c r="VUC24" s="93"/>
      <c r="VUD24" s="30"/>
      <c r="VUI24" s="93"/>
      <c r="VUJ24" s="30"/>
      <c r="VUO24" s="93"/>
      <c r="VUP24" s="30"/>
      <c r="VUU24" s="93"/>
      <c r="VUV24" s="30"/>
      <c r="VVA24" s="93"/>
      <c r="VVB24" s="30"/>
      <c r="VVG24" s="93"/>
      <c r="VVH24" s="30"/>
      <c r="VVM24" s="93"/>
      <c r="VVN24" s="30"/>
      <c r="VVS24" s="93"/>
      <c r="VVT24" s="30"/>
      <c r="VVY24" s="93"/>
      <c r="VVZ24" s="30"/>
      <c r="VWE24" s="93"/>
      <c r="VWF24" s="30"/>
      <c r="VWK24" s="93"/>
      <c r="VWL24" s="30"/>
      <c r="VWQ24" s="93"/>
      <c r="VWR24" s="30"/>
      <c r="VWW24" s="93"/>
      <c r="VWX24" s="30"/>
      <c r="VXC24" s="93"/>
      <c r="VXD24" s="30"/>
      <c r="VXI24" s="93"/>
      <c r="VXJ24" s="30"/>
      <c r="VXO24" s="93"/>
      <c r="VXP24" s="30"/>
      <c r="VXU24" s="93"/>
      <c r="VXV24" s="30"/>
      <c r="VYA24" s="93"/>
      <c r="VYB24" s="30"/>
      <c r="VYG24" s="93"/>
      <c r="VYH24" s="30"/>
      <c r="VYM24" s="93"/>
      <c r="VYN24" s="30"/>
      <c r="VYS24" s="93"/>
      <c r="VYT24" s="30"/>
      <c r="VYY24" s="93"/>
      <c r="VYZ24" s="30"/>
      <c r="VZE24" s="93"/>
      <c r="VZF24" s="30"/>
      <c r="VZK24" s="93"/>
      <c r="VZL24" s="30"/>
      <c r="VZQ24" s="93"/>
      <c r="VZR24" s="30"/>
      <c r="VZW24" s="93"/>
      <c r="VZX24" s="30"/>
      <c r="WAC24" s="93"/>
      <c r="WAD24" s="30"/>
      <c r="WAI24" s="93"/>
      <c r="WAJ24" s="30"/>
      <c r="WAO24" s="93"/>
      <c r="WAP24" s="30"/>
      <c r="WAU24" s="93"/>
      <c r="WAV24" s="30"/>
      <c r="WBA24" s="93"/>
      <c r="WBB24" s="30"/>
      <c r="WBG24" s="93"/>
      <c r="WBH24" s="30"/>
      <c r="WBM24" s="93"/>
      <c r="WBN24" s="30"/>
      <c r="WBS24" s="93"/>
      <c r="WBT24" s="30"/>
      <c r="WBY24" s="93"/>
      <c r="WBZ24" s="30"/>
      <c r="WCE24" s="93"/>
      <c r="WCF24" s="30"/>
      <c r="WCK24" s="93"/>
      <c r="WCL24" s="30"/>
      <c r="WCQ24" s="93"/>
      <c r="WCR24" s="30"/>
      <c r="WCW24" s="93"/>
      <c r="WCX24" s="30"/>
      <c r="WDC24" s="93"/>
      <c r="WDD24" s="30"/>
      <c r="WDI24" s="93"/>
      <c r="WDJ24" s="30"/>
      <c r="WDO24" s="93"/>
      <c r="WDP24" s="30"/>
      <c r="WDU24" s="93"/>
      <c r="WDV24" s="30"/>
      <c r="WEA24" s="93"/>
      <c r="WEB24" s="30"/>
      <c r="WEG24" s="93"/>
      <c r="WEH24" s="30"/>
      <c r="WEM24" s="93"/>
      <c r="WEN24" s="30"/>
      <c r="WES24" s="93"/>
      <c r="WET24" s="30"/>
      <c r="WEY24" s="93"/>
      <c r="WEZ24" s="30"/>
      <c r="WFE24" s="93"/>
      <c r="WFF24" s="30"/>
      <c r="WFK24" s="93"/>
      <c r="WFL24" s="30"/>
      <c r="WFQ24" s="93"/>
      <c r="WFR24" s="30"/>
      <c r="WFW24" s="93"/>
      <c r="WFX24" s="30"/>
      <c r="WGC24" s="93"/>
      <c r="WGD24" s="30"/>
      <c r="WGI24" s="93"/>
      <c r="WGJ24" s="30"/>
      <c r="WGO24" s="93"/>
      <c r="WGP24" s="30"/>
      <c r="WGU24" s="93"/>
      <c r="WGV24" s="30"/>
      <c r="WHA24" s="93"/>
      <c r="WHB24" s="30"/>
      <c r="WHG24" s="93"/>
      <c r="WHH24" s="30"/>
      <c r="WHM24" s="93"/>
      <c r="WHN24" s="30"/>
      <c r="WHS24" s="93"/>
      <c r="WHT24" s="30"/>
      <c r="WHY24" s="93"/>
      <c r="WHZ24" s="30"/>
      <c r="WIE24" s="93"/>
      <c r="WIF24" s="30"/>
      <c r="WIK24" s="93"/>
      <c r="WIL24" s="30"/>
      <c r="WIQ24" s="93"/>
      <c r="WIR24" s="30"/>
      <c r="WIW24" s="93"/>
      <c r="WIX24" s="30"/>
      <c r="WJC24" s="93"/>
      <c r="WJD24" s="30"/>
      <c r="WJI24" s="93"/>
      <c r="WJJ24" s="30"/>
      <c r="WJO24" s="93"/>
      <c r="WJP24" s="30"/>
      <c r="WJU24" s="93"/>
      <c r="WJV24" s="30"/>
      <c r="WKA24" s="93"/>
      <c r="WKB24" s="30"/>
      <c r="WKG24" s="93"/>
      <c r="WKH24" s="30"/>
      <c r="WKM24" s="93"/>
      <c r="WKN24" s="30"/>
      <c r="WKS24" s="93"/>
      <c r="WKT24" s="30"/>
      <c r="WKY24" s="93"/>
      <c r="WKZ24" s="30"/>
      <c r="WLE24" s="93"/>
      <c r="WLF24" s="30"/>
      <c r="WLK24" s="93"/>
      <c r="WLL24" s="30"/>
      <c r="WLQ24" s="93"/>
      <c r="WLR24" s="30"/>
      <c r="WLW24" s="93"/>
      <c r="WLX24" s="30"/>
      <c r="WMC24" s="93"/>
      <c r="WMD24" s="30"/>
      <c r="WMI24" s="93"/>
      <c r="WMJ24" s="30"/>
      <c r="WMO24" s="93"/>
      <c r="WMP24" s="30"/>
      <c r="WMU24" s="93"/>
      <c r="WMV24" s="30"/>
      <c r="WNA24" s="93"/>
      <c r="WNB24" s="30"/>
      <c r="WNG24" s="93"/>
      <c r="WNH24" s="30"/>
      <c r="WNM24" s="93"/>
      <c r="WNN24" s="30"/>
      <c r="WNS24" s="93"/>
      <c r="WNT24" s="30"/>
      <c r="WNY24" s="93"/>
      <c r="WNZ24" s="30"/>
      <c r="WOE24" s="93"/>
      <c r="WOF24" s="30"/>
      <c r="WOK24" s="93"/>
      <c r="WOL24" s="30"/>
      <c r="WOQ24" s="93"/>
      <c r="WOR24" s="30"/>
      <c r="WOW24" s="93"/>
      <c r="WOX24" s="30"/>
      <c r="WPC24" s="93"/>
      <c r="WPD24" s="30"/>
      <c r="WPI24" s="93"/>
      <c r="WPJ24" s="30"/>
      <c r="WPO24" s="93"/>
      <c r="WPP24" s="30"/>
      <c r="WPU24" s="93"/>
      <c r="WPV24" s="30"/>
      <c r="WQA24" s="93"/>
      <c r="WQB24" s="30"/>
      <c r="WQG24" s="93"/>
      <c r="WQH24" s="30"/>
      <c r="WQM24" s="93"/>
      <c r="WQN24" s="30"/>
      <c r="WQS24" s="93"/>
      <c r="WQT24" s="30"/>
      <c r="WQY24" s="93"/>
      <c r="WQZ24" s="30"/>
      <c r="WRE24" s="93"/>
      <c r="WRF24" s="30"/>
      <c r="WRK24" s="93"/>
      <c r="WRL24" s="30"/>
      <c r="WRQ24" s="93"/>
      <c r="WRR24" s="30"/>
      <c r="WRW24" s="93"/>
      <c r="WRX24" s="30"/>
      <c r="WSC24" s="93"/>
      <c r="WSD24" s="30"/>
      <c r="WSI24" s="93"/>
      <c r="WSJ24" s="30"/>
      <c r="WSO24" s="93"/>
      <c r="WSP24" s="30"/>
      <c r="WSU24" s="93"/>
      <c r="WSV24" s="30"/>
      <c r="WTA24" s="93"/>
      <c r="WTB24" s="30"/>
      <c r="WTG24" s="93"/>
      <c r="WTH24" s="30"/>
      <c r="WTM24" s="93"/>
      <c r="WTN24" s="30"/>
      <c r="WTS24" s="93"/>
      <c r="WTT24" s="30"/>
      <c r="WTY24" s="93"/>
      <c r="WTZ24" s="30"/>
      <c r="WUE24" s="93"/>
      <c r="WUF24" s="30"/>
      <c r="WUK24" s="93"/>
      <c r="WUL24" s="30"/>
      <c r="WUQ24" s="93"/>
      <c r="WUR24" s="30"/>
      <c r="WUW24" s="93"/>
      <c r="WUX24" s="30"/>
      <c r="WVC24" s="93"/>
      <c r="WVD24" s="30"/>
      <c r="WVI24" s="93"/>
      <c r="WVJ24" s="30"/>
      <c r="WVO24" s="93"/>
      <c r="WVP24" s="30"/>
      <c r="WVU24" s="93"/>
      <c r="WVV24" s="30"/>
      <c r="WWA24" s="93"/>
      <c r="WWB24" s="30"/>
      <c r="WWG24" s="93"/>
      <c r="WWH24" s="30"/>
      <c r="WWM24" s="93"/>
      <c r="WWN24" s="30"/>
      <c r="WWS24" s="93"/>
      <c r="WWT24" s="30"/>
      <c r="WWY24" s="93"/>
      <c r="WWZ24" s="30"/>
      <c r="WXE24" s="93"/>
      <c r="WXF24" s="30"/>
      <c r="WXK24" s="93"/>
      <c r="WXL24" s="30"/>
      <c r="WXQ24" s="93"/>
      <c r="WXR24" s="30"/>
      <c r="WXW24" s="93"/>
      <c r="WXX24" s="30"/>
      <c r="WYC24" s="93"/>
      <c r="WYD24" s="30"/>
      <c r="WYI24" s="93"/>
      <c r="WYJ24" s="30"/>
      <c r="WYO24" s="93"/>
      <c r="WYP24" s="30"/>
      <c r="WYU24" s="93"/>
      <c r="WYV24" s="30"/>
      <c r="WZA24" s="93"/>
      <c r="WZB24" s="30"/>
      <c r="WZG24" s="93"/>
      <c r="WZH24" s="30"/>
      <c r="WZM24" s="93"/>
      <c r="WZN24" s="30"/>
      <c r="WZS24" s="93"/>
      <c r="WZT24" s="30"/>
      <c r="WZY24" s="93"/>
      <c r="WZZ24" s="30"/>
      <c r="XAE24" s="93"/>
      <c r="XAF24" s="30"/>
      <c r="XAK24" s="93"/>
      <c r="XAL24" s="30"/>
      <c r="XAQ24" s="93"/>
      <c r="XAR24" s="30"/>
      <c r="XAW24" s="93"/>
      <c r="XAX24" s="30"/>
      <c r="XBC24" s="93"/>
      <c r="XBD24" s="30"/>
      <c r="XBI24" s="93"/>
      <c r="XBJ24" s="30"/>
      <c r="XBO24" s="93"/>
      <c r="XBP24" s="30"/>
      <c r="XBU24" s="93"/>
      <c r="XBV24" s="30"/>
      <c r="XCA24" s="93"/>
      <c r="XCB24" s="30"/>
      <c r="XCG24" s="93"/>
      <c r="XCH24" s="30"/>
      <c r="XCM24" s="93"/>
      <c r="XCN24" s="30"/>
      <c r="XCS24" s="93"/>
      <c r="XCT24" s="30"/>
      <c r="XCY24" s="93"/>
      <c r="XCZ24" s="30"/>
      <c r="XDE24" s="93"/>
      <c r="XDF24" s="30"/>
      <c r="XDK24" s="93"/>
      <c r="XDL24" s="30"/>
      <c r="XDQ24" s="93"/>
      <c r="XDR24" s="30"/>
      <c r="XDW24" s="93"/>
      <c r="XDX24" s="30"/>
      <c r="XEC24" s="93"/>
      <c r="XED24" s="30"/>
      <c r="XEI24" s="93"/>
      <c r="XEJ24" s="30"/>
      <c r="XEO24" s="93"/>
      <c r="XEP24" s="30"/>
      <c r="XEU24" s="93"/>
      <c r="XEV24" s="30"/>
      <c r="XFA24" s="93"/>
      <c r="XFB24" s="30"/>
    </row>
    <row r="25" spans="1:1022 1027:2048 2053:3068 3073:4094 4099:5120 5125:6140 6145:7166 7171:8192 8197:9212 9217:10238 10243:11264 11269:12284 12289:13310 13315:14336 14341:15356 15361:16382" s="8" customFormat="1" ht="16" x14ac:dyDescent="0.2">
      <c r="A25" s="93" t="s">
        <v>43</v>
      </c>
      <c r="B25" s="10" t="s">
        <v>580</v>
      </c>
      <c r="C25" s="9" t="s">
        <v>587</v>
      </c>
      <c r="D25" s="10"/>
      <c r="E25" s="10"/>
      <c r="F25" s="10"/>
      <c r="G25" s="10"/>
      <c r="H25" s="10"/>
      <c r="I25" s="10"/>
      <c r="J25" s="10"/>
      <c r="K25" s="10"/>
      <c r="L25" s="10"/>
      <c r="M25" s="93"/>
      <c r="N25" s="30"/>
      <c r="S25" s="93"/>
      <c r="T25" s="30"/>
      <c r="Y25" s="93"/>
      <c r="Z25" s="30"/>
      <c r="AE25" s="93"/>
      <c r="AF25" s="30"/>
      <c r="AK25" s="93"/>
      <c r="AL25" s="30"/>
      <c r="AQ25" s="93"/>
      <c r="AR25" s="30"/>
      <c r="AW25" s="93"/>
      <c r="AX25" s="30"/>
      <c r="BC25" s="93"/>
      <c r="BD25" s="30"/>
      <c r="BI25" s="93"/>
      <c r="BJ25" s="30"/>
      <c r="BO25" s="93"/>
      <c r="BP25" s="30"/>
      <c r="BU25" s="93"/>
      <c r="BV25" s="30"/>
      <c r="CA25" s="93"/>
      <c r="CB25" s="30"/>
      <c r="CG25" s="93"/>
      <c r="CH25" s="30"/>
      <c r="CM25" s="93"/>
      <c r="CN25" s="30"/>
      <c r="CS25" s="93"/>
      <c r="CT25" s="30"/>
      <c r="CY25" s="93"/>
      <c r="CZ25" s="30"/>
      <c r="DE25" s="93"/>
      <c r="DF25" s="30"/>
      <c r="DK25" s="93"/>
      <c r="DL25" s="30"/>
      <c r="DQ25" s="93"/>
      <c r="DR25" s="30"/>
      <c r="DW25" s="93"/>
      <c r="DX25" s="30"/>
      <c r="EC25" s="93"/>
      <c r="ED25" s="30"/>
      <c r="EI25" s="93"/>
      <c r="EJ25" s="30"/>
      <c r="EO25" s="93"/>
      <c r="EP25" s="30"/>
      <c r="EU25" s="93"/>
      <c r="EV25" s="30"/>
      <c r="FA25" s="93"/>
      <c r="FB25" s="30"/>
      <c r="FG25" s="93"/>
      <c r="FH25" s="30"/>
      <c r="FM25" s="93"/>
      <c r="FN25" s="30"/>
      <c r="FS25" s="93"/>
      <c r="FT25" s="30"/>
      <c r="FY25" s="93"/>
      <c r="FZ25" s="30"/>
      <c r="GE25" s="93"/>
      <c r="GF25" s="30"/>
      <c r="GK25" s="93"/>
      <c r="GL25" s="30"/>
      <c r="GQ25" s="93"/>
      <c r="GR25" s="30"/>
      <c r="GW25" s="93"/>
      <c r="GX25" s="30"/>
      <c r="HC25" s="93"/>
      <c r="HD25" s="30"/>
      <c r="HI25" s="93"/>
      <c r="HJ25" s="30"/>
      <c r="HO25" s="93"/>
      <c r="HP25" s="30"/>
      <c r="HU25" s="93"/>
      <c r="HV25" s="30"/>
      <c r="IA25" s="93"/>
      <c r="IB25" s="30"/>
      <c r="IG25" s="93"/>
      <c r="IH25" s="30"/>
      <c r="IM25" s="93"/>
      <c r="IN25" s="30"/>
      <c r="IS25" s="93"/>
      <c r="IT25" s="30"/>
      <c r="IY25" s="93"/>
      <c r="IZ25" s="30"/>
      <c r="JE25" s="93"/>
      <c r="JF25" s="30"/>
      <c r="JK25" s="93"/>
      <c r="JL25" s="30"/>
      <c r="JQ25" s="93"/>
      <c r="JR25" s="30"/>
      <c r="JW25" s="93"/>
      <c r="JX25" s="30"/>
      <c r="KC25" s="93"/>
      <c r="KD25" s="30"/>
      <c r="KI25" s="93"/>
      <c r="KJ25" s="30"/>
      <c r="KO25" s="93"/>
      <c r="KP25" s="30"/>
      <c r="KU25" s="93"/>
      <c r="KV25" s="30"/>
      <c r="LA25" s="93"/>
      <c r="LB25" s="30"/>
      <c r="LG25" s="93"/>
      <c r="LH25" s="30"/>
      <c r="LM25" s="93"/>
      <c r="LN25" s="30"/>
      <c r="LS25" s="93"/>
      <c r="LT25" s="30"/>
      <c r="LY25" s="93"/>
      <c r="LZ25" s="30"/>
      <c r="ME25" s="93"/>
      <c r="MF25" s="30"/>
      <c r="MK25" s="93"/>
      <c r="ML25" s="30"/>
      <c r="MQ25" s="93"/>
      <c r="MR25" s="30"/>
      <c r="MW25" s="93"/>
      <c r="MX25" s="30"/>
      <c r="NC25" s="93"/>
      <c r="ND25" s="30"/>
      <c r="NI25" s="93"/>
      <c r="NJ25" s="30"/>
      <c r="NO25" s="93"/>
      <c r="NP25" s="30"/>
      <c r="NU25" s="93"/>
      <c r="NV25" s="30"/>
      <c r="OA25" s="93"/>
      <c r="OB25" s="30"/>
      <c r="OG25" s="93"/>
      <c r="OH25" s="30"/>
      <c r="OM25" s="93"/>
      <c r="ON25" s="30"/>
      <c r="OS25" s="93"/>
      <c r="OT25" s="30"/>
      <c r="OY25" s="93"/>
      <c r="OZ25" s="30"/>
      <c r="PE25" s="93"/>
      <c r="PF25" s="30"/>
      <c r="PK25" s="93"/>
      <c r="PL25" s="30"/>
      <c r="PQ25" s="93"/>
      <c r="PR25" s="30"/>
      <c r="PW25" s="93"/>
      <c r="PX25" s="30"/>
      <c r="QC25" s="93"/>
      <c r="QD25" s="30"/>
      <c r="QI25" s="93"/>
      <c r="QJ25" s="30"/>
      <c r="QO25" s="93"/>
      <c r="QP25" s="30"/>
      <c r="QU25" s="93"/>
      <c r="QV25" s="30"/>
      <c r="RA25" s="93"/>
      <c r="RB25" s="30"/>
      <c r="RG25" s="93"/>
      <c r="RH25" s="30"/>
      <c r="RM25" s="93"/>
      <c r="RN25" s="30"/>
      <c r="RS25" s="93"/>
      <c r="RT25" s="30"/>
      <c r="RY25" s="93"/>
      <c r="RZ25" s="30"/>
      <c r="SE25" s="93"/>
      <c r="SF25" s="30"/>
      <c r="SK25" s="93"/>
      <c r="SL25" s="30"/>
      <c r="SQ25" s="93"/>
      <c r="SR25" s="30"/>
      <c r="SW25" s="93"/>
      <c r="SX25" s="30"/>
      <c r="TC25" s="93"/>
      <c r="TD25" s="30"/>
      <c r="TI25" s="93"/>
      <c r="TJ25" s="30"/>
      <c r="TO25" s="93"/>
      <c r="TP25" s="30"/>
      <c r="TU25" s="93"/>
      <c r="TV25" s="30"/>
      <c r="UA25" s="93"/>
      <c r="UB25" s="30"/>
      <c r="UG25" s="93"/>
      <c r="UH25" s="30"/>
      <c r="UM25" s="93"/>
      <c r="UN25" s="30"/>
      <c r="US25" s="93"/>
      <c r="UT25" s="30"/>
      <c r="UY25" s="93"/>
      <c r="UZ25" s="30"/>
      <c r="VE25" s="93"/>
      <c r="VF25" s="30"/>
      <c r="VK25" s="93"/>
      <c r="VL25" s="30"/>
      <c r="VQ25" s="93"/>
      <c r="VR25" s="30"/>
      <c r="VW25" s="93"/>
      <c r="VX25" s="30"/>
      <c r="WC25" s="93"/>
      <c r="WD25" s="30"/>
      <c r="WI25" s="93"/>
      <c r="WJ25" s="30"/>
      <c r="WO25" s="93"/>
      <c r="WP25" s="30"/>
      <c r="WU25" s="93"/>
      <c r="WV25" s="30"/>
      <c r="XA25" s="93"/>
      <c r="XB25" s="30"/>
      <c r="XG25" s="93"/>
      <c r="XH25" s="30"/>
      <c r="XM25" s="93"/>
      <c r="XN25" s="30"/>
      <c r="XS25" s="93"/>
      <c r="XT25" s="30"/>
      <c r="XY25" s="93"/>
      <c r="XZ25" s="30"/>
      <c r="YE25" s="93"/>
      <c r="YF25" s="30"/>
      <c r="YK25" s="93"/>
      <c r="YL25" s="30"/>
      <c r="YQ25" s="93"/>
      <c r="YR25" s="30"/>
      <c r="YW25" s="93"/>
      <c r="YX25" s="30"/>
      <c r="ZC25" s="93"/>
      <c r="ZD25" s="30"/>
      <c r="ZI25" s="93"/>
      <c r="ZJ25" s="30"/>
      <c r="ZO25" s="93"/>
      <c r="ZP25" s="30"/>
      <c r="ZU25" s="93"/>
      <c r="ZV25" s="30"/>
      <c r="AAA25" s="93"/>
      <c r="AAB25" s="30"/>
      <c r="AAG25" s="93"/>
      <c r="AAH25" s="30"/>
      <c r="AAM25" s="93"/>
      <c r="AAN25" s="30"/>
      <c r="AAS25" s="93"/>
      <c r="AAT25" s="30"/>
      <c r="AAY25" s="93"/>
      <c r="AAZ25" s="30"/>
      <c r="ABE25" s="93"/>
      <c r="ABF25" s="30"/>
      <c r="ABK25" s="93"/>
      <c r="ABL25" s="30"/>
      <c r="ABQ25" s="93"/>
      <c r="ABR25" s="30"/>
      <c r="ABW25" s="93"/>
      <c r="ABX25" s="30"/>
      <c r="ACC25" s="93"/>
      <c r="ACD25" s="30"/>
      <c r="ACI25" s="93"/>
      <c r="ACJ25" s="30"/>
      <c r="ACO25" s="93"/>
      <c r="ACP25" s="30"/>
      <c r="ACU25" s="93"/>
      <c r="ACV25" s="30"/>
      <c r="ADA25" s="93"/>
      <c r="ADB25" s="30"/>
      <c r="ADG25" s="93"/>
      <c r="ADH25" s="30"/>
      <c r="ADM25" s="93"/>
      <c r="ADN25" s="30"/>
      <c r="ADS25" s="93"/>
      <c r="ADT25" s="30"/>
      <c r="ADY25" s="93"/>
      <c r="ADZ25" s="30"/>
      <c r="AEE25" s="93"/>
      <c r="AEF25" s="30"/>
      <c r="AEK25" s="93"/>
      <c r="AEL25" s="30"/>
      <c r="AEQ25" s="93"/>
      <c r="AER25" s="30"/>
      <c r="AEW25" s="93"/>
      <c r="AEX25" s="30"/>
      <c r="AFC25" s="93"/>
      <c r="AFD25" s="30"/>
      <c r="AFI25" s="93"/>
      <c r="AFJ25" s="30"/>
      <c r="AFO25" s="93"/>
      <c r="AFP25" s="30"/>
      <c r="AFU25" s="93"/>
      <c r="AFV25" s="30"/>
      <c r="AGA25" s="93"/>
      <c r="AGB25" s="30"/>
      <c r="AGG25" s="93"/>
      <c r="AGH25" s="30"/>
      <c r="AGM25" s="93"/>
      <c r="AGN25" s="30"/>
      <c r="AGS25" s="93"/>
      <c r="AGT25" s="30"/>
      <c r="AGY25" s="93"/>
      <c r="AGZ25" s="30"/>
      <c r="AHE25" s="93"/>
      <c r="AHF25" s="30"/>
      <c r="AHK25" s="93"/>
      <c r="AHL25" s="30"/>
      <c r="AHQ25" s="93"/>
      <c r="AHR25" s="30"/>
      <c r="AHW25" s="93"/>
      <c r="AHX25" s="30"/>
      <c r="AIC25" s="93"/>
      <c r="AID25" s="30"/>
      <c r="AII25" s="93"/>
      <c r="AIJ25" s="30"/>
      <c r="AIO25" s="93"/>
      <c r="AIP25" s="30"/>
      <c r="AIU25" s="93"/>
      <c r="AIV25" s="30"/>
      <c r="AJA25" s="93"/>
      <c r="AJB25" s="30"/>
      <c r="AJG25" s="93"/>
      <c r="AJH25" s="30"/>
      <c r="AJM25" s="93"/>
      <c r="AJN25" s="30"/>
      <c r="AJS25" s="93"/>
      <c r="AJT25" s="30"/>
      <c r="AJY25" s="93"/>
      <c r="AJZ25" s="30"/>
      <c r="AKE25" s="93"/>
      <c r="AKF25" s="30"/>
      <c r="AKK25" s="93"/>
      <c r="AKL25" s="30"/>
      <c r="AKQ25" s="93"/>
      <c r="AKR25" s="30"/>
      <c r="AKW25" s="93"/>
      <c r="AKX25" s="30"/>
      <c r="ALC25" s="93"/>
      <c r="ALD25" s="30"/>
      <c r="ALI25" s="93"/>
      <c r="ALJ25" s="30"/>
      <c r="ALO25" s="93"/>
      <c r="ALP25" s="30"/>
      <c r="ALU25" s="93"/>
      <c r="ALV25" s="30"/>
      <c r="AMA25" s="93"/>
      <c r="AMB25" s="30"/>
      <c r="AMG25" s="93"/>
      <c r="AMH25" s="30"/>
      <c r="AMM25" s="93"/>
      <c r="AMN25" s="30"/>
      <c r="AMS25" s="93"/>
      <c r="AMT25" s="30"/>
      <c r="AMY25" s="93"/>
      <c r="AMZ25" s="30"/>
      <c r="ANE25" s="93"/>
      <c r="ANF25" s="30"/>
      <c r="ANK25" s="93"/>
      <c r="ANL25" s="30"/>
      <c r="ANQ25" s="93"/>
      <c r="ANR25" s="30"/>
      <c r="ANW25" s="93"/>
      <c r="ANX25" s="30"/>
      <c r="AOC25" s="93"/>
      <c r="AOD25" s="30"/>
      <c r="AOI25" s="93"/>
      <c r="AOJ25" s="30"/>
      <c r="AOO25" s="93"/>
      <c r="AOP25" s="30"/>
      <c r="AOU25" s="93"/>
      <c r="AOV25" s="30"/>
      <c r="APA25" s="93"/>
      <c r="APB25" s="30"/>
      <c r="APG25" s="93"/>
      <c r="APH25" s="30"/>
      <c r="APM25" s="93"/>
      <c r="APN25" s="30"/>
      <c r="APS25" s="93"/>
      <c r="APT25" s="30"/>
      <c r="APY25" s="93"/>
      <c r="APZ25" s="30"/>
      <c r="AQE25" s="93"/>
      <c r="AQF25" s="30"/>
      <c r="AQK25" s="93"/>
      <c r="AQL25" s="30"/>
      <c r="AQQ25" s="93"/>
      <c r="AQR25" s="30"/>
      <c r="AQW25" s="93"/>
      <c r="AQX25" s="30"/>
      <c r="ARC25" s="93"/>
      <c r="ARD25" s="30"/>
      <c r="ARI25" s="93"/>
      <c r="ARJ25" s="30"/>
      <c r="ARO25" s="93"/>
      <c r="ARP25" s="30"/>
      <c r="ARU25" s="93"/>
      <c r="ARV25" s="30"/>
      <c r="ASA25" s="93"/>
      <c r="ASB25" s="30"/>
      <c r="ASG25" s="93"/>
      <c r="ASH25" s="30"/>
      <c r="ASM25" s="93"/>
      <c r="ASN25" s="30"/>
      <c r="ASS25" s="93"/>
      <c r="AST25" s="30"/>
      <c r="ASY25" s="93"/>
      <c r="ASZ25" s="30"/>
      <c r="ATE25" s="93"/>
      <c r="ATF25" s="30"/>
      <c r="ATK25" s="93"/>
      <c r="ATL25" s="30"/>
      <c r="ATQ25" s="93"/>
      <c r="ATR25" s="30"/>
      <c r="ATW25" s="93"/>
      <c r="ATX25" s="30"/>
      <c r="AUC25" s="93"/>
      <c r="AUD25" s="30"/>
      <c r="AUI25" s="93"/>
      <c r="AUJ25" s="30"/>
      <c r="AUO25" s="93"/>
      <c r="AUP25" s="30"/>
      <c r="AUU25" s="93"/>
      <c r="AUV25" s="30"/>
      <c r="AVA25" s="93"/>
      <c r="AVB25" s="30"/>
      <c r="AVG25" s="93"/>
      <c r="AVH25" s="30"/>
      <c r="AVM25" s="93"/>
      <c r="AVN25" s="30"/>
      <c r="AVS25" s="93"/>
      <c r="AVT25" s="30"/>
      <c r="AVY25" s="93"/>
      <c r="AVZ25" s="30"/>
      <c r="AWE25" s="93"/>
      <c r="AWF25" s="30"/>
      <c r="AWK25" s="93"/>
      <c r="AWL25" s="30"/>
      <c r="AWQ25" s="93"/>
      <c r="AWR25" s="30"/>
      <c r="AWW25" s="93"/>
      <c r="AWX25" s="30"/>
      <c r="AXC25" s="93"/>
      <c r="AXD25" s="30"/>
      <c r="AXI25" s="93"/>
      <c r="AXJ25" s="30"/>
      <c r="AXO25" s="93"/>
      <c r="AXP25" s="30"/>
      <c r="AXU25" s="93"/>
      <c r="AXV25" s="30"/>
      <c r="AYA25" s="93"/>
      <c r="AYB25" s="30"/>
      <c r="AYG25" s="93"/>
      <c r="AYH25" s="30"/>
      <c r="AYM25" s="93"/>
      <c r="AYN25" s="30"/>
      <c r="AYS25" s="93"/>
      <c r="AYT25" s="30"/>
      <c r="AYY25" s="93"/>
      <c r="AYZ25" s="30"/>
      <c r="AZE25" s="93"/>
      <c r="AZF25" s="30"/>
      <c r="AZK25" s="93"/>
      <c r="AZL25" s="30"/>
      <c r="AZQ25" s="93"/>
      <c r="AZR25" s="30"/>
      <c r="AZW25" s="93"/>
      <c r="AZX25" s="30"/>
      <c r="BAC25" s="93"/>
      <c r="BAD25" s="30"/>
      <c r="BAI25" s="93"/>
      <c r="BAJ25" s="30"/>
      <c r="BAO25" s="93"/>
      <c r="BAP25" s="30"/>
      <c r="BAU25" s="93"/>
      <c r="BAV25" s="30"/>
      <c r="BBA25" s="93"/>
      <c r="BBB25" s="30"/>
      <c r="BBG25" s="93"/>
      <c r="BBH25" s="30"/>
      <c r="BBM25" s="93"/>
      <c r="BBN25" s="30"/>
      <c r="BBS25" s="93"/>
      <c r="BBT25" s="30"/>
      <c r="BBY25" s="93"/>
      <c r="BBZ25" s="30"/>
      <c r="BCE25" s="93"/>
      <c r="BCF25" s="30"/>
      <c r="BCK25" s="93"/>
      <c r="BCL25" s="30"/>
      <c r="BCQ25" s="93"/>
      <c r="BCR25" s="30"/>
      <c r="BCW25" s="93"/>
      <c r="BCX25" s="30"/>
      <c r="BDC25" s="93"/>
      <c r="BDD25" s="30"/>
      <c r="BDI25" s="93"/>
      <c r="BDJ25" s="30"/>
      <c r="BDO25" s="93"/>
      <c r="BDP25" s="30"/>
      <c r="BDU25" s="93"/>
      <c r="BDV25" s="30"/>
      <c r="BEA25" s="93"/>
      <c r="BEB25" s="30"/>
      <c r="BEG25" s="93"/>
      <c r="BEH25" s="30"/>
      <c r="BEM25" s="93"/>
      <c r="BEN25" s="30"/>
      <c r="BES25" s="93"/>
      <c r="BET25" s="30"/>
      <c r="BEY25" s="93"/>
      <c r="BEZ25" s="30"/>
      <c r="BFE25" s="93"/>
      <c r="BFF25" s="30"/>
      <c r="BFK25" s="93"/>
      <c r="BFL25" s="30"/>
      <c r="BFQ25" s="93"/>
      <c r="BFR25" s="30"/>
      <c r="BFW25" s="93"/>
      <c r="BFX25" s="30"/>
      <c r="BGC25" s="93"/>
      <c r="BGD25" s="30"/>
      <c r="BGI25" s="93"/>
      <c r="BGJ25" s="30"/>
      <c r="BGO25" s="93"/>
      <c r="BGP25" s="30"/>
      <c r="BGU25" s="93"/>
      <c r="BGV25" s="30"/>
      <c r="BHA25" s="93"/>
      <c r="BHB25" s="30"/>
      <c r="BHG25" s="93"/>
      <c r="BHH25" s="30"/>
      <c r="BHM25" s="93"/>
      <c r="BHN25" s="30"/>
      <c r="BHS25" s="93"/>
      <c r="BHT25" s="30"/>
      <c r="BHY25" s="93"/>
      <c r="BHZ25" s="30"/>
      <c r="BIE25" s="93"/>
      <c r="BIF25" s="30"/>
      <c r="BIK25" s="93"/>
      <c r="BIL25" s="30"/>
      <c r="BIQ25" s="93"/>
      <c r="BIR25" s="30"/>
      <c r="BIW25" s="93"/>
      <c r="BIX25" s="30"/>
      <c r="BJC25" s="93"/>
      <c r="BJD25" s="30"/>
      <c r="BJI25" s="93"/>
      <c r="BJJ25" s="30"/>
      <c r="BJO25" s="93"/>
      <c r="BJP25" s="30"/>
      <c r="BJU25" s="93"/>
      <c r="BJV25" s="30"/>
      <c r="BKA25" s="93"/>
      <c r="BKB25" s="30"/>
      <c r="BKG25" s="93"/>
      <c r="BKH25" s="30"/>
      <c r="BKM25" s="93"/>
      <c r="BKN25" s="30"/>
      <c r="BKS25" s="93"/>
      <c r="BKT25" s="30"/>
      <c r="BKY25" s="93"/>
      <c r="BKZ25" s="30"/>
      <c r="BLE25" s="93"/>
      <c r="BLF25" s="30"/>
      <c r="BLK25" s="93"/>
      <c r="BLL25" s="30"/>
      <c r="BLQ25" s="93"/>
      <c r="BLR25" s="30"/>
      <c r="BLW25" s="93"/>
      <c r="BLX25" s="30"/>
      <c r="BMC25" s="93"/>
      <c r="BMD25" s="30"/>
      <c r="BMI25" s="93"/>
      <c r="BMJ25" s="30"/>
      <c r="BMO25" s="93"/>
      <c r="BMP25" s="30"/>
      <c r="BMU25" s="93"/>
      <c r="BMV25" s="30"/>
      <c r="BNA25" s="93"/>
      <c r="BNB25" s="30"/>
      <c r="BNG25" s="93"/>
      <c r="BNH25" s="30"/>
      <c r="BNM25" s="93"/>
      <c r="BNN25" s="30"/>
      <c r="BNS25" s="93"/>
      <c r="BNT25" s="30"/>
      <c r="BNY25" s="93"/>
      <c r="BNZ25" s="30"/>
      <c r="BOE25" s="93"/>
      <c r="BOF25" s="30"/>
      <c r="BOK25" s="93"/>
      <c r="BOL25" s="30"/>
      <c r="BOQ25" s="93"/>
      <c r="BOR25" s="30"/>
      <c r="BOW25" s="93"/>
      <c r="BOX25" s="30"/>
      <c r="BPC25" s="93"/>
      <c r="BPD25" s="30"/>
      <c r="BPI25" s="93"/>
      <c r="BPJ25" s="30"/>
      <c r="BPO25" s="93"/>
      <c r="BPP25" s="30"/>
      <c r="BPU25" s="93"/>
      <c r="BPV25" s="30"/>
      <c r="BQA25" s="93"/>
      <c r="BQB25" s="30"/>
      <c r="BQG25" s="93"/>
      <c r="BQH25" s="30"/>
      <c r="BQM25" s="93"/>
      <c r="BQN25" s="30"/>
      <c r="BQS25" s="93"/>
      <c r="BQT25" s="30"/>
      <c r="BQY25" s="93"/>
      <c r="BQZ25" s="30"/>
      <c r="BRE25" s="93"/>
      <c r="BRF25" s="30"/>
      <c r="BRK25" s="93"/>
      <c r="BRL25" s="30"/>
      <c r="BRQ25" s="93"/>
      <c r="BRR25" s="30"/>
      <c r="BRW25" s="93"/>
      <c r="BRX25" s="30"/>
      <c r="BSC25" s="93"/>
      <c r="BSD25" s="30"/>
      <c r="BSI25" s="93"/>
      <c r="BSJ25" s="30"/>
      <c r="BSO25" s="93"/>
      <c r="BSP25" s="30"/>
      <c r="BSU25" s="93"/>
      <c r="BSV25" s="30"/>
      <c r="BTA25" s="93"/>
      <c r="BTB25" s="30"/>
      <c r="BTG25" s="93"/>
      <c r="BTH25" s="30"/>
      <c r="BTM25" s="93"/>
      <c r="BTN25" s="30"/>
      <c r="BTS25" s="93"/>
      <c r="BTT25" s="30"/>
      <c r="BTY25" s="93"/>
      <c r="BTZ25" s="30"/>
      <c r="BUE25" s="93"/>
      <c r="BUF25" s="30"/>
      <c r="BUK25" s="93"/>
      <c r="BUL25" s="30"/>
      <c r="BUQ25" s="93"/>
      <c r="BUR25" s="30"/>
      <c r="BUW25" s="93"/>
      <c r="BUX25" s="30"/>
      <c r="BVC25" s="93"/>
      <c r="BVD25" s="30"/>
      <c r="BVI25" s="93"/>
      <c r="BVJ25" s="30"/>
      <c r="BVO25" s="93"/>
      <c r="BVP25" s="30"/>
      <c r="BVU25" s="93"/>
      <c r="BVV25" s="30"/>
      <c r="BWA25" s="93"/>
      <c r="BWB25" s="30"/>
      <c r="BWG25" s="93"/>
      <c r="BWH25" s="30"/>
      <c r="BWM25" s="93"/>
      <c r="BWN25" s="30"/>
      <c r="BWS25" s="93"/>
      <c r="BWT25" s="30"/>
      <c r="BWY25" s="93"/>
      <c r="BWZ25" s="30"/>
      <c r="BXE25" s="93"/>
      <c r="BXF25" s="30"/>
      <c r="BXK25" s="93"/>
      <c r="BXL25" s="30"/>
      <c r="BXQ25" s="93"/>
      <c r="BXR25" s="30"/>
      <c r="BXW25" s="93"/>
      <c r="BXX25" s="30"/>
      <c r="BYC25" s="93"/>
      <c r="BYD25" s="30"/>
      <c r="BYI25" s="93"/>
      <c r="BYJ25" s="30"/>
      <c r="BYO25" s="93"/>
      <c r="BYP25" s="30"/>
      <c r="BYU25" s="93"/>
      <c r="BYV25" s="30"/>
      <c r="BZA25" s="93"/>
      <c r="BZB25" s="30"/>
      <c r="BZG25" s="93"/>
      <c r="BZH25" s="30"/>
      <c r="BZM25" s="93"/>
      <c r="BZN25" s="30"/>
      <c r="BZS25" s="93"/>
      <c r="BZT25" s="30"/>
      <c r="BZY25" s="93"/>
      <c r="BZZ25" s="30"/>
      <c r="CAE25" s="93"/>
      <c r="CAF25" s="30"/>
      <c r="CAK25" s="93"/>
      <c r="CAL25" s="30"/>
      <c r="CAQ25" s="93"/>
      <c r="CAR25" s="30"/>
      <c r="CAW25" s="93"/>
      <c r="CAX25" s="30"/>
      <c r="CBC25" s="93"/>
      <c r="CBD25" s="30"/>
      <c r="CBI25" s="93"/>
      <c r="CBJ25" s="30"/>
      <c r="CBO25" s="93"/>
      <c r="CBP25" s="30"/>
      <c r="CBU25" s="93"/>
      <c r="CBV25" s="30"/>
      <c r="CCA25" s="93"/>
      <c r="CCB25" s="30"/>
      <c r="CCG25" s="93"/>
      <c r="CCH25" s="30"/>
      <c r="CCM25" s="93"/>
      <c r="CCN25" s="30"/>
      <c r="CCS25" s="93"/>
      <c r="CCT25" s="30"/>
      <c r="CCY25" s="93"/>
      <c r="CCZ25" s="30"/>
      <c r="CDE25" s="93"/>
      <c r="CDF25" s="30"/>
      <c r="CDK25" s="93"/>
      <c r="CDL25" s="30"/>
      <c r="CDQ25" s="93"/>
      <c r="CDR25" s="30"/>
      <c r="CDW25" s="93"/>
      <c r="CDX25" s="30"/>
      <c r="CEC25" s="93"/>
      <c r="CED25" s="30"/>
      <c r="CEI25" s="93"/>
      <c r="CEJ25" s="30"/>
      <c r="CEO25" s="93"/>
      <c r="CEP25" s="30"/>
      <c r="CEU25" s="93"/>
      <c r="CEV25" s="30"/>
      <c r="CFA25" s="93"/>
      <c r="CFB25" s="30"/>
      <c r="CFG25" s="93"/>
      <c r="CFH25" s="30"/>
      <c r="CFM25" s="93"/>
      <c r="CFN25" s="30"/>
      <c r="CFS25" s="93"/>
      <c r="CFT25" s="30"/>
      <c r="CFY25" s="93"/>
      <c r="CFZ25" s="30"/>
      <c r="CGE25" s="93"/>
      <c r="CGF25" s="30"/>
      <c r="CGK25" s="93"/>
      <c r="CGL25" s="30"/>
      <c r="CGQ25" s="93"/>
      <c r="CGR25" s="30"/>
      <c r="CGW25" s="93"/>
      <c r="CGX25" s="30"/>
      <c r="CHC25" s="93"/>
      <c r="CHD25" s="30"/>
      <c r="CHI25" s="93"/>
      <c r="CHJ25" s="30"/>
      <c r="CHO25" s="93"/>
      <c r="CHP25" s="30"/>
      <c r="CHU25" s="93"/>
      <c r="CHV25" s="30"/>
      <c r="CIA25" s="93"/>
      <c r="CIB25" s="30"/>
      <c r="CIG25" s="93"/>
      <c r="CIH25" s="30"/>
      <c r="CIM25" s="93"/>
      <c r="CIN25" s="30"/>
      <c r="CIS25" s="93"/>
      <c r="CIT25" s="30"/>
      <c r="CIY25" s="93"/>
      <c r="CIZ25" s="30"/>
      <c r="CJE25" s="93"/>
      <c r="CJF25" s="30"/>
      <c r="CJK25" s="93"/>
      <c r="CJL25" s="30"/>
      <c r="CJQ25" s="93"/>
      <c r="CJR25" s="30"/>
      <c r="CJW25" s="93"/>
      <c r="CJX25" s="30"/>
      <c r="CKC25" s="93"/>
      <c r="CKD25" s="30"/>
      <c r="CKI25" s="93"/>
      <c r="CKJ25" s="30"/>
      <c r="CKO25" s="93"/>
      <c r="CKP25" s="30"/>
      <c r="CKU25" s="93"/>
      <c r="CKV25" s="30"/>
      <c r="CLA25" s="93"/>
      <c r="CLB25" s="30"/>
      <c r="CLG25" s="93"/>
      <c r="CLH25" s="30"/>
      <c r="CLM25" s="93"/>
      <c r="CLN25" s="30"/>
      <c r="CLS25" s="93"/>
      <c r="CLT25" s="30"/>
      <c r="CLY25" s="93"/>
      <c r="CLZ25" s="30"/>
      <c r="CME25" s="93"/>
      <c r="CMF25" s="30"/>
      <c r="CMK25" s="93"/>
      <c r="CML25" s="30"/>
      <c r="CMQ25" s="93"/>
      <c r="CMR25" s="30"/>
      <c r="CMW25" s="93"/>
      <c r="CMX25" s="30"/>
      <c r="CNC25" s="93"/>
      <c r="CND25" s="30"/>
      <c r="CNI25" s="93"/>
      <c r="CNJ25" s="30"/>
      <c r="CNO25" s="93"/>
      <c r="CNP25" s="30"/>
      <c r="CNU25" s="93"/>
      <c r="CNV25" s="30"/>
      <c r="COA25" s="93"/>
      <c r="COB25" s="30"/>
      <c r="COG25" s="93"/>
      <c r="COH25" s="30"/>
      <c r="COM25" s="93"/>
      <c r="CON25" s="30"/>
      <c r="COS25" s="93"/>
      <c r="COT25" s="30"/>
      <c r="COY25" s="93"/>
      <c r="COZ25" s="30"/>
      <c r="CPE25" s="93"/>
      <c r="CPF25" s="30"/>
      <c r="CPK25" s="93"/>
      <c r="CPL25" s="30"/>
      <c r="CPQ25" s="93"/>
      <c r="CPR25" s="30"/>
      <c r="CPW25" s="93"/>
      <c r="CPX25" s="30"/>
      <c r="CQC25" s="93"/>
      <c r="CQD25" s="30"/>
      <c r="CQI25" s="93"/>
      <c r="CQJ25" s="30"/>
      <c r="CQO25" s="93"/>
      <c r="CQP25" s="30"/>
      <c r="CQU25" s="93"/>
      <c r="CQV25" s="30"/>
      <c r="CRA25" s="93"/>
      <c r="CRB25" s="30"/>
      <c r="CRG25" s="93"/>
      <c r="CRH25" s="30"/>
      <c r="CRM25" s="93"/>
      <c r="CRN25" s="30"/>
      <c r="CRS25" s="93"/>
      <c r="CRT25" s="30"/>
      <c r="CRY25" s="93"/>
      <c r="CRZ25" s="30"/>
      <c r="CSE25" s="93"/>
      <c r="CSF25" s="30"/>
      <c r="CSK25" s="93"/>
      <c r="CSL25" s="30"/>
      <c r="CSQ25" s="93"/>
      <c r="CSR25" s="30"/>
      <c r="CSW25" s="93"/>
      <c r="CSX25" s="30"/>
      <c r="CTC25" s="93"/>
      <c r="CTD25" s="30"/>
      <c r="CTI25" s="93"/>
      <c r="CTJ25" s="30"/>
      <c r="CTO25" s="93"/>
      <c r="CTP25" s="30"/>
      <c r="CTU25" s="93"/>
      <c r="CTV25" s="30"/>
      <c r="CUA25" s="93"/>
      <c r="CUB25" s="30"/>
      <c r="CUG25" s="93"/>
      <c r="CUH25" s="30"/>
      <c r="CUM25" s="93"/>
      <c r="CUN25" s="30"/>
      <c r="CUS25" s="93"/>
      <c r="CUT25" s="30"/>
      <c r="CUY25" s="93"/>
      <c r="CUZ25" s="30"/>
      <c r="CVE25" s="93"/>
      <c r="CVF25" s="30"/>
      <c r="CVK25" s="93"/>
      <c r="CVL25" s="30"/>
      <c r="CVQ25" s="93"/>
      <c r="CVR25" s="30"/>
      <c r="CVW25" s="93"/>
      <c r="CVX25" s="30"/>
      <c r="CWC25" s="93"/>
      <c r="CWD25" s="30"/>
      <c r="CWI25" s="93"/>
      <c r="CWJ25" s="30"/>
      <c r="CWO25" s="93"/>
      <c r="CWP25" s="30"/>
      <c r="CWU25" s="93"/>
      <c r="CWV25" s="30"/>
      <c r="CXA25" s="93"/>
      <c r="CXB25" s="30"/>
      <c r="CXG25" s="93"/>
      <c r="CXH25" s="30"/>
      <c r="CXM25" s="93"/>
      <c r="CXN25" s="30"/>
      <c r="CXS25" s="93"/>
      <c r="CXT25" s="30"/>
      <c r="CXY25" s="93"/>
      <c r="CXZ25" s="30"/>
      <c r="CYE25" s="93"/>
      <c r="CYF25" s="30"/>
      <c r="CYK25" s="93"/>
      <c r="CYL25" s="30"/>
      <c r="CYQ25" s="93"/>
      <c r="CYR25" s="30"/>
      <c r="CYW25" s="93"/>
      <c r="CYX25" s="30"/>
      <c r="CZC25" s="93"/>
      <c r="CZD25" s="30"/>
      <c r="CZI25" s="93"/>
      <c r="CZJ25" s="30"/>
      <c r="CZO25" s="93"/>
      <c r="CZP25" s="30"/>
      <c r="CZU25" s="93"/>
      <c r="CZV25" s="30"/>
      <c r="DAA25" s="93"/>
      <c r="DAB25" s="30"/>
      <c r="DAG25" s="93"/>
      <c r="DAH25" s="30"/>
      <c r="DAM25" s="93"/>
      <c r="DAN25" s="30"/>
      <c r="DAS25" s="93"/>
      <c r="DAT25" s="30"/>
      <c r="DAY25" s="93"/>
      <c r="DAZ25" s="30"/>
      <c r="DBE25" s="93"/>
      <c r="DBF25" s="30"/>
      <c r="DBK25" s="93"/>
      <c r="DBL25" s="30"/>
      <c r="DBQ25" s="93"/>
      <c r="DBR25" s="30"/>
      <c r="DBW25" s="93"/>
      <c r="DBX25" s="30"/>
      <c r="DCC25" s="93"/>
      <c r="DCD25" s="30"/>
      <c r="DCI25" s="93"/>
      <c r="DCJ25" s="30"/>
      <c r="DCO25" s="93"/>
      <c r="DCP25" s="30"/>
      <c r="DCU25" s="93"/>
      <c r="DCV25" s="30"/>
      <c r="DDA25" s="93"/>
      <c r="DDB25" s="30"/>
      <c r="DDG25" s="93"/>
      <c r="DDH25" s="30"/>
      <c r="DDM25" s="93"/>
      <c r="DDN25" s="30"/>
      <c r="DDS25" s="93"/>
      <c r="DDT25" s="30"/>
      <c r="DDY25" s="93"/>
      <c r="DDZ25" s="30"/>
      <c r="DEE25" s="93"/>
      <c r="DEF25" s="30"/>
      <c r="DEK25" s="93"/>
      <c r="DEL25" s="30"/>
      <c r="DEQ25" s="93"/>
      <c r="DER25" s="30"/>
      <c r="DEW25" s="93"/>
      <c r="DEX25" s="30"/>
      <c r="DFC25" s="93"/>
      <c r="DFD25" s="30"/>
      <c r="DFI25" s="93"/>
      <c r="DFJ25" s="30"/>
      <c r="DFO25" s="93"/>
      <c r="DFP25" s="30"/>
      <c r="DFU25" s="93"/>
      <c r="DFV25" s="30"/>
      <c r="DGA25" s="93"/>
      <c r="DGB25" s="30"/>
      <c r="DGG25" s="93"/>
      <c r="DGH25" s="30"/>
      <c r="DGM25" s="93"/>
      <c r="DGN25" s="30"/>
      <c r="DGS25" s="93"/>
      <c r="DGT25" s="30"/>
      <c r="DGY25" s="93"/>
      <c r="DGZ25" s="30"/>
      <c r="DHE25" s="93"/>
      <c r="DHF25" s="30"/>
      <c r="DHK25" s="93"/>
      <c r="DHL25" s="30"/>
      <c r="DHQ25" s="93"/>
      <c r="DHR25" s="30"/>
      <c r="DHW25" s="93"/>
      <c r="DHX25" s="30"/>
      <c r="DIC25" s="93"/>
      <c r="DID25" s="30"/>
      <c r="DII25" s="93"/>
      <c r="DIJ25" s="30"/>
      <c r="DIO25" s="93"/>
      <c r="DIP25" s="30"/>
      <c r="DIU25" s="93"/>
      <c r="DIV25" s="30"/>
      <c r="DJA25" s="93"/>
      <c r="DJB25" s="30"/>
      <c r="DJG25" s="93"/>
      <c r="DJH25" s="30"/>
      <c r="DJM25" s="93"/>
      <c r="DJN25" s="30"/>
      <c r="DJS25" s="93"/>
      <c r="DJT25" s="30"/>
      <c r="DJY25" s="93"/>
      <c r="DJZ25" s="30"/>
      <c r="DKE25" s="93"/>
      <c r="DKF25" s="30"/>
      <c r="DKK25" s="93"/>
      <c r="DKL25" s="30"/>
      <c r="DKQ25" s="93"/>
      <c r="DKR25" s="30"/>
      <c r="DKW25" s="93"/>
      <c r="DKX25" s="30"/>
      <c r="DLC25" s="93"/>
      <c r="DLD25" s="30"/>
      <c r="DLI25" s="93"/>
      <c r="DLJ25" s="30"/>
      <c r="DLO25" s="93"/>
      <c r="DLP25" s="30"/>
      <c r="DLU25" s="93"/>
      <c r="DLV25" s="30"/>
      <c r="DMA25" s="93"/>
      <c r="DMB25" s="30"/>
      <c r="DMG25" s="93"/>
      <c r="DMH25" s="30"/>
      <c r="DMM25" s="93"/>
      <c r="DMN25" s="30"/>
      <c r="DMS25" s="93"/>
      <c r="DMT25" s="30"/>
      <c r="DMY25" s="93"/>
      <c r="DMZ25" s="30"/>
      <c r="DNE25" s="93"/>
      <c r="DNF25" s="30"/>
      <c r="DNK25" s="93"/>
      <c r="DNL25" s="30"/>
      <c r="DNQ25" s="93"/>
      <c r="DNR25" s="30"/>
      <c r="DNW25" s="93"/>
      <c r="DNX25" s="30"/>
      <c r="DOC25" s="93"/>
      <c r="DOD25" s="30"/>
      <c r="DOI25" s="93"/>
      <c r="DOJ25" s="30"/>
      <c r="DOO25" s="93"/>
      <c r="DOP25" s="30"/>
      <c r="DOU25" s="93"/>
      <c r="DOV25" s="30"/>
      <c r="DPA25" s="93"/>
      <c r="DPB25" s="30"/>
      <c r="DPG25" s="93"/>
      <c r="DPH25" s="30"/>
      <c r="DPM25" s="93"/>
      <c r="DPN25" s="30"/>
      <c r="DPS25" s="93"/>
      <c r="DPT25" s="30"/>
      <c r="DPY25" s="93"/>
      <c r="DPZ25" s="30"/>
      <c r="DQE25" s="93"/>
      <c r="DQF25" s="30"/>
      <c r="DQK25" s="93"/>
      <c r="DQL25" s="30"/>
      <c r="DQQ25" s="93"/>
      <c r="DQR25" s="30"/>
      <c r="DQW25" s="93"/>
      <c r="DQX25" s="30"/>
      <c r="DRC25" s="93"/>
      <c r="DRD25" s="30"/>
      <c r="DRI25" s="93"/>
      <c r="DRJ25" s="30"/>
      <c r="DRO25" s="93"/>
      <c r="DRP25" s="30"/>
      <c r="DRU25" s="93"/>
      <c r="DRV25" s="30"/>
      <c r="DSA25" s="93"/>
      <c r="DSB25" s="30"/>
      <c r="DSG25" s="93"/>
      <c r="DSH25" s="30"/>
      <c r="DSM25" s="93"/>
      <c r="DSN25" s="30"/>
      <c r="DSS25" s="93"/>
      <c r="DST25" s="30"/>
      <c r="DSY25" s="93"/>
      <c r="DSZ25" s="30"/>
      <c r="DTE25" s="93"/>
      <c r="DTF25" s="30"/>
      <c r="DTK25" s="93"/>
      <c r="DTL25" s="30"/>
      <c r="DTQ25" s="93"/>
      <c r="DTR25" s="30"/>
      <c r="DTW25" s="93"/>
      <c r="DTX25" s="30"/>
      <c r="DUC25" s="93"/>
      <c r="DUD25" s="30"/>
      <c r="DUI25" s="93"/>
      <c r="DUJ25" s="30"/>
      <c r="DUO25" s="93"/>
      <c r="DUP25" s="30"/>
      <c r="DUU25" s="93"/>
      <c r="DUV25" s="30"/>
      <c r="DVA25" s="93"/>
      <c r="DVB25" s="30"/>
      <c r="DVG25" s="93"/>
      <c r="DVH25" s="30"/>
      <c r="DVM25" s="93"/>
      <c r="DVN25" s="30"/>
      <c r="DVS25" s="93"/>
      <c r="DVT25" s="30"/>
      <c r="DVY25" s="93"/>
      <c r="DVZ25" s="30"/>
      <c r="DWE25" s="93"/>
      <c r="DWF25" s="30"/>
      <c r="DWK25" s="93"/>
      <c r="DWL25" s="30"/>
      <c r="DWQ25" s="93"/>
      <c r="DWR25" s="30"/>
      <c r="DWW25" s="93"/>
      <c r="DWX25" s="30"/>
      <c r="DXC25" s="93"/>
      <c r="DXD25" s="30"/>
      <c r="DXI25" s="93"/>
      <c r="DXJ25" s="30"/>
      <c r="DXO25" s="93"/>
      <c r="DXP25" s="30"/>
      <c r="DXU25" s="93"/>
      <c r="DXV25" s="30"/>
      <c r="DYA25" s="93"/>
      <c r="DYB25" s="30"/>
      <c r="DYG25" s="93"/>
      <c r="DYH25" s="30"/>
      <c r="DYM25" s="93"/>
      <c r="DYN25" s="30"/>
      <c r="DYS25" s="93"/>
      <c r="DYT25" s="30"/>
      <c r="DYY25" s="93"/>
      <c r="DYZ25" s="30"/>
      <c r="DZE25" s="93"/>
      <c r="DZF25" s="30"/>
      <c r="DZK25" s="93"/>
      <c r="DZL25" s="30"/>
      <c r="DZQ25" s="93"/>
      <c r="DZR25" s="30"/>
      <c r="DZW25" s="93"/>
      <c r="DZX25" s="30"/>
      <c r="EAC25" s="93"/>
      <c r="EAD25" s="30"/>
      <c r="EAI25" s="93"/>
      <c r="EAJ25" s="30"/>
      <c r="EAO25" s="93"/>
      <c r="EAP25" s="30"/>
      <c r="EAU25" s="93"/>
      <c r="EAV25" s="30"/>
      <c r="EBA25" s="93"/>
      <c r="EBB25" s="30"/>
      <c r="EBG25" s="93"/>
      <c r="EBH25" s="30"/>
      <c r="EBM25" s="93"/>
      <c r="EBN25" s="30"/>
      <c r="EBS25" s="93"/>
      <c r="EBT25" s="30"/>
      <c r="EBY25" s="93"/>
      <c r="EBZ25" s="30"/>
      <c r="ECE25" s="93"/>
      <c r="ECF25" s="30"/>
      <c r="ECK25" s="93"/>
      <c r="ECL25" s="30"/>
      <c r="ECQ25" s="93"/>
      <c r="ECR25" s="30"/>
      <c r="ECW25" s="93"/>
      <c r="ECX25" s="30"/>
      <c r="EDC25" s="93"/>
      <c r="EDD25" s="30"/>
      <c r="EDI25" s="93"/>
      <c r="EDJ25" s="30"/>
      <c r="EDO25" s="93"/>
      <c r="EDP25" s="30"/>
      <c r="EDU25" s="93"/>
      <c r="EDV25" s="30"/>
      <c r="EEA25" s="93"/>
      <c r="EEB25" s="30"/>
      <c r="EEG25" s="93"/>
      <c r="EEH25" s="30"/>
      <c r="EEM25" s="93"/>
      <c r="EEN25" s="30"/>
      <c r="EES25" s="93"/>
      <c r="EET25" s="30"/>
      <c r="EEY25" s="93"/>
      <c r="EEZ25" s="30"/>
      <c r="EFE25" s="93"/>
      <c r="EFF25" s="30"/>
      <c r="EFK25" s="93"/>
      <c r="EFL25" s="30"/>
      <c r="EFQ25" s="93"/>
      <c r="EFR25" s="30"/>
      <c r="EFW25" s="93"/>
      <c r="EFX25" s="30"/>
      <c r="EGC25" s="93"/>
      <c r="EGD25" s="30"/>
      <c r="EGI25" s="93"/>
      <c r="EGJ25" s="30"/>
      <c r="EGO25" s="93"/>
      <c r="EGP25" s="30"/>
      <c r="EGU25" s="93"/>
      <c r="EGV25" s="30"/>
      <c r="EHA25" s="93"/>
      <c r="EHB25" s="30"/>
      <c r="EHG25" s="93"/>
      <c r="EHH25" s="30"/>
      <c r="EHM25" s="93"/>
      <c r="EHN25" s="30"/>
      <c r="EHS25" s="93"/>
      <c r="EHT25" s="30"/>
      <c r="EHY25" s="93"/>
      <c r="EHZ25" s="30"/>
      <c r="EIE25" s="93"/>
      <c r="EIF25" s="30"/>
      <c r="EIK25" s="93"/>
      <c r="EIL25" s="30"/>
      <c r="EIQ25" s="93"/>
      <c r="EIR25" s="30"/>
      <c r="EIW25" s="93"/>
      <c r="EIX25" s="30"/>
      <c r="EJC25" s="93"/>
      <c r="EJD25" s="30"/>
      <c r="EJI25" s="93"/>
      <c r="EJJ25" s="30"/>
      <c r="EJO25" s="93"/>
      <c r="EJP25" s="30"/>
      <c r="EJU25" s="93"/>
      <c r="EJV25" s="30"/>
      <c r="EKA25" s="93"/>
      <c r="EKB25" s="30"/>
      <c r="EKG25" s="93"/>
      <c r="EKH25" s="30"/>
      <c r="EKM25" s="93"/>
      <c r="EKN25" s="30"/>
      <c r="EKS25" s="93"/>
      <c r="EKT25" s="30"/>
      <c r="EKY25" s="93"/>
      <c r="EKZ25" s="30"/>
      <c r="ELE25" s="93"/>
      <c r="ELF25" s="30"/>
      <c r="ELK25" s="93"/>
      <c r="ELL25" s="30"/>
      <c r="ELQ25" s="93"/>
      <c r="ELR25" s="30"/>
      <c r="ELW25" s="93"/>
      <c r="ELX25" s="30"/>
      <c r="EMC25" s="93"/>
      <c r="EMD25" s="30"/>
      <c r="EMI25" s="93"/>
      <c r="EMJ25" s="30"/>
      <c r="EMO25" s="93"/>
      <c r="EMP25" s="30"/>
      <c r="EMU25" s="93"/>
      <c r="EMV25" s="30"/>
      <c r="ENA25" s="93"/>
      <c r="ENB25" s="30"/>
      <c r="ENG25" s="93"/>
      <c r="ENH25" s="30"/>
      <c r="ENM25" s="93"/>
      <c r="ENN25" s="30"/>
      <c r="ENS25" s="93"/>
      <c r="ENT25" s="30"/>
      <c r="ENY25" s="93"/>
      <c r="ENZ25" s="30"/>
      <c r="EOE25" s="93"/>
      <c r="EOF25" s="30"/>
      <c r="EOK25" s="93"/>
      <c r="EOL25" s="30"/>
      <c r="EOQ25" s="93"/>
      <c r="EOR25" s="30"/>
      <c r="EOW25" s="93"/>
      <c r="EOX25" s="30"/>
      <c r="EPC25" s="93"/>
      <c r="EPD25" s="30"/>
      <c r="EPI25" s="93"/>
      <c r="EPJ25" s="30"/>
      <c r="EPO25" s="93"/>
      <c r="EPP25" s="30"/>
      <c r="EPU25" s="93"/>
      <c r="EPV25" s="30"/>
      <c r="EQA25" s="93"/>
      <c r="EQB25" s="30"/>
      <c r="EQG25" s="93"/>
      <c r="EQH25" s="30"/>
      <c r="EQM25" s="93"/>
      <c r="EQN25" s="30"/>
      <c r="EQS25" s="93"/>
      <c r="EQT25" s="30"/>
      <c r="EQY25" s="93"/>
      <c r="EQZ25" s="30"/>
      <c r="ERE25" s="93"/>
      <c r="ERF25" s="30"/>
      <c r="ERK25" s="93"/>
      <c r="ERL25" s="30"/>
      <c r="ERQ25" s="93"/>
      <c r="ERR25" s="30"/>
      <c r="ERW25" s="93"/>
      <c r="ERX25" s="30"/>
      <c r="ESC25" s="93"/>
      <c r="ESD25" s="30"/>
      <c r="ESI25" s="93"/>
      <c r="ESJ25" s="30"/>
      <c r="ESO25" s="93"/>
      <c r="ESP25" s="30"/>
      <c r="ESU25" s="93"/>
      <c r="ESV25" s="30"/>
      <c r="ETA25" s="93"/>
      <c r="ETB25" s="30"/>
      <c r="ETG25" s="93"/>
      <c r="ETH25" s="30"/>
      <c r="ETM25" s="93"/>
      <c r="ETN25" s="30"/>
      <c r="ETS25" s="93"/>
      <c r="ETT25" s="30"/>
      <c r="ETY25" s="93"/>
      <c r="ETZ25" s="30"/>
      <c r="EUE25" s="93"/>
      <c r="EUF25" s="30"/>
      <c r="EUK25" s="93"/>
      <c r="EUL25" s="30"/>
      <c r="EUQ25" s="93"/>
      <c r="EUR25" s="30"/>
      <c r="EUW25" s="93"/>
      <c r="EUX25" s="30"/>
      <c r="EVC25" s="93"/>
      <c r="EVD25" s="30"/>
      <c r="EVI25" s="93"/>
      <c r="EVJ25" s="30"/>
      <c r="EVO25" s="93"/>
      <c r="EVP25" s="30"/>
      <c r="EVU25" s="93"/>
      <c r="EVV25" s="30"/>
      <c r="EWA25" s="93"/>
      <c r="EWB25" s="30"/>
      <c r="EWG25" s="93"/>
      <c r="EWH25" s="30"/>
      <c r="EWM25" s="93"/>
      <c r="EWN25" s="30"/>
      <c r="EWS25" s="93"/>
      <c r="EWT25" s="30"/>
      <c r="EWY25" s="93"/>
      <c r="EWZ25" s="30"/>
      <c r="EXE25" s="93"/>
      <c r="EXF25" s="30"/>
      <c r="EXK25" s="93"/>
      <c r="EXL25" s="30"/>
      <c r="EXQ25" s="93"/>
      <c r="EXR25" s="30"/>
      <c r="EXW25" s="93"/>
      <c r="EXX25" s="30"/>
      <c r="EYC25" s="93"/>
      <c r="EYD25" s="30"/>
      <c r="EYI25" s="93"/>
      <c r="EYJ25" s="30"/>
      <c r="EYO25" s="93"/>
      <c r="EYP25" s="30"/>
      <c r="EYU25" s="93"/>
      <c r="EYV25" s="30"/>
      <c r="EZA25" s="93"/>
      <c r="EZB25" s="30"/>
      <c r="EZG25" s="93"/>
      <c r="EZH25" s="30"/>
      <c r="EZM25" s="93"/>
      <c r="EZN25" s="30"/>
      <c r="EZS25" s="93"/>
      <c r="EZT25" s="30"/>
      <c r="EZY25" s="93"/>
      <c r="EZZ25" s="30"/>
      <c r="FAE25" s="93"/>
      <c r="FAF25" s="30"/>
      <c r="FAK25" s="93"/>
      <c r="FAL25" s="30"/>
      <c r="FAQ25" s="93"/>
      <c r="FAR25" s="30"/>
      <c r="FAW25" s="93"/>
      <c r="FAX25" s="30"/>
      <c r="FBC25" s="93"/>
      <c r="FBD25" s="30"/>
      <c r="FBI25" s="93"/>
      <c r="FBJ25" s="30"/>
      <c r="FBO25" s="93"/>
      <c r="FBP25" s="30"/>
      <c r="FBU25" s="93"/>
      <c r="FBV25" s="30"/>
      <c r="FCA25" s="93"/>
      <c r="FCB25" s="30"/>
      <c r="FCG25" s="93"/>
      <c r="FCH25" s="30"/>
      <c r="FCM25" s="93"/>
      <c r="FCN25" s="30"/>
      <c r="FCS25" s="93"/>
      <c r="FCT25" s="30"/>
      <c r="FCY25" s="93"/>
      <c r="FCZ25" s="30"/>
      <c r="FDE25" s="93"/>
      <c r="FDF25" s="30"/>
      <c r="FDK25" s="93"/>
      <c r="FDL25" s="30"/>
      <c r="FDQ25" s="93"/>
      <c r="FDR25" s="30"/>
      <c r="FDW25" s="93"/>
      <c r="FDX25" s="30"/>
      <c r="FEC25" s="93"/>
      <c r="FED25" s="30"/>
      <c r="FEI25" s="93"/>
      <c r="FEJ25" s="30"/>
      <c r="FEO25" s="93"/>
      <c r="FEP25" s="30"/>
      <c r="FEU25" s="93"/>
      <c r="FEV25" s="30"/>
      <c r="FFA25" s="93"/>
      <c r="FFB25" s="30"/>
      <c r="FFG25" s="93"/>
      <c r="FFH25" s="30"/>
      <c r="FFM25" s="93"/>
      <c r="FFN25" s="30"/>
      <c r="FFS25" s="93"/>
      <c r="FFT25" s="30"/>
      <c r="FFY25" s="93"/>
      <c r="FFZ25" s="30"/>
      <c r="FGE25" s="93"/>
      <c r="FGF25" s="30"/>
      <c r="FGK25" s="93"/>
      <c r="FGL25" s="30"/>
      <c r="FGQ25" s="93"/>
      <c r="FGR25" s="30"/>
      <c r="FGW25" s="93"/>
      <c r="FGX25" s="30"/>
      <c r="FHC25" s="93"/>
      <c r="FHD25" s="30"/>
      <c r="FHI25" s="93"/>
      <c r="FHJ25" s="30"/>
      <c r="FHO25" s="93"/>
      <c r="FHP25" s="30"/>
      <c r="FHU25" s="93"/>
      <c r="FHV25" s="30"/>
      <c r="FIA25" s="93"/>
      <c r="FIB25" s="30"/>
      <c r="FIG25" s="93"/>
      <c r="FIH25" s="30"/>
      <c r="FIM25" s="93"/>
      <c r="FIN25" s="30"/>
      <c r="FIS25" s="93"/>
      <c r="FIT25" s="30"/>
      <c r="FIY25" s="93"/>
      <c r="FIZ25" s="30"/>
      <c r="FJE25" s="93"/>
      <c r="FJF25" s="30"/>
      <c r="FJK25" s="93"/>
      <c r="FJL25" s="30"/>
      <c r="FJQ25" s="93"/>
      <c r="FJR25" s="30"/>
      <c r="FJW25" s="93"/>
      <c r="FJX25" s="30"/>
      <c r="FKC25" s="93"/>
      <c r="FKD25" s="30"/>
      <c r="FKI25" s="93"/>
      <c r="FKJ25" s="30"/>
      <c r="FKO25" s="93"/>
      <c r="FKP25" s="30"/>
      <c r="FKU25" s="93"/>
      <c r="FKV25" s="30"/>
      <c r="FLA25" s="93"/>
      <c r="FLB25" s="30"/>
      <c r="FLG25" s="93"/>
      <c r="FLH25" s="30"/>
      <c r="FLM25" s="93"/>
      <c r="FLN25" s="30"/>
      <c r="FLS25" s="93"/>
      <c r="FLT25" s="30"/>
      <c r="FLY25" s="93"/>
      <c r="FLZ25" s="30"/>
      <c r="FME25" s="93"/>
      <c r="FMF25" s="30"/>
      <c r="FMK25" s="93"/>
      <c r="FML25" s="30"/>
      <c r="FMQ25" s="93"/>
      <c r="FMR25" s="30"/>
      <c r="FMW25" s="93"/>
      <c r="FMX25" s="30"/>
      <c r="FNC25" s="93"/>
      <c r="FND25" s="30"/>
      <c r="FNI25" s="93"/>
      <c r="FNJ25" s="30"/>
      <c r="FNO25" s="93"/>
      <c r="FNP25" s="30"/>
      <c r="FNU25" s="93"/>
      <c r="FNV25" s="30"/>
      <c r="FOA25" s="93"/>
      <c r="FOB25" s="30"/>
      <c r="FOG25" s="93"/>
      <c r="FOH25" s="30"/>
      <c r="FOM25" s="93"/>
      <c r="FON25" s="30"/>
      <c r="FOS25" s="93"/>
      <c r="FOT25" s="30"/>
      <c r="FOY25" s="93"/>
      <c r="FOZ25" s="30"/>
      <c r="FPE25" s="93"/>
      <c r="FPF25" s="30"/>
      <c r="FPK25" s="93"/>
      <c r="FPL25" s="30"/>
      <c r="FPQ25" s="93"/>
      <c r="FPR25" s="30"/>
      <c r="FPW25" s="93"/>
      <c r="FPX25" s="30"/>
      <c r="FQC25" s="93"/>
      <c r="FQD25" s="30"/>
      <c r="FQI25" s="93"/>
      <c r="FQJ25" s="30"/>
      <c r="FQO25" s="93"/>
      <c r="FQP25" s="30"/>
      <c r="FQU25" s="93"/>
      <c r="FQV25" s="30"/>
      <c r="FRA25" s="93"/>
      <c r="FRB25" s="30"/>
      <c r="FRG25" s="93"/>
      <c r="FRH25" s="30"/>
      <c r="FRM25" s="93"/>
      <c r="FRN25" s="30"/>
      <c r="FRS25" s="93"/>
      <c r="FRT25" s="30"/>
      <c r="FRY25" s="93"/>
      <c r="FRZ25" s="30"/>
      <c r="FSE25" s="93"/>
      <c r="FSF25" s="30"/>
      <c r="FSK25" s="93"/>
      <c r="FSL25" s="30"/>
      <c r="FSQ25" s="93"/>
      <c r="FSR25" s="30"/>
      <c r="FSW25" s="93"/>
      <c r="FSX25" s="30"/>
      <c r="FTC25" s="93"/>
      <c r="FTD25" s="30"/>
      <c r="FTI25" s="93"/>
      <c r="FTJ25" s="30"/>
      <c r="FTO25" s="93"/>
      <c r="FTP25" s="30"/>
      <c r="FTU25" s="93"/>
      <c r="FTV25" s="30"/>
      <c r="FUA25" s="93"/>
      <c r="FUB25" s="30"/>
      <c r="FUG25" s="93"/>
      <c r="FUH25" s="30"/>
      <c r="FUM25" s="93"/>
      <c r="FUN25" s="30"/>
      <c r="FUS25" s="93"/>
      <c r="FUT25" s="30"/>
      <c r="FUY25" s="93"/>
      <c r="FUZ25" s="30"/>
      <c r="FVE25" s="93"/>
      <c r="FVF25" s="30"/>
      <c r="FVK25" s="93"/>
      <c r="FVL25" s="30"/>
      <c r="FVQ25" s="93"/>
      <c r="FVR25" s="30"/>
      <c r="FVW25" s="93"/>
      <c r="FVX25" s="30"/>
      <c r="FWC25" s="93"/>
      <c r="FWD25" s="30"/>
      <c r="FWI25" s="93"/>
      <c r="FWJ25" s="30"/>
      <c r="FWO25" s="93"/>
      <c r="FWP25" s="30"/>
      <c r="FWU25" s="93"/>
      <c r="FWV25" s="30"/>
      <c r="FXA25" s="93"/>
      <c r="FXB25" s="30"/>
      <c r="FXG25" s="93"/>
      <c r="FXH25" s="30"/>
      <c r="FXM25" s="93"/>
      <c r="FXN25" s="30"/>
      <c r="FXS25" s="93"/>
      <c r="FXT25" s="30"/>
      <c r="FXY25" s="93"/>
      <c r="FXZ25" s="30"/>
      <c r="FYE25" s="93"/>
      <c r="FYF25" s="30"/>
      <c r="FYK25" s="93"/>
      <c r="FYL25" s="30"/>
      <c r="FYQ25" s="93"/>
      <c r="FYR25" s="30"/>
      <c r="FYW25" s="93"/>
      <c r="FYX25" s="30"/>
      <c r="FZC25" s="93"/>
      <c r="FZD25" s="30"/>
      <c r="FZI25" s="93"/>
      <c r="FZJ25" s="30"/>
      <c r="FZO25" s="93"/>
      <c r="FZP25" s="30"/>
      <c r="FZU25" s="93"/>
      <c r="FZV25" s="30"/>
      <c r="GAA25" s="93"/>
      <c r="GAB25" s="30"/>
      <c r="GAG25" s="93"/>
      <c r="GAH25" s="30"/>
      <c r="GAM25" s="93"/>
      <c r="GAN25" s="30"/>
      <c r="GAS25" s="93"/>
      <c r="GAT25" s="30"/>
      <c r="GAY25" s="93"/>
      <c r="GAZ25" s="30"/>
      <c r="GBE25" s="93"/>
      <c r="GBF25" s="30"/>
      <c r="GBK25" s="93"/>
      <c r="GBL25" s="30"/>
      <c r="GBQ25" s="93"/>
      <c r="GBR25" s="30"/>
      <c r="GBW25" s="93"/>
      <c r="GBX25" s="30"/>
      <c r="GCC25" s="93"/>
      <c r="GCD25" s="30"/>
      <c r="GCI25" s="93"/>
      <c r="GCJ25" s="30"/>
      <c r="GCO25" s="93"/>
      <c r="GCP25" s="30"/>
      <c r="GCU25" s="93"/>
      <c r="GCV25" s="30"/>
      <c r="GDA25" s="93"/>
      <c r="GDB25" s="30"/>
      <c r="GDG25" s="93"/>
      <c r="GDH25" s="30"/>
      <c r="GDM25" s="93"/>
      <c r="GDN25" s="30"/>
      <c r="GDS25" s="93"/>
      <c r="GDT25" s="30"/>
      <c r="GDY25" s="93"/>
      <c r="GDZ25" s="30"/>
      <c r="GEE25" s="93"/>
      <c r="GEF25" s="30"/>
      <c r="GEK25" s="93"/>
      <c r="GEL25" s="30"/>
      <c r="GEQ25" s="93"/>
      <c r="GER25" s="30"/>
      <c r="GEW25" s="93"/>
      <c r="GEX25" s="30"/>
      <c r="GFC25" s="93"/>
      <c r="GFD25" s="30"/>
      <c r="GFI25" s="93"/>
      <c r="GFJ25" s="30"/>
      <c r="GFO25" s="93"/>
      <c r="GFP25" s="30"/>
      <c r="GFU25" s="93"/>
      <c r="GFV25" s="30"/>
      <c r="GGA25" s="93"/>
      <c r="GGB25" s="30"/>
      <c r="GGG25" s="93"/>
      <c r="GGH25" s="30"/>
      <c r="GGM25" s="93"/>
      <c r="GGN25" s="30"/>
      <c r="GGS25" s="93"/>
      <c r="GGT25" s="30"/>
      <c r="GGY25" s="93"/>
      <c r="GGZ25" s="30"/>
      <c r="GHE25" s="93"/>
      <c r="GHF25" s="30"/>
      <c r="GHK25" s="93"/>
      <c r="GHL25" s="30"/>
      <c r="GHQ25" s="93"/>
      <c r="GHR25" s="30"/>
      <c r="GHW25" s="93"/>
      <c r="GHX25" s="30"/>
      <c r="GIC25" s="93"/>
      <c r="GID25" s="30"/>
      <c r="GII25" s="93"/>
      <c r="GIJ25" s="30"/>
      <c r="GIO25" s="93"/>
      <c r="GIP25" s="30"/>
      <c r="GIU25" s="93"/>
      <c r="GIV25" s="30"/>
      <c r="GJA25" s="93"/>
      <c r="GJB25" s="30"/>
      <c r="GJG25" s="93"/>
      <c r="GJH25" s="30"/>
      <c r="GJM25" s="93"/>
      <c r="GJN25" s="30"/>
      <c r="GJS25" s="93"/>
      <c r="GJT25" s="30"/>
      <c r="GJY25" s="93"/>
      <c r="GJZ25" s="30"/>
      <c r="GKE25" s="93"/>
      <c r="GKF25" s="30"/>
      <c r="GKK25" s="93"/>
      <c r="GKL25" s="30"/>
      <c r="GKQ25" s="93"/>
      <c r="GKR25" s="30"/>
      <c r="GKW25" s="93"/>
      <c r="GKX25" s="30"/>
      <c r="GLC25" s="93"/>
      <c r="GLD25" s="30"/>
      <c r="GLI25" s="93"/>
      <c r="GLJ25" s="30"/>
      <c r="GLO25" s="93"/>
      <c r="GLP25" s="30"/>
      <c r="GLU25" s="93"/>
      <c r="GLV25" s="30"/>
      <c r="GMA25" s="93"/>
      <c r="GMB25" s="30"/>
      <c r="GMG25" s="93"/>
      <c r="GMH25" s="30"/>
      <c r="GMM25" s="93"/>
      <c r="GMN25" s="30"/>
      <c r="GMS25" s="93"/>
      <c r="GMT25" s="30"/>
      <c r="GMY25" s="93"/>
      <c r="GMZ25" s="30"/>
      <c r="GNE25" s="93"/>
      <c r="GNF25" s="30"/>
      <c r="GNK25" s="93"/>
      <c r="GNL25" s="30"/>
      <c r="GNQ25" s="93"/>
      <c r="GNR25" s="30"/>
      <c r="GNW25" s="93"/>
      <c r="GNX25" s="30"/>
      <c r="GOC25" s="93"/>
      <c r="GOD25" s="30"/>
      <c r="GOI25" s="93"/>
      <c r="GOJ25" s="30"/>
      <c r="GOO25" s="93"/>
      <c r="GOP25" s="30"/>
      <c r="GOU25" s="93"/>
      <c r="GOV25" s="30"/>
      <c r="GPA25" s="93"/>
      <c r="GPB25" s="30"/>
      <c r="GPG25" s="93"/>
      <c r="GPH25" s="30"/>
      <c r="GPM25" s="93"/>
      <c r="GPN25" s="30"/>
      <c r="GPS25" s="93"/>
      <c r="GPT25" s="30"/>
      <c r="GPY25" s="93"/>
      <c r="GPZ25" s="30"/>
      <c r="GQE25" s="93"/>
      <c r="GQF25" s="30"/>
      <c r="GQK25" s="93"/>
      <c r="GQL25" s="30"/>
      <c r="GQQ25" s="93"/>
      <c r="GQR25" s="30"/>
      <c r="GQW25" s="93"/>
      <c r="GQX25" s="30"/>
      <c r="GRC25" s="93"/>
      <c r="GRD25" s="30"/>
      <c r="GRI25" s="93"/>
      <c r="GRJ25" s="30"/>
      <c r="GRO25" s="93"/>
      <c r="GRP25" s="30"/>
      <c r="GRU25" s="93"/>
      <c r="GRV25" s="30"/>
      <c r="GSA25" s="93"/>
      <c r="GSB25" s="30"/>
      <c r="GSG25" s="93"/>
      <c r="GSH25" s="30"/>
      <c r="GSM25" s="93"/>
      <c r="GSN25" s="30"/>
      <c r="GSS25" s="93"/>
      <c r="GST25" s="30"/>
      <c r="GSY25" s="93"/>
      <c r="GSZ25" s="30"/>
      <c r="GTE25" s="93"/>
      <c r="GTF25" s="30"/>
      <c r="GTK25" s="93"/>
      <c r="GTL25" s="30"/>
      <c r="GTQ25" s="93"/>
      <c r="GTR25" s="30"/>
      <c r="GTW25" s="93"/>
      <c r="GTX25" s="30"/>
      <c r="GUC25" s="93"/>
      <c r="GUD25" s="30"/>
      <c r="GUI25" s="93"/>
      <c r="GUJ25" s="30"/>
      <c r="GUO25" s="93"/>
      <c r="GUP25" s="30"/>
      <c r="GUU25" s="93"/>
      <c r="GUV25" s="30"/>
      <c r="GVA25" s="93"/>
      <c r="GVB25" s="30"/>
      <c r="GVG25" s="93"/>
      <c r="GVH25" s="30"/>
      <c r="GVM25" s="93"/>
      <c r="GVN25" s="30"/>
      <c r="GVS25" s="93"/>
      <c r="GVT25" s="30"/>
      <c r="GVY25" s="93"/>
      <c r="GVZ25" s="30"/>
      <c r="GWE25" s="93"/>
      <c r="GWF25" s="30"/>
      <c r="GWK25" s="93"/>
      <c r="GWL25" s="30"/>
      <c r="GWQ25" s="93"/>
      <c r="GWR25" s="30"/>
      <c r="GWW25" s="93"/>
      <c r="GWX25" s="30"/>
      <c r="GXC25" s="93"/>
      <c r="GXD25" s="30"/>
      <c r="GXI25" s="93"/>
      <c r="GXJ25" s="30"/>
      <c r="GXO25" s="93"/>
      <c r="GXP25" s="30"/>
      <c r="GXU25" s="93"/>
      <c r="GXV25" s="30"/>
      <c r="GYA25" s="93"/>
      <c r="GYB25" s="30"/>
      <c r="GYG25" s="93"/>
      <c r="GYH25" s="30"/>
      <c r="GYM25" s="93"/>
      <c r="GYN25" s="30"/>
      <c r="GYS25" s="93"/>
      <c r="GYT25" s="30"/>
      <c r="GYY25" s="93"/>
      <c r="GYZ25" s="30"/>
      <c r="GZE25" s="93"/>
      <c r="GZF25" s="30"/>
      <c r="GZK25" s="93"/>
      <c r="GZL25" s="30"/>
      <c r="GZQ25" s="93"/>
      <c r="GZR25" s="30"/>
      <c r="GZW25" s="93"/>
      <c r="GZX25" s="30"/>
      <c r="HAC25" s="93"/>
      <c r="HAD25" s="30"/>
      <c r="HAI25" s="93"/>
      <c r="HAJ25" s="30"/>
      <c r="HAO25" s="93"/>
      <c r="HAP25" s="30"/>
      <c r="HAU25" s="93"/>
      <c r="HAV25" s="30"/>
      <c r="HBA25" s="93"/>
      <c r="HBB25" s="30"/>
      <c r="HBG25" s="93"/>
      <c r="HBH25" s="30"/>
      <c r="HBM25" s="93"/>
      <c r="HBN25" s="30"/>
      <c r="HBS25" s="93"/>
      <c r="HBT25" s="30"/>
      <c r="HBY25" s="93"/>
      <c r="HBZ25" s="30"/>
      <c r="HCE25" s="93"/>
      <c r="HCF25" s="30"/>
      <c r="HCK25" s="93"/>
      <c r="HCL25" s="30"/>
      <c r="HCQ25" s="93"/>
      <c r="HCR25" s="30"/>
      <c r="HCW25" s="93"/>
      <c r="HCX25" s="30"/>
      <c r="HDC25" s="93"/>
      <c r="HDD25" s="30"/>
      <c r="HDI25" s="93"/>
      <c r="HDJ25" s="30"/>
      <c r="HDO25" s="93"/>
      <c r="HDP25" s="30"/>
      <c r="HDU25" s="93"/>
      <c r="HDV25" s="30"/>
      <c r="HEA25" s="93"/>
      <c r="HEB25" s="30"/>
      <c r="HEG25" s="93"/>
      <c r="HEH25" s="30"/>
      <c r="HEM25" s="93"/>
      <c r="HEN25" s="30"/>
      <c r="HES25" s="93"/>
      <c r="HET25" s="30"/>
      <c r="HEY25" s="93"/>
      <c r="HEZ25" s="30"/>
      <c r="HFE25" s="93"/>
      <c r="HFF25" s="30"/>
      <c r="HFK25" s="93"/>
      <c r="HFL25" s="30"/>
      <c r="HFQ25" s="93"/>
      <c r="HFR25" s="30"/>
      <c r="HFW25" s="93"/>
      <c r="HFX25" s="30"/>
      <c r="HGC25" s="93"/>
      <c r="HGD25" s="30"/>
      <c r="HGI25" s="93"/>
      <c r="HGJ25" s="30"/>
      <c r="HGO25" s="93"/>
      <c r="HGP25" s="30"/>
      <c r="HGU25" s="93"/>
      <c r="HGV25" s="30"/>
      <c r="HHA25" s="93"/>
      <c r="HHB25" s="30"/>
      <c r="HHG25" s="93"/>
      <c r="HHH25" s="30"/>
      <c r="HHM25" s="93"/>
      <c r="HHN25" s="30"/>
      <c r="HHS25" s="93"/>
      <c r="HHT25" s="30"/>
      <c r="HHY25" s="93"/>
      <c r="HHZ25" s="30"/>
      <c r="HIE25" s="93"/>
      <c r="HIF25" s="30"/>
      <c r="HIK25" s="93"/>
      <c r="HIL25" s="30"/>
      <c r="HIQ25" s="93"/>
      <c r="HIR25" s="30"/>
      <c r="HIW25" s="93"/>
      <c r="HIX25" s="30"/>
      <c r="HJC25" s="93"/>
      <c r="HJD25" s="30"/>
      <c r="HJI25" s="93"/>
      <c r="HJJ25" s="30"/>
      <c r="HJO25" s="93"/>
      <c r="HJP25" s="30"/>
      <c r="HJU25" s="93"/>
      <c r="HJV25" s="30"/>
      <c r="HKA25" s="93"/>
      <c r="HKB25" s="30"/>
      <c r="HKG25" s="93"/>
      <c r="HKH25" s="30"/>
      <c r="HKM25" s="93"/>
      <c r="HKN25" s="30"/>
      <c r="HKS25" s="93"/>
      <c r="HKT25" s="30"/>
      <c r="HKY25" s="93"/>
      <c r="HKZ25" s="30"/>
      <c r="HLE25" s="93"/>
      <c r="HLF25" s="30"/>
      <c r="HLK25" s="93"/>
      <c r="HLL25" s="30"/>
      <c r="HLQ25" s="93"/>
      <c r="HLR25" s="30"/>
      <c r="HLW25" s="93"/>
      <c r="HLX25" s="30"/>
      <c r="HMC25" s="93"/>
      <c r="HMD25" s="30"/>
      <c r="HMI25" s="93"/>
      <c r="HMJ25" s="30"/>
      <c r="HMO25" s="93"/>
      <c r="HMP25" s="30"/>
      <c r="HMU25" s="93"/>
      <c r="HMV25" s="30"/>
      <c r="HNA25" s="93"/>
      <c r="HNB25" s="30"/>
      <c r="HNG25" s="93"/>
      <c r="HNH25" s="30"/>
      <c r="HNM25" s="93"/>
      <c r="HNN25" s="30"/>
      <c r="HNS25" s="93"/>
      <c r="HNT25" s="30"/>
      <c r="HNY25" s="93"/>
      <c r="HNZ25" s="30"/>
      <c r="HOE25" s="93"/>
      <c r="HOF25" s="30"/>
      <c r="HOK25" s="93"/>
      <c r="HOL25" s="30"/>
      <c r="HOQ25" s="93"/>
      <c r="HOR25" s="30"/>
      <c r="HOW25" s="93"/>
      <c r="HOX25" s="30"/>
      <c r="HPC25" s="93"/>
      <c r="HPD25" s="30"/>
      <c r="HPI25" s="93"/>
      <c r="HPJ25" s="30"/>
      <c r="HPO25" s="93"/>
      <c r="HPP25" s="30"/>
      <c r="HPU25" s="93"/>
      <c r="HPV25" s="30"/>
      <c r="HQA25" s="93"/>
      <c r="HQB25" s="30"/>
      <c r="HQG25" s="93"/>
      <c r="HQH25" s="30"/>
      <c r="HQM25" s="93"/>
      <c r="HQN25" s="30"/>
      <c r="HQS25" s="93"/>
      <c r="HQT25" s="30"/>
      <c r="HQY25" s="93"/>
      <c r="HQZ25" s="30"/>
      <c r="HRE25" s="93"/>
      <c r="HRF25" s="30"/>
      <c r="HRK25" s="93"/>
      <c r="HRL25" s="30"/>
      <c r="HRQ25" s="93"/>
      <c r="HRR25" s="30"/>
      <c r="HRW25" s="93"/>
      <c r="HRX25" s="30"/>
      <c r="HSC25" s="93"/>
      <c r="HSD25" s="30"/>
      <c r="HSI25" s="93"/>
      <c r="HSJ25" s="30"/>
      <c r="HSO25" s="93"/>
      <c r="HSP25" s="30"/>
      <c r="HSU25" s="93"/>
      <c r="HSV25" s="30"/>
      <c r="HTA25" s="93"/>
      <c r="HTB25" s="30"/>
      <c r="HTG25" s="93"/>
      <c r="HTH25" s="30"/>
      <c r="HTM25" s="93"/>
      <c r="HTN25" s="30"/>
      <c r="HTS25" s="93"/>
      <c r="HTT25" s="30"/>
      <c r="HTY25" s="93"/>
      <c r="HTZ25" s="30"/>
      <c r="HUE25" s="93"/>
      <c r="HUF25" s="30"/>
      <c r="HUK25" s="93"/>
      <c r="HUL25" s="30"/>
      <c r="HUQ25" s="93"/>
      <c r="HUR25" s="30"/>
      <c r="HUW25" s="93"/>
      <c r="HUX25" s="30"/>
      <c r="HVC25" s="93"/>
      <c r="HVD25" s="30"/>
      <c r="HVI25" s="93"/>
      <c r="HVJ25" s="30"/>
      <c r="HVO25" s="93"/>
      <c r="HVP25" s="30"/>
      <c r="HVU25" s="93"/>
      <c r="HVV25" s="30"/>
      <c r="HWA25" s="93"/>
      <c r="HWB25" s="30"/>
      <c r="HWG25" s="93"/>
      <c r="HWH25" s="30"/>
      <c r="HWM25" s="93"/>
      <c r="HWN25" s="30"/>
      <c r="HWS25" s="93"/>
      <c r="HWT25" s="30"/>
      <c r="HWY25" s="93"/>
      <c r="HWZ25" s="30"/>
      <c r="HXE25" s="93"/>
      <c r="HXF25" s="30"/>
      <c r="HXK25" s="93"/>
      <c r="HXL25" s="30"/>
      <c r="HXQ25" s="93"/>
      <c r="HXR25" s="30"/>
      <c r="HXW25" s="93"/>
      <c r="HXX25" s="30"/>
      <c r="HYC25" s="93"/>
      <c r="HYD25" s="30"/>
      <c r="HYI25" s="93"/>
      <c r="HYJ25" s="30"/>
      <c r="HYO25" s="93"/>
      <c r="HYP25" s="30"/>
      <c r="HYU25" s="93"/>
      <c r="HYV25" s="30"/>
      <c r="HZA25" s="93"/>
      <c r="HZB25" s="30"/>
      <c r="HZG25" s="93"/>
      <c r="HZH25" s="30"/>
      <c r="HZM25" s="93"/>
      <c r="HZN25" s="30"/>
      <c r="HZS25" s="93"/>
      <c r="HZT25" s="30"/>
      <c r="HZY25" s="93"/>
      <c r="HZZ25" s="30"/>
      <c r="IAE25" s="93"/>
      <c r="IAF25" s="30"/>
      <c r="IAK25" s="93"/>
      <c r="IAL25" s="30"/>
      <c r="IAQ25" s="93"/>
      <c r="IAR25" s="30"/>
      <c r="IAW25" s="93"/>
      <c r="IAX25" s="30"/>
      <c r="IBC25" s="93"/>
      <c r="IBD25" s="30"/>
      <c r="IBI25" s="93"/>
      <c r="IBJ25" s="30"/>
      <c r="IBO25" s="93"/>
      <c r="IBP25" s="30"/>
      <c r="IBU25" s="93"/>
      <c r="IBV25" s="30"/>
      <c r="ICA25" s="93"/>
      <c r="ICB25" s="30"/>
      <c r="ICG25" s="93"/>
      <c r="ICH25" s="30"/>
      <c r="ICM25" s="93"/>
      <c r="ICN25" s="30"/>
      <c r="ICS25" s="93"/>
      <c r="ICT25" s="30"/>
      <c r="ICY25" s="93"/>
      <c r="ICZ25" s="30"/>
      <c r="IDE25" s="93"/>
      <c r="IDF25" s="30"/>
      <c r="IDK25" s="93"/>
      <c r="IDL25" s="30"/>
      <c r="IDQ25" s="93"/>
      <c r="IDR25" s="30"/>
      <c r="IDW25" s="93"/>
      <c r="IDX25" s="30"/>
      <c r="IEC25" s="93"/>
      <c r="IED25" s="30"/>
      <c r="IEI25" s="93"/>
      <c r="IEJ25" s="30"/>
      <c r="IEO25" s="93"/>
      <c r="IEP25" s="30"/>
      <c r="IEU25" s="93"/>
      <c r="IEV25" s="30"/>
      <c r="IFA25" s="93"/>
      <c r="IFB25" s="30"/>
      <c r="IFG25" s="93"/>
      <c r="IFH25" s="30"/>
      <c r="IFM25" s="93"/>
      <c r="IFN25" s="30"/>
      <c r="IFS25" s="93"/>
      <c r="IFT25" s="30"/>
      <c r="IFY25" s="93"/>
      <c r="IFZ25" s="30"/>
      <c r="IGE25" s="93"/>
      <c r="IGF25" s="30"/>
      <c r="IGK25" s="93"/>
      <c r="IGL25" s="30"/>
      <c r="IGQ25" s="93"/>
      <c r="IGR25" s="30"/>
      <c r="IGW25" s="93"/>
      <c r="IGX25" s="30"/>
      <c r="IHC25" s="93"/>
      <c r="IHD25" s="30"/>
      <c r="IHI25" s="93"/>
      <c r="IHJ25" s="30"/>
      <c r="IHO25" s="93"/>
      <c r="IHP25" s="30"/>
      <c r="IHU25" s="93"/>
      <c r="IHV25" s="30"/>
      <c r="IIA25" s="93"/>
      <c r="IIB25" s="30"/>
      <c r="IIG25" s="93"/>
      <c r="IIH25" s="30"/>
      <c r="IIM25" s="93"/>
      <c r="IIN25" s="30"/>
      <c r="IIS25" s="93"/>
      <c r="IIT25" s="30"/>
      <c r="IIY25" s="93"/>
      <c r="IIZ25" s="30"/>
      <c r="IJE25" s="93"/>
      <c r="IJF25" s="30"/>
      <c r="IJK25" s="93"/>
      <c r="IJL25" s="30"/>
      <c r="IJQ25" s="93"/>
      <c r="IJR25" s="30"/>
      <c r="IJW25" s="93"/>
      <c r="IJX25" s="30"/>
      <c r="IKC25" s="93"/>
      <c r="IKD25" s="30"/>
      <c r="IKI25" s="93"/>
      <c r="IKJ25" s="30"/>
      <c r="IKO25" s="93"/>
      <c r="IKP25" s="30"/>
      <c r="IKU25" s="93"/>
      <c r="IKV25" s="30"/>
      <c r="ILA25" s="93"/>
      <c r="ILB25" s="30"/>
      <c r="ILG25" s="93"/>
      <c r="ILH25" s="30"/>
      <c r="ILM25" s="93"/>
      <c r="ILN25" s="30"/>
      <c r="ILS25" s="93"/>
      <c r="ILT25" s="30"/>
      <c r="ILY25" s="93"/>
      <c r="ILZ25" s="30"/>
      <c r="IME25" s="93"/>
      <c r="IMF25" s="30"/>
      <c r="IMK25" s="93"/>
      <c r="IML25" s="30"/>
      <c r="IMQ25" s="93"/>
      <c r="IMR25" s="30"/>
      <c r="IMW25" s="93"/>
      <c r="IMX25" s="30"/>
      <c r="INC25" s="93"/>
      <c r="IND25" s="30"/>
      <c r="INI25" s="93"/>
      <c r="INJ25" s="30"/>
      <c r="INO25" s="93"/>
      <c r="INP25" s="30"/>
      <c r="INU25" s="93"/>
      <c r="INV25" s="30"/>
      <c r="IOA25" s="93"/>
      <c r="IOB25" s="30"/>
      <c r="IOG25" s="93"/>
      <c r="IOH25" s="30"/>
      <c r="IOM25" s="93"/>
      <c r="ION25" s="30"/>
      <c r="IOS25" s="93"/>
      <c r="IOT25" s="30"/>
      <c r="IOY25" s="93"/>
      <c r="IOZ25" s="30"/>
      <c r="IPE25" s="93"/>
      <c r="IPF25" s="30"/>
      <c r="IPK25" s="93"/>
      <c r="IPL25" s="30"/>
      <c r="IPQ25" s="93"/>
      <c r="IPR25" s="30"/>
      <c r="IPW25" s="93"/>
      <c r="IPX25" s="30"/>
      <c r="IQC25" s="93"/>
      <c r="IQD25" s="30"/>
      <c r="IQI25" s="93"/>
      <c r="IQJ25" s="30"/>
      <c r="IQO25" s="93"/>
      <c r="IQP25" s="30"/>
      <c r="IQU25" s="93"/>
      <c r="IQV25" s="30"/>
      <c r="IRA25" s="93"/>
      <c r="IRB25" s="30"/>
      <c r="IRG25" s="93"/>
      <c r="IRH25" s="30"/>
      <c r="IRM25" s="93"/>
      <c r="IRN25" s="30"/>
      <c r="IRS25" s="93"/>
      <c r="IRT25" s="30"/>
      <c r="IRY25" s="93"/>
      <c r="IRZ25" s="30"/>
      <c r="ISE25" s="93"/>
      <c r="ISF25" s="30"/>
      <c r="ISK25" s="93"/>
      <c r="ISL25" s="30"/>
      <c r="ISQ25" s="93"/>
      <c r="ISR25" s="30"/>
      <c r="ISW25" s="93"/>
      <c r="ISX25" s="30"/>
      <c r="ITC25" s="93"/>
      <c r="ITD25" s="30"/>
      <c r="ITI25" s="93"/>
      <c r="ITJ25" s="30"/>
      <c r="ITO25" s="93"/>
      <c r="ITP25" s="30"/>
      <c r="ITU25" s="93"/>
      <c r="ITV25" s="30"/>
      <c r="IUA25" s="93"/>
      <c r="IUB25" s="30"/>
      <c r="IUG25" s="93"/>
      <c r="IUH25" s="30"/>
      <c r="IUM25" s="93"/>
      <c r="IUN25" s="30"/>
      <c r="IUS25" s="93"/>
      <c r="IUT25" s="30"/>
      <c r="IUY25" s="93"/>
      <c r="IUZ25" s="30"/>
      <c r="IVE25" s="93"/>
      <c r="IVF25" s="30"/>
      <c r="IVK25" s="93"/>
      <c r="IVL25" s="30"/>
      <c r="IVQ25" s="93"/>
      <c r="IVR25" s="30"/>
      <c r="IVW25" s="93"/>
      <c r="IVX25" s="30"/>
      <c r="IWC25" s="93"/>
      <c r="IWD25" s="30"/>
      <c r="IWI25" s="93"/>
      <c r="IWJ25" s="30"/>
      <c r="IWO25" s="93"/>
      <c r="IWP25" s="30"/>
      <c r="IWU25" s="93"/>
      <c r="IWV25" s="30"/>
      <c r="IXA25" s="93"/>
      <c r="IXB25" s="30"/>
      <c r="IXG25" s="93"/>
      <c r="IXH25" s="30"/>
      <c r="IXM25" s="93"/>
      <c r="IXN25" s="30"/>
      <c r="IXS25" s="93"/>
      <c r="IXT25" s="30"/>
      <c r="IXY25" s="93"/>
      <c r="IXZ25" s="30"/>
      <c r="IYE25" s="93"/>
      <c r="IYF25" s="30"/>
      <c r="IYK25" s="93"/>
      <c r="IYL25" s="30"/>
      <c r="IYQ25" s="93"/>
      <c r="IYR25" s="30"/>
      <c r="IYW25" s="93"/>
      <c r="IYX25" s="30"/>
      <c r="IZC25" s="93"/>
      <c r="IZD25" s="30"/>
      <c r="IZI25" s="93"/>
      <c r="IZJ25" s="30"/>
      <c r="IZO25" s="93"/>
      <c r="IZP25" s="30"/>
      <c r="IZU25" s="93"/>
      <c r="IZV25" s="30"/>
      <c r="JAA25" s="93"/>
      <c r="JAB25" s="30"/>
      <c r="JAG25" s="93"/>
      <c r="JAH25" s="30"/>
      <c r="JAM25" s="93"/>
      <c r="JAN25" s="30"/>
      <c r="JAS25" s="93"/>
      <c r="JAT25" s="30"/>
      <c r="JAY25" s="93"/>
      <c r="JAZ25" s="30"/>
      <c r="JBE25" s="93"/>
      <c r="JBF25" s="30"/>
      <c r="JBK25" s="93"/>
      <c r="JBL25" s="30"/>
      <c r="JBQ25" s="93"/>
      <c r="JBR25" s="30"/>
      <c r="JBW25" s="93"/>
      <c r="JBX25" s="30"/>
      <c r="JCC25" s="93"/>
      <c r="JCD25" s="30"/>
      <c r="JCI25" s="93"/>
      <c r="JCJ25" s="30"/>
      <c r="JCO25" s="93"/>
      <c r="JCP25" s="30"/>
      <c r="JCU25" s="93"/>
      <c r="JCV25" s="30"/>
      <c r="JDA25" s="93"/>
      <c r="JDB25" s="30"/>
      <c r="JDG25" s="93"/>
      <c r="JDH25" s="30"/>
      <c r="JDM25" s="93"/>
      <c r="JDN25" s="30"/>
      <c r="JDS25" s="93"/>
      <c r="JDT25" s="30"/>
      <c r="JDY25" s="93"/>
      <c r="JDZ25" s="30"/>
      <c r="JEE25" s="93"/>
      <c r="JEF25" s="30"/>
      <c r="JEK25" s="93"/>
      <c r="JEL25" s="30"/>
      <c r="JEQ25" s="93"/>
      <c r="JER25" s="30"/>
      <c r="JEW25" s="93"/>
      <c r="JEX25" s="30"/>
      <c r="JFC25" s="93"/>
      <c r="JFD25" s="30"/>
      <c r="JFI25" s="93"/>
      <c r="JFJ25" s="30"/>
      <c r="JFO25" s="93"/>
      <c r="JFP25" s="30"/>
      <c r="JFU25" s="93"/>
      <c r="JFV25" s="30"/>
      <c r="JGA25" s="93"/>
      <c r="JGB25" s="30"/>
      <c r="JGG25" s="93"/>
      <c r="JGH25" s="30"/>
      <c r="JGM25" s="93"/>
      <c r="JGN25" s="30"/>
      <c r="JGS25" s="93"/>
      <c r="JGT25" s="30"/>
      <c r="JGY25" s="93"/>
      <c r="JGZ25" s="30"/>
      <c r="JHE25" s="93"/>
      <c r="JHF25" s="30"/>
      <c r="JHK25" s="93"/>
      <c r="JHL25" s="30"/>
      <c r="JHQ25" s="93"/>
      <c r="JHR25" s="30"/>
      <c r="JHW25" s="93"/>
      <c r="JHX25" s="30"/>
      <c r="JIC25" s="93"/>
      <c r="JID25" s="30"/>
      <c r="JII25" s="93"/>
      <c r="JIJ25" s="30"/>
      <c r="JIO25" s="93"/>
      <c r="JIP25" s="30"/>
      <c r="JIU25" s="93"/>
      <c r="JIV25" s="30"/>
      <c r="JJA25" s="93"/>
      <c r="JJB25" s="30"/>
      <c r="JJG25" s="93"/>
      <c r="JJH25" s="30"/>
      <c r="JJM25" s="93"/>
      <c r="JJN25" s="30"/>
      <c r="JJS25" s="93"/>
      <c r="JJT25" s="30"/>
      <c r="JJY25" s="93"/>
      <c r="JJZ25" s="30"/>
      <c r="JKE25" s="93"/>
      <c r="JKF25" s="30"/>
      <c r="JKK25" s="93"/>
      <c r="JKL25" s="30"/>
      <c r="JKQ25" s="93"/>
      <c r="JKR25" s="30"/>
      <c r="JKW25" s="93"/>
      <c r="JKX25" s="30"/>
      <c r="JLC25" s="93"/>
      <c r="JLD25" s="30"/>
      <c r="JLI25" s="93"/>
      <c r="JLJ25" s="30"/>
      <c r="JLO25" s="93"/>
      <c r="JLP25" s="30"/>
      <c r="JLU25" s="93"/>
      <c r="JLV25" s="30"/>
      <c r="JMA25" s="93"/>
      <c r="JMB25" s="30"/>
      <c r="JMG25" s="93"/>
      <c r="JMH25" s="30"/>
      <c r="JMM25" s="93"/>
      <c r="JMN25" s="30"/>
      <c r="JMS25" s="93"/>
      <c r="JMT25" s="30"/>
      <c r="JMY25" s="93"/>
      <c r="JMZ25" s="30"/>
      <c r="JNE25" s="93"/>
      <c r="JNF25" s="30"/>
      <c r="JNK25" s="93"/>
      <c r="JNL25" s="30"/>
      <c r="JNQ25" s="93"/>
      <c r="JNR25" s="30"/>
      <c r="JNW25" s="93"/>
      <c r="JNX25" s="30"/>
      <c r="JOC25" s="93"/>
      <c r="JOD25" s="30"/>
      <c r="JOI25" s="93"/>
      <c r="JOJ25" s="30"/>
      <c r="JOO25" s="93"/>
      <c r="JOP25" s="30"/>
      <c r="JOU25" s="93"/>
      <c r="JOV25" s="30"/>
      <c r="JPA25" s="93"/>
      <c r="JPB25" s="30"/>
      <c r="JPG25" s="93"/>
      <c r="JPH25" s="30"/>
      <c r="JPM25" s="93"/>
      <c r="JPN25" s="30"/>
      <c r="JPS25" s="93"/>
      <c r="JPT25" s="30"/>
      <c r="JPY25" s="93"/>
      <c r="JPZ25" s="30"/>
      <c r="JQE25" s="93"/>
      <c r="JQF25" s="30"/>
      <c r="JQK25" s="93"/>
      <c r="JQL25" s="30"/>
      <c r="JQQ25" s="93"/>
      <c r="JQR25" s="30"/>
      <c r="JQW25" s="93"/>
      <c r="JQX25" s="30"/>
      <c r="JRC25" s="93"/>
      <c r="JRD25" s="30"/>
      <c r="JRI25" s="93"/>
      <c r="JRJ25" s="30"/>
      <c r="JRO25" s="93"/>
      <c r="JRP25" s="30"/>
      <c r="JRU25" s="93"/>
      <c r="JRV25" s="30"/>
      <c r="JSA25" s="93"/>
      <c r="JSB25" s="30"/>
      <c r="JSG25" s="93"/>
      <c r="JSH25" s="30"/>
      <c r="JSM25" s="93"/>
      <c r="JSN25" s="30"/>
      <c r="JSS25" s="93"/>
      <c r="JST25" s="30"/>
      <c r="JSY25" s="93"/>
      <c r="JSZ25" s="30"/>
      <c r="JTE25" s="93"/>
      <c r="JTF25" s="30"/>
      <c r="JTK25" s="93"/>
      <c r="JTL25" s="30"/>
      <c r="JTQ25" s="93"/>
      <c r="JTR25" s="30"/>
      <c r="JTW25" s="93"/>
      <c r="JTX25" s="30"/>
      <c r="JUC25" s="93"/>
      <c r="JUD25" s="30"/>
      <c r="JUI25" s="93"/>
      <c r="JUJ25" s="30"/>
      <c r="JUO25" s="93"/>
      <c r="JUP25" s="30"/>
      <c r="JUU25" s="93"/>
      <c r="JUV25" s="30"/>
      <c r="JVA25" s="93"/>
      <c r="JVB25" s="30"/>
      <c r="JVG25" s="93"/>
      <c r="JVH25" s="30"/>
      <c r="JVM25" s="93"/>
      <c r="JVN25" s="30"/>
      <c r="JVS25" s="93"/>
      <c r="JVT25" s="30"/>
      <c r="JVY25" s="93"/>
      <c r="JVZ25" s="30"/>
      <c r="JWE25" s="93"/>
      <c r="JWF25" s="30"/>
      <c r="JWK25" s="93"/>
      <c r="JWL25" s="30"/>
      <c r="JWQ25" s="93"/>
      <c r="JWR25" s="30"/>
      <c r="JWW25" s="93"/>
      <c r="JWX25" s="30"/>
      <c r="JXC25" s="93"/>
      <c r="JXD25" s="30"/>
      <c r="JXI25" s="93"/>
      <c r="JXJ25" s="30"/>
      <c r="JXO25" s="93"/>
      <c r="JXP25" s="30"/>
      <c r="JXU25" s="93"/>
      <c r="JXV25" s="30"/>
      <c r="JYA25" s="93"/>
      <c r="JYB25" s="30"/>
      <c r="JYG25" s="93"/>
      <c r="JYH25" s="30"/>
      <c r="JYM25" s="93"/>
      <c r="JYN25" s="30"/>
      <c r="JYS25" s="93"/>
      <c r="JYT25" s="30"/>
      <c r="JYY25" s="93"/>
      <c r="JYZ25" s="30"/>
      <c r="JZE25" s="93"/>
      <c r="JZF25" s="30"/>
      <c r="JZK25" s="93"/>
      <c r="JZL25" s="30"/>
      <c r="JZQ25" s="93"/>
      <c r="JZR25" s="30"/>
      <c r="JZW25" s="93"/>
      <c r="JZX25" s="30"/>
      <c r="KAC25" s="93"/>
      <c r="KAD25" s="30"/>
      <c r="KAI25" s="93"/>
      <c r="KAJ25" s="30"/>
      <c r="KAO25" s="93"/>
      <c r="KAP25" s="30"/>
      <c r="KAU25" s="93"/>
      <c r="KAV25" s="30"/>
      <c r="KBA25" s="93"/>
      <c r="KBB25" s="30"/>
      <c r="KBG25" s="93"/>
      <c r="KBH25" s="30"/>
      <c r="KBM25" s="93"/>
      <c r="KBN25" s="30"/>
      <c r="KBS25" s="93"/>
      <c r="KBT25" s="30"/>
      <c r="KBY25" s="93"/>
      <c r="KBZ25" s="30"/>
      <c r="KCE25" s="93"/>
      <c r="KCF25" s="30"/>
      <c r="KCK25" s="93"/>
      <c r="KCL25" s="30"/>
      <c r="KCQ25" s="93"/>
      <c r="KCR25" s="30"/>
      <c r="KCW25" s="93"/>
      <c r="KCX25" s="30"/>
      <c r="KDC25" s="93"/>
      <c r="KDD25" s="30"/>
      <c r="KDI25" s="93"/>
      <c r="KDJ25" s="30"/>
      <c r="KDO25" s="93"/>
      <c r="KDP25" s="30"/>
      <c r="KDU25" s="93"/>
      <c r="KDV25" s="30"/>
      <c r="KEA25" s="93"/>
      <c r="KEB25" s="30"/>
      <c r="KEG25" s="93"/>
      <c r="KEH25" s="30"/>
      <c r="KEM25" s="93"/>
      <c r="KEN25" s="30"/>
      <c r="KES25" s="93"/>
      <c r="KET25" s="30"/>
      <c r="KEY25" s="93"/>
      <c r="KEZ25" s="30"/>
      <c r="KFE25" s="93"/>
      <c r="KFF25" s="30"/>
      <c r="KFK25" s="93"/>
      <c r="KFL25" s="30"/>
      <c r="KFQ25" s="93"/>
      <c r="KFR25" s="30"/>
      <c r="KFW25" s="93"/>
      <c r="KFX25" s="30"/>
      <c r="KGC25" s="93"/>
      <c r="KGD25" s="30"/>
      <c r="KGI25" s="93"/>
      <c r="KGJ25" s="30"/>
      <c r="KGO25" s="93"/>
      <c r="KGP25" s="30"/>
      <c r="KGU25" s="93"/>
      <c r="KGV25" s="30"/>
      <c r="KHA25" s="93"/>
      <c r="KHB25" s="30"/>
      <c r="KHG25" s="93"/>
      <c r="KHH25" s="30"/>
      <c r="KHM25" s="93"/>
      <c r="KHN25" s="30"/>
      <c r="KHS25" s="93"/>
      <c r="KHT25" s="30"/>
      <c r="KHY25" s="93"/>
      <c r="KHZ25" s="30"/>
      <c r="KIE25" s="93"/>
      <c r="KIF25" s="30"/>
      <c r="KIK25" s="93"/>
      <c r="KIL25" s="30"/>
      <c r="KIQ25" s="93"/>
      <c r="KIR25" s="30"/>
      <c r="KIW25" s="93"/>
      <c r="KIX25" s="30"/>
      <c r="KJC25" s="93"/>
      <c r="KJD25" s="30"/>
      <c r="KJI25" s="93"/>
      <c r="KJJ25" s="30"/>
      <c r="KJO25" s="93"/>
      <c r="KJP25" s="30"/>
      <c r="KJU25" s="93"/>
      <c r="KJV25" s="30"/>
      <c r="KKA25" s="93"/>
      <c r="KKB25" s="30"/>
      <c r="KKG25" s="93"/>
      <c r="KKH25" s="30"/>
      <c r="KKM25" s="93"/>
      <c r="KKN25" s="30"/>
      <c r="KKS25" s="93"/>
      <c r="KKT25" s="30"/>
      <c r="KKY25" s="93"/>
      <c r="KKZ25" s="30"/>
      <c r="KLE25" s="93"/>
      <c r="KLF25" s="30"/>
      <c r="KLK25" s="93"/>
      <c r="KLL25" s="30"/>
      <c r="KLQ25" s="93"/>
      <c r="KLR25" s="30"/>
      <c r="KLW25" s="93"/>
      <c r="KLX25" s="30"/>
      <c r="KMC25" s="93"/>
      <c r="KMD25" s="30"/>
      <c r="KMI25" s="93"/>
      <c r="KMJ25" s="30"/>
      <c r="KMO25" s="93"/>
      <c r="KMP25" s="30"/>
      <c r="KMU25" s="93"/>
      <c r="KMV25" s="30"/>
      <c r="KNA25" s="93"/>
      <c r="KNB25" s="30"/>
      <c r="KNG25" s="93"/>
      <c r="KNH25" s="30"/>
      <c r="KNM25" s="93"/>
      <c r="KNN25" s="30"/>
      <c r="KNS25" s="93"/>
      <c r="KNT25" s="30"/>
      <c r="KNY25" s="93"/>
      <c r="KNZ25" s="30"/>
      <c r="KOE25" s="93"/>
      <c r="KOF25" s="30"/>
      <c r="KOK25" s="93"/>
      <c r="KOL25" s="30"/>
      <c r="KOQ25" s="93"/>
      <c r="KOR25" s="30"/>
      <c r="KOW25" s="93"/>
      <c r="KOX25" s="30"/>
      <c r="KPC25" s="93"/>
      <c r="KPD25" s="30"/>
      <c r="KPI25" s="93"/>
      <c r="KPJ25" s="30"/>
      <c r="KPO25" s="93"/>
      <c r="KPP25" s="30"/>
      <c r="KPU25" s="93"/>
      <c r="KPV25" s="30"/>
      <c r="KQA25" s="93"/>
      <c r="KQB25" s="30"/>
      <c r="KQG25" s="93"/>
      <c r="KQH25" s="30"/>
      <c r="KQM25" s="93"/>
      <c r="KQN25" s="30"/>
      <c r="KQS25" s="93"/>
      <c r="KQT25" s="30"/>
      <c r="KQY25" s="93"/>
      <c r="KQZ25" s="30"/>
      <c r="KRE25" s="93"/>
      <c r="KRF25" s="30"/>
      <c r="KRK25" s="93"/>
      <c r="KRL25" s="30"/>
      <c r="KRQ25" s="93"/>
      <c r="KRR25" s="30"/>
      <c r="KRW25" s="93"/>
      <c r="KRX25" s="30"/>
      <c r="KSC25" s="93"/>
      <c r="KSD25" s="30"/>
      <c r="KSI25" s="93"/>
      <c r="KSJ25" s="30"/>
      <c r="KSO25" s="93"/>
      <c r="KSP25" s="30"/>
      <c r="KSU25" s="93"/>
      <c r="KSV25" s="30"/>
      <c r="KTA25" s="93"/>
      <c r="KTB25" s="30"/>
      <c r="KTG25" s="93"/>
      <c r="KTH25" s="30"/>
      <c r="KTM25" s="93"/>
      <c r="KTN25" s="30"/>
      <c r="KTS25" s="93"/>
      <c r="KTT25" s="30"/>
      <c r="KTY25" s="93"/>
      <c r="KTZ25" s="30"/>
      <c r="KUE25" s="93"/>
      <c r="KUF25" s="30"/>
      <c r="KUK25" s="93"/>
      <c r="KUL25" s="30"/>
      <c r="KUQ25" s="93"/>
      <c r="KUR25" s="30"/>
      <c r="KUW25" s="93"/>
      <c r="KUX25" s="30"/>
      <c r="KVC25" s="93"/>
      <c r="KVD25" s="30"/>
      <c r="KVI25" s="93"/>
      <c r="KVJ25" s="30"/>
      <c r="KVO25" s="93"/>
      <c r="KVP25" s="30"/>
      <c r="KVU25" s="93"/>
      <c r="KVV25" s="30"/>
      <c r="KWA25" s="93"/>
      <c r="KWB25" s="30"/>
      <c r="KWG25" s="93"/>
      <c r="KWH25" s="30"/>
      <c r="KWM25" s="93"/>
      <c r="KWN25" s="30"/>
      <c r="KWS25" s="93"/>
      <c r="KWT25" s="30"/>
      <c r="KWY25" s="93"/>
      <c r="KWZ25" s="30"/>
      <c r="KXE25" s="93"/>
      <c r="KXF25" s="30"/>
      <c r="KXK25" s="93"/>
      <c r="KXL25" s="30"/>
      <c r="KXQ25" s="93"/>
      <c r="KXR25" s="30"/>
      <c r="KXW25" s="93"/>
      <c r="KXX25" s="30"/>
      <c r="KYC25" s="93"/>
      <c r="KYD25" s="30"/>
      <c r="KYI25" s="93"/>
      <c r="KYJ25" s="30"/>
      <c r="KYO25" s="93"/>
      <c r="KYP25" s="30"/>
      <c r="KYU25" s="93"/>
      <c r="KYV25" s="30"/>
      <c r="KZA25" s="93"/>
      <c r="KZB25" s="30"/>
      <c r="KZG25" s="93"/>
      <c r="KZH25" s="30"/>
      <c r="KZM25" s="93"/>
      <c r="KZN25" s="30"/>
      <c r="KZS25" s="93"/>
      <c r="KZT25" s="30"/>
      <c r="KZY25" s="93"/>
      <c r="KZZ25" s="30"/>
      <c r="LAE25" s="93"/>
      <c r="LAF25" s="30"/>
      <c r="LAK25" s="93"/>
      <c r="LAL25" s="30"/>
      <c r="LAQ25" s="93"/>
      <c r="LAR25" s="30"/>
      <c r="LAW25" s="93"/>
      <c r="LAX25" s="30"/>
      <c r="LBC25" s="93"/>
      <c r="LBD25" s="30"/>
      <c r="LBI25" s="93"/>
      <c r="LBJ25" s="30"/>
      <c r="LBO25" s="93"/>
      <c r="LBP25" s="30"/>
      <c r="LBU25" s="93"/>
      <c r="LBV25" s="30"/>
      <c r="LCA25" s="93"/>
      <c r="LCB25" s="30"/>
      <c r="LCG25" s="93"/>
      <c r="LCH25" s="30"/>
      <c r="LCM25" s="93"/>
      <c r="LCN25" s="30"/>
      <c r="LCS25" s="93"/>
      <c r="LCT25" s="30"/>
      <c r="LCY25" s="93"/>
      <c r="LCZ25" s="30"/>
      <c r="LDE25" s="93"/>
      <c r="LDF25" s="30"/>
      <c r="LDK25" s="93"/>
      <c r="LDL25" s="30"/>
      <c r="LDQ25" s="93"/>
      <c r="LDR25" s="30"/>
      <c r="LDW25" s="93"/>
      <c r="LDX25" s="30"/>
      <c r="LEC25" s="93"/>
      <c r="LED25" s="30"/>
      <c r="LEI25" s="93"/>
      <c r="LEJ25" s="30"/>
      <c r="LEO25" s="93"/>
      <c r="LEP25" s="30"/>
      <c r="LEU25" s="93"/>
      <c r="LEV25" s="30"/>
      <c r="LFA25" s="93"/>
      <c r="LFB25" s="30"/>
      <c r="LFG25" s="93"/>
      <c r="LFH25" s="30"/>
      <c r="LFM25" s="93"/>
      <c r="LFN25" s="30"/>
      <c r="LFS25" s="93"/>
      <c r="LFT25" s="30"/>
      <c r="LFY25" s="93"/>
      <c r="LFZ25" s="30"/>
      <c r="LGE25" s="93"/>
      <c r="LGF25" s="30"/>
      <c r="LGK25" s="93"/>
      <c r="LGL25" s="30"/>
      <c r="LGQ25" s="93"/>
      <c r="LGR25" s="30"/>
      <c r="LGW25" s="93"/>
      <c r="LGX25" s="30"/>
      <c r="LHC25" s="93"/>
      <c r="LHD25" s="30"/>
      <c r="LHI25" s="93"/>
      <c r="LHJ25" s="30"/>
      <c r="LHO25" s="93"/>
      <c r="LHP25" s="30"/>
      <c r="LHU25" s="93"/>
      <c r="LHV25" s="30"/>
      <c r="LIA25" s="93"/>
      <c r="LIB25" s="30"/>
      <c r="LIG25" s="93"/>
      <c r="LIH25" s="30"/>
      <c r="LIM25" s="93"/>
      <c r="LIN25" s="30"/>
      <c r="LIS25" s="93"/>
      <c r="LIT25" s="30"/>
      <c r="LIY25" s="93"/>
      <c r="LIZ25" s="30"/>
      <c r="LJE25" s="93"/>
      <c r="LJF25" s="30"/>
      <c r="LJK25" s="93"/>
      <c r="LJL25" s="30"/>
      <c r="LJQ25" s="93"/>
      <c r="LJR25" s="30"/>
      <c r="LJW25" s="93"/>
      <c r="LJX25" s="30"/>
      <c r="LKC25" s="93"/>
      <c r="LKD25" s="30"/>
      <c r="LKI25" s="93"/>
      <c r="LKJ25" s="30"/>
      <c r="LKO25" s="93"/>
      <c r="LKP25" s="30"/>
      <c r="LKU25" s="93"/>
      <c r="LKV25" s="30"/>
      <c r="LLA25" s="93"/>
      <c r="LLB25" s="30"/>
      <c r="LLG25" s="93"/>
      <c r="LLH25" s="30"/>
      <c r="LLM25" s="93"/>
      <c r="LLN25" s="30"/>
      <c r="LLS25" s="93"/>
      <c r="LLT25" s="30"/>
      <c r="LLY25" s="93"/>
      <c r="LLZ25" s="30"/>
      <c r="LME25" s="93"/>
      <c r="LMF25" s="30"/>
      <c r="LMK25" s="93"/>
      <c r="LML25" s="30"/>
      <c r="LMQ25" s="93"/>
      <c r="LMR25" s="30"/>
      <c r="LMW25" s="93"/>
      <c r="LMX25" s="30"/>
      <c r="LNC25" s="93"/>
      <c r="LND25" s="30"/>
      <c r="LNI25" s="93"/>
      <c r="LNJ25" s="30"/>
      <c r="LNO25" s="93"/>
      <c r="LNP25" s="30"/>
      <c r="LNU25" s="93"/>
      <c r="LNV25" s="30"/>
      <c r="LOA25" s="93"/>
      <c r="LOB25" s="30"/>
      <c r="LOG25" s="93"/>
      <c r="LOH25" s="30"/>
      <c r="LOM25" s="93"/>
      <c r="LON25" s="30"/>
      <c r="LOS25" s="93"/>
      <c r="LOT25" s="30"/>
      <c r="LOY25" s="93"/>
      <c r="LOZ25" s="30"/>
      <c r="LPE25" s="93"/>
      <c r="LPF25" s="30"/>
      <c r="LPK25" s="93"/>
      <c r="LPL25" s="30"/>
      <c r="LPQ25" s="93"/>
      <c r="LPR25" s="30"/>
      <c r="LPW25" s="93"/>
      <c r="LPX25" s="30"/>
      <c r="LQC25" s="93"/>
      <c r="LQD25" s="30"/>
      <c r="LQI25" s="93"/>
      <c r="LQJ25" s="30"/>
      <c r="LQO25" s="93"/>
      <c r="LQP25" s="30"/>
      <c r="LQU25" s="93"/>
      <c r="LQV25" s="30"/>
      <c r="LRA25" s="93"/>
      <c r="LRB25" s="30"/>
      <c r="LRG25" s="93"/>
      <c r="LRH25" s="30"/>
      <c r="LRM25" s="93"/>
      <c r="LRN25" s="30"/>
      <c r="LRS25" s="93"/>
      <c r="LRT25" s="30"/>
      <c r="LRY25" s="93"/>
      <c r="LRZ25" s="30"/>
      <c r="LSE25" s="93"/>
      <c r="LSF25" s="30"/>
      <c r="LSK25" s="93"/>
      <c r="LSL25" s="30"/>
      <c r="LSQ25" s="93"/>
      <c r="LSR25" s="30"/>
      <c r="LSW25" s="93"/>
      <c r="LSX25" s="30"/>
      <c r="LTC25" s="93"/>
      <c r="LTD25" s="30"/>
      <c r="LTI25" s="93"/>
      <c r="LTJ25" s="30"/>
      <c r="LTO25" s="93"/>
      <c r="LTP25" s="30"/>
      <c r="LTU25" s="93"/>
      <c r="LTV25" s="30"/>
      <c r="LUA25" s="93"/>
      <c r="LUB25" s="30"/>
      <c r="LUG25" s="93"/>
      <c r="LUH25" s="30"/>
      <c r="LUM25" s="93"/>
      <c r="LUN25" s="30"/>
      <c r="LUS25" s="93"/>
      <c r="LUT25" s="30"/>
      <c r="LUY25" s="93"/>
      <c r="LUZ25" s="30"/>
      <c r="LVE25" s="93"/>
      <c r="LVF25" s="30"/>
      <c r="LVK25" s="93"/>
      <c r="LVL25" s="30"/>
      <c r="LVQ25" s="93"/>
      <c r="LVR25" s="30"/>
      <c r="LVW25" s="93"/>
      <c r="LVX25" s="30"/>
      <c r="LWC25" s="93"/>
      <c r="LWD25" s="30"/>
      <c r="LWI25" s="93"/>
      <c r="LWJ25" s="30"/>
      <c r="LWO25" s="93"/>
      <c r="LWP25" s="30"/>
      <c r="LWU25" s="93"/>
      <c r="LWV25" s="30"/>
      <c r="LXA25" s="93"/>
      <c r="LXB25" s="30"/>
      <c r="LXG25" s="93"/>
      <c r="LXH25" s="30"/>
      <c r="LXM25" s="93"/>
      <c r="LXN25" s="30"/>
      <c r="LXS25" s="93"/>
      <c r="LXT25" s="30"/>
      <c r="LXY25" s="93"/>
      <c r="LXZ25" s="30"/>
      <c r="LYE25" s="93"/>
      <c r="LYF25" s="30"/>
      <c r="LYK25" s="93"/>
      <c r="LYL25" s="30"/>
      <c r="LYQ25" s="93"/>
      <c r="LYR25" s="30"/>
      <c r="LYW25" s="93"/>
      <c r="LYX25" s="30"/>
      <c r="LZC25" s="93"/>
      <c r="LZD25" s="30"/>
      <c r="LZI25" s="93"/>
      <c r="LZJ25" s="30"/>
      <c r="LZO25" s="93"/>
      <c r="LZP25" s="30"/>
      <c r="LZU25" s="93"/>
      <c r="LZV25" s="30"/>
      <c r="MAA25" s="93"/>
      <c r="MAB25" s="30"/>
      <c r="MAG25" s="93"/>
      <c r="MAH25" s="30"/>
      <c r="MAM25" s="93"/>
      <c r="MAN25" s="30"/>
      <c r="MAS25" s="93"/>
      <c r="MAT25" s="30"/>
      <c r="MAY25" s="93"/>
      <c r="MAZ25" s="30"/>
      <c r="MBE25" s="93"/>
      <c r="MBF25" s="30"/>
      <c r="MBK25" s="93"/>
      <c r="MBL25" s="30"/>
      <c r="MBQ25" s="93"/>
      <c r="MBR25" s="30"/>
      <c r="MBW25" s="93"/>
      <c r="MBX25" s="30"/>
      <c r="MCC25" s="93"/>
      <c r="MCD25" s="30"/>
      <c r="MCI25" s="93"/>
      <c r="MCJ25" s="30"/>
      <c r="MCO25" s="93"/>
      <c r="MCP25" s="30"/>
      <c r="MCU25" s="93"/>
      <c r="MCV25" s="30"/>
      <c r="MDA25" s="93"/>
      <c r="MDB25" s="30"/>
      <c r="MDG25" s="93"/>
      <c r="MDH25" s="30"/>
      <c r="MDM25" s="93"/>
      <c r="MDN25" s="30"/>
      <c r="MDS25" s="93"/>
      <c r="MDT25" s="30"/>
      <c r="MDY25" s="93"/>
      <c r="MDZ25" s="30"/>
      <c r="MEE25" s="93"/>
      <c r="MEF25" s="30"/>
      <c r="MEK25" s="93"/>
      <c r="MEL25" s="30"/>
      <c r="MEQ25" s="93"/>
      <c r="MER25" s="30"/>
      <c r="MEW25" s="93"/>
      <c r="MEX25" s="30"/>
      <c r="MFC25" s="93"/>
      <c r="MFD25" s="30"/>
      <c r="MFI25" s="93"/>
      <c r="MFJ25" s="30"/>
      <c r="MFO25" s="93"/>
      <c r="MFP25" s="30"/>
      <c r="MFU25" s="93"/>
      <c r="MFV25" s="30"/>
      <c r="MGA25" s="93"/>
      <c r="MGB25" s="30"/>
      <c r="MGG25" s="93"/>
      <c r="MGH25" s="30"/>
      <c r="MGM25" s="93"/>
      <c r="MGN25" s="30"/>
      <c r="MGS25" s="93"/>
      <c r="MGT25" s="30"/>
      <c r="MGY25" s="93"/>
      <c r="MGZ25" s="30"/>
      <c r="MHE25" s="93"/>
      <c r="MHF25" s="30"/>
      <c r="MHK25" s="93"/>
      <c r="MHL25" s="30"/>
      <c r="MHQ25" s="93"/>
      <c r="MHR25" s="30"/>
      <c r="MHW25" s="93"/>
      <c r="MHX25" s="30"/>
      <c r="MIC25" s="93"/>
      <c r="MID25" s="30"/>
      <c r="MII25" s="93"/>
      <c r="MIJ25" s="30"/>
      <c r="MIO25" s="93"/>
      <c r="MIP25" s="30"/>
      <c r="MIU25" s="93"/>
      <c r="MIV25" s="30"/>
      <c r="MJA25" s="93"/>
      <c r="MJB25" s="30"/>
      <c r="MJG25" s="93"/>
      <c r="MJH25" s="30"/>
      <c r="MJM25" s="93"/>
      <c r="MJN25" s="30"/>
      <c r="MJS25" s="93"/>
      <c r="MJT25" s="30"/>
      <c r="MJY25" s="93"/>
      <c r="MJZ25" s="30"/>
      <c r="MKE25" s="93"/>
      <c r="MKF25" s="30"/>
      <c r="MKK25" s="93"/>
      <c r="MKL25" s="30"/>
      <c r="MKQ25" s="93"/>
      <c r="MKR25" s="30"/>
      <c r="MKW25" s="93"/>
      <c r="MKX25" s="30"/>
      <c r="MLC25" s="93"/>
      <c r="MLD25" s="30"/>
      <c r="MLI25" s="93"/>
      <c r="MLJ25" s="30"/>
      <c r="MLO25" s="93"/>
      <c r="MLP25" s="30"/>
      <c r="MLU25" s="93"/>
      <c r="MLV25" s="30"/>
      <c r="MMA25" s="93"/>
      <c r="MMB25" s="30"/>
      <c r="MMG25" s="93"/>
      <c r="MMH25" s="30"/>
      <c r="MMM25" s="93"/>
      <c r="MMN25" s="30"/>
      <c r="MMS25" s="93"/>
      <c r="MMT25" s="30"/>
      <c r="MMY25" s="93"/>
      <c r="MMZ25" s="30"/>
      <c r="MNE25" s="93"/>
      <c r="MNF25" s="30"/>
      <c r="MNK25" s="93"/>
      <c r="MNL25" s="30"/>
      <c r="MNQ25" s="93"/>
      <c r="MNR25" s="30"/>
      <c r="MNW25" s="93"/>
      <c r="MNX25" s="30"/>
      <c r="MOC25" s="93"/>
      <c r="MOD25" s="30"/>
      <c r="MOI25" s="93"/>
      <c r="MOJ25" s="30"/>
      <c r="MOO25" s="93"/>
      <c r="MOP25" s="30"/>
      <c r="MOU25" s="93"/>
      <c r="MOV25" s="30"/>
      <c r="MPA25" s="93"/>
      <c r="MPB25" s="30"/>
      <c r="MPG25" s="93"/>
      <c r="MPH25" s="30"/>
      <c r="MPM25" s="93"/>
      <c r="MPN25" s="30"/>
      <c r="MPS25" s="93"/>
      <c r="MPT25" s="30"/>
      <c r="MPY25" s="93"/>
      <c r="MPZ25" s="30"/>
      <c r="MQE25" s="93"/>
      <c r="MQF25" s="30"/>
      <c r="MQK25" s="93"/>
      <c r="MQL25" s="30"/>
      <c r="MQQ25" s="93"/>
      <c r="MQR25" s="30"/>
      <c r="MQW25" s="93"/>
      <c r="MQX25" s="30"/>
      <c r="MRC25" s="93"/>
      <c r="MRD25" s="30"/>
      <c r="MRI25" s="93"/>
      <c r="MRJ25" s="30"/>
      <c r="MRO25" s="93"/>
      <c r="MRP25" s="30"/>
      <c r="MRU25" s="93"/>
      <c r="MRV25" s="30"/>
      <c r="MSA25" s="93"/>
      <c r="MSB25" s="30"/>
      <c r="MSG25" s="93"/>
      <c r="MSH25" s="30"/>
      <c r="MSM25" s="93"/>
      <c r="MSN25" s="30"/>
      <c r="MSS25" s="93"/>
      <c r="MST25" s="30"/>
      <c r="MSY25" s="93"/>
      <c r="MSZ25" s="30"/>
      <c r="MTE25" s="93"/>
      <c r="MTF25" s="30"/>
      <c r="MTK25" s="93"/>
      <c r="MTL25" s="30"/>
      <c r="MTQ25" s="93"/>
      <c r="MTR25" s="30"/>
      <c r="MTW25" s="93"/>
      <c r="MTX25" s="30"/>
      <c r="MUC25" s="93"/>
      <c r="MUD25" s="30"/>
      <c r="MUI25" s="93"/>
      <c r="MUJ25" s="30"/>
      <c r="MUO25" s="93"/>
      <c r="MUP25" s="30"/>
      <c r="MUU25" s="93"/>
      <c r="MUV25" s="30"/>
      <c r="MVA25" s="93"/>
      <c r="MVB25" s="30"/>
      <c r="MVG25" s="93"/>
      <c r="MVH25" s="30"/>
      <c r="MVM25" s="93"/>
      <c r="MVN25" s="30"/>
      <c r="MVS25" s="93"/>
      <c r="MVT25" s="30"/>
      <c r="MVY25" s="93"/>
      <c r="MVZ25" s="30"/>
      <c r="MWE25" s="93"/>
      <c r="MWF25" s="30"/>
      <c r="MWK25" s="93"/>
      <c r="MWL25" s="30"/>
      <c r="MWQ25" s="93"/>
      <c r="MWR25" s="30"/>
      <c r="MWW25" s="93"/>
      <c r="MWX25" s="30"/>
      <c r="MXC25" s="93"/>
      <c r="MXD25" s="30"/>
      <c r="MXI25" s="93"/>
      <c r="MXJ25" s="30"/>
      <c r="MXO25" s="93"/>
      <c r="MXP25" s="30"/>
      <c r="MXU25" s="93"/>
      <c r="MXV25" s="30"/>
      <c r="MYA25" s="93"/>
      <c r="MYB25" s="30"/>
      <c r="MYG25" s="93"/>
      <c r="MYH25" s="30"/>
      <c r="MYM25" s="93"/>
      <c r="MYN25" s="30"/>
      <c r="MYS25" s="93"/>
      <c r="MYT25" s="30"/>
      <c r="MYY25" s="93"/>
      <c r="MYZ25" s="30"/>
      <c r="MZE25" s="93"/>
      <c r="MZF25" s="30"/>
      <c r="MZK25" s="93"/>
      <c r="MZL25" s="30"/>
      <c r="MZQ25" s="93"/>
      <c r="MZR25" s="30"/>
      <c r="MZW25" s="93"/>
      <c r="MZX25" s="30"/>
      <c r="NAC25" s="93"/>
      <c r="NAD25" s="30"/>
      <c r="NAI25" s="93"/>
      <c r="NAJ25" s="30"/>
      <c r="NAO25" s="93"/>
      <c r="NAP25" s="30"/>
      <c r="NAU25" s="93"/>
      <c r="NAV25" s="30"/>
      <c r="NBA25" s="93"/>
      <c r="NBB25" s="30"/>
      <c r="NBG25" s="93"/>
      <c r="NBH25" s="30"/>
      <c r="NBM25" s="93"/>
      <c r="NBN25" s="30"/>
      <c r="NBS25" s="93"/>
      <c r="NBT25" s="30"/>
      <c r="NBY25" s="93"/>
      <c r="NBZ25" s="30"/>
      <c r="NCE25" s="93"/>
      <c r="NCF25" s="30"/>
      <c r="NCK25" s="93"/>
      <c r="NCL25" s="30"/>
      <c r="NCQ25" s="93"/>
      <c r="NCR25" s="30"/>
      <c r="NCW25" s="93"/>
      <c r="NCX25" s="30"/>
      <c r="NDC25" s="93"/>
      <c r="NDD25" s="30"/>
      <c r="NDI25" s="93"/>
      <c r="NDJ25" s="30"/>
      <c r="NDO25" s="93"/>
      <c r="NDP25" s="30"/>
      <c r="NDU25" s="93"/>
      <c r="NDV25" s="30"/>
      <c r="NEA25" s="93"/>
      <c r="NEB25" s="30"/>
      <c r="NEG25" s="93"/>
      <c r="NEH25" s="30"/>
      <c r="NEM25" s="93"/>
      <c r="NEN25" s="30"/>
      <c r="NES25" s="93"/>
      <c r="NET25" s="30"/>
      <c r="NEY25" s="93"/>
      <c r="NEZ25" s="30"/>
      <c r="NFE25" s="93"/>
      <c r="NFF25" s="30"/>
      <c r="NFK25" s="93"/>
      <c r="NFL25" s="30"/>
      <c r="NFQ25" s="93"/>
      <c r="NFR25" s="30"/>
      <c r="NFW25" s="93"/>
      <c r="NFX25" s="30"/>
      <c r="NGC25" s="93"/>
      <c r="NGD25" s="30"/>
      <c r="NGI25" s="93"/>
      <c r="NGJ25" s="30"/>
      <c r="NGO25" s="93"/>
      <c r="NGP25" s="30"/>
      <c r="NGU25" s="93"/>
      <c r="NGV25" s="30"/>
      <c r="NHA25" s="93"/>
      <c r="NHB25" s="30"/>
      <c r="NHG25" s="93"/>
      <c r="NHH25" s="30"/>
      <c r="NHM25" s="93"/>
      <c r="NHN25" s="30"/>
      <c r="NHS25" s="93"/>
      <c r="NHT25" s="30"/>
      <c r="NHY25" s="93"/>
      <c r="NHZ25" s="30"/>
      <c r="NIE25" s="93"/>
      <c r="NIF25" s="30"/>
      <c r="NIK25" s="93"/>
      <c r="NIL25" s="30"/>
      <c r="NIQ25" s="93"/>
      <c r="NIR25" s="30"/>
      <c r="NIW25" s="93"/>
      <c r="NIX25" s="30"/>
      <c r="NJC25" s="93"/>
      <c r="NJD25" s="30"/>
      <c r="NJI25" s="93"/>
      <c r="NJJ25" s="30"/>
      <c r="NJO25" s="93"/>
      <c r="NJP25" s="30"/>
      <c r="NJU25" s="93"/>
      <c r="NJV25" s="30"/>
      <c r="NKA25" s="93"/>
      <c r="NKB25" s="30"/>
      <c r="NKG25" s="93"/>
      <c r="NKH25" s="30"/>
      <c r="NKM25" s="93"/>
      <c r="NKN25" s="30"/>
      <c r="NKS25" s="93"/>
      <c r="NKT25" s="30"/>
      <c r="NKY25" s="93"/>
      <c r="NKZ25" s="30"/>
      <c r="NLE25" s="93"/>
      <c r="NLF25" s="30"/>
      <c r="NLK25" s="93"/>
      <c r="NLL25" s="30"/>
      <c r="NLQ25" s="93"/>
      <c r="NLR25" s="30"/>
      <c r="NLW25" s="93"/>
      <c r="NLX25" s="30"/>
      <c r="NMC25" s="93"/>
      <c r="NMD25" s="30"/>
      <c r="NMI25" s="93"/>
      <c r="NMJ25" s="30"/>
      <c r="NMO25" s="93"/>
      <c r="NMP25" s="30"/>
      <c r="NMU25" s="93"/>
      <c r="NMV25" s="30"/>
      <c r="NNA25" s="93"/>
      <c r="NNB25" s="30"/>
      <c r="NNG25" s="93"/>
      <c r="NNH25" s="30"/>
      <c r="NNM25" s="93"/>
      <c r="NNN25" s="30"/>
      <c r="NNS25" s="93"/>
      <c r="NNT25" s="30"/>
      <c r="NNY25" s="93"/>
      <c r="NNZ25" s="30"/>
      <c r="NOE25" s="93"/>
      <c r="NOF25" s="30"/>
      <c r="NOK25" s="93"/>
      <c r="NOL25" s="30"/>
      <c r="NOQ25" s="93"/>
      <c r="NOR25" s="30"/>
      <c r="NOW25" s="93"/>
      <c r="NOX25" s="30"/>
      <c r="NPC25" s="93"/>
      <c r="NPD25" s="30"/>
      <c r="NPI25" s="93"/>
      <c r="NPJ25" s="30"/>
      <c r="NPO25" s="93"/>
      <c r="NPP25" s="30"/>
      <c r="NPU25" s="93"/>
      <c r="NPV25" s="30"/>
      <c r="NQA25" s="93"/>
      <c r="NQB25" s="30"/>
      <c r="NQG25" s="93"/>
      <c r="NQH25" s="30"/>
      <c r="NQM25" s="93"/>
      <c r="NQN25" s="30"/>
      <c r="NQS25" s="93"/>
      <c r="NQT25" s="30"/>
      <c r="NQY25" s="93"/>
      <c r="NQZ25" s="30"/>
      <c r="NRE25" s="93"/>
      <c r="NRF25" s="30"/>
      <c r="NRK25" s="93"/>
      <c r="NRL25" s="30"/>
      <c r="NRQ25" s="93"/>
      <c r="NRR25" s="30"/>
      <c r="NRW25" s="93"/>
      <c r="NRX25" s="30"/>
      <c r="NSC25" s="93"/>
      <c r="NSD25" s="30"/>
      <c r="NSI25" s="93"/>
      <c r="NSJ25" s="30"/>
      <c r="NSO25" s="93"/>
      <c r="NSP25" s="30"/>
      <c r="NSU25" s="93"/>
      <c r="NSV25" s="30"/>
      <c r="NTA25" s="93"/>
      <c r="NTB25" s="30"/>
      <c r="NTG25" s="93"/>
      <c r="NTH25" s="30"/>
      <c r="NTM25" s="93"/>
      <c r="NTN25" s="30"/>
      <c r="NTS25" s="93"/>
      <c r="NTT25" s="30"/>
      <c r="NTY25" s="93"/>
      <c r="NTZ25" s="30"/>
      <c r="NUE25" s="93"/>
      <c r="NUF25" s="30"/>
      <c r="NUK25" s="93"/>
      <c r="NUL25" s="30"/>
      <c r="NUQ25" s="93"/>
      <c r="NUR25" s="30"/>
      <c r="NUW25" s="93"/>
      <c r="NUX25" s="30"/>
      <c r="NVC25" s="93"/>
      <c r="NVD25" s="30"/>
      <c r="NVI25" s="93"/>
      <c r="NVJ25" s="30"/>
      <c r="NVO25" s="93"/>
      <c r="NVP25" s="30"/>
      <c r="NVU25" s="93"/>
      <c r="NVV25" s="30"/>
      <c r="NWA25" s="93"/>
      <c r="NWB25" s="30"/>
      <c r="NWG25" s="93"/>
      <c r="NWH25" s="30"/>
      <c r="NWM25" s="93"/>
      <c r="NWN25" s="30"/>
      <c r="NWS25" s="93"/>
      <c r="NWT25" s="30"/>
      <c r="NWY25" s="93"/>
      <c r="NWZ25" s="30"/>
      <c r="NXE25" s="93"/>
      <c r="NXF25" s="30"/>
      <c r="NXK25" s="93"/>
      <c r="NXL25" s="30"/>
      <c r="NXQ25" s="93"/>
      <c r="NXR25" s="30"/>
      <c r="NXW25" s="93"/>
      <c r="NXX25" s="30"/>
      <c r="NYC25" s="93"/>
      <c r="NYD25" s="30"/>
      <c r="NYI25" s="93"/>
      <c r="NYJ25" s="30"/>
      <c r="NYO25" s="93"/>
      <c r="NYP25" s="30"/>
      <c r="NYU25" s="93"/>
      <c r="NYV25" s="30"/>
      <c r="NZA25" s="93"/>
      <c r="NZB25" s="30"/>
      <c r="NZG25" s="93"/>
      <c r="NZH25" s="30"/>
      <c r="NZM25" s="93"/>
      <c r="NZN25" s="30"/>
      <c r="NZS25" s="93"/>
      <c r="NZT25" s="30"/>
      <c r="NZY25" s="93"/>
      <c r="NZZ25" s="30"/>
      <c r="OAE25" s="93"/>
      <c r="OAF25" s="30"/>
      <c r="OAK25" s="93"/>
      <c r="OAL25" s="30"/>
      <c r="OAQ25" s="93"/>
      <c r="OAR25" s="30"/>
      <c r="OAW25" s="93"/>
      <c r="OAX25" s="30"/>
      <c r="OBC25" s="93"/>
      <c r="OBD25" s="30"/>
      <c r="OBI25" s="93"/>
      <c r="OBJ25" s="30"/>
      <c r="OBO25" s="93"/>
      <c r="OBP25" s="30"/>
      <c r="OBU25" s="93"/>
      <c r="OBV25" s="30"/>
      <c r="OCA25" s="93"/>
      <c r="OCB25" s="30"/>
      <c r="OCG25" s="93"/>
      <c r="OCH25" s="30"/>
      <c r="OCM25" s="93"/>
      <c r="OCN25" s="30"/>
      <c r="OCS25" s="93"/>
      <c r="OCT25" s="30"/>
      <c r="OCY25" s="93"/>
      <c r="OCZ25" s="30"/>
      <c r="ODE25" s="93"/>
      <c r="ODF25" s="30"/>
      <c r="ODK25" s="93"/>
      <c r="ODL25" s="30"/>
      <c r="ODQ25" s="93"/>
      <c r="ODR25" s="30"/>
      <c r="ODW25" s="93"/>
      <c r="ODX25" s="30"/>
      <c r="OEC25" s="93"/>
      <c r="OED25" s="30"/>
      <c r="OEI25" s="93"/>
      <c r="OEJ25" s="30"/>
      <c r="OEO25" s="93"/>
      <c r="OEP25" s="30"/>
      <c r="OEU25" s="93"/>
      <c r="OEV25" s="30"/>
      <c r="OFA25" s="93"/>
      <c r="OFB25" s="30"/>
      <c r="OFG25" s="93"/>
      <c r="OFH25" s="30"/>
      <c r="OFM25" s="93"/>
      <c r="OFN25" s="30"/>
      <c r="OFS25" s="93"/>
      <c r="OFT25" s="30"/>
      <c r="OFY25" s="93"/>
      <c r="OFZ25" s="30"/>
      <c r="OGE25" s="93"/>
      <c r="OGF25" s="30"/>
      <c r="OGK25" s="93"/>
      <c r="OGL25" s="30"/>
      <c r="OGQ25" s="93"/>
      <c r="OGR25" s="30"/>
      <c r="OGW25" s="93"/>
      <c r="OGX25" s="30"/>
      <c r="OHC25" s="93"/>
      <c r="OHD25" s="30"/>
      <c r="OHI25" s="93"/>
      <c r="OHJ25" s="30"/>
      <c r="OHO25" s="93"/>
      <c r="OHP25" s="30"/>
      <c r="OHU25" s="93"/>
      <c r="OHV25" s="30"/>
      <c r="OIA25" s="93"/>
      <c r="OIB25" s="30"/>
      <c r="OIG25" s="93"/>
      <c r="OIH25" s="30"/>
      <c r="OIM25" s="93"/>
      <c r="OIN25" s="30"/>
      <c r="OIS25" s="93"/>
      <c r="OIT25" s="30"/>
      <c r="OIY25" s="93"/>
      <c r="OIZ25" s="30"/>
      <c r="OJE25" s="93"/>
      <c r="OJF25" s="30"/>
      <c r="OJK25" s="93"/>
      <c r="OJL25" s="30"/>
      <c r="OJQ25" s="93"/>
      <c r="OJR25" s="30"/>
      <c r="OJW25" s="93"/>
      <c r="OJX25" s="30"/>
      <c r="OKC25" s="93"/>
      <c r="OKD25" s="30"/>
      <c r="OKI25" s="93"/>
      <c r="OKJ25" s="30"/>
      <c r="OKO25" s="93"/>
      <c r="OKP25" s="30"/>
      <c r="OKU25" s="93"/>
      <c r="OKV25" s="30"/>
      <c r="OLA25" s="93"/>
      <c r="OLB25" s="30"/>
      <c r="OLG25" s="93"/>
      <c r="OLH25" s="30"/>
      <c r="OLM25" s="93"/>
      <c r="OLN25" s="30"/>
      <c r="OLS25" s="93"/>
      <c r="OLT25" s="30"/>
      <c r="OLY25" s="93"/>
      <c r="OLZ25" s="30"/>
      <c r="OME25" s="93"/>
      <c r="OMF25" s="30"/>
      <c r="OMK25" s="93"/>
      <c r="OML25" s="30"/>
      <c r="OMQ25" s="93"/>
      <c r="OMR25" s="30"/>
      <c r="OMW25" s="93"/>
      <c r="OMX25" s="30"/>
      <c r="ONC25" s="93"/>
      <c r="OND25" s="30"/>
      <c r="ONI25" s="93"/>
      <c r="ONJ25" s="30"/>
      <c r="ONO25" s="93"/>
      <c r="ONP25" s="30"/>
      <c r="ONU25" s="93"/>
      <c r="ONV25" s="30"/>
      <c r="OOA25" s="93"/>
      <c r="OOB25" s="30"/>
      <c r="OOG25" s="93"/>
      <c r="OOH25" s="30"/>
      <c r="OOM25" s="93"/>
      <c r="OON25" s="30"/>
      <c r="OOS25" s="93"/>
      <c r="OOT25" s="30"/>
      <c r="OOY25" s="93"/>
      <c r="OOZ25" s="30"/>
      <c r="OPE25" s="93"/>
      <c r="OPF25" s="30"/>
      <c r="OPK25" s="93"/>
      <c r="OPL25" s="30"/>
      <c r="OPQ25" s="93"/>
      <c r="OPR25" s="30"/>
      <c r="OPW25" s="93"/>
      <c r="OPX25" s="30"/>
      <c r="OQC25" s="93"/>
      <c r="OQD25" s="30"/>
      <c r="OQI25" s="93"/>
      <c r="OQJ25" s="30"/>
      <c r="OQO25" s="93"/>
      <c r="OQP25" s="30"/>
      <c r="OQU25" s="93"/>
      <c r="OQV25" s="30"/>
      <c r="ORA25" s="93"/>
      <c r="ORB25" s="30"/>
      <c r="ORG25" s="93"/>
      <c r="ORH25" s="30"/>
      <c r="ORM25" s="93"/>
      <c r="ORN25" s="30"/>
      <c r="ORS25" s="93"/>
      <c r="ORT25" s="30"/>
      <c r="ORY25" s="93"/>
      <c r="ORZ25" s="30"/>
      <c r="OSE25" s="93"/>
      <c r="OSF25" s="30"/>
      <c r="OSK25" s="93"/>
      <c r="OSL25" s="30"/>
      <c r="OSQ25" s="93"/>
      <c r="OSR25" s="30"/>
      <c r="OSW25" s="93"/>
      <c r="OSX25" s="30"/>
      <c r="OTC25" s="93"/>
      <c r="OTD25" s="30"/>
      <c r="OTI25" s="93"/>
      <c r="OTJ25" s="30"/>
      <c r="OTO25" s="93"/>
      <c r="OTP25" s="30"/>
      <c r="OTU25" s="93"/>
      <c r="OTV25" s="30"/>
      <c r="OUA25" s="93"/>
      <c r="OUB25" s="30"/>
      <c r="OUG25" s="93"/>
      <c r="OUH25" s="30"/>
      <c r="OUM25" s="93"/>
      <c r="OUN25" s="30"/>
      <c r="OUS25" s="93"/>
      <c r="OUT25" s="30"/>
      <c r="OUY25" s="93"/>
      <c r="OUZ25" s="30"/>
      <c r="OVE25" s="93"/>
      <c r="OVF25" s="30"/>
      <c r="OVK25" s="93"/>
      <c r="OVL25" s="30"/>
      <c r="OVQ25" s="93"/>
      <c r="OVR25" s="30"/>
      <c r="OVW25" s="93"/>
      <c r="OVX25" s="30"/>
      <c r="OWC25" s="93"/>
      <c r="OWD25" s="30"/>
      <c r="OWI25" s="93"/>
      <c r="OWJ25" s="30"/>
      <c r="OWO25" s="93"/>
      <c r="OWP25" s="30"/>
      <c r="OWU25" s="93"/>
      <c r="OWV25" s="30"/>
      <c r="OXA25" s="93"/>
      <c r="OXB25" s="30"/>
      <c r="OXG25" s="93"/>
      <c r="OXH25" s="30"/>
      <c r="OXM25" s="93"/>
      <c r="OXN25" s="30"/>
      <c r="OXS25" s="93"/>
      <c r="OXT25" s="30"/>
      <c r="OXY25" s="93"/>
      <c r="OXZ25" s="30"/>
      <c r="OYE25" s="93"/>
      <c r="OYF25" s="30"/>
      <c r="OYK25" s="93"/>
      <c r="OYL25" s="30"/>
      <c r="OYQ25" s="93"/>
      <c r="OYR25" s="30"/>
      <c r="OYW25" s="93"/>
      <c r="OYX25" s="30"/>
      <c r="OZC25" s="93"/>
      <c r="OZD25" s="30"/>
      <c r="OZI25" s="93"/>
      <c r="OZJ25" s="30"/>
      <c r="OZO25" s="93"/>
      <c r="OZP25" s="30"/>
      <c r="OZU25" s="93"/>
      <c r="OZV25" s="30"/>
      <c r="PAA25" s="93"/>
      <c r="PAB25" s="30"/>
      <c r="PAG25" s="93"/>
      <c r="PAH25" s="30"/>
      <c r="PAM25" s="93"/>
      <c r="PAN25" s="30"/>
      <c r="PAS25" s="93"/>
      <c r="PAT25" s="30"/>
      <c r="PAY25" s="93"/>
      <c r="PAZ25" s="30"/>
      <c r="PBE25" s="93"/>
      <c r="PBF25" s="30"/>
      <c r="PBK25" s="93"/>
      <c r="PBL25" s="30"/>
      <c r="PBQ25" s="93"/>
      <c r="PBR25" s="30"/>
      <c r="PBW25" s="93"/>
      <c r="PBX25" s="30"/>
      <c r="PCC25" s="93"/>
      <c r="PCD25" s="30"/>
      <c r="PCI25" s="93"/>
      <c r="PCJ25" s="30"/>
      <c r="PCO25" s="93"/>
      <c r="PCP25" s="30"/>
      <c r="PCU25" s="93"/>
      <c r="PCV25" s="30"/>
      <c r="PDA25" s="93"/>
      <c r="PDB25" s="30"/>
      <c r="PDG25" s="93"/>
      <c r="PDH25" s="30"/>
      <c r="PDM25" s="93"/>
      <c r="PDN25" s="30"/>
      <c r="PDS25" s="93"/>
      <c r="PDT25" s="30"/>
      <c r="PDY25" s="93"/>
      <c r="PDZ25" s="30"/>
      <c r="PEE25" s="93"/>
      <c r="PEF25" s="30"/>
      <c r="PEK25" s="93"/>
      <c r="PEL25" s="30"/>
      <c r="PEQ25" s="93"/>
      <c r="PER25" s="30"/>
      <c r="PEW25" s="93"/>
      <c r="PEX25" s="30"/>
      <c r="PFC25" s="93"/>
      <c r="PFD25" s="30"/>
      <c r="PFI25" s="93"/>
      <c r="PFJ25" s="30"/>
      <c r="PFO25" s="93"/>
      <c r="PFP25" s="30"/>
      <c r="PFU25" s="93"/>
      <c r="PFV25" s="30"/>
      <c r="PGA25" s="93"/>
      <c r="PGB25" s="30"/>
      <c r="PGG25" s="93"/>
      <c r="PGH25" s="30"/>
      <c r="PGM25" s="93"/>
      <c r="PGN25" s="30"/>
      <c r="PGS25" s="93"/>
      <c r="PGT25" s="30"/>
      <c r="PGY25" s="93"/>
      <c r="PGZ25" s="30"/>
      <c r="PHE25" s="93"/>
      <c r="PHF25" s="30"/>
      <c r="PHK25" s="93"/>
      <c r="PHL25" s="30"/>
      <c r="PHQ25" s="93"/>
      <c r="PHR25" s="30"/>
      <c r="PHW25" s="93"/>
      <c r="PHX25" s="30"/>
      <c r="PIC25" s="93"/>
      <c r="PID25" s="30"/>
      <c r="PII25" s="93"/>
      <c r="PIJ25" s="30"/>
      <c r="PIO25" s="93"/>
      <c r="PIP25" s="30"/>
      <c r="PIU25" s="93"/>
      <c r="PIV25" s="30"/>
      <c r="PJA25" s="93"/>
      <c r="PJB25" s="30"/>
      <c r="PJG25" s="93"/>
      <c r="PJH25" s="30"/>
      <c r="PJM25" s="93"/>
      <c r="PJN25" s="30"/>
      <c r="PJS25" s="93"/>
      <c r="PJT25" s="30"/>
      <c r="PJY25" s="93"/>
      <c r="PJZ25" s="30"/>
      <c r="PKE25" s="93"/>
      <c r="PKF25" s="30"/>
      <c r="PKK25" s="93"/>
      <c r="PKL25" s="30"/>
      <c r="PKQ25" s="93"/>
      <c r="PKR25" s="30"/>
      <c r="PKW25" s="93"/>
      <c r="PKX25" s="30"/>
      <c r="PLC25" s="93"/>
      <c r="PLD25" s="30"/>
      <c r="PLI25" s="93"/>
      <c r="PLJ25" s="30"/>
      <c r="PLO25" s="93"/>
      <c r="PLP25" s="30"/>
      <c r="PLU25" s="93"/>
      <c r="PLV25" s="30"/>
      <c r="PMA25" s="93"/>
      <c r="PMB25" s="30"/>
      <c r="PMG25" s="93"/>
      <c r="PMH25" s="30"/>
      <c r="PMM25" s="93"/>
      <c r="PMN25" s="30"/>
      <c r="PMS25" s="93"/>
      <c r="PMT25" s="30"/>
      <c r="PMY25" s="93"/>
      <c r="PMZ25" s="30"/>
      <c r="PNE25" s="93"/>
      <c r="PNF25" s="30"/>
      <c r="PNK25" s="93"/>
      <c r="PNL25" s="30"/>
      <c r="PNQ25" s="93"/>
      <c r="PNR25" s="30"/>
      <c r="PNW25" s="93"/>
      <c r="PNX25" s="30"/>
      <c r="POC25" s="93"/>
      <c r="POD25" s="30"/>
      <c r="POI25" s="93"/>
      <c r="POJ25" s="30"/>
      <c r="POO25" s="93"/>
      <c r="POP25" s="30"/>
      <c r="POU25" s="93"/>
      <c r="POV25" s="30"/>
      <c r="PPA25" s="93"/>
      <c r="PPB25" s="30"/>
      <c r="PPG25" s="93"/>
      <c r="PPH25" s="30"/>
      <c r="PPM25" s="93"/>
      <c r="PPN25" s="30"/>
      <c r="PPS25" s="93"/>
      <c r="PPT25" s="30"/>
      <c r="PPY25" s="93"/>
      <c r="PPZ25" s="30"/>
      <c r="PQE25" s="93"/>
      <c r="PQF25" s="30"/>
      <c r="PQK25" s="93"/>
      <c r="PQL25" s="30"/>
      <c r="PQQ25" s="93"/>
      <c r="PQR25" s="30"/>
      <c r="PQW25" s="93"/>
      <c r="PQX25" s="30"/>
      <c r="PRC25" s="93"/>
      <c r="PRD25" s="30"/>
      <c r="PRI25" s="93"/>
      <c r="PRJ25" s="30"/>
      <c r="PRO25" s="93"/>
      <c r="PRP25" s="30"/>
      <c r="PRU25" s="93"/>
      <c r="PRV25" s="30"/>
      <c r="PSA25" s="93"/>
      <c r="PSB25" s="30"/>
      <c r="PSG25" s="93"/>
      <c r="PSH25" s="30"/>
      <c r="PSM25" s="93"/>
      <c r="PSN25" s="30"/>
      <c r="PSS25" s="93"/>
      <c r="PST25" s="30"/>
      <c r="PSY25" s="93"/>
      <c r="PSZ25" s="30"/>
      <c r="PTE25" s="93"/>
      <c r="PTF25" s="30"/>
      <c r="PTK25" s="93"/>
      <c r="PTL25" s="30"/>
      <c r="PTQ25" s="93"/>
      <c r="PTR25" s="30"/>
      <c r="PTW25" s="93"/>
      <c r="PTX25" s="30"/>
      <c r="PUC25" s="93"/>
      <c r="PUD25" s="30"/>
      <c r="PUI25" s="93"/>
      <c r="PUJ25" s="30"/>
      <c r="PUO25" s="93"/>
      <c r="PUP25" s="30"/>
      <c r="PUU25" s="93"/>
      <c r="PUV25" s="30"/>
      <c r="PVA25" s="93"/>
      <c r="PVB25" s="30"/>
      <c r="PVG25" s="93"/>
      <c r="PVH25" s="30"/>
      <c r="PVM25" s="93"/>
      <c r="PVN25" s="30"/>
      <c r="PVS25" s="93"/>
      <c r="PVT25" s="30"/>
      <c r="PVY25" s="93"/>
      <c r="PVZ25" s="30"/>
      <c r="PWE25" s="93"/>
      <c r="PWF25" s="30"/>
      <c r="PWK25" s="93"/>
      <c r="PWL25" s="30"/>
      <c r="PWQ25" s="93"/>
      <c r="PWR25" s="30"/>
      <c r="PWW25" s="93"/>
      <c r="PWX25" s="30"/>
      <c r="PXC25" s="93"/>
      <c r="PXD25" s="30"/>
      <c r="PXI25" s="93"/>
      <c r="PXJ25" s="30"/>
      <c r="PXO25" s="93"/>
      <c r="PXP25" s="30"/>
      <c r="PXU25" s="93"/>
      <c r="PXV25" s="30"/>
      <c r="PYA25" s="93"/>
      <c r="PYB25" s="30"/>
      <c r="PYG25" s="93"/>
      <c r="PYH25" s="30"/>
      <c r="PYM25" s="93"/>
      <c r="PYN25" s="30"/>
      <c r="PYS25" s="93"/>
      <c r="PYT25" s="30"/>
      <c r="PYY25" s="93"/>
      <c r="PYZ25" s="30"/>
      <c r="PZE25" s="93"/>
      <c r="PZF25" s="30"/>
      <c r="PZK25" s="93"/>
      <c r="PZL25" s="30"/>
      <c r="PZQ25" s="93"/>
      <c r="PZR25" s="30"/>
      <c r="PZW25" s="93"/>
      <c r="PZX25" s="30"/>
      <c r="QAC25" s="93"/>
      <c r="QAD25" s="30"/>
      <c r="QAI25" s="93"/>
      <c r="QAJ25" s="30"/>
      <c r="QAO25" s="93"/>
      <c r="QAP25" s="30"/>
      <c r="QAU25" s="93"/>
      <c r="QAV25" s="30"/>
      <c r="QBA25" s="93"/>
      <c r="QBB25" s="30"/>
      <c r="QBG25" s="93"/>
      <c r="QBH25" s="30"/>
      <c r="QBM25" s="93"/>
      <c r="QBN25" s="30"/>
      <c r="QBS25" s="93"/>
      <c r="QBT25" s="30"/>
      <c r="QBY25" s="93"/>
      <c r="QBZ25" s="30"/>
      <c r="QCE25" s="93"/>
      <c r="QCF25" s="30"/>
      <c r="QCK25" s="93"/>
      <c r="QCL25" s="30"/>
      <c r="QCQ25" s="93"/>
      <c r="QCR25" s="30"/>
      <c r="QCW25" s="93"/>
      <c r="QCX25" s="30"/>
      <c r="QDC25" s="93"/>
      <c r="QDD25" s="30"/>
      <c r="QDI25" s="93"/>
      <c r="QDJ25" s="30"/>
      <c r="QDO25" s="93"/>
      <c r="QDP25" s="30"/>
      <c r="QDU25" s="93"/>
      <c r="QDV25" s="30"/>
      <c r="QEA25" s="93"/>
      <c r="QEB25" s="30"/>
      <c r="QEG25" s="93"/>
      <c r="QEH25" s="30"/>
      <c r="QEM25" s="93"/>
      <c r="QEN25" s="30"/>
      <c r="QES25" s="93"/>
      <c r="QET25" s="30"/>
      <c r="QEY25" s="93"/>
      <c r="QEZ25" s="30"/>
      <c r="QFE25" s="93"/>
      <c r="QFF25" s="30"/>
      <c r="QFK25" s="93"/>
      <c r="QFL25" s="30"/>
      <c r="QFQ25" s="93"/>
      <c r="QFR25" s="30"/>
      <c r="QFW25" s="93"/>
      <c r="QFX25" s="30"/>
      <c r="QGC25" s="93"/>
      <c r="QGD25" s="30"/>
      <c r="QGI25" s="93"/>
      <c r="QGJ25" s="30"/>
      <c r="QGO25" s="93"/>
      <c r="QGP25" s="30"/>
      <c r="QGU25" s="93"/>
      <c r="QGV25" s="30"/>
      <c r="QHA25" s="93"/>
      <c r="QHB25" s="30"/>
      <c r="QHG25" s="93"/>
      <c r="QHH25" s="30"/>
      <c r="QHM25" s="93"/>
      <c r="QHN25" s="30"/>
      <c r="QHS25" s="93"/>
      <c r="QHT25" s="30"/>
      <c r="QHY25" s="93"/>
      <c r="QHZ25" s="30"/>
      <c r="QIE25" s="93"/>
      <c r="QIF25" s="30"/>
      <c r="QIK25" s="93"/>
      <c r="QIL25" s="30"/>
      <c r="QIQ25" s="93"/>
      <c r="QIR25" s="30"/>
      <c r="QIW25" s="93"/>
      <c r="QIX25" s="30"/>
      <c r="QJC25" s="93"/>
      <c r="QJD25" s="30"/>
      <c r="QJI25" s="93"/>
      <c r="QJJ25" s="30"/>
      <c r="QJO25" s="93"/>
      <c r="QJP25" s="30"/>
      <c r="QJU25" s="93"/>
      <c r="QJV25" s="30"/>
      <c r="QKA25" s="93"/>
      <c r="QKB25" s="30"/>
      <c r="QKG25" s="93"/>
      <c r="QKH25" s="30"/>
      <c r="QKM25" s="93"/>
      <c r="QKN25" s="30"/>
      <c r="QKS25" s="93"/>
      <c r="QKT25" s="30"/>
      <c r="QKY25" s="93"/>
      <c r="QKZ25" s="30"/>
      <c r="QLE25" s="93"/>
      <c r="QLF25" s="30"/>
      <c r="QLK25" s="93"/>
      <c r="QLL25" s="30"/>
      <c r="QLQ25" s="93"/>
      <c r="QLR25" s="30"/>
      <c r="QLW25" s="93"/>
      <c r="QLX25" s="30"/>
      <c r="QMC25" s="93"/>
      <c r="QMD25" s="30"/>
      <c r="QMI25" s="93"/>
      <c r="QMJ25" s="30"/>
      <c r="QMO25" s="93"/>
      <c r="QMP25" s="30"/>
      <c r="QMU25" s="93"/>
      <c r="QMV25" s="30"/>
      <c r="QNA25" s="93"/>
      <c r="QNB25" s="30"/>
      <c r="QNG25" s="93"/>
      <c r="QNH25" s="30"/>
      <c r="QNM25" s="93"/>
      <c r="QNN25" s="30"/>
      <c r="QNS25" s="93"/>
      <c r="QNT25" s="30"/>
      <c r="QNY25" s="93"/>
      <c r="QNZ25" s="30"/>
      <c r="QOE25" s="93"/>
      <c r="QOF25" s="30"/>
      <c r="QOK25" s="93"/>
      <c r="QOL25" s="30"/>
      <c r="QOQ25" s="93"/>
      <c r="QOR25" s="30"/>
      <c r="QOW25" s="93"/>
      <c r="QOX25" s="30"/>
      <c r="QPC25" s="93"/>
      <c r="QPD25" s="30"/>
      <c r="QPI25" s="93"/>
      <c r="QPJ25" s="30"/>
      <c r="QPO25" s="93"/>
      <c r="QPP25" s="30"/>
      <c r="QPU25" s="93"/>
      <c r="QPV25" s="30"/>
      <c r="QQA25" s="93"/>
      <c r="QQB25" s="30"/>
      <c r="QQG25" s="93"/>
      <c r="QQH25" s="30"/>
      <c r="QQM25" s="93"/>
      <c r="QQN25" s="30"/>
      <c r="QQS25" s="93"/>
      <c r="QQT25" s="30"/>
      <c r="QQY25" s="93"/>
      <c r="QQZ25" s="30"/>
      <c r="QRE25" s="93"/>
      <c r="QRF25" s="30"/>
      <c r="QRK25" s="93"/>
      <c r="QRL25" s="30"/>
      <c r="QRQ25" s="93"/>
      <c r="QRR25" s="30"/>
      <c r="QRW25" s="93"/>
      <c r="QRX25" s="30"/>
      <c r="QSC25" s="93"/>
      <c r="QSD25" s="30"/>
      <c r="QSI25" s="93"/>
      <c r="QSJ25" s="30"/>
      <c r="QSO25" s="93"/>
      <c r="QSP25" s="30"/>
      <c r="QSU25" s="93"/>
      <c r="QSV25" s="30"/>
      <c r="QTA25" s="93"/>
      <c r="QTB25" s="30"/>
      <c r="QTG25" s="93"/>
      <c r="QTH25" s="30"/>
      <c r="QTM25" s="93"/>
      <c r="QTN25" s="30"/>
      <c r="QTS25" s="93"/>
      <c r="QTT25" s="30"/>
      <c r="QTY25" s="93"/>
      <c r="QTZ25" s="30"/>
      <c r="QUE25" s="93"/>
      <c r="QUF25" s="30"/>
      <c r="QUK25" s="93"/>
      <c r="QUL25" s="30"/>
      <c r="QUQ25" s="93"/>
      <c r="QUR25" s="30"/>
      <c r="QUW25" s="93"/>
      <c r="QUX25" s="30"/>
      <c r="QVC25" s="93"/>
      <c r="QVD25" s="30"/>
      <c r="QVI25" s="93"/>
      <c r="QVJ25" s="30"/>
      <c r="QVO25" s="93"/>
      <c r="QVP25" s="30"/>
      <c r="QVU25" s="93"/>
      <c r="QVV25" s="30"/>
      <c r="QWA25" s="93"/>
      <c r="QWB25" s="30"/>
      <c r="QWG25" s="93"/>
      <c r="QWH25" s="30"/>
      <c r="QWM25" s="93"/>
      <c r="QWN25" s="30"/>
      <c r="QWS25" s="93"/>
      <c r="QWT25" s="30"/>
      <c r="QWY25" s="93"/>
      <c r="QWZ25" s="30"/>
      <c r="QXE25" s="93"/>
      <c r="QXF25" s="30"/>
      <c r="QXK25" s="93"/>
      <c r="QXL25" s="30"/>
      <c r="QXQ25" s="93"/>
      <c r="QXR25" s="30"/>
      <c r="QXW25" s="93"/>
      <c r="QXX25" s="30"/>
      <c r="QYC25" s="93"/>
      <c r="QYD25" s="30"/>
      <c r="QYI25" s="93"/>
      <c r="QYJ25" s="30"/>
      <c r="QYO25" s="93"/>
      <c r="QYP25" s="30"/>
      <c r="QYU25" s="93"/>
      <c r="QYV25" s="30"/>
      <c r="QZA25" s="93"/>
      <c r="QZB25" s="30"/>
      <c r="QZG25" s="93"/>
      <c r="QZH25" s="30"/>
      <c r="QZM25" s="93"/>
      <c r="QZN25" s="30"/>
      <c r="QZS25" s="93"/>
      <c r="QZT25" s="30"/>
      <c r="QZY25" s="93"/>
      <c r="QZZ25" s="30"/>
      <c r="RAE25" s="93"/>
      <c r="RAF25" s="30"/>
      <c r="RAK25" s="93"/>
      <c r="RAL25" s="30"/>
      <c r="RAQ25" s="93"/>
      <c r="RAR25" s="30"/>
      <c r="RAW25" s="93"/>
      <c r="RAX25" s="30"/>
      <c r="RBC25" s="93"/>
      <c r="RBD25" s="30"/>
      <c r="RBI25" s="93"/>
      <c r="RBJ25" s="30"/>
      <c r="RBO25" s="93"/>
      <c r="RBP25" s="30"/>
      <c r="RBU25" s="93"/>
      <c r="RBV25" s="30"/>
      <c r="RCA25" s="93"/>
      <c r="RCB25" s="30"/>
      <c r="RCG25" s="93"/>
      <c r="RCH25" s="30"/>
      <c r="RCM25" s="93"/>
      <c r="RCN25" s="30"/>
      <c r="RCS25" s="93"/>
      <c r="RCT25" s="30"/>
      <c r="RCY25" s="93"/>
      <c r="RCZ25" s="30"/>
      <c r="RDE25" s="93"/>
      <c r="RDF25" s="30"/>
      <c r="RDK25" s="93"/>
      <c r="RDL25" s="30"/>
      <c r="RDQ25" s="93"/>
      <c r="RDR25" s="30"/>
      <c r="RDW25" s="93"/>
      <c r="RDX25" s="30"/>
      <c r="REC25" s="93"/>
      <c r="RED25" s="30"/>
      <c r="REI25" s="93"/>
      <c r="REJ25" s="30"/>
      <c r="REO25" s="93"/>
      <c r="REP25" s="30"/>
      <c r="REU25" s="93"/>
      <c r="REV25" s="30"/>
      <c r="RFA25" s="93"/>
      <c r="RFB25" s="30"/>
      <c r="RFG25" s="93"/>
      <c r="RFH25" s="30"/>
      <c r="RFM25" s="93"/>
      <c r="RFN25" s="30"/>
      <c r="RFS25" s="93"/>
      <c r="RFT25" s="30"/>
      <c r="RFY25" s="93"/>
      <c r="RFZ25" s="30"/>
      <c r="RGE25" s="93"/>
      <c r="RGF25" s="30"/>
      <c r="RGK25" s="93"/>
      <c r="RGL25" s="30"/>
      <c r="RGQ25" s="93"/>
      <c r="RGR25" s="30"/>
      <c r="RGW25" s="93"/>
      <c r="RGX25" s="30"/>
      <c r="RHC25" s="93"/>
      <c r="RHD25" s="30"/>
      <c r="RHI25" s="93"/>
      <c r="RHJ25" s="30"/>
      <c r="RHO25" s="93"/>
      <c r="RHP25" s="30"/>
      <c r="RHU25" s="93"/>
      <c r="RHV25" s="30"/>
      <c r="RIA25" s="93"/>
      <c r="RIB25" s="30"/>
      <c r="RIG25" s="93"/>
      <c r="RIH25" s="30"/>
      <c r="RIM25" s="93"/>
      <c r="RIN25" s="30"/>
      <c r="RIS25" s="93"/>
      <c r="RIT25" s="30"/>
      <c r="RIY25" s="93"/>
      <c r="RIZ25" s="30"/>
      <c r="RJE25" s="93"/>
      <c r="RJF25" s="30"/>
      <c r="RJK25" s="93"/>
      <c r="RJL25" s="30"/>
      <c r="RJQ25" s="93"/>
      <c r="RJR25" s="30"/>
      <c r="RJW25" s="93"/>
      <c r="RJX25" s="30"/>
      <c r="RKC25" s="93"/>
      <c r="RKD25" s="30"/>
      <c r="RKI25" s="93"/>
      <c r="RKJ25" s="30"/>
      <c r="RKO25" s="93"/>
      <c r="RKP25" s="30"/>
      <c r="RKU25" s="93"/>
      <c r="RKV25" s="30"/>
      <c r="RLA25" s="93"/>
      <c r="RLB25" s="30"/>
      <c r="RLG25" s="93"/>
      <c r="RLH25" s="30"/>
      <c r="RLM25" s="93"/>
      <c r="RLN25" s="30"/>
      <c r="RLS25" s="93"/>
      <c r="RLT25" s="30"/>
      <c r="RLY25" s="93"/>
      <c r="RLZ25" s="30"/>
      <c r="RME25" s="93"/>
      <c r="RMF25" s="30"/>
      <c r="RMK25" s="93"/>
      <c r="RML25" s="30"/>
      <c r="RMQ25" s="93"/>
      <c r="RMR25" s="30"/>
      <c r="RMW25" s="93"/>
      <c r="RMX25" s="30"/>
      <c r="RNC25" s="93"/>
      <c r="RND25" s="30"/>
      <c r="RNI25" s="93"/>
      <c r="RNJ25" s="30"/>
      <c r="RNO25" s="93"/>
      <c r="RNP25" s="30"/>
      <c r="RNU25" s="93"/>
      <c r="RNV25" s="30"/>
      <c r="ROA25" s="93"/>
      <c r="ROB25" s="30"/>
      <c r="ROG25" s="93"/>
      <c r="ROH25" s="30"/>
      <c r="ROM25" s="93"/>
      <c r="RON25" s="30"/>
      <c r="ROS25" s="93"/>
      <c r="ROT25" s="30"/>
      <c r="ROY25" s="93"/>
      <c r="ROZ25" s="30"/>
      <c r="RPE25" s="93"/>
      <c r="RPF25" s="30"/>
      <c r="RPK25" s="93"/>
      <c r="RPL25" s="30"/>
      <c r="RPQ25" s="93"/>
      <c r="RPR25" s="30"/>
      <c r="RPW25" s="93"/>
      <c r="RPX25" s="30"/>
      <c r="RQC25" s="93"/>
      <c r="RQD25" s="30"/>
      <c r="RQI25" s="93"/>
      <c r="RQJ25" s="30"/>
      <c r="RQO25" s="93"/>
      <c r="RQP25" s="30"/>
      <c r="RQU25" s="93"/>
      <c r="RQV25" s="30"/>
      <c r="RRA25" s="93"/>
      <c r="RRB25" s="30"/>
      <c r="RRG25" s="93"/>
      <c r="RRH25" s="30"/>
      <c r="RRM25" s="93"/>
      <c r="RRN25" s="30"/>
      <c r="RRS25" s="93"/>
      <c r="RRT25" s="30"/>
      <c r="RRY25" s="93"/>
      <c r="RRZ25" s="30"/>
      <c r="RSE25" s="93"/>
      <c r="RSF25" s="30"/>
      <c r="RSK25" s="93"/>
      <c r="RSL25" s="30"/>
      <c r="RSQ25" s="93"/>
      <c r="RSR25" s="30"/>
      <c r="RSW25" s="93"/>
      <c r="RSX25" s="30"/>
      <c r="RTC25" s="93"/>
      <c r="RTD25" s="30"/>
      <c r="RTI25" s="93"/>
      <c r="RTJ25" s="30"/>
      <c r="RTO25" s="93"/>
      <c r="RTP25" s="30"/>
      <c r="RTU25" s="93"/>
      <c r="RTV25" s="30"/>
      <c r="RUA25" s="93"/>
      <c r="RUB25" s="30"/>
      <c r="RUG25" s="93"/>
      <c r="RUH25" s="30"/>
      <c r="RUM25" s="93"/>
      <c r="RUN25" s="30"/>
      <c r="RUS25" s="93"/>
      <c r="RUT25" s="30"/>
      <c r="RUY25" s="93"/>
      <c r="RUZ25" s="30"/>
      <c r="RVE25" s="93"/>
      <c r="RVF25" s="30"/>
      <c r="RVK25" s="93"/>
      <c r="RVL25" s="30"/>
      <c r="RVQ25" s="93"/>
      <c r="RVR25" s="30"/>
      <c r="RVW25" s="93"/>
      <c r="RVX25" s="30"/>
      <c r="RWC25" s="93"/>
      <c r="RWD25" s="30"/>
      <c r="RWI25" s="93"/>
      <c r="RWJ25" s="30"/>
      <c r="RWO25" s="93"/>
      <c r="RWP25" s="30"/>
      <c r="RWU25" s="93"/>
      <c r="RWV25" s="30"/>
      <c r="RXA25" s="93"/>
      <c r="RXB25" s="30"/>
      <c r="RXG25" s="93"/>
      <c r="RXH25" s="30"/>
      <c r="RXM25" s="93"/>
      <c r="RXN25" s="30"/>
      <c r="RXS25" s="93"/>
      <c r="RXT25" s="30"/>
      <c r="RXY25" s="93"/>
      <c r="RXZ25" s="30"/>
      <c r="RYE25" s="93"/>
      <c r="RYF25" s="30"/>
      <c r="RYK25" s="93"/>
      <c r="RYL25" s="30"/>
      <c r="RYQ25" s="93"/>
      <c r="RYR25" s="30"/>
      <c r="RYW25" s="93"/>
      <c r="RYX25" s="30"/>
      <c r="RZC25" s="93"/>
      <c r="RZD25" s="30"/>
      <c r="RZI25" s="93"/>
      <c r="RZJ25" s="30"/>
      <c r="RZO25" s="93"/>
      <c r="RZP25" s="30"/>
      <c r="RZU25" s="93"/>
      <c r="RZV25" s="30"/>
      <c r="SAA25" s="93"/>
      <c r="SAB25" s="30"/>
      <c r="SAG25" s="93"/>
      <c r="SAH25" s="30"/>
      <c r="SAM25" s="93"/>
      <c r="SAN25" s="30"/>
      <c r="SAS25" s="93"/>
      <c r="SAT25" s="30"/>
      <c r="SAY25" s="93"/>
      <c r="SAZ25" s="30"/>
      <c r="SBE25" s="93"/>
      <c r="SBF25" s="30"/>
      <c r="SBK25" s="93"/>
      <c r="SBL25" s="30"/>
      <c r="SBQ25" s="93"/>
      <c r="SBR25" s="30"/>
      <c r="SBW25" s="93"/>
      <c r="SBX25" s="30"/>
      <c r="SCC25" s="93"/>
      <c r="SCD25" s="30"/>
      <c r="SCI25" s="93"/>
      <c r="SCJ25" s="30"/>
      <c r="SCO25" s="93"/>
      <c r="SCP25" s="30"/>
      <c r="SCU25" s="93"/>
      <c r="SCV25" s="30"/>
      <c r="SDA25" s="93"/>
      <c r="SDB25" s="30"/>
      <c r="SDG25" s="93"/>
      <c r="SDH25" s="30"/>
      <c r="SDM25" s="93"/>
      <c r="SDN25" s="30"/>
      <c r="SDS25" s="93"/>
      <c r="SDT25" s="30"/>
      <c r="SDY25" s="93"/>
      <c r="SDZ25" s="30"/>
      <c r="SEE25" s="93"/>
      <c r="SEF25" s="30"/>
      <c r="SEK25" s="93"/>
      <c r="SEL25" s="30"/>
      <c r="SEQ25" s="93"/>
      <c r="SER25" s="30"/>
      <c r="SEW25" s="93"/>
      <c r="SEX25" s="30"/>
      <c r="SFC25" s="93"/>
      <c r="SFD25" s="30"/>
      <c r="SFI25" s="93"/>
      <c r="SFJ25" s="30"/>
      <c r="SFO25" s="93"/>
      <c r="SFP25" s="30"/>
      <c r="SFU25" s="93"/>
      <c r="SFV25" s="30"/>
      <c r="SGA25" s="93"/>
      <c r="SGB25" s="30"/>
      <c r="SGG25" s="93"/>
      <c r="SGH25" s="30"/>
      <c r="SGM25" s="93"/>
      <c r="SGN25" s="30"/>
      <c r="SGS25" s="93"/>
      <c r="SGT25" s="30"/>
      <c r="SGY25" s="93"/>
      <c r="SGZ25" s="30"/>
      <c r="SHE25" s="93"/>
      <c r="SHF25" s="30"/>
      <c r="SHK25" s="93"/>
      <c r="SHL25" s="30"/>
      <c r="SHQ25" s="93"/>
      <c r="SHR25" s="30"/>
      <c r="SHW25" s="93"/>
      <c r="SHX25" s="30"/>
      <c r="SIC25" s="93"/>
      <c r="SID25" s="30"/>
      <c r="SII25" s="93"/>
      <c r="SIJ25" s="30"/>
      <c r="SIO25" s="93"/>
      <c r="SIP25" s="30"/>
      <c r="SIU25" s="93"/>
      <c r="SIV25" s="30"/>
      <c r="SJA25" s="93"/>
      <c r="SJB25" s="30"/>
      <c r="SJG25" s="93"/>
      <c r="SJH25" s="30"/>
      <c r="SJM25" s="93"/>
      <c r="SJN25" s="30"/>
      <c r="SJS25" s="93"/>
      <c r="SJT25" s="30"/>
      <c r="SJY25" s="93"/>
      <c r="SJZ25" s="30"/>
      <c r="SKE25" s="93"/>
      <c r="SKF25" s="30"/>
      <c r="SKK25" s="93"/>
      <c r="SKL25" s="30"/>
      <c r="SKQ25" s="93"/>
      <c r="SKR25" s="30"/>
      <c r="SKW25" s="93"/>
      <c r="SKX25" s="30"/>
      <c r="SLC25" s="93"/>
      <c r="SLD25" s="30"/>
      <c r="SLI25" s="93"/>
      <c r="SLJ25" s="30"/>
      <c r="SLO25" s="93"/>
      <c r="SLP25" s="30"/>
      <c r="SLU25" s="93"/>
      <c r="SLV25" s="30"/>
      <c r="SMA25" s="93"/>
      <c r="SMB25" s="30"/>
      <c r="SMG25" s="93"/>
      <c r="SMH25" s="30"/>
      <c r="SMM25" s="93"/>
      <c r="SMN25" s="30"/>
      <c r="SMS25" s="93"/>
      <c r="SMT25" s="30"/>
      <c r="SMY25" s="93"/>
      <c r="SMZ25" s="30"/>
      <c r="SNE25" s="93"/>
      <c r="SNF25" s="30"/>
      <c r="SNK25" s="93"/>
      <c r="SNL25" s="30"/>
      <c r="SNQ25" s="93"/>
      <c r="SNR25" s="30"/>
      <c r="SNW25" s="93"/>
      <c r="SNX25" s="30"/>
      <c r="SOC25" s="93"/>
      <c r="SOD25" s="30"/>
      <c r="SOI25" s="93"/>
      <c r="SOJ25" s="30"/>
      <c r="SOO25" s="93"/>
      <c r="SOP25" s="30"/>
      <c r="SOU25" s="93"/>
      <c r="SOV25" s="30"/>
      <c r="SPA25" s="93"/>
      <c r="SPB25" s="30"/>
      <c r="SPG25" s="93"/>
      <c r="SPH25" s="30"/>
      <c r="SPM25" s="93"/>
      <c r="SPN25" s="30"/>
      <c r="SPS25" s="93"/>
      <c r="SPT25" s="30"/>
      <c r="SPY25" s="93"/>
      <c r="SPZ25" s="30"/>
      <c r="SQE25" s="93"/>
      <c r="SQF25" s="30"/>
      <c r="SQK25" s="93"/>
      <c r="SQL25" s="30"/>
      <c r="SQQ25" s="93"/>
      <c r="SQR25" s="30"/>
      <c r="SQW25" s="93"/>
      <c r="SQX25" s="30"/>
      <c r="SRC25" s="93"/>
      <c r="SRD25" s="30"/>
      <c r="SRI25" s="93"/>
      <c r="SRJ25" s="30"/>
      <c r="SRO25" s="93"/>
      <c r="SRP25" s="30"/>
      <c r="SRU25" s="93"/>
      <c r="SRV25" s="30"/>
      <c r="SSA25" s="93"/>
      <c r="SSB25" s="30"/>
      <c r="SSG25" s="93"/>
      <c r="SSH25" s="30"/>
      <c r="SSM25" s="93"/>
      <c r="SSN25" s="30"/>
      <c r="SSS25" s="93"/>
      <c r="SST25" s="30"/>
      <c r="SSY25" s="93"/>
      <c r="SSZ25" s="30"/>
      <c r="STE25" s="93"/>
      <c r="STF25" s="30"/>
      <c r="STK25" s="93"/>
      <c r="STL25" s="30"/>
      <c r="STQ25" s="93"/>
      <c r="STR25" s="30"/>
      <c r="STW25" s="93"/>
      <c r="STX25" s="30"/>
      <c r="SUC25" s="93"/>
      <c r="SUD25" s="30"/>
      <c r="SUI25" s="93"/>
      <c r="SUJ25" s="30"/>
      <c r="SUO25" s="93"/>
      <c r="SUP25" s="30"/>
      <c r="SUU25" s="93"/>
      <c r="SUV25" s="30"/>
      <c r="SVA25" s="93"/>
      <c r="SVB25" s="30"/>
      <c r="SVG25" s="93"/>
      <c r="SVH25" s="30"/>
      <c r="SVM25" s="93"/>
      <c r="SVN25" s="30"/>
      <c r="SVS25" s="93"/>
      <c r="SVT25" s="30"/>
      <c r="SVY25" s="93"/>
      <c r="SVZ25" s="30"/>
      <c r="SWE25" s="93"/>
      <c r="SWF25" s="30"/>
      <c r="SWK25" s="93"/>
      <c r="SWL25" s="30"/>
      <c r="SWQ25" s="93"/>
      <c r="SWR25" s="30"/>
      <c r="SWW25" s="93"/>
      <c r="SWX25" s="30"/>
      <c r="SXC25" s="93"/>
      <c r="SXD25" s="30"/>
      <c r="SXI25" s="93"/>
      <c r="SXJ25" s="30"/>
      <c r="SXO25" s="93"/>
      <c r="SXP25" s="30"/>
      <c r="SXU25" s="93"/>
      <c r="SXV25" s="30"/>
      <c r="SYA25" s="93"/>
      <c r="SYB25" s="30"/>
      <c r="SYG25" s="93"/>
      <c r="SYH25" s="30"/>
      <c r="SYM25" s="93"/>
      <c r="SYN25" s="30"/>
      <c r="SYS25" s="93"/>
      <c r="SYT25" s="30"/>
      <c r="SYY25" s="93"/>
      <c r="SYZ25" s="30"/>
      <c r="SZE25" s="93"/>
      <c r="SZF25" s="30"/>
      <c r="SZK25" s="93"/>
      <c r="SZL25" s="30"/>
      <c r="SZQ25" s="93"/>
      <c r="SZR25" s="30"/>
      <c r="SZW25" s="93"/>
      <c r="SZX25" s="30"/>
      <c r="TAC25" s="93"/>
      <c r="TAD25" s="30"/>
      <c r="TAI25" s="93"/>
      <c r="TAJ25" s="30"/>
      <c r="TAO25" s="93"/>
      <c r="TAP25" s="30"/>
      <c r="TAU25" s="93"/>
      <c r="TAV25" s="30"/>
      <c r="TBA25" s="93"/>
      <c r="TBB25" s="30"/>
      <c r="TBG25" s="93"/>
      <c r="TBH25" s="30"/>
      <c r="TBM25" s="93"/>
      <c r="TBN25" s="30"/>
      <c r="TBS25" s="93"/>
      <c r="TBT25" s="30"/>
      <c r="TBY25" s="93"/>
      <c r="TBZ25" s="30"/>
      <c r="TCE25" s="93"/>
      <c r="TCF25" s="30"/>
      <c r="TCK25" s="93"/>
      <c r="TCL25" s="30"/>
      <c r="TCQ25" s="93"/>
      <c r="TCR25" s="30"/>
      <c r="TCW25" s="93"/>
      <c r="TCX25" s="30"/>
      <c r="TDC25" s="93"/>
      <c r="TDD25" s="30"/>
      <c r="TDI25" s="93"/>
      <c r="TDJ25" s="30"/>
      <c r="TDO25" s="93"/>
      <c r="TDP25" s="30"/>
      <c r="TDU25" s="93"/>
      <c r="TDV25" s="30"/>
      <c r="TEA25" s="93"/>
      <c r="TEB25" s="30"/>
      <c r="TEG25" s="93"/>
      <c r="TEH25" s="30"/>
      <c r="TEM25" s="93"/>
      <c r="TEN25" s="30"/>
      <c r="TES25" s="93"/>
      <c r="TET25" s="30"/>
      <c r="TEY25" s="93"/>
      <c r="TEZ25" s="30"/>
      <c r="TFE25" s="93"/>
      <c r="TFF25" s="30"/>
      <c r="TFK25" s="93"/>
      <c r="TFL25" s="30"/>
      <c r="TFQ25" s="93"/>
      <c r="TFR25" s="30"/>
      <c r="TFW25" s="93"/>
      <c r="TFX25" s="30"/>
      <c r="TGC25" s="93"/>
      <c r="TGD25" s="30"/>
      <c r="TGI25" s="93"/>
      <c r="TGJ25" s="30"/>
      <c r="TGO25" s="93"/>
      <c r="TGP25" s="30"/>
      <c r="TGU25" s="93"/>
      <c r="TGV25" s="30"/>
      <c r="THA25" s="93"/>
      <c r="THB25" s="30"/>
      <c r="THG25" s="93"/>
      <c r="THH25" s="30"/>
      <c r="THM25" s="93"/>
      <c r="THN25" s="30"/>
      <c r="THS25" s="93"/>
      <c r="THT25" s="30"/>
      <c r="THY25" s="93"/>
      <c r="THZ25" s="30"/>
      <c r="TIE25" s="93"/>
      <c r="TIF25" s="30"/>
      <c r="TIK25" s="93"/>
      <c r="TIL25" s="30"/>
      <c r="TIQ25" s="93"/>
      <c r="TIR25" s="30"/>
      <c r="TIW25" s="93"/>
      <c r="TIX25" s="30"/>
      <c r="TJC25" s="93"/>
      <c r="TJD25" s="30"/>
      <c r="TJI25" s="93"/>
      <c r="TJJ25" s="30"/>
      <c r="TJO25" s="93"/>
      <c r="TJP25" s="30"/>
      <c r="TJU25" s="93"/>
      <c r="TJV25" s="30"/>
      <c r="TKA25" s="93"/>
      <c r="TKB25" s="30"/>
      <c r="TKG25" s="93"/>
      <c r="TKH25" s="30"/>
      <c r="TKM25" s="93"/>
      <c r="TKN25" s="30"/>
      <c r="TKS25" s="93"/>
      <c r="TKT25" s="30"/>
      <c r="TKY25" s="93"/>
      <c r="TKZ25" s="30"/>
      <c r="TLE25" s="93"/>
      <c r="TLF25" s="30"/>
      <c r="TLK25" s="93"/>
      <c r="TLL25" s="30"/>
      <c r="TLQ25" s="93"/>
      <c r="TLR25" s="30"/>
      <c r="TLW25" s="93"/>
      <c r="TLX25" s="30"/>
      <c r="TMC25" s="93"/>
      <c r="TMD25" s="30"/>
      <c r="TMI25" s="93"/>
      <c r="TMJ25" s="30"/>
      <c r="TMO25" s="93"/>
      <c r="TMP25" s="30"/>
      <c r="TMU25" s="93"/>
      <c r="TMV25" s="30"/>
      <c r="TNA25" s="93"/>
      <c r="TNB25" s="30"/>
      <c r="TNG25" s="93"/>
      <c r="TNH25" s="30"/>
      <c r="TNM25" s="93"/>
      <c r="TNN25" s="30"/>
      <c r="TNS25" s="93"/>
      <c r="TNT25" s="30"/>
      <c r="TNY25" s="93"/>
      <c r="TNZ25" s="30"/>
      <c r="TOE25" s="93"/>
      <c r="TOF25" s="30"/>
      <c r="TOK25" s="93"/>
      <c r="TOL25" s="30"/>
      <c r="TOQ25" s="93"/>
      <c r="TOR25" s="30"/>
      <c r="TOW25" s="93"/>
      <c r="TOX25" s="30"/>
      <c r="TPC25" s="93"/>
      <c r="TPD25" s="30"/>
      <c r="TPI25" s="93"/>
      <c r="TPJ25" s="30"/>
      <c r="TPO25" s="93"/>
      <c r="TPP25" s="30"/>
      <c r="TPU25" s="93"/>
      <c r="TPV25" s="30"/>
      <c r="TQA25" s="93"/>
      <c r="TQB25" s="30"/>
      <c r="TQG25" s="93"/>
      <c r="TQH25" s="30"/>
      <c r="TQM25" s="93"/>
      <c r="TQN25" s="30"/>
      <c r="TQS25" s="93"/>
      <c r="TQT25" s="30"/>
      <c r="TQY25" s="93"/>
      <c r="TQZ25" s="30"/>
      <c r="TRE25" s="93"/>
      <c r="TRF25" s="30"/>
      <c r="TRK25" s="93"/>
      <c r="TRL25" s="30"/>
      <c r="TRQ25" s="93"/>
      <c r="TRR25" s="30"/>
      <c r="TRW25" s="93"/>
      <c r="TRX25" s="30"/>
      <c r="TSC25" s="93"/>
      <c r="TSD25" s="30"/>
      <c r="TSI25" s="93"/>
      <c r="TSJ25" s="30"/>
      <c r="TSO25" s="93"/>
      <c r="TSP25" s="30"/>
      <c r="TSU25" s="93"/>
      <c r="TSV25" s="30"/>
      <c r="TTA25" s="93"/>
      <c r="TTB25" s="30"/>
      <c r="TTG25" s="93"/>
      <c r="TTH25" s="30"/>
      <c r="TTM25" s="93"/>
      <c r="TTN25" s="30"/>
      <c r="TTS25" s="93"/>
      <c r="TTT25" s="30"/>
      <c r="TTY25" s="93"/>
      <c r="TTZ25" s="30"/>
      <c r="TUE25" s="93"/>
      <c r="TUF25" s="30"/>
      <c r="TUK25" s="93"/>
      <c r="TUL25" s="30"/>
      <c r="TUQ25" s="93"/>
      <c r="TUR25" s="30"/>
      <c r="TUW25" s="93"/>
      <c r="TUX25" s="30"/>
      <c r="TVC25" s="93"/>
      <c r="TVD25" s="30"/>
      <c r="TVI25" s="93"/>
      <c r="TVJ25" s="30"/>
      <c r="TVO25" s="93"/>
      <c r="TVP25" s="30"/>
      <c r="TVU25" s="93"/>
      <c r="TVV25" s="30"/>
      <c r="TWA25" s="93"/>
      <c r="TWB25" s="30"/>
      <c r="TWG25" s="93"/>
      <c r="TWH25" s="30"/>
      <c r="TWM25" s="93"/>
      <c r="TWN25" s="30"/>
      <c r="TWS25" s="93"/>
      <c r="TWT25" s="30"/>
      <c r="TWY25" s="93"/>
      <c r="TWZ25" s="30"/>
      <c r="TXE25" s="93"/>
      <c r="TXF25" s="30"/>
      <c r="TXK25" s="93"/>
      <c r="TXL25" s="30"/>
      <c r="TXQ25" s="93"/>
      <c r="TXR25" s="30"/>
      <c r="TXW25" s="93"/>
      <c r="TXX25" s="30"/>
      <c r="TYC25" s="93"/>
      <c r="TYD25" s="30"/>
      <c r="TYI25" s="93"/>
      <c r="TYJ25" s="30"/>
      <c r="TYO25" s="93"/>
      <c r="TYP25" s="30"/>
      <c r="TYU25" s="93"/>
      <c r="TYV25" s="30"/>
      <c r="TZA25" s="93"/>
      <c r="TZB25" s="30"/>
      <c r="TZG25" s="93"/>
      <c r="TZH25" s="30"/>
      <c r="TZM25" s="93"/>
      <c r="TZN25" s="30"/>
      <c r="TZS25" s="93"/>
      <c r="TZT25" s="30"/>
      <c r="TZY25" s="93"/>
      <c r="TZZ25" s="30"/>
      <c r="UAE25" s="93"/>
      <c r="UAF25" s="30"/>
      <c r="UAK25" s="93"/>
      <c r="UAL25" s="30"/>
      <c r="UAQ25" s="93"/>
      <c r="UAR25" s="30"/>
      <c r="UAW25" s="93"/>
      <c r="UAX25" s="30"/>
      <c r="UBC25" s="93"/>
      <c r="UBD25" s="30"/>
      <c r="UBI25" s="93"/>
      <c r="UBJ25" s="30"/>
      <c r="UBO25" s="93"/>
      <c r="UBP25" s="30"/>
      <c r="UBU25" s="93"/>
      <c r="UBV25" s="30"/>
      <c r="UCA25" s="93"/>
      <c r="UCB25" s="30"/>
      <c r="UCG25" s="93"/>
      <c r="UCH25" s="30"/>
      <c r="UCM25" s="93"/>
      <c r="UCN25" s="30"/>
      <c r="UCS25" s="93"/>
      <c r="UCT25" s="30"/>
      <c r="UCY25" s="93"/>
      <c r="UCZ25" s="30"/>
      <c r="UDE25" s="93"/>
      <c r="UDF25" s="30"/>
      <c r="UDK25" s="93"/>
      <c r="UDL25" s="30"/>
      <c r="UDQ25" s="93"/>
      <c r="UDR25" s="30"/>
      <c r="UDW25" s="93"/>
      <c r="UDX25" s="30"/>
      <c r="UEC25" s="93"/>
      <c r="UED25" s="30"/>
      <c r="UEI25" s="93"/>
      <c r="UEJ25" s="30"/>
      <c r="UEO25" s="93"/>
      <c r="UEP25" s="30"/>
      <c r="UEU25" s="93"/>
      <c r="UEV25" s="30"/>
      <c r="UFA25" s="93"/>
      <c r="UFB25" s="30"/>
      <c r="UFG25" s="93"/>
      <c r="UFH25" s="30"/>
      <c r="UFM25" s="93"/>
      <c r="UFN25" s="30"/>
      <c r="UFS25" s="93"/>
      <c r="UFT25" s="30"/>
      <c r="UFY25" s="93"/>
      <c r="UFZ25" s="30"/>
      <c r="UGE25" s="93"/>
      <c r="UGF25" s="30"/>
      <c r="UGK25" s="93"/>
      <c r="UGL25" s="30"/>
      <c r="UGQ25" s="93"/>
      <c r="UGR25" s="30"/>
      <c r="UGW25" s="93"/>
      <c r="UGX25" s="30"/>
      <c r="UHC25" s="93"/>
      <c r="UHD25" s="30"/>
      <c r="UHI25" s="93"/>
      <c r="UHJ25" s="30"/>
      <c r="UHO25" s="93"/>
      <c r="UHP25" s="30"/>
      <c r="UHU25" s="93"/>
      <c r="UHV25" s="30"/>
      <c r="UIA25" s="93"/>
      <c r="UIB25" s="30"/>
      <c r="UIG25" s="93"/>
      <c r="UIH25" s="30"/>
      <c r="UIM25" s="93"/>
      <c r="UIN25" s="30"/>
      <c r="UIS25" s="93"/>
      <c r="UIT25" s="30"/>
      <c r="UIY25" s="93"/>
      <c r="UIZ25" s="30"/>
      <c r="UJE25" s="93"/>
      <c r="UJF25" s="30"/>
      <c r="UJK25" s="93"/>
      <c r="UJL25" s="30"/>
      <c r="UJQ25" s="93"/>
      <c r="UJR25" s="30"/>
      <c r="UJW25" s="93"/>
      <c r="UJX25" s="30"/>
      <c r="UKC25" s="93"/>
      <c r="UKD25" s="30"/>
      <c r="UKI25" s="93"/>
      <c r="UKJ25" s="30"/>
      <c r="UKO25" s="93"/>
      <c r="UKP25" s="30"/>
      <c r="UKU25" s="93"/>
      <c r="UKV25" s="30"/>
      <c r="ULA25" s="93"/>
      <c r="ULB25" s="30"/>
      <c r="ULG25" s="93"/>
      <c r="ULH25" s="30"/>
      <c r="ULM25" s="93"/>
      <c r="ULN25" s="30"/>
      <c r="ULS25" s="93"/>
      <c r="ULT25" s="30"/>
      <c r="ULY25" s="93"/>
      <c r="ULZ25" s="30"/>
      <c r="UME25" s="93"/>
      <c r="UMF25" s="30"/>
      <c r="UMK25" s="93"/>
      <c r="UML25" s="30"/>
      <c r="UMQ25" s="93"/>
      <c r="UMR25" s="30"/>
      <c r="UMW25" s="93"/>
      <c r="UMX25" s="30"/>
      <c r="UNC25" s="93"/>
      <c r="UND25" s="30"/>
      <c r="UNI25" s="93"/>
      <c r="UNJ25" s="30"/>
      <c r="UNO25" s="93"/>
      <c r="UNP25" s="30"/>
      <c r="UNU25" s="93"/>
      <c r="UNV25" s="30"/>
      <c r="UOA25" s="93"/>
      <c r="UOB25" s="30"/>
      <c r="UOG25" s="93"/>
      <c r="UOH25" s="30"/>
      <c r="UOM25" s="93"/>
      <c r="UON25" s="30"/>
      <c r="UOS25" s="93"/>
      <c r="UOT25" s="30"/>
      <c r="UOY25" s="93"/>
      <c r="UOZ25" s="30"/>
      <c r="UPE25" s="93"/>
      <c r="UPF25" s="30"/>
      <c r="UPK25" s="93"/>
      <c r="UPL25" s="30"/>
      <c r="UPQ25" s="93"/>
      <c r="UPR25" s="30"/>
      <c r="UPW25" s="93"/>
      <c r="UPX25" s="30"/>
      <c r="UQC25" s="93"/>
      <c r="UQD25" s="30"/>
      <c r="UQI25" s="93"/>
      <c r="UQJ25" s="30"/>
      <c r="UQO25" s="93"/>
      <c r="UQP25" s="30"/>
      <c r="UQU25" s="93"/>
      <c r="UQV25" s="30"/>
      <c r="URA25" s="93"/>
      <c r="URB25" s="30"/>
      <c r="URG25" s="93"/>
      <c r="URH25" s="30"/>
      <c r="URM25" s="93"/>
      <c r="URN25" s="30"/>
      <c r="URS25" s="93"/>
      <c r="URT25" s="30"/>
      <c r="URY25" s="93"/>
      <c r="URZ25" s="30"/>
      <c r="USE25" s="93"/>
      <c r="USF25" s="30"/>
      <c r="USK25" s="93"/>
      <c r="USL25" s="30"/>
      <c r="USQ25" s="93"/>
      <c r="USR25" s="30"/>
      <c r="USW25" s="93"/>
      <c r="USX25" s="30"/>
      <c r="UTC25" s="93"/>
      <c r="UTD25" s="30"/>
      <c r="UTI25" s="93"/>
      <c r="UTJ25" s="30"/>
      <c r="UTO25" s="93"/>
      <c r="UTP25" s="30"/>
      <c r="UTU25" s="93"/>
      <c r="UTV25" s="30"/>
      <c r="UUA25" s="93"/>
      <c r="UUB25" s="30"/>
      <c r="UUG25" s="93"/>
      <c r="UUH25" s="30"/>
      <c r="UUM25" s="93"/>
      <c r="UUN25" s="30"/>
      <c r="UUS25" s="93"/>
      <c r="UUT25" s="30"/>
      <c r="UUY25" s="93"/>
      <c r="UUZ25" s="30"/>
      <c r="UVE25" s="93"/>
      <c r="UVF25" s="30"/>
      <c r="UVK25" s="93"/>
      <c r="UVL25" s="30"/>
      <c r="UVQ25" s="93"/>
      <c r="UVR25" s="30"/>
      <c r="UVW25" s="93"/>
      <c r="UVX25" s="30"/>
      <c r="UWC25" s="93"/>
      <c r="UWD25" s="30"/>
      <c r="UWI25" s="93"/>
      <c r="UWJ25" s="30"/>
      <c r="UWO25" s="93"/>
      <c r="UWP25" s="30"/>
      <c r="UWU25" s="93"/>
      <c r="UWV25" s="30"/>
      <c r="UXA25" s="93"/>
      <c r="UXB25" s="30"/>
      <c r="UXG25" s="93"/>
      <c r="UXH25" s="30"/>
      <c r="UXM25" s="93"/>
      <c r="UXN25" s="30"/>
      <c r="UXS25" s="93"/>
      <c r="UXT25" s="30"/>
      <c r="UXY25" s="93"/>
      <c r="UXZ25" s="30"/>
      <c r="UYE25" s="93"/>
      <c r="UYF25" s="30"/>
      <c r="UYK25" s="93"/>
      <c r="UYL25" s="30"/>
      <c r="UYQ25" s="93"/>
      <c r="UYR25" s="30"/>
      <c r="UYW25" s="93"/>
      <c r="UYX25" s="30"/>
      <c r="UZC25" s="93"/>
      <c r="UZD25" s="30"/>
      <c r="UZI25" s="93"/>
      <c r="UZJ25" s="30"/>
      <c r="UZO25" s="93"/>
      <c r="UZP25" s="30"/>
      <c r="UZU25" s="93"/>
      <c r="UZV25" s="30"/>
      <c r="VAA25" s="93"/>
      <c r="VAB25" s="30"/>
      <c r="VAG25" s="93"/>
      <c r="VAH25" s="30"/>
      <c r="VAM25" s="93"/>
      <c r="VAN25" s="30"/>
      <c r="VAS25" s="93"/>
      <c r="VAT25" s="30"/>
      <c r="VAY25" s="93"/>
      <c r="VAZ25" s="30"/>
      <c r="VBE25" s="93"/>
      <c r="VBF25" s="30"/>
      <c r="VBK25" s="93"/>
      <c r="VBL25" s="30"/>
      <c r="VBQ25" s="93"/>
      <c r="VBR25" s="30"/>
      <c r="VBW25" s="93"/>
      <c r="VBX25" s="30"/>
      <c r="VCC25" s="93"/>
      <c r="VCD25" s="30"/>
      <c r="VCI25" s="93"/>
      <c r="VCJ25" s="30"/>
      <c r="VCO25" s="93"/>
      <c r="VCP25" s="30"/>
      <c r="VCU25" s="93"/>
      <c r="VCV25" s="30"/>
      <c r="VDA25" s="93"/>
      <c r="VDB25" s="30"/>
      <c r="VDG25" s="93"/>
      <c r="VDH25" s="30"/>
      <c r="VDM25" s="93"/>
      <c r="VDN25" s="30"/>
      <c r="VDS25" s="93"/>
      <c r="VDT25" s="30"/>
      <c r="VDY25" s="93"/>
      <c r="VDZ25" s="30"/>
      <c r="VEE25" s="93"/>
      <c r="VEF25" s="30"/>
      <c r="VEK25" s="93"/>
      <c r="VEL25" s="30"/>
      <c r="VEQ25" s="93"/>
      <c r="VER25" s="30"/>
      <c r="VEW25" s="93"/>
      <c r="VEX25" s="30"/>
      <c r="VFC25" s="93"/>
      <c r="VFD25" s="30"/>
      <c r="VFI25" s="93"/>
      <c r="VFJ25" s="30"/>
      <c r="VFO25" s="93"/>
      <c r="VFP25" s="30"/>
      <c r="VFU25" s="93"/>
      <c r="VFV25" s="30"/>
      <c r="VGA25" s="93"/>
      <c r="VGB25" s="30"/>
      <c r="VGG25" s="93"/>
      <c r="VGH25" s="30"/>
      <c r="VGM25" s="93"/>
      <c r="VGN25" s="30"/>
      <c r="VGS25" s="93"/>
      <c r="VGT25" s="30"/>
      <c r="VGY25" s="93"/>
      <c r="VGZ25" s="30"/>
      <c r="VHE25" s="93"/>
      <c r="VHF25" s="30"/>
      <c r="VHK25" s="93"/>
      <c r="VHL25" s="30"/>
      <c r="VHQ25" s="93"/>
      <c r="VHR25" s="30"/>
      <c r="VHW25" s="93"/>
      <c r="VHX25" s="30"/>
      <c r="VIC25" s="93"/>
      <c r="VID25" s="30"/>
      <c r="VII25" s="93"/>
      <c r="VIJ25" s="30"/>
      <c r="VIO25" s="93"/>
      <c r="VIP25" s="30"/>
      <c r="VIU25" s="93"/>
      <c r="VIV25" s="30"/>
      <c r="VJA25" s="93"/>
      <c r="VJB25" s="30"/>
      <c r="VJG25" s="93"/>
      <c r="VJH25" s="30"/>
      <c r="VJM25" s="93"/>
      <c r="VJN25" s="30"/>
      <c r="VJS25" s="93"/>
      <c r="VJT25" s="30"/>
      <c r="VJY25" s="93"/>
      <c r="VJZ25" s="30"/>
      <c r="VKE25" s="93"/>
      <c r="VKF25" s="30"/>
      <c r="VKK25" s="93"/>
      <c r="VKL25" s="30"/>
      <c r="VKQ25" s="93"/>
      <c r="VKR25" s="30"/>
      <c r="VKW25" s="93"/>
      <c r="VKX25" s="30"/>
      <c r="VLC25" s="93"/>
      <c r="VLD25" s="30"/>
      <c r="VLI25" s="93"/>
      <c r="VLJ25" s="30"/>
      <c r="VLO25" s="93"/>
      <c r="VLP25" s="30"/>
      <c r="VLU25" s="93"/>
      <c r="VLV25" s="30"/>
      <c r="VMA25" s="93"/>
      <c r="VMB25" s="30"/>
      <c r="VMG25" s="93"/>
      <c r="VMH25" s="30"/>
      <c r="VMM25" s="93"/>
      <c r="VMN25" s="30"/>
      <c r="VMS25" s="93"/>
      <c r="VMT25" s="30"/>
      <c r="VMY25" s="93"/>
      <c r="VMZ25" s="30"/>
      <c r="VNE25" s="93"/>
      <c r="VNF25" s="30"/>
      <c r="VNK25" s="93"/>
      <c r="VNL25" s="30"/>
      <c r="VNQ25" s="93"/>
      <c r="VNR25" s="30"/>
      <c r="VNW25" s="93"/>
      <c r="VNX25" s="30"/>
      <c r="VOC25" s="93"/>
      <c r="VOD25" s="30"/>
      <c r="VOI25" s="93"/>
      <c r="VOJ25" s="30"/>
      <c r="VOO25" s="93"/>
      <c r="VOP25" s="30"/>
      <c r="VOU25" s="93"/>
      <c r="VOV25" s="30"/>
      <c r="VPA25" s="93"/>
      <c r="VPB25" s="30"/>
      <c r="VPG25" s="93"/>
      <c r="VPH25" s="30"/>
      <c r="VPM25" s="93"/>
      <c r="VPN25" s="30"/>
      <c r="VPS25" s="93"/>
      <c r="VPT25" s="30"/>
      <c r="VPY25" s="93"/>
      <c r="VPZ25" s="30"/>
      <c r="VQE25" s="93"/>
      <c r="VQF25" s="30"/>
      <c r="VQK25" s="93"/>
      <c r="VQL25" s="30"/>
      <c r="VQQ25" s="93"/>
      <c r="VQR25" s="30"/>
      <c r="VQW25" s="93"/>
      <c r="VQX25" s="30"/>
      <c r="VRC25" s="93"/>
      <c r="VRD25" s="30"/>
      <c r="VRI25" s="93"/>
      <c r="VRJ25" s="30"/>
      <c r="VRO25" s="93"/>
      <c r="VRP25" s="30"/>
      <c r="VRU25" s="93"/>
      <c r="VRV25" s="30"/>
      <c r="VSA25" s="93"/>
      <c r="VSB25" s="30"/>
      <c r="VSG25" s="93"/>
      <c r="VSH25" s="30"/>
      <c r="VSM25" s="93"/>
      <c r="VSN25" s="30"/>
      <c r="VSS25" s="93"/>
      <c r="VST25" s="30"/>
      <c r="VSY25" s="93"/>
      <c r="VSZ25" s="30"/>
      <c r="VTE25" s="93"/>
      <c r="VTF25" s="30"/>
      <c r="VTK25" s="93"/>
      <c r="VTL25" s="30"/>
      <c r="VTQ25" s="93"/>
      <c r="VTR25" s="30"/>
      <c r="VTW25" s="93"/>
      <c r="VTX25" s="30"/>
      <c r="VUC25" s="93"/>
      <c r="VUD25" s="30"/>
      <c r="VUI25" s="93"/>
      <c r="VUJ25" s="30"/>
      <c r="VUO25" s="93"/>
      <c r="VUP25" s="30"/>
      <c r="VUU25" s="93"/>
      <c r="VUV25" s="30"/>
      <c r="VVA25" s="93"/>
      <c r="VVB25" s="30"/>
      <c r="VVG25" s="93"/>
      <c r="VVH25" s="30"/>
      <c r="VVM25" s="93"/>
      <c r="VVN25" s="30"/>
      <c r="VVS25" s="93"/>
      <c r="VVT25" s="30"/>
      <c r="VVY25" s="93"/>
      <c r="VVZ25" s="30"/>
      <c r="VWE25" s="93"/>
      <c r="VWF25" s="30"/>
      <c r="VWK25" s="93"/>
      <c r="VWL25" s="30"/>
      <c r="VWQ25" s="93"/>
      <c r="VWR25" s="30"/>
      <c r="VWW25" s="93"/>
      <c r="VWX25" s="30"/>
      <c r="VXC25" s="93"/>
      <c r="VXD25" s="30"/>
      <c r="VXI25" s="93"/>
      <c r="VXJ25" s="30"/>
      <c r="VXO25" s="93"/>
      <c r="VXP25" s="30"/>
      <c r="VXU25" s="93"/>
      <c r="VXV25" s="30"/>
      <c r="VYA25" s="93"/>
      <c r="VYB25" s="30"/>
      <c r="VYG25" s="93"/>
      <c r="VYH25" s="30"/>
      <c r="VYM25" s="93"/>
      <c r="VYN25" s="30"/>
      <c r="VYS25" s="93"/>
      <c r="VYT25" s="30"/>
      <c r="VYY25" s="93"/>
      <c r="VYZ25" s="30"/>
      <c r="VZE25" s="93"/>
      <c r="VZF25" s="30"/>
      <c r="VZK25" s="93"/>
      <c r="VZL25" s="30"/>
      <c r="VZQ25" s="93"/>
      <c r="VZR25" s="30"/>
      <c r="VZW25" s="93"/>
      <c r="VZX25" s="30"/>
      <c r="WAC25" s="93"/>
      <c r="WAD25" s="30"/>
      <c r="WAI25" s="93"/>
      <c r="WAJ25" s="30"/>
      <c r="WAO25" s="93"/>
      <c r="WAP25" s="30"/>
      <c r="WAU25" s="93"/>
      <c r="WAV25" s="30"/>
      <c r="WBA25" s="93"/>
      <c r="WBB25" s="30"/>
      <c r="WBG25" s="93"/>
      <c r="WBH25" s="30"/>
      <c r="WBM25" s="93"/>
      <c r="WBN25" s="30"/>
      <c r="WBS25" s="93"/>
      <c r="WBT25" s="30"/>
      <c r="WBY25" s="93"/>
      <c r="WBZ25" s="30"/>
      <c r="WCE25" s="93"/>
      <c r="WCF25" s="30"/>
      <c r="WCK25" s="93"/>
      <c r="WCL25" s="30"/>
      <c r="WCQ25" s="93"/>
      <c r="WCR25" s="30"/>
      <c r="WCW25" s="93"/>
      <c r="WCX25" s="30"/>
      <c r="WDC25" s="93"/>
      <c r="WDD25" s="30"/>
      <c r="WDI25" s="93"/>
      <c r="WDJ25" s="30"/>
      <c r="WDO25" s="93"/>
      <c r="WDP25" s="30"/>
      <c r="WDU25" s="93"/>
      <c r="WDV25" s="30"/>
      <c r="WEA25" s="93"/>
      <c r="WEB25" s="30"/>
      <c r="WEG25" s="93"/>
      <c r="WEH25" s="30"/>
      <c r="WEM25" s="93"/>
      <c r="WEN25" s="30"/>
      <c r="WES25" s="93"/>
      <c r="WET25" s="30"/>
      <c r="WEY25" s="93"/>
      <c r="WEZ25" s="30"/>
      <c r="WFE25" s="93"/>
      <c r="WFF25" s="30"/>
      <c r="WFK25" s="93"/>
      <c r="WFL25" s="30"/>
      <c r="WFQ25" s="93"/>
      <c r="WFR25" s="30"/>
      <c r="WFW25" s="93"/>
      <c r="WFX25" s="30"/>
      <c r="WGC25" s="93"/>
      <c r="WGD25" s="30"/>
      <c r="WGI25" s="93"/>
      <c r="WGJ25" s="30"/>
      <c r="WGO25" s="93"/>
      <c r="WGP25" s="30"/>
      <c r="WGU25" s="93"/>
      <c r="WGV25" s="30"/>
      <c r="WHA25" s="93"/>
      <c r="WHB25" s="30"/>
      <c r="WHG25" s="93"/>
      <c r="WHH25" s="30"/>
      <c r="WHM25" s="93"/>
      <c r="WHN25" s="30"/>
      <c r="WHS25" s="93"/>
      <c r="WHT25" s="30"/>
      <c r="WHY25" s="93"/>
      <c r="WHZ25" s="30"/>
      <c r="WIE25" s="93"/>
      <c r="WIF25" s="30"/>
      <c r="WIK25" s="93"/>
      <c r="WIL25" s="30"/>
      <c r="WIQ25" s="93"/>
      <c r="WIR25" s="30"/>
      <c r="WIW25" s="93"/>
      <c r="WIX25" s="30"/>
      <c r="WJC25" s="93"/>
      <c r="WJD25" s="30"/>
      <c r="WJI25" s="93"/>
      <c r="WJJ25" s="30"/>
      <c r="WJO25" s="93"/>
      <c r="WJP25" s="30"/>
      <c r="WJU25" s="93"/>
      <c r="WJV25" s="30"/>
      <c r="WKA25" s="93"/>
      <c r="WKB25" s="30"/>
      <c r="WKG25" s="93"/>
      <c r="WKH25" s="30"/>
      <c r="WKM25" s="93"/>
      <c r="WKN25" s="30"/>
      <c r="WKS25" s="93"/>
      <c r="WKT25" s="30"/>
      <c r="WKY25" s="93"/>
      <c r="WKZ25" s="30"/>
      <c r="WLE25" s="93"/>
      <c r="WLF25" s="30"/>
      <c r="WLK25" s="93"/>
      <c r="WLL25" s="30"/>
      <c r="WLQ25" s="93"/>
      <c r="WLR25" s="30"/>
      <c r="WLW25" s="93"/>
      <c r="WLX25" s="30"/>
      <c r="WMC25" s="93"/>
      <c r="WMD25" s="30"/>
      <c r="WMI25" s="93"/>
      <c r="WMJ25" s="30"/>
      <c r="WMO25" s="93"/>
      <c r="WMP25" s="30"/>
      <c r="WMU25" s="93"/>
      <c r="WMV25" s="30"/>
      <c r="WNA25" s="93"/>
      <c r="WNB25" s="30"/>
      <c r="WNG25" s="93"/>
      <c r="WNH25" s="30"/>
      <c r="WNM25" s="93"/>
      <c r="WNN25" s="30"/>
      <c r="WNS25" s="93"/>
      <c r="WNT25" s="30"/>
      <c r="WNY25" s="93"/>
      <c r="WNZ25" s="30"/>
      <c r="WOE25" s="93"/>
      <c r="WOF25" s="30"/>
      <c r="WOK25" s="93"/>
      <c r="WOL25" s="30"/>
      <c r="WOQ25" s="93"/>
      <c r="WOR25" s="30"/>
      <c r="WOW25" s="93"/>
      <c r="WOX25" s="30"/>
      <c r="WPC25" s="93"/>
      <c r="WPD25" s="30"/>
      <c r="WPI25" s="93"/>
      <c r="WPJ25" s="30"/>
      <c r="WPO25" s="93"/>
      <c r="WPP25" s="30"/>
      <c r="WPU25" s="93"/>
      <c r="WPV25" s="30"/>
      <c r="WQA25" s="93"/>
      <c r="WQB25" s="30"/>
      <c r="WQG25" s="93"/>
      <c r="WQH25" s="30"/>
      <c r="WQM25" s="93"/>
      <c r="WQN25" s="30"/>
      <c r="WQS25" s="93"/>
      <c r="WQT25" s="30"/>
      <c r="WQY25" s="93"/>
      <c r="WQZ25" s="30"/>
      <c r="WRE25" s="93"/>
      <c r="WRF25" s="30"/>
      <c r="WRK25" s="93"/>
      <c r="WRL25" s="30"/>
      <c r="WRQ25" s="93"/>
      <c r="WRR25" s="30"/>
      <c r="WRW25" s="93"/>
      <c r="WRX25" s="30"/>
      <c r="WSC25" s="93"/>
      <c r="WSD25" s="30"/>
      <c r="WSI25" s="93"/>
      <c r="WSJ25" s="30"/>
      <c r="WSO25" s="93"/>
      <c r="WSP25" s="30"/>
      <c r="WSU25" s="93"/>
      <c r="WSV25" s="30"/>
      <c r="WTA25" s="93"/>
      <c r="WTB25" s="30"/>
      <c r="WTG25" s="93"/>
      <c r="WTH25" s="30"/>
      <c r="WTM25" s="93"/>
      <c r="WTN25" s="30"/>
      <c r="WTS25" s="93"/>
      <c r="WTT25" s="30"/>
      <c r="WTY25" s="93"/>
      <c r="WTZ25" s="30"/>
      <c r="WUE25" s="93"/>
      <c r="WUF25" s="30"/>
      <c r="WUK25" s="93"/>
      <c r="WUL25" s="30"/>
      <c r="WUQ25" s="93"/>
      <c r="WUR25" s="30"/>
      <c r="WUW25" s="93"/>
      <c r="WUX25" s="30"/>
      <c r="WVC25" s="93"/>
      <c r="WVD25" s="30"/>
      <c r="WVI25" s="93"/>
      <c r="WVJ25" s="30"/>
      <c r="WVO25" s="93"/>
      <c r="WVP25" s="30"/>
      <c r="WVU25" s="93"/>
      <c r="WVV25" s="30"/>
      <c r="WWA25" s="93"/>
      <c r="WWB25" s="30"/>
      <c r="WWG25" s="93"/>
      <c r="WWH25" s="30"/>
      <c r="WWM25" s="93"/>
      <c r="WWN25" s="30"/>
      <c r="WWS25" s="93"/>
      <c r="WWT25" s="30"/>
      <c r="WWY25" s="93"/>
      <c r="WWZ25" s="30"/>
      <c r="WXE25" s="93"/>
      <c r="WXF25" s="30"/>
      <c r="WXK25" s="93"/>
      <c r="WXL25" s="30"/>
      <c r="WXQ25" s="93"/>
      <c r="WXR25" s="30"/>
      <c r="WXW25" s="93"/>
      <c r="WXX25" s="30"/>
      <c r="WYC25" s="93"/>
      <c r="WYD25" s="30"/>
      <c r="WYI25" s="93"/>
      <c r="WYJ25" s="30"/>
      <c r="WYO25" s="93"/>
      <c r="WYP25" s="30"/>
      <c r="WYU25" s="93"/>
      <c r="WYV25" s="30"/>
      <c r="WZA25" s="93"/>
      <c r="WZB25" s="30"/>
      <c r="WZG25" s="93"/>
      <c r="WZH25" s="30"/>
      <c r="WZM25" s="93"/>
      <c r="WZN25" s="30"/>
      <c r="WZS25" s="93"/>
      <c r="WZT25" s="30"/>
      <c r="WZY25" s="93"/>
      <c r="WZZ25" s="30"/>
      <c r="XAE25" s="93"/>
      <c r="XAF25" s="30"/>
      <c r="XAK25" s="93"/>
      <c r="XAL25" s="30"/>
      <c r="XAQ25" s="93"/>
      <c r="XAR25" s="30"/>
      <c r="XAW25" s="93"/>
      <c r="XAX25" s="30"/>
      <c r="XBC25" s="93"/>
      <c r="XBD25" s="30"/>
      <c r="XBI25" s="93"/>
      <c r="XBJ25" s="30"/>
      <c r="XBO25" s="93"/>
      <c r="XBP25" s="30"/>
      <c r="XBU25" s="93"/>
      <c r="XBV25" s="30"/>
      <c r="XCA25" s="93"/>
      <c r="XCB25" s="30"/>
      <c r="XCG25" s="93"/>
      <c r="XCH25" s="30"/>
      <c r="XCM25" s="93"/>
      <c r="XCN25" s="30"/>
      <c r="XCS25" s="93"/>
      <c r="XCT25" s="30"/>
      <c r="XCY25" s="93"/>
      <c r="XCZ25" s="30"/>
      <c r="XDE25" s="93"/>
      <c r="XDF25" s="30"/>
      <c r="XDK25" s="93"/>
      <c r="XDL25" s="30"/>
      <c r="XDQ25" s="93"/>
      <c r="XDR25" s="30"/>
      <c r="XDW25" s="93"/>
      <c r="XDX25" s="30"/>
      <c r="XEC25" s="93"/>
      <c r="XED25" s="30"/>
      <c r="XEI25" s="93"/>
      <c r="XEJ25" s="30"/>
      <c r="XEO25" s="93"/>
      <c r="XEP25" s="30"/>
      <c r="XEU25" s="93"/>
      <c r="XEV25" s="30"/>
      <c r="XFA25" s="93"/>
      <c r="XFB25" s="30"/>
    </row>
    <row r="26" spans="1:1022 1027:2048 2053:3068 3073:4094 4099:5120 5125:6140 6145:7166 7171:8192 8197:9212 9217:10238 10243:11264 11269:12284 12289:13310 13315:14336 14341:15356 15361:16382" s="8" customFormat="1" ht="16" x14ac:dyDescent="0.2">
      <c r="A26" s="93" t="s">
        <v>44</v>
      </c>
      <c r="B26" s="10" t="s">
        <v>581</v>
      </c>
      <c r="C26" s="9" t="s">
        <v>594</v>
      </c>
      <c r="D26" s="10"/>
      <c r="E26" s="10"/>
      <c r="F26" s="10"/>
      <c r="G26" s="10"/>
      <c r="H26" s="10"/>
      <c r="I26" s="10"/>
      <c r="J26" s="10"/>
      <c r="K26" s="10"/>
      <c r="L26" s="10"/>
      <c r="M26" s="93"/>
      <c r="N26" s="30"/>
      <c r="S26" s="93"/>
      <c r="T26" s="30"/>
      <c r="Y26" s="93"/>
      <c r="Z26" s="30"/>
      <c r="AE26" s="93"/>
      <c r="AF26" s="30"/>
      <c r="AK26" s="93"/>
      <c r="AL26" s="30"/>
      <c r="AQ26" s="93"/>
      <c r="AR26" s="30"/>
      <c r="AW26" s="93"/>
      <c r="AX26" s="30"/>
      <c r="BC26" s="93"/>
      <c r="BD26" s="30"/>
      <c r="BI26" s="93"/>
      <c r="BJ26" s="30"/>
      <c r="BO26" s="93"/>
      <c r="BP26" s="30"/>
      <c r="BU26" s="93"/>
      <c r="BV26" s="30"/>
      <c r="CA26" s="93"/>
      <c r="CB26" s="30"/>
      <c r="CG26" s="93"/>
      <c r="CH26" s="30"/>
      <c r="CM26" s="93"/>
      <c r="CN26" s="30"/>
      <c r="CS26" s="93"/>
      <c r="CT26" s="30"/>
      <c r="CY26" s="93"/>
      <c r="CZ26" s="30"/>
      <c r="DE26" s="93"/>
      <c r="DF26" s="30"/>
      <c r="DK26" s="93"/>
      <c r="DL26" s="30"/>
      <c r="DQ26" s="93"/>
      <c r="DR26" s="30"/>
      <c r="DW26" s="93"/>
      <c r="DX26" s="30"/>
      <c r="EC26" s="93"/>
      <c r="ED26" s="30"/>
      <c r="EI26" s="93"/>
      <c r="EJ26" s="30"/>
      <c r="EO26" s="93"/>
      <c r="EP26" s="30"/>
      <c r="EU26" s="93"/>
      <c r="EV26" s="30"/>
      <c r="FA26" s="93"/>
      <c r="FB26" s="30"/>
      <c r="FG26" s="93"/>
      <c r="FH26" s="30"/>
      <c r="FM26" s="93"/>
      <c r="FN26" s="30"/>
      <c r="FS26" s="93"/>
      <c r="FT26" s="30"/>
      <c r="FY26" s="93"/>
      <c r="FZ26" s="30"/>
      <c r="GE26" s="93"/>
      <c r="GF26" s="30"/>
      <c r="GK26" s="93"/>
      <c r="GL26" s="30"/>
      <c r="GQ26" s="93"/>
      <c r="GR26" s="30"/>
      <c r="GW26" s="93"/>
      <c r="GX26" s="30"/>
      <c r="HC26" s="93"/>
      <c r="HD26" s="30"/>
      <c r="HI26" s="93"/>
      <c r="HJ26" s="30"/>
      <c r="HO26" s="93"/>
      <c r="HP26" s="30"/>
      <c r="HU26" s="93"/>
      <c r="HV26" s="30"/>
      <c r="IA26" s="93"/>
      <c r="IB26" s="30"/>
      <c r="IG26" s="93"/>
      <c r="IH26" s="30"/>
      <c r="IM26" s="93"/>
      <c r="IN26" s="30"/>
      <c r="IS26" s="93"/>
      <c r="IT26" s="30"/>
      <c r="IY26" s="93"/>
      <c r="IZ26" s="30"/>
      <c r="JE26" s="93"/>
      <c r="JF26" s="30"/>
      <c r="JK26" s="93"/>
      <c r="JL26" s="30"/>
      <c r="JQ26" s="93"/>
      <c r="JR26" s="30"/>
      <c r="JW26" s="93"/>
      <c r="JX26" s="30"/>
      <c r="KC26" s="93"/>
      <c r="KD26" s="30"/>
      <c r="KI26" s="93"/>
      <c r="KJ26" s="30"/>
      <c r="KO26" s="93"/>
      <c r="KP26" s="30"/>
      <c r="KU26" s="93"/>
      <c r="KV26" s="30"/>
      <c r="LA26" s="93"/>
      <c r="LB26" s="30"/>
      <c r="LG26" s="93"/>
      <c r="LH26" s="30"/>
      <c r="LM26" s="93"/>
      <c r="LN26" s="30"/>
      <c r="LS26" s="93"/>
      <c r="LT26" s="30"/>
      <c r="LY26" s="93"/>
      <c r="LZ26" s="30"/>
      <c r="ME26" s="93"/>
      <c r="MF26" s="30"/>
      <c r="MK26" s="93"/>
      <c r="ML26" s="30"/>
      <c r="MQ26" s="93"/>
      <c r="MR26" s="30"/>
      <c r="MW26" s="93"/>
      <c r="MX26" s="30"/>
      <c r="NC26" s="93"/>
      <c r="ND26" s="30"/>
      <c r="NI26" s="93"/>
      <c r="NJ26" s="30"/>
      <c r="NO26" s="93"/>
      <c r="NP26" s="30"/>
      <c r="NU26" s="93"/>
      <c r="NV26" s="30"/>
      <c r="OA26" s="93"/>
      <c r="OB26" s="30"/>
      <c r="OG26" s="93"/>
      <c r="OH26" s="30"/>
      <c r="OM26" s="93"/>
      <c r="ON26" s="30"/>
      <c r="OS26" s="93"/>
      <c r="OT26" s="30"/>
      <c r="OY26" s="93"/>
      <c r="OZ26" s="30"/>
      <c r="PE26" s="93"/>
      <c r="PF26" s="30"/>
      <c r="PK26" s="93"/>
      <c r="PL26" s="30"/>
      <c r="PQ26" s="93"/>
      <c r="PR26" s="30"/>
      <c r="PW26" s="93"/>
      <c r="PX26" s="30"/>
      <c r="QC26" s="93"/>
      <c r="QD26" s="30"/>
      <c r="QI26" s="93"/>
      <c r="QJ26" s="30"/>
      <c r="QO26" s="93"/>
      <c r="QP26" s="30"/>
      <c r="QU26" s="93"/>
      <c r="QV26" s="30"/>
      <c r="RA26" s="93"/>
      <c r="RB26" s="30"/>
      <c r="RG26" s="93"/>
      <c r="RH26" s="30"/>
      <c r="RM26" s="93"/>
      <c r="RN26" s="30"/>
      <c r="RS26" s="93"/>
      <c r="RT26" s="30"/>
      <c r="RY26" s="93"/>
      <c r="RZ26" s="30"/>
      <c r="SE26" s="93"/>
      <c r="SF26" s="30"/>
      <c r="SK26" s="93"/>
      <c r="SL26" s="30"/>
      <c r="SQ26" s="93"/>
      <c r="SR26" s="30"/>
      <c r="SW26" s="93"/>
      <c r="SX26" s="30"/>
      <c r="TC26" s="93"/>
      <c r="TD26" s="30"/>
      <c r="TI26" s="93"/>
      <c r="TJ26" s="30"/>
      <c r="TO26" s="93"/>
      <c r="TP26" s="30"/>
      <c r="TU26" s="93"/>
      <c r="TV26" s="30"/>
      <c r="UA26" s="93"/>
      <c r="UB26" s="30"/>
      <c r="UG26" s="93"/>
      <c r="UH26" s="30"/>
      <c r="UM26" s="93"/>
      <c r="UN26" s="30"/>
      <c r="US26" s="93"/>
      <c r="UT26" s="30"/>
      <c r="UY26" s="93"/>
      <c r="UZ26" s="30"/>
      <c r="VE26" s="93"/>
      <c r="VF26" s="30"/>
      <c r="VK26" s="93"/>
      <c r="VL26" s="30"/>
      <c r="VQ26" s="93"/>
      <c r="VR26" s="30"/>
      <c r="VW26" s="93"/>
      <c r="VX26" s="30"/>
      <c r="WC26" s="93"/>
      <c r="WD26" s="30"/>
      <c r="WI26" s="93"/>
      <c r="WJ26" s="30"/>
      <c r="WO26" s="93"/>
      <c r="WP26" s="30"/>
      <c r="WU26" s="93"/>
      <c r="WV26" s="30"/>
      <c r="XA26" s="93"/>
      <c r="XB26" s="30"/>
      <c r="XG26" s="93"/>
      <c r="XH26" s="30"/>
      <c r="XM26" s="93"/>
      <c r="XN26" s="30"/>
      <c r="XS26" s="93"/>
      <c r="XT26" s="30"/>
      <c r="XY26" s="93"/>
      <c r="XZ26" s="30"/>
      <c r="YE26" s="93"/>
      <c r="YF26" s="30"/>
      <c r="YK26" s="93"/>
      <c r="YL26" s="30"/>
      <c r="YQ26" s="93"/>
      <c r="YR26" s="30"/>
      <c r="YW26" s="93"/>
      <c r="YX26" s="30"/>
      <c r="ZC26" s="93"/>
      <c r="ZD26" s="30"/>
      <c r="ZI26" s="93"/>
      <c r="ZJ26" s="30"/>
      <c r="ZO26" s="93"/>
      <c r="ZP26" s="30"/>
      <c r="ZU26" s="93"/>
      <c r="ZV26" s="30"/>
      <c r="AAA26" s="93"/>
      <c r="AAB26" s="30"/>
      <c r="AAG26" s="93"/>
      <c r="AAH26" s="30"/>
      <c r="AAM26" s="93"/>
      <c r="AAN26" s="30"/>
      <c r="AAS26" s="93"/>
      <c r="AAT26" s="30"/>
      <c r="AAY26" s="93"/>
      <c r="AAZ26" s="30"/>
      <c r="ABE26" s="93"/>
      <c r="ABF26" s="30"/>
      <c r="ABK26" s="93"/>
      <c r="ABL26" s="30"/>
      <c r="ABQ26" s="93"/>
      <c r="ABR26" s="30"/>
      <c r="ABW26" s="93"/>
      <c r="ABX26" s="30"/>
      <c r="ACC26" s="93"/>
      <c r="ACD26" s="30"/>
      <c r="ACI26" s="93"/>
      <c r="ACJ26" s="30"/>
      <c r="ACO26" s="93"/>
      <c r="ACP26" s="30"/>
      <c r="ACU26" s="93"/>
      <c r="ACV26" s="30"/>
      <c r="ADA26" s="93"/>
      <c r="ADB26" s="30"/>
      <c r="ADG26" s="93"/>
      <c r="ADH26" s="30"/>
      <c r="ADM26" s="93"/>
      <c r="ADN26" s="30"/>
      <c r="ADS26" s="93"/>
      <c r="ADT26" s="30"/>
      <c r="ADY26" s="93"/>
      <c r="ADZ26" s="30"/>
      <c r="AEE26" s="93"/>
      <c r="AEF26" s="30"/>
      <c r="AEK26" s="93"/>
      <c r="AEL26" s="30"/>
      <c r="AEQ26" s="93"/>
      <c r="AER26" s="30"/>
      <c r="AEW26" s="93"/>
      <c r="AEX26" s="30"/>
      <c r="AFC26" s="93"/>
      <c r="AFD26" s="30"/>
      <c r="AFI26" s="93"/>
      <c r="AFJ26" s="30"/>
      <c r="AFO26" s="93"/>
      <c r="AFP26" s="30"/>
      <c r="AFU26" s="93"/>
      <c r="AFV26" s="30"/>
      <c r="AGA26" s="93"/>
      <c r="AGB26" s="30"/>
      <c r="AGG26" s="93"/>
      <c r="AGH26" s="30"/>
      <c r="AGM26" s="93"/>
      <c r="AGN26" s="30"/>
      <c r="AGS26" s="93"/>
      <c r="AGT26" s="30"/>
      <c r="AGY26" s="93"/>
      <c r="AGZ26" s="30"/>
      <c r="AHE26" s="93"/>
      <c r="AHF26" s="30"/>
      <c r="AHK26" s="93"/>
      <c r="AHL26" s="30"/>
      <c r="AHQ26" s="93"/>
      <c r="AHR26" s="30"/>
      <c r="AHW26" s="93"/>
      <c r="AHX26" s="30"/>
      <c r="AIC26" s="93"/>
      <c r="AID26" s="30"/>
      <c r="AII26" s="93"/>
      <c r="AIJ26" s="30"/>
      <c r="AIO26" s="93"/>
      <c r="AIP26" s="30"/>
      <c r="AIU26" s="93"/>
      <c r="AIV26" s="30"/>
      <c r="AJA26" s="93"/>
      <c r="AJB26" s="30"/>
      <c r="AJG26" s="93"/>
      <c r="AJH26" s="30"/>
      <c r="AJM26" s="93"/>
      <c r="AJN26" s="30"/>
      <c r="AJS26" s="93"/>
      <c r="AJT26" s="30"/>
      <c r="AJY26" s="93"/>
      <c r="AJZ26" s="30"/>
      <c r="AKE26" s="93"/>
      <c r="AKF26" s="30"/>
      <c r="AKK26" s="93"/>
      <c r="AKL26" s="30"/>
      <c r="AKQ26" s="93"/>
      <c r="AKR26" s="30"/>
      <c r="AKW26" s="93"/>
      <c r="AKX26" s="30"/>
      <c r="ALC26" s="93"/>
      <c r="ALD26" s="30"/>
      <c r="ALI26" s="93"/>
      <c r="ALJ26" s="30"/>
      <c r="ALO26" s="93"/>
      <c r="ALP26" s="30"/>
      <c r="ALU26" s="93"/>
      <c r="ALV26" s="30"/>
      <c r="AMA26" s="93"/>
      <c r="AMB26" s="30"/>
      <c r="AMG26" s="93"/>
      <c r="AMH26" s="30"/>
      <c r="AMM26" s="93"/>
      <c r="AMN26" s="30"/>
      <c r="AMS26" s="93"/>
      <c r="AMT26" s="30"/>
      <c r="AMY26" s="93"/>
      <c r="AMZ26" s="30"/>
      <c r="ANE26" s="93"/>
      <c r="ANF26" s="30"/>
      <c r="ANK26" s="93"/>
      <c r="ANL26" s="30"/>
      <c r="ANQ26" s="93"/>
      <c r="ANR26" s="30"/>
      <c r="ANW26" s="93"/>
      <c r="ANX26" s="30"/>
      <c r="AOC26" s="93"/>
      <c r="AOD26" s="30"/>
      <c r="AOI26" s="93"/>
      <c r="AOJ26" s="30"/>
      <c r="AOO26" s="93"/>
      <c r="AOP26" s="30"/>
      <c r="AOU26" s="93"/>
      <c r="AOV26" s="30"/>
      <c r="APA26" s="93"/>
      <c r="APB26" s="30"/>
      <c r="APG26" s="93"/>
      <c r="APH26" s="30"/>
      <c r="APM26" s="93"/>
      <c r="APN26" s="30"/>
      <c r="APS26" s="93"/>
      <c r="APT26" s="30"/>
      <c r="APY26" s="93"/>
      <c r="APZ26" s="30"/>
      <c r="AQE26" s="93"/>
      <c r="AQF26" s="30"/>
      <c r="AQK26" s="93"/>
      <c r="AQL26" s="30"/>
      <c r="AQQ26" s="93"/>
      <c r="AQR26" s="30"/>
      <c r="AQW26" s="93"/>
      <c r="AQX26" s="30"/>
      <c r="ARC26" s="93"/>
      <c r="ARD26" s="30"/>
      <c r="ARI26" s="93"/>
      <c r="ARJ26" s="30"/>
      <c r="ARO26" s="93"/>
      <c r="ARP26" s="30"/>
      <c r="ARU26" s="93"/>
      <c r="ARV26" s="30"/>
      <c r="ASA26" s="93"/>
      <c r="ASB26" s="30"/>
      <c r="ASG26" s="93"/>
      <c r="ASH26" s="30"/>
      <c r="ASM26" s="93"/>
      <c r="ASN26" s="30"/>
      <c r="ASS26" s="93"/>
      <c r="AST26" s="30"/>
      <c r="ASY26" s="93"/>
      <c r="ASZ26" s="30"/>
      <c r="ATE26" s="93"/>
      <c r="ATF26" s="30"/>
      <c r="ATK26" s="93"/>
      <c r="ATL26" s="30"/>
      <c r="ATQ26" s="93"/>
      <c r="ATR26" s="30"/>
      <c r="ATW26" s="93"/>
      <c r="ATX26" s="30"/>
      <c r="AUC26" s="93"/>
      <c r="AUD26" s="30"/>
      <c r="AUI26" s="93"/>
      <c r="AUJ26" s="30"/>
      <c r="AUO26" s="93"/>
      <c r="AUP26" s="30"/>
      <c r="AUU26" s="93"/>
      <c r="AUV26" s="30"/>
      <c r="AVA26" s="93"/>
      <c r="AVB26" s="30"/>
      <c r="AVG26" s="93"/>
      <c r="AVH26" s="30"/>
      <c r="AVM26" s="93"/>
      <c r="AVN26" s="30"/>
      <c r="AVS26" s="93"/>
      <c r="AVT26" s="30"/>
      <c r="AVY26" s="93"/>
      <c r="AVZ26" s="30"/>
      <c r="AWE26" s="93"/>
      <c r="AWF26" s="30"/>
      <c r="AWK26" s="93"/>
      <c r="AWL26" s="30"/>
      <c r="AWQ26" s="93"/>
      <c r="AWR26" s="30"/>
      <c r="AWW26" s="93"/>
      <c r="AWX26" s="30"/>
      <c r="AXC26" s="93"/>
      <c r="AXD26" s="30"/>
      <c r="AXI26" s="93"/>
      <c r="AXJ26" s="30"/>
      <c r="AXO26" s="93"/>
      <c r="AXP26" s="30"/>
      <c r="AXU26" s="93"/>
      <c r="AXV26" s="30"/>
      <c r="AYA26" s="93"/>
      <c r="AYB26" s="30"/>
      <c r="AYG26" s="93"/>
      <c r="AYH26" s="30"/>
      <c r="AYM26" s="93"/>
      <c r="AYN26" s="30"/>
      <c r="AYS26" s="93"/>
      <c r="AYT26" s="30"/>
      <c r="AYY26" s="93"/>
      <c r="AYZ26" s="30"/>
      <c r="AZE26" s="93"/>
      <c r="AZF26" s="30"/>
      <c r="AZK26" s="93"/>
      <c r="AZL26" s="30"/>
      <c r="AZQ26" s="93"/>
      <c r="AZR26" s="30"/>
      <c r="AZW26" s="93"/>
      <c r="AZX26" s="30"/>
      <c r="BAC26" s="93"/>
      <c r="BAD26" s="30"/>
      <c r="BAI26" s="93"/>
      <c r="BAJ26" s="30"/>
      <c r="BAO26" s="93"/>
      <c r="BAP26" s="30"/>
      <c r="BAU26" s="93"/>
      <c r="BAV26" s="30"/>
      <c r="BBA26" s="93"/>
      <c r="BBB26" s="30"/>
      <c r="BBG26" s="93"/>
      <c r="BBH26" s="30"/>
      <c r="BBM26" s="93"/>
      <c r="BBN26" s="30"/>
      <c r="BBS26" s="93"/>
      <c r="BBT26" s="30"/>
      <c r="BBY26" s="93"/>
      <c r="BBZ26" s="30"/>
      <c r="BCE26" s="93"/>
      <c r="BCF26" s="30"/>
      <c r="BCK26" s="93"/>
      <c r="BCL26" s="30"/>
      <c r="BCQ26" s="93"/>
      <c r="BCR26" s="30"/>
      <c r="BCW26" s="93"/>
      <c r="BCX26" s="30"/>
      <c r="BDC26" s="93"/>
      <c r="BDD26" s="30"/>
      <c r="BDI26" s="93"/>
      <c r="BDJ26" s="30"/>
      <c r="BDO26" s="93"/>
      <c r="BDP26" s="30"/>
      <c r="BDU26" s="93"/>
      <c r="BDV26" s="30"/>
      <c r="BEA26" s="93"/>
      <c r="BEB26" s="30"/>
      <c r="BEG26" s="93"/>
      <c r="BEH26" s="30"/>
      <c r="BEM26" s="93"/>
      <c r="BEN26" s="30"/>
      <c r="BES26" s="93"/>
      <c r="BET26" s="30"/>
      <c r="BEY26" s="93"/>
      <c r="BEZ26" s="30"/>
      <c r="BFE26" s="93"/>
      <c r="BFF26" s="30"/>
      <c r="BFK26" s="93"/>
      <c r="BFL26" s="30"/>
      <c r="BFQ26" s="93"/>
      <c r="BFR26" s="30"/>
      <c r="BFW26" s="93"/>
      <c r="BFX26" s="30"/>
      <c r="BGC26" s="93"/>
      <c r="BGD26" s="30"/>
      <c r="BGI26" s="93"/>
      <c r="BGJ26" s="30"/>
      <c r="BGO26" s="93"/>
      <c r="BGP26" s="30"/>
      <c r="BGU26" s="93"/>
      <c r="BGV26" s="30"/>
      <c r="BHA26" s="93"/>
      <c r="BHB26" s="30"/>
      <c r="BHG26" s="93"/>
      <c r="BHH26" s="30"/>
      <c r="BHM26" s="93"/>
      <c r="BHN26" s="30"/>
      <c r="BHS26" s="93"/>
      <c r="BHT26" s="30"/>
      <c r="BHY26" s="93"/>
      <c r="BHZ26" s="30"/>
      <c r="BIE26" s="93"/>
      <c r="BIF26" s="30"/>
      <c r="BIK26" s="93"/>
      <c r="BIL26" s="30"/>
      <c r="BIQ26" s="93"/>
      <c r="BIR26" s="30"/>
      <c r="BIW26" s="93"/>
      <c r="BIX26" s="30"/>
      <c r="BJC26" s="93"/>
      <c r="BJD26" s="30"/>
      <c r="BJI26" s="93"/>
      <c r="BJJ26" s="30"/>
      <c r="BJO26" s="93"/>
      <c r="BJP26" s="30"/>
      <c r="BJU26" s="93"/>
      <c r="BJV26" s="30"/>
      <c r="BKA26" s="93"/>
      <c r="BKB26" s="30"/>
      <c r="BKG26" s="93"/>
      <c r="BKH26" s="30"/>
      <c r="BKM26" s="93"/>
      <c r="BKN26" s="30"/>
      <c r="BKS26" s="93"/>
      <c r="BKT26" s="30"/>
      <c r="BKY26" s="93"/>
      <c r="BKZ26" s="30"/>
      <c r="BLE26" s="93"/>
      <c r="BLF26" s="30"/>
      <c r="BLK26" s="93"/>
      <c r="BLL26" s="30"/>
      <c r="BLQ26" s="93"/>
      <c r="BLR26" s="30"/>
      <c r="BLW26" s="93"/>
      <c r="BLX26" s="30"/>
      <c r="BMC26" s="93"/>
      <c r="BMD26" s="30"/>
      <c r="BMI26" s="93"/>
      <c r="BMJ26" s="30"/>
      <c r="BMO26" s="93"/>
      <c r="BMP26" s="30"/>
      <c r="BMU26" s="93"/>
      <c r="BMV26" s="30"/>
      <c r="BNA26" s="93"/>
      <c r="BNB26" s="30"/>
      <c r="BNG26" s="93"/>
      <c r="BNH26" s="30"/>
      <c r="BNM26" s="93"/>
      <c r="BNN26" s="30"/>
      <c r="BNS26" s="93"/>
      <c r="BNT26" s="30"/>
      <c r="BNY26" s="93"/>
      <c r="BNZ26" s="30"/>
      <c r="BOE26" s="93"/>
      <c r="BOF26" s="30"/>
      <c r="BOK26" s="93"/>
      <c r="BOL26" s="30"/>
      <c r="BOQ26" s="93"/>
      <c r="BOR26" s="30"/>
      <c r="BOW26" s="93"/>
      <c r="BOX26" s="30"/>
      <c r="BPC26" s="93"/>
      <c r="BPD26" s="30"/>
      <c r="BPI26" s="93"/>
      <c r="BPJ26" s="30"/>
      <c r="BPO26" s="93"/>
      <c r="BPP26" s="30"/>
      <c r="BPU26" s="93"/>
      <c r="BPV26" s="30"/>
      <c r="BQA26" s="93"/>
      <c r="BQB26" s="30"/>
      <c r="BQG26" s="93"/>
      <c r="BQH26" s="30"/>
      <c r="BQM26" s="93"/>
      <c r="BQN26" s="30"/>
      <c r="BQS26" s="93"/>
      <c r="BQT26" s="30"/>
      <c r="BQY26" s="93"/>
      <c r="BQZ26" s="30"/>
      <c r="BRE26" s="93"/>
      <c r="BRF26" s="30"/>
      <c r="BRK26" s="93"/>
      <c r="BRL26" s="30"/>
      <c r="BRQ26" s="93"/>
      <c r="BRR26" s="30"/>
      <c r="BRW26" s="93"/>
      <c r="BRX26" s="30"/>
      <c r="BSC26" s="93"/>
      <c r="BSD26" s="30"/>
      <c r="BSI26" s="93"/>
      <c r="BSJ26" s="30"/>
      <c r="BSO26" s="93"/>
      <c r="BSP26" s="30"/>
      <c r="BSU26" s="93"/>
      <c r="BSV26" s="30"/>
      <c r="BTA26" s="93"/>
      <c r="BTB26" s="30"/>
      <c r="BTG26" s="93"/>
      <c r="BTH26" s="30"/>
      <c r="BTM26" s="93"/>
      <c r="BTN26" s="30"/>
      <c r="BTS26" s="93"/>
      <c r="BTT26" s="30"/>
      <c r="BTY26" s="93"/>
      <c r="BTZ26" s="30"/>
      <c r="BUE26" s="93"/>
      <c r="BUF26" s="30"/>
      <c r="BUK26" s="93"/>
      <c r="BUL26" s="30"/>
      <c r="BUQ26" s="93"/>
      <c r="BUR26" s="30"/>
      <c r="BUW26" s="93"/>
      <c r="BUX26" s="30"/>
      <c r="BVC26" s="93"/>
      <c r="BVD26" s="30"/>
      <c r="BVI26" s="93"/>
      <c r="BVJ26" s="30"/>
      <c r="BVO26" s="93"/>
      <c r="BVP26" s="30"/>
      <c r="BVU26" s="93"/>
      <c r="BVV26" s="30"/>
      <c r="BWA26" s="93"/>
      <c r="BWB26" s="30"/>
      <c r="BWG26" s="93"/>
      <c r="BWH26" s="30"/>
      <c r="BWM26" s="93"/>
      <c r="BWN26" s="30"/>
      <c r="BWS26" s="93"/>
      <c r="BWT26" s="30"/>
      <c r="BWY26" s="93"/>
      <c r="BWZ26" s="30"/>
      <c r="BXE26" s="93"/>
      <c r="BXF26" s="30"/>
      <c r="BXK26" s="93"/>
      <c r="BXL26" s="30"/>
      <c r="BXQ26" s="93"/>
      <c r="BXR26" s="30"/>
      <c r="BXW26" s="93"/>
      <c r="BXX26" s="30"/>
      <c r="BYC26" s="93"/>
      <c r="BYD26" s="30"/>
      <c r="BYI26" s="93"/>
      <c r="BYJ26" s="30"/>
      <c r="BYO26" s="93"/>
      <c r="BYP26" s="30"/>
      <c r="BYU26" s="93"/>
      <c r="BYV26" s="30"/>
      <c r="BZA26" s="93"/>
      <c r="BZB26" s="30"/>
      <c r="BZG26" s="93"/>
      <c r="BZH26" s="30"/>
      <c r="BZM26" s="93"/>
      <c r="BZN26" s="30"/>
      <c r="BZS26" s="93"/>
      <c r="BZT26" s="30"/>
      <c r="BZY26" s="93"/>
      <c r="BZZ26" s="30"/>
      <c r="CAE26" s="93"/>
      <c r="CAF26" s="30"/>
      <c r="CAK26" s="93"/>
      <c r="CAL26" s="30"/>
      <c r="CAQ26" s="93"/>
      <c r="CAR26" s="30"/>
      <c r="CAW26" s="93"/>
      <c r="CAX26" s="30"/>
      <c r="CBC26" s="93"/>
      <c r="CBD26" s="30"/>
      <c r="CBI26" s="93"/>
      <c r="CBJ26" s="30"/>
      <c r="CBO26" s="93"/>
      <c r="CBP26" s="30"/>
      <c r="CBU26" s="93"/>
      <c r="CBV26" s="30"/>
      <c r="CCA26" s="93"/>
      <c r="CCB26" s="30"/>
      <c r="CCG26" s="93"/>
      <c r="CCH26" s="30"/>
      <c r="CCM26" s="93"/>
      <c r="CCN26" s="30"/>
      <c r="CCS26" s="93"/>
      <c r="CCT26" s="30"/>
      <c r="CCY26" s="93"/>
      <c r="CCZ26" s="30"/>
      <c r="CDE26" s="93"/>
      <c r="CDF26" s="30"/>
      <c r="CDK26" s="93"/>
      <c r="CDL26" s="30"/>
      <c r="CDQ26" s="93"/>
      <c r="CDR26" s="30"/>
      <c r="CDW26" s="93"/>
      <c r="CDX26" s="30"/>
      <c r="CEC26" s="93"/>
      <c r="CED26" s="30"/>
      <c r="CEI26" s="93"/>
      <c r="CEJ26" s="30"/>
      <c r="CEO26" s="93"/>
      <c r="CEP26" s="30"/>
      <c r="CEU26" s="93"/>
      <c r="CEV26" s="30"/>
      <c r="CFA26" s="93"/>
      <c r="CFB26" s="30"/>
      <c r="CFG26" s="93"/>
      <c r="CFH26" s="30"/>
      <c r="CFM26" s="93"/>
      <c r="CFN26" s="30"/>
      <c r="CFS26" s="93"/>
      <c r="CFT26" s="30"/>
      <c r="CFY26" s="93"/>
      <c r="CFZ26" s="30"/>
      <c r="CGE26" s="93"/>
      <c r="CGF26" s="30"/>
      <c r="CGK26" s="93"/>
      <c r="CGL26" s="30"/>
      <c r="CGQ26" s="93"/>
      <c r="CGR26" s="30"/>
      <c r="CGW26" s="93"/>
      <c r="CGX26" s="30"/>
      <c r="CHC26" s="93"/>
      <c r="CHD26" s="30"/>
      <c r="CHI26" s="93"/>
      <c r="CHJ26" s="30"/>
      <c r="CHO26" s="93"/>
      <c r="CHP26" s="30"/>
      <c r="CHU26" s="93"/>
      <c r="CHV26" s="30"/>
      <c r="CIA26" s="93"/>
      <c r="CIB26" s="30"/>
      <c r="CIG26" s="93"/>
      <c r="CIH26" s="30"/>
      <c r="CIM26" s="93"/>
      <c r="CIN26" s="30"/>
      <c r="CIS26" s="93"/>
      <c r="CIT26" s="30"/>
      <c r="CIY26" s="93"/>
      <c r="CIZ26" s="30"/>
      <c r="CJE26" s="93"/>
      <c r="CJF26" s="30"/>
      <c r="CJK26" s="93"/>
      <c r="CJL26" s="30"/>
      <c r="CJQ26" s="93"/>
      <c r="CJR26" s="30"/>
      <c r="CJW26" s="93"/>
      <c r="CJX26" s="30"/>
      <c r="CKC26" s="93"/>
      <c r="CKD26" s="30"/>
      <c r="CKI26" s="93"/>
      <c r="CKJ26" s="30"/>
      <c r="CKO26" s="93"/>
      <c r="CKP26" s="30"/>
      <c r="CKU26" s="93"/>
      <c r="CKV26" s="30"/>
      <c r="CLA26" s="93"/>
      <c r="CLB26" s="30"/>
      <c r="CLG26" s="93"/>
      <c r="CLH26" s="30"/>
      <c r="CLM26" s="93"/>
      <c r="CLN26" s="30"/>
      <c r="CLS26" s="93"/>
      <c r="CLT26" s="30"/>
      <c r="CLY26" s="93"/>
      <c r="CLZ26" s="30"/>
      <c r="CME26" s="93"/>
      <c r="CMF26" s="30"/>
      <c r="CMK26" s="93"/>
      <c r="CML26" s="30"/>
      <c r="CMQ26" s="93"/>
      <c r="CMR26" s="30"/>
      <c r="CMW26" s="93"/>
      <c r="CMX26" s="30"/>
      <c r="CNC26" s="93"/>
      <c r="CND26" s="30"/>
      <c r="CNI26" s="93"/>
      <c r="CNJ26" s="30"/>
      <c r="CNO26" s="93"/>
      <c r="CNP26" s="30"/>
      <c r="CNU26" s="93"/>
      <c r="CNV26" s="30"/>
      <c r="COA26" s="93"/>
      <c r="COB26" s="30"/>
      <c r="COG26" s="93"/>
      <c r="COH26" s="30"/>
      <c r="COM26" s="93"/>
      <c r="CON26" s="30"/>
      <c r="COS26" s="93"/>
      <c r="COT26" s="30"/>
      <c r="COY26" s="93"/>
      <c r="COZ26" s="30"/>
      <c r="CPE26" s="93"/>
      <c r="CPF26" s="30"/>
      <c r="CPK26" s="93"/>
      <c r="CPL26" s="30"/>
      <c r="CPQ26" s="93"/>
      <c r="CPR26" s="30"/>
      <c r="CPW26" s="93"/>
      <c r="CPX26" s="30"/>
      <c r="CQC26" s="93"/>
      <c r="CQD26" s="30"/>
      <c r="CQI26" s="93"/>
      <c r="CQJ26" s="30"/>
      <c r="CQO26" s="93"/>
      <c r="CQP26" s="30"/>
      <c r="CQU26" s="93"/>
      <c r="CQV26" s="30"/>
      <c r="CRA26" s="93"/>
      <c r="CRB26" s="30"/>
      <c r="CRG26" s="93"/>
      <c r="CRH26" s="30"/>
      <c r="CRM26" s="93"/>
      <c r="CRN26" s="30"/>
      <c r="CRS26" s="93"/>
      <c r="CRT26" s="30"/>
      <c r="CRY26" s="93"/>
      <c r="CRZ26" s="30"/>
      <c r="CSE26" s="93"/>
      <c r="CSF26" s="30"/>
      <c r="CSK26" s="93"/>
      <c r="CSL26" s="30"/>
      <c r="CSQ26" s="93"/>
      <c r="CSR26" s="30"/>
      <c r="CSW26" s="93"/>
      <c r="CSX26" s="30"/>
      <c r="CTC26" s="93"/>
      <c r="CTD26" s="30"/>
      <c r="CTI26" s="93"/>
      <c r="CTJ26" s="30"/>
      <c r="CTO26" s="93"/>
      <c r="CTP26" s="30"/>
      <c r="CTU26" s="93"/>
      <c r="CTV26" s="30"/>
      <c r="CUA26" s="93"/>
      <c r="CUB26" s="30"/>
      <c r="CUG26" s="93"/>
      <c r="CUH26" s="30"/>
      <c r="CUM26" s="93"/>
      <c r="CUN26" s="30"/>
      <c r="CUS26" s="93"/>
      <c r="CUT26" s="30"/>
      <c r="CUY26" s="93"/>
      <c r="CUZ26" s="30"/>
      <c r="CVE26" s="93"/>
      <c r="CVF26" s="30"/>
      <c r="CVK26" s="93"/>
      <c r="CVL26" s="30"/>
      <c r="CVQ26" s="93"/>
      <c r="CVR26" s="30"/>
      <c r="CVW26" s="93"/>
      <c r="CVX26" s="30"/>
      <c r="CWC26" s="93"/>
      <c r="CWD26" s="30"/>
      <c r="CWI26" s="93"/>
      <c r="CWJ26" s="30"/>
      <c r="CWO26" s="93"/>
      <c r="CWP26" s="30"/>
      <c r="CWU26" s="93"/>
      <c r="CWV26" s="30"/>
      <c r="CXA26" s="93"/>
      <c r="CXB26" s="30"/>
      <c r="CXG26" s="93"/>
      <c r="CXH26" s="30"/>
      <c r="CXM26" s="93"/>
      <c r="CXN26" s="30"/>
      <c r="CXS26" s="93"/>
      <c r="CXT26" s="30"/>
      <c r="CXY26" s="93"/>
      <c r="CXZ26" s="30"/>
      <c r="CYE26" s="93"/>
      <c r="CYF26" s="30"/>
      <c r="CYK26" s="93"/>
      <c r="CYL26" s="30"/>
      <c r="CYQ26" s="93"/>
      <c r="CYR26" s="30"/>
      <c r="CYW26" s="93"/>
      <c r="CYX26" s="30"/>
      <c r="CZC26" s="93"/>
      <c r="CZD26" s="30"/>
      <c r="CZI26" s="93"/>
      <c r="CZJ26" s="30"/>
      <c r="CZO26" s="93"/>
      <c r="CZP26" s="30"/>
      <c r="CZU26" s="93"/>
      <c r="CZV26" s="30"/>
      <c r="DAA26" s="93"/>
      <c r="DAB26" s="30"/>
      <c r="DAG26" s="93"/>
      <c r="DAH26" s="30"/>
      <c r="DAM26" s="93"/>
      <c r="DAN26" s="30"/>
      <c r="DAS26" s="93"/>
      <c r="DAT26" s="30"/>
      <c r="DAY26" s="93"/>
      <c r="DAZ26" s="30"/>
      <c r="DBE26" s="93"/>
      <c r="DBF26" s="30"/>
      <c r="DBK26" s="93"/>
      <c r="DBL26" s="30"/>
      <c r="DBQ26" s="93"/>
      <c r="DBR26" s="30"/>
      <c r="DBW26" s="93"/>
      <c r="DBX26" s="30"/>
      <c r="DCC26" s="93"/>
      <c r="DCD26" s="30"/>
      <c r="DCI26" s="93"/>
      <c r="DCJ26" s="30"/>
      <c r="DCO26" s="93"/>
      <c r="DCP26" s="30"/>
      <c r="DCU26" s="93"/>
      <c r="DCV26" s="30"/>
      <c r="DDA26" s="93"/>
      <c r="DDB26" s="30"/>
      <c r="DDG26" s="93"/>
      <c r="DDH26" s="30"/>
      <c r="DDM26" s="93"/>
      <c r="DDN26" s="30"/>
      <c r="DDS26" s="93"/>
      <c r="DDT26" s="30"/>
      <c r="DDY26" s="93"/>
      <c r="DDZ26" s="30"/>
      <c r="DEE26" s="93"/>
      <c r="DEF26" s="30"/>
      <c r="DEK26" s="93"/>
      <c r="DEL26" s="30"/>
      <c r="DEQ26" s="93"/>
      <c r="DER26" s="30"/>
      <c r="DEW26" s="93"/>
      <c r="DEX26" s="30"/>
      <c r="DFC26" s="93"/>
      <c r="DFD26" s="30"/>
      <c r="DFI26" s="93"/>
      <c r="DFJ26" s="30"/>
      <c r="DFO26" s="93"/>
      <c r="DFP26" s="30"/>
      <c r="DFU26" s="93"/>
      <c r="DFV26" s="30"/>
      <c r="DGA26" s="93"/>
      <c r="DGB26" s="30"/>
      <c r="DGG26" s="93"/>
      <c r="DGH26" s="30"/>
      <c r="DGM26" s="93"/>
      <c r="DGN26" s="30"/>
      <c r="DGS26" s="93"/>
      <c r="DGT26" s="30"/>
      <c r="DGY26" s="93"/>
      <c r="DGZ26" s="30"/>
      <c r="DHE26" s="93"/>
      <c r="DHF26" s="30"/>
      <c r="DHK26" s="93"/>
      <c r="DHL26" s="30"/>
      <c r="DHQ26" s="93"/>
      <c r="DHR26" s="30"/>
      <c r="DHW26" s="93"/>
      <c r="DHX26" s="30"/>
      <c r="DIC26" s="93"/>
      <c r="DID26" s="30"/>
      <c r="DII26" s="93"/>
      <c r="DIJ26" s="30"/>
      <c r="DIO26" s="93"/>
      <c r="DIP26" s="30"/>
      <c r="DIU26" s="93"/>
      <c r="DIV26" s="30"/>
      <c r="DJA26" s="93"/>
      <c r="DJB26" s="30"/>
      <c r="DJG26" s="93"/>
      <c r="DJH26" s="30"/>
      <c r="DJM26" s="93"/>
      <c r="DJN26" s="30"/>
      <c r="DJS26" s="93"/>
      <c r="DJT26" s="30"/>
      <c r="DJY26" s="93"/>
      <c r="DJZ26" s="30"/>
      <c r="DKE26" s="93"/>
      <c r="DKF26" s="30"/>
      <c r="DKK26" s="93"/>
      <c r="DKL26" s="30"/>
      <c r="DKQ26" s="93"/>
      <c r="DKR26" s="30"/>
      <c r="DKW26" s="93"/>
      <c r="DKX26" s="30"/>
      <c r="DLC26" s="93"/>
      <c r="DLD26" s="30"/>
      <c r="DLI26" s="93"/>
      <c r="DLJ26" s="30"/>
      <c r="DLO26" s="93"/>
      <c r="DLP26" s="30"/>
      <c r="DLU26" s="93"/>
      <c r="DLV26" s="30"/>
      <c r="DMA26" s="93"/>
      <c r="DMB26" s="30"/>
      <c r="DMG26" s="93"/>
      <c r="DMH26" s="30"/>
      <c r="DMM26" s="93"/>
      <c r="DMN26" s="30"/>
      <c r="DMS26" s="93"/>
      <c r="DMT26" s="30"/>
      <c r="DMY26" s="93"/>
      <c r="DMZ26" s="30"/>
      <c r="DNE26" s="93"/>
      <c r="DNF26" s="30"/>
      <c r="DNK26" s="93"/>
      <c r="DNL26" s="30"/>
      <c r="DNQ26" s="93"/>
      <c r="DNR26" s="30"/>
      <c r="DNW26" s="93"/>
      <c r="DNX26" s="30"/>
      <c r="DOC26" s="93"/>
      <c r="DOD26" s="30"/>
      <c r="DOI26" s="93"/>
      <c r="DOJ26" s="30"/>
      <c r="DOO26" s="93"/>
      <c r="DOP26" s="30"/>
      <c r="DOU26" s="93"/>
      <c r="DOV26" s="30"/>
      <c r="DPA26" s="93"/>
      <c r="DPB26" s="30"/>
      <c r="DPG26" s="93"/>
      <c r="DPH26" s="30"/>
      <c r="DPM26" s="93"/>
      <c r="DPN26" s="30"/>
      <c r="DPS26" s="93"/>
      <c r="DPT26" s="30"/>
      <c r="DPY26" s="93"/>
      <c r="DPZ26" s="30"/>
      <c r="DQE26" s="93"/>
      <c r="DQF26" s="30"/>
      <c r="DQK26" s="93"/>
      <c r="DQL26" s="30"/>
      <c r="DQQ26" s="93"/>
      <c r="DQR26" s="30"/>
      <c r="DQW26" s="93"/>
      <c r="DQX26" s="30"/>
      <c r="DRC26" s="93"/>
      <c r="DRD26" s="30"/>
      <c r="DRI26" s="93"/>
      <c r="DRJ26" s="30"/>
      <c r="DRO26" s="93"/>
      <c r="DRP26" s="30"/>
      <c r="DRU26" s="93"/>
      <c r="DRV26" s="30"/>
      <c r="DSA26" s="93"/>
      <c r="DSB26" s="30"/>
      <c r="DSG26" s="93"/>
      <c r="DSH26" s="30"/>
      <c r="DSM26" s="93"/>
      <c r="DSN26" s="30"/>
      <c r="DSS26" s="93"/>
      <c r="DST26" s="30"/>
      <c r="DSY26" s="93"/>
      <c r="DSZ26" s="30"/>
      <c r="DTE26" s="93"/>
      <c r="DTF26" s="30"/>
      <c r="DTK26" s="93"/>
      <c r="DTL26" s="30"/>
      <c r="DTQ26" s="93"/>
      <c r="DTR26" s="30"/>
      <c r="DTW26" s="93"/>
      <c r="DTX26" s="30"/>
      <c r="DUC26" s="93"/>
      <c r="DUD26" s="30"/>
      <c r="DUI26" s="93"/>
      <c r="DUJ26" s="30"/>
      <c r="DUO26" s="93"/>
      <c r="DUP26" s="30"/>
      <c r="DUU26" s="93"/>
      <c r="DUV26" s="30"/>
      <c r="DVA26" s="93"/>
      <c r="DVB26" s="30"/>
      <c r="DVG26" s="93"/>
      <c r="DVH26" s="30"/>
      <c r="DVM26" s="93"/>
      <c r="DVN26" s="30"/>
      <c r="DVS26" s="93"/>
      <c r="DVT26" s="30"/>
      <c r="DVY26" s="93"/>
      <c r="DVZ26" s="30"/>
      <c r="DWE26" s="93"/>
      <c r="DWF26" s="30"/>
      <c r="DWK26" s="93"/>
      <c r="DWL26" s="30"/>
      <c r="DWQ26" s="93"/>
      <c r="DWR26" s="30"/>
      <c r="DWW26" s="93"/>
      <c r="DWX26" s="30"/>
      <c r="DXC26" s="93"/>
      <c r="DXD26" s="30"/>
      <c r="DXI26" s="93"/>
      <c r="DXJ26" s="30"/>
      <c r="DXO26" s="93"/>
      <c r="DXP26" s="30"/>
      <c r="DXU26" s="93"/>
      <c r="DXV26" s="30"/>
      <c r="DYA26" s="93"/>
      <c r="DYB26" s="30"/>
      <c r="DYG26" s="93"/>
      <c r="DYH26" s="30"/>
      <c r="DYM26" s="93"/>
      <c r="DYN26" s="30"/>
      <c r="DYS26" s="93"/>
      <c r="DYT26" s="30"/>
      <c r="DYY26" s="93"/>
      <c r="DYZ26" s="30"/>
      <c r="DZE26" s="93"/>
      <c r="DZF26" s="30"/>
      <c r="DZK26" s="93"/>
      <c r="DZL26" s="30"/>
      <c r="DZQ26" s="93"/>
      <c r="DZR26" s="30"/>
      <c r="DZW26" s="93"/>
      <c r="DZX26" s="30"/>
      <c r="EAC26" s="93"/>
      <c r="EAD26" s="30"/>
      <c r="EAI26" s="93"/>
      <c r="EAJ26" s="30"/>
      <c r="EAO26" s="93"/>
      <c r="EAP26" s="30"/>
      <c r="EAU26" s="93"/>
      <c r="EAV26" s="30"/>
      <c r="EBA26" s="93"/>
      <c r="EBB26" s="30"/>
      <c r="EBG26" s="93"/>
      <c r="EBH26" s="30"/>
      <c r="EBM26" s="93"/>
      <c r="EBN26" s="30"/>
      <c r="EBS26" s="93"/>
      <c r="EBT26" s="30"/>
      <c r="EBY26" s="93"/>
      <c r="EBZ26" s="30"/>
      <c r="ECE26" s="93"/>
      <c r="ECF26" s="30"/>
      <c r="ECK26" s="93"/>
      <c r="ECL26" s="30"/>
      <c r="ECQ26" s="93"/>
      <c r="ECR26" s="30"/>
      <c r="ECW26" s="93"/>
      <c r="ECX26" s="30"/>
      <c r="EDC26" s="93"/>
      <c r="EDD26" s="30"/>
      <c r="EDI26" s="93"/>
      <c r="EDJ26" s="30"/>
      <c r="EDO26" s="93"/>
      <c r="EDP26" s="30"/>
      <c r="EDU26" s="93"/>
      <c r="EDV26" s="30"/>
      <c r="EEA26" s="93"/>
      <c r="EEB26" s="30"/>
      <c r="EEG26" s="93"/>
      <c r="EEH26" s="30"/>
      <c r="EEM26" s="93"/>
      <c r="EEN26" s="30"/>
      <c r="EES26" s="93"/>
      <c r="EET26" s="30"/>
      <c r="EEY26" s="93"/>
      <c r="EEZ26" s="30"/>
      <c r="EFE26" s="93"/>
      <c r="EFF26" s="30"/>
      <c r="EFK26" s="93"/>
      <c r="EFL26" s="30"/>
      <c r="EFQ26" s="93"/>
      <c r="EFR26" s="30"/>
      <c r="EFW26" s="93"/>
      <c r="EFX26" s="30"/>
      <c r="EGC26" s="93"/>
      <c r="EGD26" s="30"/>
      <c r="EGI26" s="93"/>
      <c r="EGJ26" s="30"/>
      <c r="EGO26" s="93"/>
      <c r="EGP26" s="30"/>
      <c r="EGU26" s="93"/>
      <c r="EGV26" s="30"/>
      <c r="EHA26" s="93"/>
      <c r="EHB26" s="30"/>
      <c r="EHG26" s="93"/>
      <c r="EHH26" s="30"/>
      <c r="EHM26" s="93"/>
      <c r="EHN26" s="30"/>
      <c r="EHS26" s="93"/>
      <c r="EHT26" s="30"/>
      <c r="EHY26" s="93"/>
      <c r="EHZ26" s="30"/>
      <c r="EIE26" s="93"/>
      <c r="EIF26" s="30"/>
      <c r="EIK26" s="93"/>
      <c r="EIL26" s="30"/>
      <c r="EIQ26" s="93"/>
      <c r="EIR26" s="30"/>
      <c r="EIW26" s="93"/>
      <c r="EIX26" s="30"/>
      <c r="EJC26" s="93"/>
      <c r="EJD26" s="30"/>
      <c r="EJI26" s="93"/>
      <c r="EJJ26" s="30"/>
      <c r="EJO26" s="93"/>
      <c r="EJP26" s="30"/>
      <c r="EJU26" s="93"/>
      <c r="EJV26" s="30"/>
      <c r="EKA26" s="93"/>
      <c r="EKB26" s="30"/>
      <c r="EKG26" s="93"/>
      <c r="EKH26" s="30"/>
      <c r="EKM26" s="93"/>
      <c r="EKN26" s="30"/>
      <c r="EKS26" s="93"/>
      <c r="EKT26" s="30"/>
      <c r="EKY26" s="93"/>
      <c r="EKZ26" s="30"/>
      <c r="ELE26" s="93"/>
      <c r="ELF26" s="30"/>
      <c r="ELK26" s="93"/>
      <c r="ELL26" s="30"/>
      <c r="ELQ26" s="93"/>
      <c r="ELR26" s="30"/>
      <c r="ELW26" s="93"/>
      <c r="ELX26" s="30"/>
      <c r="EMC26" s="93"/>
      <c r="EMD26" s="30"/>
      <c r="EMI26" s="93"/>
      <c r="EMJ26" s="30"/>
      <c r="EMO26" s="93"/>
      <c r="EMP26" s="30"/>
      <c r="EMU26" s="93"/>
      <c r="EMV26" s="30"/>
      <c r="ENA26" s="93"/>
      <c r="ENB26" s="30"/>
      <c r="ENG26" s="93"/>
      <c r="ENH26" s="30"/>
      <c r="ENM26" s="93"/>
      <c r="ENN26" s="30"/>
      <c r="ENS26" s="93"/>
      <c r="ENT26" s="30"/>
      <c r="ENY26" s="93"/>
      <c r="ENZ26" s="30"/>
      <c r="EOE26" s="93"/>
      <c r="EOF26" s="30"/>
      <c r="EOK26" s="93"/>
      <c r="EOL26" s="30"/>
      <c r="EOQ26" s="93"/>
      <c r="EOR26" s="30"/>
      <c r="EOW26" s="93"/>
      <c r="EOX26" s="30"/>
      <c r="EPC26" s="93"/>
      <c r="EPD26" s="30"/>
      <c r="EPI26" s="93"/>
      <c r="EPJ26" s="30"/>
      <c r="EPO26" s="93"/>
      <c r="EPP26" s="30"/>
      <c r="EPU26" s="93"/>
      <c r="EPV26" s="30"/>
      <c r="EQA26" s="93"/>
      <c r="EQB26" s="30"/>
      <c r="EQG26" s="93"/>
      <c r="EQH26" s="30"/>
      <c r="EQM26" s="93"/>
      <c r="EQN26" s="30"/>
      <c r="EQS26" s="93"/>
      <c r="EQT26" s="30"/>
      <c r="EQY26" s="93"/>
      <c r="EQZ26" s="30"/>
      <c r="ERE26" s="93"/>
      <c r="ERF26" s="30"/>
      <c r="ERK26" s="93"/>
      <c r="ERL26" s="30"/>
      <c r="ERQ26" s="93"/>
      <c r="ERR26" s="30"/>
      <c r="ERW26" s="93"/>
      <c r="ERX26" s="30"/>
      <c r="ESC26" s="93"/>
      <c r="ESD26" s="30"/>
      <c r="ESI26" s="93"/>
      <c r="ESJ26" s="30"/>
      <c r="ESO26" s="93"/>
      <c r="ESP26" s="30"/>
      <c r="ESU26" s="93"/>
      <c r="ESV26" s="30"/>
      <c r="ETA26" s="93"/>
      <c r="ETB26" s="30"/>
      <c r="ETG26" s="93"/>
      <c r="ETH26" s="30"/>
      <c r="ETM26" s="93"/>
      <c r="ETN26" s="30"/>
      <c r="ETS26" s="93"/>
      <c r="ETT26" s="30"/>
      <c r="ETY26" s="93"/>
      <c r="ETZ26" s="30"/>
      <c r="EUE26" s="93"/>
      <c r="EUF26" s="30"/>
      <c r="EUK26" s="93"/>
      <c r="EUL26" s="30"/>
      <c r="EUQ26" s="93"/>
      <c r="EUR26" s="30"/>
      <c r="EUW26" s="93"/>
      <c r="EUX26" s="30"/>
      <c r="EVC26" s="93"/>
      <c r="EVD26" s="30"/>
      <c r="EVI26" s="93"/>
      <c r="EVJ26" s="30"/>
      <c r="EVO26" s="93"/>
      <c r="EVP26" s="30"/>
      <c r="EVU26" s="93"/>
      <c r="EVV26" s="30"/>
      <c r="EWA26" s="93"/>
      <c r="EWB26" s="30"/>
      <c r="EWG26" s="93"/>
      <c r="EWH26" s="30"/>
      <c r="EWM26" s="93"/>
      <c r="EWN26" s="30"/>
      <c r="EWS26" s="93"/>
      <c r="EWT26" s="30"/>
      <c r="EWY26" s="93"/>
      <c r="EWZ26" s="30"/>
      <c r="EXE26" s="93"/>
      <c r="EXF26" s="30"/>
      <c r="EXK26" s="93"/>
      <c r="EXL26" s="30"/>
      <c r="EXQ26" s="93"/>
      <c r="EXR26" s="30"/>
      <c r="EXW26" s="93"/>
      <c r="EXX26" s="30"/>
      <c r="EYC26" s="93"/>
      <c r="EYD26" s="30"/>
      <c r="EYI26" s="93"/>
      <c r="EYJ26" s="30"/>
      <c r="EYO26" s="93"/>
      <c r="EYP26" s="30"/>
      <c r="EYU26" s="93"/>
      <c r="EYV26" s="30"/>
      <c r="EZA26" s="93"/>
      <c r="EZB26" s="30"/>
      <c r="EZG26" s="93"/>
      <c r="EZH26" s="30"/>
      <c r="EZM26" s="93"/>
      <c r="EZN26" s="30"/>
      <c r="EZS26" s="93"/>
      <c r="EZT26" s="30"/>
      <c r="EZY26" s="93"/>
      <c r="EZZ26" s="30"/>
      <c r="FAE26" s="93"/>
      <c r="FAF26" s="30"/>
      <c r="FAK26" s="93"/>
      <c r="FAL26" s="30"/>
      <c r="FAQ26" s="93"/>
      <c r="FAR26" s="30"/>
      <c r="FAW26" s="93"/>
      <c r="FAX26" s="30"/>
      <c r="FBC26" s="93"/>
      <c r="FBD26" s="30"/>
      <c r="FBI26" s="93"/>
      <c r="FBJ26" s="30"/>
      <c r="FBO26" s="93"/>
      <c r="FBP26" s="30"/>
      <c r="FBU26" s="93"/>
      <c r="FBV26" s="30"/>
      <c r="FCA26" s="93"/>
      <c r="FCB26" s="30"/>
      <c r="FCG26" s="93"/>
      <c r="FCH26" s="30"/>
      <c r="FCM26" s="93"/>
      <c r="FCN26" s="30"/>
      <c r="FCS26" s="93"/>
      <c r="FCT26" s="30"/>
      <c r="FCY26" s="93"/>
      <c r="FCZ26" s="30"/>
      <c r="FDE26" s="93"/>
      <c r="FDF26" s="30"/>
      <c r="FDK26" s="93"/>
      <c r="FDL26" s="30"/>
      <c r="FDQ26" s="93"/>
      <c r="FDR26" s="30"/>
      <c r="FDW26" s="93"/>
      <c r="FDX26" s="30"/>
      <c r="FEC26" s="93"/>
      <c r="FED26" s="30"/>
      <c r="FEI26" s="93"/>
      <c r="FEJ26" s="30"/>
      <c r="FEO26" s="93"/>
      <c r="FEP26" s="30"/>
      <c r="FEU26" s="93"/>
      <c r="FEV26" s="30"/>
      <c r="FFA26" s="93"/>
      <c r="FFB26" s="30"/>
      <c r="FFG26" s="93"/>
      <c r="FFH26" s="30"/>
      <c r="FFM26" s="93"/>
      <c r="FFN26" s="30"/>
      <c r="FFS26" s="93"/>
      <c r="FFT26" s="30"/>
      <c r="FFY26" s="93"/>
      <c r="FFZ26" s="30"/>
      <c r="FGE26" s="93"/>
      <c r="FGF26" s="30"/>
      <c r="FGK26" s="93"/>
      <c r="FGL26" s="30"/>
      <c r="FGQ26" s="93"/>
      <c r="FGR26" s="30"/>
      <c r="FGW26" s="93"/>
      <c r="FGX26" s="30"/>
      <c r="FHC26" s="93"/>
      <c r="FHD26" s="30"/>
      <c r="FHI26" s="93"/>
      <c r="FHJ26" s="30"/>
      <c r="FHO26" s="93"/>
      <c r="FHP26" s="30"/>
      <c r="FHU26" s="93"/>
      <c r="FHV26" s="30"/>
      <c r="FIA26" s="93"/>
      <c r="FIB26" s="30"/>
      <c r="FIG26" s="93"/>
      <c r="FIH26" s="30"/>
      <c r="FIM26" s="93"/>
      <c r="FIN26" s="30"/>
      <c r="FIS26" s="93"/>
      <c r="FIT26" s="30"/>
      <c r="FIY26" s="93"/>
      <c r="FIZ26" s="30"/>
      <c r="FJE26" s="93"/>
      <c r="FJF26" s="30"/>
      <c r="FJK26" s="93"/>
      <c r="FJL26" s="30"/>
      <c r="FJQ26" s="93"/>
      <c r="FJR26" s="30"/>
      <c r="FJW26" s="93"/>
      <c r="FJX26" s="30"/>
      <c r="FKC26" s="93"/>
      <c r="FKD26" s="30"/>
      <c r="FKI26" s="93"/>
      <c r="FKJ26" s="30"/>
      <c r="FKO26" s="93"/>
      <c r="FKP26" s="30"/>
      <c r="FKU26" s="93"/>
      <c r="FKV26" s="30"/>
      <c r="FLA26" s="93"/>
      <c r="FLB26" s="30"/>
      <c r="FLG26" s="93"/>
      <c r="FLH26" s="30"/>
      <c r="FLM26" s="93"/>
      <c r="FLN26" s="30"/>
      <c r="FLS26" s="93"/>
      <c r="FLT26" s="30"/>
      <c r="FLY26" s="93"/>
      <c r="FLZ26" s="30"/>
      <c r="FME26" s="93"/>
      <c r="FMF26" s="30"/>
      <c r="FMK26" s="93"/>
      <c r="FML26" s="30"/>
      <c r="FMQ26" s="93"/>
      <c r="FMR26" s="30"/>
      <c r="FMW26" s="93"/>
      <c r="FMX26" s="30"/>
      <c r="FNC26" s="93"/>
      <c r="FND26" s="30"/>
      <c r="FNI26" s="93"/>
      <c r="FNJ26" s="30"/>
      <c r="FNO26" s="93"/>
      <c r="FNP26" s="30"/>
      <c r="FNU26" s="93"/>
      <c r="FNV26" s="30"/>
      <c r="FOA26" s="93"/>
      <c r="FOB26" s="30"/>
      <c r="FOG26" s="93"/>
      <c r="FOH26" s="30"/>
      <c r="FOM26" s="93"/>
      <c r="FON26" s="30"/>
      <c r="FOS26" s="93"/>
      <c r="FOT26" s="30"/>
      <c r="FOY26" s="93"/>
      <c r="FOZ26" s="30"/>
      <c r="FPE26" s="93"/>
      <c r="FPF26" s="30"/>
      <c r="FPK26" s="93"/>
      <c r="FPL26" s="30"/>
      <c r="FPQ26" s="93"/>
      <c r="FPR26" s="30"/>
      <c r="FPW26" s="93"/>
      <c r="FPX26" s="30"/>
      <c r="FQC26" s="93"/>
      <c r="FQD26" s="30"/>
      <c r="FQI26" s="93"/>
      <c r="FQJ26" s="30"/>
      <c r="FQO26" s="93"/>
      <c r="FQP26" s="30"/>
      <c r="FQU26" s="93"/>
      <c r="FQV26" s="30"/>
      <c r="FRA26" s="93"/>
      <c r="FRB26" s="30"/>
      <c r="FRG26" s="93"/>
      <c r="FRH26" s="30"/>
      <c r="FRM26" s="93"/>
      <c r="FRN26" s="30"/>
      <c r="FRS26" s="93"/>
      <c r="FRT26" s="30"/>
      <c r="FRY26" s="93"/>
      <c r="FRZ26" s="30"/>
      <c r="FSE26" s="93"/>
      <c r="FSF26" s="30"/>
      <c r="FSK26" s="93"/>
      <c r="FSL26" s="30"/>
      <c r="FSQ26" s="93"/>
      <c r="FSR26" s="30"/>
      <c r="FSW26" s="93"/>
      <c r="FSX26" s="30"/>
      <c r="FTC26" s="93"/>
      <c r="FTD26" s="30"/>
      <c r="FTI26" s="93"/>
      <c r="FTJ26" s="30"/>
      <c r="FTO26" s="93"/>
      <c r="FTP26" s="30"/>
      <c r="FTU26" s="93"/>
      <c r="FTV26" s="30"/>
      <c r="FUA26" s="93"/>
      <c r="FUB26" s="30"/>
      <c r="FUG26" s="93"/>
      <c r="FUH26" s="30"/>
      <c r="FUM26" s="93"/>
      <c r="FUN26" s="30"/>
      <c r="FUS26" s="93"/>
      <c r="FUT26" s="30"/>
      <c r="FUY26" s="93"/>
      <c r="FUZ26" s="30"/>
      <c r="FVE26" s="93"/>
      <c r="FVF26" s="30"/>
      <c r="FVK26" s="93"/>
      <c r="FVL26" s="30"/>
      <c r="FVQ26" s="93"/>
      <c r="FVR26" s="30"/>
      <c r="FVW26" s="93"/>
      <c r="FVX26" s="30"/>
      <c r="FWC26" s="93"/>
      <c r="FWD26" s="30"/>
      <c r="FWI26" s="93"/>
      <c r="FWJ26" s="30"/>
      <c r="FWO26" s="93"/>
      <c r="FWP26" s="30"/>
      <c r="FWU26" s="93"/>
      <c r="FWV26" s="30"/>
      <c r="FXA26" s="93"/>
      <c r="FXB26" s="30"/>
      <c r="FXG26" s="93"/>
      <c r="FXH26" s="30"/>
      <c r="FXM26" s="93"/>
      <c r="FXN26" s="30"/>
      <c r="FXS26" s="93"/>
      <c r="FXT26" s="30"/>
      <c r="FXY26" s="93"/>
      <c r="FXZ26" s="30"/>
      <c r="FYE26" s="93"/>
      <c r="FYF26" s="30"/>
      <c r="FYK26" s="93"/>
      <c r="FYL26" s="30"/>
      <c r="FYQ26" s="93"/>
      <c r="FYR26" s="30"/>
      <c r="FYW26" s="93"/>
      <c r="FYX26" s="30"/>
      <c r="FZC26" s="93"/>
      <c r="FZD26" s="30"/>
      <c r="FZI26" s="93"/>
      <c r="FZJ26" s="30"/>
      <c r="FZO26" s="93"/>
      <c r="FZP26" s="30"/>
      <c r="FZU26" s="93"/>
      <c r="FZV26" s="30"/>
      <c r="GAA26" s="93"/>
      <c r="GAB26" s="30"/>
      <c r="GAG26" s="93"/>
      <c r="GAH26" s="30"/>
      <c r="GAM26" s="93"/>
      <c r="GAN26" s="30"/>
      <c r="GAS26" s="93"/>
      <c r="GAT26" s="30"/>
      <c r="GAY26" s="93"/>
      <c r="GAZ26" s="30"/>
      <c r="GBE26" s="93"/>
      <c r="GBF26" s="30"/>
      <c r="GBK26" s="93"/>
      <c r="GBL26" s="30"/>
      <c r="GBQ26" s="93"/>
      <c r="GBR26" s="30"/>
      <c r="GBW26" s="93"/>
      <c r="GBX26" s="30"/>
      <c r="GCC26" s="93"/>
      <c r="GCD26" s="30"/>
      <c r="GCI26" s="93"/>
      <c r="GCJ26" s="30"/>
      <c r="GCO26" s="93"/>
      <c r="GCP26" s="30"/>
      <c r="GCU26" s="93"/>
      <c r="GCV26" s="30"/>
      <c r="GDA26" s="93"/>
      <c r="GDB26" s="30"/>
      <c r="GDG26" s="93"/>
      <c r="GDH26" s="30"/>
      <c r="GDM26" s="93"/>
      <c r="GDN26" s="30"/>
      <c r="GDS26" s="93"/>
      <c r="GDT26" s="30"/>
      <c r="GDY26" s="93"/>
      <c r="GDZ26" s="30"/>
      <c r="GEE26" s="93"/>
      <c r="GEF26" s="30"/>
      <c r="GEK26" s="93"/>
      <c r="GEL26" s="30"/>
      <c r="GEQ26" s="93"/>
      <c r="GER26" s="30"/>
      <c r="GEW26" s="93"/>
      <c r="GEX26" s="30"/>
      <c r="GFC26" s="93"/>
      <c r="GFD26" s="30"/>
      <c r="GFI26" s="93"/>
      <c r="GFJ26" s="30"/>
      <c r="GFO26" s="93"/>
      <c r="GFP26" s="30"/>
      <c r="GFU26" s="93"/>
      <c r="GFV26" s="30"/>
      <c r="GGA26" s="93"/>
      <c r="GGB26" s="30"/>
      <c r="GGG26" s="93"/>
      <c r="GGH26" s="30"/>
      <c r="GGM26" s="93"/>
      <c r="GGN26" s="30"/>
      <c r="GGS26" s="93"/>
      <c r="GGT26" s="30"/>
      <c r="GGY26" s="93"/>
      <c r="GGZ26" s="30"/>
      <c r="GHE26" s="93"/>
      <c r="GHF26" s="30"/>
      <c r="GHK26" s="93"/>
      <c r="GHL26" s="30"/>
      <c r="GHQ26" s="93"/>
      <c r="GHR26" s="30"/>
      <c r="GHW26" s="93"/>
      <c r="GHX26" s="30"/>
      <c r="GIC26" s="93"/>
      <c r="GID26" s="30"/>
      <c r="GII26" s="93"/>
      <c r="GIJ26" s="30"/>
      <c r="GIO26" s="93"/>
      <c r="GIP26" s="30"/>
      <c r="GIU26" s="93"/>
      <c r="GIV26" s="30"/>
      <c r="GJA26" s="93"/>
      <c r="GJB26" s="30"/>
      <c r="GJG26" s="93"/>
      <c r="GJH26" s="30"/>
      <c r="GJM26" s="93"/>
      <c r="GJN26" s="30"/>
      <c r="GJS26" s="93"/>
      <c r="GJT26" s="30"/>
      <c r="GJY26" s="93"/>
      <c r="GJZ26" s="30"/>
      <c r="GKE26" s="93"/>
      <c r="GKF26" s="30"/>
      <c r="GKK26" s="93"/>
      <c r="GKL26" s="30"/>
      <c r="GKQ26" s="93"/>
      <c r="GKR26" s="30"/>
      <c r="GKW26" s="93"/>
      <c r="GKX26" s="30"/>
      <c r="GLC26" s="93"/>
      <c r="GLD26" s="30"/>
      <c r="GLI26" s="93"/>
      <c r="GLJ26" s="30"/>
      <c r="GLO26" s="93"/>
      <c r="GLP26" s="30"/>
      <c r="GLU26" s="93"/>
      <c r="GLV26" s="30"/>
      <c r="GMA26" s="93"/>
      <c r="GMB26" s="30"/>
      <c r="GMG26" s="93"/>
      <c r="GMH26" s="30"/>
      <c r="GMM26" s="93"/>
      <c r="GMN26" s="30"/>
      <c r="GMS26" s="93"/>
      <c r="GMT26" s="30"/>
      <c r="GMY26" s="93"/>
      <c r="GMZ26" s="30"/>
      <c r="GNE26" s="93"/>
      <c r="GNF26" s="30"/>
      <c r="GNK26" s="93"/>
      <c r="GNL26" s="30"/>
      <c r="GNQ26" s="93"/>
      <c r="GNR26" s="30"/>
      <c r="GNW26" s="93"/>
      <c r="GNX26" s="30"/>
      <c r="GOC26" s="93"/>
      <c r="GOD26" s="30"/>
      <c r="GOI26" s="93"/>
      <c r="GOJ26" s="30"/>
      <c r="GOO26" s="93"/>
      <c r="GOP26" s="30"/>
      <c r="GOU26" s="93"/>
      <c r="GOV26" s="30"/>
      <c r="GPA26" s="93"/>
      <c r="GPB26" s="30"/>
      <c r="GPG26" s="93"/>
      <c r="GPH26" s="30"/>
      <c r="GPM26" s="93"/>
      <c r="GPN26" s="30"/>
      <c r="GPS26" s="93"/>
      <c r="GPT26" s="30"/>
      <c r="GPY26" s="93"/>
      <c r="GPZ26" s="30"/>
      <c r="GQE26" s="93"/>
      <c r="GQF26" s="30"/>
      <c r="GQK26" s="93"/>
      <c r="GQL26" s="30"/>
      <c r="GQQ26" s="93"/>
      <c r="GQR26" s="30"/>
      <c r="GQW26" s="93"/>
      <c r="GQX26" s="30"/>
      <c r="GRC26" s="93"/>
      <c r="GRD26" s="30"/>
      <c r="GRI26" s="93"/>
      <c r="GRJ26" s="30"/>
      <c r="GRO26" s="93"/>
      <c r="GRP26" s="30"/>
      <c r="GRU26" s="93"/>
      <c r="GRV26" s="30"/>
      <c r="GSA26" s="93"/>
      <c r="GSB26" s="30"/>
      <c r="GSG26" s="93"/>
      <c r="GSH26" s="30"/>
      <c r="GSM26" s="93"/>
      <c r="GSN26" s="30"/>
      <c r="GSS26" s="93"/>
      <c r="GST26" s="30"/>
      <c r="GSY26" s="93"/>
      <c r="GSZ26" s="30"/>
      <c r="GTE26" s="93"/>
      <c r="GTF26" s="30"/>
      <c r="GTK26" s="93"/>
      <c r="GTL26" s="30"/>
      <c r="GTQ26" s="93"/>
      <c r="GTR26" s="30"/>
      <c r="GTW26" s="93"/>
      <c r="GTX26" s="30"/>
      <c r="GUC26" s="93"/>
      <c r="GUD26" s="30"/>
      <c r="GUI26" s="93"/>
      <c r="GUJ26" s="30"/>
      <c r="GUO26" s="93"/>
      <c r="GUP26" s="30"/>
      <c r="GUU26" s="93"/>
      <c r="GUV26" s="30"/>
      <c r="GVA26" s="93"/>
      <c r="GVB26" s="30"/>
      <c r="GVG26" s="93"/>
      <c r="GVH26" s="30"/>
      <c r="GVM26" s="93"/>
      <c r="GVN26" s="30"/>
      <c r="GVS26" s="93"/>
      <c r="GVT26" s="30"/>
      <c r="GVY26" s="93"/>
      <c r="GVZ26" s="30"/>
      <c r="GWE26" s="93"/>
      <c r="GWF26" s="30"/>
      <c r="GWK26" s="93"/>
      <c r="GWL26" s="30"/>
      <c r="GWQ26" s="93"/>
      <c r="GWR26" s="30"/>
      <c r="GWW26" s="93"/>
      <c r="GWX26" s="30"/>
      <c r="GXC26" s="93"/>
      <c r="GXD26" s="30"/>
      <c r="GXI26" s="93"/>
      <c r="GXJ26" s="30"/>
      <c r="GXO26" s="93"/>
      <c r="GXP26" s="30"/>
      <c r="GXU26" s="93"/>
      <c r="GXV26" s="30"/>
      <c r="GYA26" s="93"/>
      <c r="GYB26" s="30"/>
      <c r="GYG26" s="93"/>
      <c r="GYH26" s="30"/>
      <c r="GYM26" s="93"/>
      <c r="GYN26" s="30"/>
      <c r="GYS26" s="93"/>
      <c r="GYT26" s="30"/>
      <c r="GYY26" s="93"/>
      <c r="GYZ26" s="30"/>
      <c r="GZE26" s="93"/>
      <c r="GZF26" s="30"/>
      <c r="GZK26" s="93"/>
      <c r="GZL26" s="30"/>
      <c r="GZQ26" s="93"/>
      <c r="GZR26" s="30"/>
      <c r="GZW26" s="93"/>
      <c r="GZX26" s="30"/>
      <c r="HAC26" s="93"/>
      <c r="HAD26" s="30"/>
      <c r="HAI26" s="93"/>
      <c r="HAJ26" s="30"/>
      <c r="HAO26" s="93"/>
      <c r="HAP26" s="30"/>
      <c r="HAU26" s="93"/>
      <c r="HAV26" s="30"/>
      <c r="HBA26" s="93"/>
      <c r="HBB26" s="30"/>
      <c r="HBG26" s="93"/>
      <c r="HBH26" s="30"/>
      <c r="HBM26" s="93"/>
      <c r="HBN26" s="30"/>
      <c r="HBS26" s="93"/>
      <c r="HBT26" s="30"/>
      <c r="HBY26" s="93"/>
      <c r="HBZ26" s="30"/>
      <c r="HCE26" s="93"/>
      <c r="HCF26" s="30"/>
      <c r="HCK26" s="93"/>
      <c r="HCL26" s="30"/>
      <c r="HCQ26" s="93"/>
      <c r="HCR26" s="30"/>
      <c r="HCW26" s="93"/>
      <c r="HCX26" s="30"/>
      <c r="HDC26" s="93"/>
      <c r="HDD26" s="30"/>
      <c r="HDI26" s="93"/>
      <c r="HDJ26" s="30"/>
      <c r="HDO26" s="93"/>
      <c r="HDP26" s="30"/>
      <c r="HDU26" s="93"/>
      <c r="HDV26" s="30"/>
      <c r="HEA26" s="93"/>
      <c r="HEB26" s="30"/>
      <c r="HEG26" s="93"/>
      <c r="HEH26" s="30"/>
      <c r="HEM26" s="93"/>
      <c r="HEN26" s="30"/>
      <c r="HES26" s="93"/>
      <c r="HET26" s="30"/>
      <c r="HEY26" s="93"/>
      <c r="HEZ26" s="30"/>
      <c r="HFE26" s="93"/>
      <c r="HFF26" s="30"/>
      <c r="HFK26" s="93"/>
      <c r="HFL26" s="30"/>
      <c r="HFQ26" s="93"/>
      <c r="HFR26" s="30"/>
      <c r="HFW26" s="93"/>
      <c r="HFX26" s="30"/>
      <c r="HGC26" s="93"/>
      <c r="HGD26" s="30"/>
      <c r="HGI26" s="93"/>
      <c r="HGJ26" s="30"/>
      <c r="HGO26" s="93"/>
      <c r="HGP26" s="30"/>
      <c r="HGU26" s="93"/>
      <c r="HGV26" s="30"/>
      <c r="HHA26" s="93"/>
      <c r="HHB26" s="30"/>
      <c r="HHG26" s="93"/>
      <c r="HHH26" s="30"/>
      <c r="HHM26" s="93"/>
      <c r="HHN26" s="30"/>
      <c r="HHS26" s="93"/>
      <c r="HHT26" s="30"/>
      <c r="HHY26" s="93"/>
      <c r="HHZ26" s="30"/>
      <c r="HIE26" s="93"/>
      <c r="HIF26" s="30"/>
      <c r="HIK26" s="93"/>
      <c r="HIL26" s="30"/>
      <c r="HIQ26" s="93"/>
      <c r="HIR26" s="30"/>
      <c r="HIW26" s="93"/>
      <c r="HIX26" s="30"/>
      <c r="HJC26" s="93"/>
      <c r="HJD26" s="30"/>
      <c r="HJI26" s="93"/>
      <c r="HJJ26" s="30"/>
      <c r="HJO26" s="93"/>
      <c r="HJP26" s="30"/>
      <c r="HJU26" s="93"/>
      <c r="HJV26" s="30"/>
      <c r="HKA26" s="93"/>
      <c r="HKB26" s="30"/>
      <c r="HKG26" s="93"/>
      <c r="HKH26" s="30"/>
      <c r="HKM26" s="93"/>
      <c r="HKN26" s="30"/>
      <c r="HKS26" s="93"/>
      <c r="HKT26" s="30"/>
      <c r="HKY26" s="93"/>
      <c r="HKZ26" s="30"/>
      <c r="HLE26" s="93"/>
      <c r="HLF26" s="30"/>
      <c r="HLK26" s="93"/>
      <c r="HLL26" s="30"/>
      <c r="HLQ26" s="93"/>
      <c r="HLR26" s="30"/>
      <c r="HLW26" s="93"/>
      <c r="HLX26" s="30"/>
      <c r="HMC26" s="93"/>
      <c r="HMD26" s="30"/>
      <c r="HMI26" s="93"/>
      <c r="HMJ26" s="30"/>
      <c r="HMO26" s="93"/>
      <c r="HMP26" s="30"/>
      <c r="HMU26" s="93"/>
      <c r="HMV26" s="30"/>
      <c r="HNA26" s="93"/>
      <c r="HNB26" s="30"/>
      <c r="HNG26" s="93"/>
      <c r="HNH26" s="30"/>
      <c r="HNM26" s="93"/>
      <c r="HNN26" s="30"/>
      <c r="HNS26" s="93"/>
      <c r="HNT26" s="30"/>
      <c r="HNY26" s="93"/>
      <c r="HNZ26" s="30"/>
      <c r="HOE26" s="93"/>
      <c r="HOF26" s="30"/>
      <c r="HOK26" s="93"/>
      <c r="HOL26" s="30"/>
      <c r="HOQ26" s="93"/>
      <c r="HOR26" s="30"/>
      <c r="HOW26" s="93"/>
      <c r="HOX26" s="30"/>
      <c r="HPC26" s="93"/>
      <c r="HPD26" s="30"/>
      <c r="HPI26" s="93"/>
      <c r="HPJ26" s="30"/>
      <c r="HPO26" s="93"/>
      <c r="HPP26" s="30"/>
      <c r="HPU26" s="93"/>
      <c r="HPV26" s="30"/>
      <c r="HQA26" s="93"/>
      <c r="HQB26" s="30"/>
      <c r="HQG26" s="93"/>
      <c r="HQH26" s="30"/>
      <c r="HQM26" s="93"/>
      <c r="HQN26" s="30"/>
      <c r="HQS26" s="93"/>
      <c r="HQT26" s="30"/>
      <c r="HQY26" s="93"/>
      <c r="HQZ26" s="30"/>
      <c r="HRE26" s="93"/>
      <c r="HRF26" s="30"/>
      <c r="HRK26" s="93"/>
      <c r="HRL26" s="30"/>
      <c r="HRQ26" s="93"/>
      <c r="HRR26" s="30"/>
      <c r="HRW26" s="93"/>
      <c r="HRX26" s="30"/>
      <c r="HSC26" s="93"/>
      <c r="HSD26" s="30"/>
      <c r="HSI26" s="93"/>
      <c r="HSJ26" s="30"/>
      <c r="HSO26" s="93"/>
      <c r="HSP26" s="30"/>
      <c r="HSU26" s="93"/>
      <c r="HSV26" s="30"/>
      <c r="HTA26" s="93"/>
      <c r="HTB26" s="30"/>
      <c r="HTG26" s="93"/>
      <c r="HTH26" s="30"/>
      <c r="HTM26" s="93"/>
      <c r="HTN26" s="30"/>
      <c r="HTS26" s="93"/>
      <c r="HTT26" s="30"/>
      <c r="HTY26" s="93"/>
      <c r="HTZ26" s="30"/>
      <c r="HUE26" s="93"/>
      <c r="HUF26" s="30"/>
      <c r="HUK26" s="93"/>
      <c r="HUL26" s="30"/>
      <c r="HUQ26" s="93"/>
      <c r="HUR26" s="30"/>
      <c r="HUW26" s="93"/>
      <c r="HUX26" s="30"/>
      <c r="HVC26" s="93"/>
      <c r="HVD26" s="30"/>
      <c r="HVI26" s="93"/>
      <c r="HVJ26" s="30"/>
      <c r="HVO26" s="93"/>
      <c r="HVP26" s="30"/>
      <c r="HVU26" s="93"/>
      <c r="HVV26" s="30"/>
      <c r="HWA26" s="93"/>
      <c r="HWB26" s="30"/>
      <c r="HWG26" s="93"/>
      <c r="HWH26" s="30"/>
      <c r="HWM26" s="93"/>
      <c r="HWN26" s="30"/>
      <c r="HWS26" s="93"/>
      <c r="HWT26" s="30"/>
      <c r="HWY26" s="93"/>
      <c r="HWZ26" s="30"/>
      <c r="HXE26" s="93"/>
      <c r="HXF26" s="30"/>
      <c r="HXK26" s="93"/>
      <c r="HXL26" s="30"/>
      <c r="HXQ26" s="93"/>
      <c r="HXR26" s="30"/>
      <c r="HXW26" s="93"/>
      <c r="HXX26" s="30"/>
      <c r="HYC26" s="93"/>
      <c r="HYD26" s="30"/>
      <c r="HYI26" s="93"/>
      <c r="HYJ26" s="30"/>
      <c r="HYO26" s="93"/>
      <c r="HYP26" s="30"/>
      <c r="HYU26" s="93"/>
      <c r="HYV26" s="30"/>
      <c r="HZA26" s="93"/>
      <c r="HZB26" s="30"/>
      <c r="HZG26" s="93"/>
      <c r="HZH26" s="30"/>
      <c r="HZM26" s="93"/>
      <c r="HZN26" s="30"/>
      <c r="HZS26" s="93"/>
      <c r="HZT26" s="30"/>
      <c r="HZY26" s="93"/>
      <c r="HZZ26" s="30"/>
      <c r="IAE26" s="93"/>
      <c r="IAF26" s="30"/>
      <c r="IAK26" s="93"/>
      <c r="IAL26" s="30"/>
      <c r="IAQ26" s="93"/>
      <c r="IAR26" s="30"/>
      <c r="IAW26" s="93"/>
      <c r="IAX26" s="30"/>
      <c r="IBC26" s="93"/>
      <c r="IBD26" s="30"/>
      <c r="IBI26" s="93"/>
      <c r="IBJ26" s="30"/>
      <c r="IBO26" s="93"/>
      <c r="IBP26" s="30"/>
      <c r="IBU26" s="93"/>
      <c r="IBV26" s="30"/>
      <c r="ICA26" s="93"/>
      <c r="ICB26" s="30"/>
      <c r="ICG26" s="93"/>
      <c r="ICH26" s="30"/>
      <c r="ICM26" s="93"/>
      <c r="ICN26" s="30"/>
      <c r="ICS26" s="93"/>
      <c r="ICT26" s="30"/>
      <c r="ICY26" s="93"/>
      <c r="ICZ26" s="30"/>
      <c r="IDE26" s="93"/>
      <c r="IDF26" s="30"/>
      <c r="IDK26" s="93"/>
      <c r="IDL26" s="30"/>
      <c r="IDQ26" s="93"/>
      <c r="IDR26" s="30"/>
      <c r="IDW26" s="93"/>
      <c r="IDX26" s="30"/>
      <c r="IEC26" s="93"/>
      <c r="IED26" s="30"/>
      <c r="IEI26" s="93"/>
      <c r="IEJ26" s="30"/>
      <c r="IEO26" s="93"/>
      <c r="IEP26" s="30"/>
      <c r="IEU26" s="93"/>
      <c r="IEV26" s="30"/>
      <c r="IFA26" s="93"/>
      <c r="IFB26" s="30"/>
      <c r="IFG26" s="93"/>
      <c r="IFH26" s="30"/>
      <c r="IFM26" s="93"/>
      <c r="IFN26" s="30"/>
      <c r="IFS26" s="93"/>
      <c r="IFT26" s="30"/>
      <c r="IFY26" s="93"/>
      <c r="IFZ26" s="30"/>
      <c r="IGE26" s="93"/>
      <c r="IGF26" s="30"/>
      <c r="IGK26" s="93"/>
      <c r="IGL26" s="30"/>
      <c r="IGQ26" s="93"/>
      <c r="IGR26" s="30"/>
      <c r="IGW26" s="93"/>
      <c r="IGX26" s="30"/>
      <c r="IHC26" s="93"/>
      <c r="IHD26" s="30"/>
      <c r="IHI26" s="93"/>
      <c r="IHJ26" s="30"/>
      <c r="IHO26" s="93"/>
      <c r="IHP26" s="30"/>
      <c r="IHU26" s="93"/>
      <c r="IHV26" s="30"/>
      <c r="IIA26" s="93"/>
      <c r="IIB26" s="30"/>
      <c r="IIG26" s="93"/>
      <c r="IIH26" s="30"/>
      <c r="IIM26" s="93"/>
      <c r="IIN26" s="30"/>
      <c r="IIS26" s="93"/>
      <c r="IIT26" s="30"/>
      <c r="IIY26" s="93"/>
      <c r="IIZ26" s="30"/>
      <c r="IJE26" s="93"/>
      <c r="IJF26" s="30"/>
      <c r="IJK26" s="93"/>
      <c r="IJL26" s="30"/>
      <c r="IJQ26" s="93"/>
      <c r="IJR26" s="30"/>
      <c r="IJW26" s="93"/>
      <c r="IJX26" s="30"/>
      <c r="IKC26" s="93"/>
      <c r="IKD26" s="30"/>
      <c r="IKI26" s="93"/>
      <c r="IKJ26" s="30"/>
      <c r="IKO26" s="93"/>
      <c r="IKP26" s="30"/>
      <c r="IKU26" s="93"/>
      <c r="IKV26" s="30"/>
      <c r="ILA26" s="93"/>
      <c r="ILB26" s="30"/>
      <c r="ILG26" s="93"/>
      <c r="ILH26" s="30"/>
      <c r="ILM26" s="93"/>
      <c r="ILN26" s="30"/>
      <c r="ILS26" s="93"/>
      <c r="ILT26" s="30"/>
      <c r="ILY26" s="93"/>
      <c r="ILZ26" s="30"/>
      <c r="IME26" s="93"/>
      <c r="IMF26" s="30"/>
      <c r="IMK26" s="93"/>
      <c r="IML26" s="30"/>
      <c r="IMQ26" s="93"/>
      <c r="IMR26" s="30"/>
      <c r="IMW26" s="93"/>
      <c r="IMX26" s="30"/>
      <c r="INC26" s="93"/>
      <c r="IND26" s="30"/>
      <c r="INI26" s="93"/>
      <c r="INJ26" s="30"/>
      <c r="INO26" s="93"/>
      <c r="INP26" s="30"/>
      <c r="INU26" s="93"/>
      <c r="INV26" s="30"/>
      <c r="IOA26" s="93"/>
      <c r="IOB26" s="30"/>
      <c r="IOG26" s="93"/>
      <c r="IOH26" s="30"/>
      <c r="IOM26" s="93"/>
      <c r="ION26" s="30"/>
      <c r="IOS26" s="93"/>
      <c r="IOT26" s="30"/>
      <c r="IOY26" s="93"/>
      <c r="IOZ26" s="30"/>
      <c r="IPE26" s="93"/>
      <c r="IPF26" s="30"/>
      <c r="IPK26" s="93"/>
      <c r="IPL26" s="30"/>
      <c r="IPQ26" s="93"/>
      <c r="IPR26" s="30"/>
      <c r="IPW26" s="93"/>
      <c r="IPX26" s="30"/>
      <c r="IQC26" s="93"/>
      <c r="IQD26" s="30"/>
      <c r="IQI26" s="93"/>
      <c r="IQJ26" s="30"/>
      <c r="IQO26" s="93"/>
      <c r="IQP26" s="30"/>
      <c r="IQU26" s="93"/>
      <c r="IQV26" s="30"/>
      <c r="IRA26" s="93"/>
      <c r="IRB26" s="30"/>
      <c r="IRG26" s="93"/>
      <c r="IRH26" s="30"/>
      <c r="IRM26" s="93"/>
      <c r="IRN26" s="30"/>
      <c r="IRS26" s="93"/>
      <c r="IRT26" s="30"/>
      <c r="IRY26" s="93"/>
      <c r="IRZ26" s="30"/>
      <c r="ISE26" s="93"/>
      <c r="ISF26" s="30"/>
      <c r="ISK26" s="93"/>
      <c r="ISL26" s="30"/>
      <c r="ISQ26" s="93"/>
      <c r="ISR26" s="30"/>
      <c r="ISW26" s="93"/>
      <c r="ISX26" s="30"/>
      <c r="ITC26" s="93"/>
      <c r="ITD26" s="30"/>
      <c r="ITI26" s="93"/>
      <c r="ITJ26" s="30"/>
      <c r="ITO26" s="93"/>
      <c r="ITP26" s="30"/>
      <c r="ITU26" s="93"/>
      <c r="ITV26" s="30"/>
      <c r="IUA26" s="93"/>
      <c r="IUB26" s="30"/>
      <c r="IUG26" s="93"/>
      <c r="IUH26" s="30"/>
      <c r="IUM26" s="93"/>
      <c r="IUN26" s="30"/>
      <c r="IUS26" s="93"/>
      <c r="IUT26" s="30"/>
      <c r="IUY26" s="93"/>
      <c r="IUZ26" s="30"/>
      <c r="IVE26" s="93"/>
      <c r="IVF26" s="30"/>
      <c r="IVK26" s="93"/>
      <c r="IVL26" s="30"/>
      <c r="IVQ26" s="93"/>
      <c r="IVR26" s="30"/>
      <c r="IVW26" s="93"/>
      <c r="IVX26" s="30"/>
      <c r="IWC26" s="93"/>
      <c r="IWD26" s="30"/>
      <c r="IWI26" s="93"/>
      <c r="IWJ26" s="30"/>
      <c r="IWO26" s="93"/>
      <c r="IWP26" s="30"/>
      <c r="IWU26" s="93"/>
      <c r="IWV26" s="30"/>
      <c r="IXA26" s="93"/>
      <c r="IXB26" s="30"/>
      <c r="IXG26" s="93"/>
      <c r="IXH26" s="30"/>
      <c r="IXM26" s="93"/>
      <c r="IXN26" s="30"/>
      <c r="IXS26" s="93"/>
      <c r="IXT26" s="30"/>
      <c r="IXY26" s="93"/>
      <c r="IXZ26" s="30"/>
      <c r="IYE26" s="93"/>
      <c r="IYF26" s="30"/>
      <c r="IYK26" s="93"/>
      <c r="IYL26" s="30"/>
      <c r="IYQ26" s="93"/>
      <c r="IYR26" s="30"/>
      <c r="IYW26" s="93"/>
      <c r="IYX26" s="30"/>
      <c r="IZC26" s="93"/>
      <c r="IZD26" s="30"/>
      <c r="IZI26" s="93"/>
      <c r="IZJ26" s="30"/>
      <c r="IZO26" s="93"/>
      <c r="IZP26" s="30"/>
      <c r="IZU26" s="93"/>
      <c r="IZV26" s="30"/>
      <c r="JAA26" s="93"/>
      <c r="JAB26" s="30"/>
      <c r="JAG26" s="93"/>
      <c r="JAH26" s="30"/>
      <c r="JAM26" s="93"/>
      <c r="JAN26" s="30"/>
      <c r="JAS26" s="93"/>
      <c r="JAT26" s="30"/>
      <c r="JAY26" s="93"/>
      <c r="JAZ26" s="30"/>
      <c r="JBE26" s="93"/>
      <c r="JBF26" s="30"/>
      <c r="JBK26" s="93"/>
      <c r="JBL26" s="30"/>
      <c r="JBQ26" s="93"/>
      <c r="JBR26" s="30"/>
      <c r="JBW26" s="93"/>
      <c r="JBX26" s="30"/>
      <c r="JCC26" s="93"/>
      <c r="JCD26" s="30"/>
      <c r="JCI26" s="93"/>
      <c r="JCJ26" s="30"/>
      <c r="JCO26" s="93"/>
      <c r="JCP26" s="30"/>
      <c r="JCU26" s="93"/>
      <c r="JCV26" s="30"/>
      <c r="JDA26" s="93"/>
      <c r="JDB26" s="30"/>
      <c r="JDG26" s="93"/>
      <c r="JDH26" s="30"/>
      <c r="JDM26" s="93"/>
      <c r="JDN26" s="30"/>
      <c r="JDS26" s="93"/>
      <c r="JDT26" s="30"/>
      <c r="JDY26" s="93"/>
      <c r="JDZ26" s="30"/>
      <c r="JEE26" s="93"/>
      <c r="JEF26" s="30"/>
      <c r="JEK26" s="93"/>
      <c r="JEL26" s="30"/>
      <c r="JEQ26" s="93"/>
      <c r="JER26" s="30"/>
      <c r="JEW26" s="93"/>
      <c r="JEX26" s="30"/>
      <c r="JFC26" s="93"/>
      <c r="JFD26" s="30"/>
      <c r="JFI26" s="93"/>
      <c r="JFJ26" s="30"/>
      <c r="JFO26" s="93"/>
      <c r="JFP26" s="30"/>
      <c r="JFU26" s="93"/>
      <c r="JFV26" s="30"/>
      <c r="JGA26" s="93"/>
      <c r="JGB26" s="30"/>
      <c r="JGG26" s="93"/>
      <c r="JGH26" s="30"/>
      <c r="JGM26" s="93"/>
      <c r="JGN26" s="30"/>
      <c r="JGS26" s="93"/>
      <c r="JGT26" s="30"/>
      <c r="JGY26" s="93"/>
      <c r="JGZ26" s="30"/>
      <c r="JHE26" s="93"/>
      <c r="JHF26" s="30"/>
      <c r="JHK26" s="93"/>
      <c r="JHL26" s="30"/>
      <c r="JHQ26" s="93"/>
      <c r="JHR26" s="30"/>
      <c r="JHW26" s="93"/>
      <c r="JHX26" s="30"/>
      <c r="JIC26" s="93"/>
      <c r="JID26" s="30"/>
      <c r="JII26" s="93"/>
      <c r="JIJ26" s="30"/>
      <c r="JIO26" s="93"/>
      <c r="JIP26" s="30"/>
      <c r="JIU26" s="93"/>
      <c r="JIV26" s="30"/>
      <c r="JJA26" s="93"/>
      <c r="JJB26" s="30"/>
      <c r="JJG26" s="93"/>
      <c r="JJH26" s="30"/>
      <c r="JJM26" s="93"/>
      <c r="JJN26" s="30"/>
      <c r="JJS26" s="93"/>
      <c r="JJT26" s="30"/>
      <c r="JJY26" s="93"/>
      <c r="JJZ26" s="30"/>
      <c r="JKE26" s="93"/>
      <c r="JKF26" s="30"/>
      <c r="JKK26" s="93"/>
      <c r="JKL26" s="30"/>
      <c r="JKQ26" s="93"/>
      <c r="JKR26" s="30"/>
      <c r="JKW26" s="93"/>
      <c r="JKX26" s="30"/>
      <c r="JLC26" s="93"/>
      <c r="JLD26" s="30"/>
      <c r="JLI26" s="93"/>
      <c r="JLJ26" s="30"/>
      <c r="JLO26" s="93"/>
      <c r="JLP26" s="30"/>
      <c r="JLU26" s="93"/>
      <c r="JLV26" s="30"/>
      <c r="JMA26" s="93"/>
      <c r="JMB26" s="30"/>
      <c r="JMG26" s="93"/>
      <c r="JMH26" s="30"/>
      <c r="JMM26" s="93"/>
      <c r="JMN26" s="30"/>
      <c r="JMS26" s="93"/>
      <c r="JMT26" s="30"/>
      <c r="JMY26" s="93"/>
      <c r="JMZ26" s="30"/>
      <c r="JNE26" s="93"/>
      <c r="JNF26" s="30"/>
      <c r="JNK26" s="93"/>
      <c r="JNL26" s="30"/>
      <c r="JNQ26" s="93"/>
      <c r="JNR26" s="30"/>
      <c r="JNW26" s="93"/>
      <c r="JNX26" s="30"/>
      <c r="JOC26" s="93"/>
      <c r="JOD26" s="30"/>
      <c r="JOI26" s="93"/>
      <c r="JOJ26" s="30"/>
      <c r="JOO26" s="93"/>
      <c r="JOP26" s="30"/>
      <c r="JOU26" s="93"/>
      <c r="JOV26" s="30"/>
      <c r="JPA26" s="93"/>
      <c r="JPB26" s="30"/>
      <c r="JPG26" s="93"/>
      <c r="JPH26" s="30"/>
      <c r="JPM26" s="93"/>
      <c r="JPN26" s="30"/>
      <c r="JPS26" s="93"/>
      <c r="JPT26" s="30"/>
      <c r="JPY26" s="93"/>
      <c r="JPZ26" s="30"/>
      <c r="JQE26" s="93"/>
      <c r="JQF26" s="30"/>
      <c r="JQK26" s="93"/>
      <c r="JQL26" s="30"/>
      <c r="JQQ26" s="93"/>
      <c r="JQR26" s="30"/>
      <c r="JQW26" s="93"/>
      <c r="JQX26" s="30"/>
      <c r="JRC26" s="93"/>
      <c r="JRD26" s="30"/>
      <c r="JRI26" s="93"/>
      <c r="JRJ26" s="30"/>
      <c r="JRO26" s="93"/>
      <c r="JRP26" s="30"/>
      <c r="JRU26" s="93"/>
      <c r="JRV26" s="30"/>
      <c r="JSA26" s="93"/>
      <c r="JSB26" s="30"/>
      <c r="JSG26" s="93"/>
      <c r="JSH26" s="30"/>
      <c r="JSM26" s="93"/>
      <c r="JSN26" s="30"/>
      <c r="JSS26" s="93"/>
      <c r="JST26" s="30"/>
      <c r="JSY26" s="93"/>
      <c r="JSZ26" s="30"/>
      <c r="JTE26" s="93"/>
      <c r="JTF26" s="30"/>
      <c r="JTK26" s="93"/>
      <c r="JTL26" s="30"/>
      <c r="JTQ26" s="93"/>
      <c r="JTR26" s="30"/>
      <c r="JTW26" s="93"/>
      <c r="JTX26" s="30"/>
      <c r="JUC26" s="93"/>
      <c r="JUD26" s="30"/>
      <c r="JUI26" s="93"/>
      <c r="JUJ26" s="30"/>
      <c r="JUO26" s="93"/>
      <c r="JUP26" s="30"/>
      <c r="JUU26" s="93"/>
      <c r="JUV26" s="30"/>
      <c r="JVA26" s="93"/>
      <c r="JVB26" s="30"/>
      <c r="JVG26" s="93"/>
      <c r="JVH26" s="30"/>
      <c r="JVM26" s="93"/>
      <c r="JVN26" s="30"/>
      <c r="JVS26" s="93"/>
      <c r="JVT26" s="30"/>
      <c r="JVY26" s="93"/>
      <c r="JVZ26" s="30"/>
      <c r="JWE26" s="93"/>
      <c r="JWF26" s="30"/>
      <c r="JWK26" s="93"/>
      <c r="JWL26" s="30"/>
      <c r="JWQ26" s="93"/>
      <c r="JWR26" s="30"/>
      <c r="JWW26" s="93"/>
      <c r="JWX26" s="30"/>
      <c r="JXC26" s="93"/>
      <c r="JXD26" s="30"/>
      <c r="JXI26" s="93"/>
      <c r="JXJ26" s="30"/>
      <c r="JXO26" s="93"/>
      <c r="JXP26" s="30"/>
      <c r="JXU26" s="93"/>
      <c r="JXV26" s="30"/>
      <c r="JYA26" s="93"/>
      <c r="JYB26" s="30"/>
      <c r="JYG26" s="93"/>
      <c r="JYH26" s="30"/>
      <c r="JYM26" s="93"/>
      <c r="JYN26" s="30"/>
      <c r="JYS26" s="93"/>
      <c r="JYT26" s="30"/>
      <c r="JYY26" s="93"/>
      <c r="JYZ26" s="30"/>
      <c r="JZE26" s="93"/>
      <c r="JZF26" s="30"/>
      <c r="JZK26" s="93"/>
      <c r="JZL26" s="30"/>
      <c r="JZQ26" s="93"/>
      <c r="JZR26" s="30"/>
      <c r="JZW26" s="93"/>
      <c r="JZX26" s="30"/>
      <c r="KAC26" s="93"/>
      <c r="KAD26" s="30"/>
      <c r="KAI26" s="93"/>
      <c r="KAJ26" s="30"/>
      <c r="KAO26" s="93"/>
      <c r="KAP26" s="30"/>
      <c r="KAU26" s="93"/>
      <c r="KAV26" s="30"/>
      <c r="KBA26" s="93"/>
      <c r="KBB26" s="30"/>
      <c r="KBG26" s="93"/>
      <c r="KBH26" s="30"/>
      <c r="KBM26" s="93"/>
      <c r="KBN26" s="30"/>
      <c r="KBS26" s="93"/>
      <c r="KBT26" s="30"/>
      <c r="KBY26" s="93"/>
      <c r="KBZ26" s="30"/>
      <c r="KCE26" s="93"/>
      <c r="KCF26" s="30"/>
      <c r="KCK26" s="93"/>
      <c r="KCL26" s="30"/>
      <c r="KCQ26" s="93"/>
      <c r="KCR26" s="30"/>
      <c r="KCW26" s="93"/>
      <c r="KCX26" s="30"/>
      <c r="KDC26" s="93"/>
      <c r="KDD26" s="30"/>
      <c r="KDI26" s="93"/>
      <c r="KDJ26" s="30"/>
      <c r="KDO26" s="93"/>
      <c r="KDP26" s="30"/>
      <c r="KDU26" s="93"/>
      <c r="KDV26" s="30"/>
      <c r="KEA26" s="93"/>
      <c r="KEB26" s="30"/>
      <c r="KEG26" s="93"/>
      <c r="KEH26" s="30"/>
      <c r="KEM26" s="93"/>
      <c r="KEN26" s="30"/>
      <c r="KES26" s="93"/>
      <c r="KET26" s="30"/>
      <c r="KEY26" s="93"/>
      <c r="KEZ26" s="30"/>
      <c r="KFE26" s="93"/>
      <c r="KFF26" s="30"/>
      <c r="KFK26" s="93"/>
      <c r="KFL26" s="30"/>
      <c r="KFQ26" s="93"/>
      <c r="KFR26" s="30"/>
      <c r="KFW26" s="93"/>
      <c r="KFX26" s="30"/>
      <c r="KGC26" s="93"/>
      <c r="KGD26" s="30"/>
      <c r="KGI26" s="93"/>
      <c r="KGJ26" s="30"/>
      <c r="KGO26" s="93"/>
      <c r="KGP26" s="30"/>
      <c r="KGU26" s="93"/>
      <c r="KGV26" s="30"/>
      <c r="KHA26" s="93"/>
      <c r="KHB26" s="30"/>
      <c r="KHG26" s="93"/>
      <c r="KHH26" s="30"/>
      <c r="KHM26" s="93"/>
      <c r="KHN26" s="30"/>
      <c r="KHS26" s="93"/>
      <c r="KHT26" s="30"/>
      <c r="KHY26" s="93"/>
      <c r="KHZ26" s="30"/>
      <c r="KIE26" s="93"/>
      <c r="KIF26" s="30"/>
      <c r="KIK26" s="93"/>
      <c r="KIL26" s="30"/>
      <c r="KIQ26" s="93"/>
      <c r="KIR26" s="30"/>
      <c r="KIW26" s="93"/>
      <c r="KIX26" s="30"/>
      <c r="KJC26" s="93"/>
      <c r="KJD26" s="30"/>
      <c r="KJI26" s="93"/>
      <c r="KJJ26" s="30"/>
      <c r="KJO26" s="93"/>
      <c r="KJP26" s="30"/>
      <c r="KJU26" s="93"/>
      <c r="KJV26" s="30"/>
      <c r="KKA26" s="93"/>
      <c r="KKB26" s="30"/>
      <c r="KKG26" s="93"/>
      <c r="KKH26" s="30"/>
      <c r="KKM26" s="93"/>
      <c r="KKN26" s="30"/>
      <c r="KKS26" s="93"/>
      <c r="KKT26" s="30"/>
      <c r="KKY26" s="93"/>
      <c r="KKZ26" s="30"/>
      <c r="KLE26" s="93"/>
      <c r="KLF26" s="30"/>
      <c r="KLK26" s="93"/>
      <c r="KLL26" s="30"/>
      <c r="KLQ26" s="93"/>
      <c r="KLR26" s="30"/>
      <c r="KLW26" s="93"/>
      <c r="KLX26" s="30"/>
      <c r="KMC26" s="93"/>
      <c r="KMD26" s="30"/>
      <c r="KMI26" s="93"/>
      <c r="KMJ26" s="30"/>
      <c r="KMO26" s="93"/>
      <c r="KMP26" s="30"/>
      <c r="KMU26" s="93"/>
      <c r="KMV26" s="30"/>
      <c r="KNA26" s="93"/>
      <c r="KNB26" s="30"/>
      <c r="KNG26" s="93"/>
      <c r="KNH26" s="30"/>
      <c r="KNM26" s="93"/>
      <c r="KNN26" s="30"/>
      <c r="KNS26" s="93"/>
      <c r="KNT26" s="30"/>
      <c r="KNY26" s="93"/>
      <c r="KNZ26" s="30"/>
      <c r="KOE26" s="93"/>
      <c r="KOF26" s="30"/>
      <c r="KOK26" s="93"/>
      <c r="KOL26" s="30"/>
      <c r="KOQ26" s="93"/>
      <c r="KOR26" s="30"/>
      <c r="KOW26" s="93"/>
      <c r="KOX26" s="30"/>
      <c r="KPC26" s="93"/>
      <c r="KPD26" s="30"/>
      <c r="KPI26" s="93"/>
      <c r="KPJ26" s="30"/>
      <c r="KPO26" s="93"/>
      <c r="KPP26" s="30"/>
      <c r="KPU26" s="93"/>
      <c r="KPV26" s="30"/>
      <c r="KQA26" s="93"/>
      <c r="KQB26" s="30"/>
      <c r="KQG26" s="93"/>
      <c r="KQH26" s="30"/>
      <c r="KQM26" s="93"/>
      <c r="KQN26" s="30"/>
      <c r="KQS26" s="93"/>
      <c r="KQT26" s="30"/>
      <c r="KQY26" s="93"/>
      <c r="KQZ26" s="30"/>
      <c r="KRE26" s="93"/>
      <c r="KRF26" s="30"/>
      <c r="KRK26" s="93"/>
      <c r="KRL26" s="30"/>
      <c r="KRQ26" s="93"/>
      <c r="KRR26" s="30"/>
      <c r="KRW26" s="93"/>
      <c r="KRX26" s="30"/>
      <c r="KSC26" s="93"/>
      <c r="KSD26" s="30"/>
      <c r="KSI26" s="93"/>
      <c r="KSJ26" s="30"/>
      <c r="KSO26" s="93"/>
      <c r="KSP26" s="30"/>
      <c r="KSU26" s="93"/>
      <c r="KSV26" s="30"/>
      <c r="KTA26" s="93"/>
      <c r="KTB26" s="30"/>
      <c r="KTG26" s="93"/>
      <c r="KTH26" s="30"/>
      <c r="KTM26" s="93"/>
      <c r="KTN26" s="30"/>
      <c r="KTS26" s="93"/>
      <c r="KTT26" s="30"/>
      <c r="KTY26" s="93"/>
      <c r="KTZ26" s="30"/>
      <c r="KUE26" s="93"/>
      <c r="KUF26" s="30"/>
      <c r="KUK26" s="93"/>
      <c r="KUL26" s="30"/>
      <c r="KUQ26" s="93"/>
      <c r="KUR26" s="30"/>
      <c r="KUW26" s="93"/>
      <c r="KUX26" s="30"/>
      <c r="KVC26" s="93"/>
      <c r="KVD26" s="30"/>
      <c r="KVI26" s="93"/>
      <c r="KVJ26" s="30"/>
      <c r="KVO26" s="93"/>
      <c r="KVP26" s="30"/>
      <c r="KVU26" s="93"/>
      <c r="KVV26" s="30"/>
      <c r="KWA26" s="93"/>
      <c r="KWB26" s="30"/>
      <c r="KWG26" s="93"/>
      <c r="KWH26" s="30"/>
      <c r="KWM26" s="93"/>
      <c r="KWN26" s="30"/>
      <c r="KWS26" s="93"/>
      <c r="KWT26" s="30"/>
      <c r="KWY26" s="93"/>
      <c r="KWZ26" s="30"/>
      <c r="KXE26" s="93"/>
      <c r="KXF26" s="30"/>
      <c r="KXK26" s="93"/>
      <c r="KXL26" s="30"/>
      <c r="KXQ26" s="93"/>
      <c r="KXR26" s="30"/>
      <c r="KXW26" s="93"/>
      <c r="KXX26" s="30"/>
      <c r="KYC26" s="93"/>
      <c r="KYD26" s="30"/>
      <c r="KYI26" s="93"/>
      <c r="KYJ26" s="30"/>
      <c r="KYO26" s="93"/>
      <c r="KYP26" s="30"/>
      <c r="KYU26" s="93"/>
      <c r="KYV26" s="30"/>
      <c r="KZA26" s="93"/>
      <c r="KZB26" s="30"/>
      <c r="KZG26" s="93"/>
      <c r="KZH26" s="30"/>
      <c r="KZM26" s="93"/>
      <c r="KZN26" s="30"/>
      <c r="KZS26" s="93"/>
      <c r="KZT26" s="30"/>
      <c r="KZY26" s="93"/>
      <c r="KZZ26" s="30"/>
      <c r="LAE26" s="93"/>
      <c r="LAF26" s="30"/>
      <c r="LAK26" s="93"/>
      <c r="LAL26" s="30"/>
      <c r="LAQ26" s="93"/>
      <c r="LAR26" s="30"/>
      <c r="LAW26" s="93"/>
      <c r="LAX26" s="30"/>
      <c r="LBC26" s="93"/>
      <c r="LBD26" s="30"/>
      <c r="LBI26" s="93"/>
      <c r="LBJ26" s="30"/>
      <c r="LBO26" s="93"/>
      <c r="LBP26" s="30"/>
      <c r="LBU26" s="93"/>
      <c r="LBV26" s="30"/>
      <c r="LCA26" s="93"/>
      <c r="LCB26" s="30"/>
      <c r="LCG26" s="93"/>
      <c r="LCH26" s="30"/>
      <c r="LCM26" s="93"/>
      <c r="LCN26" s="30"/>
      <c r="LCS26" s="93"/>
      <c r="LCT26" s="30"/>
      <c r="LCY26" s="93"/>
      <c r="LCZ26" s="30"/>
      <c r="LDE26" s="93"/>
      <c r="LDF26" s="30"/>
      <c r="LDK26" s="93"/>
      <c r="LDL26" s="30"/>
      <c r="LDQ26" s="93"/>
      <c r="LDR26" s="30"/>
      <c r="LDW26" s="93"/>
      <c r="LDX26" s="30"/>
      <c r="LEC26" s="93"/>
      <c r="LED26" s="30"/>
      <c r="LEI26" s="93"/>
      <c r="LEJ26" s="30"/>
      <c r="LEO26" s="93"/>
      <c r="LEP26" s="30"/>
      <c r="LEU26" s="93"/>
      <c r="LEV26" s="30"/>
      <c r="LFA26" s="93"/>
      <c r="LFB26" s="30"/>
      <c r="LFG26" s="93"/>
      <c r="LFH26" s="30"/>
      <c r="LFM26" s="93"/>
      <c r="LFN26" s="30"/>
      <c r="LFS26" s="93"/>
      <c r="LFT26" s="30"/>
      <c r="LFY26" s="93"/>
      <c r="LFZ26" s="30"/>
      <c r="LGE26" s="93"/>
      <c r="LGF26" s="30"/>
      <c r="LGK26" s="93"/>
      <c r="LGL26" s="30"/>
      <c r="LGQ26" s="93"/>
      <c r="LGR26" s="30"/>
      <c r="LGW26" s="93"/>
      <c r="LGX26" s="30"/>
      <c r="LHC26" s="93"/>
      <c r="LHD26" s="30"/>
      <c r="LHI26" s="93"/>
      <c r="LHJ26" s="30"/>
      <c r="LHO26" s="93"/>
      <c r="LHP26" s="30"/>
      <c r="LHU26" s="93"/>
      <c r="LHV26" s="30"/>
      <c r="LIA26" s="93"/>
      <c r="LIB26" s="30"/>
      <c r="LIG26" s="93"/>
      <c r="LIH26" s="30"/>
      <c r="LIM26" s="93"/>
      <c r="LIN26" s="30"/>
      <c r="LIS26" s="93"/>
      <c r="LIT26" s="30"/>
      <c r="LIY26" s="93"/>
      <c r="LIZ26" s="30"/>
      <c r="LJE26" s="93"/>
      <c r="LJF26" s="30"/>
      <c r="LJK26" s="93"/>
      <c r="LJL26" s="30"/>
      <c r="LJQ26" s="93"/>
      <c r="LJR26" s="30"/>
      <c r="LJW26" s="93"/>
      <c r="LJX26" s="30"/>
      <c r="LKC26" s="93"/>
      <c r="LKD26" s="30"/>
      <c r="LKI26" s="93"/>
      <c r="LKJ26" s="30"/>
      <c r="LKO26" s="93"/>
      <c r="LKP26" s="30"/>
      <c r="LKU26" s="93"/>
      <c r="LKV26" s="30"/>
      <c r="LLA26" s="93"/>
      <c r="LLB26" s="30"/>
      <c r="LLG26" s="93"/>
      <c r="LLH26" s="30"/>
      <c r="LLM26" s="93"/>
      <c r="LLN26" s="30"/>
      <c r="LLS26" s="93"/>
      <c r="LLT26" s="30"/>
      <c r="LLY26" s="93"/>
      <c r="LLZ26" s="30"/>
      <c r="LME26" s="93"/>
      <c r="LMF26" s="30"/>
      <c r="LMK26" s="93"/>
      <c r="LML26" s="30"/>
      <c r="LMQ26" s="93"/>
      <c r="LMR26" s="30"/>
      <c r="LMW26" s="93"/>
      <c r="LMX26" s="30"/>
      <c r="LNC26" s="93"/>
      <c r="LND26" s="30"/>
      <c r="LNI26" s="93"/>
      <c r="LNJ26" s="30"/>
      <c r="LNO26" s="93"/>
      <c r="LNP26" s="30"/>
      <c r="LNU26" s="93"/>
      <c r="LNV26" s="30"/>
      <c r="LOA26" s="93"/>
      <c r="LOB26" s="30"/>
      <c r="LOG26" s="93"/>
      <c r="LOH26" s="30"/>
      <c r="LOM26" s="93"/>
      <c r="LON26" s="30"/>
      <c r="LOS26" s="93"/>
      <c r="LOT26" s="30"/>
      <c r="LOY26" s="93"/>
      <c r="LOZ26" s="30"/>
      <c r="LPE26" s="93"/>
      <c r="LPF26" s="30"/>
      <c r="LPK26" s="93"/>
      <c r="LPL26" s="30"/>
      <c r="LPQ26" s="93"/>
      <c r="LPR26" s="30"/>
      <c r="LPW26" s="93"/>
      <c r="LPX26" s="30"/>
      <c r="LQC26" s="93"/>
      <c r="LQD26" s="30"/>
      <c r="LQI26" s="93"/>
      <c r="LQJ26" s="30"/>
      <c r="LQO26" s="93"/>
      <c r="LQP26" s="30"/>
      <c r="LQU26" s="93"/>
      <c r="LQV26" s="30"/>
      <c r="LRA26" s="93"/>
      <c r="LRB26" s="30"/>
      <c r="LRG26" s="93"/>
      <c r="LRH26" s="30"/>
      <c r="LRM26" s="93"/>
      <c r="LRN26" s="30"/>
      <c r="LRS26" s="93"/>
      <c r="LRT26" s="30"/>
      <c r="LRY26" s="93"/>
      <c r="LRZ26" s="30"/>
      <c r="LSE26" s="93"/>
      <c r="LSF26" s="30"/>
      <c r="LSK26" s="93"/>
      <c r="LSL26" s="30"/>
      <c r="LSQ26" s="93"/>
      <c r="LSR26" s="30"/>
      <c r="LSW26" s="93"/>
      <c r="LSX26" s="30"/>
      <c r="LTC26" s="93"/>
      <c r="LTD26" s="30"/>
      <c r="LTI26" s="93"/>
      <c r="LTJ26" s="30"/>
      <c r="LTO26" s="93"/>
      <c r="LTP26" s="30"/>
      <c r="LTU26" s="93"/>
      <c r="LTV26" s="30"/>
      <c r="LUA26" s="93"/>
      <c r="LUB26" s="30"/>
      <c r="LUG26" s="93"/>
      <c r="LUH26" s="30"/>
      <c r="LUM26" s="93"/>
      <c r="LUN26" s="30"/>
      <c r="LUS26" s="93"/>
      <c r="LUT26" s="30"/>
      <c r="LUY26" s="93"/>
      <c r="LUZ26" s="30"/>
      <c r="LVE26" s="93"/>
      <c r="LVF26" s="30"/>
      <c r="LVK26" s="93"/>
      <c r="LVL26" s="30"/>
      <c r="LVQ26" s="93"/>
      <c r="LVR26" s="30"/>
      <c r="LVW26" s="93"/>
      <c r="LVX26" s="30"/>
      <c r="LWC26" s="93"/>
      <c r="LWD26" s="30"/>
      <c r="LWI26" s="93"/>
      <c r="LWJ26" s="30"/>
      <c r="LWO26" s="93"/>
      <c r="LWP26" s="30"/>
      <c r="LWU26" s="93"/>
      <c r="LWV26" s="30"/>
      <c r="LXA26" s="93"/>
      <c r="LXB26" s="30"/>
      <c r="LXG26" s="93"/>
      <c r="LXH26" s="30"/>
      <c r="LXM26" s="93"/>
      <c r="LXN26" s="30"/>
      <c r="LXS26" s="93"/>
      <c r="LXT26" s="30"/>
      <c r="LXY26" s="93"/>
      <c r="LXZ26" s="30"/>
      <c r="LYE26" s="93"/>
      <c r="LYF26" s="30"/>
      <c r="LYK26" s="93"/>
      <c r="LYL26" s="30"/>
      <c r="LYQ26" s="93"/>
      <c r="LYR26" s="30"/>
      <c r="LYW26" s="93"/>
      <c r="LYX26" s="30"/>
      <c r="LZC26" s="93"/>
      <c r="LZD26" s="30"/>
      <c r="LZI26" s="93"/>
      <c r="LZJ26" s="30"/>
      <c r="LZO26" s="93"/>
      <c r="LZP26" s="30"/>
      <c r="LZU26" s="93"/>
      <c r="LZV26" s="30"/>
      <c r="MAA26" s="93"/>
      <c r="MAB26" s="30"/>
      <c r="MAG26" s="93"/>
      <c r="MAH26" s="30"/>
      <c r="MAM26" s="93"/>
      <c r="MAN26" s="30"/>
      <c r="MAS26" s="93"/>
      <c r="MAT26" s="30"/>
      <c r="MAY26" s="93"/>
      <c r="MAZ26" s="30"/>
      <c r="MBE26" s="93"/>
      <c r="MBF26" s="30"/>
      <c r="MBK26" s="93"/>
      <c r="MBL26" s="30"/>
      <c r="MBQ26" s="93"/>
      <c r="MBR26" s="30"/>
      <c r="MBW26" s="93"/>
      <c r="MBX26" s="30"/>
      <c r="MCC26" s="93"/>
      <c r="MCD26" s="30"/>
      <c r="MCI26" s="93"/>
      <c r="MCJ26" s="30"/>
      <c r="MCO26" s="93"/>
      <c r="MCP26" s="30"/>
      <c r="MCU26" s="93"/>
      <c r="MCV26" s="30"/>
      <c r="MDA26" s="93"/>
      <c r="MDB26" s="30"/>
      <c r="MDG26" s="93"/>
      <c r="MDH26" s="30"/>
      <c r="MDM26" s="93"/>
      <c r="MDN26" s="30"/>
      <c r="MDS26" s="93"/>
      <c r="MDT26" s="30"/>
      <c r="MDY26" s="93"/>
      <c r="MDZ26" s="30"/>
      <c r="MEE26" s="93"/>
      <c r="MEF26" s="30"/>
      <c r="MEK26" s="93"/>
      <c r="MEL26" s="30"/>
      <c r="MEQ26" s="93"/>
      <c r="MER26" s="30"/>
      <c r="MEW26" s="93"/>
      <c r="MEX26" s="30"/>
      <c r="MFC26" s="93"/>
      <c r="MFD26" s="30"/>
      <c r="MFI26" s="93"/>
      <c r="MFJ26" s="30"/>
      <c r="MFO26" s="93"/>
      <c r="MFP26" s="30"/>
      <c r="MFU26" s="93"/>
      <c r="MFV26" s="30"/>
      <c r="MGA26" s="93"/>
      <c r="MGB26" s="30"/>
      <c r="MGG26" s="93"/>
      <c r="MGH26" s="30"/>
      <c r="MGM26" s="93"/>
      <c r="MGN26" s="30"/>
      <c r="MGS26" s="93"/>
      <c r="MGT26" s="30"/>
      <c r="MGY26" s="93"/>
      <c r="MGZ26" s="30"/>
      <c r="MHE26" s="93"/>
      <c r="MHF26" s="30"/>
      <c r="MHK26" s="93"/>
      <c r="MHL26" s="30"/>
      <c r="MHQ26" s="93"/>
      <c r="MHR26" s="30"/>
      <c r="MHW26" s="93"/>
      <c r="MHX26" s="30"/>
      <c r="MIC26" s="93"/>
      <c r="MID26" s="30"/>
      <c r="MII26" s="93"/>
      <c r="MIJ26" s="30"/>
      <c r="MIO26" s="93"/>
      <c r="MIP26" s="30"/>
      <c r="MIU26" s="93"/>
      <c r="MIV26" s="30"/>
      <c r="MJA26" s="93"/>
      <c r="MJB26" s="30"/>
      <c r="MJG26" s="93"/>
      <c r="MJH26" s="30"/>
      <c r="MJM26" s="93"/>
      <c r="MJN26" s="30"/>
      <c r="MJS26" s="93"/>
      <c r="MJT26" s="30"/>
      <c r="MJY26" s="93"/>
      <c r="MJZ26" s="30"/>
      <c r="MKE26" s="93"/>
      <c r="MKF26" s="30"/>
      <c r="MKK26" s="93"/>
      <c r="MKL26" s="30"/>
      <c r="MKQ26" s="93"/>
      <c r="MKR26" s="30"/>
      <c r="MKW26" s="93"/>
      <c r="MKX26" s="30"/>
      <c r="MLC26" s="93"/>
      <c r="MLD26" s="30"/>
      <c r="MLI26" s="93"/>
      <c r="MLJ26" s="30"/>
      <c r="MLO26" s="93"/>
      <c r="MLP26" s="30"/>
      <c r="MLU26" s="93"/>
      <c r="MLV26" s="30"/>
      <c r="MMA26" s="93"/>
      <c r="MMB26" s="30"/>
      <c r="MMG26" s="93"/>
      <c r="MMH26" s="30"/>
      <c r="MMM26" s="93"/>
      <c r="MMN26" s="30"/>
      <c r="MMS26" s="93"/>
      <c r="MMT26" s="30"/>
      <c r="MMY26" s="93"/>
      <c r="MMZ26" s="30"/>
      <c r="MNE26" s="93"/>
      <c r="MNF26" s="30"/>
      <c r="MNK26" s="93"/>
      <c r="MNL26" s="30"/>
      <c r="MNQ26" s="93"/>
      <c r="MNR26" s="30"/>
      <c r="MNW26" s="93"/>
      <c r="MNX26" s="30"/>
      <c r="MOC26" s="93"/>
      <c r="MOD26" s="30"/>
      <c r="MOI26" s="93"/>
      <c r="MOJ26" s="30"/>
      <c r="MOO26" s="93"/>
      <c r="MOP26" s="30"/>
      <c r="MOU26" s="93"/>
      <c r="MOV26" s="30"/>
      <c r="MPA26" s="93"/>
      <c r="MPB26" s="30"/>
      <c r="MPG26" s="93"/>
      <c r="MPH26" s="30"/>
      <c r="MPM26" s="93"/>
      <c r="MPN26" s="30"/>
      <c r="MPS26" s="93"/>
      <c r="MPT26" s="30"/>
      <c r="MPY26" s="93"/>
      <c r="MPZ26" s="30"/>
      <c r="MQE26" s="93"/>
      <c r="MQF26" s="30"/>
      <c r="MQK26" s="93"/>
      <c r="MQL26" s="30"/>
      <c r="MQQ26" s="93"/>
      <c r="MQR26" s="30"/>
      <c r="MQW26" s="93"/>
      <c r="MQX26" s="30"/>
      <c r="MRC26" s="93"/>
      <c r="MRD26" s="30"/>
      <c r="MRI26" s="93"/>
      <c r="MRJ26" s="30"/>
      <c r="MRO26" s="93"/>
      <c r="MRP26" s="30"/>
      <c r="MRU26" s="93"/>
      <c r="MRV26" s="30"/>
      <c r="MSA26" s="93"/>
      <c r="MSB26" s="30"/>
      <c r="MSG26" s="93"/>
      <c r="MSH26" s="30"/>
      <c r="MSM26" s="93"/>
      <c r="MSN26" s="30"/>
      <c r="MSS26" s="93"/>
      <c r="MST26" s="30"/>
      <c r="MSY26" s="93"/>
      <c r="MSZ26" s="30"/>
      <c r="MTE26" s="93"/>
      <c r="MTF26" s="30"/>
      <c r="MTK26" s="93"/>
      <c r="MTL26" s="30"/>
      <c r="MTQ26" s="93"/>
      <c r="MTR26" s="30"/>
      <c r="MTW26" s="93"/>
      <c r="MTX26" s="30"/>
      <c r="MUC26" s="93"/>
      <c r="MUD26" s="30"/>
      <c r="MUI26" s="93"/>
      <c r="MUJ26" s="30"/>
      <c r="MUO26" s="93"/>
      <c r="MUP26" s="30"/>
      <c r="MUU26" s="93"/>
      <c r="MUV26" s="30"/>
      <c r="MVA26" s="93"/>
      <c r="MVB26" s="30"/>
      <c r="MVG26" s="93"/>
      <c r="MVH26" s="30"/>
      <c r="MVM26" s="93"/>
      <c r="MVN26" s="30"/>
      <c r="MVS26" s="93"/>
      <c r="MVT26" s="30"/>
      <c r="MVY26" s="93"/>
      <c r="MVZ26" s="30"/>
      <c r="MWE26" s="93"/>
      <c r="MWF26" s="30"/>
      <c r="MWK26" s="93"/>
      <c r="MWL26" s="30"/>
      <c r="MWQ26" s="93"/>
      <c r="MWR26" s="30"/>
      <c r="MWW26" s="93"/>
      <c r="MWX26" s="30"/>
      <c r="MXC26" s="93"/>
      <c r="MXD26" s="30"/>
      <c r="MXI26" s="93"/>
      <c r="MXJ26" s="30"/>
      <c r="MXO26" s="93"/>
      <c r="MXP26" s="30"/>
      <c r="MXU26" s="93"/>
      <c r="MXV26" s="30"/>
      <c r="MYA26" s="93"/>
      <c r="MYB26" s="30"/>
      <c r="MYG26" s="93"/>
      <c r="MYH26" s="30"/>
      <c r="MYM26" s="93"/>
      <c r="MYN26" s="30"/>
      <c r="MYS26" s="93"/>
      <c r="MYT26" s="30"/>
      <c r="MYY26" s="93"/>
      <c r="MYZ26" s="30"/>
      <c r="MZE26" s="93"/>
      <c r="MZF26" s="30"/>
      <c r="MZK26" s="93"/>
      <c r="MZL26" s="30"/>
      <c r="MZQ26" s="93"/>
      <c r="MZR26" s="30"/>
      <c r="MZW26" s="93"/>
      <c r="MZX26" s="30"/>
      <c r="NAC26" s="93"/>
      <c r="NAD26" s="30"/>
      <c r="NAI26" s="93"/>
      <c r="NAJ26" s="30"/>
      <c r="NAO26" s="93"/>
      <c r="NAP26" s="30"/>
      <c r="NAU26" s="93"/>
      <c r="NAV26" s="30"/>
      <c r="NBA26" s="93"/>
      <c r="NBB26" s="30"/>
      <c r="NBG26" s="93"/>
      <c r="NBH26" s="30"/>
      <c r="NBM26" s="93"/>
      <c r="NBN26" s="30"/>
      <c r="NBS26" s="93"/>
      <c r="NBT26" s="30"/>
      <c r="NBY26" s="93"/>
      <c r="NBZ26" s="30"/>
      <c r="NCE26" s="93"/>
      <c r="NCF26" s="30"/>
      <c r="NCK26" s="93"/>
      <c r="NCL26" s="30"/>
      <c r="NCQ26" s="93"/>
      <c r="NCR26" s="30"/>
      <c r="NCW26" s="93"/>
      <c r="NCX26" s="30"/>
      <c r="NDC26" s="93"/>
      <c r="NDD26" s="30"/>
      <c r="NDI26" s="93"/>
      <c r="NDJ26" s="30"/>
      <c r="NDO26" s="93"/>
      <c r="NDP26" s="30"/>
      <c r="NDU26" s="93"/>
      <c r="NDV26" s="30"/>
      <c r="NEA26" s="93"/>
      <c r="NEB26" s="30"/>
      <c r="NEG26" s="93"/>
      <c r="NEH26" s="30"/>
      <c r="NEM26" s="93"/>
      <c r="NEN26" s="30"/>
      <c r="NES26" s="93"/>
      <c r="NET26" s="30"/>
      <c r="NEY26" s="93"/>
      <c r="NEZ26" s="30"/>
      <c r="NFE26" s="93"/>
      <c r="NFF26" s="30"/>
      <c r="NFK26" s="93"/>
      <c r="NFL26" s="30"/>
      <c r="NFQ26" s="93"/>
      <c r="NFR26" s="30"/>
      <c r="NFW26" s="93"/>
      <c r="NFX26" s="30"/>
      <c r="NGC26" s="93"/>
      <c r="NGD26" s="30"/>
      <c r="NGI26" s="93"/>
      <c r="NGJ26" s="30"/>
      <c r="NGO26" s="93"/>
      <c r="NGP26" s="30"/>
      <c r="NGU26" s="93"/>
      <c r="NGV26" s="30"/>
      <c r="NHA26" s="93"/>
      <c r="NHB26" s="30"/>
      <c r="NHG26" s="93"/>
      <c r="NHH26" s="30"/>
      <c r="NHM26" s="93"/>
      <c r="NHN26" s="30"/>
      <c r="NHS26" s="93"/>
      <c r="NHT26" s="30"/>
      <c r="NHY26" s="93"/>
      <c r="NHZ26" s="30"/>
      <c r="NIE26" s="93"/>
      <c r="NIF26" s="30"/>
      <c r="NIK26" s="93"/>
      <c r="NIL26" s="30"/>
      <c r="NIQ26" s="93"/>
      <c r="NIR26" s="30"/>
      <c r="NIW26" s="93"/>
      <c r="NIX26" s="30"/>
      <c r="NJC26" s="93"/>
      <c r="NJD26" s="30"/>
      <c r="NJI26" s="93"/>
      <c r="NJJ26" s="30"/>
      <c r="NJO26" s="93"/>
      <c r="NJP26" s="30"/>
      <c r="NJU26" s="93"/>
      <c r="NJV26" s="30"/>
      <c r="NKA26" s="93"/>
      <c r="NKB26" s="30"/>
      <c r="NKG26" s="93"/>
      <c r="NKH26" s="30"/>
      <c r="NKM26" s="93"/>
      <c r="NKN26" s="30"/>
      <c r="NKS26" s="93"/>
      <c r="NKT26" s="30"/>
      <c r="NKY26" s="93"/>
      <c r="NKZ26" s="30"/>
      <c r="NLE26" s="93"/>
      <c r="NLF26" s="30"/>
      <c r="NLK26" s="93"/>
      <c r="NLL26" s="30"/>
      <c r="NLQ26" s="93"/>
      <c r="NLR26" s="30"/>
      <c r="NLW26" s="93"/>
      <c r="NLX26" s="30"/>
      <c r="NMC26" s="93"/>
      <c r="NMD26" s="30"/>
      <c r="NMI26" s="93"/>
      <c r="NMJ26" s="30"/>
      <c r="NMO26" s="93"/>
      <c r="NMP26" s="30"/>
      <c r="NMU26" s="93"/>
      <c r="NMV26" s="30"/>
      <c r="NNA26" s="93"/>
      <c r="NNB26" s="30"/>
      <c r="NNG26" s="93"/>
      <c r="NNH26" s="30"/>
      <c r="NNM26" s="93"/>
      <c r="NNN26" s="30"/>
      <c r="NNS26" s="93"/>
      <c r="NNT26" s="30"/>
      <c r="NNY26" s="93"/>
      <c r="NNZ26" s="30"/>
      <c r="NOE26" s="93"/>
      <c r="NOF26" s="30"/>
      <c r="NOK26" s="93"/>
      <c r="NOL26" s="30"/>
      <c r="NOQ26" s="93"/>
      <c r="NOR26" s="30"/>
      <c r="NOW26" s="93"/>
      <c r="NOX26" s="30"/>
      <c r="NPC26" s="93"/>
      <c r="NPD26" s="30"/>
      <c r="NPI26" s="93"/>
      <c r="NPJ26" s="30"/>
      <c r="NPO26" s="93"/>
      <c r="NPP26" s="30"/>
      <c r="NPU26" s="93"/>
      <c r="NPV26" s="30"/>
      <c r="NQA26" s="93"/>
      <c r="NQB26" s="30"/>
      <c r="NQG26" s="93"/>
      <c r="NQH26" s="30"/>
      <c r="NQM26" s="93"/>
      <c r="NQN26" s="30"/>
      <c r="NQS26" s="93"/>
      <c r="NQT26" s="30"/>
      <c r="NQY26" s="93"/>
      <c r="NQZ26" s="30"/>
      <c r="NRE26" s="93"/>
      <c r="NRF26" s="30"/>
      <c r="NRK26" s="93"/>
      <c r="NRL26" s="30"/>
      <c r="NRQ26" s="93"/>
      <c r="NRR26" s="30"/>
      <c r="NRW26" s="93"/>
      <c r="NRX26" s="30"/>
      <c r="NSC26" s="93"/>
      <c r="NSD26" s="30"/>
      <c r="NSI26" s="93"/>
      <c r="NSJ26" s="30"/>
      <c r="NSO26" s="93"/>
      <c r="NSP26" s="30"/>
      <c r="NSU26" s="93"/>
      <c r="NSV26" s="30"/>
      <c r="NTA26" s="93"/>
      <c r="NTB26" s="30"/>
      <c r="NTG26" s="93"/>
      <c r="NTH26" s="30"/>
      <c r="NTM26" s="93"/>
      <c r="NTN26" s="30"/>
      <c r="NTS26" s="93"/>
      <c r="NTT26" s="30"/>
      <c r="NTY26" s="93"/>
      <c r="NTZ26" s="30"/>
      <c r="NUE26" s="93"/>
      <c r="NUF26" s="30"/>
      <c r="NUK26" s="93"/>
      <c r="NUL26" s="30"/>
      <c r="NUQ26" s="93"/>
      <c r="NUR26" s="30"/>
      <c r="NUW26" s="93"/>
      <c r="NUX26" s="30"/>
      <c r="NVC26" s="93"/>
      <c r="NVD26" s="30"/>
      <c r="NVI26" s="93"/>
      <c r="NVJ26" s="30"/>
      <c r="NVO26" s="93"/>
      <c r="NVP26" s="30"/>
      <c r="NVU26" s="93"/>
      <c r="NVV26" s="30"/>
      <c r="NWA26" s="93"/>
      <c r="NWB26" s="30"/>
      <c r="NWG26" s="93"/>
      <c r="NWH26" s="30"/>
      <c r="NWM26" s="93"/>
      <c r="NWN26" s="30"/>
      <c r="NWS26" s="93"/>
      <c r="NWT26" s="30"/>
      <c r="NWY26" s="93"/>
      <c r="NWZ26" s="30"/>
      <c r="NXE26" s="93"/>
      <c r="NXF26" s="30"/>
      <c r="NXK26" s="93"/>
      <c r="NXL26" s="30"/>
      <c r="NXQ26" s="93"/>
      <c r="NXR26" s="30"/>
      <c r="NXW26" s="93"/>
      <c r="NXX26" s="30"/>
      <c r="NYC26" s="93"/>
      <c r="NYD26" s="30"/>
      <c r="NYI26" s="93"/>
      <c r="NYJ26" s="30"/>
      <c r="NYO26" s="93"/>
      <c r="NYP26" s="30"/>
      <c r="NYU26" s="93"/>
      <c r="NYV26" s="30"/>
      <c r="NZA26" s="93"/>
      <c r="NZB26" s="30"/>
      <c r="NZG26" s="93"/>
      <c r="NZH26" s="30"/>
      <c r="NZM26" s="93"/>
      <c r="NZN26" s="30"/>
      <c r="NZS26" s="93"/>
      <c r="NZT26" s="30"/>
      <c r="NZY26" s="93"/>
      <c r="NZZ26" s="30"/>
      <c r="OAE26" s="93"/>
      <c r="OAF26" s="30"/>
      <c r="OAK26" s="93"/>
      <c r="OAL26" s="30"/>
      <c r="OAQ26" s="93"/>
      <c r="OAR26" s="30"/>
      <c r="OAW26" s="93"/>
      <c r="OAX26" s="30"/>
      <c r="OBC26" s="93"/>
      <c r="OBD26" s="30"/>
      <c r="OBI26" s="93"/>
      <c r="OBJ26" s="30"/>
      <c r="OBO26" s="93"/>
      <c r="OBP26" s="30"/>
      <c r="OBU26" s="93"/>
      <c r="OBV26" s="30"/>
      <c r="OCA26" s="93"/>
      <c r="OCB26" s="30"/>
      <c r="OCG26" s="93"/>
      <c r="OCH26" s="30"/>
      <c r="OCM26" s="93"/>
      <c r="OCN26" s="30"/>
      <c r="OCS26" s="93"/>
      <c r="OCT26" s="30"/>
      <c r="OCY26" s="93"/>
      <c r="OCZ26" s="30"/>
      <c r="ODE26" s="93"/>
      <c r="ODF26" s="30"/>
      <c r="ODK26" s="93"/>
      <c r="ODL26" s="30"/>
      <c r="ODQ26" s="93"/>
      <c r="ODR26" s="30"/>
      <c r="ODW26" s="93"/>
      <c r="ODX26" s="30"/>
      <c r="OEC26" s="93"/>
      <c r="OED26" s="30"/>
      <c r="OEI26" s="93"/>
      <c r="OEJ26" s="30"/>
      <c r="OEO26" s="93"/>
      <c r="OEP26" s="30"/>
      <c r="OEU26" s="93"/>
      <c r="OEV26" s="30"/>
      <c r="OFA26" s="93"/>
      <c r="OFB26" s="30"/>
      <c r="OFG26" s="93"/>
      <c r="OFH26" s="30"/>
      <c r="OFM26" s="93"/>
      <c r="OFN26" s="30"/>
      <c r="OFS26" s="93"/>
      <c r="OFT26" s="30"/>
      <c r="OFY26" s="93"/>
      <c r="OFZ26" s="30"/>
      <c r="OGE26" s="93"/>
      <c r="OGF26" s="30"/>
      <c r="OGK26" s="93"/>
      <c r="OGL26" s="30"/>
      <c r="OGQ26" s="93"/>
      <c r="OGR26" s="30"/>
      <c r="OGW26" s="93"/>
      <c r="OGX26" s="30"/>
      <c r="OHC26" s="93"/>
      <c r="OHD26" s="30"/>
      <c r="OHI26" s="93"/>
      <c r="OHJ26" s="30"/>
      <c r="OHO26" s="93"/>
      <c r="OHP26" s="30"/>
      <c r="OHU26" s="93"/>
      <c r="OHV26" s="30"/>
      <c r="OIA26" s="93"/>
      <c r="OIB26" s="30"/>
      <c r="OIG26" s="93"/>
      <c r="OIH26" s="30"/>
      <c r="OIM26" s="93"/>
      <c r="OIN26" s="30"/>
      <c r="OIS26" s="93"/>
      <c r="OIT26" s="30"/>
      <c r="OIY26" s="93"/>
      <c r="OIZ26" s="30"/>
      <c r="OJE26" s="93"/>
      <c r="OJF26" s="30"/>
      <c r="OJK26" s="93"/>
      <c r="OJL26" s="30"/>
      <c r="OJQ26" s="93"/>
      <c r="OJR26" s="30"/>
      <c r="OJW26" s="93"/>
      <c r="OJX26" s="30"/>
      <c r="OKC26" s="93"/>
      <c r="OKD26" s="30"/>
      <c r="OKI26" s="93"/>
      <c r="OKJ26" s="30"/>
      <c r="OKO26" s="93"/>
      <c r="OKP26" s="30"/>
      <c r="OKU26" s="93"/>
      <c r="OKV26" s="30"/>
      <c r="OLA26" s="93"/>
      <c r="OLB26" s="30"/>
      <c r="OLG26" s="93"/>
      <c r="OLH26" s="30"/>
      <c r="OLM26" s="93"/>
      <c r="OLN26" s="30"/>
      <c r="OLS26" s="93"/>
      <c r="OLT26" s="30"/>
      <c r="OLY26" s="93"/>
      <c r="OLZ26" s="30"/>
      <c r="OME26" s="93"/>
      <c r="OMF26" s="30"/>
      <c r="OMK26" s="93"/>
      <c r="OML26" s="30"/>
      <c r="OMQ26" s="93"/>
      <c r="OMR26" s="30"/>
      <c r="OMW26" s="93"/>
      <c r="OMX26" s="30"/>
      <c r="ONC26" s="93"/>
      <c r="OND26" s="30"/>
      <c r="ONI26" s="93"/>
      <c r="ONJ26" s="30"/>
      <c r="ONO26" s="93"/>
      <c r="ONP26" s="30"/>
      <c r="ONU26" s="93"/>
      <c r="ONV26" s="30"/>
      <c r="OOA26" s="93"/>
      <c r="OOB26" s="30"/>
      <c r="OOG26" s="93"/>
      <c r="OOH26" s="30"/>
      <c r="OOM26" s="93"/>
      <c r="OON26" s="30"/>
      <c r="OOS26" s="93"/>
      <c r="OOT26" s="30"/>
      <c r="OOY26" s="93"/>
      <c r="OOZ26" s="30"/>
      <c r="OPE26" s="93"/>
      <c r="OPF26" s="30"/>
      <c r="OPK26" s="93"/>
      <c r="OPL26" s="30"/>
      <c r="OPQ26" s="93"/>
      <c r="OPR26" s="30"/>
      <c r="OPW26" s="93"/>
      <c r="OPX26" s="30"/>
      <c r="OQC26" s="93"/>
      <c r="OQD26" s="30"/>
      <c r="OQI26" s="93"/>
      <c r="OQJ26" s="30"/>
      <c r="OQO26" s="93"/>
      <c r="OQP26" s="30"/>
      <c r="OQU26" s="93"/>
      <c r="OQV26" s="30"/>
      <c r="ORA26" s="93"/>
      <c r="ORB26" s="30"/>
      <c r="ORG26" s="93"/>
      <c r="ORH26" s="30"/>
      <c r="ORM26" s="93"/>
      <c r="ORN26" s="30"/>
      <c r="ORS26" s="93"/>
      <c r="ORT26" s="30"/>
      <c r="ORY26" s="93"/>
      <c r="ORZ26" s="30"/>
      <c r="OSE26" s="93"/>
      <c r="OSF26" s="30"/>
      <c r="OSK26" s="93"/>
      <c r="OSL26" s="30"/>
      <c r="OSQ26" s="93"/>
      <c r="OSR26" s="30"/>
      <c r="OSW26" s="93"/>
      <c r="OSX26" s="30"/>
      <c r="OTC26" s="93"/>
      <c r="OTD26" s="30"/>
      <c r="OTI26" s="93"/>
      <c r="OTJ26" s="30"/>
      <c r="OTO26" s="93"/>
      <c r="OTP26" s="30"/>
      <c r="OTU26" s="93"/>
      <c r="OTV26" s="30"/>
      <c r="OUA26" s="93"/>
      <c r="OUB26" s="30"/>
      <c r="OUG26" s="93"/>
      <c r="OUH26" s="30"/>
      <c r="OUM26" s="93"/>
      <c r="OUN26" s="30"/>
      <c r="OUS26" s="93"/>
      <c r="OUT26" s="30"/>
      <c r="OUY26" s="93"/>
      <c r="OUZ26" s="30"/>
      <c r="OVE26" s="93"/>
      <c r="OVF26" s="30"/>
      <c r="OVK26" s="93"/>
      <c r="OVL26" s="30"/>
      <c r="OVQ26" s="93"/>
      <c r="OVR26" s="30"/>
      <c r="OVW26" s="93"/>
      <c r="OVX26" s="30"/>
      <c r="OWC26" s="93"/>
      <c r="OWD26" s="30"/>
      <c r="OWI26" s="93"/>
      <c r="OWJ26" s="30"/>
      <c r="OWO26" s="93"/>
      <c r="OWP26" s="30"/>
      <c r="OWU26" s="93"/>
      <c r="OWV26" s="30"/>
      <c r="OXA26" s="93"/>
      <c r="OXB26" s="30"/>
      <c r="OXG26" s="93"/>
      <c r="OXH26" s="30"/>
      <c r="OXM26" s="93"/>
      <c r="OXN26" s="30"/>
      <c r="OXS26" s="93"/>
      <c r="OXT26" s="30"/>
      <c r="OXY26" s="93"/>
      <c r="OXZ26" s="30"/>
      <c r="OYE26" s="93"/>
      <c r="OYF26" s="30"/>
      <c r="OYK26" s="93"/>
      <c r="OYL26" s="30"/>
      <c r="OYQ26" s="93"/>
      <c r="OYR26" s="30"/>
      <c r="OYW26" s="93"/>
      <c r="OYX26" s="30"/>
      <c r="OZC26" s="93"/>
      <c r="OZD26" s="30"/>
      <c r="OZI26" s="93"/>
      <c r="OZJ26" s="30"/>
      <c r="OZO26" s="93"/>
      <c r="OZP26" s="30"/>
      <c r="OZU26" s="93"/>
      <c r="OZV26" s="30"/>
      <c r="PAA26" s="93"/>
      <c r="PAB26" s="30"/>
      <c r="PAG26" s="93"/>
      <c r="PAH26" s="30"/>
      <c r="PAM26" s="93"/>
      <c r="PAN26" s="30"/>
      <c r="PAS26" s="93"/>
      <c r="PAT26" s="30"/>
      <c r="PAY26" s="93"/>
      <c r="PAZ26" s="30"/>
      <c r="PBE26" s="93"/>
      <c r="PBF26" s="30"/>
      <c r="PBK26" s="93"/>
      <c r="PBL26" s="30"/>
      <c r="PBQ26" s="93"/>
      <c r="PBR26" s="30"/>
      <c r="PBW26" s="93"/>
      <c r="PBX26" s="30"/>
      <c r="PCC26" s="93"/>
      <c r="PCD26" s="30"/>
      <c r="PCI26" s="93"/>
      <c r="PCJ26" s="30"/>
      <c r="PCO26" s="93"/>
      <c r="PCP26" s="30"/>
      <c r="PCU26" s="93"/>
      <c r="PCV26" s="30"/>
      <c r="PDA26" s="93"/>
      <c r="PDB26" s="30"/>
      <c r="PDG26" s="93"/>
      <c r="PDH26" s="30"/>
      <c r="PDM26" s="93"/>
      <c r="PDN26" s="30"/>
      <c r="PDS26" s="93"/>
      <c r="PDT26" s="30"/>
      <c r="PDY26" s="93"/>
      <c r="PDZ26" s="30"/>
      <c r="PEE26" s="93"/>
      <c r="PEF26" s="30"/>
      <c r="PEK26" s="93"/>
      <c r="PEL26" s="30"/>
      <c r="PEQ26" s="93"/>
      <c r="PER26" s="30"/>
      <c r="PEW26" s="93"/>
      <c r="PEX26" s="30"/>
      <c r="PFC26" s="93"/>
      <c r="PFD26" s="30"/>
      <c r="PFI26" s="93"/>
      <c r="PFJ26" s="30"/>
      <c r="PFO26" s="93"/>
      <c r="PFP26" s="30"/>
      <c r="PFU26" s="93"/>
      <c r="PFV26" s="30"/>
      <c r="PGA26" s="93"/>
      <c r="PGB26" s="30"/>
      <c r="PGG26" s="93"/>
      <c r="PGH26" s="30"/>
      <c r="PGM26" s="93"/>
      <c r="PGN26" s="30"/>
      <c r="PGS26" s="93"/>
      <c r="PGT26" s="30"/>
      <c r="PGY26" s="93"/>
      <c r="PGZ26" s="30"/>
      <c r="PHE26" s="93"/>
      <c r="PHF26" s="30"/>
      <c r="PHK26" s="93"/>
      <c r="PHL26" s="30"/>
      <c r="PHQ26" s="93"/>
      <c r="PHR26" s="30"/>
      <c r="PHW26" s="93"/>
      <c r="PHX26" s="30"/>
      <c r="PIC26" s="93"/>
      <c r="PID26" s="30"/>
      <c r="PII26" s="93"/>
      <c r="PIJ26" s="30"/>
      <c r="PIO26" s="93"/>
      <c r="PIP26" s="30"/>
      <c r="PIU26" s="93"/>
      <c r="PIV26" s="30"/>
      <c r="PJA26" s="93"/>
      <c r="PJB26" s="30"/>
      <c r="PJG26" s="93"/>
      <c r="PJH26" s="30"/>
      <c r="PJM26" s="93"/>
      <c r="PJN26" s="30"/>
      <c r="PJS26" s="93"/>
      <c r="PJT26" s="30"/>
      <c r="PJY26" s="93"/>
      <c r="PJZ26" s="30"/>
      <c r="PKE26" s="93"/>
      <c r="PKF26" s="30"/>
      <c r="PKK26" s="93"/>
      <c r="PKL26" s="30"/>
      <c r="PKQ26" s="93"/>
      <c r="PKR26" s="30"/>
      <c r="PKW26" s="93"/>
      <c r="PKX26" s="30"/>
      <c r="PLC26" s="93"/>
      <c r="PLD26" s="30"/>
      <c r="PLI26" s="93"/>
      <c r="PLJ26" s="30"/>
      <c r="PLO26" s="93"/>
      <c r="PLP26" s="30"/>
      <c r="PLU26" s="93"/>
      <c r="PLV26" s="30"/>
      <c r="PMA26" s="93"/>
      <c r="PMB26" s="30"/>
      <c r="PMG26" s="93"/>
      <c r="PMH26" s="30"/>
      <c r="PMM26" s="93"/>
      <c r="PMN26" s="30"/>
      <c r="PMS26" s="93"/>
      <c r="PMT26" s="30"/>
      <c r="PMY26" s="93"/>
      <c r="PMZ26" s="30"/>
      <c r="PNE26" s="93"/>
      <c r="PNF26" s="30"/>
      <c r="PNK26" s="93"/>
      <c r="PNL26" s="30"/>
      <c r="PNQ26" s="93"/>
      <c r="PNR26" s="30"/>
      <c r="PNW26" s="93"/>
      <c r="PNX26" s="30"/>
      <c r="POC26" s="93"/>
      <c r="POD26" s="30"/>
      <c r="POI26" s="93"/>
      <c r="POJ26" s="30"/>
      <c r="POO26" s="93"/>
      <c r="POP26" s="30"/>
      <c r="POU26" s="93"/>
      <c r="POV26" s="30"/>
      <c r="PPA26" s="93"/>
      <c r="PPB26" s="30"/>
      <c r="PPG26" s="93"/>
      <c r="PPH26" s="30"/>
      <c r="PPM26" s="93"/>
      <c r="PPN26" s="30"/>
      <c r="PPS26" s="93"/>
      <c r="PPT26" s="30"/>
      <c r="PPY26" s="93"/>
      <c r="PPZ26" s="30"/>
      <c r="PQE26" s="93"/>
      <c r="PQF26" s="30"/>
      <c r="PQK26" s="93"/>
      <c r="PQL26" s="30"/>
      <c r="PQQ26" s="93"/>
      <c r="PQR26" s="30"/>
      <c r="PQW26" s="93"/>
      <c r="PQX26" s="30"/>
      <c r="PRC26" s="93"/>
      <c r="PRD26" s="30"/>
      <c r="PRI26" s="93"/>
      <c r="PRJ26" s="30"/>
      <c r="PRO26" s="93"/>
      <c r="PRP26" s="30"/>
      <c r="PRU26" s="93"/>
      <c r="PRV26" s="30"/>
      <c r="PSA26" s="93"/>
      <c r="PSB26" s="30"/>
      <c r="PSG26" s="93"/>
      <c r="PSH26" s="30"/>
      <c r="PSM26" s="93"/>
      <c r="PSN26" s="30"/>
      <c r="PSS26" s="93"/>
      <c r="PST26" s="30"/>
      <c r="PSY26" s="93"/>
      <c r="PSZ26" s="30"/>
      <c r="PTE26" s="93"/>
      <c r="PTF26" s="30"/>
      <c r="PTK26" s="93"/>
      <c r="PTL26" s="30"/>
      <c r="PTQ26" s="93"/>
      <c r="PTR26" s="30"/>
      <c r="PTW26" s="93"/>
      <c r="PTX26" s="30"/>
      <c r="PUC26" s="93"/>
      <c r="PUD26" s="30"/>
      <c r="PUI26" s="93"/>
      <c r="PUJ26" s="30"/>
      <c r="PUO26" s="93"/>
      <c r="PUP26" s="30"/>
      <c r="PUU26" s="93"/>
      <c r="PUV26" s="30"/>
      <c r="PVA26" s="93"/>
      <c r="PVB26" s="30"/>
      <c r="PVG26" s="93"/>
      <c r="PVH26" s="30"/>
      <c r="PVM26" s="93"/>
      <c r="PVN26" s="30"/>
      <c r="PVS26" s="93"/>
      <c r="PVT26" s="30"/>
      <c r="PVY26" s="93"/>
      <c r="PVZ26" s="30"/>
      <c r="PWE26" s="93"/>
      <c r="PWF26" s="30"/>
      <c r="PWK26" s="93"/>
      <c r="PWL26" s="30"/>
      <c r="PWQ26" s="93"/>
      <c r="PWR26" s="30"/>
      <c r="PWW26" s="93"/>
      <c r="PWX26" s="30"/>
      <c r="PXC26" s="93"/>
      <c r="PXD26" s="30"/>
      <c r="PXI26" s="93"/>
      <c r="PXJ26" s="30"/>
      <c r="PXO26" s="93"/>
      <c r="PXP26" s="30"/>
      <c r="PXU26" s="93"/>
      <c r="PXV26" s="30"/>
      <c r="PYA26" s="93"/>
      <c r="PYB26" s="30"/>
      <c r="PYG26" s="93"/>
      <c r="PYH26" s="30"/>
      <c r="PYM26" s="93"/>
      <c r="PYN26" s="30"/>
      <c r="PYS26" s="93"/>
      <c r="PYT26" s="30"/>
      <c r="PYY26" s="93"/>
      <c r="PYZ26" s="30"/>
      <c r="PZE26" s="93"/>
      <c r="PZF26" s="30"/>
      <c r="PZK26" s="93"/>
      <c r="PZL26" s="30"/>
      <c r="PZQ26" s="93"/>
      <c r="PZR26" s="30"/>
      <c r="PZW26" s="93"/>
      <c r="PZX26" s="30"/>
      <c r="QAC26" s="93"/>
      <c r="QAD26" s="30"/>
      <c r="QAI26" s="93"/>
      <c r="QAJ26" s="30"/>
      <c r="QAO26" s="93"/>
      <c r="QAP26" s="30"/>
      <c r="QAU26" s="93"/>
      <c r="QAV26" s="30"/>
      <c r="QBA26" s="93"/>
      <c r="QBB26" s="30"/>
      <c r="QBG26" s="93"/>
      <c r="QBH26" s="30"/>
      <c r="QBM26" s="93"/>
      <c r="QBN26" s="30"/>
      <c r="QBS26" s="93"/>
      <c r="QBT26" s="30"/>
      <c r="QBY26" s="93"/>
      <c r="QBZ26" s="30"/>
      <c r="QCE26" s="93"/>
      <c r="QCF26" s="30"/>
      <c r="QCK26" s="93"/>
      <c r="QCL26" s="30"/>
      <c r="QCQ26" s="93"/>
      <c r="QCR26" s="30"/>
      <c r="QCW26" s="93"/>
      <c r="QCX26" s="30"/>
      <c r="QDC26" s="93"/>
      <c r="QDD26" s="30"/>
      <c r="QDI26" s="93"/>
      <c r="QDJ26" s="30"/>
      <c r="QDO26" s="93"/>
      <c r="QDP26" s="30"/>
      <c r="QDU26" s="93"/>
      <c r="QDV26" s="30"/>
      <c r="QEA26" s="93"/>
      <c r="QEB26" s="30"/>
      <c r="QEG26" s="93"/>
      <c r="QEH26" s="30"/>
      <c r="QEM26" s="93"/>
      <c r="QEN26" s="30"/>
      <c r="QES26" s="93"/>
      <c r="QET26" s="30"/>
      <c r="QEY26" s="93"/>
      <c r="QEZ26" s="30"/>
      <c r="QFE26" s="93"/>
      <c r="QFF26" s="30"/>
      <c r="QFK26" s="93"/>
      <c r="QFL26" s="30"/>
      <c r="QFQ26" s="93"/>
      <c r="QFR26" s="30"/>
      <c r="QFW26" s="93"/>
      <c r="QFX26" s="30"/>
      <c r="QGC26" s="93"/>
      <c r="QGD26" s="30"/>
      <c r="QGI26" s="93"/>
      <c r="QGJ26" s="30"/>
      <c r="QGO26" s="93"/>
      <c r="QGP26" s="30"/>
      <c r="QGU26" s="93"/>
      <c r="QGV26" s="30"/>
      <c r="QHA26" s="93"/>
      <c r="QHB26" s="30"/>
      <c r="QHG26" s="93"/>
      <c r="QHH26" s="30"/>
      <c r="QHM26" s="93"/>
      <c r="QHN26" s="30"/>
      <c r="QHS26" s="93"/>
      <c r="QHT26" s="30"/>
      <c r="QHY26" s="93"/>
      <c r="QHZ26" s="30"/>
      <c r="QIE26" s="93"/>
      <c r="QIF26" s="30"/>
      <c r="QIK26" s="93"/>
      <c r="QIL26" s="30"/>
      <c r="QIQ26" s="93"/>
      <c r="QIR26" s="30"/>
      <c r="QIW26" s="93"/>
      <c r="QIX26" s="30"/>
      <c r="QJC26" s="93"/>
      <c r="QJD26" s="30"/>
      <c r="QJI26" s="93"/>
      <c r="QJJ26" s="30"/>
      <c r="QJO26" s="93"/>
      <c r="QJP26" s="30"/>
      <c r="QJU26" s="93"/>
      <c r="QJV26" s="30"/>
      <c r="QKA26" s="93"/>
      <c r="QKB26" s="30"/>
      <c r="QKG26" s="93"/>
      <c r="QKH26" s="30"/>
      <c r="QKM26" s="93"/>
      <c r="QKN26" s="30"/>
      <c r="QKS26" s="93"/>
      <c r="QKT26" s="30"/>
      <c r="QKY26" s="93"/>
      <c r="QKZ26" s="30"/>
      <c r="QLE26" s="93"/>
      <c r="QLF26" s="30"/>
      <c r="QLK26" s="93"/>
      <c r="QLL26" s="30"/>
      <c r="QLQ26" s="93"/>
      <c r="QLR26" s="30"/>
      <c r="QLW26" s="93"/>
      <c r="QLX26" s="30"/>
      <c r="QMC26" s="93"/>
      <c r="QMD26" s="30"/>
      <c r="QMI26" s="93"/>
      <c r="QMJ26" s="30"/>
      <c r="QMO26" s="93"/>
      <c r="QMP26" s="30"/>
      <c r="QMU26" s="93"/>
      <c r="QMV26" s="30"/>
      <c r="QNA26" s="93"/>
      <c r="QNB26" s="30"/>
      <c r="QNG26" s="93"/>
      <c r="QNH26" s="30"/>
      <c r="QNM26" s="93"/>
      <c r="QNN26" s="30"/>
      <c r="QNS26" s="93"/>
      <c r="QNT26" s="30"/>
      <c r="QNY26" s="93"/>
      <c r="QNZ26" s="30"/>
      <c r="QOE26" s="93"/>
      <c r="QOF26" s="30"/>
      <c r="QOK26" s="93"/>
      <c r="QOL26" s="30"/>
      <c r="QOQ26" s="93"/>
      <c r="QOR26" s="30"/>
      <c r="QOW26" s="93"/>
      <c r="QOX26" s="30"/>
      <c r="QPC26" s="93"/>
      <c r="QPD26" s="30"/>
      <c r="QPI26" s="93"/>
      <c r="QPJ26" s="30"/>
      <c r="QPO26" s="93"/>
      <c r="QPP26" s="30"/>
      <c r="QPU26" s="93"/>
      <c r="QPV26" s="30"/>
      <c r="QQA26" s="93"/>
      <c r="QQB26" s="30"/>
      <c r="QQG26" s="93"/>
      <c r="QQH26" s="30"/>
      <c r="QQM26" s="93"/>
      <c r="QQN26" s="30"/>
      <c r="QQS26" s="93"/>
      <c r="QQT26" s="30"/>
      <c r="QQY26" s="93"/>
      <c r="QQZ26" s="30"/>
      <c r="QRE26" s="93"/>
      <c r="QRF26" s="30"/>
      <c r="QRK26" s="93"/>
      <c r="QRL26" s="30"/>
      <c r="QRQ26" s="93"/>
      <c r="QRR26" s="30"/>
      <c r="QRW26" s="93"/>
      <c r="QRX26" s="30"/>
      <c r="QSC26" s="93"/>
      <c r="QSD26" s="30"/>
      <c r="QSI26" s="93"/>
      <c r="QSJ26" s="30"/>
      <c r="QSO26" s="93"/>
      <c r="QSP26" s="30"/>
      <c r="QSU26" s="93"/>
      <c r="QSV26" s="30"/>
      <c r="QTA26" s="93"/>
      <c r="QTB26" s="30"/>
      <c r="QTG26" s="93"/>
      <c r="QTH26" s="30"/>
      <c r="QTM26" s="93"/>
      <c r="QTN26" s="30"/>
      <c r="QTS26" s="93"/>
      <c r="QTT26" s="30"/>
      <c r="QTY26" s="93"/>
      <c r="QTZ26" s="30"/>
      <c r="QUE26" s="93"/>
      <c r="QUF26" s="30"/>
      <c r="QUK26" s="93"/>
      <c r="QUL26" s="30"/>
      <c r="QUQ26" s="93"/>
      <c r="QUR26" s="30"/>
      <c r="QUW26" s="93"/>
      <c r="QUX26" s="30"/>
      <c r="QVC26" s="93"/>
      <c r="QVD26" s="30"/>
      <c r="QVI26" s="93"/>
      <c r="QVJ26" s="30"/>
      <c r="QVO26" s="93"/>
      <c r="QVP26" s="30"/>
      <c r="QVU26" s="93"/>
      <c r="QVV26" s="30"/>
      <c r="QWA26" s="93"/>
      <c r="QWB26" s="30"/>
      <c r="QWG26" s="93"/>
      <c r="QWH26" s="30"/>
      <c r="QWM26" s="93"/>
      <c r="QWN26" s="30"/>
      <c r="QWS26" s="93"/>
      <c r="QWT26" s="30"/>
      <c r="QWY26" s="93"/>
      <c r="QWZ26" s="30"/>
      <c r="QXE26" s="93"/>
      <c r="QXF26" s="30"/>
      <c r="QXK26" s="93"/>
      <c r="QXL26" s="30"/>
      <c r="QXQ26" s="93"/>
      <c r="QXR26" s="30"/>
      <c r="QXW26" s="93"/>
      <c r="QXX26" s="30"/>
      <c r="QYC26" s="93"/>
      <c r="QYD26" s="30"/>
      <c r="QYI26" s="93"/>
      <c r="QYJ26" s="30"/>
      <c r="QYO26" s="93"/>
      <c r="QYP26" s="30"/>
      <c r="QYU26" s="93"/>
      <c r="QYV26" s="30"/>
      <c r="QZA26" s="93"/>
      <c r="QZB26" s="30"/>
      <c r="QZG26" s="93"/>
      <c r="QZH26" s="30"/>
      <c r="QZM26" s="93"/>
      <c r="QZN26" s="30"/>
      <c r="QZS26" s="93"/>
      <c r="QZT26" s="30"/>
      <c r="QZY26" s="93"/>
      <c r="QZZ26" s="30"/>
      <c r="RAE26" s="93"/>
      <c r="RAF26" s="30"/>
      <c r="RAK26" s="93"/>
      <c r="RAL26" s="30"/>
      <c r="RAQ26" s="93"/>
      <c r="RAR26" s="30"/>
      <c r="RAW26" s="93"/>
      <c r="RAX26" s="30"/>
      <c r="RBC26" s="93"/>
      <c r="RBD26" s="30"/>
      <c r="RBI26" s="93"/>
      <c r="RBJ26" s="30"/>
      <c r="RBO26" s="93"/>
      <c r="RBP26" s="30"/>
      <c r="RBU26" s="93"/>
      <c r="RBV26" s="30"/>
      <c r="RCA26" s="93"/>
      <c r="RCB26" s="30"/>
      <c r="RCG26" s="93"/>
      <c r="RCH26" s="30"/>
      <c r="RCM26" s="93"/>
      <c r="RCN26" s="30"/>
      <c r="RCS26" s="93"/>
      <c r="RCT26" s="30"/>
      <c r="RCY26" s="93"/>
      <c r="RCZ26" s="30"/>
      <c r="RDE26" s="93"/>
      <c r="RDF26" s="30"/>
      <c r="RDK26" s="93"/>
      <c r="RDL26" s="30"/>
      <c r="RDQ26" s="93"/>
      <c r="RDR26" s="30"/>
      <c r="RDW26" s="93"/>
      <c r="RDX26" s="30"/>
      <c r="REC26" s="93"/>
      <c r="RED26" s="30"/>
      <c r="REI26" s="93"/>
      <c r="REJ26" s="30"/>
      <c r="REO26" s="93"/>
      <c r="REP26" s="30"/>
      <c r="REU26" s="93"/>
      <c r="REV26" s="30"/>
      <c r="RFA26" s="93"/>
      <c r="RFB26" s="30"/>
      <c r="RFG26" s="93"/>
      <c r="RFH26" s="30"/>
      <c r="RFM26" s="93"/>
      <c r="RFN26" s="30"/>
      <c r="RFS26" s="93"/>
      <c r="RFT26" s="30"/>
      <c r="RFY26" s="93"/>
      <c r="RFZ26" s="30"/>
      <c r="RGE26" s="93"/>
      <c r="RGF26" s="30"/>
      <c r="RGK26" s="93"/>
      <c r="RGL26" s="30"/>
      <c r="RGQ26" s="93"/>
      <c r="RGR26" s="30"/>
      <c r="RGW26" s="93"/>
      <c r="RGX26" s="30"/>
      <c r="RHC26" s="93"/>
      <c r="RHD26" s="30"/>
      <c r="RHI26" s="93"/>
      <c r="RHJ26" s="30"/>
      <c r="RHO26" s="93"/>
      <c r="RHP26" s="30"/>
      <c r="RHU26" s="93"/>
      <c r="RHV26" s="30"/>
      <c r="RIA26" s="93"/>
      <c r="RIB26" s="30"/>
      <c r="RIG26" s="93"/>
      <c r="RIH26" s="30"/>
      <c r="RIM26" s="93"/>
      <c r="RIN26" s="30"/>
      <c r="RIS26" s="93"/>
      <c r="RIT26" s="30"/>
      <c r="RIY26" s="93"/>
      <c r="RIZ26" s="30"/>
      <c r="RJE26" s="93"/>
      <c r="RJF26" s="30"/>
      <c r="RJK26" s="93"/>
      <c r="RJL26" s="30"/>
      <c r="RJQ26" s="93"/>
      <c r="RJR26" s="30"/>
      <c r="RJW26" s="93"/>
      <c r="RJX26" s="30"/>
      <c r="RKC26" s="93"/>
      <c r="RKD26" s="30"/>
      <c r="RKI26" s="93"/>
      <c r="RKJ26" s="30"/>
      <c r="RKO26" s="93"/>
      <c r="RKP26" s="30"/>
      <c r="RKU26" s="93"/>
      <c r="RKV26" s="30"/>
      <c r="RLA26" s="93"/>
      <c r="RLB26" s="30"/>
      <c r="RLG26" s="93"/>
      <c r="RLH26" s="30"/>
      <c r="RLM26" s="93"/>
      <c r="RLN26" s="30"/>
      <c r="RLS26" s="93"/>
      <c r="RLT26" s="30"/>
      <c r="RLY26" s="93"/>
      <c r="RLZ26" s="30"/>
      <c r="RME26" s="93"/>
      <c r="RMF26" s="30"/>
      <c r="RMK26" s="93"/>
      <c r="RML26" s="30"/>
      <c r="RMQ26" s="93"/>
      <c r="RMR26" s="30"/>
      <c r="RMW26" s="93"/>
      <c r="RMX26" s="30"/>
      <c r="RNC26" s="93"/>
      <c r="RND26" s="30"/>
      <c r="RNI26" s="93"/>
      <c r="RNJ26" s="30"/>
      <c r="RNO26" s="93"/>
      <c r="RNP26" s="30"/>
      <c r="RNU26" s="93"/>
      <c r="RNV26" s="30"/>
      <c r="ROA26" s="93"/>
      <c r="ROB26" s="30"/>
      <c r="ROG26" s="93"/>
      <c r="ROH26" s="30"/>
      <c r="ROM26" s="93"/>
      <c r="RON26" s="30"/>
      <c r="ROS26" s="93"/>
      <c r="ROT26" s="30"/>
      <c r="ROY26" s="93"/>
      <c r="ROZ26" s="30"/>
      <c r="RPE26" s="93"/>
      <c r="RPF26" s="30"/>
      <c r="RPK26" s="93"/>
      <c r="RPL26" s="30"/>
      <c r="RPQ26" s="93"/>
      <c r="RPR26" s="30"/>
      <c r="RPW26" s="93"/>
      <c r="RPX26" s="30"/>
      <c r="RQC26" s="93"/>
      <c r="RQD26" s="30"/>
      <c r="RQI26" s="93"/>
      <c r="RQJ26" s="30"/>
      <c r="RQO26" s="93"/>
      <c r="RQP26" s="30"/>
      <c r="RQU26" s="93"/>
      <c r="RQV26" s="30"/>
      <c r="RRA26" s="93"/>
      <c r="RRB26" s="30"/>
      <c r="RRG26" s="93"/>
      <c r="RRH26" s="30"/>
      <c r="RRM26" s="93"/>
      <c r="RRN26" s="30"/>
      <c r="RRS26" s="93"/>
      <c r="RRT26" s="30"/>
      <c r="RRY26" s="93"/>
      <c r="RRZ26" s="30"/>
      <c r="RSE26" s="93"/>
      <c r="RSF26" s="30"/>
      <c r="RSK26" s="93"/>
      <c r="RSL26" s="30"/>
      <c r="RSQ26" s="93"/>
      <c r="RSR26" s="30"/>
      <c r="RSW26" s="93"/>
      <c r="RSX26" s="30"/>
      <c r="RTC26" s="93"/>
      <c r="RTD26" s="30"/>
      <c r="RTI26" s="93"/>
      <c r="RTJ26" s="30"/>
      <c r="RTO26" s="93"/>
      <c r="RTP26" s="30"/>
      <c r="RTU26" s="93"/>
      <c r="RTV26" s="30"/>
      <c r="RUA26" s="93"/>
      <c r="RUB26" s="30"/>
      <c r="RUG26" s="93"/>
      <c r="RUH26" s="30"/>
      <c r="RUM26" s="93"/>
      <c r="RUN26" s="30"/>
      <c r="RUS26" s="93"/>
      <c r="RUT26" s="30"/>
      <c r="RUY26" s="93"/>
      <c r="RUZ26" s="30"/>
      <c r="RVE26" s="93"/>
      <c r="RVF26" s="30"/>
      <c r="RVK26" s="93"/>
      <c r="RVL26" s="30"/>
      <c r="RVQ26" s="93"/>
      <c r="RVR26" s="30"/>
      <c r="RVW26" s="93"/>
      <c r="RVX26" s="30"/>
      <c r="RWC26" s="93"/>
      <c r="RWD26" s="30"/>
      <c r="RWI26" s="93"/>
      <c r="RWJ26" s="30"/>
      <c r="RWO26" s="93"/>
      <c r="RWP26" s="30"/>
      <c r="RWU26" s="93"/>
      <c r="RWV26" s="30"/>
      <c r="RXA26" s="93"/>
      <c r="RXB26" s="30"/>
      <c r="RXG26" s="93"/>
      <c r="RXH26" s="30"/>
      <c r="RXM26" s="93"/>
      <c r="RXN26" s="30"/>
      <c r="RXS26" s="93"/>
      <c r="RXT26" s="30"/>
      <c r="RXY26" s="93"/>
      <c r="RXZ26" s="30"/>
      <c r="RYE26" s="93"/>
      <c r="RYF26" s="30"/>
      <c r="RYK26" s="93"/>
      <c r="RYL26" s="30"/>
      <c r="RYQ26" s="93"/>
      <c r="RYR26" s="30"/>
      <c r="RYW26" s="93"/>
      <c r="RYX26" s="30"/>
      <c r="RZC26" s="93"/>
      <c r="RZD26" s="30"/>
      <c r="RZI26" s="93"/>
      <c r="RZJ26" s="30"/>
      <c r="RZO26" s="93"/>
      <c r="RZP26" s="30"/>
      <c r="RZU26" s="93"/>
      <c r="RZV26" s="30"/>
      <c r="SAA26" s="93"/>
      <c r="SAB26" s="30"/>
      <c r="SAG26" s="93"/>
      <c r="SAH26" s="30"/>
      <c r="SAM26" s="93"/>
      <c r="SAN26" s="30"/>
      <c r="SAS26" s="93"/>
      <c r="SAT26" s="30"/>
      <c r="SAY26" s="93"/>
      <c r="SAZ26" s="30"/>
      <c r="SBE26" s="93"/>
      <c r="SBF26" s="30"/>
      <c r="SBK26" s="93"/>
      <c r="SBL26" s="30"/>
      <c r="SBQ26" s="93"/>
      <c r="SBR26" s="30"/>
      <c r="SBW26" s="93"/>
      <c r="SBX26" s="30"/>
      <c r="SCC26" s="93"/>
      <c r="SCD26" s="30"/>
      <c r="SCI26" s="93"/>
      <c r="SCJ26" s="30"/>
      <c r="SCO26" s="93"/>
      <c r="SCP26" s="30"/>
      <c r="SCU26" s="93"/>
      <c r="SCV26" s="30"/>
      <c r="SDA26" s="93"/>
      <c r="SDB26" s="30"/>
      <c r="SDG26" s="93"/>
      <c r="SDH26" s="30"/>
      <c r="SDM26" s="93"/>
      <c r="SDN26" s="30"/>
      <c r="SDS26" s="93"/>
      <c r="SDT26" s="30"/>
      <c r="SDY26" s="93"/>
      <c r="SDZ26" s="30"/>
      <c r="SEE26" s="93"/>
      <c r="SEF26" s="30"/>
      <c r="SEK26" s="93"/>
      <c r="SEL26" s="30"/>
      <c r="SEQ26" s="93"/>
      <c r="SER26" s="30"/>
      <c r="SEW26" s="93"/>
      <c r="SEX26" s="30"/>
      <c r="SFC26" s="93"/>
      <c r="SFD26" s="30"/>
      <c r="SFI26" s="93"/>
      <c r="SFJ26" s="30"/>
      <c r="SFO26" s="93"/>
      <c r="SFP26" s="30"/>
      <c r="SFU26" s="93"/>
      <c r="SFV26" s="30"/>
      <c r="SGA26" s="93"/>
      <c r="SGB26" s="30"/>
      <c r="SGG26" s="93"/>
      <c r="SGH26" s="30"/>
      <c r="SGM26" s="93"/>
      <c r="SGN26" s="30"/>
      <c r="SGS26" s="93"/>
      <c r="SGT26" s="30"/>
      <c r="SGY26" s="93"/>
      <c r="SGZ26" s="30"/>
      <c r="SHE26" s="93"/>
      <c r="SHF26" s="30"/>
      <c r="SHK26" s="93"/>
      <c r="SHL26" s="30"/>
      <c r="SHQ26" s="93"/>
      <c r="SHR26" s="30"/>
      <c r="SHW26" s="93"/>
      <c r="SHX26" s="30"/>
      <c r="SIC26" s="93"/>
      <c r="SID26" s="30"/>
      <c r="SII26" s="93"/>
      <c r="SIJ26" s="30"/>
      <c r="SIO26" s="93"/>
      <c r="SIP26" s="30"/>
      <c r="SIU26" s="93"/>
      <c r="SIV26" s="30"/>
      <c r="SJA26" s="93"/>
      <c r="SJB26" s="30"/>
      <c r="SJG26" s="93"/>
      <c r="SJH26" s="30"/>
      <c r="SJM26" s="93"/>
      <c r="SJN26" s="30"/>
      <c r="SJS26" s="93"/>
      <c r="SJT26" s="30"/>
      <c r="SJY26" s="93"/>
      <c r="SJZ26" s="30"/>
      <c r="SKE26" s="93"/>
      <c r="SKF26" s="30"/>
      <c r="SKK26" s="93"/>
      <c r="SKL26" s="30"/>
      <c r="SKQ26" s="93"/>
      <c r="SKR26" s="30"/>
      <c r="SKW26" s="93"/>
      <c r="SKX26" s="30"/>
      <c r="SLC26" s="93"/>
      <c r="SLD26" s="30"/>
      <c r="SLI26" s="93"/>
      <c r="SLJ26" s="30"/>
      <c r="SLO26" s="93"/>
      <c r="SLP26" s="30"/>
      <c r="SLU26" s="93"/>
      <c r="SLV26" s="30"/>
      <c r="SMA26" s="93"/>
      <c r="SMB26" s="30"/>
      <c r="SMG26" s="93"/>
      <c r="SMH26" s="30"/>
      <c r="SMM26" s="93"/>
      <c r="SMN26" s="30"/>
      <c r="SMS26" s="93"/>
      <c r="SMT26" s="30"/>
      <c r="SMY26" s="93"/>
      <c r="SMZ26" s="30"/>
      <c r="SNE26" s="93"/>
      <c r="SNF26" s="30"/>
      <c r="SNK26" s="93"/>
      <c r="SNL26" s="30"/>
      <c r="SNQ26" s="93"/>
      <c r="SNR26" s="30"/>
      <c r="SNW26" s="93"/>
      <c r="SNX26" s="30"/>
      <c r="SOC26" s="93"/>
      <c r="SOD26" s="30"/>
      <c r="SOI26" s="93"/>
      <c r="SOJ26" s="30"/>
      <c r="SOO26" s="93"/>
      <c r="SOP26" s="30"/>
      <c r="SOU26" s="93"/>
      <c r="SOV26" s="30"/>
      <c r="SPA26" s="93"/>
      <c r="SPB26" s="30"/>
      <c r="SPG26" s="93"/>
      <c r="SPH26" s="30"/>
      <c r="SPM26" s="93"/>
      <c r="SPN26" s="30"/>
      <c r="SPS26" s="93"/>
      <c r="SPT26" s="30"/>
      <c r="SPY26" s="93"/>
      <c r="SPZ26" s="30"/>
      <c r="SQE26" s="93"/>
      <c r="SQF26" s="30"/>
      <c r="SQK26" s="93"/>
      <c r="SQL26" s="30"/>
      <c r="SQQ26" s="93"/>
      <c r="SQR26" s="30"/>
      <c r="SQW26" s="93"/>
      <c r="SQX26" s="30"/>
      <c r="SRC26" s="93"/>
      <c r="SRD26" s="30"/>
      <c r="SRI26" s="93"/>
      <c r="SRJ26" s="30"/>
      <c r="SRO26" s="93"/>
      <c r="SRP26" s="30"/>
      <c r="SRU26" s="93"/>
      <c r="SRV26" s="30"/>
      <c r="SSA26" s="93"/>
      <c r="SSB26" s="30"/>
      <c r="SSG26" s="93"/>
      <c r="SSH26" s="30"/>
      <c r="SSM26" s="93"/>
      <c r="SSN26" s="30"/>
      <c r="SSS26" s="93"/>
      <c r="SST26" s="30"/>
      <c r="SSY26" s="93"/>
      <c r="SSZ26" s="30"/>
      <c r="STE26" s="93"/>
      <c r="STF26" s="30"/>
      <c r="STK26" s="93"/>
      <c r="STL26" s="30"/>
      <c r="STQ26" s="93"/>
      <c r="STR26" s="30"/>
      <c r="STW26" s="93"/>
      <c r="STX26" s="30"/>
      <c r="SUC26" s="93"/>
      <c r="SUD26" s="30"/>
      <c r="SUI26" s="93"/>
      <c r="SUJ26" s="30"/>
      <c r="SUO26" s="93"/>
      <c r="SUP26" s="30"/>
      <c r="SUU26" s="93"/>
      <c r="SUV26" s="30"/>
      <c r="SVA26" s="93"/>
      <c r="SVB26" s="30"/>
      <c r="SVG26" s="93"/>
      <c r="SVH26" s="30"/>
      <c r="SVM26" s="93"/>
      <c r="SVN26" s="30"/>
      <c r="SVS26" s="93"/>
      <c r="SVT26" s="30"/>
      <c r="SVY26" s="93"/>
      <c r="SVZ26" s="30"/>
      <c r="SWE26" s="93"/>
      <c r="SWF26" s="30"/>
      <c r="SWK26" s="93"/>
      <c r="SWL26" s="30"/>
      <c r="SWQ26" s="93"/>
      <c r="SWR26" s="30"/>
      <c r="SWW26" s="93"/>
      <c r="SWX26" s="30"/>
      <c r="SXC26" s="93"/>
      <c r="SXD26" s="30"/>
      <c r="SXI26" s="93"/>
      <c r="SXJ26" s="30"/>
      <c r="SXO26" s="93"/>
      <c r="SXP26" s="30"/>
      <c r="SXU26" s="93"/>
      <c r="SXV26" s="30"/>
      <c r="SYA26" s="93"/>
      <c r="SYB26" s="30"/>
      <c r="SYG26" s="93"/>
      <c r="SYH26" s="30"/>
      <c r="SYM26" s="93"/>
      <c r="SYN26" s="30"/>
      <c r="SYS26" s="93"/>
      <c r="SYT26" s="30"/>
      <c r="SYY26" s="93"/>
      <c r="SYZ26" s="30"/>
      <c r="SZE26" s="93"/>
      <c r="SZF26" s="30"/>
      <c r="SZK26" s="93"/>
      <c r="SZL26" s="30"/>
      <c r="SZQ26" s="93"/>
      <c r="SZR26" s="30"/>
      <c r="SZW26" s="93"/>
      <c r="SZX26" s="30"/>
      <c r="TAC26" s="93"/>
      <c r="TAD26" s="30"/>
      <c r="TAI26" s="93"/>
      <c r="TAJ26" s="30"/>
      <c r="TAO26" s="93"/>
      <c r="TAP26" s="30"/>
      <c r="TAU26" s="93"/>
      <c r="TAV26" s="30"/>
      <c r="TBA26" s="93"/>
      <c r="TBB26" s="30"/>
      <c r="TBG26" s="93"/>
      <c r="TBH26" s="30"/>
      <c r="TBM26" s="93"/>
      <c r="TBN26" s="30"/>
      <c r="TBS26" s="93"/>
      <c r="TBT26" s="30"/>
      <c r="TBY26" s="93"/>
      <c r="TBZ26" s="30"/>
      <c r="TCE26" s="93"/>
      <c r="TCF26" s="30"/>
      <c r="TCK26" s="93"/>
      <c r="TCL26" s="30"/>
      <c r="TCQ26" s="93"/>
      <c r="TCR26" s="30"/>
      <c r="TCW26" s="93"/>
      <c r="TCX26" s="30"/>
      <c r="TDC26" s="93"/>
      <c r="TDD26" s="30"/>
      <c r="TDI26" s="93"/>
      <c r="TDJ26" s="30"/>
      <c r="TDO26" s="93"/>
      <c r="TDP26" s="30"/>
      <c r="TDU26" s="93"/>
      <c r="TDV26" s="30"/>
      <c r="TEA26" s="93"/>
      <c r="TEB26" s="30"/>
      <c r="TEG26" s="93"/>
      <c r="TEH26" s="30"/>
      <c r="TEM26" s="93"/>
      <c r="TEN26" s="30"/>
      <c r="TES26" s="93"/>
      <c r="TET26" s="30"/>
      <c r="TEY26" s="93"/>
      <c r="TEZ26" s="30"/>
      <c r="TFE26" s="93"/>
      <c r="TFF26" s="30"/>
      <c r="TFK26" s="93"/>
      <c r="TFL26" s="30"/>
      <c r="TFQ26" s="93"/>
      <c r="TFR26" s="30"/>
      <c r="TFW26" s="93"/>
      <c r="TFX26" s="30"/>
      <c r="TGC26" s="93"/>
      <c r="TGD26" s="30"/>
      <c r="TGI26" s="93"/>
      <c r="TGJ26" s="30"/>
      <c r="TGO26" s="93"/>
      <c r="TGP26" s="30"/>
      <c r="TGU26" s="93"/>
      <c r="TGV26" s="30"/>
      <c r="THA26" s="93"/>
      <c r="THB26" s="30"/>
      <c r="THG26" s="93"/>
      <c r="THH26" s="30"/>
      <c r="THM26" s="93"/>
      <c r="THN26" s="30"/>
      <c r="THS26" s="93"/>
      <c r="THT26" s="30"/>
      <c r="THY26" s="93"/>
      <c r="THZ26" s="30"/>
      <c r="TIE26" s="93"/>
      <c r="TIF26" s="30"/>
      <c r="TIK26" s="93"/>
      <c r="TIL26" s="30"/>
      <c r="TIQ26" s="93"/>
      <c r="TIR26" s="30"/>
      <c r="TIW26" s="93"/>
      <c r="TIX26" s="30"/>
      <c r="TJC26" s="93"/>
      <c r="TJD26" s="30"/>
      <c r="TJI26" s="93"/>
      <c r="TJJ26" s="30"/>
      <c r="TJO26" s="93"/>
      <c r="TJP26" s="30"/>
      <c r="TJU26" s="93"/>
      <c r="TJV26" s="30"/>
      <c r="TKA26" s="93"/>
      <c r="TKB26" s="30"/>
      <c r="TKG26" s="93"/>
      <c r="TKH26" s="30"/>
      <c r="TKM26" s="93"/>
      <c r="TKN26" s="30"/>
      <c r="TKS26" s="93"/>
      <c r="TKT26" s="30"/>
      <c r="TKY26" s="93"/>
      <c r="TKZ26" s="30"/>
      <c r="TLE26" s="93"/>
      <c r="TLF26" s="30"/>
      <c r="TLK26" s="93"/>
      <c r="TLL26" s="30"/>
      <c r="TLQ26" s="93"/>
      <c r="TLR26" s="30"/>
      <c r="TLW26" s="93"/>
      <c r="TLX26" s="30"/>
      <c r="TMC26" s="93"/>
      <c r="TMD26" s="30"/>
      <c r="TMI26" s="93"/>
      <c r="TMJ26" s="30"/>
      <c r="TMO26" s="93"/>
      <c r="TMP26" s="30"/>
      <c r="TMU26" s="93"/>
      <c r="TMV26" s="30"/>
      <c r="TNA26" s="93"/>
      <c r="TNB26" s="30"/>
      <c r="TNG26" s="93"/>
      <c r="TNH26" s="30"/>
      <c r="TNM26" s="93"/>
      <c r="TNN26" s="30"/>
      <c r="TNS26" s="93"/>
      <c r="TNT26" s="30"/>
      <c r="TNY26" s="93"/>
      <c r="TNZ26" s="30"/>
      <c r="TOE26" s="93"/>
      <c r="TOF26" s="30"/>
      <c r="TOK26" s="93"/>
      <c r="TOL26" s="30"/>
      <c r="TOQ26" s="93"/>
      <c r="TOR26" s="30"/>
      <c r="TOW26" s="93"/>
      <c r="TOX26" s="30"/>
      <c r="TPC26" s="93"/>
      <c r="TPD26" s="30"/>
      <c r="TPI26" s="93"/>
      <c r="TPJ26" s="30"/>
      <c r="TPO26" s="93"/>
      <c r="TPP26" s="30"/>
      <c r="TPU26" s="93"/>
      <c r="TPV26" s="30"/>
      <c r="TQA26" s="93"/>
      <c r="TQB26" s="30"/>
      <c r="TQG26" s="93"/>
      <c r="TQH26" s="30"/>
      <c r="TQM26" s="93"/>
      <c r="TQN26" s="30"/>
      <c r="TQS26" s="93"/>
      <c r="TQT26" s="30"/>
      <c r="TQY26" s="93"/>
      <c r="TQZ26" s="30"/>
      <c r="TRE26" s="93"/>
      <c r="TRF26" s="30"/>
      <c r="TRK26" s="93"/>
      <c r="TRL26" s="30"/>
      <c r="TRQ26" s="93"/>
      <c r="TRR26" s="30"/>
      <c r="TRW26" s="93"/>
      <c r="TRX26" s="30"/>
      <c r="TSC26" s="93"/>
      <c r="TSD26" s="30"/>
      <c r="TSI26" s="93"/>
      <c r="TSJ26" s="30"/>
      <c r="TSO26" s="93"/>
      <c r="TSP26" s="30"/>
      <c r="TSU26" s="93"/>
      <c r="TSV26" s="30"/>
      <c r="TTA26" s="93"/>
      <c r="TTB26" s="30"/>
      <c r="TTG26" s="93"/>
      <c r="TTH26" s="30"/>
      <c r="TTM26" s="93"/>
      <c r="TTN26" s="30"/>
      <c r="TTS26" s="93"/>
      <c r="TTT26" s="30"/>
      <c r="TTY26" s="93"/>
      <c r="TTZ26" s="30"/>
      <c r="TUE26" s="93"/>
      <c r="TUF26" s="30"/>
      <c r="TUK26" s="93"/>
      <c r="TUL26" s="30"/>
      <c r="TUQ26" s="93"/>
      <c r="TUR26" s="30"/>
      <c r="TUW26" s="93"/>
      <c r="TUX26" s="30"/>
      <c r="TVC26" s="93"/>
      <c r="TVD26" s="30"/>
      <c r="TVI26" s="93"/>
      <c r="TVJ26" s="30"/>
      <c r="TVO26" s="93"/>
      <c r="TVP26" s="30"/>
      <c r="TVU26" s="93"/>
      <c r="TVV26" s="30"/>
      <c r="TWA26" s="93"/>
      <c r="TWB26" s="30"/>
      <c r="TWG26" s="93"/>
      <c r="TWH26" s="30"/>
      <c r="TWM26" s="93"/>
      <c r="TWN26" s="30"/>
      <c r="TWS26" s="93"/>
      <c r="TWT26" s="30"/>
      <c r="TWY26" s="93"/>
      <c r="TWZ26" s="30"/>
      <c r="TXE26" s="93"/>
      <c r="TXF26" s="30"/>
      <c r="TXK26" s="93"/>
      <c r="TXL26" s="30"/>
      <c r="TXQ26" s="93"/>
      <c r="TXR26" s="30"/>
      <c r="TXW26" s="93"/>
      <c r="TXX26" s="30"/>
      <c r="TYC26" s="93"/>
      <c r="TYD26" s="30"/>
      <c r="TYI26" s="93"/>
      <c r="TYJ26" s="30"/>
      <c r="TYO26" s="93"/>
      <c r="TYP26" s="30"/>
      <c r="TYU26" s="93"/>
      <c r="TYV26" s="30"/>
      <c r="TZA26" s="93"/>
      <c r="TZB26" s="30"/>
      <c r="TZG26" s="93"/>
      <c r="TZH26" s="30"/>
      <c r="TZM26" s="93"/>
      <c r="TZN26" s="30"/>
      <c r="TZS26" s="93"/>
      <c r="TZT26" s="30"/>
      <c r="TZY26" s="93"/>
      <c r="TZZ26" s="30"/>
      <c r="UAE26" s="93"/>
      <c r="UAF26" s="30"/>
      <c r="UAK26" s="93"/>
      <c r="UAL26" s="30"/>
      <c r="UAQ26" s="93"/>
      <c r="UAR26" s="30"/>
      <c r="UAW26" s="93"/>
      <c r="UAX26" s="30"/>
      <c r="UBC26" s="93"/>
      <c r="UBD26" s="30"/>
      <c r="UBI26" s="93"/>
      <c r="UBJ26" s="30"/>
      <c r="UBO26" s="93"/>
      <c r="UBP26" s="30"/>
      <c r="UBU26" s="93"/>
      <c r="UBV26" s="30"/>
      <c r="UCA26" s="93"/>
      <c r="UCB26" s="30"/>
      <c r="UCG26" s="93"/>
      <c r="UCH26" s="30"/>
      <c r="UCM26" s="93"/>
      <c r="UCN26" s="30"/>
      <c r="UCS26" s="93"/>
      <c r="UCT26" s="30"/>
      <c r="UCY26" s="93"/>
      <c r="UCZ26" s="30"/>
      <c r="UDE26" s="93"/>
      <c r="UDF26" s="30"/>
      <c r="UDK26" s="93"/>
      <c r="UDL26" s="30"/>
      <c r="UDQ26" s="93"/>
      <c r="UDR26" s="30"/>
      <c r="UDW26" s="93"/>
      <c r="UDX26" s="30"/>
      <c r="UEC26" s="93"/>
      <c r="UED26" s="30"/>
      <c r="UEI26" s="93"/>
      <c r="UEJ26" s="30"/>
      <c r="UEO26" s="93"/>
      <c r="UEP26" s="30"/>
      <c r="UEU26" s="93"/>
      <c r="UEV26" s="30"/>
      <c r="UFA26" s="93"/>
      <c r="UFB26" s="30"/>
      <c r="UFG26" s="93"/>
      <c r="UFH26" s="30"/>
      <c r="UFM26" s="93"/>
      <c r="UFN26" s="30"/>
      <c r="UFS26" s="93"/>
      <c r="UFT26" s="30"/>
      <c r="UFY26" s="93"/>
      <c r="UFZ26" s="30"/>
      <c r="UGE26" s="93"/>
      <c r="UGF26" s="30"/>
      <c r="UGK26" s="93"/>
      <c r="UGL26" s="30"/>
      <c r="UGQ26" s="93"/>
      <c r="UGR26" s="30"/>
      <c r="UGW26" s="93"/>
      <c r="UGX26" s="30"/>
      <c r="UHC26" s="93"/>
      <c r="UHD26" s="30"/>
      <c r="UHI26" s="93"/>
      <c r="UHJ26" s="30"/>
      <c r="UHO26" s="93"/>
      <c r="UHP26" s="30"/>
      <c r="UHU26" s="93"/>
      <c r="UHV26" s="30"/>
      <c r="UIA26" s="93"/>
      <c r="UIB26" s="30"/>
      <c r="UIG26" s="93"/>
      <c r="UIH26" s="30"/>
      <c r="UIM26" s="93"/>
      <c r="UIN26" s="30"/>
      <c r="UIS26" s="93"/>
      <c r="UIT26" s="30"/>
      <c r="UIY26" s="93"/>
      <c r="UIZ26" s="30"/>
      <c r="UJE26" s="93"/>
      <c r="UJF26" s="30"/>
      <c r="UJK26" s="93"/>
      <c r="UJL26" s="30"/>
      <c r="UJQ26" s="93"/>
      <c r="UJR26" s="30"/>
      <c r="UJW26" s="93"/>
      <c r="UJX26" s="30"/>
      <c r="UKC26" s="93"/>
      <c r="UKD26" s="30"/>
      <c r="UKI26" s="93"/>
      <c r="UKJ26" s="30"/>
      <c r="UKO26" s="93"/>
      <c r="UKP26" s="30"/>
      <c r="UKU26" s="93"/>
      <c r="UKV26" s="30"/>
      <c r="ULA26" s="93"/>
      <c r="ULB26" s="30"/>
      <c r="ULG26" s="93"/>
      <c r="ULH26" s="30"/>
      <c r="ULM26" s="93"/>
      <c r="ULN26" s="30"/>
      <c r="ULS26" s="93"/>
      <c r="ULT26" s="30"/>
      <c r="ULY26" s="93"/>
      <c r="ULZ26" s="30"/>
      <c r="UME26" s="93"/>
      <c r="UMF26" s="30"/>
      <c r="UMK26" s="93"/>
      <c r="UML26" s="30"/>
      <c r="UMQ26" s="93"/>
      <c r="UMR26" s="30"/>
      <c r="UMW26" s="93"/>
      <c r="UMX26" s="30"/>
      <c r="UNC26" s="93"/>
      <c r="UND26" s="30"/>
      <c r="UNI26" s="93"/>
      <c r="UNJ26" s="30"/>
      <c r="UNO26" s="93"/>
      <c r="UNP26" s="30"/>
      <c r="UNU26" s="93"/>
      <c r="UNV26" s="30"/>
      <c r="UOA26" s="93"/>
      <c r="UOB26" s="30"/>
      <c r="UOG26" s="93"/>
      <c r="UOH26" s="30"/>
      <c r="UOM26" s="93"/>
      <c r="UON26" s="30"/>
      <c r="UOS26" s="93"/>
      <c r="UOT26" s="30"/>
      <c r="UOY26" s="93"/>
      <c r="UOZ26" s="30"/>
      <c r="UPE26" s="93"/>
      <c r="UPF26" s="30"/>
      <c r="UPK26" s="93"/>
      <c r="UPL26" s="30"/>
      <c r="UPQ26" s="93"/>
      <c r="UPR26" s="30"/>
      <c r="UPW26" s="93"/>
      <c r="UPX26" s="30"/>
      <c r="UQC26" s="93"/>
      <c r="UQD26" s="30"/>
      <c r="UQI26" s="93"/>
      <c r="UQJ26" s="30"/>
      <c r="UQO26" s="93"/>
      <c r="UQP26" s="30"/>
      <c r="UQU26" s="93"/>
      <c r="UQV26" s="30"/>
      <c r="URA26" s="93"/>
      <c r="URB26" s="30"/>
      <c r="URG26" s="93"/>
      <c r="URH26" s="30"/>
      <c r="URM26" s="93"/>
      <c r="URN26" s="30"/>
      <c r="URS26" s="93"/>
      <c r="URT26" s="30"/>
      <c r="URY26" s="93"/>
      <c r="URZ26" s="30"/>
      <c r="USE26" s="93"/>
      <c r="USF26" s="30"/>
      <c r="USK26" s="93"/>
      <c r="USL26" s="30"/>
      <c r="USQ26" s="93"/>
      <c r="USR26" s="30"/>
      <c r="USW26" s="93"/>
      <c r="USX26" s="30"/>
      <c r="UTC26" s="93"/>
      <c r="UTD26" s="30"/>
      <c r="UTI26" s="93"/>
      <c r="UTJ26" s="30"/>
      <c r="UTO26" s="93"/>
      <c r="UTP26" s="30"/>
      <c r="UTU26" s="93"/>
      <c r="UTV26" s="30"/>
      <c r="UUA26" s="93"/>
      <c r="UUB26" s="30"/>
      <c r="UUG26" s="93"/>
      <c r="UUH26" s="30"/>
      <c r="UUM26" s="93"/>
      <c r="UUN26" s="30"/>
      <c r="UUS26" s="93"/>
      <c r="UUT26" s="30"/>
      <c r="UUY26" s="93"/>
      <c r="UUZ26" s="30"/>
      <c r="UVE26" s="93"/>
      <c r="UVF26" s="30"/>
      <c r="UVK26" s="93"/>
      <c r="UVL26" s="30"/>
      <c r="UVQ26" s="93"/>
      <c r="UVR26" s="30"/>
      <c r="UVW26" s="93"/>
      <c r="UVX26" s="30"/>
      <c r="UWC26" s="93"/>
      <c r="UWD26" s="30"/>
      <c r="UWI26" s="93"/>
      <c r="UWJ26" s="30"/>
      <c r="UWO26" s="93"/>
      <c r="UWP26" s="30"/>
      <c r="UWU26" s="93"/>
      <c r="UWV26" s="30"/>
      <c r="UXA26" s="93"/>
      <c r="UXB26" s="30"/>
      <c r="UXG26" s="93"/>
      <c r="UXH26" s="30"/>
      <c r="UXM26" s="93"/>
      <c r="UXN26" s="30"/>
      <c r="UXS26" s="93"/>
      <c r="UXT26" s="30"/>
      <c r="UXY26" s="93"/>
      <c r="UXZ26" s="30"/>
      <c r="UYE26" s="93"/>
      <c r="UYF26" s="30"/>
      <c r="UYK26" s="93"/>
      <c r="UYL26" s="30"/>
      <c r="UYQ26" s="93"/>
      <c r="UYR26" s="30"/>
      <c r="UYW26" s="93"/>
      <c r="UYX26" s="30"/>
      <c r="UZC26" s="93"/>
      <c r="UZD26" s="30"/>
      <c r="UZI26" s="93"/>
      <c r="UZJ26" s="30"/>
      <c r="UZO26" s="93"/>
      <c r="UZP26" s="30"/>
      <c r="UZU26" s="93"/>
      <c r="UZV26" s="30"/>
      <c r="VAA26" s="93"/>
      <c r="VAB26" s="30"/>
      <c r="VAG26" s="93"/>
      <c r="VAH26" s="30"/>
      <c r="VAM26" s="93"/>
      <c r="VAN26" s="30"/>
      <c r="VAS26" s="93"/>
      <c r="VAT26" s="30"/>
      <c r="VAY26" s="93"/>
      <c r="VAZ26" s="30"/>
      <c r="VBE26" s="93"/>
      <c r="VBF26" s="30"/>
      <c r="VBK26" s="93"/>
      <c r="VBL26" s="30"/>
      <c r="VBQ26" s="93"/>
      <c r="VBR26" s="30"/>
      <c r="VBW26" s="93"/>
      <c r="VBX26" s="30"/>
      <c r="VCC26" s="93"/>
      <c r="VCD26" s="30"/>
      <c r="VCI26" s="93"/>
      <c r="VCJ26" s="30"/>
      <c r="VCO26" s="93"/>
      <c r="VCP26" s="30"/>
      <c r="VCU26" s="93"/>
      <c r="VCV26" s="30"/>
      <c r="VDA26" s="93"/>
      <c r="VDB26" s="30"/>
      <c r="VDG26" s="93"/>
      <c r="VDH26" s="30"/>
      <c r="VDM26" s="93"/>
      <c r="VDN26" s="30"/>
      <c r="VDS26" s="93"/>
      <c r="VDT26" s="30"/>
      <c r="VDY26" s="93"/>
      <c r="VDZ26" s="30"/>
      <c r="VEE26" s="93"/>
      <c r="VEF26" s="30"/>
      <c r="VEK26" s="93"/>
      <c r="VEL26" s="30"/>
      <c r="VEQ26" s="93"/>
      <c r="VER26" s="30"/>
      <c r="VEW26" s="93"/>
      <c r="VEX26" s="30"/>
      <c r="VFC26" s="93"/>
      <c r="VFD26" s="30"/>
      <c r="VFI26" s="93"/>
      <c r="VFJ26" s="30"/>
      <c r="VFO26" s="93"/>
      <c r="VFP26" s="30"/>
      <c r="VFU26" s="93"/>
      <c r="VFV26" s="30"/>
      <c r="VGA26" s="93"/>
      <c r="VGB26" s="30"/>
      <c r="VGG26" s="93"/>
      <c r="VGH26" s="30"/>
      <c r="VGM26" s="93"/>
      <c r="VGN26" s="30"/>
      <c r="VGS26" s="93"/>
      <c r="VGT26" s="30"/>
      <c r="VGY26" s="93"/>
      <c r="VGZ26" s="30"/>
      <c r="VHE26" s="93"/>
      <c r="VHF26" s="30"/>
      <c r="VHK26" s="93"/>
      <c r="VHL26" s="30"/>
      <c r="VHQ26" s="93"/>
      <c r="VHR26" s="30"/>
      <c r="VHW26" s="93"/>
      <c r="VHX26" s="30"/>
      <c r="VIC26" s="93"/>
      <c r="VID26" s="30"/>
      <c r="VII26" s="93"/>
      <c r="VIJ26" s="30"/>
      <c r="VIO26" s="93"/>
      <c r="VIP26" s="30"/>
      <c r="VIU26" s="93"/>
      <c r="VIV26" s="30"/>
      <c r="VJA26" s="93"/>
      <c r="VJB26" s="30"/>
      <c r="VJG26" s="93"/>
      <c r="VJH26" s="30"/>
      <c r="VJM26" s="93"/>
      <c r="VJN26" s="30"/>
      <c r="VJS26" s="93"/>
      <c r="VJT26" s="30"/>
      <c r="VJY26" s="93"/>
      <c r="VJZ26" s="30"/>
      <c r="VKE26" s="93"/>
      <c r="VKF26" s="30"/>
      <c r="VKK26" s="93"/>
      <c r="VKL26" s="30"/>
      <c r="VKQ26" s="93"/>
      <c r="VKR26" s="30"/>
      <c r="VKW26" s="93"/>
      <c r="VKX26" s="30"/>
      <c r="VLC26" s="93"/>
      <c r="VLD26" s="30"/>
      <c r="VLI26" s="93"/>
      <c r="VLJ26" s="30"/>
      <c r="VLO26" s="93"/>
      <c r="VLP26" s="30"/>
      <c r="VLU26" s="93"/>
      <c r="VLV26" s="30"/>
      <c r="VMA26" s="93"/>
      <c r="VMB26" s="30"/>
      <c r="VMG26" s="93"/>
      <c r="VMH26" s="30"/>
      <c r="VMM26" s="93"/>
      <c r="VMN26" s="30"/>
      <c r="VMS26" s="93"/>
      <c r="VMT26" s="30"/>
      <c r="VMY26" s="93"/>
      <c r="VMZ26" s="30"/>
      <c r="VNE26" s="93"/>
      <c r="VNF26" s="30"/>
      <c r="VNK26" s="93"/>
      <c r="VNL26" s="30"/>
      <c r="VNQ26" s="93"/>
      <c r="VNR26" s="30"/>
      <c r="VNW26" s="93"/>
      <c r="VNX26" s="30"/>
      <c r="VOC26" s="93"/>
      <c r="VOD26" s="30"/>
      <c r="VOI26" s="93"/>
      <c r="VOJ26" s="30"/>
      <c r="VOO26" s="93"/>
      <c r="VOP26" s="30"/>
      <c r="VOU26" s="93"/>
      <c r="VOV26" s="30"/>
      <c r="VPA26" s="93"/>
      <c r="VPB26" s="30"/>
      <c r="VPG26" s="93"/>
      <c r="VPH26" s="30"/>
      <c r="VPM26" s="93"/>
      <c r="VPN26" s="30"/>
      <c r="VPS26" s="93"/>
      <c r="VPT26" s="30"/>
      <c r="VPY26" s="93"/>
      <c r="VPZ26" s="30"/>
      <c r="VQE26" s="93"/>
      <c r="VQF26" s="30"/>
      <c r="VQK26" s="93"/>
      <c r="VQL26" s="30"/>
      <c r="VQQ26" s="93"/>
      <c r="VQR26" s="30"/>
      <c r="VQW26" s="93"/>
      <c r="VQX26" s="30"/>
      <c r="VRC26" s="93"/>
      <c r="VRD26" s="30"/>
      <c r="VRI26" s="93"/>
      <c r="VRJ26" s="30"/>
      <c r="VRO26" s="93"/>
      <c r="VRP26" s="30"/>
      <c r="VRU26" s="93"/>
      <c r="VRV26" s="30"/>
      <c r="VSA26" s="93"/>
      <c r="VSB26" s="30"/>
      <c r="VSG26" s="93"/>
      <c r="VSH26" s="30"/>
      <c r="VSM26" s="93"/>
      <c r="VSN26" s="30"/>
      <c r="VSS26" s="93"/>
      <c r="VST26" s="30"/>
      <c r="VSY26" s="93"/>
      <c r="VSZ26" s="30"/>
      <c r="VTE26" s="93"/>
      <c r="VTF26" s="30"/>
      <c r="VTK26" s="93"/>
      <c r="VTL26" s="30"/>
      <c r="VTQ26" s="93"/>
      <c r="VTR26" s="30"/>
      <c r="VTW26" s="93"/>
      <c r="VTX26" s="30"/>
      <c r="VUC26" s="93"/>
      <c r="VUD26" s="30"/>
      <c r="VUI26" s="93"/>
      <c r="VUJ26" s="30"/>
      <c r="VUO26" s="93"/>
      <c r="VUP26" s="30"/>
      <c r="VUU26" s="93"/>
      <c r="VUV26" s="30"/>
      <c r="VVA26" s="93"/>
      <c r="VVB26" s="30"/>
      <c r="VVG26" s="93"/>
      <c r="VVH26" s="30"/>
      <c r="VVM26" s="93"/>
      <c r="VVN26" s="30"/>
      <c r="VVS26" s="93"/>
      <c r="VVT26" s="30"/>
      <c r="VVY26" s="93"/>
      <c r="VVZ26" s="30"/>
      <c r="VWE26" s="93"/>
      <c r="VWF26" s="30"/>
      <c r="VWK26" s="93"/>
      <c r="VWL26" s="30"/>
      <c r="VWQ26" s="93"/>
      <c r="VWR26" s="30"/>
      <c r="VWW26" s="93"/>
      <c r="VWX26" s="30"/>
      <c r="VXC26" s="93"/>
      <c r="VXD26" s="30"/>
      <c r="VXI26" s="93"/>
      <c r="VXJ26" s="30"/>
      <c r="VXO26" s="93"/>
      <c r="VXP26" s="30"/>
      <c r="VXU26" s="93"/>
      <c r="VXV26" s="30"/>
      <c r="VYA26" s="93"/>
      <c r="VYB26" s="30"/>
      <c r="VYG26" s="93"/>
      <c r="VYH26" s="30"/>
      <c r="VYM26" s="93"/>
      <c r="VYN26" s="30"/>
      <c r="VYS26" s="93"/>
      <c r="VYT26" s="30"/>
      <c r="VYY26" s="93"/>
      <c r="VYZ26" s="30"/>
      <c r="VZE26" s="93"/>
      <c r="VZF26" s="30"/>
      <c r="VZK26" s="93"/>
      <c r="VZL26" s="30"/>
      <c r="VZQ26" s="93"/>
      <c r="VZR26" s="30"/>
      <c r="VZW26" s="93"/>
      <c r="VZX26" s="30"/>
      <c r="WAC26" s="93"/>
      <c r="WAD26" s="30"/>
      <c r="WAI26" s="93"/>
      <c r="WAJ26" s="30"/>
      <c r="WAO26" s="93"/>
      <c r="WAP26" s="30"/>
      <c r="WAU26" s="93"/>
      <c r="WAV26" s="30"/>
      <c r="WBA26" s="93"/>
      <c r="WBB26" s="30"/>
      <c r="WBG26" s="93"/>
      <c r="WBH26" s="30"/>
      <c r="WBM26" s="93"/>
      <c r="WBN26" s="30"/>
      <c r="WBS26" s="93"/>
      <c r="WBT26" s="30"/>
      <c r="WBY26" s="93"/>
      <c r="WBZ26" s="30"/>
      <c r="WCE26" s="93"/>
      <c r="WCF26" s="30"/>
      <c r="WCK26" s="93"/>
      <c r="WCL26" s="30"/>
      <c r="WCQ26" s="93"/>
      <c r="WCR26" s="30"/>
      <c r="WCW26" s="93"/>
      <c r="WCX26" s="30"/>
      <c r="WDC26" s="93"/>
      <c r="WDD26" s="30"/>
      <c r="WDI26" s="93"/>
      <c r="WDJ26" s="30"/>
      <c r="WDO26" s="93"/>
      <c r="WDP26" s="30"/>
      <c r="WDU26" s="93"/>
      <c r="WDV26" s="30"/>
      <c r="WEA26" s="93"/>
      <c r="WEB26" s="30"/>
      <c r="WEG26" s="93"/>
      <c r="WEH26" s="30"/>
      <c r="WEM26" s="93"/>
      <c r="WEN26" s="30"/>
      <c r="WES26" s="93"/>
      <c r="WET26" s="30"/>
      <c r="WEY26" s="93"/>
      <c r="WEZ26" s="30"/>
      <c r="WFE26" s="93"/>
      <c r="WFF26" s="30"/>
      <c r="WFK26" s="93"/>
      <c r="WFL26" s="30"/>
      <c r="WFQ26" s="93"/>
      <c r="WFR26" s="30"/>
      <c r="WFW26" s="93"/>
      <c r="WFX26" s="30"/>
      <c r="WGC26" s="93"/>
      <c r="WGD26" s="30"/>
      <c r="WGI26" s="93"/>
      <c r="WGJ26" s="30"/>
      <c r="WGO26" s="93"/>
      <c r="WGP26" s="30"/>
      <c r="WGU26" s="93"/>
      <c r="WGV26" s="30"/>
      <c r="WHA26" s="93"/>
      <c r="WHB26" s="30"/>
      <c r="WHG26" s="93"/>
      <c r="WHH26" s="30"/>
      <c r="WHM26" s="93"/>
      <c r="WHN26" s="30"/>
      <c r="WHS26" s="93"/>
      <c r="WHT26" s="30"/>
      <c r="WHY26" s="93"/>
      <c r="WHZ26" s="30"/>
      <c r="WIE26" s="93"/>
      <c r="WIF26" s="30"/>
      <c r="WIK26" s="93"/>
      <c r="WIL26" s="30"/>
      <c r="WIQ26" s="93"/>
      <c r="WIR26" s="30"/>
      <c r="WIW26" s="93"/>
      <c r="WIX26" s="30"/>
      <c r="WJC26" s="93"/>
      <c r="WJD26" s="30"/>
      <c r="WJI26" s="93"/>
      <c r="WJJ26" s="30"/>
      <c r="WJO26" s="93"/>
      <c r="WJP26" s="30"/>
      <c r="WJU26" s="93"/>
      <c r="WJV26" s="30"/>
      <c r="WKA26" s="93"/>
      <c r="WKB26" s="30"/>
      <c r="WKG26" s="93"/>
      <c r="WKH26" s="30"/>
      <c r="WKM26" s="93"/>
      <c r="WKN26" s="30"/>
      <c r="WKS26" s="93"/>
      <c r="WKT26" s="30"/>
      <c r="WKY26" s="93"/>
      <c r="WKZ26" s="30"/>
      <c r="WLE26" s="93"/>
      <c r="WLF26" s="30"/>
      <c r="WLK26" s="93"/>
      <c r="WLL26" s="30"/>
      <c r="WLQ26" s="93"/>
      <c r="WLR26" s="30"/>
      <c r="WLW26" s="93"/>
      <c r="WLX26" s="30"/>
      <c r="WMC26" s="93"/>
      <c r="WMD26" s="30"/>
      <c r="WMI26" s="93"/>
      <c r="WMJ26" s="30"/>
      <c r="WMO26" s="93"/>
      <c r="WMP26" s="30"/>
      <c r="WMU26" s="93"/>
      <c r="WMV26" s="30"/>
      <c r="WNA26" s="93"/>
      <c r="WNB26" s="30"/>
      <c r="WNG26" s="93"/>
      <c r="WNH26" s="30"/>
      <c r="WNM26" s="93"/>
      <c r="WNN26" s="30"/>
      <c r="WNS26" s="93"/>
      <c r="WNT26" s="30"/>
      <c r="WNY26" s="93"/>
      <c r="WNZ26" s="30"/>
      <c r="WOE26" s="93"/>
      <c r="WOF26" s="30"/>
      <c r="WOK26" s="93"/>
      <c r="WOL26" s="30"/>
      <c r="WOQ26" s="93"/>
      <c r="WOR26" s="30"/>
      <c r="WOW26" s="93"/>
      <c r="WOX26" s="30"/>
      <c r="WPC26" s="93"/>
      <c r="WPD26" s="30"/>
      <c r="WPI26" s="93"/>
      <c r="WPJ26" s="30"/>
      <c r="WPO26" s="93"/>
      <c r="WPP26" s="30"/>
      <c r="WPU26" s="93"/>
      <c r="WPV26" s="30"/>
      <c r="WQA26" s="93"/>
      <c r="WQB26" s="30"/>
      <c r="WQG26" s="93"/>
      <c r="WQH26" s="30"/>
      <c r="WQM26" s="93"/>
      <c r="WQN26" s="30"/>
      <c r="WQS26" s="93"/>
      <c r="WQT26" s="30"/>
      <c r="WQY26" s="93"/>
      <c r="WQZ26" s="30"/>
      <c r="WRE26" s="93"/>
      <c r="WRF26" s="30"/>
      <c r="WRK26" s="93"/>
      <c r="WRL26" s="30"/>
      <c r="WRQ26" s="93"/>
      <c r="WRR26" s="30"/>
      <c r="WRW26" s="93"/>
      <c r="WRX26" s="30"/>
      <c r="WSC26" s="93"/>
      <c r="WSD26" s="30"/>
      <c r="WSI26" s="93"/>
      <c r="WSJ26" s="30"/>
      <c r="WSO26" s="93"/>
      <c r="WSP26" s="30"/>
      <c r="WSU26" s="93"/>
      <c r="WSV26" s="30"/>
      <c r="WTA26" s="93"/>
      <c r="WTB26" s="30"/>
      <c r="WTG26" s="93"/>
      <c r="WTH26" s="30"/>
      <c r="WTM26" s="93"/>
      <c r="WTN26" s="30"/>
      <c r="WTS26" s="93"/>
      <c r="WTT26" s="30"/>
      <c r="WTY26" s="93"/>
      <c r="WTZ26" s="30"/>
      <c r="WUE26" s="93"/>
      <c r="WUF26" s="30"/>
      <c r="WUK26" s="93"/>
      <c r="WUL26" s="30"/>
      <c r="WUQ26" s="93"/>
      <c r="WUR26" s="30"/>
      <c r="WUW26" s="93"/>
      <c r="WUX26" s="30"/>
      <c r="WVC26" s="93"/>
      <c r="WVD26" s="30"/>
      <c r="WVI26" s="93"/>
      <c r="WVJ26" s="30"/>
      <c r="WVO26" s="93"/>
      <c r="WVP26" s="30"/>
      <c r="WVU26" s="93"/>
      <c r="WVV26" s="30"/>
      <c r="WWA26" s="93"/>
      <c r="WWB26" s="30"/>
      <c r="WWG26" s="93"/>
      <c r="WWH26" s="30"/>
      <c r="WWM26" s="93"/>
      <c r="WWN26" s="30"/>
      <c r="WWS26" s="93"/>
      <c r="WWT26" s="30"/>
      <c r="WWY26" s="93"/>
      <c r="WWZ26" s="30"/>
      <c r="WXE26" s="93"/>
      <c r="WXF26" s="30"/>
      <c r="WXK26" s="93"/>
      <c r="WXL26" s="30"/>
      <c r="WXQ26" s="93"/>
      <c r="WXR26" s="30"/>
      <c r="WXW26" s="93"/>
      <c r="WXX26" s="30"/>
      <c r="WYC26" s="93"/>
      <c r="WYD26" s="30"/>
      <c r="WYI26" s="93"/>
      <c r="WYJ26" s="30"/>
      <c r="WYO26" s="93"/>
      <c r="WYP26" s="30"/>
      <c r="WYU26" s="93"/>
      <c r="WYV26" s="30"/>
      <c r="WZA26" s="93"/>
      <c r="WZB26" s="30"/>
      <c r="WZG26" s="93"/>
      <c r="WZH26" s="30"/>
      <c r="WZM26" s="93"/>
      <c r="WZN26" s="30"/>
      <c r="WZS26" s="93"/>
      <c r="WZT26" s="30"/>
      <c r="WZY26" s="93"/>
      <c r="WZZ26" s="30"/>
      <c r="XAE26" s="93"/>
      <c r="XAF26" s="30"/>
      <c r="XAK26" s="93"/>
      <c r="XAL26" s="30"/>
      <c r="XAQ26" s="93"/>
      <c r="XAR26" s="30"/>
      <c r="XAW26" s="93"/>
      <c r="XAX26" s="30"/>
      <c r="XBC26" s="93"/>
      <c r="XBD26" s="30"/>
      <c r="XBI26" s="93"/>
      <c r="XBJ26" s="30"/>
      <c r="XBO26" s="93"/>
      <c r="XBP26" s="30"/>
      <c r="XBU26" s="93"/>
      <c r="XBV26" s="30"/>
      <c r="XCA26" s="93"/>
      <c r="XCB26" s="30"/>
      <c r="XCG26" s="93"/>
      <c r="XCH26" s="30"/>
      <c r="XCM26" s="93"/>
      <c r="XCN26" s="30"/>
      <c r="XCS26" s="93"/>
      <c r="XCT26" s="30"/>
      <c r="XCY26" s="93"/>
      <c r="XCZ26" s="30"/>
      <c r="XDE26" s="93"/>
      <c r="XDF26" s="30"/>
      <c r="XDK26" s="93"/>
      <c r="XDL26" s="30"/>
      <c r="XDQ26" s="93"/>
      <c r="XDR26" s="30"/>
      <c r="XDW26" s="93"/>
      <c r="XDX26" s="30"/>
      <c r="XEC26" s="93"/>
      <c r="XED26" s="30"/>
      <c r="XEI26" s="93"/>
      <c r="XEJ26" s="30"/>
      <c r="XEO26" s="93"/>
      <c r="XEP26" s="30"/>
      <c r="XEU26" s="93"/>
      <c r="XEV26" s="30"/>
      <c r="XFA26" s="93"/>
      <c r="XFB26" s="30"/>
    </row>
    <row r="27" spans="1:1022 1027:2048 2053:3068 3073:4094 4099:5120 5125:6140 6145:7166 7171:8192 8197:9212 9217:10238 10243:11264 11269:12284 12289:13310 13315:14336 14341:15356 15361:16382" s="8" customFormat="1" ht="16" x14ac:dyDescent="0.2">
      <c r="A27" s="93" t="s">
        <v>590</v>
      </c>
      <c r="B27" s="10" t="s">
        <v>524</v>
      </c>
      <c r="C27" s="9" t="s">
        <v>588</v>
      </c>
      <c r="D27" s="10"/>
      <c r="E27" s="10"/>
      <c r="F27" s="10"/>
      <c r="G27" s="10"/>
      <c r="H27" s="10"/>
      <c r="I27" s="10"/>
      <c r="J27" s="10"/>
      <c r="K27" s="10"/>
      <c r="L27" s="10"/>
      <c r="M27" s="93"/>
      <c r="N27" s="30"/>
      <c r="S27" s="93"/>
      <c r="T27" s="30"/>
      <c r="Y27" s="93"/>
      <c r="Z27" s="30"/>
      <c r="AE27" s="93"/>
      <c r="AF27" s="30"/>
      <c r="AK27" s="93"/>
      <c r="AL27" s="30"/>
      <c r="AQ27" s="93"/>
      <c r="AR27" s="30"/>
      <c r="AW27" s="93"/>
      <c r="AX27" s="30"/>
      <c r="BC27" s="93"/>
      <c r="BD27" s="30"/>
      <c r="BI27" s="93"/>
      <c r="BJ27" s="30"/>
      <c r="BO27" s="93"/>
      <c r="BP27" s="30"/>
      <c r="BU27" s="93"/>
      <c r="BV27" s="30"/>
      <c r="CA27" s="93"/>
      <c r="CB27" s="30"/>
      <c r="CG27" s="93"/>
      <c r="CH27" s="30"/>
      <c r="CM27" s="93"/>
      <c r="CN27" s="30"/>
      <c r="CS27" s="93"/>
      <c r="CT27" s="30"/>
      <c r="CY27" s="93"/>
      <c r="CZ27" s="30"/>
      <c r="DE27" s="93"/>
      <c r="DF27" s="30"/>
      <c r="DK27" s="93"/>
      <c r="DL27" s="30"/>
      <c r="DQ27" s="93"/>
      <c r="DR27" s="30"/>
      <c r="DW27" s="93"/>
      <c r="DX27" s="30"/>
      <c r="EC27" s="93"/>
      <c r="ED27" s="30"/>
      <c r="EI27" s="93"/>
      <c r="EJ27" s="30"/>
      <c r="EO27" s="93"/>
      <c r="EP27" s="30"/>
      <c r="EU27" s="93"/>
      <c r="EV27" s="30"/>
      <c r="FA27" s="93"/>
      <c r="FB27" s="30"/>
      <c r="FG27" s="93"/>
      <c r="FH27" s="30"/>
      <c r="FM27" s="93"/>
      <c r="FN27" s="30"/>
      <c r="FS27" s="93"/>
      <c r="FT27" s="30"/>
      <c r="FY27" s="93"/>
      <c r="FZ27" s="30"/>
      <c r="GE27" s="93"/>
      <c r="GF27" s="30"/>
      <c r="GK27" s="93"/>
      <c r="GL27" s="30"/>
      <c r="GQ27" s="93"/>
      <c r="GR27" s="30"/>
      <c r="GW27" s="93"/>
      <c r="GX27" s="30"/>
      <c r="HC27" s="93"/>
      <c r="HD27" s="30"/>
      <c r="HI27" s="93"/>
      <c r="HJ27" s="30"/>
      <c r="HO27" s="93"/>
      <c r="HP27" s="30"/>
      <c r="HU27" s="93"/>
      <c r="HV27" s="30"/>
      <c r="IA27" s="93"/>
      <c r="IB27" s="30"/>
      <c r="IG27" s="93"/>
      <c r="IH27" s="30"/>
      <c r="IM27" s="93"/>
      <c r="IN27" s="30"/>
      <c r="IS27" s="93"/>
      <c r="IT27" s="30"/>
      <c r="IY27" s="93"/>
      <c r="IZ27" s="30"/>
      <c r="JE27" s="93"/>
      <c r="JF27" s="30"/>
      <c r="JK27" s="93"/>
      <c r="JL27" s="30"/>
      <c r="JQ27" s="93"/>
      <c r="JR27" s="30"/>
      <c r="JW27" s="93"/>
      <c r="JX27" s="30"/>
      <c r="KC27" s="93"/>
      <c r="KD27" s="30"/>
      <c r="KI27" s="93"/>
      <c r="KJ27" s="30"/>
      <c r="KO27" s="93"/>
      <c r="KP27" s="30"/>
      <c r="KU27" s="93"/>
      <c r="KV27" s="30"/>
      <c r="LA27" s="93"/>
      <c r="LB27" s="30"/>
      <c r="LG27" s="93"/>
      <c r="LH27" s="30"/>
      <c r="LM27" s="93"/>
      <c r="LN27" s="30"/>
      <c r="LS27" s="93"/>
      <c r="LT27" s="30"/>
      <c r="LY27" s="93"/>
      <c r="LZ27" s="30"/>
      <c r="ME27" s="93"/>
      <c r="MF27" s="30"/>
      <c r="MK27" s="93"/>
      <c r="ML27" s="30"/>
      <c r="MQ27" s="93"/>
      <c r="MR27" s="30"/>
      <c r="MW27" s="93"/>
      <c r="MX27" s="30"/>
      <c r="NC27" s="93"/>
      <c r="ND27" s="30"/>
      <c r="NI27" s="93"/>
      <c r="NJ27" s="30"/>
      <c r="NO27" s="93"/>
      <c r="NP27" s="30"/>
      <c r="NU27" s="93"/>
      <c r="NV27" s="30"/>
      <c r="OA27" s="93"/>
      <c r="OB27" s="30"/>
      <c r="OG27" s="93"/>
      <c r="OH27" s="30"/>
      <c r="OM27" s="93"/>
      <c r="ON27" s="30"/>
      <c r="OS27" s="93"/>
      <c r="OT27" s="30"/>
      <c r="OY27" s="93"/>
      <c r="OZ27" s="30"/>
      <c r="PE27" s="93"/>
      <c r="PF27" s="30"/>
      <c r="PK27" s="93"/>
      <c r="PL27" s="30"/>
      <c r="PQ27" s="93"/>
      <c r="PR27" s="30"/>
      <c r="PW27" s="93"/>
      <c r="PX27" s="30"/>
      <c r="QC27" s="93"/>
      <c r="QD27" s="30"/>
      <c r="QI27" s="93"/>
      <c r="QJ27" s="30"/>
      <c r="QO27" s="93"/>
      <c r="QP27" s="30"/>
      <c r="QU27" s="93"/>
      <c r="QV27" s="30"/>
      <c r="RA27" s="93"/>
      <c r="RB27" s="30"/>
      <c r="RG27" s="93"/>
      <c r="RH27" s="30"/>
      <c r="RM27" s="93"/>
      <c r="RN27" s="30"/>
      <c r="RS27" s="93"/>
      <c r="RT27" s="30"/>
      <c r="RY27" s="93"/>
      <c r="RZ27" s="30"/>
      <c r="SE27" s="93"/>
      <c r="SF27" s="30"/>
      <c r="SK27" s="93"/>
      <c r="SL27" s="30"/>
      <c r="SQ27" s="93"/>
      <c r="SR27" s="30"/>
      <c r="SW27" s="93"/>
      <c r="SX27" s="30"/>
      <c r="TC27" s="93"/>
      <c r="TD27" s="30"/>
      <c r="TI27" s="93"/>
      <c r="TJ27" s="30"/>
      <c r="TO27" s="93"/>
      <c r="TP27" s="30"/>
      <c r="TU27" s="93"/>
      <c r="TV27" s="30"/>
      <c r="UA27" s="93"/>
      <c r="UB27" s="30"/>
      <c r="UG27" s="93"/>
      <c r="UH27" s="30"/>
      <c r="UM27" s="93"/>
      <c r="UN27" s="30"/>
      <c r="US27" s="93"/>
      <c r="UT27" s="30"/>
      <c r="UY27" s="93"/>
      <c r="UZ27" s="30"/>
      <c r="VE27" s="93"/>
      <c r="VF27" s="30"/>
      <c r="VK27" s="93"/>
      <c r="VL27" s="30"/>
      <c r="VQ27" s="93"/>
      <c r="VR27" s="30"/>
      <c r="VW27" s="93"/>
      <c r="VX27" s="30"/>
      <c r="WC27" s="93"/>
      <c r="WD27" s="30"/>
      <c r="WI27" s="93"/>
      <c r="WJ27" s="30"/>
      <c r="WO27" s="93"/>
      <c r="WP27" s="30"/>
      <c r="WU27" s="93"/>
      <c r="WV27" s="30"/>
      <c r="XA27" s="93"/>
      <c r="XB27" s="30"/>
      <c r="XG27" s="93"/>
      <c r="XH27" s="30"/>
      <c r="XM27" s="93"/>
      <c r="XN27" s="30"/>
      <c r="XS27" s="93"/>
      <c r="XT27" s="30"/>
      <c r="XY27" s="93"/>
      <c r="XZ27" s="30"/>
      <c r="YE27" s="93"/>
      <c r="YF27" s="30"/>
      <c r="YK27" s="93"/>
      <c r="YL27" s="30"/>
      <c r="YQ27" s="93"/>
      <c r="YR27" s="30"/>
      <c r="YW27" s="93"/>
      <c r="YX27" s="30"/>
      <c r="ZC27" s="93"/>
      <c r="ZD27" s="30"/>
      <c r="ZI27" s="93"/>
      <c r="ZJ27" s="30"/>
      <c r="ZO27" s="93"/>
      <c r="ZP27" s="30"/>
      <c r="ZU27" s="93"/>
      <c r="ZV27" s="30"/>
      <c r="AAA27" s="93"/>
      <c r="AAB27" s="30"/>
      <c r="AAG27" s="93"/>
      <c r="AAH27" s="30"/>
      <c r="AAM27" s="93"/>
      <c r="AAN27" s="30"/>
      <c r="AAS27" s="93"/>
      <c r="AAT27" s="30"/>
      <c r="AAY27" s="93"/>
      <c r="AAZ27" s="30"/>
      <c r="ABE27" s="93"/>
      <c r="ABF27" s="30"/>
      <c r="ABK27" s="93"/>
      <c r="ABL27" s="30"/>
      <c r="ABQ27" s="93"/>
      <c r="ABR27" s="30"/>
      <c r="ABW27" s="93"/>
      <c r="ABX27" s="30"/>
      <c r="ACC27" s="93"/>
      <c r="ACD27" s="30"/>
      <c r="ACI27" s="93"/>
      <c r="ACJ27" s="30"/>
      <c r="ACO27" s="93"/>
      <c r="ACP27" s="30"/>
      <c r="ACU27" s="93"/>
      <c r="ACV27" s="30"/>
      <c r="ADA27" s="93"/>
      <c r="ADB27" s="30"/>
      <c r="ADG27" s="93"/>
      <c r="ADH27" s="30"/>
      <c r="ADM27" s="93"/>
      <c r="ADN27" s="30"/>
      <c r="ADS27" s="93"/>
      <c r="ADT27" s="30"/>
      <c r="ADY27" s="93"/>
      <c r="ADZ27" s="30"/>
      <c r="AEE27" s="93"/>
      <c r="AEF27" s="30"/>
      <c r="AEK27" s="93"/>
      <c r="AEL27" s="30"/>
      <c r="AEQ27" s="93"/>
      <c r="AER27" s="30"/>
      <c r="AEW27" s="93"/>
      <c r="AEX27" s="30"/>
      <c r="AFC27" s="93"/>
      <c r="AFD27" s="30"/>
      <c r="AFI27" s="93"/>
      <c r="AFJ27" s="30"/>
      <c r="AFO27" s="93"/>
      <c r="AFP27" s="30"/>
      <c r="AFU27" s="93"/>
      <c r="AFV27" s="30"/>
      <c r="AGA27" s="93"/>
      <c r="AGB27" s="30"/>
      <c r="AGG27" s="93"/>
      <c r="AGH27" s="30"/>
      <c r="AGM27" s="93"/>
      <c r="AGN27" s="30"/>
      <c r="AGS27" s="93"/>
      <c r="AGT27" s="30"/>
      <c r="AGY27" s="93"/>
      <c r="AGZ27" s="30"/>
      <c r="AHE27" s="93"/>
      <c r="AHF27" s="30"/>
      <c r="AHK27" s="93"/>
      <c r="AHL27" s="30"/>
      <c r="AHQ27" s="93"/>
      <c r="AHR27" s="30"/>
      <c r="AHW27" s="93"/>
      <c r="AHX27" s="30"/>
      <c r="AIC27" s="93"/>
      <c r="AID27" s="30"/>
      <c r="AII27" s="93"/>
      <c r="AIJ27" s="30"/>
      <c r="AIO27" s="93"/>
      <c r="AIP27" s="30"/>
      <c r="AIU27" s="93"/>
      <c r="AIV27" s="30"/>
      <c r="AJA27" s="93"/>
      <c r="AJB27" s="30"/>
      <c r="AJG27" s="93"/>
      <c r="AJH27" s="30"/>
      <c r="AJM27" s="93"/>
      <c r="AJN27" s="30"/>
      <c r="AJS27" s="93"/>
      <c r="AJT27" s="30"/>
      <c r="AJY27" s="93"/>
      <c r="AJZ27" s="30"/>
      <c r="AKE27" s="93"/>
      <c r="AKF27" s="30"/>
      <c r="AKK27" s="93"/>
      <c r="AKL27" s="30"/>
      <c r="AKQ27" s="93"/>
      <c r="AKR27" s="30"/>
      <c r="AKW27" s="93"/>
      <c r="AKX27" s="30"/>
      <c r="ALC27" s="93"/>
      <c r="ALD27" s="30"/>
      <c r="ALI27" s="93"/>
      <c r="ALJ27" s="30"/>
      <c r="ALO27" s="93"/>
      <c r="ALP27" s="30"/>
      <c r="ALU27" s="93"/>
      <c r="ALV27" s="30"/>
      <c r="AMA27" s="93"/>
      <c r="AMB27" s="30"/>
      <c r="AMG27" s="93"/>
      <c r="AMH27" s="30"/>
      <c r="AMM27" s="93"/>
      <c r="AMN27" s="30"/>
      <c r="AMS27" s="93"/>
      <c r="AMT27" s="30"/>
      <c r="AMY27" s="93"/>
      <c r="AMZ27" s="30"/>
      <c r="ANE27" s="93"/>
      <c r="ANF27" s="30"/>
      <c r="ANK27" s="93"/>
      <c r="ANL27" s="30"/>
      <c r="ANQ27" s="93"/>
      <c r="ANR27" s="30"/>
      <c r="ANW27" s="93"/>
      <c r="ANX27" s="30"/>
      <c r="AOC27" s="93"/>
      <c r="AOD27" s="30"/>
      <c r="AOI27" s="93"/>
      <c r="AOJ27" s="30"/>
      <c r="AOO27" s="93"/>
      <c r="AOP27" s="30"/>
      <c r="AOU27" s="93"/>
      <c r="AOV27" s="30"/>
      <c r="APA27" s="93"/>
      <c r="APB27" s="30"/>
      <c r="APG27" s="93"/>
      <c r="APH27" s="30"/>
      <c r="APM27" s="93"/>
      <c r="APN27" s="30"/>
      <c r="APS27" s="93"/>
      <c r="APT27" s="30"/>
      <c r="APY27" s="93"/>
      <c r="APZ27" s="30"/>
      <c r="AQE27" s="93"/>
      <c r="AQF27" s="30"/>
      <c r="AQK27" s="93"/>
      <c r="AQL27" s="30"/>
      <c r="AQQ27" s="93"/>
      <c r="AQR27" s="30"/>
      <c r="AQW27" s="93"/>
      <c r="AQX27" s="30"/>
      <c r="ARC27" s="93"/>
      <c r="ARD27" s="30"/>
      <c r="ARI27" s="93"/>
      <c r="ARJ27" s="30"/>
      <c r="ARO27" s="93"/>
      <c r="ARP27" s="30"/>
      <c r="ARU27" s="93"/>
      <c r="ARV27" s="30"/>
      <c r="ASA27" s="93"/>
      <c r="ASB27" s="30"/>
      <c r="ASG27" s="93"/>
      <c r="ASH27" s="30"/>
      <c r="ASM27" s="93"/>
      <c r="ASN27" s="30"/>
      <c r="ASS27" s="93"/>
      <c r="AST27" s="30"/>
      <c r="ASY27" s="93"/>
      <c r="ASZ27" s="30"/>
      <c r="ATE27" s="93"/>
      <c r="ATF27" s="30"/>
      <c r="ATK27" s="93"/>
      <c r="ATL27" s="30"/>
      <c r="ATQ27" s="93"/>
      <c r="ATR27" s="30"/>
      <c r="ATW27" s="93"/>
      <c r="ATX27" s="30"/>
      <c r="AUC27" s="93"/>
      <c r="AUD27" s="30"/>
      <c r="AUI27" s="93"/>
      <c r="AUJ27" s="30"/>
      <c r="AUO27" s="93"/>
      <c r="AUP27" s="30"/>
      <c r="AUU27" s="93"/>
      <c r="AUV27" s="30"/>
      <c r="AVA27" s="93"/>
      <c r="AVB27" s="30"/>
      <c r="AVG27" s="93"/>
      <c r="AVH27" s="30"/>
      <c r="AVM27" s="93"/>
      <c r="AVN27" s="30"/>
      <c r="AVS27" s="93"/>
      <c r="AVT27" s="30"/>
      <c r="AVY27" s="93"/>
      <c r="AVZ27" s="30"/>
      <c r="AWE27" s="93"/>
      <c r="AWF27" s="30"/>
      <c r="AWK27" s="93"/>
      <c r="AWL27" s="30"/>
      <c r="AWQ27" s="93"/>
      <c r="AWR27" s="30"/>
      <c r="AWW27" s="93"/>
      <c r="AWX27" s="30"/>
      <c r="AXC27" s="93"/>
      <c r="AXD27" s="30"/>
      <c r="AXI27" s="93"/>
      <c r="AXJ27" s="30"/>
      <c r="AXO27" s="93"/>
      <c r="AXP27" s="30"/>
      <c r="AXU27" s="93"/>
      <c r="AXV27" s="30"/>
      <c r="AYA27" s="93"/>
      <c r="AYB27" s="30"/>
      <c r="AYG27" s="93"/>
      <c r="AYH27" s="30"/>
      <c r="AYM27" s="93"/>
      <c r="AYN27" s="30"/>
      <c r="AYS27" s="93"/>
      <c r="AYT27" s="30"/>
      <c r="AYY27" s="93"/>
      <c r="AYZ27" s="30"/>
      <c r="AZE27" s="93"/>
      <c r="AZF27" s="30"/>
      <c r="AZK27" s="93"/>
      <c r="AZL27" s="30"/>
      <c r="AZQ27" s="93"/>
      <c r="AZR27" s="30"/>
      <c r="AZW27" s="93"/>
      <c r="AZX27" s="30"/>
      <c r="BAC27" s="93"/>
      <c r="BAD27" s="30"/>
      <c r="BAI27" s="93"/>
      <c r="BAJ27" s="30"/>
      <c r="BAO27" s="93"/>
      <c r="BAP27" s="30"/>
      <c r="BAU27" s="93"/>
      <c r="BAV27" s="30"/>
      <c r="BBA27" s="93"/>
      <c r="BBB27" s="30"/>
      <c r="BBG27" s="93"/>
      <c r="BBH27" s="30"/>
      <c r="BBM27" s="93"/>
      <c r="BBN27" s="30"/>
      <c r="BBS27" s="93"/>
      <c r="BBT27" s="30"/>
      <c r="BBY27" s="93"/>
      <c r="BBZ27" s="30"/>
      <c r="BCE27" s="93"/>
      <c r="BCF27" s="30"/>
      <c r="BCK27" s="93"/>
      <c r="BCL27" s="30"/>
      <c r="BCQ27" s="93"/>
      <c r="BCR27" s="30"/>
      <c r="BCW27" s="93"/>
      <c r="BCX27" s="30"/>
      <c r="BDC27" s="93"/>
      <c r="BDD27" s="30"/>
      <c r="BDI27" s="93"/>
      <c r="BDJ27" s="30"/>
      <c r="BDO27" s="93"/>
      <c r="BDP27" s="30"/>
      <c r="BDU27" s="93"/>
      <c r="BDV27" s="30"/>
      <c r="BEA27" s="93"/>
      <c r="BEB27" s="30"/>
      <c r="BEG27" s="93"/>
      <c r="BEH27" s="30"/>
      <c r="BEM27" s="93"/>
      <c r="BEN27" s="30"/>
      <c r="BES27" s="93"/>
      <c r="BET27" s="30"/>
      <c r="BEY27" s="93"/>
      <c r="BEZ27" s="30"/>
      <c r="BFE27" s="93"/>
      <c r="BFF27" s="30"/>
      <c r="BFK27" s="93"/>
      <c r="BFL27" s="30"/>
      <c r="BFQ27" s="93"/>
      <c r="BFR27" s="30"/>
      <c r="BFW27" s="93"/>
      <c r="BFX27" s="30"/>
      <c r="BGC27" s="93"/>
      <c r="BGD27" s="30"/>
      <c r="BGI27" s="93"/>
      <c r="BGJ27" s="30"/>
      <c r="BGO27" s="93"/>
      <c r="BGP27" s="30"/>
      <c r="BGU27" s="93"/>
      <c r="BGV27" s="30"/>
      <c r="BHA27" s="93"/>
      <c r="BHB27" s="30"/>
      <c r="BHG27" s="93"/>
      <c r="BHH27" s="30"/>
      <c r="BHM27" s="93"/>
      <c r="BHN27" s="30"/>
      <c r="BHS27" s="93"/>
      <c r="BHT27" s="30"/>
      <c r="BHY27" s="93"/>
      <c r="BHZ27" s="30"/>
      <c r="BIE27" s="93"/>
      <c r="BIF27" s="30"/>
      <c r="BIK27" s="93"/>
      <c r="BIL27" s="30"/>
      <c r="BIQ27" s="93"/>
      <c r="BIR27" s="30"/>
      <c r="BIW27" s="93"/>
      <c r="BIX27" s="30"/>
      <c r="BJC27" s="93"/>
      <c r="BJD27" s="30"/>
      <c r="BJI27" s="93"/>
      <c r="BJJ27" s="30"/>
      <c r="BJO27" s="93"/>
      <c r="BJP27" s="30"/>
      <c r="BJU27" s="93"/>
      <c r="BJV27" s="30"/>
      <c r="BKA27" s="93"/>
      <c r="BKB27" s="30"/>
      <c r="BKG27" s="93"/>
      <c r="BKH27" s="30"/>
      <c r="BKM27" s="93"/>
      <c r="BKN27" s="30"/>
      <c r="BKS27" s="93"/>
      <c r="BKT27" s="30"/>
      <c r="BKY27" s="93"/>
      <c r="BKZ27" s="30"/>
      <c r="BLE27" s="93"/>
      <c r="BLF27" s="30"/>
      <c r="BLK27" s="93"/>
      <c r="BLL27" s="30"/>
      <c r="BLQ27" s="93"/>
      <c r="BLR27" s="30"/>
      <c r="BLW27" s="93"/>
      <c r="BLX27" s="30"/>
      <c r="BMC27" s="93"/>
      <c r="BMD27" s="30"/>
      <c r="BMI27" s="93"/>
      <c r="BMJ27" s="30"/>
      <c r="BMO27" s="93"/>
      <c r="BMP27" s="30"/>
      <c r="BMU27" s="93"/>
      <c r="BMV27" s="30"/>
      <c r="BNA27" s="93"/>
      <c r="BNB27" s="30"/>
      <c r="BNG27" s="93"/>
      <c r="BNH27" s="30"/>
      <c r="BNM27" s="93"/>
      <c r="BNN27" s="30"/>
      <c r="BNS27" s="93"/>
      <c r="BNT27" s="30"/>
      <c r="BNY27" s="93"/>
      <c r="BNZ27" s="30"/>
      <c r="BOE27" s="93"/>
      <c r="BOF27" s="30"/>
      <c r="BOK27" s="93"/>
      <c r="BOL27" s="30"/>
      <c r="BOQ27" s="93"/>
      <c r="BOR27" s="30"/>
      <c r="BOW27" s="93"/>
      <c r="BOX27" s="30"/>
      <c r="BPC27" s="93"/>
      <c r="BPD27" s="30"/>
      <c r="BPI27" s="93"/>
      <c r="BPJ27" s="30"/>
      <c r="BPO27" s="93"/>
      <c r="BPP27" s="30"/>
      <c r="BPU27" s="93"/>
      <c r="BPV27" s="30"/>
      <c r="BQA27" s="93"/>
      <c r="BQB27" s="30"/>
      <c r="BQG27" s="93"/>
      <c r="BQH27" s="30"/>
      <c r="BQM27" s="93"/>
      <c r="BQN27" s="30"/>
      <c r="BQS27" s="93"/>
      <c r="BQT27" s="30"/>
      <c r="BQY27" s="93"/>
      <c r="BQZ27" s="30"/>
      <c r="BRE27" s="93"/>
      <c r="BRF27" s="30"/>
      <c r="BRK27" s="93"/>
      <c r="BRL27" s="30"/>
      <c r="BRQ27" s="93"/>
      <c r="BRR27" s="30"/>
      <c r="BRW27" s="93"/>
      <c r="BRX27" s="30"/>
      <c r="BSC27" s="93"/>
      <c r="BSD27" s="30"/>
      <c r="BSI27" s="93"/>
      <c r="BSJ27" s="30"/>
      <c r="BSO27" s="93"/>
      <c r="BSP27" s="30"/>
      <c r="BSU27" s="93"/>
      <c r="BSV27" s="30"/>
      <c r="BTA27" s="93"/>
      <c r="BTB27" s="30"/>
      <c r="BTG27" s="93"/>
      <c r="BTH27" s="30"/>
      <c r="BTM27" s="93"/>
      <c r="BTN27" s="30"/>
      <c r="BTS27" s="93"/>
      <c r="BTT27" s="30"/>
      <c r="BTY27" s="93"/>
      <c r="BTZ27" s="30"/>
      <c r="BUE27" s="93"/>
      <c r="BUF27" s="30"/>
      <c r="BUK27" s="93"/>
      <c r="BUL27" s="30"/>
      <c r="BUQ27" s="93"/>
      <c r="BUR27" s="30"/>
      <c r="BUW27" s="93"/>
      <c r="BUX27" s="30"/>
      <c r="BVC27" s="93"/>
      <c r="BVD27" s="30"/>
      <c r="BVI27" s="93"/>
      <c r="BVJ27" s="30"/>
      <c r="BVO27" s="93"/>
      <c r="BVP27" s="30"/>
      <c r="BVU27" s="93"/>
      <c r="BVV27" s="30"/>
      <c r="BWA27" s="93"/>
      <c r="BWB27" s="30"/>
      <c r="BWG27" s="93"/>
      <c r="BWH27" s="30"/>
      <c r="BWM27" s="93"/>
      <c r="BWN27" s="30"/>
      <c r="BWS27" s="93"/>
      <c r="BWT27" s="30"/>
      <c r="BWY27" s="93"/>
      <c r="BWZ27" s="30"/>
      <c r="BXE27" s="93"/>
      <c r="BXF27" s="30"/>
      <c r="BXK27" s="93"/>
      <c r="BXL27" s="30"/>
      <c r="BXQ27" s="93"/>
      <c r="BXR27" s="30"/>
      <c r="BXW27" s="93"/>
      <c r="BXX27" s="30"/>
      <c r="BYC27" s="93"/>
      <c r="BYD27" s="30"/>
      <c r="BYI27" s="93"/>
      <c r="BYJ27" s="30"/>
      <c r="BYO27" s="93"/>
      <c r="BYP27" s="30"/>
      <c r="BYU27" s="93"/>
      <c r="BYV27" s="30"/>
      <c r="BZA27" s="93"/>
      <c r="BZB27" s="30"/>
      <c r="BZG27" s="93"/>
      <c r="BZH27" s="30"/>
      <c r="BZM27" s="93"/>
      <c r="BZN27" s="30"/>
      <c r="BZS27" s="93"/>
      <c r="BZT27" s="30"/>
      <c r="BZY27" s="93"/>
      <c r="BZZ27" s="30"/>
      <c r="CAE27" s="93"/>
      <c r="CAF27" s="30"/>
      <c r="CAK27" s="93"/>
      <c r="CAL27" s="30"/>
      <c r="CAQ27" s="93"/>
      <c r="CAR27" s="30"/>
      <c r="CAW27" s="93"/>
      <c r="CAX27" s="30"/>
      <c r="CBC27" s="93"/>
      <c r="CBD27" s="30"/>
      <c r="CBI27" s="93"/>
      <c r="CBJ27" s="30"/>
      <c r="CBO27" s="93"/>
      <c r="CBP27" s="30"/>
      <c r="CBU27" s="93"/>
      <c r="CBV27" s="30"/>
      <c r="CCA27" s="93"/>
      <c r="CCB27" s="30"/>
      <c r="CCG27" s="93"/>
      <c r="CCH27" s="30"/>
      <c r="CCM27" s="93"/>
      <c r="CCN27" s="30"/>
      <c r="CCS27" s="93"/>
      <c r="CCT27" s="30"/>
      <c r="CCY27" s="93"/>
      <c r="CCZ27" s="30"/>
      <c r="CDE27" s="93"/>
      <c r="CDF27" s="30"/>
      <c r="CDK27" s="93"/>
      <c r="CDL27" s="30"/>
      <c r="CDQ27" s="93"/>
      <c r="CDR27" s="30"/>
      <c r="CDW27" s="93"/>
      <c r="CDX27" s="30"/>
      <c r="CEC27" s="93"/>
      <c r="CED27" s="30"/>
      <c r="CEI27" s="93"/>
      <c r="CEJ27" s="30"/>
      <c r="CEO27" s="93"/>
      <c r="CEP27" s="30"/>
      <c r="CEU27" s="93"/>
      <c r="CEV27" s="30"/>
      <c r="CFA27" s="93"/>
      <c r="CFB27" s="30"/>
      <c r="CFG27" s="93"/>
      <c r="CFH27" s="30"/>
      <c r="CFM27" s="93"/>
      <c r="CFN27" s="30"/>
      <c r="CFS27" s="93"/>
      <c r="CFT27" s="30"/>
      <c r="CFY27" s="93"/>
      <c r="CFZ27" s="30"/>
      <c r="CGE27" s="93"/>
      <c r="CGF27" s="30"/>
      <c r="CGK27" s="93"/>
      <c r="CGL27" s="30"/>
      <c r="CGQ27" s="93"/>
      <c r="CGR27" s="30"/>
      <c r="CGW27" s="93"/>
      <c r="CGX27" s="30"/>
      <c r="CHC27" s="93"/>
      <c r="CHD27" s="30"/>
      <c r="CHI27" s="93"/>
      <c r="CHJ27" s="30"/>
      <c r="CHO27" s="93"/>
      <c r="CHP27" s="30"/>
      <c r="CHU27" s="93"/>
      <c r="CHV27" s="30"/>
      <c r="CIA27" s="93"/>
      <c r="CIB27" s="30"/>
      <c r="CIG27" s="93"/>
      <c r="CIH27" s="30"/>
      <c r="CIM27" s="93"/>
      <c r="CIN27" s="30"/>
      <c r="CIS27" s="93"/>
      <c r="CIT27" s="30"/>
      <c r="CIY27" s="93"/>
      <c r="CIZ27" s="30"/>
      <c r="CJE27" s="93"/>
      <c r="CJF27" s="30"/>
      <c r="CJK27" s="93"/>
      <c r="CJL27" s="30"/>
      <c r="CJQ27" s="93"/>
      <c r="CJR27" s="30"/>
      <c r="CJW27" s="93"/>
      <c r="CJX27" s="30"/>
      <c r="CKC27" s="93"/>
      <c r="CKD27" s="30"/>
      <c r="CKI27" s="93"/>
      <c r="CKJ27" s="30"/>
      <c r="CKO27" s="93"/>
      <c r="CKP27" s="30"/>
      <c r="CKU27" s="93"/>
      <c r="CKV27" s="30"/>
      <c r="CLA27" s="93"/>
      <c r="CLB27" s="30"/>
      <c r="CLG27" s="93"/>
      <c r="CLH27" s="30"/>
      <c r="CLM27" s="93"/>
      <c r="CLN27" s="30"/>
      <c r="CLS27" s="93"/>
      <c r="CLT27" s="30"/>
      <c r="CLY27" s="93"/>
      <c r="CLZ27" s="30"/>
      <c r="CME27" s="93"/>
      <c r="CMF27" s="30"/>
      <c r="CMK27" s="93"/>
      <c r="CML27" s="30"/>
      <c r="CMQ27" s="93"/>
      <c r="CMR27" s="30"/>
      <c r="CMW27" s="93"/>
      <c r="CMX27" s="30"/>
      <c r="CNC27" s="93"/>
      <c r="CND27" s="30"/>
      <c r="CNI27" s="93"/>
      <c r="CNJ27" s="30"/>
      <c r="CNO27" s="93"/>
      <c r="CNP27" s="30"/>
      <c r="CNU27" s="93"/>
      <c r="CNV27" s="30"/>
      <c r="COA27" s="93"/>
      <c r="COB27" s="30"/>
      <c r="COG27" s="93"/>
      <c r="COH27" s="30"/>
      <c r="COM27" s="93"/>
      <c r="CON27" s="30"/>
      <c r="COS27" s="93"/>
      <c r="COT27" s="30"/>
      <c r="COY27" s="93"/>
      <c r="COZ27" s="30"/>
      <c r="CPE27" s="93"/>
      <c r="CPF27" s="30"/>
      <c r="CPK27" s="93"/>
      <c r="CPL27" s="30"/>
      <c r="CPQ27" s="93"/>
      <c r="CPR27" s="30"/>
      <c r="CPW27" s="93"/>
      <c r="CPX27" s="30"/>
      <c r="CQC27" s="93"/>
      <c r="CQD27" s="30"/>
      <c r="CQI27" s="93"/>
      <c r="CQJ27" s="30"/>
      <c r="CQO27" s="93"/>
      <c r="CQP27" s="30"/>
      <c r="CQU27" s="93"/>
      <c r="CQV27" s="30"/>
      <c r="CRA27" s="93"/>
      <c r="CRB27" s="30"/>
      <c r="CRG27" s="93"/>
      <c r="CRH27" s="30"/>
      <c r="CRM27" s="93"/>
      <c r="CRN27" s="30"/>
      <c r="CRS27" s="93"/>
      <c r="CRT27" s="30"/>
      <c r="CRY27" s="93"/>
      <c r="CRZ27" s="30"/>
      <c r="CSE27" s="93"/>
      <c r="CSF27" s="30"/>
      <c r="CSK27" s="93"/>
      <c r="CSL27" s="30"/>
      <c r="CSQ27" s="93"/>
      <c r="CSR27" s="30"/>
      <c r="CSW27" s="93"/>
      <c r="CSX27" s="30"/>
      <c r="CTC27" s="93"/>
      <c r="CTD27" s="30"/>
      <c r="CTI27" s="93"/>
      <c r="CTJ27" s="30"/>
      <c r="CTO27" s="93"/>
      <c r="CTP27" s="30"/>
      <c r="CTU27" s="93"/>
      <c r="CTV27" s="30"/>
      <c r="CUA27" s="93"/>
      <c r="CUB27" s="30"/>
      <c r="CUG27" s="93"/>
      <c r="CUH27" s="30"/>
      <c r="CUM27" s="93"/>
      <c r="CUN27" s="30"/>
      <c r="CUS27" s="93"/>
      <c r="CUT27" s="30"/>
      <c r="CUY27" s="93"/>
      <c r="CUZ27" s="30"/>
      <c r="CVE27" s="93"/>
      <c r="CVF27" s="30"/>
      <c r="CVK27" s="93"/>
      <c r="CVL27" s="30"/>
      <c r="CVQ27" s="93"/>
      <c r="CVR27" s="30"/>
      <c r="CVW27" s="93"/>
      <c r="CVX27" s="30"/>
      <c r="CWC27" s="93"/>
      <c r="CWD27" s="30"/>
      <c r="CWI27" s="93"/>
      <c r="CWJ27" s="30"/>
      <c r="CWO27" s="93"/>
      <c r="CWP27" s="30"/>
      <c r="CWU27" s="93"/>
      <c r="CWV27" s="30"/>
      <c r="CXA27" s="93"/>
      <c r="CXB27" s="30"/>
      <c r="CXG27" s="93"/>
      <c r="CXH27" s="30"/>
      <c r="CXM27" s="93"/>
      <c r="CXN27" s="30"/>
      <c r="CXS27" s="93"/>
      <c r="CXT27" s="30"/>
      <c r="CXY27" s="93"/>
      <c r="CXZ27" s="30"/>
      <c r="CYE27" s="93"/>
      <c r="CYF27" s="30"/>
      <c r="CYK27" s="93"/>
      <c r="CYL27" s="30"/>
      <c r="CYQ27" s="93"/>
      <c r="CYR27" s="30"/>
      <c r="CYW27" s="93"/>
      <c r="CYX27" s="30"/>
      <c r="CZC27" s="93"/>
      <c r="CZD27" s="30"/>
      <c r="CZI27" s="93"/>
      <c r="CZJ27" s="30"/>
      <c r="CZO27" s="93"/>
      <c r="CZP27" s="30"/>
      <c r="CZU27" s="93"/>
      <c r="CZV27" s="30"/>
      <c r="DAA27" s="93"/>
      <c r="DAB27" s="30"/>
      <c r="DAG27" s="93"/>
      <c r="DAH27" s="30"/>
      <c r="DAM27" s="93"/>
      <c r="DAN27" s="30"/>
      <c r="DAS27" s="93"/>
      <c r="DAT27" s="30"/>
      <c r="DAY27" s="93"/>
      <c r="DAZ27" s="30"/>
      <c r="DBE27" s="93"/>
      <c r="DBF27" s="30"/>
      <c r="DBK27" s="93"/>
      <c r="DBL27" s="30"/>
      <c r="DBQ27" s="93"/>
      <c r="DBR27" s="30"/>
      <c r="DBW27" s="93"/>
      <c r="DBX27" s="30"/>
      <c r="DCC27" s="93"/>
      <c r="DCD27" s="30"/>
      <c r="DCI27" s="93"/>
      <c r="DCJ27" s="30"/>
      <c r="DCO27" s="93"/>
      <c r="DCP27" s="30"/>
      <c r="DCU27" s="93"/>
      <c r="DCV27" s="30"/>
      <c r="DDA27" s="93"/>
      <c r="DDB27" s="30"/>
      <c r="DDG27" s="93"/>
      <c r="DDH27" s="30"/>
      <c r="DDM27" s="93"/>
      <c r="DDN27" s="30"/>
      <c r="DDS27" s="93"/>
      <c r="DDT27" s="30"/>
      <c r="DDY27" s="93"/>
      <c r="DDZ27" s="30"/>
      <c r="DEE27" s="93"/>
      <c r="DEF27" s="30"/>
      <c r="DEK27" s="93"/>
      <c r="DEL27" s="30"/>
      <c r="DEQ27" s="93"/>
      <c r="DER27" s="30"/>
      <c r="DEW27" s="93"/>
      <c r="DEX27" s="30"/>
      <c r="DFC27" s="93"/>
      <c r="DFD27" s="30"/>
      <c r="DFI27" s="93"/>
      <c r="DFJ27" s="30"/>
      <c r="DFO27" s="93"/>
      <c r="DFP27" s="30"/>
      <c r="DFU27" s="93"/>
      <c r="DFV27" s="30"/>
      <c r="DGA27" s="93"/>
      <c r="DGB27" s="30"/>
      <c r="DGG27" s="93"/>
      <c r="DGH27" s="30"/>
      <c r="DGM27" s="93"/>
      <c r="DGN27" s="30"/>
      <c r="DGS27" s="93"/>
      <c r="DGT27" s="30"/>
      <c r="DGY27" s="93"/>
      <c r="DGZ27" s="30"/>
      <c r="DHE27" s="93"/>
      <c r="DHF27" s="30"/>
      <c r="DHK27" s="93"/>
      <c r="DHL27" s="30"/>
      <c r="DHQ27" s="93"/>
      <c r="DHR27" s="30"/>
      <c r="DHW27" s="93"/>
      <c r="DHX27" s="30"/>
      <c r="DIC27" s="93"/>
      <c r="DID27" s="30"/>
      <c r="DII27" s="93"/>
      <c r="DIJ27" s="30"/>
      <c r="DIO27" s="93"/>
      <c r="DIP27" s="30"/>
      <c r="DIU27" s="93"/>
      <c r="DIV27" s="30"/>
      <c r="DJA27" s="93"/>
      <c r="DJB27" s="30"/>
      <c r="DJG27" s="93"/>
      <c r="DJH27" s="30"/>
      <c r="DJM27" s="93"/>
      <c r="DJN27" s="30"/>
      <c r="DJS27" s="93"/>
      <c r="DJT27" s="30"/>
      <c r="DJY27" s="93"/>
      <c r="DJZ27" s="30"/>
      <c r="DKE27" s="93"/>
      <c r="DKF27" s="30"/>
      <c r="DKK27" s="93"/>
      <c r="DKL27" s="30"/>
      <c r="DKQ27" s="93"/>
      <c r="DKR27" s="30"/>
      <c r="DKW27" s="93"/>
      <c r="DKX27" s="30"/>
      <c r="DLC27" s="93"/>
      <c r="DLD27" s="30"/>
      <c r="DLI27" s="93"/>
      <c r="DLJ27" s="30"/>
      <c r="DLO27" s="93"/>
      <c r="DLP27" s="30"/>
      <c r="DLU27" s="93"/>
      <c r="DLV27" s="30"/>
      <c r="DMA27" s="93"/>
      <c r="DMB27" s="30"/>
      <c r="DMG27" s="93"/>
      <c r="DMH27" s="30"/>
      <c r="DMM27" s="93"/>
      <c r="DMN27" s="30"/>
      <c r="DMS27" s="93"/>
      <c r="DMT27" s="30"/>
      <c r="DMY27" s="93"/>
      <c r="DMZ27" s="30"/>
      <c r="DNE27" s="93"/>
      <c r="DNF27" s="30"/>
      <c r="DNK27" s="93"/>
      <c r="DNL27" s="30"/>
      <c r="DNQ27" s="93"/>
      <c r="DNR27" s="30"/>
      <c r="DNW27" s="93"/>
      <c r="DNX27" s="30"/>
      <c r="DOC27" s="93"/>
      <c r="DOD27" s="30"/>
      <c r="DOI27" s="93"/>
      <c r="DOJ27" s="30"/>
      <c r="DOO27" s="93"/>
      <c r="DOP27" s="30"/>
      <c r="DOU27" s="93"/>
      <c r="DOV27" s="30"/>
      <c r="DPA27" s="93"/>
      <c r="DPB27" s="30"/>
      <c r="DPG27" s="93"/>
      <c r="DPH27" s="30"/>
      <c r="DPM27" s="93"/>
      <c r="DPN27" s="30"/>
      <c r="DPS27" s="93"/>
      <c r="DPT27" s="30"/>
      <c r="DPY27" s="93"/>
      <c r="DPZ27" s="30"/>
      <c r="DQE27" s="93"/>
      <c r="DQF27" s="30"/>
      <c r="DQK27" s="93"/>
      <c r="DQL27" s="30"/>
      <c r="DQQ27" s="93"/>
      <c r="DQR27" s="30"/>
      <c r="DQW27" s="93"/>
      <c r="DQX27" s="30"/>
      <c r="DRC27" s="93"/>
      <c r="DRD27" s="30"/>
      <c r="DRI27" s="93"/>
      <c r="DRJ27" s="30"/>
      <c r="DRO27" s="93"/>
      <c r="DRP27" s="30"/>
      <c r="DRU27" s="93"/>
      <c r="DRV27" s="30"/>
      <c r="DSA27" s="93"/>
      <c r="DSB27" s="30"/>
      <c r="DSG27" s="93"/>
      <c r="DSH27" s="30"/>
      <c r="DSM27" s="93"/>
      <c r="DSN27" s="30"/>
      <c r="DSS27" s="93"/>
      <c r="DST27" s="30"/>
      <c r="DSY27" s="93"/>
      <c r="DSZ27" s="30"/>
      <c r="DTE27" s="93"/>
      <c r="DTF27" s="30"/>
      <c r="DTK27" s="93"/>
      <c r="DTL27" s="30"/>
      <c r="DTQ27" s="93"/>
      <c r="DTR27" s="30"/>
      <c r="DTW27" s="93"/>
      <c r="DTX27" s="30"/>
      <c r="DUC27" s="93"/>
      <c r="DUD27" s="30"/>
      <c r="DUI27" s="93"/>
      <c r="DUJ27" s="30"/>
      <c r="DUO27" s="93"/>
      <c r="DUP27" s="30"/>
      <c r="DUU27" s="93"/>
      <c r="DUV27" s="30"/>
      <c r="DVA27" s="93"/>
      <c r="DVB27" s="30"/>
      <c r="DVG27" s="93"/>
      <c r="DVH27" s="30"/>
      <c r="DVM27" s="93"/>
      <c r="DVN27" s="30"/>
      <c r="DVS27" s="93"/>
      <c r="DVT27" s="30"/>
      <c r="DVY27" s="93"/>
      <c r="DVZ27" s="30"/>
      <c r="DWE27" s="93"/>
      <c r="DWF27" s="30"/>
      <c r="DWK27" s="93"/>
      <c r="DWL27" s="30"/>
      <c r="DWQ27" s="93"/>
      <c r="DWR27" s="30"/>
      <c r="DWW27" s="93"/>
      <c r="DWX27" s="30"/>
      <c r="DXC27" s="93"/>
      <c r="DXD27" s="30"/>
      <c r="DXI27" s="93"/>
      <c r="DXJ27" s="30"/>
      <c r="DXO27" s="93"/>
      <c r="DXP27" s="30"/>
      <c r="DXU27" s="93"/>
      <c r="DXV27" s="30"/>
      <c r="DYA27" s="93"/>
      <c r="DYB27" s="30"/>
      <c r="DYG27" s="93"/>
      <c r="DYH27" s="30"/>
      <c r="DYM27" s="93"/>
      <c r="DYN27" s="30"/>
      <c r="DYS27" s="93"/>
      <c r="DYT27" s="30"/>
      <c r="DYY27" s="93"/>
      <c r="DYZ27" s="30"/>
      <c r="DZE27" s="93"/>
      <c r="DZF27" s="30"/>
      <c r="DZK27" s="93"/>
      <c r="DZL27" s="30"/>
      <c r="DZQ27" s="93"/>
      <c r="DZR27" s="30"/>
      <c r="DZW27" s="93"/>
      <c r="DZX27" s="30"/>
      <c r="EAC27" s="93"/>
      <c r="EAD27" s="30"/>
      <c r="EAI27" s="93"/>
      <c r="EAJ27" s="30"/>
      <c r="EAO27" s="93"/>
      <c r="EAP27" s="30"/>
      <c r="EAU27" s="93"/>
      <c r="EAV27" s="30"/>
      <c r="EBA27" s="93"/>
      <c r="EBB27" s="30"/>
      <c r="EBG27" s="93"/>
      <c r="EBH27" s="30"/>
      <c r="EBM27" s="93"/>
      <c r="EBN27" s="30"/>
      <c r="EBS27" s="93"/>
      <c r="EBT27" s="30"/>
      <c r="EBY27" s="93"/>
      <c r="EBZ27" s="30"/>
      <c r="ECE27" s="93"/>
      <c r="ECF27" s="30"/>
      <c r="ECK27" s="93"/>
      <c r="ECL27" s="30"/>
      <c r="ECQ27" s="93"/>
      <c r="ECR27" s="30"/>
      <c r="ECW27" s="93"/>
      <c r="ECX27" s="30"/>
      <c r="EDC27" s="93"/>
      <c r="EDD27" s="30"/>
      <c r="EDI27" s="93"/>
      <c r="EDJ27" s="30"/>
      <c r="EDO27" s="93"/>
      <c r="EDP27" s="30"/>
      <c r="EDU27" s="93"/>
      <c r="EDV27" s="30"/>
      <c r="EEA27" s="93"/>
      <c r="EEB27" s="30"/>
      <c r="EEG27" s="93"/>
      <c r="EEH27" s="30"/>
      <c r="EEM27" s="93"/>
      <c r="EEN27" s="30"/>
      <c r="EES27" s="93"/>
      <c r="EET27" s="30"/>
      <c r="EEY27" s="93"/>
      <c r="EEZ27" s="30"/>
      <c r="EFE27" s="93"/>
      <c r="EFF27" s="30"/>
      <c r="EFK27" s="93"/>
      <c r="EFL27" s="30"/>
      <c r="EFQ27" s="93"/>
      <c r="EFR27" s="30"/>
      <c r="EFW27" s="93"/>
      <c r="EFX27" s="30"/>
      <c r="EGC27" s="93"/>
      <c r="EGD27" s="30"/>
      <c r="EGI27" s="93"/>
      <c r="EGJ27" s="30"/>
      <c r="EGO27" s="93"/>
      <c r="EGP27" s="30"/>
      <c r="EGU27" s="93"/>
      <c r="EGV27" s="30"/>
      <c r="EHA27" s="93"/>
      <c r="EHB27" s="30"/>
      <c r="EHG27" s="93"/>
      <c r="EHH27" s="30"/>
      <c r="EHM27" s="93"/>
      <c r="EHN27" s="30"/>
      <c r="EHS27" s="93"/>
      <c r="EHT27" s="30"/>
      <c r="EHY27" s="93"/>
      <c r="EHZ27" s="30"/>
      <c r="EIE27" s="93"/>
      <c r="EIF27" s="30"/>
      <c r="EIK27" s="93"/>
      <c r="EIL27" s="30"/>
      <c r="EIQ27" s="93"/>
      <c r="EIR27" s="30"/>
      <c r="EIW27" s="93"/>
      <c r="EIX27" s="30"/>
      <c r="EJC27" s="93"/>
      <c r="EJD27" s="30"/>
      <c r="EJI27" s="93"/>
      <c r="EJJ27" s="30"/>
      <c r="EJO27" s="93"/>
      <c r="EJP27" s="30"/>
      <c r="EJU27" s="93"/>
      <c r="EJV27" s="30"/>
      <c r="EKA27" s="93"/>
      <c r="EKB27" s="30"/>
      <c r="EKG27" s="93"/>
      <c r="EKH27" s="30"/>
      <c r="EKM27" s="93"/>
      <c r="EKN27" s="30"/>
      <c r="EKS27" s="93"/>
      <c r="EKT27" s="30"/>
      <c r="EKY27" s="93"/>
      <c r="EKZ27" s="30"/>
      <c r="ELE27" s="93"/>
      <c r="ELF27" s="30"/>
      <c r="ELK27" s="93"/>
      <c r="ELL27" s="30"/>
      <c r="ELQ27" s="93"/>
      <c r="ELR27" s="30"/>
      <c r="ELW27" s="93"/>
      <c r="ELX27" s="30"/>
      <c r="EMC27" s="93"/>
      <c r="EMD27" s="30"/>
      <c r="EMI27" s="93"/>
      <c r="EMJ27" s="30"/>
      <c r="EMO27" s="93"/>
      <c r="EMP27" s="30"/>
      <c r="EMU27" s="93"/>
      <c r="EMV27" s="30"/>
      <c r="ENA27" s="93"/>
      <c r="ENB27" s="30"/>
      <c r="ENG27" s="93"/>
      <c r="ENH27" s="30"/>
      <c r="ENM27" s="93"/>
      <c r="ENN27" s="30"/>
      <c r="ENS27" s="93"/>
      <c r="ENT27" s="30"/>
      <c r="ENY27" s="93"/>
      <c r="ENZ27" s="30"/>
      <c r="EOE27" s="93"/>
      <c r="EOF27" s="30"/>
      <c r="EOK27" s="93"/>
      <c r="EOL27" s="30"/>
      <c r="EOQ27" s="93"/>
      <c r="EOR27" s="30"/>
      <c r="EOW27" s="93"/>
      <c r="EOX27" s="30"/>
      <c r="EPC27" s="93"/>
      <c r="EPD27" s="30"/>
      <c r="EPI27" s="93"/>
      <c r="EPJ27" s="30"/>
      <c r="EPO27" s="93"/>
      <c r="EPP27" s="30"/>
      <c r="EPU27" s="93"/>
      <c r="EPV27" s="30"/>
      <c r="EQA27" s="93"/>
      <c r="EQB27" s="30"/>
      <c r="EQG27" s="93"/>
      <c r="EQH27" s="30"/>
      <c r="EQM27" s="93"/>
      <c r="EQN27" s="30"/>
      <c r="EQS27" s="93"/>
      <c r="EQT27" s="30"/>
      <c r="EQY27" s="93"/>
      <c r="EQZ27" s="30"/>
      <c r="ERE27" s="93"/>
      <c r="ERF27" s="30"/>
      <c r="ERK27" s="93"/>
      <c r="ERL27" s="30"/>
      <c r="ERQ27" s="93"/>
      <c r="ERR27" s="30"/>
      <c r="ERW27" s="93"/>
      <c r="ERX27" s="30"/>
      <c r="ESC27" s="93"/>
      <c r="ESD27" s="30"/>
      <c r="ESI27" s="93"/>
      <c r="ESJ27" s="30"/>
      <c r="ESO27" s="93"/>
      <c r="ESP27" s="30"/>
      <c r="ESU27" s="93"/>
      <c r="ESV27" s="30"/>
      <c r="ETA27" s="93"/>
      <c r="ETB27" s="30"/>
      <c r="ETG27" s="93"/>
      <c r="ETH27" s="30"/>
      <c r="ETM27" s="93"/>
      <c r="ETN27" s="30"/>
      <c r="ETS27" s="93"/>
      <c r="ETT27" s="30"/>
      <c r="ETY27" s="93"/>
      <c r="ETZ27" s="30"/>
      <c r="EUE27" s="93"/>
      <c r="EUF27" s="30"/>
      <c r="EUK27" s="93"/>
      <c r="EUL27" s="30"/>
      <c r="EUQ27" s="93"/>
      <c r="EUR27" s="30"/>
      <c r="EUW27" s="93"/>
      <c r="EUX27" s="30"/>
      <c r="EVC27" s="93"/>
      <c r="EVD27" s="30"/>
      <c r="EVI27" s="93"/>
      <c r="EVJ27" s="30"/>
      <c r="EVO27" s="93"/>
      <c r="EVP27" s="30"/>
      <c r="EVU27" s="93"/>
      <c r="EVV27" s="30"/>
      <c r="EWA27" s="93"/>
      <c r="EWB27" s="30"/>
      <c r="EWG27" s="93"/>
      <c r="EWH27" s="30"/>
      <c r="EWM27" s="93"/>
      <c r="EWN27" s="30"/>
      <c r="EWS27" s="93"/>
      <c r="EWT27" s="30"/>
      <c r="EWY27" s="93"/>
      <c r="EWZ27" s="30"/>
      <c r="EXE27" s="93"/>
      <c r="EXF27" s="30"/>
      <c r="EXK27" s="93"/>
      <c r="EXL27" s="30"/>
      <c r="EXQ27" s="93"/>
      <c r="EXR27" s="30"/>
      <c r="EXW27" s="93"/>
      <c r="EXX27" s="30"/>
      <c r="EYC27" s="93"/>
      <c r="EYD27" s="30"/>
      <c r="EYI27" s="93"/>
      <c r="EYJ27" s="30"/>
      <c r="EYO27" s="93"/>
      <c r="EYP27" s="30"/>
      <c r="EYU27" s="93"/>
      <c r="EYV27" s="30"/>
      <c r="EZA27" s="93"/>
      <c r="EZB27" s="30"/>
      <c r="EZG27" s="93"/>
      <c r="EZH27" s="30"/>
      <c r="EZM27" s="93"/>
      <c r="EZN27" s="30"/>
      <c r="EZS27" s="93"/>
      <c r="EZT27" s="30"/>
      <c r="EZY27" s="93"/>
      <c r="EZZ27" s="30"/>
      <c r="FAE27" s="93"/>
      <c r="FAF27" s="30"/>
      <c r="FAK27" s="93"/>
      <c r="FAL27" s="30"/>
      <c r="FAQ27" s="93"/>
      <c r="FAR27" s="30"/>
      <c r="FAW27" s="93"/>
      <c r="FAX27" s="30"/>
      <c r="FBC27" s="93"/>
      <c r="FBD27" s="30"/>
      <c r="FBI27" s="93"/>
      <c r="FBJ27" s="30"/>
      <c r="FBO27" s="93"/>
      <c r="FBP27" s="30"/>
      <c r="FBU27" s="93"/>
      <c r="FBV27" s="30"/>
      <c r="FCA27" s="93"/>
      <c r="FCB27" s="30"/>
      <c r="FCG27" s="93"/>
      <c r="FCH27" s="30"/>
      <c r="FCM27" s="93"/>
      <c r="FCN27" s="30"/>
      <c r="FCS27" s="93"/>
      <c r="FCT27" s="30"/>
      <c r="FCY27" s="93"/>
      <c r="FCZ27" s="30"/>
      <c r="FDE27" s="93"/>
      <c r="FDF27" s="30"/>
      <c r="FDK27" s="93"/>
      <c r="FDL27" s="30"/>
      <c r="FDQ27" s="93"/>
      <c r="FDR27" s="30"/>
      <c r="FDW27" s="93"/>
      <c r="FDX27" s="30"/>
      <c r="FEC27" s="93"/>
      <c r="FED27" s="30"/>
      <c r="FEI27" s="93"/>
      <c r="FEJ27" s="30"/>
      <c r="FEO27" s="93"/>
      <c r="FEP27" s="30"/>
      <c r="FEU27" s="93"/>
      <c r="FEV27" s="30"/>
      <c r="FFA27" s="93"/>
      <c r="FFB27" s="30"/>
      <c r="FFG27" s="93"/>
      <c r="FFH27" s="30"/>
      <c r="FFM27" s="93"/>
      <c r="FFN27" s="30"/>
      <c r="FFS27" s="93"/>
      <c r="FFT27" s="30"/>
      <c r="FFY27" s="93"/>
      <c r="FFZ27" s="30"/>
      <c r="FGE27" s="93"/>
      <c r="FGF27" s="30"/>
      <c r="FGK27" s="93"/>
      <c r="FGL27" s="30"/>
      <c r="FGQ27" s="93"/>
      <c r="FGR27" s="30"/>
      <c r="FGW27" s="93"/>
      <c r="FGX27" s="30"/>
      <c r="FHC27" s="93"/>
      <c r="FHD27" s="30"/>
      <c r="FHI27" s="93"/>
      <c r="FHJ27" s="30"/>
      <c r="FHO27" s="93"/>
      <c r="FHP27" s="30"/>
      <c r="FHU27" s="93"/>
      <c r="FHV27" s="30"/>
      <c r="FIA27" s="93"/>
      <c r="FIB27" s="30"/>
      <c r="FIG27" s="93"/>
      <c r="FIH27" s="30"/>
      <c r="FIM27" s="93"/>
      <c r="FIN27" s="30"/>
      <c r="FIS27" s="93"/>
      <c r="FIT27" s="30"/>
      <c r="FIY27" s="93"/>
      <c r="FIZ27" s="30"/>
      <c r="FJE27" s="93"/>
      <c r="FJF27" s="30"/>
      <c r="FJK27" s="93"/>
      <c r="FJL27" s="30"/>
      <c r="FJQ27" s="93"/>
      <c r="FJR27" s="30"/>
      <c r="FJW27" s="93"/>
      <c r="FJX27" s="30"/>
      <c r="FKC27" s="93"/>
      <c r="FKD27" s="30"/>
      <c r="FKI27" s="93"/>
      <c r="FKJ27" s="30"/>
      <c r="FKO27" s="93"/>
      <c r="FKP27" s="30"/>
      <c r="FKU27" s="93"/>
      <c r="FKV27" s="30"/>
      <c r="FLA27" s="93"/>
      <c r="FLB27" s="30"/>
      <c r="FLG27" s="93"/>
      <c r="FLH27" s="30"/>
      <c r="FLM27" s="93"/>
      <c r="FLN27" s="30"/>
      <c r="FLS27" s="93"/>
      <c r="FLT27" s="30"/>
      <c r="FLY27" s="93"/>
      <c r="FLZ27" s="30"/>
      <c r="FME27" s="93"/>
      <c r="FMF27" s="30"/>
      <c r="FMK27" s="93"/>
      <c r="FML27" s="30"/>
      <c r="FMQ27" s="93"/>
      <c r="FMR27" s="30"/>
      <c r="FMW27" s="93"/>
      <c r="FMX27" s="30"/>
      <c r="FNC27" s="93"/>
      <c r="FND27" s="30"/>
      <c r="FNI27" s="93"/>
      <c r="FNJ27" s="30"/>
      <c r="FNO27" s="93"/>
      <c r="FNP27" s="30"/>
      <c r="FNU27" s="93"/>
      <c r="FNV27" s="30"/>
      <c r="FOA27" s="93"/>
      <c r="FOB27" s="30"/>
      <c r="FOG27" s="93"/>
      <c r="FOH27" s="30"/>
      <c r="FOM27" s="93"/>
      <c r="FON27" s="30"/>
      <c r="FOS27" s="93"/>
      <c r="FOT27" s="30"/>
      <c r="FOY27" s="93"/>
      <c r="FOZ27" s="30"/>
      <c r="FPE27" s="93"/>
      <c r="FPF27" s="30"/>
      <c r="FPK27" s="93"/>
      <c r="FPL27" s="30"/>
      <c r="FPQ27" s="93"/>
      <c r="FPR27" s="30"/>
      <c r="FPW27" s="93"/>
      <c r="FPX27" s="30"/>
      <c r="FQC27" s="93"/>
      <c r="FQD27" s="30"/>
      <c r="FQI27" s="93"/>
      <c r="FQJ27" s="30"/>
      <c r="FQO27" s="93"/>
      <c r="FQP27" s="30"/>
      <c r="FQU27" s="93"/>
      <c r="FQV27" s="30"/>
      <c r="FRA27" s="93"/>
      <c r="FRB27" s="30"/>
      <c r="FRG27" s="93"/>
      <c r="FRH27" s="30"/>
      <c r="FRM27" s="93"/>
      <c r="FRN27" s="30"/>
      <c r="FRS27" s="93"/>
      <c r="FRT27" s="30"/>
      <c r="FRY27" s="93"/>
      <c r="FRZ27" s="30"/>
      <c r="FSE27" s="93"/>
      <c r="FSF27" s="30"/>
      <c r="FSK27" s="93"/>
      <c r="FSL27" s="30"/>
      <c r="FSQ27" s="93"/>
      <c r="FSR27" s="30"/>
      <c r="FSW27" s="93"/>
      <c r="FSX27" s="30"/>
      <c r="FTC27" s="93"/>
      <c r="FTD27" s="30"/>
      <c r="FTI27" s="93"/>
      <c r="FTJ27" s="30"/>
      <c r="FTO27" s="93"/>
      <c r="FTP27" s="30"/>
      <c r="FTU27" s="93"/>
      <c r="FTV27" s="30"/>
      <c r="FUA27" s="93"/>
      <c r="FUB27" s="30"/>
      <c r="FUG27" s="93"/>
      <c r="FUH27" s="30"/>
      <c r="FUM27" s="93"/>
      <c r="FUN27" s="30"/>
      <c r="FUS27" s="93"/>
      <c r="FUT27" s="30"/>
      <c r="FUY27" s="93"/>
      <c r="FUZ27" s="30"/>
      <c r="FVE27" s="93"/>
      <c r="FVF27" s="30"/>
      <c r="FVK27" s="93"/>
      <c r="FVL27" s="30"/>
      <c r="FVQ27" s="93"/>
      <c r="FVR27" s="30"/>
      <c r="FVW27" s="93"/>
      <c r="FVX27" s="30"/>
      <c r="FWC27" s="93"/>
      <c r="FWD27" s="30"/>
      <c r="FWI27" s="93"/>
      <c r="FWJ27" s="30"/>
      <c r="FWO27" s="93"/>
      <c r="FWP27" s="30"/>
      <c r="FWU27" s="93"/>
      <c r="FWV27" s="30"/>
      <c r="FXA27" s="93"/>
      <c r="FXB27" s="30"/>
      <c r="FXG27" s="93"/>
      <c r="FXH27" s="30"/>
      <c r="FXM27" s="93"/>
      <c r="FXN27" s="30"/>
      <c r="FXS27" s="93"/>
      <c r="FXT27" s="30"/>
      <c r="FXY27" s="93"/>
      <c r="FXZ27" s="30"/>
      <c r="FYE27" s="93"/>
      <c r="FYF27" s="30"/>
      <c r="FYK27" s="93"/>
      <c r="FYL27" s="30"/>
      <c r="FYQ27" s="93"/>
      <c r="FYR27" s="30"/>
      <c r="FYW27" s="93"/>
      <c r="FYX27" s="30"/>
      <c r="FZC27" s="93"/>
      <c r="FZD27" s="30"/>
      <c r="FZI27" s="93"/>
      <c r="FZJ27" s="30"/>
      <c r="FZO27" s="93"/>
      <c r="FZP27" s="30"/>
      <c r="FZU27" s="93"/>
      <c r="FZV27" s="30"/>
      <c r="GAA27" s="93"/>
      <c r="GAB27" s="30"/>
      <c r="GAG27" s="93"/>
      <c r="GAH27" s="30"/>
      <c r="GAM27" s="93"/>
      <c r="GAN27" s="30"/>
      <c r="GAS27" s="93"/>
      <c r="GAT27" s="30"/>
      <c r="GAY27" s="93"/>
      <c r="GAZ27" s="30"/>
      <c r="GBE27" s="93"/>
      <c r="GBF27" s="30"/>
      <c r="GBK27" s="93"/>
      <c r="GBL27" s="30"/>
      <c r="GBQ27" s="93"/>
      <c r="GBR27" s="30"/>
      <c r="GBW27" s="93"/>
      <c r="GBX27" s="30"/>
      <c r="GCC27" s="93"/>
      <c r="GCD27" s="30"/>
      <c r="GCI27" s="93"/>
      <c r="GCJ27" s="30"/>
      <c r="GCO27" s="93"/>
      <c r="GCP27" s="30"/>
      <c r="GCU27" s="93"/>
      <c r="GCV27" s="30"/>
      <c r="GDA27" s="93"/>
      <c r="GDB27" s="30"/>
      <c r="GDG27" s="93"/>
      <c r="GDH27" s="30"/>
      <c r="GDM27" s="93"/>
      <c r="GDN27" s="30"/>
      <c r="GDS27" s="93"/>
      <c r="GDT27" s="30"/>
      <c r="GDY27" s="93"/>
      <c r="GDZ27" s="30"/>
      <c r="GEE27" s="93"/>
      <c r="GEF27" s="30"/>
      <c r="GEK27" s="93"/>
      <c r="GEL27" s="30"/>
      <c r="GEQ27" s="93"/>
      <c r="GER27" s="30"/>
      <c r="GEW27" s="93"/>
      <c r="GEX27" s="30"/>
      <c r="GFC27" s="93"/>
      <c r="GFD27" s="30"/>
      <c r="GFI27" s="93"/>
      <c r="GFJ27" s="30"/>
      <c r="GFO27" s="93"/>
      <c r="GFP27" s="30"/>
      <c r="GFU27" s="93"/>
      <c r="GFV27" s="30"/>
      <c r="GGA27" s="93"/>
      <c r="GGB27" s="30"/>
      <c r="GGG27" s="93"/>
      <c r="GGH27" s="30"/>
      <c r="GGM27" s="93"/>
      <c r="GGN27" s="30"/>
      <c r="GGS27" s="93"/>
      <c r="GGT27" s="30"/>
      <c r="GGY27" s="93"/>
      <c r="GGZ27" s="30"/>
      <c r="GHE27" s="93"/>
      <c r="GHF27" s="30"/>
      <c r="GHK27" s="93"/>
      <c r="GHL27" s="30"/>
      <c r="GHQ27" s="93"/>
      <c r="GHR27" s="30"/>
      <c r="GHW27" s="93"/>
      <c r="GHX27" s="30"/>
      <c r="GIC27" s="93"/>
      <c r="GID27" s="30"/>
      <c r="GII27" s="93"/>
      <c r="GIJ27" s="30"/>
      <c r="GIO27" s="93"/>
      <c r="GIP27" s="30"/>
      <c r="GIU27" s="93"/>
      <c r="GIV27" s="30"/>
      <c r="GJA27" s="93"/>
      <c r="GJB27" s="30"/>
      <c r="GJG27" s="93"/>
      <c r="GJH27" s="30"/>
      <c r="GJM27" s="93"/>
      <c r="GJN27" s="30"/>
      <c r="GJS27" s="93"/>
      <c r="GJT27" s="30"/>
      <c r="GJY27" s="93"/>
      <c r="GJZ27" s="30"/>
      <c r="GKE27" s="93"/>
      <c r="GKF27" s="30"/>
      <c r="GKK27" s="93"/>
      <c r="GKL27" s="30"/>
      <c r="GKQ27" s="93"/>
      <c r="GKR27" s="30"/>
      <c r="GKW27" s="93"/>
      <c r="GKX27" s="30"/>
      <c r="GLC27" s="93"/>
      <c r="GLD27" s="30"/>
      <c r="GLI27" s="93"/>
      <c r="GLJ27" s="30"/>
      <c r="GLO27" s="93"/>
      <c r="GLP27" s="30"/>
      <c r="GLU27" s="93"/>
      <c r="GLV27" s="30"/>
      <c r="GMA27" s="93"/>
      <c r="GMB27" s="30"/>
      <c r="GMG27" s="93"/>
      <c r="GMH27" s="30"/>
      <c r="GMM27" s="93"/>
      <c r="GMN27" s="30"/>
      <c r="GMS27" s="93"/>
      <c r="GMT27" s="30"/>
      <c r="GMY27" s="93"/>
      <c r="GMZ27" s="30"/>
      <c r="GNE27" s="93"/>
      <c r="GNF27" s="30"/>
      <c r="GNK27" s="93"/>
      <c r="GNL27" s="30"/>
      <c r="GNQ27" s="93"/>
      <c r="GNR27" s="30"/>
      <c r="GNW27" s="93"/>
      <c r="GNX27" s="30"/>
      <c r="GOC27" s="93"/>
      <c r="GOD27" s="30"/>
      <c r="GOI27" s="93"/>
      <c r="GOJ27" s="30"/>
      <c r="GOO27" s="93"/>
      <c r="GOP27" s="30"/>
      <c r="GOU27" s="93"/>
      <c r="GOV27" s="30"/>
      <c r="GPA27" s="93"/>
      <c r="GPB27" s="30"/>
      <c r="GPG27" s="93"/>
      <c r="GPH27" s="30"/>
      <c r="GPM27" s="93"/>
      <c r="GPN27" s="30"/>
      <c r="GPS27" s="93"/>
      <c r="GPT27" s="30"/>
      <c r="GPY27" s="93"/>
      <c r="GPZ27" s="30"/>
      <c r="GQE27" s="93"/>
      <c r="GQF27" s="30"/>
      <c r="GQK27" s="93"/>
      <c r="GQL27" s="30"/>
      <c r="GQQ27" s="93"/>
      <c r="GQR27" s="30"/>
      <c r="GQW27" s="93"/>
      <c r="GQX27" s="30"/>
      <c r="GRC27" s="93"/>
      <c r="GRD27" s="30"/>
      <c r="GRI27" s="93"/>
      <c r="GRJ27" s="30"/>
      <c r="GRO27" s="93"/>
      <c r="GRP27" s="30"/>
      <c r="GRU27" s="93"/>
      <c r="GRV27" s="30"/>
      <c r="GSA27" s="93"/>
      <c r="GSB27" s="30"/>
      <c r="GSG27" s="93"/>
      <c r="GSH27" s="30"/>
      <c r="GSM27" s="93"/>
      <c r="GSN27" s="30"/>
      <c r="GSS27" s="93"/>
      <c r="GST27" s="30"/>
      <c r="GSY27" s="93"/>
      <c r="GSZ27" s="30"/>
      <c r="GTE27" s="93"/>
      <c r="GTF27" s="30"/>
      <c r="GTK27" s="93"/>
      <c r="GTL27" s="30"/>
      <c r="GTQ27" s="93"/>
      <c r="GTR27" s="30"/>
      <c r="GTW27" s="93"/>
      <c r="GTX27" s="30"/>
      <c r="GUC27" s="93"/>
      <c r="GUD27" s="30"/>
      <c r="GUI27" s="93"/>
      <c r="GUJ27" s="30"/>
      <c r="GUO27" s="93"/>
      <c r="GUP27" s="30"/>
      <c r="GUU27" s="93"/>
      <c r="GUV27" s="30"/>
      <c r="GVA27" s="93"/>
      <c r="GVB27" s="30"/>
      <c r="GVG27" s="93"/>
      <c r="GVH27" s="30"/>
      <c r="GVM27" s="93"/>
      <c r="GVN27" s="30"/>
      <c r="GVS27" s="93"/>
      <c r="GVT27" s="30"/>
      <c r="GVY27" s="93"/>
      <c r="GVZ27" s="30"/>
      <c r="GWE27" s="93"/>
      <c r="GWF27" s="30"/>
      <c r="GWK27" s="93"/>
      <c r="GWL27" s="30"/>
      <c r="GWQ27" s="93"/>
      <c r="GWR27" s="30"/>
      <c r="GWW27" s="93"/>
      <c r="GWX27" s="30"/>
      <c r="GXC27" s="93"/>
      <c r="GXD27" s="30"/>
      <c r="GXI27" s="93"/>
      <c r="GXJ27" s="30"/>
      <c r="GXO27" s="93"/>
      <c r="GXP27" s="30"/>
      <c r="GXU27" s="93"/>
      <c r="GXV27" s="30"/>
      <c r="GYA27" s="93"/>
      <c r="GYB27" s="30"/>
      <c r="GYG27" s="93"/>
      <c r="GYH27" s="30"/>
      <c r="GYM27" s="93"/>
      <c r="GYN27" s="30"/>
      <c r="GYS27" s="93"/>
      <c r="GYT27" s="30"/>
      <c r="GYY27" s="93"/>
      <c r="GYZ27" s="30"/>
      <c r="GZE27" s="93"/>
      <c r="GZF27" s="30"/>
      <c r="GZK27" s="93"/>
      <c r="GZL27" s="30"/>
      <c r="GZQ27" s="93"/>
      <c r="GZR27" s="30"/>
      <c r="GZW27" s="93"/>
      <c r="GZX27" s="30"/>
      <c r="HAC27" s="93"/>
      <c r="HAD27" s="30"/>
      <c r="HAI27" s="93"/>
      <c r="HAJ27" s="30"/>
      <c r="HAO27" s="93"/>
      <c r="HAP27" s="30"/>
      <c r="HAU27" s="93"/>
      <c r="HAV27" s="30"/>
      <c r="HBA27" s="93"/>
      <c r="HBB27" s="30"/>
      <c r="HBG27" s="93"/>
      <c r="HBH27" s="30"/>
      <c r="HBM27" s="93"/>
      <c r="HBN27" s="30"/>
      <c r="HBS27" s="93"/>
      <c r="HBT27" s="30"/>
      <c r="HBY27" s="93"/>
      <c r="HBZ27" s="30"/>
      <c r="HCE27" s="93"/>
      <c r="HCF27" s="30"/>
      <c r="HCK27" s="93"/>
      <c r="HCL27" s="30"/>
      <c r="HCQ27" s="93"/>
      <c r="HCR27" s="30"/>
      <c r="HCW27" s="93"/>
      <c r="HCX27" s="30"/>
      <c r="HDC27" s="93"/>
      <c r="HDD27" s="30"/>
      <c r="HDI27" s="93"/>
      <c r="HDJ27" s="30"/>
      <c r="HDO27" s="93"/>
      <c r="HDP27" s="30"/>
      <c r="HDU27" s="93"/>
      <c r="HDV27" s="30"/>
      <c r="HEA27" s="93"/>
      <c r="HEB27" s="30"/>
      <c r="HEG27" s="93"/>
      <c r="HEH27" s="30"/>
      <c r="HEM27" s="93"/>
      <c r="HEN27" s="30"/>
      <c r="HES27" s="93"/>
      <c r="HET27" s="30"/>
      <c r="HEY27" s="93"/>
      <c r="HEZ27" s="30"/>
      <c r="HFE27" s="93"/>
      <c r="HFF27" s="30"/>
      <c r="HFK27" s="93"/>
      <c r="HFL27" s="30"/>
      <c r="HFQ27" s="93"/>
      <c r="HFR27" s="30"/>
      <c r="HFW27" s="93"/>
      <c r="HFX27" s="30"/>
      <c r="HGC27" s="93"/>
      <c r="HGD27" s="30"/>
      <c r="HGI27" s="93"/>
      <c r="HGJ27" s="30"/>
      <c r="HGO27" s="93"/>
      <c r="HGP27" s="30"/>
      <c r="HGU27" s="93"/>
      <c r="HGV27" s="30"/>
      <c r="HHA27" s="93"/>
      <c r="HHB27" s="30"/>
      <c r="HHG27" s="93"/>
      <c r="HHH27" s="30"/>
      <c r="HHM27" s="93"/>
      <c r="HHN27" s="30"/>
      <c r="HHS27" s="93"/>
      <c r="HHT27" s="30"/>
      <c r="HHY27" s="93"/>
      <c r="HHZ27" s="30"/>
      <c r="HIE27" s="93"/>
      <c r="HIF27" s="30"/>
      <c r="HIK27" s="93"/>
      <c r="HIL27" s="30"/>
      <c r="HIQ27" s="93"/>
      <c r="HIR27" s="30"/>
      <c r="HIW27" s="93"/>
      <c r="HIX27" s="30"/>
      <c r="HJC27" s="93"/>
      <c r="HJD27" s="30"/>
      <c r="HJI27" s="93"/>
      <c r="HJJ27" s="30"/>
      <c r="HJO27" s="93"/>
      <c r="HJP27" s="30"/>
      <c r="HJU27" s="93"/>
      <c r="HJV27" s="30"/>
      <c r="HKA27" s="93"/>
      <c r="HKB27" s="30"/>
      <c r="HKG27" s="93"/>
      <c r="HKH27" s="30"/>
      <c r="HKM27" s="93"/>
      <c r="HKN27" s="30"/>
      <c r="HKS27" s="93"/>
      <c r="HKT27" s="30"/>
      <c r="HKY27" s="93"/>
      <c r="HKZ27" s="30"/>
      <c r="HLE27" s="93"/>
      <c r="HLF27" s="30"/>
      <c r="HLK27" s="93"/>
      <c r="HLL27" s="30"/>
      <c r="HLQ27" s="93"/>
      <c r="HLR27" s="30"/>
      <c r="HLW27" s="93"/>
      <c r="HLX27" s="30"/>
      <c r="HMC27" s="93"/>
      <c r="HMD27" s="30"/>
      <c r="HMI27" s="93"/>
      <c r="HMJ27" s="30"/>
      <c r="HMO27" s="93"/>
      <c r="HMP27" s="30"/>
      <c r="HMU27" s="93"/>
      <c r="HMV27" s="30"/>
      <c r="HNA27" s="93"/>
      <c r="HNB27" s="30"/>
      <c r="HNG27" s="93"/>
      <c r="HNH27" s="30"/>
      <c r="HNM27" s="93"/>
      <c r="HNN27" s="30"/>
      <c r="HNS27" s="93"/>
      <c r="HNT27" s="30"/>
      <c r="HNY27" s="93"/>
      <c r="HNZ27" s="30"/>
      <c r="HOE27" s="93"/>
      <c r="HOF27" s="30"/>
      <c r="HOK27" s="93"/>
      <c r="HOL27" s="30"/>
      <c r="HOQ27" s="93"/>
      <c r="HOR27" s="30"/>
      <c r="HOW27" s="93"/>
      <c r="HOX27" s="30"/>
      <c r="HPC27" s="93"/>
      <c r="HPD27" s="30"/>
      <c r="HPI27" s="93"/>
      <c r="HPJ27" s="30"/>
      <c r="HPO27" s="93"/>
      <c r="HPP27" s="30"/>
      <c r="HPU27" s="93"/>
      <c r="HPV27" s="30"/>
      <c r="HQA27" s="93"/>
      <c r="HQB27" s="30"/>
      <c r="HQG27" s="93"/>
      <c r="HQH27" s="30"/>
      <c r="HQM27" s="93"/>
      <c r="HQN27" s="30"/>
      <c r="HQS27" s="93"/>
      <c r="HQT27" s="30"/>
      <c r="HQY27" s="93"/>
      <c r="HQZ27" s="30"/>
      <c r="HRE27" s="93"/>
      <c r="HRF27" s="30"/>
      <c r="HRK27" s="93"/>
      <c r="HRL27" s="30"/>
      <c r="HRQ27" s="93"/>
      <c r="HRR27" s="30"/>
      <c r="HRW27" s="93"/>
      <c r="HRX27" s="30"/>
      <c r="HSC27" s="93"/>
      <c r="HSD27" s="30"/>
      <c r="HSI27" s="93"/>
      <c r="HSJ27" s="30"/>
      <c r="HSO27" s="93"/>
      <c r="HSP27" s="30"/>
      <c r="HSU27" s="93"/>
      <c r="HSV27" s="30"/>
      <c r="HTA27" s="93"/>
      <c r="HTB27" s="30"/>
      <c r="HTG27" s="93"/>
      <c r="HTH27" s="30"/>
      <c r="HTM27" s="93"/>
      <c r="HTN27" s="30"/>
      <c r="HTS27" s="93"/>
      <c r="HTT27" s="30"/>
      <c r="HTY27" s="93"/>
      <c r="HTZ27" s="30"/>
      <c r="HUE27" s="93"/>
      <c r="HUF27" s="30"/>
      <c r="HUK27" s="93"/>
      <c r="HUL27" s="30"/>
      <c r="HUQ27" s="93"/>
      <c r="HUR27" s="30"/>
      <c r="HUW27" s="93"/>
      <c r="HUX27" s="30"/>
      <c r="HVC27" s="93"/>
      <c r="HVD27" s="30"/>
      <c r="HVI27" s="93"/>
      <c r="HVJ27" s="30"/>
      <c r="HVO27" s="93"/>
      <c r="HVP27" s="30"/>
      <c r="HVU27" s="93"/>
      <c r="HVV27" s="30"/>
      <c r="HWA27" s="93"/>
      <c r="HWB27" s="30"/>
      <c r="HWG27" s="93"/>
      <c r="HWH27" s="30"/>
      <c r="HWM27" s="93"/>
      <c r="HWN27" s="30"/>
      <c r="HWS27" s="93"/>
      <c r="HWT27" s="30"/>
      <c r="HWY27" s="93"/>
      <c r="HWZ27" s="30"/>
      <c r="HXE27" s="93"/>
      <c r="HXF27" s="30"/>
      <c r="HXK27" s="93"/>
      <c r="HXL27" s="30"/>
      <c r="HXQ27" s="93"/>
      <c r="HXR27" s="30"/>
      <c r="HXW27" s="93"/>
      <c r="HXX27" s="30"/>
      <c r="HYC27" s="93"/>
      <c r="HYD27" s="30"/>
      <c r="HYI27" s="93"/>
      <c r="HYJ27" s="30"/>
      <c r="HYO27" s="93"/>
      <c r="HYP27" s="30"/>
      <c r="HYU27" s="93"/>
      <c r="HYV27" s="30"/>
      <c r="HZA27" s="93"/>
      <c r="HZB27" s="30"/>
      <c r="HZG27" s="93"/>
      <c r="HZH27" s="30"/>
      <c r="HZM27" s="93"/>
      <c r="HZN27" s="30"/>
      <c r="HZS27" s="93"/>
      <c r="HZT27" s="30"/>
      <c r="HZY27" s="93"/>
      <c r="HZZ27" s="30"/>
      <c r="IAE27" s="93"/>
      <c r="IAF27" s="30"/>
      <c r="IAK27" s="93"/>
      <c r="IAL27" s="30"/>
      <c r="IAQ27" s="93"/>
      <c r="IAR27" s="30"/>
      <c r="IAW27" s="93"/>
      <c r="IAX27" s="30"/>
      <c r="IBC27" s="93"/>
      <c r="IBD27" s="30"/>
      <c r="IBI27" s="93"/>
      <c r="IBJ27" s="30"/>
      <c r="IBO27" s="93"/>
      <c r="IBP27" s="30"/>
      <c r="IBU27" s="93"/>
      <c r="IBV27" s="30"/>
      <c r="ICA27" s="93"/>
      <c r="ICB27" s="30"/>
      <c r="ICG27" s="93"/>
      <c r="ICH27" s="30"/>
      <c r="ICM27" s="93"/>
      <c r="ICN27" s="30"/>
      <c r="ICS27" s="93"/>
      <c r="ICT27" s="30"/>
      <c r="ICY27" s="93"/>
      <c r="ICZ27" s="30"/>
      <c r="IDE27" s="93"/>
      <c r="IDF27" s="30"/>
      <c r="IDK27" s="93"/>
      <c r="IDL27" s="30"/>
      <c r="IDQ27" s="93"/>
      <c r="IDR27" s="30"/>
      <c r="IDW27" s="93"/>
      <c r="IDX27" s="30"/>
      <c r="IEC27" s="93"/>
      <c r="IED27" s="30"/>
      <c r="IEI27" s="93"/>
      <c r="IEJ27" s="30"/>
      <c r="IEO27" s="93"/>
      <c r="IEP27" s="30"/>
      <c r="IEU27" s="93"/>
      <c r="IEV27" s="30"/>
      <c r="IFA27" s="93"/>
      <c r="IFB27" s="30"/>
      <c r="IFG27" s="93"/>
      <c r="IFH27" s="30"/>
      <c r="IFM27" s="93"/>
      <c r="IFN27" s="30"/>
      <c r="IFS27" s="93"/>
      <c r="IFT27" s="30"/>
      <c r="IFY27" s="93"/>
      <c r="IFZ27" s="30"/>
      <c r="IGE27" s="93"/>
      <c r="IGF27" s="30"/>
      <c r="IGK27" s="93"/>
      <c r="IGL27" s="30"/>
      <c r="IGQ27" s="93"/>
      <c r="IGR27" s="30"/>
      <c r="IGW27" s="93"/>
      <c r="IGX27" s="30"/>
      <c r="IHC27" s="93"/>
      <c r="IHD27" s="30"/>
      <c r="IHI27" s="93"/>
      <c r="IHJ27" s="30"/>
      <c r="IHO27" s="93"/>
      <c r="IHP27" s="30"/>
      <c r="IHU27" s="93"/>
      <c r="IHV27" s="30"/>
      <c r="IIA27" s="93"/>
      <c r="IIB27" s="30"/>
      <c r="IIG27" s="93"/>
      <c r="IIH27" s="30"/>
      <c r="IIM27" s="93"/>
      <c r="IIN27" s="30"/>
      <c r="IIS27" s="93"/>
      <c r="IIT27" s="30"/>
      <c r="IIY27" s="93"/>
      <c r="IIZ27" s="30"/>
      <c r="IJE27" s="93"/>
      <c r="IJF27" s="30"/>
      <c r="IJK27" s="93"/>
      <c r="IJL27" s="30"/>
      <c r="IJQ27" s="93"/>
      <c r="IJR27" s="30"/>
      <c r="IJW27" s="93"/>
      <c r="IJX27" s="30"/>
      <c r="IKC27" s="93"/>
      <c r="IKD27" s="30"/>
      <c r="IKI27" s="93"/>
      <c r="IKJ27" s="30"/>
      <c r="IKO27" s="93"/>
      <c r="IKP27" s="30"/>
      <c r="IKU27" s="93"/>
      <c r="IKV27" s="30"/>
      <c r="ILA27" s="93"/>
      <c r="ILB27" s="30"/>
      <c r="ILG27" s="93"/>
      <c r="ILH27" s="30"/>
      <c r="ILM27" s="93"/>
      <c r="ILN27" s="30"/>
      <c r="ILS27" s="93"/>
      <c r="ILT27" s="30"/>
      <c r="ILY27" s="93"/>
      <c r="ILZ27" s="30"/>
      <c r="IME27" s="93"/>
      <c r="IMF27" s="30"/>
      <c r="IMK27" s="93"/>
      <c r="IML27" s="30"/>
      <c r="IMQ27" s="93"/>
      <c r="IMR27" s="30"/>
      <c r="IMW27" s="93"/>
      <c r="IMX27" s="30"/>
      <c r="INC27" s="93"/>
      <c r="IND27" s="30"/>
      <c r="INI27" s="93"/>
      <c r="INJ27" s="30"/>
      <c r="INO27" s="93"/>
      <c r="INP27" s="30"/>
      <c r="INU27" s="93"/>
      <c r="INV27" s="30"/>
      <c r="IOA27" s="93"/>
      <c r="IOB27" s="30"/>
      <c r="IOG27" s="93"/>
      <c r="IOH27" s="30"/>
      <c r="IOM27" s="93"/>
      <c r="ION27" s="30"/>
      <c r="IOS27" s="93"/>
      <c r="IOT27" s="30"/>
      <c r="IOY27" s="93"/>
      <c r="IOZ27" s="30"/>
      <c r="IPE27" s="93"/>
      <c r="IPF27" s="30"/>
      <c r="IPK27" s="93"/>
      <c r="IPL27" s="30"/>
      <c r="IPQ27" s="93"/>
      <c r="IPR27" s="30"/>
      <c r="IPW27" s="93"/>
      <c r="IPX27" s="30"/>
      <c r="IQC27" s="93"/>
      <c r="IQD27" s="30"/>
      <c r="IQI27" s="93"/>
      <c r="IQJ27" s="30"/>
      <c r="IQO27" s="93"/>
      <c r="IQP27" s="30"/>
      <c r="IQU27" s="93"/>
      <c r="IQV27" s="30"/>
      <c r="IRA27" s="93"/>
      <c r="IRB27" s="30"/>
      <c r="IRG27" s="93"/>
      <c r="IRH27" s="30"/>
      <c r="IRM27" s="93"/>
      <c r="IRN27" s="30"/>
      <c r="IRS27" s="93"/>
      <c r="IRT27" s="30"/>
      <c r="IRY27" s="93"/>
      <c r="IRZ27" s="30"/>
      <c r="ISE27" s="93"/>
      <c r="ISF27" s="30"/>
      <c r="ISK27" s="93"/>
      <c r="ISL27" s="30"/>
      <c r="ISQ27" s="93"/>
      <c r="ISR27" s="30"/>
      <c r="ISW27" s="93"/>
      <c r="ISX27" s="30"/>
      <c r="ITC27" s="93"/>
      <c r="ITD27" s="30"/>
      <c r="ITI27" s="93"/>
      <c r="ITJ27" s="30"/>
      <c r="ITO27" s="93"/>
      <c r="ITP27" s="30"/>
      <c r="ITU27" s="93"/>
      <c r="ITV27" s="30"/>
      <c r="IUA27" s="93"/>
      <c r="IUB27" s="30"/>
      <c r="IUG27" s="93"/>
      <c r="IUH27" s="30"/>
      <c r="IUM27" s="93"/>
      <c r="IUN27" s="30"/>
      <c r="IUS27" s="93"/>
      <c r="IUT27" s="30"/>
      <c r="IUY27" s="93"/>
      <c r="IUZ27" s="30"/>
      <c r="IVE27" s="93"/>
      <c r="IVF27" s="30"/>
      <c r="IVK27" s="93"/>
      <c r="IVL27" s="30"/>
      <c r="IVQ27" s="93"/>
      <c r="IVR27" s="30"/>
      <c r="IVW27" s="93"/>
      <c r="IVX27" s="30"/>
      <c r="IWC27" s="93"/>
      <c r="IWD27" s="30"/>
      <c r="IWI27" s="93"/>
      <c r="IWJ27" s="30"/>
      <c r="IWO27" s="93"/>
      <c r="IWP27" s="30"/>
      <c r="IWU27" s="93"/>
      <c r="IWV27" s="30"/>
      <c r="IXA27" s="93"/>
      <c r="IXB27" s="30"/>
      <c r="IXG27" s="93"/>
      <c r="IXH27" s="30"/>
      <c r="IXM27" s="93"/>
      <c r="IXN27" s="30"/>
      <c r="IXS27" s="93"/>
      <c r="IXT27" s="30"/>
      <c r="IXY27" s="93"/>
      <c r="IXZ27" s="30"/>
      <c r="IYE27" s="93"/>
      <c r="IYF27" s="30"/>
      <c r="IYK27" s="93"/>
      <c r="IYL27" s="30"/>
      <c r="IYQ27" s="93"/>
      <c r="IYR27" s="30"/>
      <c r="IYW27" s="93"/>
      <c r="IYX27" s="30"/>
      <c r="IZC27" s="93"/>
      <c r="IZD27" s="30"/>
      <c r="IZI27" s="93"/>
      <c r="IZJ27" s="30"/>
      <c r="IZO27" s="93"/>
      <c r="IZP27" s="30"/>
      <c r="IZU27" s="93"/>
      <c r="IZV27" s="30"/>
      <c r="JAA27" s="93"/>
      <c r="JAB27" s="30"/>
      <c r="JAG27" s="93"/>
      <c r="JAH27" s="30"/>
      <c r="JAM27" s="93"/>
      <c r="JAN27" s="30"/>
      <c r="JAS27" s="93"/>
      <c r="JAT27" s="30"/>
      <c r="JAY27" s="93"/>
      <c r="JAZ27" s="30"/>
      <c r="JBE27" s="93"/>
      <c r="JBF27" s="30"/>
      <c r="JBK27" s="93"/>
      <c r="JBL27" s="30"/>
      <c r="JBQ27" s="93"/>
      <c r="JBR27" s="30"/>
      <c r="JBW27" s="93"/>
      <c r="JBX27" s="30"/>
      <c r="JCC27" s="93"/>
      <c r="JCD27" s="30"/>
      <c r="JCI27" s="93"/>
      <c r="JCJ27" s="30"/>
      <c r="JCO27" s="93"/>
      <c r="JCP27" s="30"/>
      <c r="JCU27" s="93"/>
      <c r="JCV27" s="30"/>
      <c r="JDA27" s="93"/>
      <c r="JDB27" s="30"/>
      <c r="JDG27" s="93"/>
      <c r="JDH27" s="30"/>
      <c r="JDM27" s="93"/>
      <c r="JDN27" s="30"/>
      <c r="JDS27" s="93"/>
      <c r="JDT27" s="30"/>
      <c r="JDY27" s="93"/>
      <c r="JDZ27" s="30"/>
      <c r="JEE27" s="93"/>
      <c r="JEF27" s="30"/>
      <c r="JEK27" s="93"/>
      <c r="JEL27" s="30"/>
      <c r="JEQ27" s="93"/>
      <c r="JER27" s="30"/>
      <c r="JEW27" s="93"/>
      <c r="JEX27" s="30"/>
      <c r="JFC27" s="93"/>
      <c r="JFD27" s="30"/>
      <c r="JFI27" s="93"/>
      <c r="JFJ27" s="30"/>
      <c r="JFO27" s="93"/>
      <c r="JFP27" s="30"/>
      <c r="JFU27" s="93"/>
      <c r="JFV27" s="30"/>
      <c r="JGA27" s="93"/>
      <c r="JGB27" s="30"/>
      <c r="JGG27" s="93"/>
      <c r="JGH27" s="30"/>
      <c r="JGM27" s="93"/>
      <c r="JGN27" s="30"/>
      <c r="JGS27" s="93"/>
      <c r="JGT27" s="30"/>
      <c r="JGY27" s="93"/>
      <c r="JGZ27" s="30"/>
      <c r="JHE27" s="93"/>
      <c r="JHF27" s="30"/>
      <c r="JHK27" s="93"/>
      <c r="JHL27" s="30"/>
      <c r="JHQ27" s="93"/>
      <c r="JHR27" s="30"/>
      <c r="JHW27" s="93"/>
      <c r="JHX27" s="30"/>
      <c r="JIC27" s="93"/>
      <c r="JID27" s="30"/>
      <c r="JII27" s="93"/>
      <c r="JIJ27" s="30"/>
      <c r="JIO27" s="93"/>
      <c r="JIP27" s="30"/>
      <c r="JIU27" s="93"/>
      <c r="JIV27" s="30"/>
      <c r="JJA27" s="93"/>
      <c r="JJB27" s="30"/>
      <c r="JJG27" s="93"/>
      <c r="JJH27" s="30"/>
      <c r="JJM27" s="93"/>
      <c r="JJN27" s="30"/>
      <c r="JJS27" s="93"/>
      <c r="JJT27" s="30"/>
      <c r="JJY27" s="93"/>
      <c r="JJZ27" s="30"/>
      <c r="JKE27" s="93"/>
      <c r="JKF27" s="30"/>
      <c r="JKK27" s="93"/>
      <c r="JKL27" s="30"/>
      <c r="JKQ27" s="93"/>
      <c r="JKR27" s="30"/>
      <c r="JKW27" s="93"/>
      <c r="JKX27" s="30"/>
      <c r="JLC27" s="93"/>
      <c r="JLD27" s="30"/>
      <c r="JLI27" s="93"/>
      <c r="JLJ27" s="30"/>
      <c r="JLO27" s="93"/>
      <c r="JLP27" s="30"/>
      <c r="JLU27" s="93"/>
      <c r="JLV27" s="30"/>
      <c r="JMA27" s="93"/>
      <c r="JMB27" s="30"/>
      <c r="JMG27" s="93"/>
      <c r="JMH27" s="30"/>
      <c r="JMM27" s="93"/>
      <c r="JMN27" s="30"/>
      <c r="JMS27" s="93"/>
      <c r="JMT27" s="30"/>
      <c r="JMY27" s="93"/>
      <c r="JMZ27" s="30"/>
      <c r="JNE27" s="93"/>
      <c r="JNF27" s="30"/>
      <c r="JNK27" s="93"/>
      <c r="JNL27" s="30"/>
      <c r="JNQ27" s="93"/>
      <c r="JNR27" s="30"/>
      <c r="JNW27" s="93"/>
      <c r="JNX27" s="30"/>
      <c r="JOC27" s="93"/>
      <c r="JOD27" s="30"/>
      <c r="JOI27" s="93"/>
      <c r="JOJ27" s="30"/>
      <c r="JOO27" s="93"/>
      <c r="JOP27" s="30"/>
      <c r="JOU27" s="93"/>
      <c r="JOV27" s="30"/>
      <c r="JPA27" s="93"/>
      <c r="JPB27" s="30"/>
      <c r="JPG27" s="93"/>
      <c r="JPH27" s="30"/>
      <c r="JPM27" s="93"/>
      <c r="JPN27" s="30"/>
      <c r="JPS27" s="93"/>
      <c r="JPT27" s="30"/>
      <c r="JPY27" s="93"/>
      <c r="JPZ27" s="30"/>
      <c r="JQE27" s="93"/>
      <c r="JQF27" s="30"/>
      <c r="JQK27" s="93"/>
      <c r="JQL27" s="30"/>
      <c r="JQQ27" s="93"/>
      <c r="JQR27" s="30"/>
      <c r="JQW27" s="93"/>
      <c r="JQX27" s="30"/>
      <c r="JRC27" s="93"/>
      <c r="JRD27" s="30"/>
      <c r="JRI27" s="93"/>
      <c r="JRJ27" s="30"/>
      <c r="JRO27" s="93"/>
      <c r="JRP27" s="30"/>
      <c r="JRU27" s="93"/>
      <c r="JRV27" s="30"/>
      <c r="JSA27" s="93"/>
      <c r="JSB27" s="30"/>
      <c r="JSG27" s="93"/>
      <c r="JSH27" s="30"/>
      <c r="JSM27" s="93"/>
      <c r="JSN27" s="30"/>
      <c r="JSS27" s="93"/>
      <c r="JST27" s="30"/>
      <c r="JSY27" s="93"/>
      <c r="JSZ27" s="30"/>
      <c r="JTE27" s="93"/>
      <c r="JTF27" s="30"/>
      <c r="JTK27" s="93"/>
      <c r="JTL27" s="30"/>
      <c r="JTQ27" s="93"/>
      <c r="JTR27" s="30"/>
      <c r="JTW27" s="93"/>
      <c r="JTX27" s="30"/>
      <c r="JUC27" s="93"/>
      <c r="JUD27" s="30"/>
      <c r="JUI27" s="93"/>
      <c r="JUJ27" s="30"/>
      <c r="JUO27" s="93"/>
      <c r="JUP27" s="30"/>
      <c r="JUU27" s="93"/>
      <c r="JUV27" s="30"/>
      <c r="JVA27" s="93"/>
      <c r="JVB27" s="30"/>
      <c r="JVG27" s="93"/>
      <c r="JVH27" s="30"/>
      <c r="JVM27" s="93"/>
      <c r="JVN27" s="30"/>
      <c r="JVS27" s="93"/>
      <c r="JVT27" s="30"/>
      <c r="JVY27" s="93"/>
      <c r="JVZ27" s="30"/>
      <c r="JWE27" s="93"/>
      <c r="JWF27" s="30"/>
      <c r="JWK27" s="93"/>
      <c r="JWL27" s="30"/>
      <c r="JWQ27" s="93"/>
      <c r="JWR27" s="30"/>
      <c r="JWW27" s="93"/>
      <c r="JWX27" s="30"/>
      <c r="JXC27" s="93"/>
      <c r="JXD27" s="30"/>
      <c r="JXI27" s="93"/>
      <c r="JXJ27" s="30"/>
      <c r="JXO27" s="93"/>
      <c r="JXP27" s="30"/>
      <c r="JXU27" s="93"/>
      <c r="JXV27" s="30"/>
      <c r="JYA27" s="93"/>
      <c r="JYB27" s="30"/>
      <c r="JYG27" s="93"/>
      <c r="JYH27" s="30"/>
      <c r="JYM27" s="93"/>
      <c r="JYN27" s="30"/>
      <c r="JYS27" s="93"/>
      <c r="JYT27" s="30"/>
      <c r="JYY27" s="93"/>
      <c r="JYZ27" s="30"/>
      <c r="JZE27" s="93"/>
      <c r="JZF27" s="30"/>
      <c r="JZK27" s="93"/>
      <c r="JZL27" s="30"/>
      <c r="JZQ27" s="93"/>
      <c r="JZR27" s="30"/>
      <c r="JZW27" s="93"/>
      <c r="JZX27" s="30"/>
      <c r="KAC27" s="93"/>
      <c r="KAD27" s="30"/>
      <c r="KAI27" s="93"/>
      <c r="KAJ27" s="30"/>
      <c r="KAO27" s="93"/>
      <c r="KAP27" s="30"/>
      <c r="KAU27" s="93"/>
      <c r="KAV27" s="30"/>
      <c r="KBA27" s="93"/>
      <c r="KBB27" s="30"/>
      <c r="KBG27" s="93"/>
      <c r="KBH27" s="30"/>
      <c r="KBM27" s="93"/>
      <c r="KBN27" s="30"/>
      <c r="KBS27" s="93"/>
      <c r="KBT27" s="30"/>
      <c r="KBY27" s="93"/>
      <c r="KBZ27" s="30"/>
      <c r="KCE27" s="93"/>
      <c r="KCF27" s="30"/>
      <c r="KCK27" s="93"/>
      <c r="KCL27" s="30"/>
      <c r="KCQ27" s="93"/>
      <c r="KCR27" s="30"/>
      <c r="KCW27" s="93"/>
      <c r="KCX27" s="30"/>
      <c r="KDC27" s="93"/>
      <c r="KDD27" s="30"/>
      <c r="KDI27" s="93"/>
      <c r="KDJ27" s="30"/>
      <c r="KDO27" s="93"/>
      <c r="KDP27" s="30"/>
      <c r="KDU27" s="93"/>
      <c r="KDV27" s="30"/>
      <c r="KEA27" s="93"/>
      <c r="KEB27" s="30"/>
      <c r="KEG27" s="93"/>
      <c r="KEH27" s="30"/>
      <c r="KEM27" s="93"/>
      <c r="KEN27" s="30"/>
      <c r="KES27" s="93"/>
      <c r="KET27" s="30"/>
      <c r="KEY27" s="93"/>
      <c r="KEZ27" s="30"/>
      <c r="KFE27" s="93"/>
      <c r="KFF27" s="30"/>
      <c r="KFK27" s="93"/>
      <c r="KFL27" s="30"/>
      <c r="KFQ27" s="93"/>
      <c r="KFR27" s="30"/>
      <c r="KFW27" s="93"/>
      <c r="KFX27" s="30"/>
      <c r="KGC27" s="93"/>
      <c r="KGD27" s="30"/>
      <c r="KGI27" s="93"/>
      <c r="KGJ27" s="30"/>
      <c r="KGO27" s="93"/>
      <c r="KGP27" s="30"/>
      <c r="KGU27" s="93"/>
      <c r="KGV27" s="30"/>
      <c r="KHA27" s="93"/>
      <c r="KHB27" s="30"/>
      <c r="KHG27" s="93"/>
      <c r="KHH27" s="30"/>
      <c r="KHM27" s="93"/>
      <c r="KHN27" s="30"/>
      <c r="KHS27" s="93"/>
      <c r="KHT27" s="30"/>
      <c r="KHY27" s="93"/>
      <c r="KHZ27" s="30"/>
      <c r="KIE27" s="93"/>
      <c r="KIF27" s="30"/>
      <c r="KIK27" s="93"/>
      <c r="KIL27" s="30"/>
      <c r="KIQ27" s="93"/>
      <c r="KIR27" s="30"/>
      <c r="KIW27" s="93"/>
      <c r="KIX27" s="30"/>
      <c r="KJC27" s="93"/>
      <c r="KJD27" s="30"/>
      <c r="KJI27" s="93"/>
      <c r="KJJ27" s="30"/>
      <c r="KJO27" s="93"/>
      <c r="KJP27" s="30"/>
      <c r="KJU27" s="93"/>
      <c r="KJV27" s="30"/>
      <c r="KKA27" s="93"/>
      <c r="KKB27" s="30"/>
      <c r="KKG27" s="93"/>
      <c r="KKH27" s="30"/>
      <c r="KKM27" s="93"/>
      <c r="KKN27" s="30"/>
      <c r="KKS27" s="93"/>
      <c r="KKT27" s="30"/>
      <c r="KKY27" s="93"/>
      <c r="KKZ27" s="30"/>
      <c r="KLE27" s="93"/>
      <c r="KLF27" s="30"/>
      <c r="KLK27" s="93"/>
      <c r="KLL27" s="30"/>
      <c r="KLQ27" s="93"/>
      <c r="KLR27" s="30"/>
      <c r="KLW27" s="93"/>
      <c r="KLX27" s="30"/>
      <c r="KMC27" s="93"/>
      <c r="KMD27" s="30"/>
      <c r="KMI27" s="93"/>
      <c r="KMJ27" s="30"/>
      <c r="KMO27" s="93"/>
      <c r="KMP27" s="30"/>
      <c r="KMU27" s="93"/>
      <c r="KMV27" s="30"/>
      <c r="KNA27" s="93"/>
      <c r="KNB27" s="30"/>
      <c r="KNG27" s="93"/>
      <c r="KNH27" s="30"/>
      <c r="KNM27" s="93"/>
      <c r="KNN27" s="30"/>
      <c r="KNS27" s="93"/>
      <c r="KNT27" s="30"/>
      <c r="KNY27" s="93"/>
      <c r="KNZ27" s="30"/>
      <c r="KOE27" s="93"/>
      <c r="KOF27" s="30"/>
      <c r="KOK27" s="93"/>
      <c r="KOL27" s="30"/>
      <c r="KOQ27" s="93"/>
      <c r="KOR27" s="30"/>
      <c r="KOW27" s="93"/>
      <c r="KOX27" s="30"/>
      <c r="KPC27" s="93"/>
      <c r="KPD27" s="30"/>
      <c r="KPI27" s="93"/>
      <c r="KPJ27" s="30"/>
      <c r="KPO27" s="93"/>
      <c r="KPP27" s="30"/>
      <c r="KPU27" s="93"/>
      <c r="KPV27" s="30"/>
      <c r="KQA27" s="93"/>
      <c r="KQB27" s="30"/>
      <c r="KQG27" s="93"/>
      <c r="KQH27" s="30"/>
      <c r="KQM27" s="93"/>
      <c r="KQN27" s="30"/>
      <c r="KQS27" s="93"/>
      <c r="KQT27" s="30"/>
      <c r="KQY27" s="93"/>
      <c r="KQZ27" s="30"/>
      <c r="KRE27" s="93"/>
      <c r="KRF27" s="30"/>
      <c r="KRK27" s="93"/>
      <c r="KRL27" s="30"/>
      <c r="KRQ27" s="93"/>
      <c r="KRR27" s="30"/>
      <c r="KRW27" s="93"/>
      <c r="KRX27" s="30"/>
      <c r="KSC27" s="93"/>
      <c r="KSD27" s="30"/>
      <c r="KSI27" s="93"/>
      <c r="KSJ27" s="30"/>
      <c r="KSO27" s="93"/>
      <c r="KSP27" s="30"/>
      <c r="KSU27" s="93"/>
      <c r="KSV27" s="30"/>
      <c r="KTA27" s="93"/>
      <c r="KTB27" s="30"/>
      <c r="KTG27" s="93"/>
      <c r="KTH27" s="30"/>
      <c r="KTM27" s="93"/>
      <c r="KTN27" s="30"/>
      <c r="KTS27" s="93"/>
      <c r="KTT27" s="30"/>
      <c r="KTY27" s="93"/>
      <c r="KTZ27" s="30"/>
      <c r="KUE27" s="93"/>
      <c r="KUF27" s="30"/>
      <c r="KUK27" s="93"/>
      <c r="KUL27" s="30"/>
      <c r="KUQ27" s="93"/>
      <c r="KUR27" s="30"/>
      <c r="KUW27" s="93"/>
      <c r="KUX27" s="30"/>
      <c r="KVC27" s="93"/>
      <c r="KVD27" s="30"/>
      <c r="KVI27" s="93"/>
      <c r="KVJ27" s="30"/>
      <c r="KVO27" s="93"/>
      <c r="KVP27" s="30"/>
      <c r="KVU27" s="93"/>
      <c r="KVV27" s="30"/>
      <c r="KWA27" s="93"/>
      <c r="KWB27" s="30"/>
      <c r="KWG27" s="93"/>
      <c r="KWH27" s="30"/>
      <c r="KWM27" s="93"/>
      <c r="KWN27" s="30"/>
      <c r="KWS27" s="93"/>
      <c r="KWT27" s="30"/>
      <c r="KWY27" s="93"/>
      <c r="KWZ27" s="30"/>
      <c r="KXE27" s="93"/>
      <c r="KXF27" s="30"/>
      <c r="KXK27" s="93"/>
      <c r="KXL27" s="30"/>
      <c r="KXQ27" s="93"/>
      <c r="KXR27" s="30"/>
      <c r="KXW27" s="93"/>
      <c r="KXX27" s="30"/>
      <c r="KYC27" s="93"/>
      <c r="KYD27" s="30"/>
      <c r="KYI27" s="93"/>
      <c r="KYJ27" s="30"/>
      <c r="KYO27" s="93"/>
      <c r="KYP27" s="30"/>
      <c r="KYU27" s="93"/>
      <c r="KYV27" s="30"/>
      <c r="KZA27" s="93"/>
      <c r="KZB27" s="30"/>
      <c r="KZG27" s="93"/>
      <c r="KZH27" s="30"/>
      <c r="KZM27" s="93"/>
      <c r="KZN27" s="30"/>
      <c r="KZS27" s="93"/>
      <c r="KZT27" s="30"/>
      <c r="KZY27" s="93"/>
      <c r="KZZ27" s="30"/>
      <c r="LAE27" s="93"/>
      <c r="LAF27" s="30"/>
      <c r="LAK27" s="93"/>
      <c r="LAL27" s="30"/>
      <c r="LAQ27" s="93"/>
      <c r="LAR27" s="30"/>
      <c r="LAW27" s="93"/>
      <c r="LAX27" s="30"/>
      <c r="LBC27" s="93"/>
      <c r="LBD27" s="30"/>
      <c r="LBI27" s="93"/>
      <c r="LBJ27" s="30"/>
      <c r="LBO27" s="93"/>
      <c r="LBP27" s="30"/>
      <c r="LBU27" s="93"/>
      <c r="LBV27" s="30"/>
      <c r="LCA27" s="93"/>
      <c r="LCB27" s="30"/>
      <c r="LCG27" s="93"/>
      <c r="LCH27" s="30"/>
      <c r="LCM27" s="93"/>
      <c r="LCN27" s="30"/>
      <c r="LCS27" s="93"/>
      <c r="LCT27" s="30"/>
      <c r="LCY27" s="93"/>
      <c r="LCZ27" s="30"/>
      <c r="LDE27" s="93"/>
      <c r="LDF27" s="30"/>
      <c r="LDK27" s="93"/>
      <c r="LDL27" s="30"/>
      <c r="LDQ27" s="93"/>
      <c r="LDR27" s="30"/>
      <c r="LDW27" s="93"/>
      <c r="LDX27" s="30"/>
      <c r="LEC27" s="93"/>
      <c r="LED27" s="30"/>
      <c r="LEI27" s="93"/>
      <c r="LEJ27" s="30"/>
      <c r="LEO27" s="93"/>
      <c r="LEP27" s="30"/>
      <c r="LEU27" s="93"/>
      <c r="LEV27" s="30"/>
      <c r="LFA27" s="93"/>
      <c r="LFB27" s="30"/>
      <c r="LFG27" s="93"/>
      <c r="LFH27" s="30"/>
      <c r="LFM27" s="93"/>
      <c r="LFN27" s="30"/>
      <c r="LFS27" s="93"/>
      <c r="LFT27" s="30"/>
      <c r="LFY27" s="93"/>
      <c r="LFZ27" s="30"/>
      <c r="LGE27" s="93"/>
      <c r="LGF27" s="30"/>
      <c r="LGK27" s="93"/>
      <c r="LGL27" s="30"/>
      <c r="LGQ27" s="93"/>
      <c r="LGR27" s="30"/>
      <c r="LGW27" s="93"/>
      <c r="LGX27" s="30"/>
      <c r="LHC27" s="93"/>
      <c r="LHD27" s="30"/>
      <c r="LHI27" s="93"/>
      <c r="LHJ27" s="30"/>
      <c r="LHO27" s="93"/>
      <c r="LHP27" s="30"/>
      <c r="LHU27" s="93"/>
      <c r="LHV27" s="30"/>
      <c r="LIA27" s="93"/>
      <c r="LIB27" s="30"/>
      <c r="LIG27" s="93"/>
      <c r="LIH27" s="30"/>
      <c r="LIM27" s="93"/>
      <c r="LIN27" s="30"/>
      <c r="LIS27" s="93"/>
      <c r="LIT27" s="30"/>
      <c r="LIY27" s="93"/>
      <c r="LIZ27" s="30"/>
      <c r="LJE27" s="93"/>
      <c r="LJF27" s="30"/>
      <c r="LJK27" s="93"/>
      <c r="LJL27" s="30"/>
      <c r="LJQ27" s="93"/>
      <c r="LJR27" s="30"/>
      <c r="LJW27" s="93"/>
      <c r="LJX27" s="30"/>
      <c r="LKC27" s="93"/>
      <c r="LKD27" s="30"/>
      <c r="LKI27" s="93"/>
      <c r="LKJ27" s="30"/>
      <c r="LKO27" s="93"/>
      <c r="LKP27" s="30"/>
      <c r="LKU27" s="93"/>
      <c r="LKV27" s="30"/>
      <c r="LLA27" s="93"/>
      <c r="LLB27" s="30"/>
      <c r="LLG27" s="93"/>
      <c r="LLH27" s="30"/>
      <c r="LLM27" s="93"/>
      <c r="LLN27" s="30"/>
      <c r="LLS27" s="93"/>
      <c r="LLT27" s="30"/>
      <c r="LLY27" s="93"/>
      <c r="LLZ27" s="30"/>
      <c r="LME27" s="93"/>
      <c r="LMF27" s="30"/>
      <c r="LMK27" s="93"/>
      <c r="LML27" s="30"/>
      <c r="LMQ27" s="93"/>
      <c r="LMR27" s="30"/>
      <c r="LMW27" s="93"/>
      <c r="LMX27" s="30"/>
      <c r="LNC27" s="93"/>
      <c r="LND27" s="30"/>
      <c r="LNI27" s="93"/>
      <c r="LNJ27" s="30"/>
      <c r="LNO27" s="93"/>
      <c r="LNP27" s="30"/>
      <c r="LNU27" s="93"/>
      <c r="LNV27" s="30"/>
      <c r="LOA27" s="93"/>
      <c r="LOB27" s="30"/>
      <c r="LOG27" s="93"/>
      <c r="LOH27" s="30"/>
      <c r="LOM27" s="93"/>
      <c r="LON27" s="30"/>
      <c r="LOS27" s="93"/>
      <c r="LOT27" s="30"/>
      <c r="LOY27" s="93"/>
      <c r="LOZ27" s="30"/>
      <c r="LPE27" s="93"/>
      <c r="LPF27" s="30"/>
      <c r="LPK27" s="93"/>
      <c r="LPL27" s="30"/>
      <c r="LPQ27" s="93"/>
      <c r="LPR27" s="30"/>
      <c r="LPW27" s="93"/>
      <c r="LPX27" s="30"/>
      <c r="LQC27" s="93"/>
      <c r="LQD27" s="30"/>
      <c r="LQI27" s="93"/>
      <c r="LQJ27" s="30"/>
      <c r="LQO27" s="93"/>
      <c r="LQP27" s="30"/>
      <c r="LQU27" s="93"/>
      <c r="LQV27" s="30"/>
      <c r="LRA27" s="93"/>
      <c r="LRB27" s="30"/>
      <c r="LRG27" s="93"/>
      <c r="LRH27" s="30"/>
      <c r="LRM27" s="93"/>
      <c r="LRN27" s="30"/>
      <c r="LRS27" s="93"/>
      <c r="LRT27" s="30"/>
      <c r="LRY27" s="93"/>
      <c r="LRZ27" s="30"/>
      <c r="LSE27" s="93"/>
      <c r="LSF27" s="30"/>
      <c r="LSK27" s="93"/>
      <c r="LSL27" s="30"/>
      <c r="LSQ27" s="93"/>
      <c r="LSR27" s="30"/>
      <c r="LSW27" s="93"/>
      <c r="LSX27" s="30"/>
      <c r="LTC27" s="93"/>
      <c r="LTD27" s="30"/>
      <c r="LTI27" s="93"/>
      <c r="LTJ27" s="30"/>
      <c r="LTO27" s="93"/>
      <c r="LTP27" s="30"/>
      <c r="LTU27" s="93"/>
      <c r="LTV27" s="30"/>
      <c r="LUA27" s="93"/>
      <c r="LUB27" s="30"/>
      <c r="LUG27" s="93"/>
      <c r="LUH27" s="30"/>
      <c r="LUM27" s="93"/>
      <c r="LUN27" s="30"/>
      <c r="LUS27" s="93"/>
      <c r="LUT27" s="30"/>
      <c r="LUY27" s="93"/>
      <c r="LUZ27" s="30"/>
      <c r="LVE27" s="93"/>
      <c r="LVF27" s="30"/>
      <c r="LVK27" s="93"/>
      <c r="LVL27" s="30"/>
      <c r="LVQ27" s="93"/>
      <c r="LVR27" s="30"/>
      <c r="LVW27" s="93"/>
      <c r="LVX27" s="30"/>
      <c r="LWC27" s="93"/>
      <c r="LWD27" s="30"/>
      <c r="LWI27" s="93"/>
      <c r="LWJ27" s="30"/>
      <c r="LWO27" s="93"/>
      <c r="LWP27" s="30"/>
      <c r="LWU27" s="93"/>
      <c r="LWV27" s="30"/>
      <c r="LXA27" s="93"/>
      <c r="LXB27" s="30"/>
      <c r="LXG27" s="93"/>
      <c r="LXH27" s="30"/>
      <c r="LXM27" s="93"/>
      <c r="LXN27" s="30"/>
      <c r="LXS27" s="93"/>
      <c r="LXT27" s="30"/>
      <c r="LXY27" s="93"/>
      <c r="LXZ27" s="30"/>
      <c r="LYE27" s="93"/>
      <c r="LYF27" s="30"/>
      <c r="LYK27" s="93"/>
      <c r="LYL27" s="30"/>
      <c r="LYQ27" s="93"/>
      <c r="LYR27" s="30"/>
      <c r="LYW27" s="93"/>
      <c r="LYX27" s="30"/>
      <c r="LZC27" s="93"/>
      <c r="LZD27" s="30"/>
      <c r="LZI27" s="93"/>
      <c r="LZJ27" s="30"/>
      <c r="LZO27" s="93"/>
      <c r="LZP27" s="30"/>
      <c r="LZU27" s="93"/>
      <c r="LZV27" s="30"/>
      <c r="MAA27" s="93"/>
      <c r="MAB27" s="30"/>
      <c r="MAG27" s="93"/>
      <c r="MAH27" s="30"/>
      <c r="MAM27" s="93"/>
      <c r="MAN27" s="30"/>
      <c r="MAS27" s="93"/>
      <c r="MAT27" s="30"/>
      <c r="MAY27" s="93"/>
      <c r="MAZ27" s="30"/>
      <c r="MBE27" s="93"/>
      <c r="MBF27" s="30"/>
      <c r="MBK27" s="93"/>
      <c r="MBL27" s="30"/>
      <c r="MBQ27" s="93"/>
      <c r="MBR27" s="30"/>
      <c r="MBW27" s="93"/>
      <c r="MBX27" s="30"/>
      <c r="MCC27" s="93"/>
      <c r="MCD27" s="30"/>
      <c r="MCI27" s="93"/>
      <c r="MCJ27" s="30"/>
      <c r="MCO27" s="93"/>
      <c r="MCP27" s="30"/>
      <c r="MCU27" s="93"/>
      <c r="MCV27" s="30"/>
      <c r="MDA27" s="93"/>
      <c r="MDB27" s="30"/>
      <c r="MDG27" s="93"/>
      <c r="MDH27" s="30"/>
      <c r="MDM27" s="93"/>
      <c r="MDN27" s="30"/>
      <c r="MDS27" s="93"/>
      <c r="MDT27" s="30"/>
      <c r="MDY27" s="93"/>
      <c r="MDZ27" s="30"/>
      <c r="MEE27" s="93"/>
      <c r="MEF27" s="30"/>
      <c r="MEK27" s="93"/>
      <c r="MEL27" s="30"/>
      <c r="MEQ27" s="93"/>
      <c r="MER27" s="30"/>
      <c r="MEW27" s="93"/>
      <c r="MEX27" s="30"/>
      <c r="MFC27" s="93"/>
      <c r="MFD27" s="30"/>
      <c r="MFI27" s="93"/>
      <c r="MFJ27" s="30"/>
      <c r="MFO27" s="93"/>
      <c r="MFP27" s="30"/>
      <c r="MFU27" s="93"/>
      <c r="MFV27" s="30"/>
      <c r="MGA27" s="93"/>
      <c r="MGB27" s="30"/>
      <c r="MGG27" s="93"/>
      <c r="MGH27" s="30"/>
      <c r="MGM27" s="93"/>
      <c r="MGN27" s="30"/>
      <c r="MGS27" s="93"/>
      <c r="MGT27" s="30"/>
      <c r="MGY27" s="93"/>
      <c r="MGZ27" s="30"/>
      <c r="MHE27" s="93"/>
      <c r="MHF27" s="30"/>
      <c r="MHK27" s="93"/>
      <c r="MHL27" s="30"/>
      <c r="MHQ27" s="93"/>
      <c r="MHR27" s="30"/>
      <c r="MHW27" s="93"/>
      <c r="MHX27" s="30"/>
      <c r="MIC27" s="93"/>
      <c r="MID27" s="30"/>
      <c r="MII27" s="93"/>
      <c r="MIJ27" s="30"/>
      <c r="MIO27" s="93"/>
      <c r="MIP27" s="30"/>
      <c r="MIU27" s="93"/>
      <c r="MIV27" s="30"/>
      <c r="MJA27" s="93"/>
      <c r="MJB27" s="30"/>
      <c r="MJG27" s="93"/>
      <c r="MJH27" s="30"/>
      <c r="MJM27" s="93"/>
      <c r="MJN27" s="30"/>
      <c r="MJS27" s="93"/>
      <c r="MJT27" s="30"/>
      <c r="MJY27" s="93"/>
      <c r="MJZ27" s="30"/>
      <c r="MKE27" s="93"/>
      <c r="MKF27" s="30"/>
      <c r="MKK27" s="93"/>
      <c r="MKL27" s="30"/>
      <c r="MKQ27" s="93"/>
      <c r="MKR27" s="30"/>
      <c r="MKW27" s="93"/>
      <c r="MKX27" s="30"/>
      <c r="MLC27" s="93"/>
      <c r="MLD27" s="30"/>
      <c r="MLI27" s="93"/>
      <c r="MLJ27" s="30"/>
      <c r="MLO27" s="93"/>
      <c r="MLP27" s="30"/>
      <c r="MLU27" s="93"/>
      <c r="MLV27" s="30"/>
      <c r="MMA27" s="93"/>
      <c r="MMB27" s="30"/>
      <c r="MMG27" s="93"/>
      <c r="MMH27" s="30"/>
      <c r="MMM27" s="93"/>
      <c r="MMN27" s="30"/>
      <c r="MMS27" s="93"/>
      <c r="MMT27" s="30"/>
      <c r="MMY27" s="93"/>
      <c r="MMZ27" s="30"/>
      <c r="MNE27" s="93"/>
      <c r="MNF27" s="30"/>
      <c r="MNK27" s="93"/>
      <c r="MNL27" s="30"/>
      <c r="MNQ27" s="93"/>
      <c r="MNR27" s="30"/>
      <c r="MNW27" s="93"/>
      <c r="MNX27" s="30"/>
      <c r="MOC27" s="93"/>
      <c r="MOD27" s="30"/>
      <c r="MOI27" s="93"/>
      <c r="MOJ27" s="30"/>
      <c r="MOO27" s="93"/>
      <c r="MOP27" s="30"/>
      <c r="MOU27" s="93"/>
      <c r="MOV27" s="30"/>
      <c r="MPA27" s="93"/>
      <c r="MPB27" s="30"/>
      <c r="MPG27" s="93"/>
      <c r="MPH27" s="30"/>
      <c r="MPM27" s="93"/>
      <c r="MPN27" s="30"/>
      <c r="MPS27" s="93"/>
      <c r="MPT27" s="30"/>
      <c r="MPY27" s="93"/>
      <c r="MPZ27" s="30"/>
      <c r="MQE27" s="93"/>
      <c r="MQF27" s="30"/>
      <c r="MQK27" s="93"/>
      <c r="MQL27" s="30"/>
      <c r="MQQ27" s="93"/>
      <c r="MQR27" s="30"/>
      <c r="MQW27" s="93"/>
      <c r="MQX27" s="30"/>
      <c r="MRC27" s="93"/>
      <c r="MRD27" s="30"/>
      <c r="MRI27" s="93"/>
      <c r="MRJ27" s="30"/>
      <c r="MRO27" s="93"/>
      <c r="MRP27" s="30"/>
      <c r="MRU27" s="93"/>
      <c r="MRV27" s="30"/>
      <c r="MSA27" s="93"/>
      <c r="MSB27" s="30"/>
      <c r="MSG27" s="93"/>
      <c r="MSH27" s="30"/>
      <c r="MSM27" s="93"/>
      <c r="MSN27" s="30"/>
      <c r="MSS27" s="93"/>
      <c r="MST27" s="30"/>
      <c r="MSY27" s="93"/>
      <c r="MSZ27" s="30"/>
      <c r="MTE27" s="93"/>
      <c r="MTF27" s="30"/>
      <c r="MTK27" s="93"/>
      <c r="MTL27" s="30"/>
      <c r="MTQ27" s="93"/>
      <c r="MTR27" s="30"/>
      <c r="MTW27" s="93"/>
      <c r="MTX27" s="30"/>
      <c r="MUC27" s="93"/>
      <c r="MUD27" s="30"/>
      <c r="MUI27" s="93"/>
      <c r="MUJ27" s="30"/>
      <c r="MUO27" s="93"/>
      <c r="MUP27" s="30"/>
      <c r="MUU27" s="93"/>
      <c r="MUV27" s="30"/>
      <c r="MVA27" s="93"/>
      <c r="MVB27" s="30"/>
      <c r="MVG27" s="93"/>
      <c r="MVH27" s="30"/>
      <c r="MVM27" s="93"/>
      <c r="MVN27" s="30"/>
      <c r="MVS27" s="93"/>
      <c r="MVT27" s="30"/>
      <c r="MVY27" s="93"/>
      <c r="MVZ27" s="30"/>
      <c r="MWE27" s="93"/>
      <c r="MWF27" s="30"/>
      <c r="MWK27" s="93"/>
      <c r="MWL27" s="30"/>
      <c r="MWQ27" s="93"/>
      <c r="MWR27" s="30"/>
      <c r="MWW27" s="93"/>
      <c r="MWX27" s="30"/>
      <c r="MXC27" s="93"/>
      <c r="MXD27" s="30"/>
      <c r="MXI27" s="93"/>
      <c r="MXJ27" s="30"/>
      <c r="MXO27" s="93"/>
      <c r="MXP27" s="30"/>
      <c r="MXU27" s="93"/>
      <c r="MXV27" s="30"/>
      <c r="MYA27" s="93"/>
      <c r="MYB27" s="30"/>
      <c r="MYG27" s="93"/>
      <c r="MYH27" s="30"/>
      <c r="MYM27" s="93"/>
      <c r="MYN27" s="30"/>
      <c r="MYS27" s="93"/>
      <c r="MYT27" s="30"/>
      <c r="MYY27" s="93"/>
      <c r="MYZ27" s="30"/>
      <c r="MZE27" s="93"/>
      <c r="MZF27" s="30"/>
      <c r="MZK27" s="93"/>
      <c r="MZL27" s="30"/>
      <c r="MZQ27" s="93"/>
      <c r="MZR27" s="30"/>
      <c r="MZW27" s="93"/>
      <c r="MZX27" s="30"/>
      <c r="NAC27" s="93"/>
      <c r="NAD27" s="30"/>
      <c r="NAI27" s="93"/>
      <c r="NAJ27" s="30"/>
      <c r="NAO27" s="93"/>
      <c r="NAP27" s="30"/>
      <c r="NAU27" s="93"/>
      <c r="NAV27" s="30"/>
      <c r="NBA27" s="93"/>
      <c r="NBB27" s="30"/>
      <c r="NBG27" s="93"/>
      <c r="NBH27" s="30"/>
      <c r="NBM27" s="93"/>
      <c r="NBN27" s="30"/>
      <c r="NBS27" s="93"/>
      <c r="NBT27" s="30"/>
      <c r="NBY27" s="93"/>
      <c r="NBZ27" s="30"/>
      <c r="NCE27" s="93"/>
      <c r="NCF27" s="30"/>
      <c r="NCK27" s="93"/>
      <c r="NCL27" s="30"/>
      <c r="NCQ27" s="93"/>
      <c r="NCR27" s="30"/>
      <c r="NCW27" s="93"/>
      <c r="NCX27" s="30"/>
      <c r="NDC27" s="93"/>
      <c r="NDD27" s="30"/>
      <c r="NDI27" s="93"/>
      <c r="NDJ27" s="30"/>
      <c r="NDO27" s="93"/>
      <c r="NDP27" s="30"/>
      <c r="NDU27" s="93"/>
      <c r="NDV27" s="30"/>
      <c r="NEA27" s="93"/>
      <c r="NEB27" s="30"/>
      <c r="NEG27" s="93"/>
      <c r="NEH27" s="30"/>
      <c r="NEM27" s="93"/>
      <c r="NEN27" s="30"/>
      <c r="NES27" s="93"/>
      <c r="NET27" s="30"/>
      <c r="NEY27" s="93"/>
      <c r="NEZ27" s="30"/>
      <c r="NFE27" s="93"/>
      <c r="NFF27" s="30"/>
      <c r="NFK27" s="93"/>
      <c r="NFL27" s="30"/>
      <c r="NFQ27" s="93"/>
      <c r="NFR27" s="30"/>
      <c r="NFW27" s="93"/>
      <c r="NFX27" s="30"/>
      <c r="NGC27" s="93"/>
      <c r="NGD27" s="30"/>
      <c r="NGI27" s="93"/>
      <c r="NGJ27" s="30"/>
      <c r="NGO27" s="93"/>
      <c r="NGP27" s="30"/>
      <c r="NGU27" s="93"/>
      <c r="NGV27" s="30"/>
      <c r="NHA27" s="93"/>
      <c r="NHB27" s="30"/>
      <c r="NHG27" s="93"/>
      <c r="NHH27" s="30"/>
      <c r="NHM27" s="93"/>
      <c r="NHN27" s="30"/>
      <c r="NHS27" s="93"/>
      <c r="NHT27" s="30"/>
      <c r="NHY27" s="93"/>
      <c r="NHZ27" s="30"/>
      <c r="NIE27" s="93"/>
      <c r="NIF27" s="30"/>
      <c r="NIK27" s="93"/>
      <c r="NIL27" s="30"/>
      <c r="NIQ27" s="93"/>
      <c r="NIR27" s="30"/>
      <c r="NIW27" s="93"/>
      <c r="NIX27" s="30"/>
      <c r="NJC27" s="93"/>
      <c r="NJD27" s="30"/>
      <c r="NJI27" s="93"/>
      <c r="NJJ27" s="30"/>
      <c r="NJO27" s="93"/>
      <c r="NJP27" s="30"/>
      <c r="NJU27" s="93"/>
      <c r="NJV27" s="30"/>
      <c r="NKA27" s="93"/>
      <c r="NKB27" s="30"/>
      <c r="NKG27" s="93"/>
      <c r="NKH27" s="30"/>
      <c r="NKM27" s="93"/>
      <c r="NKN27" s="30"/>
      <c r="NKS27" s="93"/>
      <c r="NKT27" s="30"/>
      <c r="NKY27" s="93"/>
      <c r="NKZ27" s="30"/>
      <c r="NLE27" s="93"/>
      <c r="NLF27" s="30"/>
      <c r="NLK27" s="93"/>
      <c r="NLL27" s="30"/>
      <c r="NLQ27" s="93"/>
      <c r="NLR27" s="30"/>
      <c r="NLW27" s="93"/>
      <c r="NLX27" s="30"/>
      <c r="NMC27" s="93"/>
      <c r="NMD27" s="30"/>
      <c r="NMI27" s="93"/>
      <c r="NMJ27" s="30"/>
      <c r="NMO27" s="93"/>
      <c r="NMP27" s="30"/>
      <c r="NMU27" s="93"/>
      <c r="NMV27" s="30"/>
      <c r="NNA27" s="93"/>
      <c r="NNB27" s="30"/>
      <c r="NNG27" s="93"/>
      <c r="NNH27" s="30"/>
      <c r="NNM27" s="93"/>
      <c r="NNN27" s="30"/>
      <c r="NNS27" s="93"/>
      <c r="NNT27" s="30"/>
      <c r="NNY27" s="93"/>
      <c r="NNZ27" s="30"/>
      <c r="NOE27" s="93"/>
      <c r="NOF27" s="30"/>
      <c r="NOK27" s="93"/>
      <c r="NOL27" s="30"/>
      <c r="NOQ27" s="93"/>
      <c r="NOR27" s="30"/>
      <c r="NOW27" s="93"/>
      <c r="NOX27" s="30"/>
      <c r="NPC27" s="93"/>
      <c r="NPD27" s="30"/>
      <c r="NPI27" s="93"/>
      <c r="NPJ27" s="30"/>
      <c r="NPO27" s="93"/>
      <c r="NPP27" s="30"/>
      <c r="NPU27" s="93"/>
      <c r="NPV27" s="30"/>
      <c r="NQA27" s="93"/>
      <c r="NQB27" s="30"/>
      <c r="NQG27" s="93"/>
      <c r="NQH27" s="30"/>
      <c r="NQM27" s="93"/>
      <c r="NQN27" s="30"/>
      <c r="NQS27" s="93"/>
      <c r="NQT27" s="30"/>
      <c r="NQY27" s="93"/>
      <c r="NQZ27" s="30"/>
      <c r="NRE27" s="93"/>
      <c r="NRF27" s="30"/>
      <c r="NRK27" s="93"/>
      <c r="NRL27" s="30"/>
      <c r="NRQ27" s="93"/>
      <c r="NRR27" s="30"/>
      <c r="NRW27" s="93"/>
      <c r="NRX27" s="30"/>
      <c r="NSC27" s="93"/>
      <c r="NSD27" s="30"/>
      <c r="NSI27" s="93"/>
      <c r="NSJ27" s="30"/>
      <c r="NSO27" s="93"/>
      <c r="NSP27" s="30"/>
      <c r="NSU27" s="93"/>
      <c r="NSV27" s="30"/>
      <c r="NTA27" s="93"/>
      <c r="NTB27" s="30"/>
      <c r="NTG27" s="93"/>
      <c r="NTH27" s="30"/>
      <c r="NTM27" s="93"/>
      <c r="NTN27" s="30"/>
      <c r="NTS27" s="93"/>
      <c r="NTT27" s="30"/>
      <c r="NTY27" s="93"/>
      <c r="NTZ27" s="30"/>
      <c r="NUE27" s="93"/>
      <c r="NUF27" s="30"/>
      <c r="NUK27" s="93"/>
      <c r="NUL27" s="30"/>
      <c r="NUQ27" s="93"/>
      <c r="NUR27" s="30"/>
      <c r="NUW27" s="93"/>
      <c r="NUX27" s="30"/>
      <c r="NVC27" s="93"/>
      <c r="NVD27" s="30"/>
      <c r="NVI27" s="93"/>
      <c r="NVJ27" s="30"/>
      <c r="NVO27" s="93"/>
      <c r="NVP27" s="30"/>
      <c r="NVU27" s="93"/>
      <c r="NVV27" s="30"/>
      <c r="NWA27" s="93"/>
      <c r="NWB27" s="30"/>
      <c r="NWG27" s="93"/>
      <c r="NWH27" s="30"/>
      <c r="NWM27" s="93"/>
      <c r="NWN27" s="30"/>
      <c r="NWS27" s="93"/>
      <c r="NWT27" s="30"/>
      <c r="NWY27" s="93"/>
      <c r="NWZ27" s="30"/>
      <c r="NXE27" s="93"/>
      <c r="NXF27" s="30"/>
      <c r="NXK27" s="93"/>
      <c r="NXL27" s="30"/>
      <c r="NXQ27" s="93"/>
      <c r="NXR27" s="30"/>
      <c r="NXW27" s="93"/>
      <c r="NXX27" s="30"/>
      <c r="NYC27" s="93"/>
      <c r="NYD27" s="30"/>
      <c r="NYI27" s="93"/>
      <c r="NYJ27" s="30"/>
      <c r="NYO27" s="93"/>
      <c r="NYP27" s="30"/>
      <c r="NYU27" s="93"/>
      <c r="NYV27" s="30"/>
      <c r="NZA27" s="93"/>
      <c r="NZB27" s="30"/>
      <c r="NZG27" s="93"/>
      <c r="NZH27" s="30"/>
      <c r="NZM27" s="93"/>
      <c r="NZN27" s="30"/>
      <c r="NZS27" s="93"/>
      <c r="NZT27" s="30"/>
      <c r="NZY27" s="93"/>
      <c r="NZZ27" s="30"/>
      <c r="OAE27" s="93"/>
      <c r="OAF27" s="30"/>
      <c r="OAK27" s="93"/>
      <c r="OAL27" s="30"/>
      <c r="OAQ27" s="93"/>
      <c r="OAR27" s="30"/>
      <c r="OAW27" s="93"/>
      <c r="OAX27" s="30"/>
      <c r="OBC27" s="93"/>
      <c r="OBD27" s="30"/>
      <c r="OBI27" s="93"/>
      <c r="OBJ27" s="30"/>
      <c r="OBO27" s="93"/>
      <c r="OBP27" s="30"/>
      <c r="OBU27" s="93"/>
      <c r="OBV27" s="30"/>
      <c r="OCA27" s="93"/>
      <c r="OCB27" s="30"/>
      <c r="OCG27" s="93"/>
      <c r="OCH27" s="30"/>
      <c r="OCM27" s="93"/>
      <c r="OCN27" s="30"/>
      <c r="OCS27" s="93"/>
      <c r="OCT27" s="30"/>
      <c r="OCY27" s="93"/>
      <c r="OCZ27" s="30"/>
      <c r="ODE27" s="93"/>
      <c r="ODF27" s="30"/>
      <c r="ODK27" s="93"/>
      <c r="ODL27" s="30"/>
      <c r="ODQ27" s="93"/>
      <c r="ODR27" s="30"/>
      <c r="ODW27" s="93"/>
      <c r="ODX27" s="30"/>
      <c r="OEC27" s="93"/>
      <c r="OED27" s="30"/>
      <c r="OEI27" s="93"/>
      <c r="OEJ27" s="30"/>
      <c r="OEO27" s="93"/>
      <c r="OEP27" s="30"/>
      <c r="OEU27" s="93"/>
      <c r="OEV27" s="30"/>
      <c r="OFA27" s="93"/>
      <c r="OFB27" s="30"/>
      <c r="OFG27" s="93"/>
      <c r="OFH27" s="30"/>
      <c r="OFM27" s="93"/>
      <c r="OFN27" s="30"/>
      <c r="OFS27" s="93"/>
      <c r="OFT27" s="30"/>
      <c r="OFY27" s="93"/>
      <c r="OFZ27" s="30"/>
      <c r="OGE27" s="93"/>
      <c r="OGF27" s="30"/>
      <c r="OGK27" s="93"/>
      <c r="OGL27" s="30"/>
      <c r="OGQ27" s="93"/>
      <c r="OGR27" s="30"/>
      <c r="OGW27" s="93"/>
      <c r="OGX27" s="30"/>
      <c r="OHC27" s="93"/>
      <c r="OHD27" s="30"/>
      <c r="OHI27" s="93"/>
      <c r="OHJ27" s="30"/>
      <c r="OHO27" s="93"/>
      <c r="OHP27" s="30"/>
      <c r="OHU27" s="93"/>
      <c r="OHV27" s="30"/>
      <c r="OIA27" s="93"/>
      <c r="OIB27" s="30"/>
      <c r="OIG27" s="93"/>
      <c r="OIH27" s="30"/>
      <c r="OIM27" s="93"/>
      <c r="OIN27" s="30"/>
      <c r="OIS27" s="93"/>
      <c r="OIT27" s="30"/>
      <c r="OIY27" s="93"/>
      <c r="OIZ27" s="30"/>
      <c r="OJE27" s="93"/>
      <c r="OJF27" s="30"/>
      <c r="OJK27" s="93"/>
      <c r="OJL27" s="30"/>
      <c r="OJQ27" s="93"/>
      <c r="OJR27" s="30"/>
      <c r="OJW27" s="93"/>
      <c r="OJX27" s="30"/>
      <c r="OKC27" s="93"/>
      <c r="OKD27" s="30"/>
      <c r="OKI27" s="93"/>
      <c r="OKJ27" s="30"/>
      <c r="OKO27" s="93"/>
      <c r="OKP27" s="30"/>
      <c r="OKU27" s="93"/>
      <c r="OKV27" s="30"/>
      <c r="OLA27" s="93"/>
      <c r="OLB27" s="30"/>
      <c r="OLG27" s="93"/>
      <c r="OLH27" s="30"/>
      <c r="OLM27" s="93"/>
      <c r="OLN27" s="30"/>
      <c r="OLS27" s="93"/>
      <c r="OLT27" s="30"/>
      <c r="OLY27" s="93"/>
      <c r="OLZ27" s="30"/>
      <c r="OME27" s="93"/>
      <c r="OMF27" s="30"/>
      <c r="OMK27" s="93"/>
      <c r="OML27" s="30"/>
      <c r="OMQ27" s="93"/>
      <c r="OMR27" s="30"/>
      <c r="OMW27" s="93"/>
      <c r="OMX27" s="30"/>
      <c r="ONC27" s="93"/>
      <c r="OND27" s="30"/>
      <c r="ONI27" s="93"/>
      <c r="ONJ27" s="30"/>
      <c r="ONO27" s="93"/>
      <c r="ONP27" s="30"/>
      <c r="ONU27" s="93"/>
      <c r="ONV27" s="30"/>
      <c r="OOA27" s="93"/>
      <c r="OOB27" s="30"/>
      <c r="OOG27" s="93"/>
      <c r="OOH27" s="30"/>
      <c r="OOM27" s="93"/>
      <c r="OON27" s="30"/>
      <c r="OOS27" s="93"/>
      <c r="OOT27" s="30"/>
      <c r="OOY27" s="93"/>
      <c r="OOZ27" s="30"/>
      <c r="OPE27" s="93"/>
      <c r="OPF27" s="30"/>
      <c r="OPK27" s="93"/>
      <c r="OPL27" s="30"/>
      <c r="OPQ27" s="93"/>
      <c r="OPR27" s="30"/>
      <c r="OPW27" s="93"/>
      <c r="OPX27" s="30"/>
      <c r="OQC27" s="93"/>
      <c r="OQD27" s="30"/>
      <c r="OQI27" s="93"/>
      <c r="OQJ27" s="30"/>
      <c r="OQO27" s="93"/>
      <c r="OQP27" s="30"/>
      <c r="OQU27" s="93"/>
      <c r="OQV27" s="30"/>
      <c r="ORA27" s="93"/>
      <c r="ORB27" s="30"/>
      <c r="ORG27" s="93"/>
      <c r="ORH27" s="30"/>
      <c r="ORM27" s="93"/>
      <c r="ORN27" s="30"/>
      <c r="ORS27" s="93"/>
      <c r="ORT27" s="30"/>
      <c r="ORY27" s="93"/>
      <c r="ORZ27" s="30"/>
      <c r="OSE27" s="93"/>
      <c r="OSF27" s="30"/>
      <c r="OSK27" s="93"/>
      <c r="OSL27" s="30"/>
      <c r="OSQ27" s="93"/>
      <c r="OSR27" s="30"/>
      <c r="OSW27" s="93"/>
      <c r="OSX27" s="30"/>
      <c r="OTC27" s="93"/>
      <c r="OTD27" s="30"/>
      <c r="OTI27" s="93"/>
      <c r="OTJ27" s="30"/>
      <c r="OTO27" s="93"/>
      <c r="OTP27" s="30"/>
      <c r="OTU27" s="93"/>
      <c r="OTV27" s="30"/>
      <c r="OUA27" s="93"/>
      <c r="OUB27" s="30"/>
      <c r="OUG27" s="93"/>
      <c r="OUH27" s="30"/>
      <c r="OUM27" s="93"/>
      <c r="OUN27" s="30"/>
      <c r="OUS27" s="93"/>
      <c r="OUT27" s="30"/>
      <c r="OUY27" s="93"/>
      <c r="OUZ27" s="30"/>
      <c r="OVE27" s="93"/>
      <c r="OVF27" s="30"/>
      <c r="OVK27" s="93"/>
      <c r="OVL27" s="30"/>
      <c r="OVQ27" s="93"/>
      <c r="OVR27" s="30"/>
      <c r="OVW27" s="93"/>
      <c r="OVX27" s="30"/>
      <c r="OWC27" s="93"/>
      <c r="OWD27" s="30"/>
      <c r="OWI27" s="93"/>
      <c r="OWJ27" s="30"/>
      <c r="OWO27" s="93"/>
      <c r="OWP27" s="30"/>
      <c r="OWU27" s="93"/>
      <c r="OWV27" s="30"/>
      <c r="OXA27" s="93"/>
      <c r="OXB27" s="30"/>
      <c r="OXG27" s="93"/>
      <c r="OXH27" s="30"/>
      <c r="OXM27" s="93"/>
      <c r="OXN27" s="30"/>
      <c r="OXS27" s="93"/>
      <c r="OXT27" s="30"/>
      <c r="OXY27" s="93"/>
      <c r="OXZ27" s="30"/>
      <c r="OYE27" s="93"/>
      <c r="OYF27" s="30"/>
      <c r="OYK27" s="93"/>
      <c r="OYL27" s="30"/>
      <c r="OYQ27" s="93"/>
      <c r="OYR27" s="30"/>
      <c r="OYW27" s="93"/>
      <c r="OYX27" s="30"/>
      <c r="OZC27" s="93"/>
      <c r="OZD27" s="30"/>
      <c r="OZI27" s="93"/>
      <c r="OZJ27" s="30"/>
      <c r="OZO27" s="93"/>
      <c r="OZP27" s="30"/>
      <c r="OZU27" s="93"/>
      <c r="OZV27" s="30"/>
      <c r="PAA27" s="93"/>
      <c r="PAB27" s="30"/>
      <c r="PAG27" s="93"/>
      <c r="PAH27" s="30"/>
      <c r="PAM27" s="93"/>
      <c r="PAN27" s="30"/>
      <c r="PAS27" s="93"/>
      <c r="PAT27" s="30"/>
      <c r="PAY27" s="93"/>
      <c r="PAZ27" s="30"/>
      <c r="PBE27" s="93"/>
      <c r="PBF27" s="30"/>
      <c r="PBK27" s="93"/>
      <c r="PBL27" s="30"/>
      <c r="PBQ27" s="93"/>
      <c r="PBR27" s="30"/>
      <c r="PBW27" s="93"/>
      <c r="PBX27" s="30"/>
      <c r="PCC27" s="93"/>
      <c r="PCD27" s="30"/>
      <c r="PCI27" s="93"/>
      <c r="PCJ27" s="30"/>
      <c r="PCO27" s="93"/>
      <c r="PCP27" s="30"/>
      <c r="PCU27" s="93"/>
      <c r="PCV27" s="30"/>
      <c r="PDA27" s="93"/>
      <c r="PDB27" s="30"/>
      <c r="PDG27" s="93"/>
      <c r="PDH27" s="30"/>
      <c r="PDM27" s="93"/>
      <c r="PDN27" s="30"/>
      <c r="PDS27" s="93"/>
      <c r="PDT27" s="30"/>
      <c r="PDY27" s="93"/>
      <c r="PDZ27" s="30"/>
      <c r="PEE27" s="93"/>
      <c r="PEF27" s="30"/>
      <c r="PEK27" s="93"/>
      <c r="PEL27" s="30"/>
      <c r="PEQ27" s="93"/>
      <c r="PER27" s="30"/>
      <c r="PEW27" s="93"/>
      <c r="PEX27" s="30"/>
      <c r="PFC27" s="93"/>
      <c r="PFD27" s="30"/>
      <c r="PFI27" s="93"/>
      <c r="PFJ27" s="30"/>
      <c r="PFO27" s="93"/>
      <c r="PFP27" s="30"/>
      <c r="PFU27" s="93"/>
      <c r="PFV27" s="30"/>
      <c r="PGA27" s="93"/>
      <c r="PGB27" s="30"/>
      <c r="PGG27" s="93"/>
      <c r="PGH27" s="30"/>
      <c r="PGM27" s="93"/>
      <c r="PGN27" s="30"/>
      <c r="PGS27" s="93"/>
      <c r="PGT27" s="30"/>
      <c r="PGY27" s="93"/>
      <c r="PGZ27" s="30"/>
      <c r="PHE27" s="93"/>
      <c r="PHF27" s="30"/>
      <c r="PHK27" s="93"/>
      <c r="PHL27" s="30"/>
      <c r="PHQ27" s="93"/>
      <c r="PHR27" s="30"/>
      <c r="PHW27" s="93"/>
      <c r="PHX27" s="30"/>
      <c r="PIC27" s="93"/>
      <c r="PID27" s="30"/>
      <c r="PII27" s="93"/>
      <c r="PIJ27" s="30"/>
      <c r="PIO27" s="93"/>
      <c r="PIP27" s="30"/>
      <c r="PIU27" s="93"/>
      <c r="PIV27" s="30"/>
      <c r="PJA27" s="93"/>
      <c r="PJB27" s="30"/>
      <c r="PJG27" s="93"/>
      <c r="PJH27" s="30"/>
      <c r="PJM27" s="93"/>
      <c r="PJN27" s="30"/>
      <c r="PJS27" s="93"/>
      <c r="PJT27" s="30"/>
      <c r="PJY27" s="93"/>
      <c r="PJZ27" s="30"/>
      <c r="PKE27" s="93"/>
      <c r="PKF27" s="30"/>
      <c r="PKK27" s="93"/>
      <c r="PKL27" s="30"/>
      <c r="PKQ27" s="93"/>
      <c r="PKR27" s="30"/>
      <c r="PKW27" s="93"/>
      <c r="PKX27" s="30"/>
      <c r="PLC27" s="93"/>
      <c r="PLD27" s="30"/>
      <c r="PLI27" s="93"/>
      <c r="PLJ27" s="30"/>
      <c r="PLO27" s="93"/>
      <c r="PLP27" s="30"/>
      <c r="PLU27" s="93"/>
      <c r="PLV27" s="30"/>
      <c r="PMA27" s="93"/>
      <c r="PMB27" s="30"/>
      <c r="PMG27" s="93"/>
      <c r="PMH27" s="30"/>
      <c r="PMM27" s="93"/>
      <c r="PMN27" s="30"/>
      <c r="PMS27" s="93"/>
      <c r="PMT27" s="30"/>
      <c r="PMY27" s="93"/>
      <c r="PMZ27" s="30"/>
      <c r="PNE27" s="93"/>
      <c r="PNF27" s="30"/>
      <c r="PNK27" s="93"/>
      <c r="PNL27" s="30"/>
      <c r="PNQ27" s="93"/>
      <c r="PNR27" s="30"/>
      <c r="PNW27" s="93"/>
      <c r="PNX27" s="30"/>
      <c r="POC27" s="93"/>
      <c r="POD27" s="30"/>
      <c r="POI27" s="93"/>
      <c r="POJ27" s="30"/>
      <c r="POO27" s="93"/>
      <c r="POP27" s="30"/>
      <c r="POU27" s="93"/>
      <c r="POV27" s="30"/>
      <c r="PPA27" s="93"/>
      <c r="PPB27" s="30"/>
      <c r="PPG27" s="93"/>
      <c r="PPH27" s="30"/>
      <c r="PPM27" s="93"/>
      <c r="PPN27" s="30"/>
      <c r="PPS27" s="93"/>
      <c r="PPT27" s="30"/>
      <c r="PPY27" s="93"/>
      <c r="PPZ27" s="30"/>
      <c r="PQE27" s="93"/>
      <c r="PQF27" s="30"/>
      <c r="PQK27" s="93"/>
      <c r="PQL27" s="30"/>
      <c r="PQQ27" s="93"/>
      <c r="PQR27" s="30"/>
      <c r="PQW27" s="93"/>
      <c r="PQX27" s="30"/>
      <c r="PRC27" s="93"/>
      <c r="PRD27" s="30"/>
      <c r="PRI27" s="93"/>
      <c r="PRJ27" s="30"/>
      <c r="PRO27" s="93"/>
      <c r="PRP27" s="30"/>
      <c r="PRU27" s="93"/>
      <c r="PRV27" s="30"/>
      <c r="PSA27" s="93"/>
      <c r="PSB27" s="30"/>
      <c r="PSG27" s="93"/>
      <c r="PSH27" s="30"/>
      <c r="PSM27" s="93"/>
      <c r="PSN27" s="30"/>
      <c r="PSS27" s="93"/>
      <c r="PST27" s="30"/>
      <c r="PSY27" s="93"/>
      <c r="PSZ27" s="30"/>
      <c r="PTE27" s="93"/>
      <c r="PTF27" s="30"/>
      <c r="PTK27" s="93"/>
      <c r="PTL27" s="30"/>
      <c r="PTQ27" s="93"/>
      <c r="PTR27" s="30"/>
      <c r="PTW27" s="93"/>
      <c r="PTX27" s="30"/>
      <c r="PUC27" s="93"/>
      <c r="PUD27" s="30"/>
      <c r="PUI27" s="93"/>
      <c r="PUJ27" s="30"/>
      <c r="PUO27" s="93"/>
      <c r="PUP27" s="30"/>
      <c r="PUU27" s="93"/>
      <c r="PUV27" s="30"/>
      <c r="PVA27" s="93"/>
      <c r="PVB27" s="30"/>
      <c r="PVG27" s="93"/>
      <c r="PVH27" s="30"/>
      <c r="PVM27" s="93"/>
      <c r="PVN27" s="30"/>
      <c r="PVS27" s="93"/>
      <c r="PVT27" s="30"/>
      <c r="PVY27" s="93"/>
      <c r="PVZ27" s="30"/>
      <c r="PWE27" s="93"/>
      <c r="PWF27" s="30"/>
      <c r="PWK27" s="93"/>
      <c r="PWL27" s="30"/>
      <c r="PWQ27" s="93"/>
      <c r="PWR27" s="30"/>
      <c r="PWW27" s="93"/>
      <c r="PWX27" s="30"/>
      <c r="PXC27" s="93"/>
      <c r="PXD27" s="30"/>
      <c r="PXI27" s="93"/>
      <c r="PXJ27" s="30"/>
      <c r="PXO27" s="93"/>
      <c r="PXP27" s="30"/>
      <c r="PXU27" s="93"/>
      <c r="PXV27" s="30"/>
      <c r="PYA27" s="93"/>
      <c r="PYB27" s="30"/>
      <c r="PYG27" s="93"/>
      <c r="PYH27" s="30"/>
      <c r="PYM27" s="93"/>
      <c r="PYN27" s="30"/>
      <c r="PYS27" s="93"/>
      <c r="PYT27" s="30"/>
      <c r="PYY27" s="93"/>
      <c r="PYZ27" s="30"/>
      <c r="PZE27" s="93"/>
      <c r="PZF27" s="30"/>
      <c r="PZK27" s="93"/>
      <c r="PZL27" s="30"/>
      <c r="PZQ27" s="93"/>
      <c r="PZR27" s="30"/>
      <c r="PZW27" s="93"/>
      <c r="PZX27" s="30"/>
      <c r="QAC27" s="93"/>
      <c r="QAD27" s="30"/>
      <c r="QAI27" s="93"/>
      <c r="QAJ27" s="30"/>
      <c r="QAO27" s="93"/>
      <c r="QAP27" s="30"/>
      <c r="QAU27" s="93"/>
      <c r="QAV27" s="30"/>
      <c r="QBA27" s="93"/>
      <c r="QBB27" s="30"/>
      <c r="QBG27" s="93"/>
      <c r="QBH27" s="30"/>
      <c r="QBM27" s="93"/>
      <c r="QBN27" s="30"/>
      <c r="QBS27" s="93"/>
      <c r="QBT27" s="30"/>
      <c r="QBY27" s="93"/>
      <c r="QBZ27" s="30"/>
      <c r="QCE27" s="93"/>
      <c r="QCF27" s="30"/>
      <c r="QCK27" s="93"/>
      <c r="QCL27" s="30"/>
      <c r="QCQ27" s="93"/>
      <c r="QCR27" s="30"/>
      <c r="QCW27" s="93"/>
      <c r="QCX27" s="30"/>
      <c r="QDC27" s="93"/>
      <c r="QDD27" s="30"/>
      <c r="QDI27" s="93"/>
      <c r="QDJ27" s="30"/>
      <c r="QDO27" s="93"/>
      <c r="QDP27" s="30"/>
      <c r="QDU27" s="93"/>
      <c r="QDV27" s="30"/>
      <c r="QEA27" s="93"/>
      <c r="QEB27" s="30"/>
      <c r="QEG27" s="93"/>
      <c r="QEH27" s="30"/>
      <c r="QEM27" s="93"/>
      <c r="QEN27" s="30"/>
      <c r="QES27" s="93"/>
      <c r="QET27" s="30"/>
      <c r="QEY27" s="93"/>
      <c r="QEZ27" s="30"/>
      <c r="QFE27" s="93"/>
      <c r="QFF27" s="30"/>
      <c r="QFK27" s="93"/>
      <c r="QFL27" s="30"/>
      <c r="QFQ27" s="93"/>
      <c r="QFR27" s="30"/>
      <c r="QFW27" s="93"/>
      <c r="QFX27" s="30"/>
      <c r="QGC27" s="93"/>
      <c r="QGD27" s="30"/>
      <c r="QGI27" s="93"/>
      <c r="QGJ27" s="30"/>
      <c r="QGO27" s="93"/>
      <c r="QGP27" s="30"/>
      <c r="QGU27" s="93"/>
      <c r="QGV27" s="30"/>
      <c r="QHA27" s="93"/>
      <c r="QHB27" s="30"/>
      <c r="QHG27" s="93"/>
      <c r="QHH27" s="30"/>
      <c r="QHM27" s="93"/>
      <c r="QHN27" s="30"/>
      <c r="QHS27" s="93"/>
      <c r="QHT27" s="30"/>
      <c r="QHY27" s="93"/>
      <c r="QHZ27" s="30"/>
      <c r="QIE27" s="93"/>
      <c r="QIF27" s="30"/>
      <c r="QIK27" s="93"/>
      <c r="QIL27" s="30"/>
      <c r="QIQ27" s="93"/>
      <c r="QIR27" s="30"/>
      <c r="QIW27" s="93"/>
      <c r="QIX27" s="30"/>
      <c r="QJC27" s="93"/>
      <c r="QJD27" s="30"/>
      <c r="QJI27" s="93"/>
      <c r="QJJ27" s="30"/>
      <c r="QJO27" s="93"/>
      <c r="QJP27" s="30"/>
      <c r="QJU27" s="93"/>
      <c r="QJV27" s="30"/>
      <c r="QKA27" s="93"/>
      <c r="QKB27" s="30"/>
      <c r="QKG27" s="93"/>
      <c r="QKH27" s="30"/>
      <c r="QKM27" s="93"/>
      <c r="QKN27" s="30"/>
      <c r="QKS27" s="93"/>
      <c r="QKT27" s="30"/>
      <c r="QKY27" s="93"/>
      <c r="QKZ27" s="30"/>
      <c r="QLE27" s="93"/>
      <c r="QLF27" s="30"/>
      <c r="QLK27" s="93"/>
      <c r="QLL27" s="30"/>
      <c r="QLQ27" s="93"/>
      <c r="QLR27" s="30"/>
      <c r="QLW27" s="93"/>
      <c r="QLX27" s="30"/>
      <c r="QMC27" s="93"/>
      <c r="QMD27" s="30"/>
      <c r="QMI27" s="93"/>
      <c r="QMJ27" s="30"/>
      <c r="QMO27" s="93"/>
      <c r="QMP27" s="30"/>
      <c r="QMU27" s="93"/>
      <c r="QMV27" s="30"/>
      <c r="QNA27" s="93"/>
      <c r="QNB27" s="30"/>
      <c r="QNG27" s="93"/>
      <c r="QNH27" s="30"/>
      <c r="QNM27" s="93"/>
      <c r="QNN27" s="30"/>
      <c r="QNS27" s="93"/>
      <c r="QNT27" s="30"/>
      <c r="QNY27" s="93"/>
      <c r="QNZ27" s="30"/>
      <c r="QOE27" s="93"/>
      <c r="QOF27" s="30"/>
      <c r="QOK27" s="93"/>
      <c r="QOL27" s="30"/>
      <c r="QOQ27" s="93"/>
      <c r="QOR27" s="30"/>
      <c r="QOW27" s="93"/>
      <c r="QOX27" s="30"/>
      <c r="QPC27" s="93"/>
      <c r="QPD27" s="30"/>
      <c r="QPI27" s="93"/>
      <c r="QPJ27" s="30"/>
      <c r="QPO27" s="93"/>
      <c r="QPP27" s="30"/>
      <c r="QPU27" s="93"/>
      <c r="QPV27" s="30"/>
      <c r="QQA27" s="93"/>
      <c r="QQB27" s="30"/>
      <c r="QQG27" s="93"/>
      <c r="QQH27" s="30"/>
      <c r="QQM27" s="93"/>
      <c r="QQN27" s="30"/>
      <c r="QQS27" s="93"/>
      <c r="QQT27" s="30"/>
      <c r="QQY27" s="93"/>
      <c r="QQZ27" s="30"/>
      <c r="QRE27" s="93"/>
      <c r="QRF27" s="30"/>
      <c r="QRK27" s="93"/>
      <c r="QRL27" s="30"/>
      <c r="QRQ27" s="93"/>
      <c r="QRR27" s="30"/>
      <c r="QRW27" s="93"/>
      <c r="QRX27" s="30"/>
      <c r="QSC27" s="93"/>
      <c r="QSD27" s="30"/>
      <c r="QSI27" s="93"/>
      <c r="QSJ27" s="30"/>
      <c r="QSO27" s="93"/>
      <c r="QSP27" s="30"/>
      <c r="QSU27" s="93"/>
      <c r="QSV27" s="30"/>
      <c r="QTA27" s="93"/>
      <c r="QTB27" s="30"/>
      <c r="QTG27" s="93"/>
      <c r="QTH27" s="30"/>
      <c r="QTM27" s="93"/>
      <c r="QTN27" s="30"/>
      <c r="QTS27" s="93"/>
      <c r="QTT27" s="30"/>
      <c r="QTY27" s="93"/>
      <c r="QTZ27" s="30"/>
      <c r="QUE27" s="93"/>
      <c r="QUF27" s="30"/>
      <c r="QUK27" s="93"/>
      <c r="QUL27" s="30"/>
      <c r="QUQ27" s="93"/>
      <c r="QUR27" s="30"/>
      <c r="QUW27" s="93"/>
      <c r="QUX27" s="30"/>
      <c r="QVC27" s="93"/>
      <c r="QVD27" s="30"/>
      <c r="QVI27" s="93"/>
      <c r="QVJ27" s="30"/>
      <c r="QVO27" s="93"/>
      <c r="QVP27" s="30"/>
      <c r="QVU27" s="93"/>
      <c r="QVV27" s="30"/>
      <c r="QWA27" s="93"/>
      <c r="QWB27" s="30"/>
      <c r="QWG27" s="93"/>
      <c r="QWH27" s="30"/>
      <c r="QWM27" s="93"/>
      <c r="QWN27" s="30"/>
      <c r="QWS27" s="93"/>
      <c r="QWT27" s="30"/>
      <c r="QWY27" s="93"/>
      <c r="QWZ27" s="30"/>
      <c r="QXE27" s="93"/>
      <c r="QXF27" s="30"/>
      <c r="QXK27" s="93"/>
      <c r="QXL27" s="30"/>
      <c r="QXQ27" s="93"/>
      <c r="QXR27" s="30"/>
      <c r="QXW27" s="93"/>
      <c r="QXX27" s="30"/>
      <c r="QYC27" s="93"/>
      <c r="QYD27" s="30"/>
      <c r="QYI27" s="93"/>
      <c r="QYJ27" s="30"/>
      <c r="QYO27" s="93"/>
      <c r="QYP27" s="30"/>
      <c r="QYU27" s="93"/>
      <c r="QYV27" s="30"/>
      <c r="QZA27" s="93"/>
      <c r="QZB27" s="30"/>
      <c r="QZG27" s="93"/>
      <c r="QZH27" s="30"/>
      <c r="QZM27" s="93"/>
      <c r="QZN27" s="30"/>
      <c r="QZS27" s="93"/>
      <c r="QZT27" s="30"/>
      <c r="QZY27" s="93"/>
      <c r="QZZ27" s="30"/>
      <c r="RAE27" s="93"/>
      <c r="RAF27" s="30"/>
      <c r="RAK27" s="93"/>
      <c r="RAL27" s="30"/>
      <c r="RAQ27" s="93"/>
      <c r="RAR27" s="30"/>
      <c r="RAW27" s="93"/>
      <c r="RAX27" s="30"/>
      <c r="RBC27" s="93"/>
      <c r="RBD27" s="30"/>
      <c r="RBI27" s="93"/>
      <c r="RBJ27" s="30"/>
      <c r="RBO27" s="93"/>
      <c r="RBP27" s="30"/>
      <c r="RBU27" s="93"/>
      <c r="RBV27" s="30"/>
      <c r="RCA27" s="93"/>
      <c r="RCB27" s="30"/>
      <c r="RCG27" s="93"/>
      <c r="RCH27" s="30"/>
      <c r="RCM27" s="93"/>
      <c r="RCN27" s="30"/>
      <c r="RCS27" s="93"/>
      <c r="RCT27" s="30"/>
      <c r="RCY27" s="93"/>
      <c r="RCZ27" s="30"/>
      <c r="RDE27" s="93"/>
      <c r="RDF27" s="30"/>
      <c r="RDK27" s="93"/>
      <c r="RDL27" s="30"/>
      <c r="RDQ27" s="93"/>
      <c r="RDR27" s="30"/>
      <c r="RDW27" s="93"/>
      <c r="RDX27" s="30"/>
      <c r="REC27" s="93"/>
      <c r="RED27" s="30"/>
      <c r="REI27" s="93"/>
      <c r="REJ27" s="30"/>
      <c r="REO27" s="93"/>
      <c r="REP27" s="30"/>
      <c r="REU27" s="93"/>
      <c r="REV27" s="30"/>
      <c r="RFA27" s="93"/>
      <c r="RFB27" s="30"/>
      <c r="RFG27" s="93"/>
      <c r="RFH27" s="30"/>
      <c r="RFM27" s="93"/>
      <c r="RFN27" s="30"/>
      <c r="RFS27" s="93"/>
      <c r="RFT27" s="30"/>
      <c r="RFY27" s="93"/>
      <c r="RFZ27" s="30"/>
      <c r="RGE27" s="93"/>
      <c r="RGF27" s="30"/>
      <c r="RGK27" s="93"/>
      <c r="RGL27" s="30"/>
      <c r="RGQ27" s="93"/>
      <c r="RGR27" s="30"/>
      <c r="RGW27" s="93"/>
      <c r="RGX27" s="30"/>
      <c r="RHC27" s="93"/>
      <c r="RHD27" s="30"/>
      <c r="RHI27" s="93"/>
      <c r="RHJ27" s="30"/>
      <c r="RHO27" s="93"/>
      <c r="RHP27" s="30"/>
      <c r="RHU27" s="93"/>
      <c r="RHV27" s="30"/>
      <c r="RIA27" s="93"/>
      <c r="RIB27" s="30"/>
      <c r="RIG27" s="93"/>
      <c r="RIH27" s="30"/>
      <c r="RIM27" s="93"/>
      <c r="RIN27" s="30"/>
      <c r="RIS27" s="93"/>
      <c r="RIT27" s="30"/>
      <c r="RIY27" s="93"/>
      <c r="RIZ27" s="30"/>
      <c r="RJE27" s="93"/>
      <c r="RJF27" s="30"/>
      <c r="RJK27" s="93"/>
      <c r="RJL27" s="30"/>
      <c r="RJQ27" s="93"/>
      <c r="RJR27" s="30"/>
      <c r="RJW27" s="93"/>
      <c r="RJX27" s="30"/>
      <c r="RKC27" s="93"/>
      <c r="RKD27" s="30"/>
      <c r="RKI27" s="93"/>
      <c r="RKJ27" s="30"/>
      <c r="RKO27" s="93"/>
      <c r="RKP27" s="30"/>
      <c r="RKU27" s="93"/>
      <c r="RKV27" s="30"/>
      <c r="RLA27" s="93"/>
      <c r="RLB27" s="30"/>
      <c r="RLG27" s="93"/>
      <c r="RLH27" s="30"/>
      <c r="RLM27" s="93"/>
      <c r="RLN27" s="30"/>
      <c r="RLS27" s="93"/>
      <c r="RLT27" s="30"/>
      <c r="RLY27" s="93"/>
      <c r="RLZ27" s="30"/>
      <c r="RME27" s="93"/>
      <c r="RMF27" s="30"/>
      <c r="RMK27" s="93"/>
      <c r="RML27" s="30"/>
      <c r="RMQ27" s="93"/>
      <c r="RMR27" s="30"/>
      <c r="RMW27" s="93"/>
      <c r="RMX27" s="30"/>
      <c r="RNC27" s="93"/>
      <c r="RND27" s="30"/>
      <c r="RNI27" s="93"/>
      <c r="RNJ27" s="30"/>
      <c r="RNO27" s="93"/>
      <c r="RNP27" s="30"/>
      <c r="RNU27" s="93"/>
      <c r="RNV27" s="30"/>
      <c r="ROA27" s="93"/>
      <c r="ROB27" s="30"/>
      <c r="ROG27" s="93"/>
      <c r="ROH27" s="30"/>
      <c r="ROM27" s="93"/>
      <c r="RON27" s="30"/>
      <c r="ROS27" s="93"/>
      <c r="ROT27" s="30"/>
      <c r="ROY27" s="93"/>
      <c r="ROZ27" s="30"/>
      <c r="RPE27" s="93"/>
      <c r="RPF27" s="30"/>
      <c r="RPK27" s="93"/>
      <c r="RPL27" s="30"/>
      <c r="RPQ27" s="93"/>
      <c r="RPR27" s="30"/>
      <c r="RPW27" s="93"/>
      <c r="RPX27" s="30"/>
      <c r="RQC27" s="93"/>
      <c r="RQD27" s="30"/>
      <c r="RQI27" s="93"/>
      <c r="RQJ27" s="30"/>
      <c r="RQO27" s="93"/>
      <c r="RQP27" s="30"/>
      <c r="RQU27" s="93"/>
      <c r="RQV27" s="30"/>
      <c r="RRA27" s="93"/>
      <c r="RRB27" s="30"/>
      <c r="RRG27" s="93"/>
      <c r="RRH27" s="30"/>
      <c r="RRM27" s="93"/>
      <c r="RRN27" s="30"/>
      <c r="RRS27" s="93"/>
      <c r="RRT27" s="30"/>
      <c r="RRY27" s="93"/>
      <c r="RRZ27" s="30"/>
      <c r="RSE27" s="93"/>
      <c r="RSF27" s="30"/>
      <c r="RSK27" s="93"/>
      <c r="RSL27" s="30"/>
      <c r="RSQ27" s="93"/>
      <c r="RSR27" s="30"/>
      <c r="RSW27" s="93"/>
      <c r="RSX27" s="30"/>
      <c r="RTC27" s="93"/>
      <c r="RTD27" s="30"/>
      <c r="RTI27" s="93"/>
      <c r="RTJ27" s="30"/>
      <c r="RTO27" s="93"/>
      <c r="RTP27" s="30"/>
      <c r="RTU27" s="93"/>
      <c r="RTV27" s="30"/>
      <c r="RUA27" s="93"/>
      <c r="RUB27" s="30"/>
      <c r="RUG27" s="93"/>
      <c r="RUH27" s="30"/>
      <c r="RUM27" s="93"/>
      <c r="RUN27" s="30"/>
      <c r="RUS27" s="93"/>
      <c r="RUT27" s="30"/>
      <c r="RUY27" s="93"/>
      <c r="RUZ27" s="30"/>
      <c r="RVE27" s="93"/>
      <c r="RVF27" s="30"/>
      <c r="RVK27" s="93"/>
      <c r="RVL27" s="30"/>
      <c r="RVQ27" s="93"/>
      <c r="RVR27" s="30"/>
      <c r="RVW27" s="93"/>
      <c r="RVX27" s="30"/>
      <c r="RWC27" s="93"/>
      <c r="RWD27" s="30"/>
      <c r="RWI27" s="93"/>
      <c r="RWJ27" s="30"/>
      <c r="RWO27" s="93"/>
      <c r="RWP27" s="30"/>
      <c r="RWU27" s="93"/>
      <c r="RWV27" s="30"/>
      <c r="RXA27" s="93"/>
      <c r="RXB27" s="30"/>
      <c r="RXG27" s="93"/>
      <c r="RXH27" s="30"/>
      <c r="RXM27" s="93"/>
      <c r="RXN27" s="30"/>
      <c r="RXS27" s="93"/>
      <c r="RXT27" s="30"/>
      <c r="RXY27" s="93"/>
      <c r="RXZ27" s="30"/>
      <c r="RYE27" s="93"/>
      <c r="RYF27" s="30"/>
      <c r="RYK27" s="93"/>
      <c r="RYL27" s="30"/>
      <c r="RYQ27" s="93"/>
      <c r="RYR27" s="30"/>
      <c r="RYW27" s="93"/>
      <c r="RYX27" s="30"/>
      <c r="RZC27" s="93"/>
      <c r="RZD27" s="30"/>
      <c r="RZI27" s="93"/>
      <c r="RZJ27" s="30"/>
      <c r="RZO27" s="93"/>
      <c r="RZP27" s="30"/>
      <c r="RZU27" s="93"/>
      <c r="RZV27" s="30"/>
      <c r="SAA27" s="93"/>
      <c r="SAB27" s="30"/>
      <c r="SAG27" s="93"/>
      <c r="SAH27" s="30"/>
      <c r="SAM27" s="93"/>
      <c r="SAN27" s="30"/>
      <c r="SAS27" s="93"/>
      <c r="SAT27" s="30"/>
      <c r="SAY27" s="93"/>
      <c r="SAZ27" s="30"/>
      <c r="SBE27" s="93"/>
      <c r="SBF27" s="30"/>
      <c r="SBK27" s="93"/>
      <c r="SBL27" s="30"/>
      <c r="SBQ27" s="93"/>
      <c r="SBR27" s="30"/>
      <c r="SBW27" s="93"/>
      <c r="SBX27" s="30"/>
      <c r="SCC27" s="93"/>
      <c r="SCD27" s="30"/>
      <c r="SCI27" s="93"/>
      <c r="SCJ27" s="30"/>
      <c r="SCO27" s="93"/>
      <c r="SCP27" s="30"/>
      <c r="SCU27" s="93"/>
      <c r="SCV27" s="30"/>
      <c r="SDA27" s="93"/>
      <c r="SDB27" s="30"/>
      <c r="SDG27" s="93"/>
      <c r="SDH27" s="30"/>
      <c r="SDM27" s="93"/>
      <c r="SDN27" s="30"/>
      <c r="SDS27" s="93"/>
      <c r="SDT27" s="30"/>
      <c r="SDY27" s="93"/>
      <c r="SDZ27" s="30"/>
      <c r="SEE27" s="93"/>
      <c r="SEF27" s="30"/>
      <c r="SEK27" s="93"/>
      <c r="SEL27" s="30"/>
      <c r="SEQ27" s="93"/>
      <c r="SER27" s="30"/>
      <c r="SEW27" s="93"/>
      <c r="SEX27" s="30"/>
      <c r="SFC27" s="93"/>
      <c r="SFD27" s="30"/>
      <c r="SFI27" s="93"/>
      <c r="SFJ27" s="30"/>
      <c r="SFO27" s="93"/>
      <c r="SFP27" s="30"/>
      <c r="SFU27" s="93"/>
      <c r="SFV27" s="30"/>
      <c r="SGA27" s="93"/>
      <c r="SGB27" s="30"/>
      <c r="SGG27" s="93"/>
      <c r="SGH27" s="30"/>
      <c r="SGM27" s="93"/>
      <c r="SGN27" s="30"/>
      <c r="SGS27" s="93"/>
      <c r="SGT27" s="30"/>
      <c r="SGY27" s="93"/>
      <c r="SGZ27" s="30"/>
      <c r="SHE27" s="93"/>
      <c r="SHF27" s="30"/>
      <c r="SHK27" s="93"/>
      <c r="SHL27" s="30"/>
      <c r="SHQ27" s="93"/>
      <c r="SHR27" s="30"/>
      <c r="SHW27" s="93"/>
      <c r="SHX27" s="30"/>
      <c r="SIC27" s="93"/>
      <c r="SID27" s="30"/>
      <c r="SII27" s="93"/>
      <c r="SIJ27" s="30"/>
      <c r="SIO27" s="93"/>
      <c r="SIP27" s="30"/>
      <c r="SIU27" s="93"/>
      <c r="SIV27" s="30"/>
      <c r="SJA27" s="93"/>
      <c r="SJB27" s="30"/>
      <c r="SJG27" s="93"/>
      <c r="SJH27" s="30"/>
      <c r="SJM27" s="93"/>
      <c r="SJN27" s="30"/>
      <c r="SJS27" s="93"/>
      <c r="SJT27" s="30"/>
      <c r="SJY27" s="93"/>
      <c r="SJZ27" s="30"/>
      <c r="SKE27" s="93"/>
      <c r="SKF27" s="30"/>
      <c r="SKK27" s="93"/>
      <c r="SKL27" s="30"/>
      <c r="SKQ27" s="93"/>
      <c r="SKR27" s="30"/>
      <c r="SKW27" s="93"/>
      <c r="SKX27" s="30"/>
      <c r="SLC27" s="93"/>
      <c r="SLD27" s="30"/>
      <c r="SLI27" s="93"/>
      <c r="SLJ27" s="30"/>
      <c r="SLO27" s="93"/>
      <c r="SLP27" s="30"/>
      <c r="SLU27" s="93"/>
      <c r="SLV27" s="30"/>
      <c r="SMA27" s="93"/>
      <c r="SMB27" s="30"/>
      <c r="SMG27" s="93"/>
      <c r="SMH27" s="30"/>
      <c r="SMM27" s="93"/>
      <c r="SMN27" s="30"/>
      <c r="SMS27" s="93"/>
      <c r="SMT27" s="30"/>
      <c r="SMY27" s="93"/>
      <c r="SMZ27" s="30"/>
      <c r="SNE27" s="93"/>
      <c r="SNF27" s="30"/>
      <c r="SNK27" s="93"/>
      <c r="SNL27" s="30"/>
      <c r="SNQ27" s="93"/>
      <c r="SNR27" s="30"/>
      <c r="SNW27" s="93"/>
      <c r="SNX27" s="30"/>
      <c r="SOC27" s="93"/>
      <c r="SOD27" s="30"/>
      <c r="SOI27" s="93"/>
      <c r="SOJ27" s="30"/>
      <c r="SOO27" s="93"/>
      <c r="SOP27" s="30"/>
      <c r="SOU27" s="93"/>
      <c r="SOV27" s="30"/>
      <c r="SPA27" s="93"/>
      <c r="SPB27" s="30"/>
      <c r="SPG27" s="93"/>
      <c r="SPH27" s="30"/>
      <c r="SPM27" s="93"/>
      <c r="SPN27" s="30"/>
      <c r="SPS27" s="93"/>
      <c r="SPT27" s="30"/>
      <c r="SPY27" s="93"/>
      <c r="SPZ27" s="30"/>
      <c r="SQE27" s="93"/>
      <c r="SQF27" s="30"/>
      <c r="SQK27" s="93"/>
      <c r="SQL27" s="30"/>
      <c r="SQQ27" s="93"/>
      <c r="SQR27" s="30"/>
      <c r="SQW27" s="93"/>
      <c r="SQX27" s="30"/>
      <c r="SRC27" s="93"/>
      <c r="SRD27" s="30"/>
      <c r="SRI27" s="93"/>
      <c r="SRJ27" s="30"/>
      <c r="SRO27" s="93"/>
      <c r="SRP27" s="30"/>
      <c r="SRU27" s="93"/>
      <c r="SRV27" s="30"/>
      <c r="SSA27" s="93"/>
      <c r="SSB27" s="30"/>
      <c r="SSG27" s="93"/>
      <c r="SSH27" s="30"/>
      <c r="SSM27" s="93"/>
      <c r="SSN27" s="30"/>
      <c r="SSS27" s="93"/>
      <c r="SST27" s="30"/>
      <c r="SSY27" s="93"/>
      <c r="SSZ27" s="30"/>
      <c r="STE27" s="93"/>
      <c r="STF27" s="30"/>
      <c r="STK27" s="93"/>
      <c r="STL27" s="30"/>
      <c r="STQ27" s="93"/>
      <c r="STR27" s="30"/>
      <c r="STW27" s="93"/>
      <c r="STX27" s="30"/>
      <c r="SUC27" s="93"/>
      <c r="SUD27" s="30"/>
      <c r="SUI27" s="93"/>
      <c r="SUJ27" s="30"/>
      <c r="SUO27" s="93"/>
      <c r="SUP27" s="30"/>
      <c r="SUU27" s="93"/>
      <c r="SUV27" s="30"/>
      <c r="SVA27" s="93"/>
      <c r="SVB27" s="30"/>
      <c r="SVG27" s="93"/>
      <c r="SVH27" s="30"/>
      <c r="SVM27" s="93"/>
      <c r="SVN27" s="30"/>
      <c r="SVS27" s="93"/>
      <c r="SVT27" s="30"/>
      <c r="SVY27" s="93"/>
      <c r="SVZ27" s="30"/>
      <c r="SWE27" s="93"/>
      <c r="SWF27" s="30"/>
      <c r="SWK27" s="93"/>
      <c r="SWL27" s="30"/>
      <c r="SWQ27" s="93"/>
      <c r="SWR27" s="30"/>
      <c r="SWW27" s="93"/>
      <c r="SWX27" s="30"/>
      <c r="SXC27" s="93"/>
      <c r="SXD27" s="30"/>
      <c r="SXI27" s="93"/>
      <c r="SXJ27" s="30"/>
      <c r="SXO27" s="93"/>
      <c r="SXP27" s="30"/>
      <c r="SXU27" s="93"/>
      <c r="SXV27" s="30"/>
      <c r="SYA27" s="93"/>
      <c r="SYB27" s="30"/>
      <c r="SYG27" s="93"/>
      <c r="SYH27" s="30"/>
      <c r="SYM27" s="93"/>
      <c r="SYN27" s="30"/>
      <c r="SYS27" s="93"/>
      <c r="SYT27" s="30"/>
      <c r="SYY27" s="93"/>
      <c r="SYZ27" s="30"/>
      <c r="SZE27" s="93"/>
      <c r="SZF27" s="30"/>
      <c r="SZK27" s="93"/>
      <c r="SZL27" s="30"/>
      <c r="SZQ27" s="93"/>
      <c r="SZR27" s="30"/>
      <c r="SZW27" s="93"/>
      <c r="SZX27" s="30"/>
      <c r="TAC27" s="93"/>
      <c r="TAD27" s="30"/>
      <c r="TAI27" s="93"/>
      <c r="TAJ27" s="30"/>
      <c r="TAO27" s="93"/>
      <c r="TAP27" s="30"/>
      <c r="TAU27" s="93"/>
      <c r="TAV27" s="30"/>
      <c r="TBA27" s="93"/>
      <c r="TBB27" s="30"/>
      <c r="TBG27" s="93"/>
      <c r="TBH27" s="30"/>
      <c r="TBM27" s="93"/>
      <c r="TBN27" s="30"/>
      <c r="TBS27" s="93"/>
      <c r="TBT27" s="30"/>
      <c r="TBY27" s="93"/>
      <c r="TBZ27" s="30"/>
      <c r="TCE27" s="93"/>
      <c r="TCF27" s="30"/>
      <c r="TCK27" s="93"/>
      <c r="TCL27" s="30"/>
      <c r="TCQ27" s="93"/>
      <c r="TCR27" s="30"/>
      <c r="TCW27" s="93"/>
      <c r="TCX27" s="30"/>
      <c r="TDC27" s="93"/>
      <c r="TDD27" s="30"/>
      <c r="TDI27" s="93"/>
      <c r="TDJ27" s="30"/>
      <c r="TDO27" s="93"/>
      <c r="TDP27" s="30"/>
      <c r="TDU27" s="93"/>
      <c r="TDV27" s="30"/>
      <c r="TEA27" s="93"/>
      <c r="TEB27" s="30"/>
      <c r="TEG27" s="93"/>
      <c r="TEH27" s="30"/>
      <c r="TEM27" s="93"/>
      <c r="TEN27" s="30"/>
      <c r="TES27" s="93"/>
      <c r="TET27" s="30"/>
      <c r="TEY27" s="93"/>
      <c r="TEZ27" s="30"/>
      <c r="TFE27" s="93"/>
      <c r="TFF27" s="30"/>
      <c r="TFK27" s="93"/>
      <c r="TFL27" s="30"/>
      <c r="TFQ27" s="93"/>
      <c r="TFR27" s="30"/>
      <c r="TFW27" s="93"/>
      <c r="TFX27" s="30"/>
      <c r="TGC27" s="93"/>
      <c r="TGD27" s="30"/>
      <c r="TGI27" s="93"/>
      <c r="TGJ27" s="30"/>
      <c r="TGO27" s="93"/>
      <c r="TGP27" s="30"/>
      <c r="TGU27" s="93"/>
      <c r="TGV27" s="30"/>
      <c r="THA27" s="93"/>
      <c r="THB27" s="30"/>
      <c r="THG27" s="93"/>
      <c r="THH27" s="30"/>
      <c r="THM27" s="93"/>
      <c r="THN27" s="30"/>
      <c r="THS27" s="93"/>
      <c r="THT27" s="30"/>
      <c r="THY27" s="93"/>
      <c r="THZ27" s="30"/>
      <c r="TIE27" s="93"/>
      <c r="TIF27" s="30"/>
      <c r="TIK27" s="93"/>
      <c r="TIL27" s="30"/>
      <c r="TIQ27" s="93"/>
      <c r="TIR27" s="30"/>
      <c r="TIW27" s="93"/>
      <c r="TIX27" s="30"/>
      <c r="TJC27" s="93"/>
      <c r="TJD27" s="30"/>
      <c r="TJI27" s="93"/>
      <c r="TJJ27" s="30"/>
      <c r="TJO27" s="93"/>
      <c r="TJP27" s="30"/>
      <c r="TJU27" s="93"/>
      <c r="TJV27" s="30"/>
      <c r="TKA27" s="93"/>
      <c r="TKB27" s="30"/>
      <c r="TKG27" s="93"/>
      <c r="TKH27" s="30"/>
      <c r="TKM27" s="93"/>
      <c r="TKN27" s="30"/>
      <c r="TKS27" s="93"/>
      <c r="TKT27" s="30"/>
      <c r="TKY27" s="93"/>
      <c r="TKZ27" s="30"/>
      <c r="TLE27" s="93"/>
      <c r="TLF27" s="30"/>
      <c r="TLK27" s="93"/>
      <c r="TLL27" s="30"/>
      <c r="TLQ27" s="93"/>
      <c r="TLR27" s="30"/>
      <c r="TLW27" s="93"/>
      <c r="TLX27" s="30"/>
      <c r="TMC27" s="93"/>
      <c r="TMD27" s="30"/>
      <c r="TMI27" s="93"/>
      <c r="TMJ27" s="30"/>
      <c r="TMO27" s="93"/>
      <c r="TMP27" s="30"/>
      <c r="TMU27" s="93"/>
      <c r="TMV27" s="30"/>
      <c r="TNA27" s="93"/>
      <c r="TNB27" s="30"/>
      <c r="TNG27" s="93"/>
      <c r="TNH27" s="30"/>
      <c r="TNM27" s="93"/>
      <c r="TNN27" s="30"/>
      <c r="TNS27" s="93"/>
      <c r="TNT27" s="30"/>
      <c r="TNY27" s="93"/>
      <c r="TNZ27" s="30"/>
      <c r="TOE27" s="93"/>
      <c r="TOF27" s="30"/>
      <c r="TOK27" s="93"/>
      <c r="TOL27" s="30"/>
      <c r="TOQ27" s="93"/>
      <c r="TOR27" s="30"/>
      <c r="TOW27" s="93"/>
      <c r="TOX27" s="30"/>
      <c r="TPC27" s="93"/>
      <c r="TPD27" s="30"/>
      <c r="TPI27" s="93"/>
      <c r="TPJ27" s="30"/>
      <c r="TPO27" s="93"/>
      <c r="TPP27" s="30"/>
      <c r="TPU27" s="93"/>
      <c r="TPV27" s="30"/>
      <c r="TQA27" s="93"/>
      <c r="TQB27" s="30"/>
      <c r="TQG27" s="93"/>
      <c r="TQH27" s="30"/>
      <c r="TQM27" s="93"/>
      <c r="TQN27" s="30"/>
      <c r="TQS27" s="93"/>
      <c r="TQT27" s="30"/>
      <c r="TQY27" s="93"/>
      <c r="TQZ27" s="30"/>
      <c r="TRE27" s="93"/>
      <c r="TRF27" s="30"/>
      <c r="TRK27" s="93"/>
      <c r="TRL27" s="30"/>
      <c r="TRQ27" s="93"/>
      <c r="TRR27" s="30"/>
      <c r="TRW27" s="93"/>
      <c r="TRX27" s="30"/>
      <c r="TSC27" s="93"/>
      <c r="TSD27" s="30"/>
      <c r="TSI27" s="93"/>
      <c r="TSJ27" s="30"/>
      <c r="TSO27" s="93"/>
      <c r="TSP27" s="30"/>
      <c r="TSU27" s="93"/>
      <c r="TSV27" s="30"/>
      <c r="TTA27" s="93"/>
      <c r="TTB27" s="30"/>
      <c r="TTG27" s="93"/>
      <c r="TTH27" s="30"/>
      <c r="TTM27" s="93"/>
      <c r="TTN27" s="30"/>
      <c r="TTS27" s="93"/>
      <c r="TTT27" s="30"/>
      <c r="TTY27" s="93"/>
      <c r="TTZ27" s="30"/>
      <c r="TUE27" s="93"/>
      <c r="TUF27" s="30"/>
      <c r="TUK27" s="93"/>
      <c r="TUL27" s="30"/>
      <c r="TUQ27" s="93"/>
      <c r="TUR27" s="30"/>
      <c r="TUW27" s="93"/>
      <c r="TUX27" s="30"/>
      <c r="TVC27" s="93"/>
      <c r="TVD27" s="30"/>
      <c r="TVI27" s="93"/>
      <c r="TVJ27" s="30"/>
      <c r="TVO27" s="93"/>
      <c r="TVP27" s="30"/>
      <c r="TVU27" s="93"/>
      <c r="TVV27" s="30"/>
      <c r="TWA27" s="93"/>
      <c r="TWB27" s="30"/>
      <c r="TWG27" s="93"/>
      <c r="TWH27" s="30"/>
      <c r="TWM27" s="93"/>
      <c r="TWN27" s="30"/>
      <c r="TWS27" s="93"/>
      <c r="TWT27" s="30"/>
      <c r="TWY27" s="93"/>
      <c r="TWZ27" s="30"/>
      <c r="TXE27" s="93"/>
      <c r="TXF27" s="30"/>
      <c r="TXK27" s="93"/>
      <c r="TXL27" s="30"/>
      <c r="TXQ27" s="93"/>
      <c r="TXR27" s="30"/>
      <c r="TXW27" s="93"/>
      <c r="TXX27" s="30"/>
      <c r="TYC27" s="93"/>
      <c r="TYD27" s="30"/>
      <c r="TYI27" s="93"/>
      <c r="TYJ27" s="30"/>
      <c r="TYO27" s="93"/>
      <c r="TYP27" s="30"/>
      <c r="TYU27" s="93"/>
      <c r="TYV27" s="30"/>
      <c r="TZA27" s="93"/>
      <c r="TZB27" s="30"/>
      <c r="TZG27" s="93"/>
      <c r="TZH27" s="30"/>
      <c r="TZM27" s="93"/>
      <c r="TZN27" s="30"/>
      <c r="TZS27" s="93"/>
      <c r="TZT27" s="30"/>
      <c r="TZY27" s="93"/>
      <c r="TZZ27" s="30"/>
      <c r="UAE27" s="93"/>
      <c r="UAF27" s="30"/>
      <c r="UAK27" s="93"/>
      <c r="UAL27" s="30"/>
      <c r="UAQ27" s="93"/>
      <c r="UAR27" s="30"/>
      <c r="UAW27" s="93"/>
      <c r="UAX27" s="30"/>
      <c r="UBC27" s="93"/>
      <c r="UBD27" s="30"/>
      <c r="UBI27" s="93"/>
      <c r="UBJ27" s="30"/>
      <c r="UBO27" s="93"/>
      <c r="UBP27" s="30"/>
      <c r="UBU27" s="93"/>
      <c r="UBV27" s="30"/>
      <c r="UCA27" s="93"/>
      <c r="UCB27" s="30"/>
      <c r="UCG27" s="93"/>
      <c r="UCH27" s="30"/>
      <c r="UCM27" s="93"/>
      <c r="UCN27" s="30"/>
      <c r="UCS27" s="93"/>
      <c r="UCT27" s="30"/>
      <c r="UCY27" s="93"/>
      <c r="UCZ27" s="30"/>
      <c r="UDE27" s="93"/>
      <c r="UDF27" s="30"/>
      <c r="UDK27" s="93"/>
      <c r="UDL27" s="30"/>
      <c r="UDQ27" s="93"/>
      <c r="UDR27" s="30"/>
      <c r="UDW27" s="93"/>
      <c r="UDX27" s="30"/>
      <c r="UEC27" s="93"/>
      <c r="UED27" s="30"/>
      <c r="UEI27" s="93"/>
      <c r="UEJ27" s="30"/>
      <c r="UEO27" s="93"/>
      <c r="UEP27" s="30"/>
      <c r="UEU27" s="93"/>
      <c r="UEV27" s="30"/>
      <c r="UFA27" s="93"/>
      <c r="UFB27" s="30"/>
      <c r="UFG27" s="93"/>
      <c r="UFH27" s="30"/>
      <c r="UFM27" s="93"/>
      <c r="UFN27" s="30"/>
      <c r="UFS27" s="93"/>
      <c r="UFT27" s="30"/>
      <c r="UFY27" s="93"/>
      <c r="UFZ27" s="30"/>
      <c r="UGE27" s="93"/>
      <c r="UGF27" s="30"/>
      <c r="UGK27" s="93"/>
      <c r="UGL27" s="30"/>
      <c r="UGQ27" s="93"/>
      <c r="UGR27" s="30"/>
      <c r="UGW27" s="93"/>
      <c r="UGX27" s="30"/>
      <c r="UHC27" s="93"/>
      <c r="UHD27" s="30"/>
      <c r="UHI27" s="93"/>
      <c r="UHJ27" s="30"/>
      <c r="UHO27" s="93"/>
      <c r="UHP27" s="30"/>
      <c r="UHU27" s="93"/>
      <c r="UHV27" s="30"/>
      <c r="UIA27" s="93"/>
      <c r="UIB27" s="30"/>
      <c r="UIG27" s="93"/>
      <c r="UIH27" s="30"/>
      <c r="UIM27" s="93"/>
      <c r="UIN27" s="30"/>
      <c r="UIS27" s="93"/>
      <c r="UIT27" s="30"/>
      <c r="UIY27" s="93"/>
      <c r="UIZ27" s="30"/>
      <c r="UJE27" s="93"/>
      <c r="UJF27" s="30"/>
      <c r="UJK27" s="93"/>
      <c r="UJL27" s="30"/>
      <c r="UJQ27" s="93"/>
      <c r="UJR27" s="30"/>
      <c r="UJW27" s="93"/>
      <c r="UJX27" s="30"/>
      <c r="UKC27" s="93"/>
      <c r="UKD27" s="30"/>
      <c r="UKI27" s="93"/>
      <c r="UKJ27" s="30"/>
      <c r="UKO27" s="93"/>
      <c r="UKP27" s="30"/>
      <c r="UKU27" s="93"/>
      <c r="UKV27" s="30"/>
      <c r="ULA27" s="93"/>
      <c r="ULB27" s="30"/>
      <c r="ULG27" s="93"/>
      <c r="ULH27" s="30"/>
      <c r="ULM27" s="93"/>
      <c r="ULN27" s="30"/>
      <c r="ULS27" s="93"/>
      <c r="ULT27" s="30"/>
      <c r="ULY27" s="93"/>
      <c r="ULZ27" s="30"/>
      <c r="UME27" s="93"/>
      <c r="UMF27" s="30"/>
      <c r="UMK27" s="93"/>
      <c r="UML27" s="30"/>
      <c r="UMQ27" s="93"/>
      <c r="UMR27" s="30"/>
      <c r="UMW27" s="93"/>
      <c r="UMX27" s="30"/>
      <c r="UNC27" s="93"/>
      <c r="UND27" s="30"/>
      <c r="UNI27" s="93"/>
      <c r="UNJ27" s="30"/>
      <c r="UNO27" s="93"/>
      <c r="UNP27" s="30"/>
      <c r="UNU27" s="93"/>
      <c r="UNV27" s="30"/>
      <c r="UOA27" s="93"/>
      <c r="UOB27" s="30"/>
      <c r="UOG27" s="93"/>
      <c r="UOH27" s="30"/>
      <c r="UOM27" s="93"/>
      <c r="UON27" s="30"/>
      <c r="UOS27" s="93"/>
      <c r="UOT27" s="30"/>
      <c r="UOY27" s="93"/>
      <c r="UOZ27" s="30"/>
      <c r="UPE27" s="93"/>
      <c r="UPF27" s="30"/>
      <c r="UPK27" s="93"/>
      <c r="UPL27" s="30"/>
      <c r="UPQ27" s="93"/>
      <c r="UPR27" s="30"/>
      <c r="UPW27" s="93"/>
      <c r="UPX27" s="30"/>
      <c r="UQC27" s="93"/>
      <c r="UQD27" s="30"/>
      <c r="UQI27" s="93"/>
      <c r="UQJ27" s="30"/>
      <c r="UQO27" s="93"/>
      <c r="UQP27" s="30"/>
      <c r="UQU27" s="93"/>
      <c r="UQV27" s="30"/>
      <c r="URA27" s="93"/>
      <c r="URB27" s="30"/>
      <c r="URG27" s="93"/>
      <c r="URH27" s="30"/>
      <c r="URM27" s="93"/>
      <c r="URN27" s="30"/>
      <c r="URS27" s="93"/>
      <c r="URT27" s="30"/>
      <c r="URY27" s="93"/>
      <c r="URZ27" s="30"/>
      <c r="USE27" s="93"/>
      <c r="USF27" s="30"/>
      <c r="USK27" s="93"/>
      <c r="USL27" s="30"/>
      <c r="USQ27" s="93"/>
      <c r="USR27" s="30"/>
      <c r="USW27" s="93"/>
      <c r="USX27" s="30"/>
      <c r="UTC27" s="93"/>
      <c r="UTD27" s="30"/>
      <c r="UTI27" s="93"/>
      <c r="UTJ27" s="30"/>
      <c r="UTO27" s="93"/>
      <c r="UTP27" s="30"/>
      <c r="UTU27" s="93"/>
      <c r="UTV27" s="30"/>
      <c r="UUA27" s="93"/>
      <c r="UUB27" s="30"/>
      <c r="UUG27" s="93"/>
      <c r="UUH27" s="30"/>
      <c r="UUM27" s="93"/>
      <c r="UUN27" s="30"/>
      <c r="UUS27" s="93"/>
      <c r="UUT27" s="30"/>
      <c r="UUY27" s="93"/>
      <c r="UUZ27" s="30"/>
      <c r="UVE27" s="93"/>
      <c r="UVF27" s="30"/>
      <c r="UVK27" s="93"/>
      <c r="UVL27" s="30"/>
      <c r="UVQ27" s="93"/>
      <c r="UVR27" s="30"/>
      <c r="UVW27" s="93"/>
      <c r="UVX27" s="30"/>
      <c r="UWC27" s="93"/>
      <c r="UWD27" s="30"/>
      <c r="UWI27" s="93"/>
      <c r="UWJ27" s="30"/>
      <c r="UWO27" s="93"/>
      <c r="UWP27" s="30"/>
      <c r="UWU27" s="93"/>
      <c r="UWV27" s="30"/>
      <c r="UXA27" s="93"/>
      <c r="UXB27" s="30"/>
      <c r="UXG27" s="93"/>
      <c r="UXH27" s="30"/>
      <c r="UXM27" s="93"/>
      <c r="UXN27" s="30"/>
      <c r="UXS27" s="93"/>
      <c r="UXT27" s="30"/>
      <c r="UXY27" s="93"/>
      <c r="UXZ27" s="30"/>
      <c r="UYE27" s="93"/>
      <c r="UYF27" s="30"/>
      <c r="UYK27" s="93"/>
      <c r="UYL27" s="30"/>
      <c r="UYQ27" s="93"/>
      <c r="UYR27" s="30"/>
      <c r="UYW27" s="93"/>
      <c r="UYX27" s="30"/>
      <c r="UZC27" s="93"/>
      <c r="UZD27" s="30"/>
      <c r="UZI27" s="93"/>
      <c r="UZJ27" s="30"/>
      <c r="UZO27" s="93"/>
      <c r="UZP27" s="30"/>
      <c r="UZU27" s="93"/>
      <c r="UZV27" s="30"/>
      <c r="VAA27" s="93"/>
      <c r="VAB27" s="30"/>
      <c r="VAG27" s="93"/>
      <c r="VAH27" s="30"/>
      <c r="VAM27" s="93"/>
      <c r="VAN27" s="30"/>
      <c r="VAS27" s="93"/>
      <c r="VAT27" s="30"/>
      <c r="VAY27" s="93"/>
      <c r="VAZ27" s="30"/>
      <c r="VBE27" s="93"/>
      <c r="VBF27" s="30"/>
      <c r="VBK27" s="93"/>
      <c r="VBL27" s="30"/>
      <c r="VBQ27" s="93"/>
      <c r="VBR27" s="30"/>
      <c r="VBW27" s="93"/>
      <c r="VBX27" s="30"/>
      <c r="VCC27" s="93"/>
      <c r="VCD27" s="30"/>
      <c r="VCI27" s="93"/>
      <c r="VCJ27" s="30"/>
      <c r="VCO27" s="93"/>
      <c r="VCP27" s="30"/>
      <c r="VCU27" s="93"/>
      <c r="VCV27" s="30"/>
      <c r="VDA27" s="93"/>
      <c r="VDB27" s="30"/>
      <c r="VDG27" s="93"/>
      <c r="VDH27" s="30"/>
      <c r="VDM27" s="93"/>
      <c r="VDN27" s="30"/>
      <c r="VDS27" s="93"/>
      <c r="VDT27" s="30"/>
      <c r="VDY27" s="93"/>
      <c r="VDZ27" s="30"/>
      <c r="VEE27" s="93"/>
      <c r="VEF27" s="30"/>
      <c r="VEK27" s="93"/>
      <c r="VEL27" s="30"/>
      <c r="VEQ27" s="93"/>
      <c r="VER27" s="30"/>
      <c r="VEW27" s="93"/>
      <c r="VEX27" s="30"/>
      <c r="VFC27" s="93"/>
      <c r="VFD27" s="30"/>
      <c r="VFI27" s="93"/>
      <c r="VFJ27" s="30"/>
      <c r="VFO27" s="93"/>
      <c r="VFP27" s="30"/>
      <c r="VFU27" s="93"/>
      <c r="VFV27" s="30"/>
      <c r="VGA27" s="93"/>
      <c r="VGB27" s="30"/>
      <c r="VGG27" s="93"/>
      <c r="VGH27" s="30"/>
      <c r="VGM27" s="93"/>
      <c r="VGN27" s="30"/>
      <c r="VGS27" s="93"/>
      <c r="VGT27" s="30"/>
      <c r="VGY27" s="93"/>
      <c r="VGZ27" s="30"/>
      <c r="VHE27" s="93"/>
      <c r="VHF27" s="30"/>
      <c r="VHK27" s="93"/>
      <c r="VHL27" s="30"/>
      <c r="VHQ27" s="93"/>
      <c r="VHR27" s="30"/>
      <c r="VHW27" s="93"/>
      <c r="VHX27" s="30"/>
      <c r="VIC27" s="93"/>
      <c r="VID27" s="30"/>
      <c r="VII27" s="93"/>
      <c r="VIJ27" s="30"/>
      <c r="VIO27" s="93"/>
      <c r="VIP27" s="30"/>
      <c r="VIU27" s="93"/>
      <c r="VIV27" s="30"/>
      <c r="VJA27" s="93"/>
      <c r="VJB27" s="30"/>
      <c r="VJG27" s="93"/>
      <c r="VJH27" s="30"/>
      <c r="VJM27" s="93"/>
      <c r="VJN27" s="30"/>
      <c r="VJS27" s="93"/>
      <c r="VJT27" s="30"/>
      <c r="VJY27" s="93"/>
      <c r="VJZ27" s="30"/>
      <c r="VKE27" s="93"/>
      <c r="VKF27" s="30"/>
      <c r="VKK27" s="93"/>
      <c r="VKL27" s="30"/>
      <c r="VKQ27" s="93"/>
      <c r="VKR27" s="30"/>
      <c r="VKW27" s="93"/>
      <c r="VKX27" s="30"/>
      <c r="VLC27" s="93"/>
      <c r="VLD27" s="30"/>
      <c r="VLI27" s="93"/>
      <c r="VLJ27" s="30"/>
      <c r="VLO27" s="93"/>
      <c r="VLP27" s="30"/>
      <c r="VLU27" s="93"/>
      <c r="VLV27" s="30"/>
      <c r="VMA27" s="93"/>
      <c r="VMB27" s="30"/>
      <c r="VMG27" s="93"/>
      <c r="VMH27" s="30"/>
      <c r="VMM27" s="93"/>
      <c r="VMN27" s="30"/>
      <c r="VMS27" s="93"/>
      <c r="VMT27" s="30"/>
      <c r="VMY27" s="93"/>
      <c r="VMZ27" s="30"/>
      <c r="VNE27" s="93"/>
      <c r="VNF27" s="30"/>
      <c r="VNK27" s="93"/>
      <c r="VNL27" s="30"/>
      <c r="VNQ27" s="93"/>
      <c r="VNR27" s="30"/>
      <c r="VNW27" s="93"/>
      <c r="VNX27" s="30"/>
      <c r="VOC27" s="93"/>
      <c r="VOD27" s="30"/>
      <c r="VOI27" s="93"/>
      <c r="VOJ27" s="30"/>
      <c r="VOO27" s="93"/>
      <c r="VOP27" s="30"/>
      <c r="VOU27" s="93"/>
      <c r="VOV27" s="30"/>
      <c r="VPA27" s="93"/>
      <c r="VPB27" s="30"/>
      <c r="VPG27" s="93"/>
      <c r="VPH27" s="30"/>
      <c r="VPM27" s="93"/>
      <c r="VPN27" s="30"/>
      <c r="VPS27" s="93"/>
      <c r="VPT27" s="30"/>
      <c r="VPY27" s="93"/>
      <c r="VPZ27" s="30"/>
      <c r="VQE27" s="93"/>
      <c r="VQF27" s="30"/>
      <c r="VQK27" s="93"/>
      <c r="VQL27" s="30"/>
      <c r="VQQ27" s="93"/>
      <c r="VQR27" s="30"/>
      <c r="VQW27" s="93"/>
      <c r="VQX27" s="30"/>
      <c r="VRC27" s="93"/>
      <c r="VRD27" s="30"/>
      <c r="VRI27" s="93"/>
      <c r="VRJ27" s="30"/>
      <c r="VRO27" s="93"/>
      <c r="VRP27" s="30"/>
      <c r="VRU27" s="93"/>
      <c r="VRV27" s="30"/>
      <c r="VSA27" s="93"/>
      <c r="VSB27" s="30"/>
      <c r="VSG27" s="93"/>
      <c r="VSH27" s="30"/>
      <c r="VSM27" s="93"/>
      <c r="VSN27" s="30"/>
      <c r="VSS27" s="93"/>
      <c r="VST27" s="30"/>
      <c r="VSY27" s="93"/>
      <c r="VSZ27" s="30"/>
      <c r="VTE27" s="93"/>
      <c r="VTF27" s="30"/>
      <c r="VTK27" s="93"/>
      <c r="VTL27" s="30"/>
      <c r="VTQ27" s="93"/>
      <c r="VTR27" s="30"/>
      <c r="VTW27" s="93"/>
      <c r="VTX27" s="30"/>
      <c r="VUC27" s="93"/>
      <c r="VUD27" s="30"/>
      <c r="VUI27" s="93"/>
      <c r="VUJ27" s="30"/>
      <c r="VUO27" s="93"/>
      <c r="VUP27" s="30"/>
      <c r="VUU27" s="93"/>
      <c r="VUV27" s="30"/>
      <c r="VVA27" s="93"/>
      <c r="VVB27" s="30"/>
      <c r="VVG27" s="93"/>
      <c r="VVH27" s="30"/>
      <c r="VVM27" s="93"/>
      <c r="VVN27" s="30"/>
      <c r="VVS27" s="93"/>
      <c r="VVT27" s="30"/>
      <c r="VVY27" s="93"/>
      <c r="VVZ27" s="30"/>
      <c r="VWE27" s="93"/>
      <c r="VWF27" s="30"/>
      <c r="VWK27" s="93"/>
      <c r="VWL27" s="30"/>
      <c r="VWQ27" s="93"/>
      <c r="VWR27" s="30"/>
      <c r="VWW27" s="93"/>
      <c r="VWX27" s="30"/>
      <c r="VXC27" s="93"/>
      <c r="VXD27" s="30"/>
      <c r="VXI27" s="93"/>
      <c r="VXJ27" s="30"/>
      <c r="VXO27" s="93"/>
      <c r="VXP27" s="30"/>
      <c r="VXU27" s="93"/>
      <c r="VXV27" s="30"/>
      <c r="VYA27" s="93"/>
      <c r="VYB27" s="30"/>
      <c r="VYG27" s="93"/>
      <c r="VYH27" s="30"/>
      <c r="VYM27" s="93"/>
      <c r="VYN27" s="30"/>
      <c r="VYS27" s="93"/>
      <c r="VYT27" s="30"/>
      <c r="VYY27" s="93"/>
      <c r="VYZ27" s="30"/>
      <c r="VZE27" s="93"/>
      <c r="VZF27" s="30"/>
      <c r="VZK27" s="93"/>
      <c r="VZL27" s="30"/>
      <c r="VZQ27" s="93"/>
      <c r="VZR27" s="30"/>
      <c r="VZW27" s="93"/>
      <c r="VZX27" s="30"/>
      <c r="WAC27" s="93"/>
      <c r="WAD27" s="30"/>
      <c r="WAI27" s="93"/>
      <c r="WAJ27" s="30"/>
      <c r="WAO27" s="93"/>
      <c r="WAP27" s="30"/>
      <c r="WAU27" s="93"/>
      <c r="WAV27" s="30"/>
      <c r="WBA27" s="93"/>
      <c r="WBB27" s="30"/>
      <c r="WBG27" s="93"/>
      <c r="WBH27" s="30"/>
      <c r="WBM27" s="93"/>
      <c r="WBN27" s="30"/>
      <c r="WBS27" s="93"/>
      <c r="WBT27" s="30"/>
      <c r="WBY27" s="93"/>
      <c r="WBZ27" s="30"/>
      <c r="WCE27" s="93"/>
      <c r="WCF27" s="30"/>
      <c r="WCK27" s="93"/>
      <c r="WCL27" s="30"/>
      <c r="WCQ27" s="93"/>
      <c r="WCR27" s="30"/>
      <c r="WCW27" s="93"/>
      <c r="WCX27" s="30"/>
      <c r="WDC27" s="93"/>
      <c r="WDD27" s="30"/>
      <c r="WDI27" s="93"/>
      <c r="WDJ27" s="30"/>
      <c r="WDO27" s="93"/>
      <c r="WDP27" s="30"/>
      <c r="WDU27" s="93"/>
      <c r="WDV27" s="30"/>
      <c r="WEA27" s="93"/>
      <c r="WEB27" s="30"/>
      <c r="WEG27" s="93"/>
      <c r="WEH27" s="30"/>
      <c r="WEM27" s="93"/>
      <c r="WEN27" s="30"/>
      <c r="WES27" s="93"/>
      <c r="WET27" s="30"/>
      <c r="WEY27" s="93"/>
      <c r="WEZ27" s="30"/>
      <c r="WFE27" s="93"/>
      <c r="WFF27" s="30"/>
      <c r="WFK27" s="93"/>
      <c r="WFL27" s="30"/>
      <c r="WFQ27" s="93"/>
      <c r="WFR27" s="30"/>
      <c r="WFW27" s="93"/>
      <c r="WFX27" s="30"/>
      <c r="WGC27" s="93"/>
      <c r="WGD27" s="30"/>
      <c r="WGI27" s="93"/>
      <c r="WGJ27" s="30"/>
      <c r="WGO27" s="93"/>
      <c r="WGP27" s="30"/>
      <c r="WGU27" s="93"/>
      <c r="WGV27" s="30"/>
      <c r="WHA27" s="93"/>
      <c r="WHB27" s="30"/>
      <c r="WHG27" s="93"/>
      <c r="WHH27" s="30"/>
      <c r="WHM27" s="93"/>
      <c r="WHN27" s="30"/>
      <c r="WHS27" s="93"/>
      <c r="WHT27" s="30"/>
      <c r="WHY27" s="93"/>
      <c r="WHZ27" s="30"/>
      <c r="WIE27" s="93"/>
      <c r="WIF27" s="30"/>
      <c r="WIK27" s="93"/>
      <c r="WIL27" s="30"/>
      <c r="WIQ27" s="93"/>
      <c r="WIR27" s="30"/>
      <c r="WIW27" s="93"/>
      <c r="WIX27" s="30"/>
      <c r="WJC27" s="93"/>
      <c r="WJD27" s="30"/>
      <c r="WJI27" s="93"/>
      <c r="WJJ27" s="30"/>
      <c r="WJO27" s="93"/>
      <c r="WJP27" s="30"/>
      <c r="WJU27" s="93"/>
      <c r="WJV27" s="30"/>
      <c r="WKA27" s="93"/>
      <c r="WKB27" s="30"/>
      <c r="WKG27" s="93"/>
      <c r="WKH27" s="30"/>
      <c r="WKM27" s="93"/>
      <c r="WKN27" s="30"/>
      <c r="WKS27" s="93"/>
      <c r="WKT27" s="30"/>
      <c r="WKY27" s="93"/>
      <c r="WKZ27" s="30"/>
      <c r="WLE27" s="93"/>
      <c r="WLF27" s="30"/>
      <c r="WLK27" s="93"/>
      <c r="WLL27" s="30"/>
      <c r="WLQ27" s="93"/>
      <c r="WLR27" s="30"/>
      <c r="WLW27" s="93"/>
      <c r="WLX27" s="30"/>
      <c r="WMC27" s="93"/>
      <c r="WMD27" s="30"/>
      <c r="WMI27" s="93"/>
      <c r="WMJ27" s="30"/>
      <c r="WMO27" s="93"/>
      <c r="WMP27" s="30"/>
      <c r="WMU27" s="93"/>
      <c r="WMV27" s="30"/>
      <c r="WNA27" s="93"/>
      <c r="WNB27" s="30"/>
      <c r="WNG27" s="93"/>
      <c r="WNH27" s="30"/>
      <c r="WNM27" s="93"/>
      <c r="WNN27" s="30"/>
      <c r="WNS27" s="93"/>
      <c r="WNT27" s="30"/>
      <c r="WNY27" s="93"/>
      <c r="WNZ27" s="30"/>
      <c r="WOE27" s="93"/>
      <c r="WOF27" s="30"/>
      <c r="WOK27" s="93"/>
      <c r="WOL27" s="30"/>
      <c r="WOQ27" s="93"/>
      <c r="WOR27" s="30"/>
      <c r="WOW27" s="93"/>
      <c r="WOX27" s="30"/>
      <c r="WPC27" s="93"/>
      <c r="WPD27" s="30"/>
      <c r="WPI27" s="93"/>
      <c r="WPJ27" s="30"/>
      <c r="WPO27" s="93"/>
      <c r="WPP27" s="30"/>
      <c r="WPU27" s="93"/>
      <c r="WPV27" s="30"/>
      <c r="WQA27" s="93"/>
      <c r="WQB27" s="30"/>
      <c r="WQG27" s="93"/>
      <c r="WQH27" s="30"/>
      <c r="WQM27" s="93"/>
      <c r="WQN27" s="30"/>
      <c r="WQS27" s="93"/>
      <c r="WQT27" s="30"/>
      <c r="WQY27" s="93"/>
      <c r="WQZ27" s="30"/>
      <c r="WRE27" s="93"/>
      <c r="WRF27" s="30"/>
      <c r="WRK27" s="93"/>
      <c r="WRL27" s="30"/>
      <c r="WRQ27" s="93"/>
      <c r="WRR27" s="30"/>
      <c r="WRW27" s="93"/>
      <c r="WRX27" s="30"/>
      <c r="WSC27" s="93"/>
      <c r="WSD27" s="30"/>
      <c r="WSI27" s="93"/>
      <c r="WSJ27" s="30"/>
      <c r="WSO27" s="93"/>
      <c r="WSP27" s="30"/>
      <c r="WSU27" s="93"/>
      <c r="WSV27" s="30"/>
      <c r="WTA27" s="93"/>
      <c r="WTB27" s="30"/>
      <c r="WTG27" s="93"/>
      <c r="WTH27" s="30"/>
      <c r="WTM27" s="93"/>
      <c r="WTN27" s="30"/>
      <c r="WTS27" s="93"/>
      <c r="WTT27" s="30"/>
      <c r="WTY27" s="93"/>
      <c r="WTZ27" s="30"/>
      <c r="WUE27" s="93"/>
      <c r="WUF27" s="30"/>
      <c r="WUK27" s="93"/>
      <c r="WUL27" s="30"/>
      <c r="WUQ27" s="93"/>
      <c r="WUR27" s="30"/>
      <c r="WUW27" s="93"/>
      <c r="WUX27" s="30"/>
      <c r="WVC27" s="93"/>
      <c r="WVD27" s="30"/>
      <c r="WVI27" s="93"/>
      <c r="WVJ27" s="30"/>
      <c r="WVO27" s="93"/>
      <c r="WVP27" s="30"/>
      <c r="WVU27" s="93"/>
      <c r="WVV27" s="30"/>
      <c r="WWA27" s="93"/>
      <c r="WWB27" s="30"/>
      <c r="WWG27" s="93"/>
      <c r="WWH27" s="30"/>
      <c r="WWM27" s="93"/>
      <c r="WWN27" s="30"/>
      <c r="WWS27" s="93"/>
      <c r="WWT27" s="30"/>
      <c r="WWY27" s="93"/>
      <c r="WWZ27" s="30"/>
      <c r="WXE27" s="93"/>
      <c r="WXF27" s="30"/>
      <c r="WXK27" s="93"/>
      <c r="WXL27" s="30"/>
      <c r="WXQ27" s="93"/>
      <c r="WXR27" s="30"/>
      <c r="WXW27" s="93"/>
      <c r="WXX27" s="30"/>
      <c r="WYC27" s="93"/>
      <c r="WYD27" s="30"/>
      <c r="WYI27" s="93"/>
      <c r="WYJ27" s="30"/>
      <c r="WYO27" s="93"/>
      <c r="WYP27" s="30"/>
      <c r="WYU27" s="93"/>
      <c r="WYV27" s="30"/>
      <c r="WZA27" s="93"/>
      <c r="WZB27" s="30"/>
      <c r="WZG27" s="93"/>
      <c r="WZH27" s="30"/>
      <c r="WZM27" s="93"/>
      <c r="WZN27" s="30"/>
      <c r="WZS27" s="93"/>
      <c r="WZT27" s="30"/>
      <c r="WZY27" s="93"/>
      <c r="WZZ27" s="30"/>
      <c r="XAE27" s="93"/>
      <c r="XAF27" s="30"/>
      <c r="XAK27" s="93"/>
      <c r="XAL27" s="30"/>
      <c r="XAQ27" s="93"/>
      <c r="XAR27" s="30"/>
      <c r="XAW27" s="93"/>
      <c r="XAX27" s="30"/>
      <c r="XBC27" s="93"/>
      <c r="XBD27" s="30"/>
      <c r="XBI27" s="93"/>
      <c r="XBJ27" s="30"/>
      <c r="XBO27" s="93"/>
      <c r="XBP27" s="30"/>
      <c r="XBU27" s="93"/>
      <c r="XBV27" s="30"/>
      <c r="XCA27" s="93"/>
      <c r="XCB27" s="30"/>
      <c r="XCG27" s="93"/>
      <c r="XCH27" s="30"/>
      <c r="XCM27" s="93"/>
      <c r="XCN27" s="30"/>
      <c r="XCS27" s="93"/>
      <c r="XCT27" s="30"/>
      <c r="XCY27" s="93"/>
      <c r="XCZ27" s="30"/>
      <c r="XDE27" s="93"/>
      <c r="XDF27" s="30"/>
      <c r="XDK27" s="93"/>
      <c r="XDL27" s="30"/>
      <c r="XDQ27" s="93"/>
      <c r="XDR27" s="30"/>
      <c r="XDW27" s="93"/>
      <c r="XDX27" s="30"/>
      <c r="XEC27" s="93"/>
      <c r="XED27" s="30"/>
      <c r="XEI27" s="93"/>
      <c r="XEJ27" s="30"/>
      <c r="XEO27" s="93"/>
      <c r="XEP27" s="30"/>
      <c r="XEU27" s="93"/>
      <c r="XEV27" s="30"/>
      <c r="XFA27" s="93"/>
      <c r="XFB27" s="30"/>
    </row>
    <row r="28" spans="1:1022 1027:2048 2053:3068 3073:4094 4099:5120 5125:6140 6145:7166 7171:8192 8197:9212 9217:10238 10243:11264 11269:12284 12289:13310 13315:14336 14341:15356 15361:16382" s="8" customFormat="1" ht="16" x14ac:dyDescent="0.2">
      <c r="A28" s="93" t="s">
        <v>591</v>
      </c>
      <c r="B28" s="10" t="s">
        <v>592</v>
      </c>
      <c r="C28" s="9" t="s">
        <v>595</v>
      </c>
      <c r="D28" s="10"/>
      <c r="E28" s="10"/>
      <c r="F28" s="10"/>
      <c r="G28" s="10"/>
      <c r="H28" s="10"/>
      <c r="I28" s="10"/>
      <c r="J28" s="10"/>
      <c r="K28" s="10"/>
      <c r="L28" s="10"/>
      <c r="M28" s="93"/>
      <c r="N28" s="30"/>
      <c r="S28" s="93"/>
      <c r="T28" s="30"/>
      <c r="Y28" s="93"/>
      <c r="Z28" s="30"/>
      <c r="AE28" s="93"/>
      <c r="AF28" s="30"/>
      <c r="AK28" s="93"/>
      <c r="AL28" s="30"/>
      <c r="AQ28" s="93"/>
      <c r="AR28" s="30"/>
      <c r="AW28" s="93"/>
      <c r="AX28" s="30"/>
      <c r="BC28" s="93"/>
      <c r="BD28" s="30"/>
      <c r="BI28" s="93"/>
      <c r="BJ28" s="30"/>
      <c r="BO28" s="93"/>
      <c r="BP28" s="30"/>
      <c r="BU28" s="93"/>
      <c r="BV28" s="30"/>
      <c r="CA28" s="93"/>
      <c r="CB28" s="30"/>
      <c r="CG28" s="93"/>
      <c r="CH28" s="30"/>
      <c r="CM28" s="93"/>
      <c r="CN28" s="30"/>
      <c r="CS28" s="93"/>
      <c r="CT28" s="30"/>
      <c r="CY28" s="93"/>
      <c r="CZ28" s="30"/>
      <c r="DE28" s="93"/>
      <c r="DF28" s="30"/>
      <c r="DK28" s="93"/>
      <c r="DL28" s="30"/>
      <c r="DQ28" s="93"/>
      <c r="DR28" s="30"/>
      <c r="DW28" s="93"/>
      <c r="DX28" s="30"/>
      <c r="EC28" s="93"/>
      <c r="ED28" s="30"/>
      <c r="EI28" s="93"/>
      <c r="EJ28" s="30"/>
      <c r="EO28" s="93"/>
      <c r="EP28" s="30"/>
      <c r="EU28" s="93"/>
      <c r="EV28" s="30"/>
      <c r="FA28" s="93"/>
      <c r="FB28" s="30"/>
      <c r="FG28" s="93"/>
      <c r="FH28" s="30"/>
      <c r="FM28" s="93"/>
      <c r="FN28" s="30"/>
      <c r="FS28" s="93"/>
      <c r="FT28" s="30"/>
      <c r="FY28" s="93"/>
      <c r="FZ28" s="30"/>
      <c r="GE28" s="93"/>
      <c r="GF28" s="30"/>
      <c r="GK28" s="93"/>
      <c r="GL28" s="30"/>
      <c r="GQ28" s="93"/>
      <c r="GR28" s="30"/>
      <c r="GW28" s="93"/>
      <c r="GX28" s="30"/>
      <c r="HC28" s="93"/>
      <c r="HD28" s="30"/>
      <c r="HI28" s="93"/>
      <c r="HJ28" s="30"/>
      <c r="HO28" s="93"/>
      <c r="HP28" s="30"/>
      <c r="HU28" s="93"/>
      <c r="HV28" s="30"/>
      <c r="IA28" s="93"/>
      <c r="IB28" s="30"/>
      <c r="IG28" s="93"/>
      <c r="IH28" s="30"/>
      <c r="IM28" s="93"/>
      <c r="IN28" s="30"/>
      <c r="IS28" s="93"/>
      <c r="IT28" s="30"/>
      <c r="IY28" s="93"/>
      <c r="IZ28" s="30"/>
      <c r="JE28" s="93"/>
      <c r="JF28" s="30"/>
      <c r="JK28" s="93"/>
      <c r="JL28" s="30"/>
      <c r="JQ28" s="93"/>
      <c r="JR28" s="30"/>
      <c r="JW28" s="93"/>
      <c r="JX28" s="30"/>
      <c r="KC28" s="93"/>
      <c r="KD28" s="30"/>
      <c r="KI28" s="93"/>
      <c r="KJ28" s="30"/>
      <c r="KO28" s="93"/>
      <c r="KP28" s="30"/>
      <c r="KU28" s="93"/>
      <c r="KV28" s="30"/>
      <c r="LA28" s="93"/>
      <c r="LB28" s="30"/>
      <c r="LG28" s="93"/>
      <c r="LH28" s="30"/>
      <c r="LM28" s="93"/>
      <c r="LN28" s="30"/>
      <c r="LS28" s="93"/>
      <c r="LT28" s="30"/>
      <c r="LY28" s="93"/>
      <c r="LZ28" s="30"/>
      <c r="ME28" s="93"/>
      <c r="MF28" s="30"/>
      <c r="MK28" s="93"/>
      <c r="ML28" s="30"/>
      <c r="MQ28" s="93"/>
      <c r="MR28" s="30"/>
      <c r="MW28" s="93"/>
      <c r="MX28" s="30"/>
      <c r="NC28" s="93"/>
      <c r="ND28" s="30"/>
      <c r="NI28" s="93"/>
      <c r="NJ28" s="30"/>
      <c r="NO28" s="93"/>
      <c r="NP28" s="30"/>
      <c r="NU28" s="93"/>
      <c r="NV28" s="30"/>
      <c r="OA28" s="93"/>
      <c r="OB28" s="30"/>
      <c r="OG28" s="93"/>
      <c r="OH28" s="30"/>
      <c r="OM28" s="93"/>
      <c r="ON28" s="30"/>
      <c r="OS28" s="93"/>
      <c r="OT28" s="30"/>
      <c r="OY28" s="93"/>
      <c r="OZ28" s="30"/>
      <c r="PE28" s="93"/>
      <c r="PF28" s="30"/>
      <c r="PK28" s="93"/>
      <c r="PL28" s="30"/>
      <c r="PQ28" s="93"/>
      <c r="PR28" s="30"/>
      <c r="PW28" s="93"/>
      <c r="PX28" s="30"/>
      <c r="QC28" s="93"/>
      <c r="QD28" s="30"/>
      <c r="QI28" s="93"/>
      <c r="QJ28" s="30"/>
      <c r="QO28" s="93"/>
      <c r="QP28" s="30"/>
      <c r="QU28" s="93"/>
      <c r="QV28" s="30"/>
      <c r="RA28" s="93"/>
      <c r="RB28" s="30"/>
      <c r="RG28" s="93"/>
      <c r="RH28" s="30"/>
      <c r="RM28" s="93"/>
      <c r="RN28" s="30"/>
      <c r="RS28" s="93"/>
      <c r="RT28" s="30"/>
      <c r="RY28" s="93"/>
      <c r="RZ28" s="30"/>
      <c r="SE28" s="93"/>
      <c r="SF28" s="30"/>
      <c r="SK28" s="93"/>
      <c r="SL28" s="30"/>
      <c r="SQ28" s="93"/>
      <c r="SR28" s="30"/>
      <c r="SW28" s="93"/>
      <c r="SX28" s="30"/>
      <c r="TC28" s="93"/>
      <c r="TD28" s="30"/>
      <c r="TI28" s="93"/>
      <c r="TJ28" s="30"/>
      <c r="TO28" s="93"/>
      <c r="TP28" s="30"/>
      <c r="TU28" s="93"/>
      <c r="TV28" s="30"/>
      <c r="UA28" s="93"/>
      <c r="UB28" s="30"/>
      <c r="UG28" s="93"/>
      <c r="UH28" s="30"/>
      <c r="UM28" s="93"/>
      <c r="UN28" s="30"/>
      <c r="US28" s="93"/>
      <c r="UT28" s="30"/>
      <c r="UY28" s="93"/>
      <c r="UZ28" s="30"/>
      <c r="VE28" s="93"/>
      <c r="VF28" s="30"/>
      <c r="VK28" s="93"/>
      <c r="VL28" s="30"/>
      <c r="VQ28" s="93"/>
      <c r="VR28" s="30"/>
      <c r="VW28" s="93"/>
      <c r="VX28" s="30"/>
      <c r="WC28" s="93"/>
      <c r="WD28" s="30"/>
      <c r="WI28" s="93"/>
      <c r="WJ28" s="30"/>
      <c r="WO28" s="93"/>
      <c r="WP28" s="30"/>
      <c r="WU28" s="93"/>
      <c r="WV28" s="30"/>
      <c r="XA28" s="93"/>
      <c r="XB28" s="30"/>
      <c r="XG28" s="93"/>
      <c r="XH28" s="30"/>
      <c r="XM28" s="93"/>
      <c r="XN28" s="30"/>
      <c r="XS28" s="93"/>
      <c r="XT28" s="30"/>
      <c r="XY28" s="93"/>
      <c r="XZ28" s="30"/>
      <c r="YE28" s="93"/>
      <c r="YF28" s="30"/>
      <c r="YK28" s="93"/>
      <c r="YL28" s="30"/>
      <c r="YQ28" s="93"/>
      <c r="YR28" s="30"/>
      <c r="YW28" s="93"/>
      <c r="YX28" s="30"/>
      <c r="ZC28" s="93"/>
      <c r="ZD28" s="30"/>
      <c r="ZI28" s="93"/>
      <c r="ZJ28" s="30"/>
      <c r="ZO28" s="93"/>
      <c r="ZP28" s="30"/>
      <c r="ZU28" s="93"/>
      <c r="ZV28" s="30"/>
      <c r="AAA28" s="93"/>
      <c r="AAB28" s="30"/>
      <c r="AAG28" s="93"/>
      <c r="AAH28" s="30"/>
      <c r="AAM28" s="93"/>
      <c r="AAN28" s="30"/>
      <c r="AAS28" s="93"/>
      <c r="AAT28" s="30"/>
      <c r="AAY28" s="93"/>
      <c r="AAZ28" s="30"/>
      <c r="ABE28" s="93"/>
      <c r="ABF28" s="30"/>
      <c r="ABK28" s="93"/>
      <c r="ABL28" s="30"/>
      <c r="ABQ28" s="93"/>
      <c r="ABR28" s="30"/>
      <c r="ABW28" s="93"/>
      <c r="ABX28" s="30"/>
      <c r="ACC28" s="93"/>
      <c r="ACD28" s="30"/>
      <c r="ACI28" s="93"/>
      <c r="ACJ28" s="30"/>
      <c r="ACO28" s="93"/>
      <c r="ACP28" s="30"/>
      <c r="ACU28" s="93"/>
      <c r="ACV28" s="30"/>
      <c r="ADA28" s="93"/>
      <c r="ADB28" s="30"/>
      <c r="ADG28" s="93"/>
      <c r="ADH28" s="30"/>
      <c r="ADM28" s="93"/>
      <c r="ADN28" s="30"/>
      <c r="ADS28" s="93"/>
      <c r="ADT28" s="30"/>
      <c r="ADY28" s="93"/>
      <c r="ADZ28" s="30"/>
      <c r="AEE28" s="93"/>
      <c r="AEF28" s="30"/>
      <c r="AEK28" s="93"/>
      <c r="AEL28" s="30"/>
      <c r="AEQ28" s="93"/>
      <c r="AER28" s="30"/>
      <c r="AEW28" s="93"/>
      <c r="AEX28" s="30"/>
      <c r="AFC28" s="93"/>
      <c r="AFD28" s="30"/>
      <c r="AFI28" s="93"/>
      <c r="AFJ28" s="30"/>
      <c r="AFO28" s="93"/>
      <c r="AFP28" s="30"/>
      <c r="AFU28" s="93"/>
      <c r="AFV28" s="30"/>
      <c r="AGA28" s="93"/>
      <c r="AGB28" s="30"/>
      <c r="AGG28" s="93"/>
      <c r="AGH28" s="30"/>
      <c r="AGM28" s="93"/>
      <c r="AGN28" s="30"/>
      <c r="AGS28" s="93"/>
      <c r="AGT28" s="30"/>
      <c r="AGY28" s="93"/>
      <c r="AGZ28" s="30"/>
      <c r="AHE28" s="93"/>
      <c r="AHF28" s="30"/>
      <c r="AHK28" s="93"/>
      <c r="AHL28" s="30"/>
      <c r="AHQ28" s="93"/>
      <c r="AHR28" s="30"/>
      <c r="AHW28" s="93"/>
      <c r="AHX28" s="30"/>
      <c r="AIC28" s="93"/>
      <c r="AID28" s="30"/>
      <c r="AII28" s="93"/>
      <c r="AIJ28" s="30"/>
      <c r="AIO28" s="93"/>
      <c r="AIP28" s="30"/>
      <c r="AIU28" s="93"/>
      <c r="AIV28" s="30"/>
      <c r="AJA28" s="93"/>
      <c r="AJB28" s="30"/>
      <c r="AJG28" s="93"/>
      <c r="AJH28" s="30"/>
      <c r="AJM28" s="93"/>
      <c r="AJN28" s="30"/>
      <c r="AJS28" s="93"/>
      <c r="AJT28" s="30"/>
      <c r="AJY28" s="93"/>
      <c r="AJZ28" s="30"/>
      <c r="AKE28" s="93"/>
      <c r="AKF28" s="30"/>
      <c r="AKK28" s="93"/>
      <c r="AKL28" s="30"/>
      <c r="AKQ28" s="93"/>
      <c r="AKR28" s="30"/>
      <c r="AKW28" s="93"/>
      <c r="AKX28" s="30"/>
      <c r="ALC28" s="93"/>
      <c r="ALD28" s="30"/>
      <c r="ALI28" s="93"/>
      <c r="ALJ28" s="30"/>
      <c r="ALO28" s="93"/>
      <c r="ALP28" s="30"/>
      <c r="ALU28" s="93"/>
      <c r="ALV28" s="30"/>
      <c r="AMA28" s="93"/>
      <c r="AMB28" s="30"/>
      <c r="AMG28" s="93"/>
      <c r="AMH28" s="30"/>
      <c r="AMM28" s="93"/>
      <c r="AMN28" s="30"/>
      <c r="AMS28" s="93"/>
      <c r="AMT28" s="30"/>
      <c r="AMY28" s="93"/>
      <c r="AMZ28" s="30"/>
      <c r="ANE28" s="93"/>
      <c r="ANF28" s="30"/>
      <c r="ANK28" s="93"/>
      <c r="ANL28" s="30"/>
      <c r="ANQ28" s="93"/>
      <c r="ANR28" s="30"/>
      <c r="ANW28" s="93"/>
      <c r="ANX28" s="30"/>
      <c r="AOC28" s="93"/>
      <c r="AOD28" s="30"/>
      <c r="AOI28" s="93"/>
      <c r="AOJ28" s="30"/>
      <c r="AOO28" s="93"/>
      <c r="AOP28" s="30"/>
      <c r="AOU28" s="93"/>
      <c r="AOV28" s="30"/>
      <c r="APA28" s="93"/>
      <c r="APB28" s="30"/>
      <c r="APG28" s="93"/>
      <c r="APH28" s="30"/>
      <c r="APM28" s="93"/>
      <c r="APN28" s="30"/>
      <c r="APS28" s="93"/>
      <c r="APT28" s="30"/>
      <c r="APY28" s="93"/>
      <c r="APZ28" s="30"/>
      <c r="AQE28" s="93"/>
      <c r="AQF28" s="30"/>
      <c r="AQK28" s="93"/>
      <c r="AQL28" s="30"/>
      <c r="AQQ28" s="93"/>
      <c r="AQR28" s="30"/>
      <c r="AQW28" s="93"/>
      <c r="AQX28" s="30"/>
      <c r="ARC28" s="93"/>
      <c r="ARD28" s="30"/>
      <c r="ARI28" s="93"/>
      <c r="ARJ28" s="30"/>
      <c r="ARO28" s="93"/>
      <c r="ARP28" s="30"/>
      <c r="ARU28" s="93"/>
      <c r="ARV28" s="30"/>
      <c r="ASA28" s="93"/>
      <c r="ASB28" s="30"/>
      <c r="ASG28" s="93"/>
      <c r="ASH28" s="30"/>
      <c r="ASM28" s="93"/>
      <c r="ASN28" s="30"/>
      <c r="ASS28" s="93"/>
      <c r="AST28" s="30"/>
      <c r="ASY28" s="93"/>
      <c r="ASZ28" s="30"/>
      <c r="ATE28" s="93"/>
      <c r="ATF28" s="30"/>
      <c r="ATK28" s="93"/>
      <c r="ATL28" s="30"/>
      <c r="ATQ28" s="93"/>
      <c r="ATR28" s="30"/>
      <c r="ATW28" s="93"/>
      <c r="ATX28" s="30"/>
      <c r="AUC28" s="93"/>
      <c r="AUD28" s="30"/>
      <c r="AUI28" s="93"/>
      <c r="AUJ28" s="30"/>
      <c r="AUO28" s="93"/>
      <c r="AUP28" s="30"/>
      <c r="AUU28" s="93"/>
      <c r="AUV28" s="30"/>
      <c r="AVA28" s="93"/>
      <c r="AVB28" s="30"/>
      <c r="AVG28" s="93"/>
      <c r="AVH28" s="30"/>
      <c r="AVM28" s="93"/>
      <c r="AVN28" s="30"/>
      <c r="AVS28" s="93"/>
      <c r="AVT28" s="30"/>
      <c r="AVY28" s="93"/>
      <c r="AVZ28" s="30"/>
      <c r="AWE28" s="93"/>
      <c r="AWF28" s="30"/>
      <c r="AWK28" s="93"/>
      <c r="AWL28" s="30"/>
      <c r="AWQ28" s="93"/>
      <c r="AWR28" s="30"/>
      <c r="AWW28" s="93"/>
      <c r="AWX28" s="30"/>
      <c r="AXC28" s="93"/>
      <c r="AXD28" s="30"/>
      <c r="AXI28" s="93"/>
      <c r="AXJ28" s="30"/>
      <c r="AXO28" s="93"/>
      <c r="AXP28" s="30"/>
      <c r="AXU28" s="93"/>
      <c r="AXV28" s="30"/>
      <c r="AYA28" s="93"/>
      <c r="AYB28" s="30"/>
      <c r="AYG28" s="93"/>
      <c r="AYH28" s="30"/>
      <c r="AYM28" s="93"/>
      <c r="AYN28" s="30"/>
      <c r="AYS28" s="93"/>
      <c r="AYT28" s="30"/>
      <c r="AYY28" s="93"/>
      <c r="AYZ28" s="30"/>
      <c r="AZE28" s="93"/>
      <c r="AZF28" s="30"/>
      <c r="AZK28" s="93"/>
      <c r="AZL28" s="30"/>
      <c r="AZQ28" s="93"/>
      <c r="AZR28" s="30"/>
      <c r="AZW28" s="93"/>
      <c r="AZX28" s="30"/>
      <c r="BAC28" s="93"/>
      <c r="BAD28" s="30"/>
      <c r="BAI28" s="93"/>
      <c r="BAJ28" s="30"/>
      <c r="BAO28" s="93"/>
      <c r="BAP28" s="30"/>
      <c r="BAU28" s="93"/>
      <c r="BAV28" s="30"/>
      <c r="BBA28" s="93"/>
      <c r="BBB28" s="30"/>
      <c r="BBG28" s="93"/>
      <c r="BBH28" s="30"/>
      <c r="BBM28" s="93"/>
      <c r="BBN28" s="30"/>
      <c r="BBS28" s="93"/>
      <c r="BBT28" s="30"/>
      <c r="BBY28" s="93"/>
      <c r="BBZ28" s="30"/>
      <c r="BCE28" s="93"/>
      <c r="BCF28" s="30"/>
      <c r="BCK28" s="93"/>
      <c r="BCL28" s="30"/>
      <c r="BCQ28" s="93"/>
      <c r="BCR28" s="30"/>
      <c r="BCW28" s="93"/>
      <c r="BCX28" s="30"/>
      <c r="BDC28" s="93"/>
      <c r="BDD28" s="30"/>
      <c r="BDI28" s="93"/>
      <c r="BDJ28" s="30"/>
      <c r="BDO28" s="93"/>
      <c r="BDP28" s="30"/>
      <c r="BDU28" s="93"/>
      <c r="BDV28" s="30"/>
      <c r="BEA28" s="93"/>
      <c r="BEB28" s="30"/>
      <c r="BEG28" s="93"/>
      <c r="BEH28" s="30"/>
      <c r="BEM28" s="93"/>
      <c r="BEN28" s="30"/>
      <c r="BES28" s="93"/>
      <c r="BET28" s="30"/>
      <c r="BEY28" s="93"/>
      <c r="BEZ28" s="30"/>
      <c r="BFE28" s="93"/>
      <c r="BFF28" s="30"/>
      <c r="BFK28" s="93"/>
      <c r="BFL28" s="30"/>
      <c r="BFQ28" s="93"/>
      <c r="BFR28" s="30"/>
      <c r="BFW28" s="93"/>
      <c r="BFX28" s="30"/>
      <c r="BGC28" s="93"/>
      <c r="BGD28" s="30"/>
      <c r="BGI28" s="93"/>
      <c r="BGJ28" s="30"/>
      <c r="BGO28" s="93"/>
      <c r="BGP28" s="30"/>
      <c r="BGU28" s="93"/>
      <c r="BGV28" s="30"/>
      <c r="BHA28" s="93"/>
      <c r="BHB28" s="30"/>
      <c r="BHG28" s="93"/>
      <c r="BHH28" s="30"/>
      <c r="BHM28" s="93"/>
      <c r="BHN28" s="30"/>
      <c r="BHS28" s="93"/>
      <c r="BHT28" s="30"/>
      <c r="BHY28" s="93"/>
      <c r="BHZ28" s="30"/>
      <c r="BIE28" s="93"/>
      <c r="BIF28" s="30"/>
      <c r="BIK28" s="93"/>
      <c r="BIL28" s="30"/>
      <c r="BIQ28" s="93"/>
      <c r="BIR28" s="30"/>
      <c r="BIW28" s="93"/>
      <c r="BIX28" s="30"/>
      <c r="BJC28" s="93"/>
      <c r="BJD28" s="30"/>
      <c r="BJI28" s="93"/>
      <c r="BJJ28" s="30"/>
      <c r="BJO28" s="93"/>
      <c r="BJP28" s="30"/>
      <c r="BJU28" s="93"/>
      <c r="BJV28" s="30"/>
      <c r="BKA28" s="93"/>
      <c r="BKB28" s="30"/>
      <c r="BKG28" s="93"/>
      <c r="BKH28" s="30"/>
      <c r="BKM28" s="93"/>
      <c r="BKN28" s="30"/>
      <c r="BKS28" s="93"/>
      <c r="BKT28" s="30"/>
      <c r="BKY28" s="93"/>
      <c r="BKZ28" s="30"/>
      <c r="BLE28" s="93"/>
      <c r="BLF28" s="30"/>
      <c r="BLK28" s="93"/>
      <c r="BLL28" s="30"/>
      <c r="BLQ28" s="93"/>
      <c r="BLR28" s="30"/>
      <c r="BLW28" s="93"/>
      <c r="BLX28" s="30"/>
      <c r="BMC28" s="93"/>
      <c r="BMD28" s="30"/>
      <c r="BMI28" s="93"/>
      <c r="BMJ28" s="30"/>
      <c r="BMO28" s="93"/>
      <c r="BMP28" s="30"/>
      <c r="BMU28" s="93"/>
      <c r="BMV28" s="30"/>
      <c r="BNA28" s="93"/>
      <c r="BNB28" s="30"/>
      <c r="BNG28" s="93"/>
      <c r="BNH28" s="30"/>
      <c r="BNM28" s="93"/>
      <c r="BNN28" s="30"/>
      <c r="BNS28" s="93"/>
      <c r="BNT28" s="30"/>
      <c r="BNY28" s="93"/>
      <c r="BNZ28" s="30"/>
      <c r="BOE28" s="93"/>
      <c r="BOF28" s="30"/>
      <c r="BOK28" s="93"/>
      <c r="BOL28" s="30"/>
      <c r="BOQ28" s="93"/>
      <c r="BOR28" s="30"/>
      <c r="BOW28" s="93"/>
      <c r="BOX28" s="30"/>
      <c r="BPC28" s="93"/>
      <c r="BPD28" s="30"/>
      <c r="BPI28" s="93"/>
      <c r="BPJ28" s="30"/>
      <c r="BPO28" s="93"/>
      <c r="BPP28" s="30"/>
      <c r="BPU28" s="93"/>
      <c r="BPV28" s="30"/>
      <c r="BQA28" s="93"/>
      <c r="BQB28" s="30"/>
      <c r="BQG28" s="93"/>
      <c r="BQH28" s="30"/>
      <c r="BQM28" s="93"/>
      <c r="BQN28" s="30"/>
      <c r="BQS28" s="93"/>
      <c r="BQT28" s="30"/>
      <c r="BQY28" s="93"/>
      <c r="BQZ28" s="30"/>
      <c r="BRE28" s="93"/>
      <c r="BRF28" s="30"/>
      <c r="BRK28" s="93"/>
      <c r="BRL28" s="30"/>
      <c r="BRQ28" s="93"/>
      <c r="BRR28" s="30"/>
      <c r="BRW28" s="93"/>
      <c r="BRX28" s="30"/>
      <c r="BSC28" s="93"/>
      <c r="BSD28" s="30"/>
      <c r="BSI28" s="93"/>
      <c r="BSJ28" s="30"/>
      <c r="BSO28" s="93"/>
      <c r="BSP28" s="30"/>
      <c r="BSU28" s="93"/>
      <c r="BSV28" s="30"/>
      <c r="BTA28" s="93"/>
      <c r="BTB28" s="30"/>
      <c r="BTG28" s="93"/>
      <c r="BTH28" s="30"/>
      <c r="BTM28" s="93"/>
      <c r="BTN28" s="30"/>
      <c r="BTS28" s="93"/>
      <c r="BTT28" s="30"/>
      <c r="BTY28" s="93"/>
      <c r="BTZ28" s="30"/>
      <c r="BUE28" s="93"/>
      <c r="BUF28" s="30"/>
      <c r="BUK28" s="93"/>
      <c r="BUL28" s="30"/>
      <c r="BUQ28" s="93"/>
      <c r="BUR28" s="30"/>
      <c r="BUW28" s="93"/>
      <c r="BUX28" s="30"/>
      <c r="BVC28" s="93"/>
      <c r="BVD28" s="30"/>
      <c r="BVI28" s="93"/>
      <c r="BVJ28" s="30"/>
      <c r="BVO28" s="93"/>
      <c r="BVP28" s="30"/>
      <c r="BVU28" s="93"/>
      <c r="BVV28" s="30"/>
      <c r="BWA28" s="93"/>
      <c r="BWB28" s="30"/>
      <c r="BWG28" s="93"/>
      <c r="BWH28" s="30"/>
      <c r="BWM28" s="93"/>
      <c r="BWN28" s="30"/>
      <c r="BWS28" s="93"/>
      <c r="BWT28" s="30"/>
      <c r="BWY28" s="93"/>
      <c r="BWZ28" s="30"/>
      <c r="BXE28" s="93"/>
      <c r="BXF28" s="30"/>
      <c r="BXK28" s="93"/>
      <c r="BXL28" s="30"/>
      <c r="BXQ28" s="93"/>
      <c r="BXR28" s="30"/>
      <c r="BXW28" s="93"/>
      <c r="BXX28" s="30"/>
      <c r="BYC28" s="93"/>
      <c r="BYD28" s="30"/>
      <c r="BYI28" s="93"/>
      <c r="BYJ28" s="30"/>
      <c r="BYO28" s="93"/>
      <c r="BYP28" s="30"/>
      <c r="BYU28" s="93"/>
      <c r="BYV28" s="30"/>
      <c r="BZA28" s="93"/>
      <c r="BZB28" s="30"/>
      <c r="BZG28" s="93"/>
      <c r="BZH28" s="30"/>
      <c r="BZM28" s="93"/>
      <c r="BZN28" s="30"/>
      <c r="BZS28" s="93"/>
      <c r="BZT28" s="30"/>
      <c r="BZY28" s="93"/>
      <c r="BZZ28" s="30"/>
      <c r="CAE28" s="93"/>
      <c r="CAF28" s="30"/>
      <c r="CAK28" s="93"/>
      <c r="CAL28" s="30"/>
      <c r="CAQ28" s="93"/>
      <c r="CAR28" s="30"/>
      <c r="CAW28" s="93"/>
      <c r="CAX28" s="30"/>
      <c r="CBC28" s="93"/>
      <c r="CBD28" s="30"/>
      <c r="CBI28" s="93"/>
      <c r="CBJ28" s="30"/>
      <c r="CBO28" s="93"/>
      <c r="CBP28" s="30"/>
      <c r="CBU28" s="93"/>
      <c r="CBV28" s="30"/>
      <c r="CCA28" s="93"/>
      <c r="CCB28" s="30"/>
      <c r="CCG28" s="93"/>
      <c r="CCH28" s="30"/>
      <c r="CCM28" s="93"/>
      <c r="CCN28" s="30"/>
      <c r="CCS28" s="93"/>
      <c r="CCT28" s="30"/>
      <c r="CCY28" s="93"/>
      <c r="CCZ28" s="30"/>
      <c r="CDE28" s="93"/>
      <c r="CDF28" s="30"/>
      <c r="CDK28" s="93"/>
      <c r="CDL28" s="30"/>
      <c r="CDQ28" s="93"/>
      <c r="CDR28" s="30"/>
      <c r="CDW28" s="93"/>
      <c r="CDX28" s="30"/>
      <c r="CEC28" s="93"/>
      <c r="CED28" s="30"/>
      <c r="CEI28" s="93"/>
      <c r="CEJ28" s="30"/>
      <c r="CEO28" s="93"/>
      <c r="CEP28" s="30"/>
      <c r="CEU28" s="93"/>
      <c r="CEV28" s="30"/>
      <c r="CFA28" s="93"/>
      <c r="CFB28" s="30"/>
      <c r="CFG28" s="93"/>
      <c r="CFH28" s="30"/>
      <c r="CFM28" s="93"/>
      <c r="CFN28" s="30"/>
      <c r="CFS28" s="93"/>
      <c r="CFT28" s="30"/>
      <c r="CFY28" s="93"/>
      <c r="CFZ28" s="30"/>
      <c r="CGE28" s="93"/>
      <c r="CGF28" s="30"/>
      <c r="CGK28" s="93"/>
      <c r="CGL28" s="30"/>
      <c r="CGQ28" s="93"/>
      <c r="CGR28" s="30"/>
      <c r="CGW28" s="93"/>
      <c r="CGX28" s="30"/>
      <c r="CHC28" s="93"/>
      <c r="CHD28" s="30"/>
      <c r="CHI28" s="93"/>
      <c r="CHJ28" s="30"/>
      <c r="CHO28" s="93"/>
      <c r="CHP28" s="30"/>
      <c r="CHU28" s="93"/>
      <c r="CHV28" s="30"/>
      <c r="CIA28" s="93"/>
      <c r="CIB28" s="30"/>
      <c r="CIG28" s="93"/>
      <c r="CIH28" s="30"/>
      <c r="CIM28" s="93"/>
      <c r="CIN28" s="30"/>
      <c r="CIS28" s="93"/>
      <c r="CIT28" s="30"/>
      <c r="CIY28" s="93"/>
      <c r="CIZ28" s="30"/>
      <c r="CJE28" s="93"/>
      <c r="CJF28" s="30"/>
      <c r="CJK28" s="93"/>
      <c r="CJL28" s="30"/>
      <c r="CJQ28" s="93"/>
      <c r="CJR28" s="30"/>
      <c r="CJW28" s="93"/>
      <c r="CJX28" s="30"/>
      <c r="CKC28" s="93"/>
      <c r="CKD28" s="30"/>
      <c r="CKI28" s="93"/>
      <c r="CKJ28" s="30"/>
      <c r="CKO28" s="93"/>
      <c r="CKP28" s="30"/>
      <c r="CKU28" s="93"/>
      <c r="CKV28" s="30"/>
      <c r="CLA28" s="93"/>
      <c r="CLB28" s="30"/>
      <c r="CLG28" s="93"/>
      <c r="CLH28" s="30"/>
      <c r="CLM28" s="93"/>
      <c r="CLN28" s="30"/>
      <c r="CLS28" s="93"/>
      <c r="CLT28" s="30"/>
      <c r="CLY28" s="93"/>
      <c r="CLZ28" s="30"/>
      <c r="CME28" s="93"/>
      <c r="CMF28" s="30"/>
      <c r="CMK28" s="93"/>
      <c r="CML28" s="30"/>
      <c r="CMQ28" s="93"/>
      <c r="CMR28" s="30"/>
      <c r="CMW28" s="93"/>
      <c r="CMX28" s="30"/>
      <c r="CNC28" s="93"/>
      <c r="CND28" s="30"/>
      <c r="CNI28" s="93"/>
      <c r="CNJ28" s="30"/>
      <c r="CNO28" s="93"/>
      <c r="CNP28" s="30"/>
      <c r="CNU28" s="93"/>
      <c r="CNV28" s="30"/>
      <c r="COA28" s="93"/>
      <c r="COB28" s="30"/>
      <c r="COG28" s="93"/>
      <c r="COH28" s="30"/>
      <c r="COM28" s="93"/>
      <c r="CON28" s="30"/>
      <c r="COS28" s="93"/>
      <c r="COT28" s="30"/>
      <c r="COY28" s="93"/>
      <c r="COZ28" s="30"/>
      <c r="CPE28" s="93"/>
      <c r="CPF28" s="30"/>
      <c r="CPK28" s="93"/>
      <c r="CPL28" s="30"/>
      <c r="CPQ28" s="93"/>
      <c r="CPR28" s="30"/>
      <c r="CPW28" s="93"/>
      <c r="CPX28" s="30"/>
      <c r="CQC28" s="93"/>
      <c r="CQD28" s="30"/>
      <c r="CQI28" s="93"/>
      <c r="CQJ28" s="30"/>
      <c r="CQO28" s="93"/>
      <c r="CQP28" s="30"/>
      <c r="CQU28" s="93"/>
      <c r="CQV28" s="30"/>
      <c r="CRA28" s="93"/>
      <c r="CRB28" s="30"/>
      <c r="CRG28" s="93"/>
      <c r="CRH28" s="30"/>
      <c r="CRM28" s="93"/>
      <c r="CRN28" s="30"/>
      <c r="CRS28" s="93"/>
      <c r="CRT28" s="30"/>
      <c r="CRY28" s="93"/>
      <c r="CRZ28" s="30"/>
      <c r="CSE28" s="93"/>
      <c r="CSF28" s="30"/>
      <c r="CSK28" s="93"/>
      <c r="CSL28" s="30"/>
      <c r="CSQ28" s="93"/>
      <c r="CSR28" s="30"/>
      <c r="CSW28" s="93"/>
      <c r="CSX28" s="30"/>
      <c r="CTC28" s="93"/>
      <c r="CTD28" s="30"/>
      <c r="CTI28" s="93"/>
      <c r="CTJ28" s="30"/>
      <c r="CTO28" s="93"/>
      <c r="CTP28" s="30"/>
      <c r="CTU28" s="93"/>
      <c r="CTV28" s="30"/>
      <c r="CUA28" s="93"/>
      <c r="CUB28" s="30"/>
      <c r="CUG28" s="93"/>
      <c r="CUH28" s="30"/>
      <c r="CUM28" s="93"/>
      <c r="CUN28" s="30"/>
      <c r="CUS28" s="93"/>
      <c r="CUT28" s="30"/>
      <c r="CUY28" s="93"/>
      <c r="CUZ28" s="30"/>
      <c r="CVE28" s="93"/>
      <c r="CVF28" s="30"/>
      <c r="CVK28" s="93"/>
      <c r="CVL28" s="30"/>
      <c r="CVQ28" s="93"/>
      <c r="CVR28" s="30"/>
      <c r="CVW28" s="93"/>
      <c r="CVX28" s="30"/>
      <c r="CWC28" s="93"/>
      <c r="CWD28" s="30"/>
      <c r="CWI28" s="93"/>
      <c r="CWJ28" s="30"/>
      <c r="CWO28" s="93"/>
      <c r="CWP28" s="30"/>
      <c r="CWU28" s="93"/>
      <c r="CWV28" s="30"/>
      <c r="CXA28" s="93"/>
      <c r="CXB28" s="30"/>
      <c r="CXG28" s="93"/>
      <c r="CXH28" s="30"/>
      <c r="CXM28" s="93"/>
      <c r="CXN28" s="30"/>
      <c r="CXS28" s="93"/>
      <c r="CXT28" s="30"/>
      <c r="CXY28" s="93"/>
      <c r="CXZ28" s="30"/>
      <c r="CYE28" s="93"/>
      <c r="CYF28" s="30"/>
      <c r="CYK28" s="93"/>
      <c r="CYL28" s="30"/>
      <c r="CYQ28" s="93"/>
      <c r="CYR28" s="30"/>
      <c r="CYW28" s="93"/>
      <c r="CYX28" s="30"/>
      <c r="CZC28" s="93"/>
      <c r="CZD28" s="30"/>
      <c r="CZI28" s="93"/>
      <c r="CZJ28" s="30"/>
      <c r="CZO28" s="93"/>
      <c r="CZP28" s="30"/>
      <c r="CZU28" s="93"/>
      <c r="CZV28" s="30"/>
      <c r="DAA28" s="93"/>
      <c r="DAB28" s="30"/>
      <c r="DAG28" s="93"/>
      <c r="DAH28" s="30"/>
      <c r="DAM28" s="93"/>
      <c r="DAN28" s="30"/>
      <c r="DAS28" s="93"/>
      <c r="DAT28" s="30"/>
      <c r="DAY28" s="93"/>
      <c r="DAZ28" s="30"/>
      <c r="DBE28" s="93"/>
      <c r="DBF28" s="30"/>
      <c r="DBK28" s="93"/>
      <c r="DBL28" s="30"/>
      <c r="DBQ28" s="93"/>
      <c r="DBR28" s="30"/>
      <c r="DBW28" s="93"/>
      <c r="DBX28" s="30"/>
      <c r="DCC28" s="93"/>
      <c r="DCD28" s="30"/>
      <c r="DCI28" s="93"/>
      <c r="DCJ28" s="30"/>
      <c r="DCO28" s="93"/>
      <c r="DCP28" s="30"/>
      <c r="DCU28" s="93"/>
      <c r="DCV28" s="30"/>
      <c r="DDA28" s="93"/>
      <c r="DDB28" s="30"/>
      <c r="DDG28" s="93"/>
      <c r="DDH28" s="30"/>
      <c r="DDM28" s="93"/>
      <c r="DDN28" s="30"/>
      <c r="DDS28" s="93"/>
      <c r="DDT28" s="30"/>
      <c r="DDY28" s="93"/>
      <c r="DDZ28" s="30"/>
      <c r="DEE28" s="93"/>
      <c r="DEF28" s="30"/>
      <c r="DEK28" s="93"/>
      <c r="DEL28" s="30"/>
      <c r="DEQ28" s="93"/>
      <c r="DER28" s="30"/>
      <c r="DEW28" s="93"/>
      <c r="DEX28" s="30"/>
      <c r="DFC28" s="93"/>
      <c r="DFD28" s="30"/>
      <c r="DFI28" s="93"/>
      <c r="DFJ28" s="30"/>
      <c r="DFO28" s="93"/>
      <c r="DFP28" s="30"/>
      <c r="DFU28" s="93"/>
      <c r="DFV28" s="30"/>
      <c r="DGA28" s="93"/>
      <c r="DGB28" s="30"/>
      <c r="DGG28" s="93"/>
      <c r="DGH28" s="30"/>
      <c r="DGM28" s="93"/>
      <c r="DGN28" s="30"/>
      <c r="DGS28" s="93"/>
      <c r="DGT28" s="30"/>
      <c r="DGY28" s="93"/>
      <c r="DGZ28" s="30"/>
      <c r="DHE28" s="93"/>
      <c r="DHF28" s="30"/>
      <c r="DHK28" s="93"/>
      <c r="DHL28" s="30"/>
      <c r="DHQ28" s="93"/>
      <c r="DHR28" s="30"/>
      <c r="DHW28" s="93"/>
      <c r="DHX28" s="30"/>
      <c r="DIC28" s="93"/>
      <c r="DID28" s="30"/>
      <c r="DII28" s="93"/>
      <c r="DIJ28" s="30"/>
      <c r="DIO28" s="93"/>
      <c r="DIP28" s="30"/>
      <c r="DIU28" s="93"/>
      <c r="DIV28" s="30"/>
      <c r="DJA28" s="93"/>
      <c r="DJB28" s="30"/>
      <c r="DJG28" s="93"/>
      <c r="DJH28" s="30"/>
      <c r="DJM28" s="93"/>
      <c r="DJN28" s="30"/>
      <c r="DJS28" s="93"/>
      <c r="DJT28" s="30"/>
      <c r="DJY28" s="93"/>
      <c r="DJZ28" s="30"/>
      <c r="DKE28" s="93"/>
      <c r="DKF28" s="30"/>
      <c r="DKK28" s="93"/>
      <c r="DKL28" s="30"/>
      <c r="DKQ28" s="93"/>
      <c r="DKR28" s="30"/>
      <c r="DKW28" s="93"/>
      <c r="DKX28" s="30"/>
      <c r="DLC28" s="93"/>
      <c r="DLD28" s="30"/>
      <c r="DLI28" s="93"/>
      <c r="DLJ28" s="30"/>
      <c r="DLO28" s="93"/>
      <c r="DLP28" s="30"/>
      <c r="DLU28" s="93"/>
      <c r="DLV28" s="30"/>
      <c r="DMA28" s="93"/>
      <c r="DMB28" s="30"/>
      <c r="DMG28" s="93"/>
      <c r="DMH28" s="30"/>
      <c r="DMM28" s="93"/>
      <c r="DMN28" s="30"/>
      <c r="DMS28" s="93"/>
      <c r="DMT28" s="30"/>
      <c r="DMY28" s="93"/>
      <c r="DMZ28" s="30"/>
      <c r="DNE28" s="93"/>
      <c r="DNF28" s="30"/>
      <c r="DNK28" s="93"/>
      <c r="DNL28" s="30"/>
      <c r="DNQ28" s="93"/>
      <c r="DNR28" s="30"/>
      <c r="DNW28" s="93"/>
      <c r="DNX28" s="30"/>
      <c r="DOC28" s="93"/>
      <c r="DOD28" s="30"/>
      <c r="DOI28" s="93"/>
      <c r="DOJ28" s="30"/>
      <c r="DOO28" s="93"/>
      <c r="DOP28" s="30"/>
      <c r="DOU28" s="93"/>
      <c r="DOV28" s="30"/>
      <c r="DPA28" s="93"/>
      <c r="DPB28" s="30"/>
      <c r="DPG28" s="93"/>
      <c r="DPH28" s="30"/>
      <c r="DPM28" s="93"/>
      <c r="DPN28" s="30"/>
      <c r="DPS28" s="93"/>
      <c r="DPT28" s="30"/>
      <c r="DPY28" s="93"/>
      <c r="DPZ28" s="30"/>
      <c r="DQE28" s="93"/>
      <c r="DQF28" s="30"/>
      <c r="DQK28" s="93"/>
      <c r="DQL28" s="30"/>
      <c r="DQQ28" s="93"/>
      <c r="DQR28" s="30"/>
      <c r="DQW28" s="93"/>
      <c r="DQX28" s="30"/>
      <c r="DRC28" s="93"/>
      <c r="DRD28" s="30"/>
      <c r="DRI28" s="93"/>
      <c r="DRJ28" s="30"/>
      <c r="DRO28" s="93"/>
      <c r="DRP28" s="30"/>
      <c r="DRU28" s="93"/>
      <c r="DRV28" s="30"/>
      <c r="DSA28" s="93"/>
      <c r="DSB28" s="30"/>
      <c r="DSG28" s="93"/>
      <c r="DSH28" s="30"/>
      <c r="DSM28" s="93"/>
      <c r="DSN28" s="30"/>
      <c r="DSS28" s="93"/>
      <c r="DST28" s="30"/>
      <c r="DSY28" s="93"/>
      <c r="DSZ28" s="30"/>
      <c r="DTE28" s="93"/>
      <c r="DTF28" s="30"/>
      <c r="DTK28" s="93"/>
      <c r="DTL28" s="30"/>
      <c r="DTQ28" s="93"/>
      <c r="DTR28" s="30"/>
      <c r="DTW28" s="93"/>
      <c r="DTX28" s="30"/>
      <c r="DUC28" s="93"/>
      <c r="DUD28" s="30"/>
      <c r="DUI28" s="93"/>
      <c r="DUJ28" s="30"/>
      <c r="DUO28" s="93"/>
      <c r="DUP28" s="30"/>
      <c r="DUU28" s="93"/>
      <c r="DUV28" s="30"/>
      <c r="DVA28" s="93"/>
      <c r="DVB28" s="30"/>
      <c r="DVG28" s="93"/>
      <c r="DVH28" s="30"/>
      <c r="DVM28" s="93"/>
      <c r="DVN28" s="30"/>
      <c r="DVS28" s="93"/>
      <c r="DVT28" s="30"/>
      <c r="DVY28" s="93"/>
      <c r="DVZ28" s="30"/>
      <c r="DWE28" s="93"/>
      <c r="DWF28" s="30"/>
      <c r="DWK28" s="93"/>
      <c r="DWL28" s="30"/>
      <c r="DWQ28" s="93"/>
      <c r="DWR28" s="30"/>
      <c r="DWW28" s="93"/>
      <c r="DWX28" s="30"/>
      <c r="DXC28" s="93"/>
      <c r="DXD28" s="30"/>
      <c r="DXI28" s="93"/>
      <c r="DXJ28" s="30"/>
      <c r="DXO28" s="93"/>
      <c r="DXP28" s="30"/>
      <c r="DXU28" s="93"/>
      <c r="DXV28" s="30"/>
      <c r="DYA28" s="93"/>
      <c r="DYB28" s="30"/>
      <c r="DYG28" s="93"/>
      <c r="DYH28" s="30"/>
      <c r="DYM28" s="93"/>
      <c r="DYN28" s="30"/>
      <c r="DYS28" s="93"/>
      <c r="DYT28" s="30"/>
      <c r="DYY28" s="93"/>
      <c r="DYZ28" s="30"/>
      <c r="DZE28" s="93"/>
      <c r="DZF28" s="30"/>
      <c r="DZK28" s="93"/>
      <c r="DZL28" s="30"/>
      <c r="DZQ28" s="93"/>
      <c r="DZR28" s="30"/>
      <c r="DZW28" s="93"/>
      <c r="DZX28" s="30"/>
      <c r="EAC28" s="93"/>
      <c r="EAD28" s="30"/>
      <c r="EAI28" s="93"/>
      <c r="EAJ28" s="30"/>
      <c r="EAO28" s="93"/>
      <c r="EAP28" s="30"/>
      <c r="EAU28" s="93"/>
      <c r="EAV28" s="30"/>
      <c r="EBA28" s="93"/>
      <c r="EBB28" s="30"/>
      <c r="EBG28" s="93"/>
      <c r="EBH28" s="30"/>
      <c r="EBM28" s="93"/>
      <c r="EBN28" s="30"/>
      <c r="EBS28" s="93"/>
      <c r="EBT28" s="30"/>
      <c r="EBY28" s="93"/>
      <c r="EBZ28" s="30"/>
      <c r="ECE28" s="93"/>
      <c r="ECF28" s="30"/>
      <c r="ECK28" s="93"/>
      <c r="ECL28" s="30"/>
      <c r="ECQ28" s="93"/>
      <c r="ECR28" s="30"/>
      <c r="ECW28" s="93"/>
      <c r="ECX28" s="30"/>
      <c r="EDC28" s="93"/>
      <c r="EDD28" s="30"/>
      <c r="EDI28" s="93"/>
      <c r="EDJ28" s="30"/>
      <c r="EDO28" s="93"/>
      <c r="EDP28" s="30"/>
      <c r="EDU28" s="93"/>
      <c r="EDV28" s="30"/>
      <c r="EEA28" s="93"/>
      <c r="EEB28" s="30"/>
      <c r="EEG28" s="93"/>
      <c r="EEH28" s="30"/>
      <c r="EEM28" s="93"/>
      <c r="EEN28" s="30"/>
      <c r="EES28" s="93"/>
      <c r="EET28" s="30"/>
      <c r="EEY28" s="93"/>
      <c r="EEZ28" s="30"/>
      <c r="EFE28" s="93"/>
      <c r="EFF28" s="30"/>
      <c r="EFK28" s="93"/>
      <c r="EFL28" s="30"/>
      <c r="EFQ28" s="93"/>
      <c r="EFR28" s="30"/>
      <c r="EFW28" s="93"/>
      <c r="EFX28" s="30"/>
      <c r="EGC28" s="93"/>
      <c r="EGD28" s="30"/>
      <c r="EGI28" s="93"/>
      <c r="EGJ28" s="30"/>
      <c r="EGO28" s="93"/>
      <c r="EGP28" s="30"/>
      <c r="EGU28" s="93"/>
      <c r="EGV28" s="30"/>
      <c r="EHA28" s="93"/>
      <c r="EHB28" s="30"/>
      <c r="EHG28" s="93"/>
      <c r="EHH28" s="30"/>
      <c r="EHM28" s="93"/>
      <c r="EHN28" s="30"/>
      <c r="EHS28" s="93"/>
      <c r="EHT28" s="30"/>
      <c r="EHY28" s="93"/>
      <c r="EHZ28" s="30"/>
      <c r="EIE28" s="93"/>
      <c r="EIF28" s="30"/>
      <c r="EIK28" s="93"/>
      <c r="EIL28" s="30"/>
      <c r="EIQ28" s="93"/>
      <c r="EIR28" s="30"/>
      <c r="EIW28" s="93"/>
      <c r="EIX28" s="30"/>
      <c r="EJC28" s="93"/>
      <c r="EJD28" s="30"/>
      <c r="EJI28" s="93"/>
      <c r="EJJ28" s="30"/>
      <c r="EJO28" s="93"/>
      <c r="EJP28" s="30"/>
      <c r="EJU28" s="93"/>
      <c r="EJV28" s="30"/>
      <c r="EKA28" s="93"/>
      <c r="EKB28" s="30"/>
      <c r="EKG28" s="93"/>
      <c r="EKH28" s="30"/>
      <c r="EKM28" s="93"/>
      <c r="EKN28" s="30"/>
      <c r="EKS28" s="93"/>
      <c r="EKT28" s="30"/>
      <c r="EKY28" s="93"/>
      <c r="EKZ28" s="30"/>
      <c r="ELE28" s="93"/>
      <c r="ELF28" s="30"/>
      <c r="ELK28" s="93"/>
      <c r="ELL28" s="30"/>
      <c r="ELQ28" s="93"/>
      <c r="ELR28" s="30"/>
      <c r="ELW28" s="93"/>
      <c r="ELX28" s="30"/>
      <c r="EMC28" s="93"/>
      <c r="EMD28" s="30"/>
      <c r="EMI28" s="93"/>
      <c r="EMJ28" s="30"/>
      <c r="EMO28" s="93"/>
      <c r="EMP28" s="30"/>
      <c r="EMU28" s="93"/>
      <c r="EMV28" s="30"/>
      <c r="ENA28" s="93"/>
      <c r="ENB28" s="30"/>
      <c r="ENG28" s="93"/>
      <c r="ENH28" s="30"/>
      <c r="ENM28" s="93"/>
      <c r="ENN28" s="30"/>
      <c r="ENS28" s="93"/>
      <c r="ENT28" s="30"/>
      <c r="ENY28" s="93"/>
      <c r="ENZ28" s="30"/>
      <c r="EOE28" s="93"/>
      <c r="EOF28" s="30"/>
      <c r="EOK28" s="93"/>
      <c r="EOL28" s="30"/>
      <c r="EOQ28" s="93"/>
      <c r="EOR28" s="30"/>
      <c r="EOW28" s="93"/>
      <c r="EOX28" s="30"/>
      <c r="EPC28" s="93"/>
      <c r="EPD28" s="30"/>
      <c r="EPI28" s="93"/>
      <c r="EPJ28" s="30"/>
      <c r="EPO28" s="93"/>
      <c r="EPP28" s="30"/>
      <c r="EPU28" s="93"/>
      <c r="EPV28" s="30"/>
      <c r="EQA28" s="93"/>
      <c r="EQB28" s="30"/>
      <c r="EQG28" s="93"/>
      <c r="EQH28" s="30"/>
      <c r="EQM28" s="93"/>
      <c r="EQN28" s="30"/>
      <c r="EQS28" s="93"/>
      <c r="EQT28" s="30"/>
      <c r="EQY28" s="93"/>
      <c r="EQZ28" s="30"/>
      <c r="ERE28" s="93"/>
      <c r="ERF28" s="30"/>
      <c r="ERK28" s="93"/>
      <c r="ERL28" s="30"/>
      <c r="ERQ28" s="93"/>
      <c r="ERR28" s="30"/>
      <c r="ERW28" s="93"/>
      <c r="ERX28" s="30"/>
      <c r="ESC28" s="93"/>
      <c r="ESD28" s="30"/>
      <c r="ESI28" s="93"/>
      <c r="ESJ28" s="30"/>
      <c r="ESO28" s="93"/>
      <c r="ESP28" s="30"/>
      <c r="ESU28" s="93"/>
      <c r="ESV28" s="30"/>
      <c r="ETA28" s="93"/>
      <c r="ETB28" s="30"/>
      <c r="ETG28" s="93"/>
      <c r="ETH28" s="30"/>
      <c r="ETM28" s="93"/>
      <c r="ETN28" s="30"/>
      <c r="ETS28" s="93"/>
      <c r="ETT28" s="30"/>
      <c r="ETY28" s="93"/>
      <c r="ETZ28" s="30"/>
      <c r="EUE28" s="93"/>
      <c r="EUF28" s="30"/>
      <c r="EUK28" s="93"/>
      <c r="EUL28" s="30"/>
      <c r="EUQ28" s="93"/>
      <c r="EUR28" s="30"/>
      <c r="EUW28" s="93"/>
      <c r="EUX28" s="30"/>
      <c r="EVC28" s="93"/>
      <c r="EVD28" s="30"/>
      <c r="EVI28" s="93"/>
      <c r="EVJ28" s="30"/>
      <c r="EVO28" s="93"/>
      <c r="EVP28" s="30"/>
      <c r="EVU28" s="93"/>
      <c r="EVV28" s="30"/>
      <c r="EWA28" s="93"/>
      <c r="EWB28" s="30"/>
      <c r="EWG28" s="93"/>
      <c r="EWH28" s="30"/>
      <c r="EWM28" s="93"/>
      <c r="EWN28" s="30"/>
      <c r="EWS28" s="93"/>
      <c r="EWT28" s="30"/>
      <c r="EWY28" s="93"/>
      <c r="EWZ28" s="30"/>
      <c r="EXE28" s="93"/>
      <c r="EXF28" s="30"/>
      <c r="EXK28" s="93"/>
      <c r="EXL28" s="30"/>
      <c r="EXQ28" s="93"/>
      <c r="EXR28" s="30"/>
      <c r="EXW28" s="93"/>
      <c r="EXX28" s="30"/>
      <c r="EYC28" s="93"/>
      <c r="EYD28" s="30"/>
      <c r="EYI28" s="93"/>
      <c r="EYJ28" s="30"/>
      <c r="EYO28" s="93"/>
      <c r="EYP28" s="30"/>
      <c r="EYU28" s="93"/>
      <c r="EYV28" s="30"/>
      <c r="EZA28" s="93"/>
      <c r="EZB28" s="30"/>
      <c r="EZG28" s="93"/>
      <c r="EZH28" s="30"/>
      <c r="EZM28" s="93"/>
      <c r="EZN28" s="30"/>
      <c r="EZS28" s="93"/>
      <c r="EZT28" s="30"/>
      <c r="EZY28" s="93"/>
      <c r="EZZ28" s="30"/>
      <c r="FAE28" s="93"/>
      <c r="FAF28" s="30"/>
      <c r="FAK28" s="93"/>
      <c r="FAL28" s="30"/>
      <c r="FAQ28" s="93"/>
      <c r="FAR28" s="30"/>
      <c r="FAW28" s="93"/>
      <c r="FAX28" s="30"/>
      <c r="FBC28" s="93"/>
      <c r="FBD28" s="30"/>
      <c r="FBI28" s="93"/>
      <c r="FBJ28" s="30"/>
      <c r="FBO28" s="93"/>
      <c r="FBP28" s="30"/>
      <c r="FBU28" s="93"/>
      <c r="FBV28" s="30"/>
      <c r="FCA28" s="93"/>
      <c r="FCB28" s="30"/>
      <c r="FCG28" s="93"/>
      <c r="FCH28" s="30"/>
      <c r="FCM28" s="93"/>
      <c r="FCN28" s="30"/>
      <c r="FCS28" s="93"/>
      <c r="FCT28" s="30"/>
      <c r="FCY28" s="93"/>
      <c r="FCZ28" s="30"/>
      <c r="FDE28" s="93"/>
      <c r="FDF28" s="30"/>
      <c r="FDK28" s="93"/>
      <c r="FDL28" s="30"/>
      <c r="FDQ28" s="93"/>
      <c r="FDR28" s="30"/>
      <c r="FDW28" s="93"/>
      <c r="FDX28" s="30"/>
      <c r="FEC28" s="93"/>
      <c r="FED28" s="30"/>
      <c r="FEI28" s="93"/>
      <c r="FEJ28" s="30"/>
      <c r="FEO28" s="93"/>
      <c r="FEP28" s="30"/>
      <c r="FEU28" s="93"/>
      <c r="FEV28" s="30"/>
      <c r="FFA28" s="93"/>
      <c r="FFB28" s="30"/>
      <c r="FFG28" s="93"/>
      <c r="FFH28" s="30"/>
      <c r="FFM28" s="93"/>
      <c r="FFN28" s="30"/>
      <c r="FFS28" s="93"/>
      <c r="FFT28" s="30"/>
      <c r="FFY28" s="93"/>
      <c r="FFZ28" s="30"/>
      <c r="FGE28" s="93"/>
      <c r="FGF28" s="30"/>
      <c r="FGK28" s="93"/>
      <c r="FGL28" s="30"/>
      <c r="FGQ28" s="93"/>
      <c r="FGR28" s="30"/>
      <c r="FGW28" s="93"/>
      <c r="FGX28" s="30"/>
      <c r="FHC28" s="93"/>
      <c r="FHD28" s="30"/>
      <c r="FHI28" s="93"/>
      <c r="FHJ28" s="30"/>
      <c r="FHO28" s="93"/>
      <c r="FHP28" s="30"/>
      <c r="FHU28" s="93"/>
      <c r="FHV28" s="30"/>
      <c r="FIA28" s="93"/>
      <c r="FIB28" s="30"/>
      <c r="FIG28" s="93"/>
      <c r="FIH28" s="30"/>
      <c r="FIM28" s="93"/>
      <c r="FIN28" s="30"/>
      <c r="FIS28" s="93"/>
      <c r="FIT28" s="30"/>
      <c r="FIY28" s="93"/>
      <c r="FIZ28" s="30"/>
      <c r="FJE28" s="93"/>
      <c r="FJF28" s="30"/>
      <c r="FJK28" s="93"/>
      <c r="FJL28" s="30"/>
      <c r="FJQ28" s="93"/>
      <c r="FJR28" s="30"/>
      <c r="FJW28" s="93"/>
      <c r="FJX28" s="30"/>
      <c r="FKC28" s="93"/>
      <c r="FKD28" s="30"/>
      <c r="FKI28" s="93"/>
      <c r="FKJ28" s="30"/>
      <c r="FKO28" s="93"/>
      <c r="FKP28" s="30"/>
      <c r="FKU28" s="93"/>
      <c r="FKV28" s="30"/>
      <c r="FLA28" s="93"/>
      <c r="FLB28" s="30"/>
      <c r="FLG28" s="93"/>
      <c r="FLH28" s="30"/>
      <c r="FLM28" s="93"/>
      <c r="FLN28" s="30"/>
      <c r="FLS28" s="93"/>
      <c r="FLT28" s="30"/>
      <c r="FLY28" s="93"/>
      <c r="FLZ28" s="30"/>
      <c r="FME28" s="93"/>
      <c r="FMF28" s="30"/>
      <c r="FMK28" s="93"/>
      <c r="FML28" s="30"/>
      <c r="FMQ28" s="93"/>
      <c r="FMR28" s="30"/>
      <c r="FMW28" s="93"/>
      <c r="FMX28" s="30"/>
      <c r="FNC28" s="93"/>
      <c r="FND28" s="30"/>
      <c r="FNI28" s="93"/>
      <c r="FNJ28" s="30"/>
      <c r="FNO28" s="93"/>
      <c r="FNP28" s="30"/>
      <c r="FNU28" s="93"/>
      <c r="FNV28" s="30"/>
      <c r="FOA28" s="93"/>
      <c r="FOB28" s="30"/>
      <c r="FOG28" s="93"/>
      <c r="FOH28" s="30"/>
      <c r="FOM28" s="93"/>
      <c r="FON28" s="30"/>
      <c r="FOS28" s="93"/>
      <c r="FOT28" s="30"/>
      <c r="FOY28" s="93"/>
      <c r="FOZ28" s="30"/>
      <c r="FPE28" s="93"/>
      <c r="FPF28" s="30"/>
      <c r="FPK28" s="93"/>
      <c r="FPL28" s="30"/>
      <c r="FPQ28" s="93"/>
      <c r="FPR28" s="30"/>
      <c r="FPW28" s="93"/>
      <c r="FPX28" s="30"/>
      <c r="FQC28" s="93"/>
      <c r="FQD28" s="30"/>
      <c r="FQI28" s="93"/>
      <c r="FQJ28" s="30"/>
      <c r="FQO28" s="93"/>
      <c r="FQP28" s="30"/>
      <c r="FQU28" s="93"/>
      <c r="FQV28" s="30"/>
      <c r="FRA28" s="93"/>
      <c r="FRB28" s="30"/>
      <c r="FRG28" s="93"/>
      <c r="FRH28" s="30"/>
      <c r="FRM28" s="93"/>
      <c r="FRN28" s="30"/>
      <c r="FRS28" s="93"/>
      <c r="FRT28" s="30"/>
      <c r="FRY28" s="93"/>
      <c r="FRZ28" s="30"/>
      <c r="FSE28" s="93"/>
      <c r="FSF28" s="30"/>
      <c r="FSK28" s="93"/>
      <c r="FSL28" s="30"/>
      <c r="FSQ28" s="93"/>
      <c r="FSR28" s="30"/>
      <c r="FSW28" s="93"/>
      <c r="FSX28" s="30"/>
      <c r="FTC28" s="93"/>
      <c r="FTD28" s="30"/>
      <c r="FTI28" s="93"/>
      <c r="FTJ28" s="30"/>
      <c r="FTO28" s="93"/>
      <c r="FTP28" s="30"/>
      <c r="FTU28" s="93"/>
      <c r="FTV28" s="30"/>
      <c r="FUA28" s="93"/>
      <c r="FUB28" s="30"/>
      <c r="FUG28" s="93"/>
      <c r="FUH28" s="30"/>
      <c r="FUM28" s="93"/>
      <c r="FUN28" s="30"/>
      <c r="FUS28" s="93"/>
      <c r="FUT28" s="30"/>
      <c r="FUY28" s="93"/>
      <c r="FUZ28" s="30"/>
      <c r="FVE28" s="93"/>
      <c r="FVF28" s="30"/>
      <c r="FVK28" s="93"/>
      <c r="FVL28" s="30"/>
      <c r="FVQ28" s="93"/>
      <c r="FVR28" s="30"/>
      <c r="FVW28" s="93"/>
      <c r="FVX28" s="30"/>
      <c r="FWC28" s="93"/>
      <c r="FWD28" s="30"/>
      <c r="FWI28" s="93"/>
      <c r="FWJ28" s="30"/>
      <c r="FWO28" s="93"/>
      <c r="FWP28" s="30"/>
      <c r="FWU28" s="93"/>
      <c r="FWV28" s="30"/>
      <c r="FXA28" s="93"/>
      <c r="FXB28" s="30"/>
      <c r="FXG28" s="93"/>
      <c r="FXH28" s="30"/>
      <c r="FXM28" s="93"/>
      <c r="FXN28" s="30"/>
      <c r="FXS28" s="93"/>
      <c r="FXT28" s="30"/>
      <c r="FXY28" s="93"/>
      <c r="FXZ28" s="30"/>
      <c r="FYE28" s="93"/>
      <c r="FYF28" s="30"/>
      <c r="FYK28" s="93"/>
      <c r="FYL28" s="30"/>
      <c r="FYQ28" s="93"/>
      <c r="FYR28" s="30"/>
      <c r="FYW28" s="93"/>
      <c r="FYX28" s="30"/>
      <c r="FZC28" s="93"/>
      <c r="FZD28" s="30"/>
      <c r="FZI28" s="93"/>
      <c r="FZJ28" s="30"/>
      <c r="FZO28" s="93"/>
      <c r="FZP28" s="30"/>
      <c r="FZU28" s="93"/>
      <c r="FZV28" s="30"/>
      <c r="GAA28" s="93"/>
      <c r="GAB28" s="30"/>
      <c r="GAG28" s="93"/>
      <c r="GAH28" s="30"/>
      <c r="GAM28" s="93"/>
      <c r="GAN28" s="30"/>
      <c r="GAS28" s="93"/>
      <c r="GAT28" s="30"/>
      <c r="GAY28" s="93"/>
      <c r="GAZ28" s="30"/>
      <c r="GBE28" s="93"/>
      <c r="GBF28" s="30"/>
      <c r="GBK28" s="93"/>
      <c r="GBL28" s="30"/>
      <c r="GBQ28" s="93"/>
      <c r="GBR28" s="30"/>
      <c r="GBW28" s="93"/>
      <c r="GBX28" s="30"/>
      <c r="GCC28" s="93"/>
      <c r="GCD28" s="30"/>
      <c r="GCI28" s="93"/>
      <c r="GCJ28" s="30"/>
      <c r="GCO28" s="93"/>
      <c r="GCP28" s="30"/>
      <c r="GCU28" s="93"/>
      <c r="GCV28" s="30"/>
      <c r="GDA28" s="93"/>
      <c r="GDB28" s="30"/>
      <c r="GDG28" s="93"/>
      <c r="GDH28" s="30"/>
      <c r="GDM28" s="93"/>
      <c r="GDN28" s="30"/>
      <c r="GDS28" s="93"/>
      <c r="GDT28" s="30"/>
      <c r="GDY28" s="93"/>
      <c r="GDZ28" s="30"/>
      <c r="GEE28" s="93"/>
      <c r="GEF28" s="30"/>
      <c r="GEK28" s="93"/>
      <c r="GEL28" s="30"/>
      <c r="GEQ28" s="93"/>
      <c r="GER28" s="30"/>
      <c r="GEW28" s="93"/>
      <c r="GEX28" s="30"/>
      <c r="GFC28" s="93"/>
      <c r="GFD28" s="30"/>
      <c r="GFI28" s="93"/>
      <c r="GFJ28" s="30"/>
      <c r="GFO28" s="93"/>
      <c r="GFP28" s="30"/>
      <c r="GFU28" s="93"/>
      <c r="GFV28" s="30"/>
      <c r="GGA28" s="93"/>
      <c r="GGB28" s="30"/>
      <c r="GGG28" s="93"/>
      <c r="GGH28" s="30"/>
      <c r="GGM28" s="93"/>
      <c r="GGN28" s="30"/>
      <c r="GGS28" s="93"/>
      <c r="GGT28" s="30"/>
      <c r="GGY28" s="93"/>
      <c r="GGZ28" s="30"/>
      <c r="GHE28" s="93"/>
      <c r="GHF28" s="30"/>
      <c r="GHK28" s="93"/>
      <c r="GHL28" s="30"/>
      <c r="GHQ28" s="93"/>
      <c r="GHR28" s="30"/>
      <c r="GHW28" s="93"/>
      <c r="GHX28" s="30"/>
      <c r="GIC28" s="93"/>
      <c r="GID28" s="30"/>
      <c r="GII28" s="93"/>
      <c r="GIJ28" s="30"/>
      <c r="GIO28" s="93"/>
      <c r="GIP28" s="30"/>
      <c r="GIU28" s="93"/>
      <c r="GIV28" s="30"/>
      <c r="GJA28" s="93"/>
      <c r="GJB28" s="30"/>
      <c r="GJG28" s="93"/>
      <c r="GJH28" s="30"/>
      <c r="GJM28" s="93"/>
      <c r="GJN28" s="30"/>
      <c r="GJS28" s="93"/>
      <c r="GJT28" s="30"/>
      <c r="GJY28" s="93"/>
      <c r="GJZ28" s="30"/>
      <c r="GKE28" s="93"/>
      <c r="GKF28" s="30"/>
      <c r="GKK28" s="93"/>
      <c r="GKL28" s="30"/>
      <c r="GKQ28" s="93"/>
      <c r="GKR28" s="30"/>
      <c r="GKW28" s="93"/>
      <c r="GKX28" s="30"/>
      <c r="GLC28" s="93"/>
      <c r="GLD28" s="30"/>
      <c r="GLI28" s="93"/>
      <c r="GLJ28" s="30"/>
      <c r="GLO28" s="93"/>
      <c r="GLP28" s="30"/>
      <c r="GLU28" s="93"/>
      <c r="GLV28" s="30"/>
      <c r="GMA28" s="93"/>
      <c r="GMB28" s="30"/>
      <c r="GMG28" s="93"/>
      <c r="GMH28" s="30"/>
      <c r="GMM28" s="93"/>
      <c r="GMN28" s="30"/>
      <c r="GMS28" s="93"/>
      <c r="GMT28" s="30"/>
      <c r="GMY28" s="93"/>
      <c r="GMZ28" s="30"/>
      <c r="GNE28" s="93"/>
      <c r="GNF28" s="30"/>
      <c r="GNK28" s="93"/>
      <c r="GNL28" s="30"/>
      <c r="GNQ28" s="93"/>
      <c r="GNR28" s="30"/>
      <c r="GNW28" s="93"/>
      <c r="GNX28" s="30"/>
      <c r="GOC28" s="93"/>
      <c r="GOD28" s="30"/>
      <c r="GOI28" s="93"/>
      <c r="GOJ28" s="30"/>
      <c r="GOO28" s="93"/>
      <c r="GOP28" s="30"/>
      <c r="GOU28" s="93"/>
      <c r="GOV28" s="30"/>
      <c r="GPA28" s="93"/>
      <c r="GPB28" s="30"/>
      <c r="GPG28" s="93"/>
      <c r="GPH28" s="30"/>
      <c r="GPM28" s="93"/>
      <c r="GPN28" s="30"/>
      <c r="GPS28" s="93"/>
      <c r="GPT28" s="30"/>
      <c r="GPY28" s="93"/>
      <c r="GPZ28" s="30"/>
      <c r="GQE28" s="93"/>
      <c r="GQF28" s="30"/>
      <c r="GQK28" s="93"/>
      <c r="GQL28" s="30"/>
      <c r="GQQ28" s="93"/>
      <c r="GQR28" s="30"/>
      <c r="GQW28" s="93"/>
      <c r="GQX28" s="30"/>
      <c r="GRC28" s="93"/>
      <c r="GRD28" s="30"/>
      <c r="GRI28" s="93"/>
      <c r="GRJ28" s="30"/>
      <c r="GRO28" s="93"/>
      <c r="GRP28" s="30"/>
      <c r="GRU28" s="93"/>
      <c r="GRV28" s="30"/>
      <c r="GSA28" s="93"/>
      <c r="GSB28" s="30"/>
      <c r="GSG28" s="93"/>
      <c r="GSH28" s="30"/>
      <c r="GSM28" s="93"/>
      <c r="GSN28" s="30"/>
      <c r="GSS28" s="93"/>
      <c r="GST28" s="30"/>
      <c r="GSY28" s="93"/>
      <c r="GSZ28" s="30"/>
      <c r="GTE28" s="93"/>
      <c r="GTF28" s="30"/>
      <c r="GTK28" s="93"/>
      <c r="GTL28" s="30"/>
      <c r="GTQ28" s="93"/>
      <c r="GTR28" s="30"/>
      <c r="GTW28" s="93"/>
      <c r="GTX28" s="30"/>
      <c r="GUC28" s="93"/>
      <c r="GUD28" s="30"/>
      <c r="GUI28" s="93"/>
      <c r="GUJ28" s="30"/>
      <c r="GUO28" s="93"/>
      <c r="GUP28" s="30"/>
      <c r="GUU28" s="93"/>
      <c r="GUV28" s="30"/>
      <c r="GVA28" s="93"/>
      <c r="GVB28" s="30"/>
      <c r="GVG28" s="93"/>
      <c r="GVH28" s="30"/>
      <c r="GVM28" s="93"/>
      <c r="GVN28" s="30"/>
      <c r="GVS28" s="93"/>
      <c r="GVT28" s="30"/>
      <c r="GVY28" s="93"/>
      <c r="GVZ28" s="30"/>
      <c r="GWE28" s="93"/>
      <c r="GWF28" s="30"/>
      <c r="GWK28" s="93"/>
      <c r="GWL28" s="30"/>
      <c r="GWQ28" s="93"/>
      <c r="GWR28" s="30"/>
      <c r="GWW28" s="93"/>
      <c r="GWX28" s="30"/>
      <c r="GXC28" s="93"/>
      <c r="GXD28" s="30"/>
      <c r="GXI28" s="93"/>
      <c r="GXJ28" s="30"/>
      <c r="GXO28" s="93"/>
      <c r="GXP28" s="30"/>
      <c r="GXU28" s="93"/>
      <c r="GXV28" s="30"/>
      <c r="GYA28" s="93"/>
      <c r="GYB28" s="30"/>
      <c r="GYG28" s="93"/>
      <c r="GYH28" s="30"/>
      <c r="GYM28" s="93"/>
      <c r="GYN28" s="30"/>
      <c r="GYS28" s="93"/>
      <c r="GYT28" s="30"/>
      <c r="GYY28" s="93"/>
      <c r="GYZ28" s="30"/>
      <c r="GZE28" s="93"/>
      <c r="GZF28" s="30"/>
      <c r="GZK28" s="93"/>
      <c r="GZL28" s="30"/>
      <c r="GZQ28" s="93"/>
      <c r="GZR28" s="30"/>
      <c r="GZW28" s="93"/>
      <c r="GZX28" s="30"/>
      <c r="HAC28" s="93"/>
      <c r="HAD28" s="30"/>
      <c r="HAI28" s="93"/>
      <c r="HAJ28" s="30"/>
      <c r="HAO28" s="93"/>
      <c r="HAP28" s="30"/>
      <c r="HAU28" s="93"/>
      <c r="HAV28" s="30"/>
      <c r="HBA28" s="93"/>
      <c r="HBB28" s="30"/>
      <c r="HBG28" s="93"/>
      <c r="HBH28" s="30"/>
      <c r="HBM28" s="93"/>
      <c r="HBN28" s="30"/>
      <c r="HBS28" s="93"/>
      <c r="HBT28" s="30"/>
      <c r="HBY28" s="93"/>
      <c r="HBZ28" s="30"/>
      <c r="HCE28" s="93"/>
      <c r="HCF28" s="30"/>
      <c r="HCK28" s="93"/>
      <c r="HCL28" s="30"/>
      <c r="HCQ28" s="93"/>
      <c r="HCR28" s="30"/>
      <c r="HCW28" s="93"/>
      <c r="HCX28" s="30"/>
      <c r="HDC28" s="93"/>
      <c r="HDD28" s="30"/>
      <c r="HDI28" s="93"/>
      <c r="HDJ28" s="30"/>
      <c r="HDO28" s="93"/>
      <c r="HDP28" s="30"/>
      <c r="HDU28" s="93"/>
      <c r="HDV28" s="30"/>
      <c r="HEA28" s="93"/>
      <c r="HEB28" s="30"/>
      <c r="HEG28" s="93"/>
      <c r="HEH28" s="30"/>
      <c r="HEM28" s="93"/>
      <c r="HEN28" s="30"/>
      <c r="HES28" s="93"/>
      <c r="HET28" s="30"/>
      <c r="HEY28" s="93"/>
      <c r="HEZ28" s="30"/>
      <c r="HFE28" s="93"/>
      <c r="HFF28" s="30"/>
      <c r="HFK28" s="93"/>
      <c r="HFL28" s="30"/>
      <c r="HFQ28" s="93"/>
      <c r="HFR28" s="30"/>
      <c r="HFW28" s="93"/>
      <c r="HFX28" s="30"/>
      <c r="HGC28" s="93"/>
      <c r="HGD28" s="30"/>
      <c r="HGI28" s="93"/>
      <c r="HGJ28" s="30"/>
      <c r="HGO28" s="93"/>
      <c r="HGP28" s="30"/>
      <c r="HGU28" s="93"/>
      <c r="HGV28" s="30"/>
      <c r="HHA28" s="93"/>
      <c r="HHB28" s="30"/>
      <c r="HHG28" s="93"/>
      <c r="HHH28" s="30"/>
      <c r="HHM28" s="93"/>
      <c r="HHN28" s="30"/>
      <c r="HHS28" s="93"/>
      <c r="HHT28" s="30"/>
      <c r="HHY28" s="93"/>
      <c r="HHZ28" s="30"/>
      <c r="HIE28" s="93"/>
      <c r="HIF28" s="30"/>
      <c r="HIK28" s="93"/>
      <c r="HIL28" s="30"/>
      <c r="HIQ28" s="93"/>
      <c r="HIR28" s="30"/>
      <c r="HIW28" s="93"/>
      <c r="HIX28" s="30"/>
      <c r="HJC28" s="93"/>
      <c r="HJD28" s="30"/>
      <c r="HJI28" s="93"/>
      <c r="HJJ28" s="30"/>
      <c r="HJO28" s="93"/>
      <c r="HJP28" s="30"/>
      <c r="HJU28" s="93"/>
      <c r="HJV28" s="30"/>
      <c r="HKA28" s="93"/>
      <c r="HKB28" s="30"/>
      <c r="HKG28" s="93"/>
      <c r="HKH28" s="30"/>
      <c r="HKM28" s="93"/>
      <c r="HKN28" s="30"/>
      <c r="HKS28" s="93"/>
      <c r="HKT28" s="30"/>
      <c r="HKY28" s="93"/>
      <c r="HKZ28" s="30"/>
      <c r="HLE28" s="93"/>
      <c r="HLF28" s="30"/>
      <c r="HLK28" s="93"/>
      <c r="HLL28" s="30"/>
      <c r="HLQ28" s="93"/>
      <c r="HLR28" s="30"/>
      <c r="HLW28" s="93"/>
      <c r="HLX28" s="30"/>
      <c r="HMC28" s="93"/>
      <c r="HMD28" s="30"/>
      <c r="HMI28" s="93"/>
      <c r="HMJ28" s="30"/>
      <c r="HMO28" s="93"/>
      <c r="HMP28" s="30"/>
      <c r="HMU28" s="93"/>
      <c r="HMV28" s="30"/>
      <c r="HNA28" s="93"/>
      <c r="HNB28" s="30"/>
      <c r="HNG28" s="93"/>
      <c r="HNH28" s="30"/>
      <c r="HNM28" s="93"/>
      <c r="HNN28" s="30"/>
      <c r="HNS28" s="93"/>
      <c r="HNT28" s="30"/>
      <c r="HNY28" s="93"/>
      <c r="HNZ28" s="30"/>
      <c r="HOE28" s="93"/>
      <c r="HOF28" s="30"/>
      <c r="HOK28" s="93"/>
      <c r="HOL28" s="30"/>
      <c r="HOQ28" s="93"/>
      <c r="HOR28" s="30"/>
      <c r="HOW28" s="93"/>
      <c r="HOX28" s="30"/>
      <c r="HPC28" s="93"/>
      <c r="HPD28" s="30"/>
      <c r="HPI28" s="93"/>
      <c r="HPJ28" s="30"/>
      <c r="HPO28" s="93"/>
      <c r="HPP28" s="30"/>
      <c r="HPU28" s="93"/>
      <c r="HPV28" s="30"/>
      <c r="HQA28" s="93"/>
      <c r="HQB28" s="30"/>
      <c r="HQG28" s="93"/>
      <c r="HQH28" s="30"/>
      <c r="HQM28" s="93"/>
      <c r="HQN28" s="30"/>
      <c r="HQS28" s="93"/>
      <c r="HQT28" s="30"/>
      <c r="HQY28" s="93"/>
      <c r="HQZ28" s="30"/>
      <c r="HRE28" s="93"/>
      <c r="HRF28" s="30"/>
      <c r="HRK28" s="93"/>
      <c r="HRL28" s="30"/>
      <c r="HRQ28" s="93"/>
      <c r="HRR28" s="30"/>
      <c r="HRW28" s="93"/>
      <c r="HRX28" s="30"/>
      <c r="HSC28" s="93"/>
      <c r="HSD28" s="30"/>
      <c r="HSI28" s="93"/>
      <c r="HSJ28" s="30"/>
      <c r="HSO28" s="93"/>
      <c r="HSP28" s="30"/>
      <c r="HSU28" s="93"/>
      <c r="HSV28" s="30"/>
      <c r="HTA28" s="93"/>
      <c r="HTB28" s="30"/>
      <c r="HTG28" s="93"/>
      <c r="HTH28" s="30"/>
      <c r="HTM28" s="93"/>
      <c r="HTN28" s="30"/>
      <c r="HTS28" s="93"/>
      <c r="HTT28" s="30"/>
      <c r="HTY28" s="93"/>
      <c r="HTZ28" s="30"/>
      <c r="HUE28" s="93"/>
      <c r="HUF28" s="30"/>
      <c r="HUK28" s="93"/>
      <c r="HUL28" s="30"/>
      <c r="HUQ28" s="93"/>
      <c r="HUR28" s="30"/>
      <c r="HUW28" s="93"/>
      <c r="HUX28" s="30"/>
      <c r="HVC28" s="93"/>
      <c r="HVD28" s="30"/>
      <c r="HVI28" s="93"/>
      <c r="HVJ28" s="30"/>
      <c r="HVO28" s="93"/>
      <c r="HVP28" s="30"/>
      <c r="HVU28" s="93"/>
      <c r="HVV28" s="30"/>
      <c r="HWA28" s="93"/>
      <c r="HWB28" s="30"/>
      <c r="HWG28" s="93"/>
      <c r="HWH28" s="30"/>
      <c r="HWM28" s="93"/>
      <c r="HWN28" s="30"/>
      <c r="HWS28" s="93"/>
      <c r="HWT28" s="30"/>
      <c r="HWY28" s="93"/>
      <c r="HWZ28" s="30"/>
      <c r="HXE28" s="93"/>
      <c r="HXF28" s="30"/>
      <c r="HXK28" s="93"/>
      <c r="HXL28" s="30"/>
      <c r="HXQ28" s="93"/>
      <c r="HXR28" s="30"/>
      <c r="HXW28" s="93"/>
      <c r="HXX28" s="30"/>
      <c r="HYC28" s="93"/>
      <c r="HYD28" s="30"/>
      <c r="HYI28" s="93"/>
      <c r="HYJ28" s="30"/>
      <c r="HYO28" s="93"/>
      <c r="HYP28" s="30"/>
      <c r="HYU28" s="93"/>
      <c r="HYV28" s="30"/>
      <c r="HZA28" s="93"/>
      <c r="HZB28" s="30"/>
      <c r="HZG28" s="93"/>
      <c r="HZH28" s="30"/>
      <c r="HZM28" s="93"/>
      <c r="HZN28" s="30"/>
      <c r="HZS28" s="93"/>
      <c r="HZT28" s="30"/>
      <c r="HZY28" s="93"/>
      <c r="HZZ28" s="30"/>
      <c r="IAE28" s="93"/>
      <c r="IAF28" s="30"/>
      <c r="IAK28" s="93"/>
      <c r="IAL28" s="30"/>
      <c r="IAQ28" s="93"/>
      <c r="IAR28" s="30"/>
      <c r="IAW28" s="93"/>
      <c r="IAX28" s="30"/>
      <c r="IBC28" s="93"/>
      <c r="IBD28" s="30"/>
      <c r="IBI28" s="93"/>
      <c r="IBJ28" s="30"/>
      <c r="IBO28" s="93"/>
      <c r="IBP28" s="30"/>
      <c r="IBU28" s="93"/>
      <c r="IBV28" s="30"/>
      <c r="ICA28" s="93"/>
      <c r="ICB28" s="30"/>
      <c r="ICG28" s="93"/>
      <c r="ICH28" s="30"/>
      <c r="ICM28" s="93"/>
      <c r="ICN28" s="30"/>
      <c r="ICS28" s="93"/>
      <c r="ICT28" s="30"/>
      <c r="ICY28" s="93"/>
      <c r="ICZ28" s="30"/>
      <c r="IDE28" s="93"/>
      <c r="IDF28" s="30"/>
      <c r="IDK28" s="93"/>
      <c r="IDL28" s="30"/>
      <c r="IDQ28" s="93"/>
      <c r="IDR28" s="30"/>
      <c r="IDW28" s="93"/>
      <c r="IDX28" s="30"/>
      <c r="IEC28" s="93"/>
      <c r="IED28" s="30"/>
      <c r="IEI28" s="93"/>
      <c r="IEJ28" s="30"/>
      <c r="IEO28" s="93"/>
      <c r="IEP28" s="30"/>
      <c r="IEU28" s="93"/>
      <c r="IEV28" s="30"/>
      <c r="IFA28" s="93"/>
      <c r="IFB28" s="30"/>
      <c r="IFG28" s="93"/>
      <c r="IFH28" s="30"/>
      <c r="IFM28" s="93"/>
      <c r="IFN28" s="30"/>
      <c r="IFS28" s="93"/>
      <c r="IFT28" s="30"/>
      <c r="IFY28" s="93"/>
      <c r="IFZ28" s="30"/>
      <c r="IGE28" s="93"/>
      <c r="IGF28" s="30"/>
      <c r="IGK28" s="93"/>
      <c r="IGL28" s="30"/>
      <c r="IGQ28" s="93"/>
      <c r="IGR28" s="30"/>
      <c r="IGW28" s="93"/>
      <c r="IGX28" s="30"/>
      <c r="IHC28" s="93"/>
      <c r="IHD28" s="30"/>
      <c r="IHI28" s="93"/>
      <c r="IHJ28" s="30"/>
      <c r="IHO28" s="93"/>
      <c r="IHP28" s="30"/>
      <c r="IHU28" s="93"/>
      <c r="IHV28" s="30"/>
      <c r="IIA28" s="93"/>
      <c r="IIB28" s="30"/>
      <c r="IIG28" s="93"/>
      <c r="IIH28" s="30"/>
      <c r="IIM28" s="93"/>
      <c r="IIN28" s="30"/>
      <c r="IIS28" s="93"/>
      <c r="IIT28" s="30"/>
      <c r="IIY28" s="93"/>
      <c r="IIZ28" s="30"/>
      <c r="IJE28" s="93"/>
      <c r="IJF28" s="30"/>
      <c r="IJK28" s="93"/>
      <c r="IJL28" s="30"/>
      <c r="IJQ28" s="93"/>
      <c r="IJR28" s="30"/>
      <c r="IJW28" s="93"/>
      <c r="IJX28" s="30"/>
      <c r="IKC28" s="93"/>
      <c r="IKD28" s="30"/>
      <c r="IKI28" s="93"/>
      <c r="IKJ28" s="30"/>
      <c r="IKO28" s="93"/>
      <c r="IKP28" s="30"/>
      <c r="IKU28" s="93"/>
      <c r="IKV28" s="30"/>
      <c r="ILA28" s="93"/>
      <c r="ILB28" s="30"/>
      <c r="ILG28" s="93"/>
      <c r="ILH28" s="30"/>
      <c r="ILM28" s="93"/>
      <c r="ILN28" s="30"/>
      <c r="ILS28" s="93"/>
      <c r="ILT28" s="30"/>
      <c r="ILY28" s="93"/>
      <c r="ILZ28" s="30"/>
      <c r="IME28" s="93"/>
      <c r="IMF28" s="30"/>
      <c r="IMK28" s="93"/>
      <c r="IML28" s="30"/>
      <c r="IMQ28" s="93"/>
      <c r="IMR28" s="30"/>
      <c r="IMW28" s="93"/>
      <c r="IMX28" s="30"/>
      <c r="INC28" s="93"/>
      <c r="IND28" s="30"/>
      <c r="INI28" s="93"/>
      <c r="INJ28" s="30"/>
      <c r="INO28" s="93"/>
      <c r="INP28" s="30"/>
      <c r="INU28" s="93"/>
      <c r="INV28" s="30"/>
      <c r="IOA28" s="93"/>
      <c r="IOB28" s="30"/>
      <c r="IOG28" s="93"/>
      <c r="IOH28" s="30"/>
      <c r="IOM28" s="93"/>
      <c r="ION28" s="30"/>
      <c r="IOS28" s="93"/>
      <c r="IOT28" s="30"/>
      <c r="IOY28" s="93"/>
      <c r="IOZ28" s="30"/>
      <c r="IPE28" s="93"/>
      <c r="IPF28" s="30"/>
      <c r="IPK28" s="93"/>
      <c r="IPL28" s="30"/>
      <c r="IPQ28" s="93"/>
      <c r="IPR28" s="30"/>
      <c r="IPW28" s="93"/>
      <c r="IPX28" s="30"/>
      <c r="IQC28" s="93"/>
      <c r="IQD28" s="30"/>
      <c r="IQI28" s="93"/>
      <c r="IQJ28" s="30"/>
      <c r="IQO28" s="93"/>
      <c r="IQP28" s="30"/>
      <c r="IQU28" s="93"/>
      <c r="IQV28" s="30"/>
      <c r="IRA28" s="93"/>
      <c r="IRB28" s="30"/>
      <c r="IRG28" s="93"/>
      <c r="IRH28" s="30"/>
      <c r="IRM28" s="93"/>
      <c r="IRN28" s="30"/>
      <c r="IRS28" s="93"/>
      <c r="IRT28" s="30"/>
      <c r="IRY28" s="93"/>
      <c r="IRZ28" s="30"/>
      <c r="ISE28" s="93"/>
      <c r="ISF28" s="30"/>
      <c r="ISK28" s="93"/>
      <c r="ISL28" s="30"/>
      <c r="ISQ28" s="93"/>
      <c r="ISR28" s="30"/>
      <c r="ISW28" s="93"/>
      <c r="ISX28" s="30"/>
      <c r="ITC28" s="93"/>
      <c r="ITD28" s="30"/>
      <c r="ITI28" s="93"/>
      <c r="ITJ28" s="30"/>
      <c r="ITO28" s="93"/>
      <c r="ITP28" s="30"/>
      <c r="ITU28" s="93"/>
      <c r="ITV28" s="30"/>
      <c r="IUA28" s="93"/>
      <c r="IUB28" s="30"/>
      <c r="IUG28" s="93"/>
      <c r="IUH28" s="30"/>
      <c r="IUM28" s="93"/>
      <c r="IUN28" s="30"/>
      <c r="IUS28" s="93"/>
      <c r="IUT28" s="30"/>
      <c r="IUY28" s="93"/>
      <c r="IUZ28" s="30"/>
      <c r="IVE28" s="93"/>
      <c r="IVF28" s="30"/>
      <c r="IVK28" s="93"/>
      <c r="IVL28" s="30"/>
      <c r="IVQ28" s="93"/>
      <c r="IVR28" s="30"/>
      <c r="IVW28" s="93"/>
      <c r="IVX28" s="30"/>
      <c r="IWC28" s="93"/>
      <c r="IWD28" s="30"/>
      <c r="IWI28" s="93"/>
      <c r="IWJ28" s="30"/>
      <c r="IWO28" s="93"/>
      <c r="IWP28" s="30"/>
      <c r="IWU28" s="93"/>
      <c r="IWV28" s="30"/>
      <c r="IXA28" s="93"/>
      <c r="IXB28" s="30"/>
      <c r="IXG28" s="93"/>
      <c r="IXH28" s="30"/>
      <c r="IXM28" s="93"/>
      <c r="IXN28" s="30"/>
      <c r="IXS28" s="93"/>
      <c r="IXT28" s="30"/>
      <c r="IXY28" s="93"/>
      <c r="IXZ28" s="30"/>
      <c r="IYE28" s="93"/>
      <c r="IYF28" s="30"/>
      <c r="IYK28" s="93"/>
      <c r="IYL28" s="30"/>
      <c r="IYQ28" s="93"/>
      <c r="IYR28" s="30"/>
      <c r="IYW28" s="93"/>
      <c r="IYX28" s="30"/>
      <c r="IZC28" s="93"/>
      <c r="IZD28" s="30"/>
      <c r="IZI28" s="93"/>
      <c r="IZJ28" s="30"/>
      <c r="IZO28" s="93"/>
      <c r="IZP28" s="30"/>
      <c r="IZU28" s="93"/>
      <c r="IZV28" s="30"/>
      <c r="JAA28" s="93"/>
      <c r="JAB28" s="30"/>
      <c r="JAG28" s="93"/>
      <c r="JAH28" s="30"/>
      <c r="JAM28" s="93"/>
      <c r="JAN28" s="30"/>
      <c r="JAS28" s="93"/>
      <c r="JAT28" s="30"/>
      <c r="JAY28" s="93"/>
      <c r="JAZ28" s="30"/>
      <c r="JBE28" s="93"/>
      <c r="JBF28" s="30"/>
      <c r="JBK28" s="93"/>
      <c r="JBL28" s="30"/>
      <c r="JBQ28" s="93"/>
      <c r="JBR28" s="30"/>
      <c r="JBW28" s="93"/>
      <c r="JBX28" s="30"/>
      <c r="JCC28" s="93"/>
      <c r="JCD28" s="30"/>
      <c r="JCI28" s="93"/>
      <c r="JCJ28" s="30"/>
      <c r="JCO28" s="93"/>
      <c r="JCP28" s="30"/>
      <c r="JCU28" s="93"/>
      <c r="JCV28" s="30"/>
      <c r="JDA28" s="93"/>
      <c r="JDB28" s="30"/>
      <c r="JDG28" s="93"/>
      <c r="JDH28" s="30"/>
      <c r="JDM28" s="93"/>
      <c r="JDN28" s="30"/>
      <c r="JDS28" s="93"/>
      <c r="JDT28" s="30"/>
      <c r="JDY28" s="93"/>
      <c r="JDZ28" s="30"/>
      <c r="JEE28" s="93"/>
      <c r="JEF28" s="30"/>
      <c r="JEK28" s="93"/>
      <c r="JEL28" s="30"/>
      <c r="JEQ28" s="93"/>
      <c r="JER28" s="30"/>
      <c r="JEW28" s="93"/>
      <c r="JEX28" s="30"/>
      <c r="JFC28" s="93"/>
      <c r="JFD28" s="30"/>
      <c r="JFI28" s="93"/>
      <c r="JFJ28" s="30"/>
      <c r="JFO28" s="93"/>
      <c r="JFP28" s="30"/>
      <c r="JFU28" s="93"/>
      <c r="JFV28" s="30"/>
      <c r="JGA28" s="93"/>
      <c r="JGB28" s="30"/>
      <c r="JGG28" s="93"/>
      <c r="JGH28" s="30"/>
      <c r="JGM28" s="93"/>
      <c r="JGN28" s="30"/>
      <c r="JGS28" s="93"/>
      <c r="JGT28" s="30"/>
      <c r="JGY28" s="93"/>
      <c r="JGZ28" s="30"/>
      <c r="JHE28" s="93"/>
      <c r="JHF28" s="30"/>
      <c r="JHK28" s="93"/>
      <c r="JHL28" s="30"/>
      <c r="JHQ28" s="93"/>
      <c r="JHR28" s="30"/>
      <c r="JHW28" s="93"/>
      <c r="JHX28" s="30"/>
      <c r="JIC28" s="93"/>
      <c r="JID28" s="30"/>
      <c r="JII28" s="93"/>
      <c r="JIJ28" s="30"/>
      <c r="JIO28" s="93"/>
      <c r="JIP28" s="30"/>
      <c r="JIU28" s="93"/>
      <c r="JIV28" s="30"/>
      <c r="JJA28" s="93"/>
      <c r="JJB28" s="30"/>
      <c r="JJG28" s="93"/>
      <c r="JJH28" s="30"/>
      <c r="JJM28" s="93"/>
      <c r="JJN28" s="30"/>
      <c r="JJS28" s="93"/>
      <c r="JJT28" s="30"/>
      <c r="JJY28" s="93"/>
      <c r="JJZ28" s="30"/>
      <c r="JKE28" s="93"/>
      <c r="JKF28" s="30"/>
      <c r="JKK28" s="93"/>
      <c r="JKL28" s="30"/>
      <c r="JKQ28" s="93"/>
      <c r="JKR28" s="30"/>
      <c r="JKW28" s="93"/>
      <c r="JKX28" s="30"/>
      <c r="JLC28" s="93"/>
      <c r="JLD28" s="30"/>
      <c r="JLI28" s="93"/>
      <c r="JLJ28" s="30"/>
      <c r="JLO28" s="93"/>
      <c r="JLP28" s="30"/>
      <c r="JLU28" s="93"/>
      <c r="JLV28" s="30"/>
      <c r="JMA28" s="93"/>
      <c r="JMB28" s="30"/>
      <c r="JMG28" s="93"/>
      <c r="JMH28" s="30"/>
      <c r="JMM28" s="93"/>
      <c r="JMN28" s="30"/>
      <c r="JMS28" s="93"/>
      <c r="JMT28" s="30"/>
      <c r="JMY28" s="93"/>
      <c r="JMZ28" s="30"/>
      <c r="JNE28" s="93"/>
      <c r="JNF28" s="30"/>
      <c r="JNK28" s="93"/>
      <c r="JNL28" s="30"/>
      <c r="JNQ28" s="93"/>
      <c r="JNR28" s="30"/>
      <c r="JNW28" s="93"/>
      <c r="JNX28" s="30"/>
      <c r="JOC28" s="93"/>
      <c r="JOD28" s="30"/>
      <c r="JOI28" s="93"/>
      <c r="JOJ28" s="30"/>
      <c r="JOO28" s="93"/>
      <c r="JOP28" s="30"/>
      <c r="JOU28" s="93"/>
      <c r="JOV28" s="30"/>
      <c r="JPA28" s="93"/>
      <c r="JPB28" s="30"/>
      <c r="JPG28" s="93"/>
      <c r="JPH28" s="30"/>
      <c r="JPM28" s="93"/>
      <c r="JPN28" s="30"/>
      <c r="JPS28" s="93"/>
      <c r="JPT28" s="30"/>
      <c r="JPY28" s="93"/>
      <c r="JPZ28" s="30"/>
      <c r="JQE28" s="93"/>
      <c r="JQF28" s="30"/>
      <c r="JQK28" s="93"/>
      <c r="JQL28" s="30"/>
      <c r="JQQ28" s="93"/>
      <c r="JQR28" s="30"/>
      <c r="JQW28" s="93"/>
      <c r="JQX28" s="30"/>
      <c r="JRC28" s="93"/>
      <c r="JRD28" s="30"/>
      <c r="JRI28" s="93"/>
      <c r="JRJ28" s="30"/>
      <c r="JRO28" s="93"/>
      <c r="JRP28" s="30"/>
      <c r="JRU28" s="93"/>
      <c r="JRV28" s="30"/>
      <c r="JSA28" s="93"/>
      <c r="JSB28" s="30"/>
      <c r="JSG28" s="93"/>
      <c r="JSH28" s="30"/>
      <c r="JSM28" s="93"/>
      <c r="JSN28" s="30"/>
      <c r="JSS28" s="93"/>
      <c r="JST28" s="30"/>
      <c r="JSY28" s="93"/>
      <c r="JSZ28" s="30"/>
      <c r="JTE28" s="93"/>
      <c r="JTF28" s="30"/>
      <c r="JTK28" s="93"/>
      <c r="JTL28" s="30"/>
      <c r="JTQ28" s="93"/>
      <c r="JTR28" s="30"/>
      <c r="JTW28" s="93"/>
      <c r="JTX28" s="30"/>
      <c r="JUC28" s="93"/>
      <c r="JUD28" s="30"/>
      <c r="JUI28" s="93"/>
      <c r="JUJ28" s="30"/>
      <c r="JUO28" s="93"/>
      <c r="JUP28" s="30"/>
      <c r="JUU28" s="93"/>
      <c r="JUV28" s="30"/>
      <c r="JVA28" s="93"/>
      <c r="JVB28" s="30"/>
      <c r="JVG28" s="93"/>
      <c r="JVH28" s="30"/>
      <c r="JVM28" s="93"/>
      <c r="JVN28" s="30"/>
      <c r="JVS28" s="93"/>
      <c r="JVT28" s="30"/>
      <c r="JVY28" s="93"/>
      <c r="JVZ28" s="30"/>
      <c r="JWE28" s="93"/>
      <c r="JWF28" s="30"/>
      <c r="JWK28" s="93"/>
      <c r="JWL28" s="30"/>
      <c r="JWQ28" s="93"/>
      <c r="JWR28" s="30"/>
      <c r="JWW28" s="93"/>
      <c r="JWX28" s="30"/>
      <c r="JXC28" s="93"/>
      <c r="JXD28" s="30"/>
      <c r="JXI28" s="93"/>
      <c r="JXJ28" s="30"/>
      <c r="JXO28" s="93"/>
      <c r="JXP28" s="30"/>
      <c r="JXU28" s="93"/>
      <c r="JXV28" s="30"/>
      <c r="JYA28" s="93"/>
      <c r="JYB28" s="30"/>
      <c r="JYG28" s="93"/>
      <c r="JYH28" s="30"/>
      <c r="JYM28" s="93"/>
      <c r="JYN28" s="30"/>
      <c r="JYS28" s="93"/>
      <c r="JYT28" s="30"/>
      <c r="JYY28" s="93"/>
      <c r="JYZ28" s="30"/>
      <c r="JZE28" s="93"/>
      <c r="JZF28" s="30"/>
      <c r="JZK28" s="93"/>
      <c r="JZL28" s="30"/>
      <c r="JZQ28" s="93"/>
      <c r="JZR28" s="30"/>
      <c r="JZW28" s="93"/>
      <c r="JZX28" s="30"/>
      <c r="KAC28" s="93"/>
      <c r="KAD28" s="30"/>
      <c r="KAI28" s="93"/>
      <c r="KAJ28" s="30"/>
      <c r="KAO28" s="93"/>
      <c r="KAP28" s="30"/>
      <c r="KAU28" s="93"/>
      <c r="KAV28" s="30"/>
      <c r="KBA28" s="93"/>
      <c r="KBB28" s="30"/>
      <c r="KBG28" s="93"/>
      <c r="KBH28" s="30"/>
      <c r="KBM28" s="93"/>
      <c r="KBN28" s="30"/>
      <c r="KBS28" s="93"/>
      <c r="KBT28" s="30"/>
      <c r="KBY28" s="93"/>
      <c r="KBZ28" s="30"/>
      <c r="KCE28" s="93"/>
      <c r="KCF28" s="30"/>
      <c r="KCK28" s="93"/>
      <c r="KCL28" s="30"/>
      <c r="KCQ28" s="93"/>
      <c r="KCR28" s="30"/>
      <c r="KCW28" s="93"/>
      <c r="KCX28" s="30"/>
      <c r="KDC28" s="93"/>
      <c r="KDD28" s="30"/>
      <c r="KDI28" s="93"/>
      <c r="KDJ28" s="30"/>
      <c r="KDO28" s="93"/>
      <c r="KDP28" s="30"/>
      <c r="KDU28" s="93"/>
      <c r="KDV28" s="30"/>
      <c r="KEA28" s="93"/>
      <c r="KEB28" s="30"/>
      <c r="KEG28" s="93"/>
      <c r="KEH28" s="30"/>
      <c r="KEM28" s="93"/>
      <c r="KEN28" s="30"/>
      <c r="KES28" s="93"/>
      <c r="KET28" s="30"/>
      <c r="KEY28" s="93"/>
      <c r="KEZ28" s="30"/>
      <c r="KFE28" s="93"/>
      <c r="KFF28" s="30"/>
      <c r="KFK28" s="93"/>
      <c r="KFL28" s="30"/>
      <c r="KFQ28" s="93"/>
      <c r="KFR28" s="30"/>
      <c r="KFW28" s="93"/>
      <c r="KFX28" s="30"/>
      <c r="KGC28" s="93"/>
      <c r="KGD28" s="30"/>
      <c r="KGI28" s="93"/>
      <c r="KGJ28" s="30"/>
      <c r="KGO28" s="93"/>
      <c r="KGP28" s="30"/>
      <c r="KGU28" s="93"/>
      <c r="KGV28" s="30"/>
      <c r="KHA28" s="93"/>
      <c r="KHB28" s="30"/>
      <c r="KHG28" s="93"/>
      <c r="KHH28" s="30"/>
      <c r="KHM28" s="93"/>
      <c r="KHN28" s="30"/>
      <c r="KHS28" s="93"/>
      <c r="KHT28" s="30"/>
      <c r="KHY28" s="93"/>
      <c r="KHZ28" s="30"/>
      <c r="KIE28" s="93"/>
      <c r="KIF28" s="30"/>
      <c r="KIK28" s="93"/>
      <c r="KIL28" s="30"/>
      <c r="KIQ28" s="93"/>
      <c r="KIR28" s="30"/>
      <c r="KIW28" s="93"/>
      <c r="KIX28" s="30"/>
      <c r="KJC28" s="93"/>
      <c r="KJD28" s="30"/>
      <c r="KJI28" s="93"/>
      <c r="KJJ28" s="30"/>
      <c r="KJO28" s="93"/>
      <c r="KJP28" s="30"/>
      <c r="KJU28" s="93"/>
      <c r="KJV28" s="30"/>
      <c r="KKA28" s="93"/>
      <c r="KKB28" s="30"/>
      <c r="KKG28" s="93"/>
      <c r="KKH28" s="30"/>
      <c r="KKM28" s="93"/>
      <c r="KKN28" s="30"/>
      <c r="KKS28" s="93"/>
      <c r="KKT28" s="30"/>
      <c r="KKY28" s="93"/>
      <c r="KKZ28" s="30"/>
      <c r="KLE28" s="93"/>
      <c r="KLF28" s="30"/>
      <c r="KLK28" s="93"/>
      <c r="KLL28" s="30"/>
      <c r="KLQ28" s="93"/>
      <c r="KLR28" s="30"/>
      <c r="KLW28" s="93"/>
      <c r="KLX28" s="30"/>
      <c r="KMC28" s="93"/>
      <c r="KMD28" s="30"/>
      <c r="KMI28" s="93"/>
      <c r="KMJ28" s="30"/>
      <c r="KMO28" s="93"/>
      <c r="KMP28" s="30"/>
      <c r="KMU28" s="93"/>
      <c r="KMV28" s="30"/>
      <c r="KNA28" s="93"/>
      <c r="KNB28" s="30"/>
      <c r="KNG28" s="93"/>
      <c r="KNH28" s="30"/>
      <c r="KNM28" s="93"/>
      <c r="KNN28" s="30"/>
      <c r="KNS28" s="93"/>
      <c r="KNT28" s="30"/>
      <c r="KNY28" s="93"/>
      <c r="KNZ28" s="30"/>
      <c r="KOE28" s="93"/>
      <c r="KOF28" s="30"/>
      <c r="KOK28" s="93"/>
      <c r="KOL28" s="30"/>
      <c r="KOQ28" s="93"/>
      <c r="KOR28" s="30"/>
      <c r="KOW28" s="93"/>
      <c r="KOX28" s="30"/>
      <c r="KPC28" s="93"/>
      <c r="KPD28" s="30"/>
      <c r="KPI28" s="93"/>
      <c r="KPJ28" s="30"/>
      <c r="KPO28" s="93"/>
      <c r="KPP28" s="30"/>
      <c r="KPU28" s="93"/>
      <c r="KPV28" s="30"/>
      <c r="KQA28" s="93"/>
      <c r="KQB28" s="30"/>
      <c r="KQG28" s="93"/>
      <c r="KQH28" s="30"/>
      <c r="KQM28" s="93"/>
      <c r="KQN28" s="30"/>
      <c r="KQS28" s="93"/>
      <c r="KQT28" s="30"/>
      <c r="KQY28" s="93"/>
      <c r="KQZ28" s="30"/>
      <c r="KRE28" s="93"/>
      <c r="KRF28" s="30"/>
      <c r="KRK28" s="93"/>
      <c r="KRL28" s="30"/>
      <c r="KRQ28" s="93"/>
      <c r="KRR28" s="30"/>
      <c r="KRW28" s="93"/>
      <c r="KRX28" s="30"/>
      <c r="KSC28" s="93"/>
      <c r="KSD28" s="30"/>
      <c r="KSI28" s="93"/>
      <c r="KSJ28" s="30"/>
      <c r="KSO28" s="93"/>
      <c r="KSP28" s="30"/>
      <c r="KSU28" s="93"/>
      <c r="KSV28" s="30"/>
      <c r="KTA28" s="93"/>
      <c r="KTB28" s="30"/>
      <c r="KTG28" s="93"/>
      <c r="KTH28" s="30"/>
      <c r="KTM28" s="93"/>
      <c r="KTN28" s="30"/>
      <c r="KTS28" s="93"/>
      <c r="KTT28" s="30"/>
      <c r="KTY28" s="93"/>
      <c r="KTZ28" s="30"/>
      <c r="KUE28" s="93"/>
      <c r="KUF28" s="30"/>
      <c r="KUK28" s="93"/>
      <c r="KUL28" s="30"/>
      <c r="KUQ28" s="93"/>
      <c r="KUR28" s="30"/>
      <c r="KUW28" s="93"/>
      <c r="KUX28" s="30"/>
      <c r="KVC28" s="93"/>
      <c r="KVD28" s="30"/>
      <c r="KVI28" s="93"/>
      <c r="KVJ28" s="30"/>
      <c r="KVO28" s="93"/>
      <c r="KVP28" s="30"/>
      <c r="KVU28" s="93"/>
      <c r="KVV28" s="30"/>
      <c r="KWA28" s="93"/>
      <c r="KWB28" s="30"/>
      <c r="KWG28" s="93"/>
      <c r="KWH28" s="30"/>
      <c r="KWM28" s="93"/>
      <c r="KWN28" s="30"/>
      <c r="KWS28" s="93"/>
      <c r="KWT28" s="30"/>
      <c r="KWY28" s="93"/>
      <c r="KWZ28" s="30"/>
      <c r="KXE28" s="93"/>
      <c r="KXF28" s="30"/>
      <c r="KXK28" s="93"/>
      <c r="KXL28" s="30"/>
      <c r="KXQ28" s="93"/>
      <c r="KXR28" s="30"/>
      <c r="KXW28" s="93"/>
      <c r="KXX28" s="30"/>
      <c r="KYC28" s="93"/>
      <c r="KYD28" s="30"/>
      <c r="KYI28" s="93"/>
      <c r="KYJ28" s="30"/>
      <c r="KYO28" s="93"/>
      <c r="KYP28" s="30"/>
      <c r="KYU28" s="93"/>
      <c r="KYV28" s="30"/>
      <c r="KZA28" s="93"/>
      <c r="KZB28" s="30"/>
      <c r="KZG28" s="93"/>
      <c r="KZH28" s="30"/>
      <c r="KZM28" s="93"/>
      <c r="KZN28" s="30"/>
      <c r="KZS28" s="93"/>
      <c r="KZT28" s="30"/>
      <c r="KZY28" s="93"/>
      <c r="KZZ28" s="30"/>
      <c r="LAE28" s="93"/>
      <c r="LAF28" s="30"/>
      <c r="LAK28" s="93"/>
      <c r="LAL28" s="30"/>
      <c r="LAQ28" s="93"/>
      <c r="LAR28" s="30"/>
      <c r="LAW28" s="93"/>
      <c r="LAX28" s="30"/>
      <c r="LBC28" s="93"/>
      <c r="LBD28" s="30"/>
      <c r="LBI28" s="93"/>
      <c r="LBJ28" s="30"/>
      <c r="LBO28" s="93"/>
      <c r="LBP28" s="30"/>
      <c r="LBU28" s="93"/>
      <c r="LBV28" s="30"/>
      <c r="LCA28" s="93"/>
      <c r="LCB28" s="30"/>
      <c r="LCG28" s="93"/>
      <c r="LCH28" s="30"/>
      <c r="LCM28" s="93"/>
      <c r="LCN28" s="30"/>
      <c r="LCS28" s="93"/>
      <c r="LCT28" s="30"/>
      <c r="LCY28" s="93"/>
      <c r="LCZ28" s="30"/>
      <c r="LDE28" s="93"/>
      <c r="LDF28" s="30"/>
      <c r="LDK28" s="93"/>
      <c r="LDL28" s="30"/>
      <c r="LDQ28" s="93"/>
      <c r="LDR28" s="30"/>
      <c r="LDW28" s="93"/>
      <c r="LDX28" s="30"/>
      <c r="LEC28" s="93"/>
      <c r="LED28" s="30"/>
      <c r="LEI28" s="93"/>
      <c r="LEJ28" s="30"/>
      <c r="LEO28" s="93"/>
      <c r="LEP28" s="30"/>
      <c r="LEU28" s="93"/>
      <c r="LEV28" s="30"/>
      <c r="LFA28" s="93"/>
      <c r="LFB28" s="30"/>
      <c r="LFG28" s="93"/>
      <c r="LFH28" s="30"/>
      <c r="LFM28" s="93"/>
      <c r="LFN28" s="30"/>
      <c r="LFS28" s="93"/>
      <c r="LFT28" s="30"/>
      <c r="LFY28" s="93"/>
      <c r="LFZ28" s="30"/>
      <c r="LGE28" s="93"/>
      <c r="LGF28" s="30"/>
      <c r="LGK28" s="93"/>
      <c r="LGL28" s="30"/>
      <c r="LGQ28" s="93"/>
      <c r="LGR28" s="30"/>
      <c r="LGW28" s="93"/>
      <c r="LGX28" s="30"/>
      <c r="LHC28" s="93"/>
      <c r="LHD28" s="30"/>
      <c r="LHI28" s="93"/>
      <c r="LHJ28" s="30"/>
      <c r="LHO28" s="93"/>
      <c r="LHP28" s="30"/>
      <c r="LHU28" s="93"/>
      <c r="LHV28" s="30"/>
      <c r="LIA28" s="93"/>
      <c r="LIB28" s="30"/>
      <c r="LIG28" s="93"/>
      <c r="LIH28" s="30"/>
      <c r="LIM28" s="93"/>
      <c r="LIN28" s="30"/>
      <c r="LIS28" s="93"/>
      <c r="LIT28" s="30"/>
      <c r="LIY28" s="93"/>
      <c r="LIZ28" s="30"/>
      <c r="LJE28" s="93"/>
      <c r="LJF28" s="30"/>
      <c r="LJK28" s="93"/>
      <c r="LJL28" s="30"/>
      <c r="LJQ28" s="93"/>
      <c r="LJR28" s="30"/>
      <c r="LJW28" s="93"/>
      <c r="LJX28" s="30"/>
      <c r="LKC28" s="93"/>
      <c r="LKD28" s="30"/>
      <c r="LKI28" s="93"/>
      <c r="LKJ28" s="30"/>
      <c r="LKO28" s="93"/>
      <c r="LKP28" s="30"/>
      <c r="LKU28" s="93"/>
      <c r="LKV28" s="30"/>
      <c r="LLA28" s="93"/>
      <c r="LLB28" s="30"/>
      <c r="LLG28" s="93"/>
      <c r="LLH28" s="30"/>
      <c r="LLM28" s="93"/>
      <c r="LLN28" s="30"/>
      <c r="LLS28" s="93"/>
      <c r="LLT28" s="30"/>
      <c r="LLY28" s="93"/>
      <c r="LLZ28" s="30"/>
      <c r="LME28" s="93"/>
      <c r="LMF28" s="30"/>
      <c r="LMK28" s="93"/>
      <c r="LML28" s="30"/>
      <c r="LMQ28" s="93"/>
      <c r="LMR28" s="30"/>
      <c r="LMW28" s="93"/>
      <c r="LMX28" s="30"/>
      <c r="LNC28" s="93"/>
      <c r="LND28" s="30"/>
      <c r="LNI28" s="93"/>
      <c r="LNJ28" s="30"/>
      <c r="LNO28" s="93"/>
      <c r="LNP28" s="30"/>
      <c r="LNU28" s="93"/>
      <c r="LNV28" s="30"/>
      <c r="LOA28" s="93"/>
      <c r="LOB28" s="30"/>
      <c r="LOG28" s="93"/>
      <c r="LOH28" s="30"/>
      <c r="LOM28" s="93"/>
      <c r="LON28" s="30"/>
      <c r="LOS28" s="93"/>
      <c r="LOT28" s="30"/>
      <c r="LOY28" s="93"/>
      <c r="LOZ28" s="30"/>
      <c r="LPE28" s="93"/>
      <c r="LPF28" s="30"/>
      <c r="LPK28" s="93"/>
      <c r="LPL28" s="30"/>
      <c r="LPQ28" s="93"/>
      <c r="LPR28" s="30"/>
      <c r="LPW28" s="93"/>
      <c r="LPX28" s="30"/>
      <c r="LQC28" s="93"/>
      <c r="LQD28" s="30"/>
      <c r="LQI28" s="93"/>
      <c r="LQJ28" s="30"/>
      <c r="LQO28" s="93"/>
      <c r="LQP28" s="30"/>
      <c r="LQU28" s="93"/>
      <c r="LQV28" s="30"/>
      <c r="LRA28" s="93"/>
      <c r="LRB28" s="30"/>
      <c r="LRG28" s="93"/>
      <c r="LRH28" s="30"/>
      <c r="LRM28" s="93"/>
      <c r="LRN28" s="30"/>
      <c r="LRS28" s="93"/>
      <c r="LRT28" s="30"/>
      <c r="LRY28" s="93"/>
      <c r="LRZ28" s="30"/>
      <c r="LSE28" s="93"/>
      <c r="LSF28" s="30"/>
      <c r="LSK28" s="93"/>
      <c r="LSL28" s="30"/>
      <c r="LSQ28" s="93"/>
      <c r="LSR28" s="30"/>
      <c r="LSW28" s="93"/>
      <c r="LSX28" s="30"/>
      <c r="LTC28" s="93"/>
      <c r="LTD28" s="30"/>
      <c r="LTI28" s="93"/>
      <c r="LTJ28" s="30"/>
      <c r="LTO28" s="93"/>
      <c r="LTP28" s="30"/>
      <c r="LTU28" s="93"/>
      <c r="LTV28" s="30"/>
      <c r="LUA28" s="93"/>
      <c r="LUB28" s="30"/>
      <c r="LUG28" s="93"/>
      <c r="LUH28" s="30"/>
      <c r="LUM28" s="93"/>
      <c r="LUN28" s="30"/>
      <c r="LUS28" s="93"/>
      <c r="LUT28" s="30"/>
      <c r="LUY28" s="93"/>
      <c r="LUZ28" s="30"/>
      <c r="LVE28" s="93"/>
      <c r="LVF28" s="30"/>
      <c r="LVK28" s="93"/>
      <c r="LVL28" s="30"/>
      <c r="LVQ28" s="93"/>
      <c r="LVR28" s="30"/>
      <c r="LVW28" s="93"/>
      <c r="LVX28" s="30"/>
      <c r="LWC28" s="93"/>
      <c r="LWD28" s="30"/>
      <c r="LWI28" s="93"/>
      <c r="LWJ28" s="30"/>
      <c r="LWO28" s="93"/>
      <c r="LWP28" s="30"/>
      <c r="LWU28" s="93"/>
      <c r="LWV28" s="30"/>
      <c r="LXA28" s="93"/>
      <c r="LXB28" s="30"/>
      <c r="LXG28" s="93"/>
      <c r="LXH28" s="30"/>
      <c r="LXM28" s="93"/>
      <c r="LXN28" s="30"/>
      <c r="LXS28" s="93"/>
      <c r="LXT28" s="30"/>
      <c r="LXY28" s="93"/>
      <c r="LXZ28" s="30"/>
      <c r="LYE28" s="93"/>
      <c r="LYF28" s="30"/>
      <c r="LYK28" s="93"/>
      <c r="LYL28" s="30"/>
      <c r="LYQ28" s="93"/>
      <c r="LYR28" s="30"/>
      <c r="LYW28" s="93"/>
      <c r="LYX28" s="30"/>
      <c r="LZC28" s="93"/>
      <c r="LZD28" s="30"/>
      <c r="LZI28" s="93"/>
      <c r="LZJ28" s="30"/>
      <c r="LZO28" s="93"/>
      <c r="LZP28" s="30"/>
      <c r="LZU28" s="93"/>
      <c r="LZV28" s="30"/>
      <c r="MAA28" s="93"/>
      <c r="MAB28" s="30"/>
      <c r="MAG28" s="93"/>
      <c r="MAH28" s="30"/>
      <c r="MAM28" s="93"/>
      <c r="MAN28" s="30"/>
      <c r="MAS28" s="93"/>
      <c r="MAT28" s="30"/>
      <c r="MAY28" s="93"/>
      <c r="MAZ28" s="30"/>
      <c r="MBE28" s="93"/>
      <c r="MBF28" s="30"/>
      <c r="MBK28" s="93"/>
      <c r="MBL28" s="30"/>
      <c r="MBQ28" s="93"/>
      <c r="MBR28" s="30"/>
      <c r="MBW28" s="93"/>
      <c r="MBX28" s="30"/>
      <c r="MCC28" s="93"/>
      <c r="MCD28" s="30"/>
      <c r="MCI28" s="93"/>
      <c r="MCJ28" s="30"/>
      <c r="MCO28" s="93"/>
      <c r="MCP28" s="30"/>
      <c r="MCU28" s="93"/>
      <c r="MCV28" s="30"/>
      <c r="MDA28" s="93"/>
      <c r="MDB28" s="30"/>
      <c r="MDG28" s="93"/>
      <c r="MDH28" s="30"/>
      <c r="MDM28" s="93"/>
      <c r="MDN28" s="30"/>
      <c r="MDS28" s="93"/>
      <c r="MDT28" s="30"/>
      <c r="MDY28" s="93"/>
      <c r="MDZ28" s="30"/>
      <c r="MEE28" s="93"/>
      <c r="MEF28" s="30"/>
      <c r="MEK28" s="93"/>
      <c r="MEL28" s="30"/>
      <c r="MEQ28" s="93"/>
      <c r="MER28" s="30"/>
      <c r="MEW28" s="93"/>
      <c r="MEX28" s="30"/>
      <c r="MFC28" s="93"/>
      <c r="MFD28" s="30"/>
      <c r="MFI28" s="93"/>
      <c r="MFJ28" s="30"/>
      <c r="MFO28" s="93"/>
      <c r="MFP28" s="30"/>
      <c r="MFU28" s="93"/>
      <c r="MFV28" s="30"/>
      <c r="MGA28" s="93"/>
      <c r="MGB28" s="30"/>
      <c r="MGG28" s="93"/>
      <c r="MGH28" s="30"/>
      <c r="MGM28" s="93"/>
      <c r="MGN28" s="30"/>
      <c r="MGS28" s="93"/>
      <c r="MGT28" s="30"/>
      <c r="MGY28" s="93"/>
      <c r="MGZ28" s="30"/>
      <c r="MHE28" s="93"/>
      <c r="MHF28" s="30"/>
      <c r="MHK28" s="93"/>
      <c r="MHL28" s="30"/>
      <c r="MHQ28" s="93"/>
      <c r="MHR28" s="30"/>
      <c r="MHW28" s="93"/>
      <c r="MHX28" s="30"/>
      <c r="MIC28" s="93"/>
      <c r="MID28" s="30"/>
      <c r="MII28" s="93"/>
      <c r="MIJ28" s="30"/>
      <c r="MIO28" s="93"/>
      <c r="MIP28" s="30"/>
      <c r="MIU28" s="93"/>
      <c r="MIV28" s="30"/>
      <c r="MJA28" s="93"/>
      <c r="MJB28" s="30"/>
      <c r="MJG28" s="93"/>
      <c r="MJH28" s="30"/>
      <c r="MJM28" s="93"/>
      <c r="MJN28" s="30"/>
      <c r="MJS28" s="93"/>
      <c r="MJT28" s="30"/>
      <c r="MJY28" s="93"/>
      <c r="MJZ28" s="30"/>
      <c r="MKE28" s="93"/>
      <c r="MKF28" s="30"/>
      <c r="MKK28" s="93"/>
      <c r="MKL28" s="30"/>
      <c r="MKQ28" s="93"/>
      <c r="MKR28" s="30"/>
      <c r="MKW28" s="93"/>
      <c r="MKX28" s="30"/>
      <c r="MLC28" s="93"/>
      <c r="MLD28" s="30"/>
      <c r="MLI28" s="93"/>
      <c r="MLJ28" s="30"/>
      <c r="MLO28" s="93"/>
      <c r="MLP28" s="30"/>
      <c r="MLU28" s="93"/>
      <c r="MLV28" s="30"/>
      <c r="MMA28" s="93"/>
      <c r="MMB28" s="30"/>
      <c r="MMG28" s="93"/>
      <c r="MMH28" s="30"/>
      <c r="MMM28" s="93"/>
      <c r="MMN28" s="30"/>
      <c r="MMS28" s="93"/>
      <c r="MMT28" s="30"/>
      <c r="MMY28" s="93"/>
      <c r="MMZ28" s="30"/>
      <c r="MNE28" s="93"/>
      <c r="MNF28" s="30"/>
      <c r="MNK28" s="93"/>
      <c r="MNL28" s="30"/>
      <c r="MNQ28" s="93"/>
      <c r="MNR28" s="30"/>
      <c r="MNW28" s="93"/>
      <c r="MNX28" s="30"/>
      <c r="MOC28" s="93"/>
      <c r="MOD28" s="30"/>
      <c r="MOI28" s="93"/>
      <c r="MOJ28" s="30"/>
      <c r="MOO28" s="93"/>
      <c r="MOP28" s="30"/>
      <c r="MOU28" s="93"/>
      <c r="MOV28" s="30"/>
      <c r="MPA28" s="93"/>
      <c r="MPB28" s="30"/>
      <c r="MPG28" s="93"/>
      <c r="MPH28" s="30"/>
      <c r="MPM28" s="93"/>
      <c r="MPN28" s="30"/>
      <c r="MPS28" s="93"/>
      <c r="MPT28" s="30"/>
      <c r="MPY28" s="93"/>
      <c r="MPZ28" s="30"/>
      <c r="MQE28" s="93"/>
      <c r="MQF28" s="30"/>
      <c r="MQK28" s="93"/>
      <c r="MQL28" s="30"/>
      <c r="MQQ28" s="93"/>
      <c r="MQR28" s="30"/>
      <c r="MQW28" s="93"/>
      <c r="MQX28" s="30"/>
      <c r="MRC28" s="93"/>
      <c r="MRD28" s="30"/>
      <c r="MRI28" s="93"/>
      <c r="MRJ28" s="30"/>
      <c r="MRO28" s="93"/>
      <c r="MRP28" s="30"/>
      <c r="MRU28" s="93"/>
      <c r="MRV28" s="30"/>
      <c r="MSA28" s="93"/>
      <c r="MSB28" s="30"/>
      <c r="MSG28" s="93"/>
      <c r="MSH28" s="30"/>
      <c r="MSM28" s="93"/>
      <c r="MSN28" s="30"/>
      <c r="MSS28" s="93"/>
      <c r="MST28" s="30"/>
      <c r="MSY28" s="93"/>
      <c r="MSZ28" s="30"/>
      <c r="MTE28" s="93"/>
      <c r="MTF28" s="30"/>
      <c r="MTK28" s="93"/>
      <c r="MTL28" s="30"/>
      <c r="MTQ28" s="93"/>
      <c r="MTR28" s="30"/>
      <c r="MTW28" s="93"/>
      <c r="MTX28" s="30"/>
      <c r="MUC28" s="93"/>
      <c r="MUD28" s="30"/>
      <c r="MUI28" s="93"/>
      <c r="MUJ28" s="30"/>
      <c r="MUO28" s="93"/>
      <c r="MUP28" s="30"/>
      <c r="MUU28" s="93"/>
      <c r="MUV28" s="30"/>
      <c r="MVA28" s="93"/>
      <c r="MVB28" s="30"/>
      <c r="MVG28" s="93"/>
      <c r="MVH28" s="30"/>
      <c r="MVM28" s="93"/>
      <c r="MVN28" s="30"/>
      <c r="MVS28" s="93"/>
      <c r="MVT28" s="30"/>
      <c r="MVY28" s="93"/>
      <c r="MVZ28" s="30"/>
      <c r="MWE28" s="93"/>
      <c r="MWF28" s="30"/>
      <c r="MWK28" s="93"/>
      <c r="MWL28" s="30"/>
      <c r="MWQ28" s="93"/>
      <c r="MWR28" s="30"/>
      <c r="MWW28" s="93"/>
      <c r="MWX28" s="30"/>
      <c r="MXC28" s="93"/>
      <c r="MXD28" s="30"/>
      <c r="MXI28" s="93"/>
      <c r="MXJ28" s="30"/>
      <c r="MXO28" s="93"/>
      <c r="MXP28" s="30"/>
      <c r="MXU28" s="93"/>
      <c r="MXV28" s="30"/>
      <c r="MYA28" s="93"/>
      <c r="MYB28" s="30"/>
      <c r="MYG28" s="93"/>
      <c r="MYH28" s="30"/>
      <c r="MYM28" s="93"/>
      <c r="MYN28" s="30"/>
      <c r="MYS28" s="93"/>
      <c r="MYT28" s="30"/>
      <c r="MYY28" s="93"/>
      <c r="MYZ28" s="30"/>
      <c r="MZE28" s="93"/>
      <c r="MZF28" s="30"/>
      <c r="MZK28" s="93"/>
      <c r="MZL28" s="30"/>
      <c r="MZQ28" s="93"/>
      <c r="MZR28" s="30"/>
      <c r="MZW28" s="93"/>
      <c r="MZX28" s="30"/>
      <c r="NAC28" s="93"/>
      <c r="NAD28" s="30"/>
      <c r="NAI28" s="93"/>
      <c r="NAJ28" s="30"/>
      <c r="NAO28" s="93"/>
      <c r="NAP28" s="30"/>
      <c r="NAU28" s="93"/>
      <c r="NAV28" s="30"/>
      <c r="NBA28" s="93"/>
      <c r="NBB28" s="30"/>
      <c r="NBG28" s="93"/>
      <c r="NBH28" s="30"/>
      <c r="NBM28" s="93"/>
      <c r="NBN28" s="30"/>
      <c r="NBS28" s="93"/>
      <c r="NBT28" s="30"/>
      <c r="NBY28" s="93"/>
      <c r="NBZ28" s="30"/>
      <c r="NCE28" s="93"/>
      <c r="NCF28" s="30"/>
      <c r="NCK28" s="93"/>
      <c r="NCL28" s="30"/>
      <c r="NCQ28" s="93"/>
      <c r="NCR28" s="30"/>
      <c r="NCW28" s="93"/>
      <c r="NCX28" s="30"/>
      <c r="NDC28" s="93"/>
      <c r="NDD28" s="30"/>
      <c r="NDI28" s="93"/>
      <c r="NDJ28" s="30"/>
      <c r="NDO28" s="93"/>
      <c r="NDP28" s="30"/>
      <c r="NDU28" s="93"/>
      <c r="NDV28" s="30"/>
      <c r="NEA28" s="93"/>
      <c r="NEB28" s="30"/>
      <c r="NEG28" s="93"/>
      <c r="NEH28" s="30"/>
      <c r="NEM28" s="93"/>
      <c r="NEN28" s="30"/>
      <c r="NES28" s="93"/>
      <c r="NET28" s="30"/>
      <c r="NEY28" s="93"/>
      <c r="NEZ28" s="30"/>
      <c r="NFE28" s="93"/>
      <c r="NFF28" s="30"/>
      <c r="NFK28" s="93"/>
      <c r="NFL28" s="30"/>
      <c r="NFQ28" s="93"/>
      <c r="NFR28" s="30"/>
      <c r="NFW28" s="93"/>
      <c r="NFX28" s="30"/>
      <c r="NGC28" s="93"/>
      <c r="NGD28" s="30"/>
      <c r="NGI28" s="93"/>
      <c r="NGJ28" s="30"/>
      <c r="NGO28" s="93"/>
      <c r="NGP28" s="30"/>
      <c r="NGU28" s="93"/>
      <c r="NGV28" s="30"/>
      <c r="NHA28" s="93"/>
      <c r="NHB28" s="30"/>
      <c r="NHG28" s="93"/>
      <c r="NHH28" s="30"/>
      <c r="NHM28" s="93"/>
      <c r="NHN28" s="30"/>
      <c r="NHS28" s="93"/>
      <c r="NHT28" s="30"/>
      <c r="NHY28" s="93"/>
      <c r="NHZ28" s="30"/>
      <c r="NIE28" s="93"/>
      <c r="NIF28" s="30"/>
      <c r="NIK28" s="93"/>
      <c r="NIL28" s="30"/>
      <c r="NIQ28" s="93"/>
      <c r="NIR28" s="30"/>
      <c r="NIW28" s="93"/>
      <c r="NIX28" s="30"/>
      <c r="NJC28" s="93"/>
      <c r="NJD28" s="30"/>
      <c r="NJI28" s="93"/>
      <c r="NJJ28" s="30"/>
      <c r="NJO28" s="93"/>
      <c r="NJP28" s="30"/>
      <c r="NJU28" s="93"/>
      <c r="NJV28" s="30"/>
      <c r="NKA28" s="93"/>
      <c r="NKB28" s="30"/>
      <c r="NKG28" s="93"/>
      <c r="NKH28" s="30"/>
      <c r="NKM28" s="93"/>
      <c r="NKN28" s="30"/>
      <c r="NKS28" s="93"/>
      <c r="NKT28" s="30"/>
      <c r="NKY28" s="93"/>
      <c r="NKZ28" s="30"/>
      <c r="NLE28" s="93"/>
      <c r="NLF28" s="30"/>
      <c r="NLK28" s="93"/>
      <c r="NLL28" s="30"/>
      <c r="NLQ28" s="93"/>
      <c r="NLR28" s="30"/>
      <c r="NLW28" s="93"/>
      <c r="NLX28" s="30"/>
      <c r="NMC28" s="93"/>
      <c r="NMD28" s="30"/>
      <c r="NMI28" s="93"/>
      <c r="NMJ28" s="30"/>
      <c r="NMO28" s="93"/>
      <c r="NMP28" s="30"/>
      <c r="NMU28" s="93"/>
      <c r="NMV28" s="30"/>
      <c r="NNA28" s="93"/>
      <c r="NNB28" s="30"/>
      <c r="NNG28" s="93"/>
      <c r="NNH28" s="30"/>
      <c r="NNM28" s="93"/>
      <c r="NNN28" s="30"/>
      <c r="NNS28" s="93"/>
      <c r="NNT28" s="30"/>
      <c r="NNY28" s="93"/>
      <c r="NNZ28" s="30"/>
      <c r="NOE28" s="93"/>
      <c r="NOF28" s="30"/>
      <c r="NOK28" s="93"/>
      <c r="NOL28" s="30"/>
      <c r="NOQ28" s="93"/>
      <c r="NOR28" s="30"/>
      <c r="NOW28" s="93"/>
      <c r="NOX28" s="30"/>
      <c r="NPC28" s="93"/>
      <c r="NPD28" s="30"/>
      <c r="NPI28" s="93"/>
      <c r="NPJ28" s="30"/>
      <c r="NPO28" s="93"/>
      <c r="NPP28" s="30"/>
      <c r="NPU28" s="93"/>
      <c r="NPV28" s="30"/>
      <c r="NQA28" s="93"/>
      <c r="NQB28" s="30"/>
      <c r="NQG28" s="93"/>
      <c r="NQH28" s="30"/>
      <c r="NQM28" s="93"/>
      <c r="NQN28" s="30"/>
      <c r="NQS28" s="93"/>
      <c r="NQT28" s="30"/>
      <c r="NQY28" s="93"/>
      <c r="NQZ28" s="30"/>
      <c r="NRE28" s="93"/>
      <c r="NRF28" s="30"/>
      <c r="NRK28" s="93"/>
      <c r="NRL28" s="30"/>
      <c r="NRQ28" s="93"/>
      <c r="NRR28" s="30"/>
      <c r="NRW28" s="93"/>
      <c r="NRX28" s="30"/>
      <c r="NSC28" s="93"/>
      <c r="NSD28" s="30"/>
      <c r="NSI28" s="93"/>
      <c r="NSJ28" s="30"/>
      <c r="NSO28" s="93"/>
      <c r="NSP28" s="30"/>
      <c r="NSU28" s="93"/>
      <c r="NSV28" s="30"/>
      <c r="NTA28" s="93"/>
      <c r="NTB28" s="30"/>
      <c r="NTG28" s="93"/>
      <c r="NTH28" s="30"/>
      <c r="NTM28" s="93"/>
      <c r="NTN28" s="30"/>
      <c r="NTS28" s="93"/>
      <c r="NTT28" s="30"/>
      <c r="NTY28" s="93"/>
      <c r="NTZ28" s="30"/>
      <c r="NUE28" s="93"/>
      <c r="NUF28" s="30"/>
      <c r="NUK28" s="93"/>
      <c r="NUL28" s="30"/>
      <c r="NUQ28" s="93"/>
      <c r="NUR28" s="30"/>
      <c r="NUW28" s="93"/>
      <c r="NUX28" s="30"/>
      <c r="NVC28" s="93"/>
      <c r="NVD28" s="30"/>
      <c r="NVI28" s="93"/>
      <c r="NVJ28" s="30"/>
      <c r="NVO28" s="93"/>
      <c r="NVP28" s="30"/>
      <c r="NVU28" s="93"/>
      <c r="NVV28" s="30"/>
      <c r="NWA28" s="93"/>
      <c r="NWB28" s="30"/>
      <c r="NWG28" s="93"/>
      <c r="NWH28" s="30"/>
      <c r="NWM28" s="93"/>
      <c r="NWN28" s="30"/>
      <c r="NWS28" s="93"/>
      <c r="NWT28" s="30"/>
      <c r="NWY28" s="93"/>
      <c r="NWZ28" s="30"/>
      <c r="NXE28" s="93"/>
      <c r="NXF28" s="30"/>
      <c r="NXK28" s="93"/>
      <c r="NXL28" s="30"/>
      <c r="NXQ28" s="93"/>
      <c r="NXR28" s="30"/>
      <c r="NXW28" s="93"/>
      <c r="NXX28" s="30"/>
      <c r="NYC28" s="93"/>
      <c r="NYD28" s="30"/>
      <c r="NYI28" s="93"/>
      <c r="NYJ28" s="30"/>
      <c r="NYO28" s="93"/>
      <c r="NYP28" s="30"/>
      <c r="NYU28" s="93"/>
      <c r="NYV28" s="30"/>
      <c r="NZA28" s="93"/>
      <c r="NZB28" s="30"/>
      <c r="NZG28" s="93"/>
      <c r="NZH28" s="30"/>
      <c r="NZM28" s="93"/>
      <c r="NZN28" s="30"/>
      <c r="NZS28" s="93"/>
      <c r="NZT28" s="30"/>
      <c r="NZY28" s="93"/>
      <c r="NZZ28" s="30"/>
      <c r="OAE28" s="93"/>
      <c r="OAF28" s="30"/>
      <c r="OAK28" s="93"/>
      <c r="OAL28" s="30"/>
      <c r="OAQ28" s="93"/>
      <c r="OAR28" s="30"/>
      <c r="OAW28" s="93"/>
      <c r="OAX28" s="30"/>
      <c r="OBC28" s="93"/>
      <c r="OBD28" s="30"/>
      <c r="OBI28" s="93"/>
      <c r="OBJ28" s="30"/>
      <c r="OBO28" s="93"/>
      <c r="OBP28" s="30"/>
      <c r="OBU28" s="93"/>
      <c r="OBV28" s="30"/>
      <c r="OCA28" s="93"/>
      <c r="OCB28" s="30"/>
      <c r="OCG28" s="93"/>
      <c r="OCH28" s="30"/>
      <c r="OCM28" s="93"/>
      <c r="OCN28" s="30"/>
      <c r="OCS28" s="93"/>
      <c r="OCT28" s="30"/>
      <c r="OCY28" s="93"/>
      <c r="OCZ28" s="30"/>
      <c r="ODE28" s="93"/>
      <c r="ODF28" s="30"/>
      <c r="ODK28" s="93"/>
      <c r="ODL28" s="30"/>
      <c r="ODQ28" s="93"/>
      <c r="ODR28" s="30"/>
      <c r="ODW28" s="93"/>
      <c r="ODX28" s="30"/>
      <c r="OEC28" s="93"/>
      <c r="OED28" s="30"/>
      <c r="OEI28" s="93"/>
      <c r="OEJ28" s="30"/>
      <c r="OEO28" s="93"/>
      <c r="OEP28" s="30"/>
      <c r="OEU28" s="93"/>
      <c r="OEV28" s="30"/>
      <c r="OFA28" s="93"/>
      <c r="OFB28" s="30"/>
      <c r="OFG28" s="93"/>
      <c r="OFH28" s="30"/>
      <c r="OFM28" s="93"/>
      <c r="OFN28" s="30"/>
      <c r="OFS28" s="93"/>
      <c r="OFT28" s="30"/>
      <c r="OFY28" s="93"/>
      <c r="OFZ28" s="30"/>
      <c r="OGE28" s="93"/>
      <c r="OGF28" s="30"/>
      <c r="OGK28" s="93"/>
      <c r="OGL28" s="30"/>
      <c r="OGQ28" s="93"/>
      <c r="OGR28" s="30"/>
      <c r="OGW28" s="93"/>
      <c r="OGX28" s="30"/>
      <c r="OHC28" s="93"/>
      <c r="OHD28" s="30"/>
      <c r="OHI28" s="93"/>
      <c r="OHJ28" s="30"/>
      <c r="OHO28" s="93"/>
      <c r="OHP28" s="30"/>
      <c r="OHU28" s="93"/>
      <c r="OHV28" s="30"/>
      <c r="OIA28" s="93"/>
      <c r="OIB28" s="30"/>
      <c r="OIG28" s="93"/>
      <c r="OIH28" s="30"/>
      <c r="OIM28" s="93"/>
      <c r="OIN28" s="30"/>
      <c r="OIS28" s="93"/>
      <c r="OIT28" s="30"/>
      <c r="OIY28" s="93"/>
      <c r="OIZ28" s="30"/>
      <c r="OJE28" s="93"/>
      <c r="OJF28" s="30"/>
      <c r="OJK28" s="93"/>
      <c r="OJL28" s="30"/>
      <c r="OJQ28" s="93"/>
      <c r="OJR28" s="30"/>
      <c r="OJW28" s="93"/>
      <c r="OJX28" s="30"/>
      <c r="OKC28" s="93"/>
      <c r="OKD28" s="30"/>
      <c r="OKI28" s="93"/>
      <c r="OKJ28" s="30"/>
      <c r="OKO28" s="93"/>
      <c r="OKP28" s="30"/>
      <c r="OKU28" s="93"/>
      <c r="OKV28" s="30"/>
      <c r="OLA28" s="93"/>
      <c r="OLB28" s="30"/>
      <c r="OLG28" s="93"/>
      <c r="OLH28" s="30"/>
      <c r="OLM28" s="93"/>
      <c r="OLN28" s="30"/>
      <c r="OLS28" s="93"/>
      <c r="OLT28" s="30"/>
      <c r="OLY28" s="93"/>
      <c r="OLZ28" s="30"/>
      <c r="OME28" s="93"/>
      <c r="OMF28" s="30"/>
      <c r="OMK28" s="93"/>
      <c r="OML28" s="30"/>
      <c r="OMQ28" s="93"/>
      <c r="OMR28" s="30"/>
      <c r="OMW28" s="93"/>
      <c r="OMX28" s="30"/>
      <c r="ONC28" s="93"/>
      <c r="OND28" s="30"/>
      <c r="ONI28" s="93"/>
      <c r="ONJ28" s="30"/>
      <c r="ONO28" s="93"/>
      <c r="ONP28" s="30"/>
      <c r="ONU28" s="93"/>
      <c r="ONV28" s="30"/>
      <c r="OOA28" s="93"/>
      <c r="OOB28" s="30"/>
      <c r="OOG28" s="93"/>
      <c r="OOH28" s="30"/>
      <c r="OOM28" s="93"/>
      <c r="OON28" s="30"/>
      <c r="OOS28" s="93"/>
      <c r="OOT28" s="30"/>
      <c r="OOY28" s="93"/>
      <c r="OOZ28" s="30"/>
      <c r="OPE28" s="93"/>
      <c r="OPF28" s="30"/>
      <c r="OPK28" s="93"/>
      <c r="OPL28" s="30"/>
      <c r="OPQ28" s="93"/>
      <c r="OPR28" s="30"/>
      <c r="OPW28" s="93"/>
      <c r="OPX28" s="30"/>
      <c r="OQC28" s="93"/>
      <c r="OQD28" s="30"/>
      <c r="OQI28" s="93"/>
      <c r="OQJ28" s="30"/>
      <c r="OQO28" s="93"/>
      <c r="OQP28" s="30"/>
      <c r="OQU28" s="93"/>
      <c r="OQV28" s="30"/>
      <c r="ORA28" s="93"/>
      <c r="ORB28" s="30"/>
      <c r="ORG28" s="93"/>
      <c r="ORH28" s="30"/>
      <c r="ORM28" s="93"/>
      <c r="ORN28" s="30"/>
      <c r="ORS28" s="93"/>
      <c r="ORT28" s="30"/>
      <c r="ORY28" s="93"/>
      <c r="ORZ28" s="30"/>
      <c r="OSE28" s="93"/>
      <c r="OSF28" s="30"/>
      <c r="OSK28" s="93"/>
      <c r="OSL28" s="30"/>
      <c r="OSQ28" s="93"/>
      <c r="OSR28" s="30"/>
      <c r="OSW28" s="93"/>
      <c r="OSX28" s="30"/>
      <c r="OTC28" s="93"/>
      <c r="OTD28" s="30"/>
      <c r="OTI28" s="93"/>
      <c r="OTJ28" s="30"/>
      <c r="OTO28" s="93"/>
      <c r="OTP28" s="30"/>
      <c r="OTU28" s="93"/>
      <c r="OTV28" s="30"/>
      <c r="OUA28" s="93"/>
      <c r="OUB28" s="30"/>
      <c r="OUG28" s="93"/>
      <c r="OUH28" s="30"/>
      <c r="OUM28" s="93"/>
      <c r="OUN28" s="30"/>
      <c r="OUS28" s="93"/>
      <c r="OUT28" s="30"/>
      <c r="OUY28" s="93"/>
      <c r="OUZ28" s="30"/>
      <c r="OVE28" s="93"/>
      <c r="OVF28" s="30"/>
      <c r="OVK28" s="93"/>
      <c r="OVL28" s="30"/>
      <c r="OVQ28" s="93"/>
      <c r="OVR28" s="30"/>
      <c r="OVW28" s="93"/>
      <c r="OVX28" s="30"/>
      <c r="OWC28" s="93"/>
      <c r="OWD28" s="30"/>
      <c r="OWI28" s="93"/>
      <c r="OWJ28" s="30"/>
      <c r="OWO28" s="93"/>
      <c r="OWP28" s="30"/>
      <c r="OWU28" s="93"/>
      <c r="OWV28" s="30"/>
      <c r="OXA28" s="93"/>
      <c r="OXB28" s="30"/>
      <c r="OXG28" s="93"/>
      <c r="OXH28" s="30"/>
      <c r="OXM28" s="93"/>
      <c r="OXN28" s="30"/>
      <c r="OXS28" s="93"/>
      <c r="OXT28" s="30"/>
      <c r="OXY28" s="93"/>
      <c r="OXZ28" s="30"/>
      <c r="OYE28" s="93"/>
      <c r="OYF28" s="30"/>
      <c r="OYK28" s="93"/>
      <c r="OYL28" s="30"/>
      <c r="OYQ28" s="93"/>
      <c r="OYR28" s="30"/>
      <c r="OYW28" s="93"/>
      <c r="OYX28" s="30"/>
      <c r="OZC28" s="93"/>
      <c r="OZD28" s="30"/>
      <c r="OZI28" s="93"/>
      <c r="OZJ28" s="30"/>
      <c r="OZO28" s="93"/>
      <c r="OZP28" s="30"/>
      <c r="OZU28" s="93"/>
      <c r="OZV28" s="30"/>
      <c r="PAA28" s="93"/>
      <c r="PAB28" s="30"/>
      <c r="PAG28" s="93"/>
      <c r="PAH28" s="30"/>
      <c r="PAM28" s="93"/>
      <c r="PAN28" s="30"/>
      <c r="PAS28" s="93"/>
      <c r="PAT28" s="30"/>
      <c r="PAY28" s="93"/>
      <c r="PAZ28" s="30"/>
      <c r="PBE28" s="93"/>
      <c r="PBF28" s="30"/>
      <c r="PBK28" s="93"/>
      <c r="PBL28" s="30"/>
      <c r="PBQ28" s="93"/>
      <c r="PBR28" s="30"/>
      <c r="PBW28" s="93"/>
      <c r="PBX28" s="30"/>
      <c r="PCC28" s="93"/>
      <c r="PCD28" s="30"/>
      <c r="PCI28" s="93"/>
      <c r="PCJ28" s="30"/>
      <c r="PCO28" s="93"/>
      <c r="PCP28" s="30"/>
      <c r="PCU28" s="93"/>
      <c r="PCV28" s="30"/>
      <c r="PDA28" s="93"/>
      <c r="PDB28" s="30"/>
      <c r="PDG28" s="93"/>
      <c r="PDH28" s="30"/>
      <c r="PDM28" s="93"/>
      <c r="PDN28" s="30"/>
      <c r="PDS28" s="93"/>
      <c r="PDT28" s="30"/>
      <c r="PDY28" s="93"/>
      <c r="PDZ28" s="30"/>
      <c r="PEE28" s="93"/>
      <c r="PEF28" s="30"/>
      <c r="PEK28" s="93"/>
      <c r="PEL28" s="30"/>
      <c r="PEQ28" s="93"/>
      <c r="PER28" s="30"/>
      <c r="PEW28" s="93"/>
      <c r="PEX28" s="30"/>
      <c r="PFC28" s="93"/>
      <c r="PFD28" s="30"/>
      <c r="PFI28" s="93"/>
      <c r="PFJ28" s="30"/>
      <c r="PFO28" s="93"/>
      <c r="PFP28" s="30"/>
      <c r="PFU28" s="93"/>
      <c r="PFV28" s="30"/>
      <c r="PGA28" s="93"/>
      <c r="PGB28" s="30"/>
      <c r="PGG28" s="93"/>
      <c r="PGH28" s="30"/>
      <c r="PGM28" s="93"/>
      <c r="PGN28" s="30"/>
      <c r="PGS28" s="93"/>
      <c r="PGT28" s="30"/>
      <c r="PGY28" s="93"/>
      <c r="PGZ28" s="30"/>
      <c r="PHE28" s="93"/>
      <c r="PHF28" s="30"/>
      <c r="PHK28" s="93"/>
      <c r="PHL28" s="30"/>
      <c r="PHQ28" s="93"/>
      <c r="PHR28" s="30"/>
      <c r="PHW28" s="93"/>
      <c r="PHX28" s="30"/>
      <c r="PIC28" s="93"/>
      <c r="PID28" s="30"/>
      <c r="PII28" s="93"/>
      <c r="PIJ28" s="30"/>
      <c r="PIO28" s="93"/>
      <c r="PIP28" s="30"/>
      <c r="PIU28" s="93"/>
      <c r="PIV28" s="30"/>
      <c r="PJA28" s="93"/>
      <c r="PJB28" s="30"/>
      <c r="PJG28" s="93"/>
      <c r="PJH28" s="30"/>
      <c r="PJM28" s="93"/>
      <c r="PJN28" s="30"/>
      <c r="PJS28" s="93"/>
      <c r="PJT28" s="30"/>
      <c r="PJY28" s="93"/>
      <c r="PJZ28" s="30"/>
      <c r="PKE28" s="93"/>
      <c r="PKF28" s="30"/>
      <c r="PKK28" s="93"/>
      <c r="PKL28" s="30"/>
      <c r="PKQ28" s="93"/>
      <c r="PKR28" s="30"/>
      <c r="PKW28" s="93"/>
      <c r="PKX28" s="30"/>
      <c r="PLC28" s="93"/>
      <c r="PLD28" s="30"/>
      <c r="PLI28" s="93"/>
      <c r="PLJ28" s="30"/>
      <c r="PLO28" s="93"/>
      <c r="PLP28" s="30"/>
      <c r="PLU28" s="93"/>
      <c r="PLV28" s="30"/>
      <c r="PMA28" s="93"/>
      <c r="PMB28" s="30"/>
      <c r="PMG28" s="93"/>
      <c r="PMH28" s="30"/>
      <c r="PMM28" s="93"/>
      <c r="PMN28" s="30"/>
      <c r="PMS28" s="93"/>
      <c r="PMT28" s="30"/>
      <c r="PMY28" s="93"/>
      <c r="PMZ28" s="30"/>
      <c r="PNE28" s="93"/>
      <c r="PNF28" s="30"/>
      <c r="PNK28" s="93"/>
      <c r="PNL28" s="30"/>
      <c r="PNQ28" s="93"/>
      <c r="PNR28" s="30"/>
      <c r="PNW28" s="93"/>
      <c r="PNX28" s="30"/>
      <c r="POC28" s="93"/>
      <c r="POD28" s="30"/>
      <c r="POI28" s="93"/>
      <c r="POJ28" s="30"/>
      <c r="POO28" s="93"/>
      <c r="POP28" s="30"/>
      <c r="POU28" s="93"/>
      <c r="POV28" s="30"/>
      <c r="PPA28" s="93"/>
      <c r="PPB28" s="30"/>
      <c r="PPG28" s="93"/>
      <c r="PPH28" s="30"/>
      <c r="PPM28" s="93"/>
      <c r="PPN28" s="30"/>
      <c r="PPS28" s="93"/>
      <c r="PPT28" s="30"/>
      <c r="PPY28" s="93"/>
      <c r="PPZ28" s="30"/>
      <c r="PQE28" s="93"/>
      <c r="PQF28" s="30"/>
      <c r="PQK28" s="93"/>
      <c r="PQL28" s="30"/>
      <c r="PQQ28" s="93"/>
      <c r="PQR28" s="30"/>
      <c r="PQW28" s="93"/>
      <c r="PQX28" s="30"/>
      <c r="PRC28" s="93"/>
      <c r="PRD28" s="30"/>
      <c r="PRI28" s="93"/>
      <c r="PRJ28" s="30"/>
      <c r="PRO28" s="93"/>
      <c r="PRP28" s="30"/>
      <c r="PRU28" s="93"/>
      <c r="PRV28" s="30"/>
      <c r="PSA28" s="93"/>
      <c r="PSB28" s="30"/>
      <c r="PSG28" s="93"/>
      <c r="PSH28" s="30"/>
      <c r="PSM28" s="93"/>
      <c r="PSN28" s="30"/>
      <c r="PSS28" s="93"/>
      <c r="PST28" s="30"/>
      <c r="PSY28" s="93"/>
      <c r="PSZ28" s="30"/>
      <c r="PTE28" s="93"/>
      <c r="PTF28" s="30"/>
      <c r="PTK28" s="93"/>
      <c r="PTL28" s="30"/>
      <c r="PTQ28" s="93"/>
      <c r="PTR28" s="30"/>
      <c r="PTW28" s="93"/>
      <c r="PTX28" s="30"/>
      <c r="PUC28" s="93"/>
      <c r="PUD28" s="30"/>
      <c r="PUI28" s="93"/>
      <c r="PUJ28" s="30"/>
      <c r="PUO28" s="93"/>
      <c r="PUP28" s="30"/>
      <c r="PUU28" s="93"/>
      <c r="PUV28" s="30"/>
      <c r="PVA28" s="93"/>
      <c r="PVB28" s="30"/>
      <c r="PVG28" s="93"/>
      <c r="PVH28" s="30"/>
      <c r="PVM28" s="93"/>
      <c r="PVN28" s="30"/>
      <c r="PVS28" s="93"/>
      <c r="PVT28" s="30"/>
      <c r="PVY28" s="93"/>
      <c r="PVZ28" s="30"/>
      <c r="PWE28" s="93"/>
      <c r="PWF28" s="30"/>
      <c r="PWK28" s="93"/>
      <c r="PWL28" s="30"/>
      <c r="PWQ28" s="93"/>
      <c r="PWR28" s="30"/>
      <c r="PWW28" s="93"/>
      <c r="PWX28" s="30"/>
      <c r="PXC28" s="93"/>
      <c r="PXD28" s="30"/>
      <c r="PXI28" s="93"/>
      <c r="PXJ28" s="30"/>
      <c r="PXO28" s="93"/>
      <c r="PXP28" s="30"/>
      <c r="PXU28" s="93"/>
      <c r="PXV28" s="30"/>
      <c r="PYA28" s="93"/>
      <c r="PYB28" s="30"/>
      <c r="PYG28" s="93"/>
      <c r="PYH28" s="30"/>
      <c r="PYM28" s="93"/>
      <c r="PYN28" s="30"/>
      <c r="PYS28" s="93"/>
      <c r="PYT28" s="30"/>
      <c r="PYY28" s="93"/>
      <c r="PYZ28" s="30"/>
      <c r="PZE28" s="93"/>
      <c r="PZF28" s="30"/>
      <c r="PZK28" s="93"/>
      <c r="PZL28" s="30"/>
      <c r="PZQ28" s="93"/>
      <c r="PZR28" s="30"/>
      <c r="PZW28" s="93"/>
      <c r="PZX28" s="30"/>
      <c r="QAC28" s="93"/>
      <c r="QAD28" s="30"/>
      <c r="QAI28" s="93"/>
      <c r="QAJ28" s="30"/>
      <c r="QAO28" s="93"/>
      <c r="QAP28" s="30"/>
      <c r="QAU28" s="93"/>
      <c r="QAV28" s="30"/>
      <c r="QBA28" s="93"/>
      <c r="QBB28" s="30"/>
      <c r="QBG28" s="93"/>
      <c r="QBH28" s="30"/>
      <c r="QBM28" s="93"/>
      <c r="QBN28" s="30"/>
      <c r="QBS28" s="93"/>
      <c r="QBT28" s="30"/>
      <c r="QBY28" s="93"/>
      <c r="QBZ28" s="30"/>
      <c r="QCE28" s="93"/>
      <c r="QCF28" s="30"/>
      <c r="QCK28" s="93"/>
      <c r="QCL28" s="30"/>
      <c r="QCQ28" s="93"/>
      <c r="QCR28" s="30"/>
      <c r="QCW28" s="93"/>
      <c r="QCX28" s="30"/>
      <c r="QDC28" s="93"/>
      <c r="QDD28" s="30"/>
      <c r="QDI28" s="93"/>
      <c r="QDJ28" s="30"/>
      <c r="QDO28" s="93"/>
      <c r="QDP28" s="30"/>
      <c r="QDU28" s="93"/>
      <c r="QDV28" s="30"/>
      <c r="QEA28" s="93"/>
      <c r="QEB28" s="30"/>
      <c r="QEG28" s="93"/>
      <c r="QEH28" s="30"/>
      <c r="QEM28" s="93"/>
      <c r="QEN28" s="30"/>
      <c r="QES28" s="93"/>
      <c r="QET28" s="30"/>
      <c r="QEY28" s="93"/>
      <c r="QEZ28" s="30"/>
      <c r="QFE28" s="93"/>
      <c r="QFF28" s="30"/>
      <c r="QFK28" s="93"/>
      <c r="QFL28" s="30"/>
      <c r="QFQ28" s="93"/>
      <c r="QFR28" s="30"/>
      <c r="QFW28" s="93"/>
      <c r="QFX28" s="30"/>
      <c r="QGC28" s="93"/>
      <c r="QGD28" s="30"/>
      <c r="QGI28" s="93"/>
      <c r="QGJ28" s="30"/>
      <c r="QGO28" s="93"/>
      <c r="QGP28" s="30"/>
      <c r="QGU28" s="93"/>
      <c r="QGV28" s="30"/>
      <c r="QHA28" s="93"/>
      <c r="QHB28" s="30"/>
      <c r="QHG28" s="93"/>
      <c r="QHH28" s="30"/>
      <c r="QHM28" s="93"/>
      <c r="QHN28" s="30"/>
      <c r="QHS28" s="93"/>
      <c r="QHT28" s="30"/>
      <c r="QHY28" s="93"/>
      <c r="QHZ28" s="30"/>
      <c r="QIE28" s="93"/>
      <c r="QIF28" s="30"/>
      <c r="QIK28" s="93"/>
      <c r="QIL28" s="30"/>
      <c r="QIQ28" s="93"/>
      <c r="QIR28" s="30"/>
      <c r="QIW28" s="93"/>
      <c r="QIX28" s="30"/>
      <c r="QJC28" s="93"/>
      <c r="QJD28" s="30"/>
      <c r="QJI28" s="93"/>
      <c r="QJJ28" s="30"/>
      <c r="QJO28" s="93"/>
      <c r="QJP28" s="30"/>
      <c r="QJU28" s="93"/>
      <c r="QJV28" s="30"/>
      <c r="QKA28" s="93"/>
      <c r="QKB28" s="30"/>
      <c r="QKG28" s="93"/>
      <c r="QKH28" s="30"/>
      <c r="QKM28" s="93"/>
      <c r="QKN28" s="30"/>
      <c r="QKS28" s="93"/>
      <c r="QKT28" s="30"/>
      <c r="QKY28" s="93"/>
      <c r="QKZ28" s="30"/>
      <c r="QLE28" s="93"/>
      <c r="QLF28" s="30"/>
      <c r="QLK28" s="93"/>
      <c r="QLL28" s="30"/>
      <c r="QLQ28" s="93"/>
      <c r="QLR28" s="30"/>
      <c r="QLW28" s="93"/>
      <c r="QLX28" s="30"/>
      <c r="QMC28" s="93"/>
      <c r="QMD28" s="30"/>
      <c r="QMI28" s="93"/>
      <c r="QMJ28" s="30"/>
      <c r="QMO28" s="93"/>
      <c r="QMP28" s="30"/>
      <c r="QMU28" s="93"/>
      <c r="QMV28" s="30"/>
      <c r="QNA28" s="93"/>
      <c r="QNB28" s="30"/>
      <c r="QNG28" s="93"/>
      <c r="QNH28" s="30"/>
      <c r="QNM28" s="93"/>
      <c r="QNN28" s="30"/>
      <c r="QNS28" s="93"/>
      <c r="QNT28" s="30"/>
      <c r="QNY28" s="93"/>
      <c r="QNZ28" s="30"/>
      <c r="QOE28" s="93"/>
      <c r="QOF28" s="30"/>
      <c r="QOK28" s="93"/>
      <c r="QOL28" s="30"/>
      <c r="QOQ28" s="93"/>
      <c r="QOR28" s="30"/>
      <c r="QOW28" s="93"/>
      <c r="QOX28" s="30"/>
      <c r="QPC28" s="93"/>
      <c r="QPD28" s="30"/>
      <c r="QPI28" s="93"/>
      <c r="QPJ28" s="30"/>
      <c r="QPO28" s="93"/>
      <c r="QPP28" s="30"/>
      <c r="QPU28" s="93"/>
      <c r="QPV28" s="30"/>
      <c r="QQA28" s="93"/>
      <c r="QQB28" s="30"/>
      <c r="QQG28" s="93"/>
      <c r="QQH28" s="30"/>
      <c r="QQM28" s="93"/>
      <c r="QQN28" s="30"/>
      <c r="QQS28" s="93"/>
      <c r="QQT28" s="30"/>
      <c r="QQY28" s="93"/>
      <c r="QQZ28" s="30"/>
      <c r="QRE28" s="93"/>
      <c r="QRF28" s="30"/>
      <c r="QRK28" s="93"/>
      <c r="QRL28" s="30"/>
      <c r="QRQ28" s="93"/>
      <c r="QRR28" s="30"/>
      <c r="QRW28" s="93"/>
      <c r="QRX28" s="30"/>
      <c r="QSC28" s="93"/>
      <c r="QSD28" s="30"/>
      <c r="QSI28" s="93"/>
      <c r="QSJ28" s="30"/>
      <c r="QSO28" s="93"/>
      <c r="QSP28" s="30"/>
      <c r="QSU28" s="93"/>
      <c r="QSV28" s="30"/>
      <c r="QTA28" s="93"/>
      <c r="QTB28" s="30"/>
      <c r="QTG28" s="93"/>
      <c r="QTH28" s="30"/>
      <c r="QTM28" s="93"/>
      <c r="QTN28" s="30"/>
      <c r="QTS28" s="93"/>
      <c r="QTT28" s="30"/>
      <c r="QTY28" s="93"/>
      <c r="QTZ28" s="30"/>
      <c r="QUE28" s="93"/>
      <c r="QUF28" s="30"/>
      <c r="QUK28" s="93"/>
      <c r="QUL28" s="30"/>
      <c r="QUQ28" s="93"/>
      <c r="QUR28" s="30"/>
      <c r="QUW28" s="93"/>
      <c r="QUX28" s="30"/>
      <c r="QVC28" s="93"/>
      <c r="QVD28" s="30"/>
      <c r="QVI28" s="93"/>
      <c r="QVJ28" s="30"/>
      <c r="QVO28" s="93"/>
      <c r="QVP28" s="30"/>
      <c r="QVU28" s="93"/>
      <c r="QVV28" s="30"/>
      <c r="QWA28" s="93"/>
      <c r="QWB28" s="30"/>
      <c r="QWG28" s="93"/>
      <c r="QWH28" s="30"/>
      <c r="QWM28" s="93"/>
      <c r="QWN28" s="30"/>
      <c r="QWS28" s="93"/>
      <c r="QWT28" s="30"/>
      <c r="QWY28" s="93"/>
      <c r="QWZ28" s="30"/>
      <c r="QXE28" s="93"/>
      <c r="QXF28" s="30"/>
      <c r="QXK28" s="93"/>
      <c r="QXL28" s="30"/>
      <c r="QXQ28" s="93"/>
      <c r="QXR28" s="30"/>
      <c r="QXW28" s="93"/>
      <c r="QXX28" s="30"/>
      <c r="QYC28" s="93"/>
      <c r="QYD28" s="30"/>
      <c r="QYI28" s="93"/>
      <c r="QYJ28" s="30"/>
      <c r="QYO28" s="93"/>
      <c r="QYP28" s="30"/>
      <c r="QYU28" s="93"/>
      <c r="QYV28" s="30"/>
      <c r="QZA28" s="93"/>
      <c r="QZB28" s="30"/>
      <c r="QZG28" s="93"/>
      <c r="QZH28" s="30"/>
      <c r="QZM28" s="93"/>
      <c r="QZN28" s="30"/>
      <c r="QZS28" s="93"/>
      <c r="QZT28" s="30"/>
      <c r="QZY28" s="93"/>
      <c r="QZZ28" s="30"/>
      <c r="RAE28" s="93"/>
      <c r="RAF28" s="30"/>
      <c r="RAK28" s="93"/>
      <c r="RAL28" s="30"/>
      <c r="RAQ28" s="93"/>
      <c r="RAR28" s="30"/>
      <c r="RAW28" s="93"/>
      <c r="RAX28" s="30"/>
      <c r="RBC28" s="93"/>
      <c r="RBD28" s="30"/>
      <c r="RBI28" s="93"/>
      <c r="RBJ28" s="30"/>
      <c r="RBO28" s="93"/>
      <c r="RBP28" s="30"/>
      <c r="RBU28" s="93"/>
      <c r="RBV28" s="30"/>
      <c r="RCA28" s="93"/>
      <c r="RCB28" s="30"/>
      <c r="RCG28" s="93"/>
      <c r="RCH28" s="30"/>
      <c r="RCM28" s="93"/>
      <c r="RCN28" s="30"/>
      <c r="RCS28" s="93"/>
      <c r="RCT28" s="30"/>
      <c r="RCY28" s="93"/>
      <c r="RCZ28" s="30"/>
      <c r="RDE28" s="93"/>
      <c r="RDF28" s="30"/>
      <c r="RDK28" s="93"/>
      <c r="RDL28" s="30"/>
      <c r="RDQ28" s="93"/>
      <c r="RDR28" s="30"/>
      <c r="RDW28" s="93"/>
      <c r="RDX28" s="30"/>
      <c r="REC28" s="93"/>
      <c r="RED28" s="30"/>
      <c r="REI28" s="93"/>
      <c r="REJ28" s="30"/>
      <c r="REO28" s="93"/>
      <c r="REP28" s="30"/>
      <c r="REU28" s="93"/>
      <c r="REV28" s="30"/>
      <c r="RFA28" s="93"/>
      <c r="RFB28" s="30"/>
      <c r="RFG28" s="93"/>
      <c r="RFH28" s="30"/>
      <c r="RFM28" s="93"/>
      <c r="RFN28" s="30"/>
      <c r="RFS28" s="93"/>
      <c r="RFT28" s="30"/>
      <c r="RFY28" s="93"/>
      <c r="RFZ28" s="30"/>
      <c r="RGE28" s="93"/>
      <c r="RGF28" s="30"/>
      <c r="RGK28" s="93"/>
      <c r="RGL28" s="30"/>
      <c r="RGQ28" s="93"/>
      <c r="RGR28" s="30"/>
      <c r="RGW28" s="93"/>
      <c r="RGX28" s="30"/>
      <c r="RHC28" s="93"/>
      <c r="RHD28" s="30"/>
      <c r="RHI28" s="93"/>
      <c r="RHJ28" s="30"/>
      <c r="RHO28" s="93"/>
      <c r="RHP28" s="30"/>
      <c r="RHU28" s="93"/>
      <c r="RHV28" s="30"/>
      <c r="RIA28" s="93"/>
      <c r="RIB28" s="30"/>
      <c r="RIG28" s="93"/>
      <c r="RIH28" s="30"/>
      <c r="RIM28" s="93"/>
      <c r="RIN28" s="30"/>
      <c r="RIS28" s="93"/>
      <c r="RIT28" s="30"/>
      <c r="RIY28" s="93"/>
      <c r="RIZ28" s="30"/>
      <c r="RJE28" s="93"/>
      <c r="RJF28" s="30"/>
      <c r="RJK28" s="93"/>
      <c r="RJL28" s="30"/>
      <c r="RJQ28" s="93"/>
      <c r="RJR28" s="30"/>
      <c r="RJW28" s="93"/>
      <c r="RJX28" s="30"/>
      <c r="RKC28" s="93"/>
      <c r="RKD28" s="30"/>
      <c r="RKI28" s="93"/>
      <c r="RKJ28" s="30"/>
      <c r="RKO28" s="93"/>
      <c r="RKP28" s="30"/>
      <c r="RKU28" s="93"/>
      <c r="RKV28" s="30"/>
      <c r="RLA28" s="93"/>
      <c r="RLB28" s="30"/>
      <c r="RLG28" s="93"/>
      <c r="RLH28" s="30"/>
      <c r="RLM28" s="93"/>
      <c r="RLN28" s="30"/>
      <c r="RLS28" s="93"/>
      <c r="RLT28" s="30"/>
      <c r="RLY28" s="93"/>
      <c r="RLZ28" s="30"/>
      <c r="RME28" s="93"/>
      <c r="RMF28" s="30"/>
      <c r="RMK28" s="93"/>
      <c r="RML28" s="30"/>
      <c r="RMQ28" s="93"/>
      <c r="RMR28" s="30"/>
      <c r="RMW28" s="93"/>
      <c r="RMX28" s="30"/>
      <c r="RNC28" s="93"/>
      <c r="RND28" s="30"/>
      <c r="RNI28" s="93"/>
      <c r="RNJ28" s="30"/>
      <c r="RNO28" s="93"/>
      <c r="RNP28" s="30"/>
      <c r="RNU28" s="93"/>
      <c r="RNV28" s="30"/>
      <c r="ROA28" s="93"/>
      <c r="ROB28" s="30"/>
      <c r="ROG28" s="93"/>
      <c r="ROH28" s="30"/>
      <c r="ROM28" s="93"/>
      <c r="RON28" s="30"/>
      <c r="ROS28" s="93"/>
      <c r="ROT28" s="30"/>
      <c r="ROY28" s="93"/>
      <c r="ROZ28" s="30"/>
      <c r="RPE28" s="93"/>
      <c r="RPF28" s="30"/>
      <c r="RPK28" s="93"/>
      <c r="RPL28" s="30"/>
      <c r="RPQ28" s="93"/>
      <c r="RPR28" s="30"/>
      <c r="RPW28" s="93"/>
      <c r="RPX28" s="30"/>
      <c r="RQC28" s="93"/>
      <c r="RQD28" s="30"/>
      <c r="RQI28" s="93"/>
      <c r="RQJ28" s="30"/>
      <c r="RQO28" s="93"/>
      <c r="RQP28" s="30"/>
      <c r="RQU28" s="93"/>
      <c r="RQV28" s="30"/>
      <c r="RRA28" s="93"/>
      <c r="RRB28" s="30"/>
      <c r="RRG28" s="93"/>
      <c r="RRH28" s="30"/>
      <c r="RRM28" s="93"/>
      <c r="RRN28" s="30"/>
      <c r="RRS28" s="93"/>
      <c r="RRT28" s="30"/>
      <c r="RRY28" s="93"/>
      <c r="RRZ28" s="30"/>
      <c r="RSE28" s="93"/>
      <c r="RSF28" s="30"/>
      <c r="RSK28" s="93"/>
      <c r="RSL28" s="30"/>
      <c r="RSQ28" s="93"/>
      <c r="RSR28" s="30"/>
      <c r="RSW28" s="93"/>
      <c r="RSX28" s="30"/>
      <c r="RTC28" s="93"/>
      <c r="RTD28" s="30"/>
      <c r="RTI28" s="93"/>
      <c r="RTJ28" s="30"/>
      <c r="RTO28" s="93"/>
      <c r="RTP28" s="30"/>
      <c r="RTU28" s="93"/>
      <c r="RTV28" s="30"/>
      <c r="RUA28" s="93"/>
      <c r="RUB28" s="30"/>
      <c r="RUG28" s="93"/>
      <c r="RUH28" s="30"/>
      <c r="RUM28" s="93"/>
      <c r="RUN28" s="30"/>
      <c r="RUS28" s="93"/>
      <c r="RUT28" s="30"/>
      <c r="RUY28" s="93"/>
      <c r="RUZ28" s="30"/>
      <c r="RVE28" s="93"/>
      <c r="RVF28" s="30"/>
      <c r="RVK28" s="93"/>
      <c r="RVL28" s="30"/>
      <c r="RVQ28" s="93"/>
      <c r="RVR28" s="30"/>
      <c r="RVW28" s="93"/>
      <c r="RVX28" s="30"/>
      <c r="RWC28" s="93"/>
      <c r="RWD28" s="30"/>
      <c r="RWI28" s="93"/>
      <c r="RWJ28" s="30"/>
      <c r="RWO28" s="93"/>
      <c r="RWP28" s="30"/>
      <c r="RWU28" s="93"/>
      <c r="RWV28" s="30"/>
      <c r="RXA28" s="93"/>
      <c r="RXB28" s="30"/>
      <c r="RXG28" s="93"/>
      <c r="RXH28" s="30"/>
      <c r="RXM28" s="93"/>
      <c r="RXN28" s="30"/>
      <c r="RXS28" s="93"/>
      <c r="RXT28" s="30"/>
      <c r="RXY28" s="93"/>
      <c r="RXZ28" s="30"/>
      <c r="RYE28" s="93"/>
      <c r="RYF28" s="30"/>
      <c r="RYK28" s="93"/>
      <c r="RYL28" s="30"/>
      <c r="RYQ28" s="93"/>
      <c r="RYR28" s="30"/>
      <c r="RYW28" s="93"/>
      <c r="RYX28" s="30"/>
      <c r="RZC28" s="93"/>
      <c r="RZD28" s="30"/>
      <c r="RZI28" s="93"/>
      <c r="RZJ28" s="30"/>
      <c r="RZO28" s="93"/>
      <c r="RZP28" s="30"/>
      <c r="RZU28" s="93"/>
      <c r="RZV28" s="30"/>
      <c r="SAA28" s="93"/>
      <c r="SAB28" s="30"/>
      <c r="SAG28" s="93"/>
      <c r="SAH28" s="30"/>
      <c r="SAM28" s="93"/>
      <c r="SAN28" s="30"/>
      <c r="SAS28" s="93"/>
      <c r="SAT28" s="30"/>
      <c r="SAY28" s="93"/>
      <c r="SAZ28" s="30"/>
      <c r="SBE28" s="93"/>
      <c r="SBF28" s="30"/>
      <c r="SBK28" s="93"/>
      <c r="SBL28" s="30"/>
      <c r="SBQ28" s="93"/>
      <c r="SBR28" s="30"/>
      <c r="SBW28" s="93"/>
      <c r="SBX28" s="30"/>
      <c r="SCC28" s="93"/>
      <c r="SCD28" s="30"/>
      <c r="SCI28" s="93"/>
      <c r="SCJ28" s="30"/>
      <c r="SCO28" s="93"/>
      <c r="SCP28" s="30"/>
      <c r="SCU28" s="93"/>
      <c r="SCV28" s="30"/>
      <c r="SDA28" s="93"/>
      <c r="SDB28" s="30"/>
      <c r="SDG28" s="93"/>
      <c r="SDH28" s="30"/>
      <c r="SDM28" s="93"/>
      <c r="SDN28" s="30"/>
      <c r="SDS28" s="93"/>
      <c r="SDT28" s="30"/>
      <c r="SDY28" s="93"/>
      <c r="SDZ28" s="30"/>
      <c r="SEE28" s="93"/>
      <c r="SEF28" s="30"/>
      <c r="SEK28" s="93"/>
      <c r="SEL28" s="30"/>
      <c r="SEQ28" s="93"/>
      <c r="SER28" s="30"/>
      <c r="SEW28" s="93"/>
      <c r="SEX28" s="30"/>
      <c r="SFC28" s="93"/>
      <c r="SFD28" s="30"/>
      <c r="SFI28" s="93"/>
      <c r="SFJ28" s="30"/>
      <c r="SFO28" s="93"/>
      <c r="SFP28" s="30"/>
      <c r="SFU28" s="93"/>
      <c r="SFV28" s="30"/>
      <c r="SGA28" s="93"/>
      <c r="SGB28" s="30"/>
      <c r="SGG28" s="93"/>
      <c r="SGH28" s="30"/>
      <c r="SGM28" s="93"/>
      <c r="SGN28" s="30"/>
      <c r="SGS28" s="93"/>
      <c r="SGT28" s="30"/>
      <c r="SGY28" s="93"/>
      <c r="SGZ28" s="30"/>
      <c r="SHE28" s="93"/>
      <c r="SHF28" s="30"/>
      <c r="SHK28" s="93"/>
      <c r="SHL28" s="30"/>
      <c r="SHQ28" s="93"/>
      <c r="SHR28" s="30"/>
      <c r="SHW28" s="93"/>
      <c r="SHX28" s="30"/>
      <c r="SIC28" s="93"/>
      <c r="SID28" s="30"/>
      <c r="SII28" s="93"/>
      <c r="SIJ28" s="30"/>
      <c r="SIO28" s="93"/>
      <c r="SIP28" s="30"/>
      <c r="SIU28" s="93"/>
      <c r="SIV28" s="30"/>
      <c r="SJA28" s="93"/>
      <c r="SJB28" s="30"/>
      <c r="SJG28" s="93"/>
      <c r="SJH28" s="30"/>
      <c r="SJM28" s="93"/>
      <c r="SJN28" s="30"/>
      <c r="SJS28" s="93"/>
      <c r="SJT28" s="30"/>
      <c r="SJY28" s="93"/>
      <c r="SJZ28" s="30"/>
      <c r="SKE28" s="93"/>
      <c r="SKF28" s="30"/>
      <c r="SKK28" s="93"/>
      <c r="SKL28" s="30"/>
      <c r="SKQ28" s="93"/>
      <c r="SKR28" s="30"/>
      <c r="SKW28" s="93"/>
      <c r="SKX28" s="30"/>
      <c r="SLC28" s="93"/>
      <c r="SLD28" s="30"/>
      <c r="SLI28" s="93"/>
      <c r="SLJ28" s="30"/>
      <c r="SLO28" s="93"/>
      <c r="SLP28" s="30"/>
      <c r="SLU28" s="93"/>
      <c r="SLV28" s="30"/>
      <c r="SMA28" s="93"/>
      <c r="SMB28" s="30"/>
      <c r="SMG28" s="93"/>
      <c r="SMH28" s="30"/>
      <c r="SMM28" s="93"/>
      <c r="SMN28" s="30"/>
      <c r="SMS28" s="93"/>
      <c r="SMT28" s="30"/>
      <c r="SMY28" s="93"/>
      <c r="SMZ28" s="30"/>
      <c r="SNE28" s="93"/>
      <c r="SNF28" s="30"/>
      <c r="SNK28" s="93"/>
      <c r="SNL28" s="30"/>
      <c r="SNQ28" s="93"/>
      <c r="SNR28" s="30"/>
      <c r="SNW28" s="93"/>
      <c r="SNX28" s="30"/>
      <c r="SOC28" s="93"/>
      <c r="SOD28" s="30"/>
      <c r="SOI28" s="93"/>
      <c r="SOJ28" s="30"/>
      <c r="SOO28" s="93"/>
      <c r="SOP28" s="30"/>
      <c r="SOU28" s="93"/>
      <c r="SOV28" s="30"/>
      <c r="SPA28" s="93"/>
      <c r="SPB28" s="30"/>
      <c r="SPG28" s="93"/>
      <c r="SPH28" s="30"/>
      <c r="SPM28" s="93"/>
      <c r="SPN28" s="30"/>
      <c r="SPS28" s="93"/>
      <c r="SPT28" s="30"/>
      <c r="SPY28" s="93"/>
      <c r="SPZ28" s="30"/>
      <c r="SQE28" s="93"/>
      <c r="SQF28" s="30"/>
      <c r="SQK28" s="93"/>
      <c r="SQL28" s="30"/>
      <c r="SQQ28" s="93"/>
      <c r="SQR28" s="30"/>
      <c r="SQW28" s="93"/>
      <c r="SQX28" s="30"/>
      <c r="SRC28" s="93"/>
      <c r="SRD28" s="30"/>
      <c r="SRI28" s="93"/>
      <c r="SRJ28" s="30"/>
      <c r="SRO28" s="93"/>
      <c r="SRP28" s="30"/>
      <c r="SRU28" s="93"/>
      <c r="SRV28" s="30"/>
      <c r="SSA28" s="93"/>
      <c r="SSB28" s="30"/>
      <c r="SSG28" s="93"/>
      <c r="SSH28" s="30"/>
      <c r="SSM28" s="93"/>
      <c r="SSN28" s="30"/>
      <c r="SSS28" s="93"/>
      <c r="SST28" s="30"/>
      <c r="SSY28" s="93"/>
      <c r="SSZ28" s="30"/>
      <c r="STE28" s="93"/>
      <c r="STF28" s="30"/>
      <c r="STK28" s="93"/>
      <c r="STL28" s="30"/>
      <c r="STQ28" s="93"/>
      <c r="STR28" s="30"/>
      <c r="STW28" s="93"/>
      <c r="STX28" s="30"/>
      <c r="SUC28" s="93"/>
      <c r="SUD28" s="30"/>
      <c r="SUI28" s="93"/>
      <c r="SUJ28" s="30"/>
      <c r="SUO28" s="93"/>
      <c r="SUP28" s="30"/>
      <c r="SUU28" s="93"/>
      <c r="SUV28" s="30"/>
      <c r="SVA28" s="93"/>
      <c r="SVB28" s="30"/>
      <c r="SVG28" s="93"/>
      <c r="SVH28" s="30"/>
      <c r="SVM28" s="93"/>
      <c r="SVN28" s="30"/>
      <c r="SVS28" s="93"/>
      <c r="SVT28" s="30"/>
      <c r="SVY28" s="93"/>
      <c r="SVZ28" s="30"/>
      <c r="SWE28" s="93"/>
      <c r="SWF28" s="30"/>
      <c r="SWK28" s="93"/>
      <c r="SWL28" s="30"/>
      <c r="SWQ28" s="93"/>
      <c r="SWR28" s="30"/>
      <c r="SWW28" s="93"/>
      <c r="SWX28" s="30"/>
      <c r="SXC28" s="93"/>
      <c r="SXD28" s="30"/>
      <c r="SXI28" s="93"/>
      <c r="SXJ28" s="30"/>
      <c r="SXO28" s="93"/>
      <c r="SXP28" s="30"/>
      <c r="SXU28" s="93"/>
      <c r="SXV28" s="30"/>
      <c r="SYA28" s="93"/>
      <c r="SYB28" s="30"/>
      <c r="SYG28" s="93"/>
      <c r="SYH28" s="30"/>
      <c r="SYM28" s="93"/>
      <c r="SYN28" s="30"/>
      <c r="SYS28" s="93"/>
      <c r="SYT28" s="30"/>
      <c r="SYY28" s="93"/>
      <c r="SYZ28" s="30"/>
      <c r="SZE28" s="93"/>
      <c r="SZF28" s="30"/>
      <c r="SZK28" s="93"/>
      <c r="SZL28" s="30"/>
      <c r="SZQ28" s="93"/>
      <c r="SZR28" s="30"/>
      <c r="SZW28" s="93"/>
      <c r="SZX28" s="30"/>
      <c r="TAC28" s="93"/>
      <c r="TAD28" s="30"/>
      <c r="TAI28" s="93"/>
      <c r="TAJ28" s="30"/>
      <c r="TAO28" s="93"/>
      <c r="TAP28" s="30"/>
      <c r="TAU28" s="93"/>
      <c r="TAV28" s="30"/>
      <c r="TBA28" s="93"/>
      <c r="TBB28" s="30"/>
      <c r="TBG28" s="93"/>
      <c r="TBH28" s="30"/>
      <c r="TBM28" s="93"/>
      <c r="TBN28" s="30"/>
      <c r="TBS28" s="93"/>
      <c r="TBT28" s="30"/>
      <c r="TBY28" s="93"/>
      <c r="TBZ28" s="30"/>
      <c r="TCE28" s="93"/>
      <c r="TCF28" s="30"/>
      <c r="TCK28" s="93"/>
      <c r="TCL28" s="30"/>
      <c r="TCQ28" s="93"/>
      <c r="TCR28" s="30"/>
      <c r="TCW28" s="93"/>
      <c r="TCX28" s="30"/>
      <c r="TDC28" s="93"/>
      <c r="TDD28" s="30"/>
      <c r="TDI28" s="93"/>
      <c r="TDJ28" s="30"/>
      <c r="TDO28" s="93"/>
      <c r="TDP28" s="30"/>
      <c r="TDU28" s="93"/>
      <c r="TDV28" s="30"/>
      <c r="TEA28" s="93"/>
      <c r="TEB28" s="30"/>
      <c r="TEG28" s="93"/>
      <c r="TEH28" s="30"/>
      <c r="TEM28" s="93"/>
      <c r="TEN28" s="30"/>
      <c r="TES28" s="93"/>
      <c r="TET28" s="30"/>
      <c r="TEY28" s="93"/>
      <c r="TEZ28" s="30"/>
      <c r="TFE28" s="93"/>
      <c r="TFF28" s="30"/>
      <c r="TFK28" s="93"/>
      <c r="TFL28" s="30"/>
      <c r="TFQ28" s="93"/>
      <c r="TFR28" s="30"/>
      <c r="TFW28" s="93"/>
      <c r="TFX28" s="30"/>
      <c r="TGC28" s="93"/>
      <c r="TGD28" s="30"/>
      <c r="TGI28" s="93"/>
      <c r="TGJ28" s="30"/>
      <c r="TGO28" s="93"/>
      <c r="TGP28" s="30"/>
      <c r="TGU28" s="93"/>
      <c r="TGV28" s="30"/>
      <c r="THA28" s="93"/>
      <c r="THB28" s="30"/>
      <c r="THG28" s="93"/>
      <c r="THH28" s="30"/>
      <c r="THM28" s="93"/>
      <c r="THN28" s="30"/>
      <c r="THS28" s="93"/>
      <c r="THT28" s="30"/>
      <c r="THY28" s="93"/>
      <c r="THZ28" s="30"/>
      <c r="TIE28" s="93"/>
      <c r="TIF28" s="30"/>
      <c r="TIK28" s="93"/>
      <c r="TIL28" s="30"/>
      <c r="TIQ28" s="93"/>
      <c r="TIR28" s="30"/>
      <c r="TIW28" s="93"/>
      <c r="TIX28" s="30"/>
      <c r="TJC28" s="93"/>
      <c r="TJD28" s="30"/>
      <c r="TJI28" s="93"/>
      <c r="TJJ28" s="30"/>
      <c r="TJO28" s="93"/>
      <c r="TJP28" s="30"/>
      <c r="TJU28" s="93"/>
      <c r="TJV28" s="30"/>
      <c r="TKA28" s="93"/>
      <c r="TKB28" s="30"/>
      <c r="TKG28" s="93"/>
      <c r="TKH28" s="30"/>
      <c r="TKM28" s="93"/>
      <c r="TKN28" s="30"/>
      <c r="TKS28" s="93"/>
      <c r="TKT28" s="30"/>
      <c r="TKY28" s="93"/>
      <c r="TKZ28" s="30"/>
      <c r="TLE28" s="93"/>
      <c r="TLF28" s="30"/>
      <c r="TLK28" s="93"/>
      <c r="TLL28" s="30"/>
      <c r="TLQ28" s="93"/>
      <c r="TLR28" s="30"/>
      <c r="TLW28" s="93"/>
      <c r="TLX28" s="30"/>
      <c r="TMC28" s="93"/>
      <c r="TMD28" s="30"/>
      <c r="TMI28" s="93"/>
      <c r="TMJ28" s="30"/>
      <c r="TMO28" s="93"/>
      <c r="TMP28" s="30"/>
      <c r="TMU28" s="93"/>
      <c r="TMV28" s="30"/>
      <c r="TNA28" s="93"/>
      <c r="TNB28" s="30"/>
      <c r="TNG28" s="93"/>
      <c r="TNH28" s="30"/>
      <c r="TNM28" s="93"/>
      <c r="TNN28" s="30"/>
      <c r="TNS28" s="93"/>
      <c r="TNT28" s="30"/>
      <c r="TNY28" s="93"/>
      <c r="TNZ28" s="30"/>
      <c r="TOE28" s="93"/>
      <c r="TOF28" s="30"/>
      <c r="TOK28" s="93"/>
      <c r="TOL28" s="30"/>
      <c r="TOQ28" s="93"/>
      <c r="TOR28" s="30"/>
      <c r="TOW28" s="93"/>
      <c r="TOX28" s="30"/>
      <c r="TPC28" s="93"/>
      <c r="TPD28" s="30"/>
      <c r="TPI28" s="93"/>
      <c r="TPJ28" s="30"/>
      <c r="TPO28" s="93"/>
      <c r="TPP28" s="30"/>
      <c r="TPU28" s="93"/>
      <c r="TPV28" s="30"/>
      <c r="TQA28" s="93"/>
      <c r="TQB28" s="30"/>
      <c r="TQG28" s="93"/>
      <c r="TQH28" s="30"/>
      <c r="TQM28" s="93"/>
      <c r="TQN28" s="30"/>
      <c r="TQS28" s="93"/>
      <c r="TQT28" s="30"/>
      <c r="TQY28" s="93"/>
      <c r="TQZ28" s="30"/>
      <c r="TRE28" s="93"/>
      <c r="TRF28" s="30"/>
      <c r="TRK28" s="93"/>
      <c r="TRL28" s="30"/>
      <c r="TRQ28" s="93"/>
      <c r="TRR28" s="30"/>
      <c r="TRW28" s="93"/>
      <c r="TRX28" s="30"/>
      <c r="TSC28" s="93"/>
      <c r="TSD28" s="30"/>
      <c r="TSI28" s="93"/>
      <c r="TSJ28" s="30"/>
      <c r="TSO28" s="93"/>
      <c r="TSP28" s="30"/>
      <c r="TSU28" s="93"/>
      <c r="TSV28" s="30"/>
      <c r="TTA28" s="93"/>
      <c r="TTB28" s="30"/>
      <c r="TTG28" s="93"/>
      <c r="TTH28" s="30"/>
      <c r="TTM28" s="93"/>
      <c r="TTN28" s="30"/>
      <c r="TTS28" s="93"/>
      <c r="TTT28" s="30"/>
      <c r="TTY28" s="93"/>
      <c r="TTZ28" s="30"/>
      <c r="TUE28" s="93"/>
      <c r="TUF28" s="30"/>
      <c r="TUK28" s="93"/>
      <c r="TUL28" s="30"/>
      <c r="TUQ28" s="93"/>
      <c r="TUR28" s="30"/>
      <c r="TUW28" s="93"/>
      <c r="TUX28" s="30"/>
      <c r="TVC28" s="93"/>
      <c r="TVD28" s="30"/>
      <c r="TVI28" s="93"/>
      <c r="TVJ28" s="30"/>
      <c r="TVO28" s="93"/>
      <c r="TVP28" s="30"/>
      <c r="TVU28" s="93"/>
      <c r="TVV28" s="30"/>
      <c r="TWA28" s="93"/>
      <c r="TWB28" s="30"/>
      <c r="TWG28" s="93"/>
      <c r="TWH28" s="30"/>
      <c r="TWM28" s="93"/>
      <c r="TWN28" s="30"/>
      <c r="TWS28" s="93"/>
      <c r="TWT28" s="30"/>
      <c r="TWY28" s="93"/>
      <c r="TWZ28" s="30"/>
      <c r="TXE28" s="93"/>
      <c r="TXF28" s="30"/>
      <c r="TXK28" s="93"/>
      <c r="TXL28" s="30"/>
      <c r="TXQ28" s="93"/>
      <c r="TXR28" s="30"/>
      <c r="TXW28" s="93"/>
      <c r="TXX28" s="30"/>
      <c r="TYC28" s="93"/>
      <c r="TYD28" s="30"/>
      <c r="TYI28" s="93"/>
      <c r="TYJ28" s="30"/>
      <c r="TYO28" s="93"/>
      <c r="TYP28" s="30"/>
      <c r="TYU28" s="93"/>
      <c r="TYV28" s="30"/>
      <c r="TZA28" s="93"/>
      <c r="TZB28" s="30"/>
      <c r="TZG28" s="93"/>
      <c r="TZH28" s="30"/>
      <c r="TZM28" s="93"/>
      <c r="TZN28" s="30"/>
      <c r="TZS28" s="93"/>
      <c r="TZT28" s="30"/>
      <c r="TZY28" s="93"/>
      <c r="TZZ28" s="30"/>
      <c r="UAE28" s="93"/>
      <c r="UAF28" s="30"/>
      <c r="UAK28" s="93"/>
      <c r="UAL28" s="30"/>
      <c r="UAQ28" s="93"/>
      <c r="UAR28" s="30"/>
      <c r="UAW28" s="93"/>
      <c r="UAX28" s="30"/>
      <c r="UBC28" s="93"/>
      <c r="UBD28" s="30"/>
      <c r="UBI28" s="93"/>
      <c r="UBJ28" s="30"/>
      <c r="UBO28" s="93"/>
      <c r="UBP28" s="30"/>
      <c r="UBU28" s="93"/>
      <c r="UBV28" s="30"/>
      <c r="UCA28" s="93"/>
      <c r="UCB28" s="30"/>
      <c r="UCG28" s="93"/>
      <c r="UCH28" s="30"/>
      <c r="UCM28" s="93"/>
      <c r="UCN28" s="30"/>
      <c r="UCS28" s="93"/>
      <c r="UCT28" s="30"/>
      <c r="UCY28" s="93"/>
      <c r="UCZ28" s="30"/>
      <c r="UDE28" s="93"/>
      <c r="UDF28" s="30"/>
      <c r="UDK28" s="93"/>
      <c r="UDL28" s="30"/>
      <c r="UDQ28" s="93"/>
      <c r="UDR28" s="30"/>
      <c r="UDW28" s="93"/>
      <c r="UDX28" s="30"/>
      <c r="UEC28" s="93"/>
      <c r="UED28" s="30"/>
      <c r="UEI28" s="93"/>
      <c r="UEJ28" s="30"/>
      <c r="UEO28" s="93"/>
      <c r="UEP28" s="30"/>
      <c r="UEU28" s="93"/>
      <c r="UEV28" s="30"/>
      <c r="UFA28" s="93"/>
      <c r="UFB28" s="30"/>
      <c r="UFG28" s="93"/>
      <c r="UFH28" s="30"/>
      <c r="UFM28" s="93"/>
      <c r="UFN28" s="30"/>
      <c r="UFS28" s="93"/>
      <c r="UFT28" s="30"/>
      <c r="UFY28" s="93"/>
      <c r="UFZ28" s="30"/>
      <c r="UGE28" s="93"/>
      <c r="UGF28" s="30"/>
      <c r="UGK28" s="93"/>
      <c r="UGL28" s="30"/>
      <c r="UGQ28" s="93"/>
      <c r="UGR28" s="30"/>
      <c r="UGW28" s="93"/>
      <c r="UGX28" s="30"/>
      <c r="UHC28" s="93"/>
      <c r="UHD28" s="30"/>
      <c r="UHI28" s="93"/>
      <c r="UHJ28" s="30"/>
      <c r="UHO28" s="93"/>
      <c r="UHP28" s="30"/>
      <c r="UHU28" s="93"/>
      <c r="UHV28" s="30"/>
      <c r="UIA28" s="93"/>
      <c r="UIB28" s="30"/>
      <c r="UIG28" s="93"/>
      <c r="UIH28" s="30"/>
      <c r="UIM28" s="93"/>
      <c r="UIN28" s="30"/>
      <c r="UIS28" s="93"/>
      <c r="UIT28" s="30"/>
      <c r="UIY28" s="93"/>
      <c r="UIZ28" s="30"/>
      <c r="UJE28" s="93"/>
      <c r="UJF28" s="30"/>
      <c r="UJK28" s="93"/>
      <c r="UJL28" s="30"/>
      <c r="UJQ28" s="93"/>
      <c r="UJR28" s="30"/>
      <c r="UJW28" s="93"/>
      <c r="UJX28" s="30"/>
      <c r="UKC28" s="93"/>
      <c r="UKD28" s="30"/>
      <c r="UKI28" s="93"/>
      <c r="UKJ28" s="30"/>
      <c r="UKO28" s="93"/>
      <c r="UKP28" s="30"/>
      <c r="UKU28" s="93"/>
      <c r="UKV28" s="30"/>
      <c r="ULA28" s="93"/>
      <c r="ULB28" s="30"/>
      <c r="ULG28" s="93"/>
      <c r="ULH28" s="30"/>
      <c r="ULM28" s="93"/>
      <c r="ULN28" s="30"/>
      <c r="ULS28" s="93"/>
      <c r="ULT28" s="30"/>
      <c r="ULY28" s="93"/>
      <c r="ULZ28" s="30"/>
      <c r="UME28" s="93"/>
      <c r="UMF28" s="30"/>
      <c r="UMK28" s="93"/>
      <c r="UML28" s="30"/>
      <c r="UMQ28" s="93"/>
      <c r="UMR28" s="30"/>
      <c r="UMW28" s="93"/>
      <c r="UMX28" s="30"/>
      <c r="UNC28" s="93"/>
      <c r="UND28" s="30"/>
      <c r="UNI28" s="93"/>
      <c r="UNJ28" s="30"/>
      <c r="UNO28" s="93"/>
      <c r="UNP28" s="30"/>
      <c r="UNU28" s="93"/>
      <c r="UNV28" s="30"/>
      <c r="UOA28" s="93"/>
      <c r="UOB28" s="30"/>
      <c r="UOG28" s="93"/>
      <c r="UOH28" s="30"/>
      <c r="UOM28" s="93"/>
      <c r="UON28" s="30"/>
      <c r="UOS28" s="93"/>
      <c r="UOT28" s="30"/>
      <c r="UOY28" s="93"/>
      <c r="UOZ28" s="30"/>
      <c r="UPE28" s="93"/>
      <c r="UPF28" s="30"/>
      <c r="UPK28" s="93"/>
      <c r="UPL28" s="30"/>
      <c r="UPQ28" s="93"/>
      <c r="UPR28" s="30"/>
      <c r="UPW28" s="93"/>
      <c r="UPX28" s="30"/>
      <c r="UQC28" s="93"/>
      <c r="UQD28" s="30"/>
      <c r="UQI28" s="93"/>
      <c r="UQJ28" s="30"/>
      <c r="UQO28" s="93"/>
      <c r="UQP28" s="30"/>
      <c r="UQU28" s="93"/>
      <c r="UQV28" s="30"/>
      <c r="URA28" s="93"/>
      <c r="URB28" s="30"/>
      <c r="URG28" s="93"/>
      <c r="URH28" s="30"/>
      <c r="URM28" s="93"/>
      <c r="URN28" s="30"/>
      <c r="URS28" s="93"/>
      <c r="URT28" s="30"/>
      <c r="URY28" s="93"/>
      <c r="URZ28" s="30"/>
      <c r="USE28" s="93"/>
      <c r="USF28" s="30"/>
      <c r="USK28" s="93"/>
      <c r="USL28" s="30"/>
      <c r="USQ28" s="93"/>
      <c r="USR28" s="30"/>
      <c r="USW28" s="93"/>
      <c r="USX28" s="30"/>
      <c r="UTC28" s="93"/>
      <c r="UTD28" s="30"/>
      <c r="UTI28" s="93"/>
      <c r="UTJ28" s="30"/>
      <c r="UTO28" s="93"/>
      <c r="UTP28" s="30"/>
      <c r="UTU28" s="93"/>
      <c r="UTV28" s="30"/>
      <c r="UUA28" s="93"/>
      <c r="UUB28" s="30"/>
      <c r="UUG28" s="93"/>
      <c r="UUH28" s="30"/>
      <c r="UUM28" s="93"/>
      <c r="UUN28" s="30"/>
      <c r="UUS28" s="93"/>
      <c r="UUT28" s="30"/>
      <c r="UUY28" s="93"/>
      <c r="UUZ28" s="30"/>
      <c r="UVE28" s="93"/>
      <c r="UVF28" s="30"/>
      <c r="UVK28" s="93"/>
      <c r="UVL28" s="30"/>
      <c r="UVQ28" s="93"/>
      <c r="UVR28" s="30"/>
      <c r="UVW28" s="93"/>
      <c r="UVX28" s="30"/>
      <c r="UWC28" s="93"/>
      <c r="UWD28" s="30"/>
      <c r="UWI28" s="93"/>
      <c r="UWJ28" s="30"/>
      <c r="UWO28" s="93"/>
      <c r="UWP28" s="30"/>
      <c r="UWU28" s="93"/>
      <c r="UWV28" s="30"/>
      <c r="UXA28" s="93"/>
      <c r="UXB28" s="30"/>
      <c r="UXG28" s="93"/>
      <c r="UXH28" s="30"/>
      <c r="UXM28" s="93"/>
      <c r="UXN28" s="30"/>
      <c r="UXS28" s="93"/>
      <c r="UXT28" s="30"/>
      <c r="UXY28" s="93"/>
      <c r="UXZ28" s="30"/>
      <c r="UYE28" s="93"/>
      <c r="UYF28" s="30"/>
      <c r="UYK28" s="93"/>
      <c r="UYL28" s="30"/>
      <c r="UYQ28" s="93"/>
      <c r="UYR28" s="30"/>
      <c r="UYW28" s="93"/>
      <c r="UYX28" s="30"/>
      <c r="UZC28" s="93"/>
      <c r="UZD28" s="30"/>
      <c r="UZI28" s="93"/>
      <c r="UZJ28" s="30"/>
      <c r="UZO28" s="93"/>
      <c r="UZP28" s="30"/>
      <c r="UZU28" s="93"/>
      <c r="UZV28" s="30"/>
      <c r="VAA28" s="93"/>
      <c r="VAB28" s="30"/>
      <c r="VAG28" s="93"/>
      <c r="VAH28" s="30"/>
      <c r="VAM28" s="93"/>
      <c r="VAN28" s="30"/>
      <c r="VAS28" s="93"/>
      <c r="VAT28" s="30"/>
      <c r="VAY28" s="93"/>
      <c r="VAZ28" s="30"/>
      <c r="VBE28" s="93"/>
      <c r="VBF28" s="30"/>
      <c r="VBK28" s="93"/>
      <c r="VBL28" s="30"/>
      <c r="VBQ28" s="93"/>
      <c r="VBR28" s="30"/>
      <c r="VBW28" s="93"/>
      <c r="VBX28" s="30"/>
      <c r="VCC28" s="93"/>
      <c r="VCD28" s="30"/>
      <c r="VCI28" s="93"/>
      <c r="VCJ28" s="30"/>
      <c r="VCO28" s="93"/>
      <c r="VCP28" s="30"/>
      <c r="VCU28" s="93"/>
      <c r="VCV28" s="30"/>
      <c r="VDA28" s="93"/>
      <c r="VDB28" s="30"/>
      <c r="VDG28" s="93"/>
      <c r="VDH28" s="30"/>
      <c r="VDM28" s="93"/>
      <c r="VDN28" s="30"/>
      <c r="VDS28" s="93"/>
      <c r="VDT28" s="30"/>
      <c r="VDY28" s="93"/>
      <c r="VDZ28" s="30"/>
      <c r="VEE28" s="93"/>
      <c r="VEF28" s="30"/>
      <c r="VEK28" s="93"/>
      <c r="VEL28" s="30"/>
      <c r="VEQ28" s="93"/>
      <c r="VER28" s="30"/>
      <c r="VEW28" s="93"/>
      <c r="VEX28" s="30"/>
      <c r="VFC28" s="93"/>
      <c r="VFD28" s="30"/>
      <c r="VFI28" s="93"/>
      <c r="VFJ28" s="30"/>
      <c r="VFO28" s="93"/>
      <c r="VFP28" s="30"/>
      <c r="VFU28" s="93"/>
      <c r="VFV28" s="30"/>
      <c r="VGA28" s="93"/>
      <c r="VGB28" s="30"/>
      <c r="VGG28" s="93"/>
      <c r="VGH28" s="30"/>
      <c r="VGM28" s="93"/>
      <c r="VGN28" s="30"/>
      <c r="VGS28" s="93"/>
      <c r="VGT28" s="30"/>
      <c r="VGY28" s="93"/>
      <c r="VGZ28" s="30"/>
      <c r="VHE28" s="93"/>
      <c r="VHF28" s="30"/>
      <c r="VHK28" s="93"/>
      <c r="VHL28" s="30"/>
      <c r="VHQ28" s="93"/>
      <c r="VHR28" s="30"/>
      <c r="VHW28" s="93"/>
      <c r="VHX28" s="30"/>
      <c r="VIC28" s="93"/>
      <c r="VID28" s="30"/>
      <c r="VII28" s="93"/>
      <c r="VIJ28" s="30"/>
      <c r="VIO28" s="93"/>
      <c r="VIP28" s="30"/>
      <c r="VIU28" s="93"/>
      <c r="VIV28" s="30"/>
      <c r="VJA28" s="93"/>
      <c r="VJB28" s="30"/>
      <c r="VJG28" s="93"/>
      <c r="VJH28" s="30"/>
      <c r="VJM28" s="93"/>
      <c r="VJN28" s="30"/>
      <c r="VJS28" s="93"/>
      <c r="VJT28" s="30"/>
      <c r="VJY28" s="93"/>
      <c r="VJZ28" s="30"/>
      <c r="VKE28" s="93"/>
      <c r="VKF28" s="30"/>
      <c r="VKK28" s="93"/>
      <c r="VKL28" s="30"/>
      <c r="VKQ28" s="93"/>
      <c r="VKR28" s="30"/>
      <c r="VKW28" s="93"/>
      <c r="VKX28" s="30"/>
      <c r="VLC28" s="93"/>
      <c r="VLD28" s="30"/>
      <c r="VLI28" s="93"/>
      <c r="VLJ28" s="30"/>
      <c r="VLO28" s="93"/>
      <c r="VLP28" s="30"/>
      <c r="VLU28" s="93"/>
      <c r="VLV28" s="30"/>
      <c r="VMA28" s="93"/>
      <c r="VMB28" s="30"/>
      <c r="VMG28" s="93"/>
      <c r="VMH28" s="30"/>
      <c r="VMM28" s="93"/>
      <c r="VMN28" s="30"/>
      <c r="VMS28" s="93"/>
      <c r="VMT28" s="30"/>
      <c r="VMY28" s="93"/>
      <c r="VMZ28" s="30"/>
      <c r="VNE28" s="93"/>
      <c r="VNF28" s="30"/>
      <c r="VNK28" s="93"/>
      <c r="VNL28" s="30"/>
      <c r="VNQ28" s="93"/>
      <c r="VNR28" s="30"/>
      <c r="VNW28" s="93"/>
      <c r="VNX28" s="30"/>
      <c r="VOC28" s="93"/>
      <c r="VOD28" s="30"/>
      <c r="VOI28" s="93"/>
      <c r="VOJ28" s="30"/>
      <c r="VOO28" s="93"/>
      <c r="VOP28" s="30"/>
      <c r="VOU28" s="93"/>
      <c r="VOV28" s="30"/>
      <c r="VPA28" s="93"/>
      <c r="VPB28" s="30"/>
      <c r="VPG28" s="93"/>
      <c r="VPH28" s="30"/>
      <c r="VPM28" s="93"/>
      <c r="VPN28" s="30"/>
      <c r="VPS28" s="93"/>
      <c r="VPT28" s="30"/>
      <c r="VPY28" s="93"/>
      <c r="VPZ28" s="30"/>
      <c r="VQE28" s="93"/>
      <c r="VQF28" s="30"/>
      <c r="VQK28" s="93"/>
      <c r="VQL28" s="30"/>
      <c r="VQQ28" s="93"/>
      <c r="VQR28" s="30"/>
      <c r="VQW28" s="93"/>
      <c r="VQX28" s="30"/>
      <c r="VRC28" s="93"/>
      <c r="VRD28" s="30"/>
      <c r="VRI28" s="93"/>
      <c r="VRJ28" s="30"/>
      <c r="VRO28" s="93"/>
      <c r="VRP28" s="30"/>
      <c r="VRU28" s="93"/>
      <c r="VRV28" s="30"/>
      <c r="VSA28" s="93"/>
      <c r="VSB28" s="30"/>
      <c r="VSG28" s="93"/>
      <c r="VSH28" s="30"/>
      <c r="VSM28" s="93"/>
      <c r="VSN28" s="30"/>
      <c r="VSS28" s="93"/>
      <c r="VST28" s="30"/>
      <c r="VSY28" s="93"/>
      <c r="VSZ28" s="30"/>
      <c r="VTE28" s="93"/>
      <c r="VTF28" s="30"/>
      <c r="VTK28" s="93"/>
      <c r="VTL28" s="30"/>
      <c r="VTQ28" s="93"/>
      <c r="VTR28" s="30"/>
      <c r="VTW28" s="93"/>
      <c r="VTX28" s="30"/>
      <c r="VUC28" s="93"/>
      <c r="VUD28" s="30"/>
      <c r="VUI28" s="93"/>
      <c r="VUJ28" s="30"/>
      <c r="VUO28" s="93"/>
      <c r="VUP28" s="30"/>
      <c r="VUU28" s="93"/>
      <c r="VUV28" s="30"/>
      <c r="VVA28" s="93"/>
      <c r="VVB28" s="30"/>
      <c r="VVG28" s="93"/>
      <c r="VVH28" s="30"/>
      <c r="VVM28" s="93"/>
      <c r="VVN28" s="30"/>
      <c r="VVS28" s="93"/>
      <c r="VVT28" s="30"/>
      <c r="VVY28" s="93"/>
      <c r="VVZ28" s="30"/>
      <c r="VWE28" s="93"/>
      <c r="VWF28" s="30"/>
      <c r="VWK28" s="93"/>
      <c r="VWL28" s="30"/>
      <c r="VWQ28" s="93"/>
      <c r="VWR28" s="30"/>
      <c r="VWW28" s="93"/>
      <c r="VWX28" s="30"/>
      <c r="VXC28" s="93"/>
      <c r="VXD28" s="30"/>
      <c r="VXI28" s="93"/>
      <c r="VXJ28" s="30"/>
      <c r="VXO28" s="93"/>
      <c r="VXP28" s="30"/>
      <c r="VXU28" s="93"/>
      <c r="VXV28" s="30"/>
      <c r="VYA28" s="93"/>
      <c r="VYB28" s="30"/>
      <c r="VYG28" s="93"/>
      <c r="VYH28" s="30"/>
      <c r="VYM28" s="93"/>
      <c r="VYN28" s="30"/>
      <c r="VYS28" s="93"/>
      <c r="VYT28" s="30"/>
      <c r="VYY28" s="93"/>
      <c r="VYZ28" s="30"/>
      <c r="VZE28" s="93"/>
      <c r="VZF28" s="30"/>
      <c r="VZK28" s="93"/>
      <c r="VZL28" s="30"/>
      <c r="VZQ28" s="93"/>
      <c r="VZR28" s="30"/>
      <c r="VZW28" s="93"/>
      <c r="VZX28" s="30"/>
      <c r="WAC28" s="93"/>
      <c r="WAD28" s="30"/>
      <c r="WAI28" s="93"/>
      <c r="WAJ28" s="30"/>
      <c r="WAO28" s="93"/>
      <c r="WAP28" s="30"/>
      <c r="WAU28" s="93"/>
      <c r="WAV28" s="30"/>
      <c r="WBA28" s="93"/>
      <c r="WBB28" s="30"/>
      <c r="WBG28" s="93"/>
      <c r="WBH28" s="30"/>
      <c r="WBM28" s="93"/>
      <c r="WBN28" s="30"/>
      <c r="WBS28" s="93"/>
      <c r="WBT28" s="30"/>
      <c r="WBY28" s="93"/>
      <c r="WBZ28" s="30"/>
      <c r="WCE28" s="93"/>
      <c r="WCF28" s="30"/>
      <c r="WCK28" s="93"/>
      <c r="WCL28" s="30"/>
      <c r="WCQ28" s="93"/>
      <c r="WCR28" s="30"/>
      <c r="WCW28" s="93"/>
      <c r="WCX28" s="30"/>
      <c r="WDC28" s="93"/>
      <c r="WDD28" s="30"/>
      <c r="WDI28" s="93"/>
      <c r="WDJ28" s="30"/>
      <c r="WDO28" s="93"/>
      <c r="WDP28" s="30"/>
      <c r="WDU28" s="93"/>
      <c r="WDV28" s="30"/>
      <c r="WEA28" s="93"/>
      <c r="WEB28" s="30"/>
      <c r="WEG28" s="93"/>
      <c r="WEH28" s="30"/>
      <c r="WEM28" s="93"/>
      <c r="WEN28" s="30"/>
      <c r="WES28" s="93"/>
      <c r="WET28" s="30"/>
      <c r="WEY28" s="93"/>
      <c r="WEZ28" s="30"/>
      <c r="WFE28" s="93"/>
      <c r="WFF28" s="30"/>
      <c r="WFK28" s="93"/>
      <c r="WFL28" s="30"/>
      <c r="WFQ28" s="93"/>
      <c r="WFR28" s="30"/>
      <c r="WFW28" s="93"/>
      <c r="WFX28" s="30"/>
      <c r="WGC28" s="93"/>
      <c r="WGD28" s="30"/>
      <c r="WGI28" s="93"/>
      <c r="WGJ28" s="30"/>
      <c r="WGO28" s="93"/>
      <c r="WGP28" s="30"/>
      <c r="WGU28" s="93"/>
      <c r="WGV28" s="30"/>
      <c r="WHA28" s="93"/>
      <c r="WHB28" s="30"/>
      <c r="WHG28" s="93"/>
      <c r="WHH28" s="30"/>
      <c r="WHM28" s="93"/>
      <c r="WHN28" s="30"/>
      <c r="WHS28" s="93"/>
      <c r="WHT28" s="30"/>
      <c r="WHY28" s="93"/>
      <c r="WHZ28" s="30"/>
      <c r="WIE28" s="93"/>
      <c r="WIF28" s="30"/>
      <c r="WIK28" s="93"/>
      <c r="WIL28" s="30"/>
      <c r="WIQ28" s="93"/>
      <c r="WIR28" s="30"/>
      <c r="WIW28" s="93"/>
      <c r="WIX28" s="30"/>
      <c r="WJC28" s="93"/>
      <c r="WJD28" s="30"/>
      <c r="WJI28" s="93"/>
      <c r="WJJ28" s="30"/>
      <c r="WJO28" s="93"/>
      <c r="WJP28" s="30"/>
      <c r="WJU28" s="93"/>
      <c r="WJV28" s="30"/>
      <c r="WKA28" s="93"/>
      <c r="WKB28" s="30"/>
      <c r="WKG28" s="93"/>
      <c r="WKH28" s="30"/>
      <c r="WKM28" s="93"/>
      <c r="WKN28" s="30"/>
      <c r="WKS28" s="93"/>
      <c r="WKT28" s="30"/>
      <c r="WKY28" s="93"/>
      <c r="WKZ28" s="30"/>
      <c r="WLE28" s="93"/>
      <c r="WLF28" s="30"/>
      <c r="WLK28" s="93"/>
      <c r="WLL28" s="30"/>
      <c r="WLQ28" s="93"/>
      <c r="WLR28" s="30"/>
      <c r="WLW28" s="93"/>
      <c r="WLX28" s="30"/>
      <c r="WMC28" s="93"/>
      <c r="WMD28" s="30"/>
      <c r="WMI28" s="93"/>
      <c r="WMJ28" s="30"/>
      <c r="WMO28" s="93"/>
      <c r="WMP28" s="30"/>
      <c r="WMU28" s="93"/>
      <c r="WMV28" s="30"/>
      <c r="WNA28" s="93"/>
      <c r="WNB28" s="30"/>
      <c r="WNG28" s="93"/>
      <c r="WNH28" s="30"/>
      <c r="WNM28" s="93"/>
      <c r="WNN28" s="30"/>
      <c r="WNS28" s="93"/>
      <c r="WNT28" s="30"/>
      <c r="WNY28" s="93"/>
      <c r="WNZ28" s="30"/>
      <c r="WOE28" s="93"/>
      <c r="WOF28" s="30"/>
      <c r="WOK28" s="93"/>
      <c r="WOL28" s="30"/>
      <c r="WOQ28" s="93"/>
      <c r="WOR28" s="30"/>
      <c r="WOW28" s="93"/>
      <c r="WOX28" s="30"/>
      <c r="WPC28" s="93"/>
      <c r="WPD28" s="30"/>
      <c r="WPI28" s="93"/>
      <c r="WPJ28" s="30"/>
      <c r="WPO28" s="93"/>
      <c r="WPP28" s="30"/>
      <c r="WPU28" s="93"/>
      <c r="WPV28" s="30"/>
      <c r="WQA28" s="93"/>
      <c r="WQB28" s="30"/>
      <c r="WQG28" s="93"/>
      <c r="WQH28" s="30"/>
      <c r="WQM28" s="93"/>
      <c r="WQN28" s="30"/>
      <c r="WQS28" s="93"/>
      <c r="WQT28" s="30"/>
      <c r="WQY28" s="93"/>
      <c r="WQZ28" s="30"/>
      <c r="WRE28" s="93"/>
      <c r="WRF28" s="30"/>
      <c r="WRK28" s="93"/>
      <c r="WRL28" s="30"/>
      <c r="WRQ28" s="93"/>
      <c r="WRR28" s="30"/>
      <c r="WRW28" s="93"/>
      <c r="WRX28" s="30"/>
      <c r="WSC28" s="93"/>
      <c r="WSD28" s="30"/>
      <c r="WSI28" s="93"/>
      <c r="WSJ28" s="30"/>
      <c r="WSO28" s="93"/>
      <c r="WSP28" s="30"/>
      <c r="WSU28" s="93"/>
      <c r="WSV28" s="30"/>
      <c r="WTA28" s="93"/>
      <c r="WTB28" s="30"/>
      <c r="WTG28" s="93"/>
      <c r="WTH28" s="30"/>
      <c r="WTM28" s="93"/>
      <c r="WTN28" s="30"/>
      <c r="WTS28" s="93"/>
      <c r="WTT28" s="30"/>
      <c r="WTY28" s="93"/>
      <c r="WTZ28" s="30"/>
      <c r="WUE28" s="93"/>
      <c r="WUF28" s="30"/>
      <c r="WUK28" s="93"/>
      <c r="WUL28" s="30"/>
      <c r="WUQ28" s="93"/>
      <c r="WUR28" s="30"/>
      <c r="WUW28" s="93"/>
      <c r="WUX28" s="30"/>
      <c r="WVC28" s="93"/>
      <c r="WVD28" s="30"/>
      <c r="WVI28" s="93"/>
      <c r="WVJ28" s="30"/>
      <c r="WVO28" s="93"/>
      <c r="WVP28" s="30"/>
      <c r="WVU28" s="93"/>
      <c r="WVV28" s="30"/>
      <c r="WWA28" s="93"/>
      <c r="WWB28" s="30"/>
      <c r="WWG28" s="93"/>
      <c r="WWH28" s="30"/>
      <c r="WWM28" s="93"/>
      <c r="WWN28" s="30"/>
      <c r="WWS28" s="93"/>
      <c r="WWT28" s="30"/>
      <c r="WWY28" s="93"/>
      <c r="WWZ28" s="30"/>
      <c r="WXE28" s="93"/>
      <c r="WXF28" s="30"/>
      <c r="WXK28" s="93"/>
      <c r="WXL28" s="30"/>
      <c r="WXQ28" s="93"/>
      <c r="WXR28" s="30"/>
      <c r="WXW28" s="93"/>
      <c r="WXX28" s="30"/>
      <c r="WYC28" s="93"/>
      <c r="WYD28" s="30"/>
      <c r="WYI28" s="93"/>
      <c r="WYJ28" s="30"/>
      <c r="WYO28" s="93"/>
      <c r="WYP28" s="30"/>
      <c r="WYU28" s="93"/>
      <c r="WYV28" s="30"/>
      <c r="WZA28" s="93"/>
      <c r="WZB28" s="30"/>
      <c r="WZG28" s="93"/>
      <c r="WZH28" s="30"/>
      <c r="WZM28" s="93"/>
      <c r="WZN28" s="30"/>
      <c r="WZS28" s="93"/>
      <c r="WZT28" s="30"/>
      <c r="WZY28" s="93"/>
      <c r="WZZ28" s="30"/>
      <c r="XAE28" s="93"/>
      <c r="XAF28" s="30"/>
      <c r="XAK28" s="93"/>
      <c r="XAL28" s="30"/>
      <c r="XAQ28" s="93"/>
      <c r="XAR28" s="30"/>
      <c r="XAW28" s="93"/>
      <c r="XAX28" s="30"/>
      <c r="XBC28" s="93"/>
      <c r="XBD28" s="30"/>
      <c r="XBI28" s="93"/>
      <c r="XBJ28" s="30"/>
      <c r="XBO28" s="93"/>
      <c r="XBP28" s="30"/>
      <c r="XBU28" s="93"/>
      <c r="XBV28" s="30"/>
      <c r="XCA28" s="93"/>
      <c r="XCB28" s="30"/>
      <c r="XCG28" s="93"/>
      <c r="XCH28" s="30"/>
      <c r="XCM28" s="93"/>
      <c r="XCN28" s="30"/>
      <c r="XCS28" s="93"/>
      <c r="XCT28" s="30"/>
      <c r="XCY28" s="93"/>
      <c r="XCZ28" s="30"/>
      <c r="XDE28" s="93"/>
      <c r="XDF28" s="30"/>
      <c r="XDK28" s="93"/>
      <c r="XDL28" s="30"/>
      <c r="XDQ28" s="93"/>
      <c r="XDR28" s="30"/>
      <c r="XDW28" s="93"/>
      <c r="XDX28" s="30"/>
      <c r="XEC28" s="93"/>
      <c r="XED28" s="30"/>
      <c r="XEI28" s="93"/>
      <c r="XEJ28" s="30"/>
      <c r="XEO28" s="93"/>
      <c r="XEP28" s="30"/>
      <c r="XEU28" s="93"/>
      <c r="XEV28" s="30"/>
      <c r="XFA28" s="93"/>
      <c r="XFB28" s="30"/>
    </row>
    <row r="29" spans="1:1022 1027:2048 2053:3068 3073:4094 4099:5120 5125:6140 6145:7166 7171:8192 8197:9212 9217:10238 10243:11264 11269:12284 12289:13310 13315:14336 14341:15356 15361:16382" s="8" customFormat="1" ht="16" x14ac:dyDescent="0.2">
      <c r="A29" s="93" t="s">
        <v>624</v>
      </c>
      <c r="B29" s="10" t="s">
        <v>582</v>
      </c>
      <c r="C29" s="9" t="s">
        <v>596</v>
      </c>
      <c r="D29" s="10"/>
      <c r="E29" s="10"/>
      <c r="F29" s="10"/>
      <c r="G29" s="10"/>
      <c r="H29" s="10"/>
      <c r="I29" s="10"/>
      <c r="J29" s="10"/>
      <c r="K29" s="10"/>
      <c r="L29" s="10"/>
      <c r="M29" s="93"/>
      <c r="N29" s="30"/>
      <c r="S29" s="93"/>
      <c r="T29" s="30"/>
      <c r="Y29" s="93"/>
      <c r="Z29" s="30"/>
      <c r="AE29" s="93"/>
      <c r="AF29" s="30"/>
      <c r="AK29" s="93"/>
      <c r="AL29" s="30"/>
      <c r="AQ29" s="93"/>
      <c r="AR29" s="30"/>
      <c r="AW29" s="93"/>
      <c r="AX29" s="30"/>
      <c r="BC29" s="93"/>
      <c r="BD29" s="30"/>
      <c r="BI29" s="93"/>
      <c r="BJ29" s="30"/>
      <c r="BO29" s="93"/>
      <c r="BP29" s="30"/>
      <c r="BU29" s="93"/>
      <c r="BV29" s="30"/>
      <c r="CA29" s="93"/>
      <c r="CB29" s="30"/>
      <c r="CG29" s="93"/>
      <c r="CH29" s="30"/>
      <c r="CM29" s="93"/>
      <c r="CN29" s="30"/>
      <c r="CS29" s="93"/>
      <c r="CT29" s="30"/>
      <c r="CY29" s="93"/>
      <c r="CZ29" s="30"/>
      <c r="DE29" s="93"/>
      <c r="DF29" s="30"/>
      <c r="DK29" s="93"/>
      <c r="DL29" s="30"/>
      <c r="DQ29" s="93"/>
      <c r="DR29" s="30"/>
      <c r="DW29" s="93"/>
      <c r="DX29" s="30"/>
      <c r="EC29" s="93"/>
      <c r="ED29" s="30"/>
      <c r="EI29" s="93"/>
      <c r="EJ29" s="30"/>
      <c r="EO29" s="93"/>
      <c r="EP29" s="30"/>
      <c r="EU29" s="93"/>
      <c r="EV29" s="30"/>
      <c r="FA29" s="93"/>
      <c r="FB29" s="30"/>
      <c r="FG29" s="93"/>
      <c r="FH29" s="30"/>
      <c r="FM29" s="93"/>
      <c r="FN29" s="30"/>
      <c r="FS29" s="93"/>
      <c r="FT29" s="30"/>
      <c r="FY29" s="93"/>
      <c r="FZ29" s="30"/>
      <c r="GE29" s="93"/>
      <c r="GF29" s="30"/>
      <c r="GK29" s="93"/>
      <c r="GL29" s="30"/>
      <c r="GQ29" s="93"/>
      <c r="GR29" s="30"/>
      <c r="GW29" s="93"/>
      <c r="GX29" s="30"/>
      <c r="HC29" s="93"/>
      <c r="HD29" s="30"/>
      <c r="HI29" s="93"/>
      <c r="HJ29" s="30"/>
      <c r="HO29" s="93"/>
      <c r="HP29" s="30"/>
      <c r="HU29" s="93"/>
      <c r="HV29" s="30"/>
      <c r="IA29" s="93"/>
      <c r="IB29" s="30"/>
      <c r="IG29" s="93"/>
      <c r="IH29" s="30"/>
      <c r="IM29" s="93"/>
      <c r="IN29" s="30"/>
      <c r="IS29" s="93"/>
      <c r="IT29" s="30"/>
      <c r="IY29" s="93"/>
      <c r="IZ29" s="30"/>
      <c r="JE29" s="93"/>
      <c r="JF29" s="30"/>
      <c r="JK29" s="93"/>
      <c r="JL29" s="30"/>
      <c r="JQ29" s="93"/>
      <c r="JR29" s="30"/>
      <c r="JW29" s="93"/>
      <c r="JX29" s="30"/>
      <c r="KC29" s="93"/>
      <c r="KD29" s="30"/>
      <c r="KI29" s="93"/>
      <c r="KJ29" s="30"/>
      <c r="KO29" s="93"/>
      <c r="KP29" s="30"/>
      <c r="KU29" s="93"/>
      <c r="KV29" s="30"/>
      <c r="LA29" s="93"/>
      <c r="LB29" s="30"/>
      <c r="LG29" s="93"/>
      <c r="LH29" s="30"/>
      <c r="LM29" s="93"/>
      <c r="LN29" s="30"/>
      <c r="LS29" s="93"/>
      <c r="LT29" s="30"/>
      <c r="LY29" s="93"/>
      <c r="LZ29" s="30"/>
      <c r="ME29" s="93"/>
      <c r="MF29" s="30"/>
      <c r="MK29" s="93"/>
      <c r="ML29" s="30"/>
      <c r="MQ29" s="93"/>
      <c r="MR29" s="30"/>
      <c r="MW29" s="93"/>
      <c r="MX29" s="30"/>
      <c r="NC29" s="93"/>
      <c r="ND29" s="30"/>
      <c r="NI29" s="93"/>
      <c r="NJ29" s="30"/>
      <c r="NO29" s="93"/>
      <c r="NP29" s="30"/>
      <c r="NU29" s="93"/>
      <c r="NV29" s="30"/>
      <c r="OA29" s="93"/>
      <c r="OB29" s="30"/>
      <c r="OG29" s="93"/>
      <c r="OH29" s="30"/>
      <c r="OM29" s="93"/>
      <c r="ON29" s="30"/>
      <c r="OS29" s="93"/>
      <c r="OT29" s="30"/>
      <c r="OY29" s="93"/>
      <c r="OZ29" s="30"/>
      <c r="PE29" s="93"/>
      <c r="PF29" s="30"/>
      <c r="PK29" s="93"/>
      <c r="PL29" s="30"/>
      <c r="PQ29" s="93"/>
      <c r="PR29" s="30"/>
      <c r="PW29" s="93"/>
      <c r="PX29" s="30"/>
      <c r="QC29" s="93"/>
      <c r="QD29" s="30"/>
      <c r="QI29" s="93"/>
      <c r="QJ29" s="30"/>
      <c r="QO29" s="93"/>
      <c r="QP29" s="30"/>
      <c r="QU29" s="93"/>
      <c r="QV29" s="30"/>
      <c r="RA29" s="93"/>
      <c r="RB29" s="30"/>
      <c r="RG29" s="93"/>
      <c r="RH29" s="30"/>
      <c r="RM29" s="93"/>
      <c r="RN29" s="30"/>
      <c r="RS29" s="93"/>
      <c r="RT29" s="30"/>
      <c r="RY29" s="93"/>
      <c r="RZ29" s="30"/>
      <c r="SE29" s="93"/>
      <c r="SF29" s="30"/>
      <c r="SK29" s="93"/>
      <c r="SL29" s="30"/>
      <c r="SQ29" s="93"/>
      <c r="SR29" s="30"/>
      <c r="SW29" s="93"/>
      <c r="SX29" s="30"/>
      <c r="TC29" s="93"/>
      <c r="TD29" s="30"/>
      <c r="TI29" s="93"/>
      <c r="TJ29" s="30"/>
      <c r="TO29" s="93"/>
      <c r="TP29" s="30"/>
      <c r="TU29" s="93"/>
      <c r="TV29" s="30"/>
      <c r="UA29" s="93"/>
      <c r="UB29" s="30"/>
      <c r="UG29" s="93"/>
      <c r="UH29" s="30"/>
      <c r="UM29" s="93"/>
      <c r="UN29" s="30"/>
      <c r="US29" s="93"/>
      <c r="UT29" s="30"/>
      <c r="UY29" s="93"/>
      <c r="UZ29" s="30"/>
      <c r="VE29" s="93"/>
      <c r="VF29" s="30"/>
      <c r="VK29" s="93"/>
      <c r="VL29" s="30"/>
      <c r="VQ29" s="93"/>
      <c r="VR29" s="30"/>
      <c r="VW29" s="93"/>
      <c r="VX29" s="30"/>
      <c r="WC29" s="93"/>
      <c r="WD29" s="30"/>
      <c r="WI29" s="93"/>
      <c r="WJ29" s="30"/>
      <c r="WO29" s="93"/>
      <c r="WP29" s="30"/>
      <c r="WU29" s="93"/>
      <c r="WV29" s="30"/>
      <c r="XA29" s="93"/>
      <c r="XB29" s="30"/>
      <c r="XG29" s="93"/>
      <c r="XH29" s="30"/>
      <c r="XM29" s="93"/>
      <c r="XN29" s="30"/>
      <c r="XS29" s="93"/>
      <c r="XT29" s="30"/>
      <c r="XY29" s="93"/>
      <c r="XZ29" s="30"/>
      <c r="YE29" s="93"/>
      <c r="YF29" s="30"/>
      <c r="YK29" s="93"/>
      <c r="YL29" s="30"/>
      <c r="YQ29" s="93"/>
      <c r="YR29" s="30"/>
      <c r="YW29" s="93"/>
      <c r="YX29" s="30"/>
      <c r="ZC29" s="93"/>
      <c r="ZD29" s="30"/>
      <c r="ZI29" s="93"/>
      <c r="ZJ29" s="30"/>
      <c r="ZO29" s="93"/>
      <c r="ZP29" s="30"/>
      <c r="ZU29" s="93"/>
      <c r="ZV29" s="30"/>
      <c r="AAA29" s="93"/>
      <c r="AAB29" s="30"/>
      <c r="AAG29" s="93"/>
      <c r="AAH29" s="30"/>
      <c r="AAM29" s="93"/>
      <c r="AAN29" s="30"/>
      <c r="AAS29" s="93"/>
      <c r="AAT29" s="30"/>
      <c r="AAY29" s="93"/>
      <c r="AAZ29" s="30"/>
      <c r="ABE29" s="93"/>
      <c r="ABF29" s="30"/>
      <c r="ABK29" s="93"/>
      <c r="ABL29" s="30"/>
      <c r="ABQ29" s="93"/>
      <c r="ABR29" s="30"/>
      <c r="ABW29" s="93"/>
      <c r="ABX29" s="30"/>
      <c r="ACC29" s="93"/>
      <c r="ACD29" s="30"/>
      <c r="ACI29" s="93"/>
      <c r="ACJ29" s="30"/>
      <c r="ACO29" s="93"/>
      <c r="ACP29" s="30"/>
      <c r="ACU29" s="93"/>
      <c r="ACV29" s="30"/>
      <c r="ADA29" s="93"/>
      <c r="ADB29" s="30"/>
      <c r="ADG29" s="93"/>
      <c r="ADH29" s="30"/>
      <c r="ADM29" s="93"/>
      <c r="ADN29" s="30"/>
      <c r="ADS29" s="93"/>
      <c r="ADT29" s="30"/>
      <c r="ADY29" s="93"/>
      <c r="ADZ29" s="30"/>
      <c r="AEE29" s="93"/>
      <c r="AEF29" s="30"/>
      <c r="AEK29" s="93"/>
      <c r="AEL29" s="30"/>
      <c r="AEQ29" s="93"/>
      <c r="AER29" s="30"/>
      <c r="AEW29" s="93"/>
      <c r="AEX29" s="30"/>
      <c r="AFC29" s="93"/>
      <c r="AFD29" s="30"/>
      <c r="AFI29" s="93"/>
      <c r="AFJ29" s="30"/>
      <c r="AFO29" s="93"/>
      <c r="AFP29" s="30"/>
      <c r="AFU29" s="93"/>
      <c r="AFV29" s="30"/>
      <c r="AGA29" s="93"/>
      <c r="AGB29" s="30"/>
      <c r="AGG29" s="93"/>
      <c r="AGH29" s="30"/>
      <c r="AGM29" s="93"/>
      <c r="AGN29" s="30"/>
      <c r="AGS29" s="93"/>
      <c r="AGT29" s="30"/>
      <c r="AGY29" s="93"/>
      <c r="AGZ29" s="30"/>
      <c r="AHE29" s="93"/>
      <c r="AHF29" s="30"/>
      <c r="AHK29" s="93"/>
      <c r="AHL29" s="30"/>
      <c r="AHQ29" s="93"/>
      <c r="AHR29" s="30"/>
      <c r="AHW29" s="93"/>
      <c r="AHX29" s="30"/>
      <c r="AIC29" s="93"/>
      <c r="AID29" s="30"/>
      <c r="AII29" s="93"/>
      <c r="AIJ29" s="30"/>
      <c r="AIO29" s="93"/>
      <c r="AIP29" s="30"/>
      <c r="AIU29" s="93"/>
      <c r="AIV29" s="30"/>
      <c r="AJA29" s="93"/>
      <c r="AJB29" s="30"/>
      <c r="AJG29" s="93"/>
      <c r="AJH29" s="30"/>
      <c r="AJM29" s="93"/>
      <c r="AJN29" s="30"/>
      <c r="AJS29" s="93"/>
      <c r="AJT29" s="30"/>
      <c r="AJY29" s="93"/>
      <c r="AJZ29" s="30"/>
      <c r="AKE29" s="93"/>
      <c r="AKF29" s="30"/>
      <c r="AKK29" s="93"/>
      <c r="AKL29" s="30"/>
      <c r="AKQ29" s="93"/>
      <c r="AKR29" s="30"/>
      <c r="AKW29" s="93"/>
      <c r="AKX29" s="30"/>
      <c r="ALC29" s="93"/>
      <c r="ALD29" s="30"/>
      <c r="ALI29" s="93"/>
      <c r="ALJ29" s="30"/>
      <c r="ALO29" s="93"/>
      <c r="ALP29" s="30"/>
      <c r="ALU29" s="93"/>
      <c r="ALV29" s="30"/>
      <c r="AMA29" s="93"/>
      <c r="AMB29" s="30"/>
      <c r="AMG29" s="93"/>
      <c r="AMH29" s="30"/>
      <c r="AMM29" s="93"/>
      <c r="AMN29" s="30"/>
      <c r="AMS29" s="93"/>
      <c r="AMT29" s="30"/>
      <c r="AMY29" s="93"/>
      <c r="AMZ29" s="30"/>
      <c r="ANE29" s="93"/>
      <c r="ANF29" s="30"/>
      <c r="ANK29" s="93"/>
      <c r="ANL29" s="30"/>
      <c r="ANQ29" s="93"/>
      <c r="ANR29" s="30"/>
      <c r="ANW29" s="93"/>
      <c r="ANX29" s="30"/>
      <c r="AOC29" s="93"/>
      <c r="AOD29" s="30"/>
      <c r="AOI29" s="93"/>
      <c r="AOJ29" s="30"/>
      <c r="AOO29" s="93"/>
      <c r="AOP29" s="30"/>
      <c r="AOU29" s="93"/>
      <c r="AOV29" s="30"/>
      <c r="APA29" s="93"/>
      <c r="APB29" s="30"/>
      <c r="APG29" s="93"/>
      <c r="APH29" s="30"/>
      <c r="APM29" s="93"/>
      <c r="APN29" s="30"/>
      <c r="APS29" s="93"/>
      <c r="APT29" s="30"/>
      <c r="APY29" s="93"/>
      <c r="APZ29" s="30"/>
      <c r="AQE29" s="93"/>
      <c r="AQF29" s="30"/>
      <c r="AQK29" s="93"/>
      <c r="AQL29" s="30"/>
      <c r="AQQ29" s="93"/>
      <c r="AQR29" s="30"/>
      <c r="AQW29" s="93"/>
      <c r="AQX29" s="30"/>
      <c r="ARC29" s="93"/>
      <c r="ARD29" s="30"/>
      <c r="ARI29" s="93"/>
      <c r="ARJ29" s="30"/>
      <c r="ARO29" s="93"/>
      <c r="ARP29" s="30"/>
      <c r="ARU29" s="93"/>
      <c r="ARV29" s="30"/>
      <c r="ASA29" s="93"/>
      <c r="ASB29" s="30"/>
      <c r="ASG29" s="93"/>
      <c r="ASH29" s="30"/>
      <c r="ASM29" s="93"/>
      <c r="ASN29" s="30"/>
      <c r="ASS29" s="93"/>
      <c r="AST29" s="30"/>
      <c r="ASY29" s="93"/>
      <c r="ASZ29" s="30"/>
      <c r="ATE29" s="93"/>
      <c r="ATF29" s="30"/>
      <c r="ATK29" s="93"/>
      <c r="ATL29" s="30"/>
      <c r="ATQ29" s="93"/>
      <c r="ATR29" s="30"/>
      <c r="ATW29" s="93"/>
      <c r="ATX29" s="30"/>
      <c r="AUC29" s="93"/>
      <c r="AUD29" s="30"/>
      <c r="AUI29" s="93"/>
      <c r="AUJ29" s="30"/>
      <c r="AUO29" s="93"/>
      <c r="AUP29" s="30"/>
      <c r="AUU29" s="93"/>
      <c r="AUV29" s="30"/>
      <c r="AVA29" s="93"/>
      <c r="AVB29" s="30"/>
      <c r="AVG29" s="93"/>
      <c r="AVH29" s="30"/>
      <c r="AVM29" s="93"/>
      <c r="AVN29" s="30"/>
      <c r="AVS29" s="93"/>
      <c r="AVT29" s="30"/>
      <c r="AVY29" s="93"/>
      <c r="AVZ29" s="30"/>
      <c r="AWE29" s="93"/>
      <c r="AWF29" s="30"/>
      <c r="AWK29" s="93"/>
      <c r="AWL29" s="30"/>
      <c r="AWQ29" s="93"/>
      <c r="AWR29" s="30"/>
      <c r="AWW29" s="93"/>
      <c r="AWX29" s="30"/>
      <c r="AXC29" s="93"/>
      <c r="AXD29" s="30"/>
      <c r="AXI29" s="93"/>
      <c r="AXJ29" s="30"/>
      <c r="AXO29" s="93"/>
      <c r="AXP29" s="30"/>
      <c r="AXU29" s="93"/>
      <c r="AXV29" s="30"/>
      <c r="AYA29" s="93"/>
      <c r="AYB29" s="30"/>
      <c r="AYG29" s="93"/>
      <c r="AYH29" s="30"/>
      <c r="AYM29" s="93"/>
      <c r="AYN29" s="30"/>
      <c r="AYS29" s="93"/>
      <c r="AYT29" s="30"/>
      <c r="AYY29" s="93"/>
      <c r="AYZ29" s="30"/>
      <c r="AZE29" s="93"/>
      <c r="AZF29" s="30"/>
      <c r="AZK29" s="93"/>
      <c r="AZL29" s="30"/>
      <c r="AZQ29" s="93"/>
      <c r="AZR29" s="30"/>
      <c r="AZW29" s="93"/>
      <c r="AZX29" s="30"/>
      <c r="BAC29" s="93"/>
      <c r="BAD29" s="30"/>
      <c r="BAI29" s="93"/>
      <c r="BAJ29" s="30"/>
      <c r="BAO29" s="93"/>
      <c r="BAP29" s="30"/>
      <c r="BAU29" s="93"/>
      <c r="BAV29" s="30"/>
      <c r="BBA29" s="93"/>
      <c r="BBB29" s="30"/>
      <c r="BBG29" s="93"/>
      <c r="BBH29" s="30"/>
      <c r="BBM29" s="93"/>
      <c r="BBN29" s="30"/>
      <c r="BBS29" s="93"/>
      <c r="BBT29" s="30"/>
      <c r="BBY29" s="93"/>
      <c r="BBZ29" s="30"/>
      <c r="BCE29" s="93"/>
      <c r="BCF29" s="30"/>
      <c r="BCK29" s="93"/>
      <c r="BCL29" s="30"/>
      <c r="BCQ29" s="93"/>
      <c r="BCR29" s="30"/>
      <c r="BCW29" s="93"/>
      <c r="BCX29" s="30"/>
      <c r="BDC29" s="93"/>
      <c r="BDD29" s="30"/>
      <c r="BDI29" s="93"/>
      <c r="BDJ29" s="30"/>
      <c r="BDO29" s="93"/>
      <c r="BDP29" s="30"/>
      <c r="BDU29" s="93"/>
      <c r="BDV29" s="30"/>
      <c r="BEA29" s="93"/>
      <c r="BEB29" s="30"/>
      <c r="BEG29" s="93"/>
      <c r="BEH29" s="30"/>
      <c r="BEM29" s="93"/>
      <c r="BEN29" s="30"/>
      <c r="BES29" s="93"/>
      <c r="BET29" s="30"/>
      <c r="BEY29" s="93"/>
      <c r="BEZ29" s="30"/>
      <c r="BFE29" s="93"/>
      <c r="BFF29" s="30"/>
      <c r="BFK29" s="93"/>
      <c r="BFL29" s="30"/>
      <c r="BFQ29" s="93"/>
      <c r="BFR29" s="30"/>
      <c r="BFW29" s="93"/>
      <c r="BFX29" s="30"/>
      <c r="BGC29" s="93"/>
      <c r="BGD29" s="30"/>
      <c r="BGI29" s="93"/>
      <c r="BGJ29" s="30"/>
      <c r="BGO29" s="93"/>
      <c r="BGP29" s="30"/>
      <c r="BGU29" s="93"/>
      <c r="BGV29" s="30"/>
      <c r="BHA29" s="93"/>
      <c r="BHB29" s="30"/>
      <c r="BHG29" s="93"/>
      <c r="BHH29" s="30"/>
      <c r="BHM29" s="93"/>
      <c r="BHN29" s="30"/>
      <c r="BHS29" s="93"/>
      <c r="BHT29" s="30"/>
      <c r="BHY29" s="93"/>
      <c r="BHZ29" s="30"/>
      <c r="BIE29" s="93"/>
      <c r="BIF29" s="30"/>
      <c r="BIK29" s="93"/>
      <c r="BIL29" s="30"/>
      <c r="BIQ29" s="93"/>
      <c r="BIR29" s="30"/>
      <c r="BIW29" s="93"/>
      <c r="BIX29" s="30"/>
      <c r="BJC29" s="93"/>
      <c r="BJD29" s="30"/>
      <c r="BJI29" s="93"/>
      <c r="BJJ29" s="30"/>
      <c r="BJO29" s="93"/>
      <c r="BJP29" s="30"/>
      <c r="BJU29" s="93"/>
      <c r="BJV29" s="30"/>
      <c r="BKA29" s="93"/>
      <c r="BKB29" s="30"/>
      <c r="BKG29" s="93"/>
      <c r="BKH29" s="30"/>
      <c r="BKM29" s="93"/>
      <c r="BKN29" s="30"/>
      <c r="BKS29" s="93"/>
      <c r="BKT29" s="30"/>
      <c r="BKY29" s="93"/>
      <c r="BKZ29" s="30"/>
      <c r="BLE29" s="93"/>
      <c r="BLF29" s="30"/>
      <c r="BLK29" s="93"/>
      <c r="BLL29" s="30"/>
      <c r="BLQ29" s="93"/>
      <c r="BLR29" s="30"/>
      <c r="BLW29" s="93"/>
      <c r="BLX29" s="30"/>
      <c r="BMC29" s="93"/>
      <c r="BMD29" s="30"/>
      <c r="BMI29" s="93"/>
      <c r="BMJ29" s="30"/>
      <c r="BMO29" s="93"/>
      <c r="BMP29" s="30"/>
      <c r="BMU29" s="93"/>
      <c r="BMV29" s="30"/>
      <c r="BNA29" s="93"/>
      <c r="BNB29" s="30"/>
      <c r="BNG29" s="93"/>
      <c r="BNH29" s="30"/>
      <c r="BNM29" s="93"/>
      <c r="BNN29" s="30"/>
      <c r="BNS29" s="93"/>
      <c r="BNT29" s="30"/>
      <c r="BNY29" s="93"/>
      <c r="BNZ29" s="30"/>
      <c r="BOE29" s="93"/>
      <c r="BOF29" s="30"/>
      <c r="BOK29" s="93"/>
      <c r="BOL29" s="30"/>
      <c r="BOQ29" s="93"/>
      <c r="BOR29" s="30"/>
      <c r="BOW29" s="93"/>
      <c r="BOX29" s="30"/>
      <c r="BPC29" s="93"/>
      <c r="BPD29" s="30"/>
      <c r="BPI29" s="93"/>
      <c r="BPJ29" s="30"/>
      <c r="BPO29" s="93"/>
      <c r="BPP29" s="30"/>
      <c r="BPU29" s="93"/>
      <c r="BPV29" s="30"/>
      <c r="BQA29" s="93"/>
      <c r="BQB29" s="30"/>
      <c r="BQG29" s="93"/>
      <c r="BQH29" s="30"/>
      <c r="BQM29" s="93"/>
      <c r="BQN29" s="30"/>
      <c r="BQS29" s="93"/>
      <c r="BQT29" s="30"/>
      <c r="BQY29" s="93"/>
      <c r="BQZ29" s="30"/>
      <c r="BRE29" s="93"/>
      <c r="BRF29" s="30"/>
      <c r="BRK29" s="93"/>
      <c r="BRL29" s="30"/>
      <c r="BRQ29" s="93"/>
      <c r="BRR29" s="30"/>
      <c r="BRW29" s="93"/>
      <c r="BRX29" s="30"/>
      <c r="BSC29" s="93"/>
      <c r="BSD29" s="30"/>
      <c r="BSI29" s="93"/>
      <c r="BSJ29" s="30"/>
      <c r="BSO29" s="93"/>
      <c r="BSP29" s="30"/>
      <c r="BSU29" s="93"/>
      <c r="BSV29" s="30"/>
      <c r="BTA29" s="93"/>
      <c r="BTB29" s="30"/>
      <c r="BTG29" s="93"/>
      <c r="BTH29" s="30"/>
      <c r="BTM29" s="93"/>
      <c r="BTN29" s="30"/>
      <c r="BTS29" s="93"/>
      <c r="BTT29" s="30"/>
      <c r="BTY29" s="93"/>
      <c r="BTZ29" s="30"/>
      <c r="BUE29" s="93"/>
      <c r="BUF29" s="30"/>
      <c r="BUK29" s="93"/>
      <c r="BUL29" s="30"/>
      <c r="BUQ29" s="93"/>
      <c r="BUR29" s="30"/>
      <c r="BUW29" s="93"/>
      <c r="BUX29" s="30"/>
      <c r="BVC29" s="93"/>
      <c r="BVD29" s="30"/>
      <c r="BVI29" s="93"/>
      <c r="BVJ29" s="30"/>
      <c r="BVO29" s="93"/>
      <c r="BVP29" s="30"/>
      <c r="BVU29" s="93"/>
      <c r="BVV29" s="30"/>
      <c r="BWA29" s="93"/>
      <c r="BWB29" s="30"/>
      <c r="BWG29" s="93"/>
      <c r="BWH29" s="30"/>
      <c r="BWM29" s="93"/>
      <c r="BWN29" s="30"/>
      <c r="BWS29" s="93"/>
      <c r="BWT29" s="30"/>
      <c r="BWY29" s="93"/>
      <c r="BWZ29" s="30"/>
      <c r="BXE29" s="93"/>
      <c r="BXF29" s="30"/>
      <c r="BXK29" s="93"/>
      <c r="BXL29" s="30"/>
      <c r="BXQ29" s="93"/>
      <c r="BXR29" s="30"/>
      <c r="BXW29" s="93"/>
      <c r="BXX29" s="30"/>
      <c r="BYC29" s="93"/>
      <c r="BYD29" s="30"/>
      <c r="BYI29" s="93"/>
      <c r="BYJ29" s="30"/>
      <c r="BYO29" s="93"/>
      <c r="BYP29" s="30"/>
      <c r="BYU29" s="93"/>
      <c r="BYV29" s="30"/>
      <c r="BZA29" s="93"/>
      <c r="BZB29" s="30"/>
      <c r="BZG29" s="93"/>
      <c r="BZH29" s="30"/>
      <c r="BZM29" s="93"/>
      <c r="BZN29" s="30"/>
      <c r="BZS29" s="93"/>
      <c r="BZT29" s="30"/>
      <c r="BZY29" s="93"/>
      <c r="BZZ29" s="30"/>
      <c r="CAE29" s="93"/>
      <c r="CAF29" s="30"/>
      <c r="CAK29" s="93"/>
      <c r="CAL29" s="30"/>
      <c r="CAQ29" s="93"/>
      <c r="CAR29" s="30"/>
      <c r="CAW29" s="93"/>
      <c r="CAX29" s="30"/>
      <c r="CBC29" s="93"/>
      <c r="CBD29" s="30"/>
      <c r="CBI29" s="93"/>
      <c r="CBJ29" s="30"/>
      <c r="CBO29" s="93"/>
      <c r="CBP29" s="30"/>
      <c r="CBU29" s="93"/>
      <c r="CBV29" s="30"/>
      <c r="CCA29" s="93"/>
      <c r="CCB29" s="30"/>
      <c r="CCG29" s="93"/>
      <c r="CCH29" s="30"/>
      <c r="CCM29" s="93"/>
      <c r="CCN29" s="30"/>
      <c r="CCS29" s="93"/>
      <c r="CCT29" s="30"/>
      <c r="CCY29" s="93"/>
      <c r="CCZ29" s="30"/>
      <c r="CDE29" s="93"/>
      <c r="CDF29" s="30"/>
      <c r="CDK29" s="93"/>
      <c r="CDL29" s="30"/>
      <c r="CDQ29" s="93"/>
      <c r="CDR29" s="30"/>
      <c r="CDW29" s="93"/>
      <c r="CDX29" s="30"/>
      <c r="CEC29" s="93"/>
      <c r="CED29" s="30"/>
      <c r="CEI29" s="93"/>
      <c r="CEJ29" s="30"/>
      <c r="CEO29" s="93"/>
      <c r="CEP29" s="30"/>
      <c r="CEU29" s="93"/>
      <c r="CEV29" s="30"/>
      <c r="CFA29" s="93"/>
      <c r="CFB29" s="30"/>
      <c r="CFG29" s="93"/>
      <c r="CFH29" s="30"/>
      <c r="CFM29" s="93"/>
      <c r="CFN29" s="30"/>
      <c r="CFS29" s="93"/>
      <c r="CFT29" s="30"/>
      <c r="CFY29" s="93"/>
      <c r="CFZ29" s="30"/>
      <c r="CGE29" s="93"/>
      <c r="CGF29" s="30"/>
      <c r="CGK29" s="93"/>
      <c r="CGL29" s="30"/>
      <c r="CGQ29" s="93"/>
      <c r="CGR29" s="30"/>
      <c r="CGW29" s="93"/>
      <c r="CGX29" s="30"/>
      <c r="CHC29" s="93"/>
      <c r="CHD29" s="30"/>
      <c r="CHI29" s="93"/>
      <c r="CHJ29" s="30"/>
      <c r="CHO29" s="93"/>
      <c r="CHP29" s="30"/>
      <c r="CHU29" s="93"/>
      <c r="CHV29" s="30"/>
      <c r="CIA29" s="93"/>
      <c r="CIB29" s="30"/>
      <c r="CIG29" s="93"/>
      <c r="CIH29" s="30"/>
      <c r="CIM29" s="93"/>
      <c r="CIN29" s="30"/>
      <c r="CIS29" s="93"/>
      <c r="CIT29" s="30"/>
      <c r="CIY29" s="93"/>
      <c r="CIZ29" s="30"/>
      <c r="CJE29" s="93"/>
      <c r="CJF29" s="30"/>
      <c r="CJK29" s="93"/>
      <c r="CJL29" s="30"/>
      <c r="CJQ29" s="93"/>
      <c r="CJR29" s="30"/>
      <c r="CJW29" s="93"/>
      <c r="CJX29" s="30"/>
      <c r="CKC29" s="93"/>
      <c r="CKD29" s="30"/>
      <c r="CKI29" s="93"/>
      <c r="CKJ29" s="30"/>
      <c r="CKO29" s="93"/>
      <c r="CKP29" s="30"/>
      <c r="CKU29" s="93"/>
      <c r="CKV29" s="30"/>
      <c r="CLA29" s="93"/>
      <c r="CLB29" s="30"/>
      <c r="CLG29" s="93"/>
      <c r="CLH29" s="30"/>
      <c r="CLM29" s="93"/>
      <c r="CLN29" s="30"/>
      <c r="CLS29" s="93"/>
      <c r="CLT29" s="30"/>
      <c r="CLY29" s="93"/>
      <c r="CLZ29" s="30"/>
      <c r="CME29" s="93"/>
      <c r="CMF29" s="30"/>
      <c r="CMK29" s="93"/>
      <c r="CML29" s="30"/>
      <c r="CMQ29" s="93"/>
      <c r="CMR29" s="30"/>
      <c r="CMW29" s="93"/>
      <c r="CMX29" s="30"/>
      <c r="CNC29" s="93"/>
      <c r="CND29" s="30"/>
      <c r="CNI29" s="93"/>
      <c r="CNJ29" s="30"/>
      <c r="CNO29" s="93"/>
      <c r="CNP29" s="30"/>
      <c r="CNU29" s="93"/>
      <c r="CNV29" s="30"/>
      <c r="COA29" s="93"/>
      <c r="COB29" s="30"/>
      <c r="COG29" s="93"/>
      <c r="COH29" s="30"/>
      <c r="COM29" s="93"/>
      <c r="CON29" s="30"/>
      <c r="COS29" s="93"/>
      <c r="COT29" s="30"/>
      <c r="COY29" s="93"/>
      <c r="COZ29" s="30"/>
      <c r="CPE29" s="93"/>
      <c r="CPF29" s="30"/>
      <c r="CPK29" s="93"/>
      <c r="CPL29" s="30"/>
      <c r="CPQ29" s="93"/>
      <c r="CPR29" s="30"/>
      <c r="CPW29" s="93"/>
      <c r="CPX29" s="30"/>
      <c r="CQC29" s="93"/>
      <c r="CQD29" s="30"/>
      <c r="CQI29" s="93"/>
      <c r="CQJ29" s="30"/>
      <c r="CQO29" s="93"/>
      <c r="CQP29" s="30"/>
      <c r="CQU29" s="93"/>
      <c r="CQV29" s="30"/>
      <c r="CRA29" s="93"/>
      <c r="CRB29" s="30"/>
      <c r="CRG29" s="93"/>
      <c r="CRH29" s="30"/>
      <c r="CRM29" s="93"/>
      <c r="CRN29" s="30"/>
      <c r="CRS29" s="93"/>
      <c r="CRT29" s="30"/>
      <c r="CRY29" s="93"/>
      <c r="CRZ29" s="30"/>
      <c r="CSE29" s="93"/>
      <c r="CSF29" s="30"/>
      <c r="CSK29" s="93"/>
      <c r="CSL29" s="30"/>
      <c r="CSQ29" s="93"/>
      <c r="CSR29" s="30"/>
      <c r="CSW29" s="93"/>
      <c r="CSX29" s="30"/>
      <c r="CTC29" s="93"/>
      <c r="CTD29" s="30"/>
      <c r="CTI29" s="93"/>
      <c r="CTJ29" s="30"/>
      <c r="CTO29" s="93"/>
      <c r="CTP29" s="30"/>
      <c r="CTU29" s="93"/>
      <c r="CTV29" s="30"/>
      <c r="CUA29" s="93"/>
      <c r="CUB29" s="30"/>
      <c r="CUG29" s="93"/>
      <c r="CUH29" s="30"/>
      <c r="CUM29" s="93"/>
      <c r="CUN29" s="30"/>
      <c r="CUS29" s="93"/>
      <c r="CUT29" s="30"/>
      <c r="CUY29" s="93"/>
      <c r="CUZ29" s="30"/>
      <c r="CVE29" s="93"/>
      <c r="CVF29" s="30"/>
      <c r="CVK29" s="93"/>
      <c r="CVL29" s="30"/>
      <c r="CVQ29" s="93"/>
      <c r="CVR29" s="30"/>
      <c r="CVW29" s="93"/>
      <c r="CVX29" s="30"/>
      <c r="CWC29" s="93"/>
      <c r="CWD29" s="30"/>
      <c r="CWI29" s="93"/>
      <c r="CWJ29" s="30"/>
      <c r="CWO29" s="93"/>
      <c r="CWP29" s="30"/>
      <c r="CWU29" s="93"/>
      <c r="CWV29" s="30"/>
      <c r="CXA29" s="93"/>
      <c r="CXB29" s="30"/>
      <c r="CXG29" s="93"/>
      <c r="CXH29" s="30"/>
      <c r="CXM29" s="93"/>
      <c r="CXN29" s="30"/>
      <c r="CXS29" s="93"/>
      <c r="CXT29" s="30"/>
      <c r="CXY29" s="93"/>
      <c r="CXZ29" s="30"/>
      <c r="CYE29" s="93"/>
      <c r="CYF29" s="30"/>
      <c r="CYK29" s="93"/>
      <c r="CYL29" s="30"/>
      <c r="CYQ29" s="93"/>
      <c r="CYR29" s="30"/>
      <c r="CYW29" s="93"/>
      <c r="CYX29" s="30"/>
      <c r="CZC29" s="93"/>
      <c r="CZD29" s="30"/>
      <c r="CZI29" s="93"/>
      <c r="CZJ29" s="30"/>
      <c r="CZO29" s="93"/>
      <c r="CZP29" s="30"/>
      <c r="CZU29" s="93"/>
      <c r="CZV29" s="30"/>
      <c r="DAA29" s="93"/>
      <c r="DAB29" s="30"/>
      <c r="DAG29" s="93"/>
      <c r="DAH29" s="30"/>
      <c r="DAM29" s="93"/>
      <c r="DAN29" s="30"/>
      <c r="DAS29" s="93"/>
      <c r="DAT29" s="30"/>
      <c r="DAY29" s="93"/>
      <c r="DAZ29" s="30"/>
      <c r="DBE29" s="93"/>
      <c r="DBF29" s="30"/>
      <c r="DBK29" s="93"/>
      <c r="DBL29" s="30"/>
      <c r="DBQ29" s="93"/>
      <c r="DBR29" s="30"/>
      <c r="DBW29" s="93"/>
      <c r="DBX29" s="30"/>
      <c r="DCC29" s="93"/>
      <c r="DCD29" s="30"/>
      <c r="DCI29" s="93"/>
      <c r="DCJ29" s="30"/>
      <c r="DCO29" s="93"/>
      <c r="DCP29" s="30"/>
      <c r="DCU29" s="93"/>
      <c r="DCV29" s="30"/>
      <c r="DDA29" s="93"/>
      <c r="DDB29" s="30"/>
      <c r="DDG29" s="93"/>
      <c r="DDH29" s="30"/>
      <c r="DDM29" s="93"/>
      <c r="DDN29" s="30"/>
      <c r="DDS29" s="93"/>
      <c r="DDT29" s="30"/>
      <c r="DDY29" s="93"/>
      <c r="DDZ29" s="30"/>
      <c r="DEE29" s="93"/>
      <c r="DEF29" s="30"/>
      <c r="DEK29" s="93"/>
      <c r="DEL29" s="30"/>
      <c r="DEQ29" s="93"/>
      <c r="DER29" s="30"/>
      <c r="DEW29" s="93"/>
      <c r="DEX29" s="30"/>
      <c r="DFC29" s="93"/>
      <c r="DFD29" s="30"/>
      <c r="DFI29" s="93"/>
      <c r="DFJ29" s="30"/>
      <c r="DFO29" s="93"/>
      <c r="DFP29" s="30"/>
      <c r="DFU29" s="93"/>
      <c r="DFV29" s="30"/>
      <c r="DGA29" s="93"/>
      <c r="DGB29" s="30"/>
      <c r="DGG29" s="93"/>
      <c r="DGH29" s="30"/>
      <c r="DGM29" s="93"/>
      <c r="DGN29" s="30"/>
      <c r="DGS29" s="93"/>
      <c r="DGT29" s="30"/>
      <c r="DGY29" s="93"/>
      <c r="DGZ29" s="30"/>
      <c r="DHE29" s="93"/>
      <c r="DHF29" s="30"/>
      <c r="DHK29" s="93"/>
      <c r="DHL29" s="30"/>
      <c r="DHQ29" s="93"/>
      <c r="DHR29" s="30"/>
      <c r="DHW29" s="93"/>
      <c r="DHX29" s="30"/>
      <c r="DIC29" s="93"/>
      <c r="DID29" s="30"/>
      <c r="DII29" s="93"/>
      <c r="DIJ29" s="30"/>
      <c r="DIO29" s="93"/>
      <c r="DIP29" s="30"/>
      <c r="DIU29" s="93"/>
      <c r="DIV29" s="30"/>
      <c r="DJA29" s="93"/>
      <c r="DJB29" s="30"/>
      <c r="DJG29" s="93"/>
      <c r="DJH29" s="30"/>
      <c r="DJM29" s="93"/>
      <c r="DJN29" s="30"/>
      <c r="DJS29" s="93"/>
      <c r="DJT29" s="30"/>
      <c r="DJY29" s="93"/>
      <c r="DJZ29" s="30"/>
      <c r="DKE29" s="93"/>
      <c r="DKF29" s="30"/>
      <c r="DKK29" s="93"/>
      <c r="DKL29" s="30"/>
      <c r="DKQ29" s="93"/>
      <c r="DKR29" s="30"/>
      <c r="DKW29" s="93"/>
      <c r="DKX29" s="30"/>
      <c r="DLC29" s="93"/>
      <c r="DLD29" s="30"/>
      <c r="DLI29" s="93"/>
      <c r="DLJ29" s="30"/>
      <c r="DLO29" s="93"/>
      <c r="DLP29" s="30"/>
      <c r="DLU29" s="93"/>
      <c r="DLV29" s="30"/>
      <c r="DMA29" s="93"/>
      <c r="DMB29" s="30"/>
      <c r="DMG29" s="93"/>
      <c r="DMH29" s="30"/>
      <c r="DMM29" s="93"/>
      <c r="DMN29" s="30"/>
      <c r="DMS29" s="93"/>
      <c r="DMT29" s="30"/>
      <c r="DMY29" s="93"/>
      <c r="DMZ29" s="30"/>
      <c r="DNE29" s="93"/>
      <c r="DNF29" s="30"/>
      <c r="DNK29" s="93"/>
      <c r="DNL29" s="30"/>
      <c r="DNQ29" s="93"/>
      <c r="DNR29" s="30"/>
      <c r="DNW29" s="93"/>
      <c r="DNX29" s="30"/>
      <c r="DOC29" s="93"/>
      <c r="DOD29" s="30"/>
      <c r="DOI29" s="93"/>
      <c r="DOJ29" s="30"/>
      <c r="DOO29" s="93"/>
      <c r="DOP29" s="30"/>
      <c r="DOU29" s="93"/>
      <c r="DOV29" s="30"/>
      <c r="DPA29" s="93"/>
      <c r="DPB29" s="30"/>
      <c r="DPG29" s="93"/>
      <c r="DPH29" s="30"/>
      <c r="DPM29" s="93"/>
      <c r="DPN29" s="30"/>
      <c r="DPS29" s="93"/>
      <c r="DPT29" s="30"/>
      <c r="DPY29" s="93"/>
      <c r="DPZ29" s="30"/>
      <c r="DQE29" s="93"/>
      <c r="DQF29" s="30"/>
      <c r="DQK29" s="93"/>
      <c r="DQL29" s="30"/>
      <c r="DQQ29" s="93"/>
      <c r="DQR29" s="30"/>
      <c r="DQW29" s="93"/>
      <c r="DQX29" s="30"/>
      <c r="DRC29" s="93"/>
      <c r="DRD29" s="30"/>
      <c r="DRI29" s="93"/>
      <c r="DRJ29" s="30"/>
      <c r="DRO29" s="93"/>
      <c r="DRP29" s="30"/>
      <c r="DRU29" s="93"/>
      <c r="DRV29" s="30"/>
      <c r="DSA29" s="93"/>
      <c r="DSB29" s="30"/>
      <c r="DSG29" s="93"/>
      <c r="DSH29" s="30"/>
      <c r="DSM29" s="93"/>
      <c r="DSN29" s="30"/>
      <c r="DSS29" s="93"/>
      <c r="DST29" s="30"/>
      <c r="DSY29" s="93"/>
      <c r="DSZ29" s="30"/>
      <c r="DTE29" s="93"/>
      <c r="DTF29" s="30"/>
      <c r="DTK29" s="93"/>
      <c r="DTL29" s="30"/>
      <c r="DTQ29" s="93"/>
      <c r="DTR29" s="30"/>
      <c r="DTW29" s="93"/>
      <c r="DTX29" s="30"/>
      <c r="DUC29" s="93"/>
      <c r="DUD29" s="30"/>
      <c r="DUI29" s="93"/>
      <c r="DUJ29" s="30"/>
      <c r="DUO29" s="93"/>
      <c r="DUP29" s="30"/>
      <c r="DUU29" s="93"/>
      <c r="DUV29" s="30"/>
      <c r="DVA29" s="93"/>
      <c r="DVB29" s="30"/>
      <c r="DVG29" s="93"/>
      <c r="DVH29" s="30"/>
      <c r="DVM29" s="93"/>
      <c r="DVN29" s="30"/>
      <c r="DVS29" s="93"/>
      <c r="DVT29" s="30"/>
      <c r="DVY29" s="93"/>
      <c r="DVZ29" s="30"/>
      <c r="DWE29" s="93"/>
      <c r="DWF29" s="30"/>
      <c r="DWK29" s="93"/>
      <c r="DWL29" s="30"/>
      <c r="DWQ29" s="93"/>
      <c r="DWR29" s="30"/>
      <c r="DWW29" s="93"/>
      <c r="DWX29" s="30"/>
      <c r="DXC29" s="93"/>
      <c r="DXD29" s="30"/>
      <c r="DXI29" s="93"/>
      <c r="DXJ29" s="30"/>
      <c r="DXO29" s="93"/>
      <c r="DXP29" s="30"/>
      <c r="DXU29" s="93"/>
      <c r="DXV29" s="30"/>
      <c r="DYA29" s="93"/>
      <c r="DYB29" s="30"/>
      <c r="DYG29" s="93"/>
      <c r="DYH29" s="30"/>
      <c r="DYM29" s="93"/>
      <c r="DYN29" s="30"/>
      <c r="DYS29" s="93"/>
      <c r="DYT29" s="30"/>
      <c r="DYY29" s="93"/>
      <c r="DYZ29" s="30"/>
      <c r="DZE29" s="93"/>
      <c r="DZF29" s="30"/>
      <c r="DZK29" s="93"/>
      <c r="DZL29" s="30"/>
      <c r="DZQ29" s="93"/>
      <c r="DZR29" s="30"/>
      <c r="DZW29" s="93"/>
      <c r="DZX29" s="30"/>
      <c r="EAC29" s="93"/>
      <c r="EAD29" s="30"/>
      <c r="EAI29" s="93"/>
      <c r="EAJ29" s="30"/>
      <c r="EAO29" s="93"/>
      <c r="EAP29" s="30"/>
      <c r="EAU29" s="93"/>
      <c r="EAV29" s="30"/>
      <c r="EBA29" s="93"/>
      <c r="EBB29" s="30"/>
      <c r="EBG29" s="93"/>
      <c r="EBH29" s="30"/>
      <c r="EBM29" s="93"/>
      <c r="EBN29" s="30"/>
      <c r="EBS29" s="93"/>
      <c r="EBT29" s="30"/>
      <c r="EBY29" s="93"/>
      <c r="EBZ29" s="30"/>
      <c r="ECE29" s="93"/>
      <c r="ECF29" s="30"/>
      <c r="ECK29" s="93"/>
      <c r="ECL29" s="30"/>
      <c r="ECQ29" s="93"/>
      <c r="ECR29" s="30"/>
      <c r="ECW29" s="93"/>
      <c r="ECX29" s="30"/>
      <c r="EDC29" s="93"/>
      <c r="EDD29" s="30"/>
      <c r="EDI29" s="93"/>
      <c r="EDJ29" s="30"/>
      <c r="EDO29" s="93"/>
      <c r="EDP29" s="30"/>
      <c r="EDU29" s="93"/>
      <c r="EDV29" s="30"/>
      <c r="EEA29" s="93"/>
      <c r="EEB29" s="30"/>
      <c r="EEG29" s="93"/>
      <c r="EEH29" s="30"/>
      <c r="EEM29" s="93"/>
      <c r="EEN29" s="30"/>
      <c r="EES29" s="93"/>
      <c r="EET29" s="30"/>
      <c r="EEY29" s="93"/>
      <c r="EEZ29" s="30"/>
      <c r="EFE29" s="93"/>
      <c r="EFF29" s="30"/>
      <c r="EFK29" s="93"/>
      <c r="EFL29" s="30"/>
      <c r="EFQ29" s="93"/>
      <c r="EFR29" s="30"/>
      <c r="EFW29" s="93"/>
      <c r="EFX29" s="30"/>
      <c r="EGC29" s="93"/>
      <c r="EGD29" s="30"/>
      <c r="EGI29" s="93"/>
      <c r="EGJ29" s="30"/>
      <c r="EGO29" s="93"/>
      <c r="EGP29" s="30"/>
      <c r="EGU29" s="93"/>
      <c r="EGV29" s="30"/>
      <c r="EHA29" s="93"/>
      <c r="EHB29" s="30"/>
      <c r="EHG29" s="93"/>
      <c r="EHH29" s="30"/>
      <c r="EHM29" s="93"/>
      <c r="EHN29" s="30"/>
      <c r="EHS29" s="93"/>
      <c r="EHT29" s="30"/>
      <c r="EHY29" s="93"/>
      <c r="EHZ29" s="30"/>
      <c r="EIE29" s="93"/>
      <c r="EIF29" s="30"/>
      <c r="EIK29" s="93"/>
      <c r="EIL29" s="30"/>
      <c r="EIQ29" s="93"/>
      <c r="EIR29" s="30"/>
      <c r="EIW29" s="93"/>
      <c r="EIX29" s="30"/>
      <c r="EJC29" s="93"/>
      <c r="EJD29" s="30"/>
      <c r="EJI29" s="93"/>
      <c r="EJJ29" s="30"/>
      <c r="EJO29" s="93"/>
      <c r="EJP29" s="30"/>
      <c r="EJU29" s="93"/>
      <c r="EJV29" s="30"/>
      <c r="EKA29" s="93"/>
      <c r="EKB29" s="30"/>
      <c r="EKG29" s="93"/>
      <c r="EKH29" s="30"/>
      <c r="EKM29" s="93"/>
      <c r="EKN29" s="30"/>
      <c r="EKS29" s="93"/>
      <c r="EKT29" s="30"/>
      <c r="EKY29" s="93"/>
      <c r="EKZ29" s="30"/>
      <c r="ELE29" s="93"/>
      <c r="ELF29" s="30"/>
      <c r="ELK29" s="93"/>
      <c r="ELL29" s="30"/>
      <c r="ELQ29" s="93"/>
      <c r="ELR29" s="30"/>
      <c r="ELW29" s="93"/>
      <c r="ELX29" s="30"/>
      <c r="EMC29" s="93"/>
      <c r="EMD29" s="30"/>
      <c r="EMI29" s="93"/>
      <c r="EMJ29" s="30"/>
      <c r="EMO29" s="93"/>
      <c r="EMP29" s="30"/>
      <c r="EMU29" s="93"/>
      <c r="EMV29" s="30"/>
      <c r="ENA29" s="93"/>
      <c r="ENB29" s="30"/>
      <c r="ENG29" s="93"/>
      <c r="ENH29" s="30"/>
      <c r="ENM29" s="93"/>
      <c r="ENN29" s="30"/>
      <c r="ENS29" s="93"/>
      <c r="ENT29" s="30"/>
      <c r="ENY29" s="93"/>
      <c r="ENZ29" s="30"/>
      <c r="EOE29" s="93"/>
      <c r="EOF29" s="30"/>
      <c r="EOK29" s="93"/>
      <c r="EOL29" s="30"/>
      <c r="EOQ29" s="93"/>
      <c r="EOR29" s="30"/>
      <c r="EOW29" s="93"/>
      <c r="EOX29" s="30"/>
      <c r="EPC29" s="93"/>
      <c r="EPD29" s="30"/>
      <c r="EPI29" s="93"/>
      <c r="EPJ29" s="30"/>
      <c r="EPO29" s="93"/>
      <c r="EPP29" s="30"/>
      <c r="EPU29" s="93"/>
      <c r="EPV29" s="30"/>
      <c r="EQA29" s="93"/>
      <c r="EQB29" s="30"/>
      <c r="EQG29" s="93"/>
      <c r="EQH29" s="30"/>
      <c r="EQM29" s="93"/>
      <c r="EQN29" s="30"/>
      <c r="EQS29" s="93"/>
      <c r="EQT29" s="30"/>
      <c r="EQY29" s="93"/>
      <c r="EQZ29" s="30"/>
      <c r="ERE29" s="93"/>
      <c r="ERF29" s="30"/>
      <c r="ERK29" s="93"/>
      <c r="ERL29" s="30"/>
      <c r="ERQ29" s="93"/>
      <c r="ERR29" s="30"/>
      <c r="ERW29" s="93"/>
      <c r="ERX29" s="30"/>
      <c r="ESC29" s="93"/>
      <c r="ESD29" s="30"/>
      <c r="ESI29" s="93"/>
      <c r="ESJ29" s="30"/>
      <c r="ESO29" s="93"/>
      <c r="ESP29" s="30"/>
      <c r="ESU29" s="93"/>
      <c r="ESV29" s="30"/>
      <c r="ETA29" s="93"/>
      <c r="ETB29" s="30"/>
      <c r="ETG29" s="93"/>
      <c r="ETH29" s="30"/>
      <c r="ETM29" s="93"/>
      <c r="ETN29" s="30"/>
      <c r="ETS29" s="93"/>
      <c r="ETT29" s="30"/>
      <c r="ETY29" s="93"/>
      <c r="ETZ29" s="30"/>
      <c r="EUE29" s="93"/>
      <c r="EUF29" s="30"/>
      <c r="EUK29" s="93"/>
      <c r="EUL29" s="30"/>
      <c r="EUQ29" s="93"/>
      <c r="EUR29" s="30"/>
      <c r="EUW29" s="93"/>
      <c r="EUX29" s="30"/>
      <c r="EVC29" s="93"/>
      <c r="EVD29" s="30"/>
      <c r="EVI29" s="93"/>
      <c r="EVJ29" s="30"/>
      <c r="EVO29" s="93"/>
      <c r="EVP29" s="30"/>
      <c r="EVU29" s="93"/>
      <c r="EVV29" s="30"/>
      <c r="EWA29" s="93"/>
      <c r="EWB29" s="30"/>
      <c r="EWG29" s="93"/>
      <c r="EWH29" s="30"/>
      <c r="EWM29" s="93"/>
      <c r="EWN29" s="30"/>
      <c r="EWS29" s="93"/>
      <c r="EWT29" s="30"/>
      <c r="EWY29" s="93"/>
      <c r="EWZ29" s="30"/>
      <c r="EXE29" s="93"/>
      <c r="EXF29" s="30"/>
      <c r="EXK29" s="93"/>
      <c r="EXL29" s="30"/>
      <c r="EXQ29" s="93"/>
      <c r="EXR29" s="30"/>
      <c r="EXW29" s="93"/>
      <c r="EXX29" s="30"/>
      <c r="EYC29" s="93"/>
      <c r="EYD29" s="30"/>
      <c r="EYI29" s="93"/>
      <c r="EYJ29" s="30"/>
      <c r="EYO29" s="93"/>
      <c r="EYP29" s="30"/>
      <c r="EYU29" s="93"/>
      <c r="EYV29" s="30"/>
      <c r="EZA29" s="93"/>
      <c r="EZB29" s="30"/>
      <c r="EZG29" s="93"/>
      <c r="EZH29" s="30"/>
      <c r="EZM29" s="93"/>
      <c r="EZN29" s="30"/>
      <c r="EZS29" s="93"/>
      <c r="EZT29" s="30"/>
      <c r="EZY29" s="93"/>
      <c r="EZZ29" s="30"/>
      <c r="FAE29" s="93"/>
      <c r="FAF29" s="30"/>
      <c r="FAK29" s="93"/>
      <c r="FAL29" s="30"/>
      <c r="FAQ29" s="93"/>
      <c r="FAR29" s="30"/>
      <c r="FAW29" s="93"/>
      <c r="FAX29" s="30"/>
      <c r="FBC29" s="93"/>
      <c r="FBD29" s="30"/>
      <c r="FBI29" s="93"/>
      <c r="FBJ29" s="30"/>
      <c r="FBO29" s="93"/>
      <c r="FBP29" s="30"/>
      <c r="FBU29" s="93"/>
      <c r="FBV29" s="30"/>
      <c r="FCA29" s="93"/>
      <c r="FCB29" s="30"/>
      <c r="FCG29" s="93"/>
      <c r="FCH29" s="30"/>
      <c r="FCM29" s="93"/>
      <c r="FCN29" s="30"/>
      <c r="FCS29" s="93"/>
      <c r="FCT29" s="30"/>
      <c r="FCY29" s="93"/>
      <c r="FCZ29" s="30"/>
      <c r="FDE29" s="93"/>
      <c r="FDF29" s="30"/>
      <c r="FDK29" s="93"/>
      <c r="FDL29" s="30"/>
      <c r="FDQ29" s="93"/>
      <c r="FDR29" s="30"/>
      <c r="FDW29" s="93"/>
      <c r="FDX29" s="30"/>
      <c r="FEC29" s="93"/>
      <c r="FED29" s="30"/>
      <c r="FEI29" s="93"/>
      <c r="FEJ29" s="30"/>
      <c r="FEO29" s="93"/>
      <c r="FEP29" s="30"/>
      <c r="FEU29" s="93"/>
      <c r="FEV29" s="30"/>
      <c r="FFA29" s="93"/>
      <c r="FFB29" s="30"/>
      <c r="FFG29" s="93"/>
      <c r="FFH29" s="30"/>
      <c r="FFM29" s="93"/>
      <c r="FFN29" s="30"/>
      <c r="FFS29" s="93"/>
      <c r="FFT29" s="30"/>
      <c r="FFY29" s="93"/>
      <c r="FFZ29" s="30"/>
      <c r="FGE29" s="93"/>
      <c r="FGF29" s="30"/>
      <c r="FGK29" s="93"/>
      <c r="FGL29" s="30"/>
      <c r="FGQ29" s="93"/>
      <c r="FGR29" s="30"/>
      <c r="FGW29" s="93"/>
      <c r="FGX29" s="30"/>
      <c r="FHC29" s="93"/>
      <c r="FHD29" s="30"/>
      <c r="FHI29" s="93"/>
      <c r="FHJ29" s="30"/>
      <c r="FHO29" s="93"/>
      <c r="FHP29" s="30"/>
      <c r="FHU29" s="93"/>
      <c r="FHV29" s="30"/>
      <c r="FIA29" s="93"/>
      <c r="FIB29" s="30"/>
      <c r="FIG29" s="93"/>
      <c r="FIH29" s="30"/>
      <c r="FIM29" s="93"/>
      <c r="FIN29" s="30"/>
      <c r="FIS29" s="93"/>
      <c r="FIT29" s="30"/>
      <c r="FIY29" s="93"/>
      <c r="FIZ29" s="30"/>
      <c r="FJE29" s="93"/>
      <c r="FJF29" s="30"/>
      <c r="FJK29" s="93"/>
      <c r="FJL29" s="30"/>
      <c r="FJQ29" s="93"/>
      <c r="FJR29" s="30"/>
      <c r="FJW29" s="93"/>
      <c r="FJX29" s="30"/>
      <c r="FKC29" s="93"/>
      <c r="FKD29" s="30"/>
      <c r="FKI29" s="93"/>
      <c r="FKJ29" s="30"/>
      <c r="FKO29" s="93"/>
      <c r="FKP29" s="30"/>
      <c r="FKU29" s="93"/>
      <c r="FKV29" s="30"/>
      <c r="FLA29" s="93"/>
      <c r="FLB29" s="30"/>
      <c r="FLG29" s="93"/>
      <c r="FLH29" s="30"/>
      <c r="FLM29" s="93"/>
      <c r="FLN29" s="30"/>
      <c r="FLS29" s="93"/>
      <c r="FLT29" s="30"/>
      <c r="FLY29" s="93"/>
      <c r="FLZ29" s="30"/>
      <c r="FME29" s="93"/>
      <c r="FMF29" s="30"/>
      <c r="FMK29" s="93"/>
      <c r="FML29" s="30"/>
      <c r="FMQ29" s="93"/>
      <c r="FMR29" s="30"/>
      <c r="FMW29" s="93"/>
      <c r="FMX29" s="30"/>
      <c r="FNC29" s="93"/>
      <c r="FND29" s="30"/>
      <c r="FNI29" s="93"/>
      <c r="FNJ29" s="30"/>
      <c r="FNO29" s="93"/>
      <c r="FNP29" s="30"/>
      <c r="FNU29" s="93"/>
      <c r="FNV29" s="30"/>
      <c r="FOA29" s="93"/>
      <c r="FOB29" s="30"/>
      <c r="FOG29" s="93"/>
      <c r="FOH29" s="30"/>
      <c r="FOM29" s="93"/>
      <c r="FON29" s="30"/>
      <c r="FOS29" s="93"/>
      <c r="FOT29" s="30"/>
      <c r="FOY29" s="93"/>
      <c r="FOZ29" s="30"/>
      <c r="FPE29" s="93"/>
      <c r="FPF29" s="30"/>
      <c r="FPK29" s="93"/>
      <c r="FPL29" s="30"/>
      <c r="FPQ29" s="93"/>
      <c r="FPR29" s="30"/>
      <c r="FPW29" s="93"/>
      <c r="FPX29" s="30"/>
      <c r="FQC29" s="93"/>
      <c r="FQD29" s="30"/>
      <c r="FQI29" s="93"/>
      <c r="FQJ29" s="30"/>
      <c r="FQO29" s="93"/>
      <c r="FQP29" s="30"/>
      <c r="FQU29" s="93"/>
      <c r="FQV29" s="30"/>
      <c r="FRA29" s="93"/>
      <c r="FRB29" s="30"/>
      <c r="FRG29" s="93"/>
      <c r="FRH29" s="30"/>
      <c r="FRM29" s="93"/>
      <c r="FRN29" s="30"/>
      <c r="FRS29" s="93"/>
      <c r="FRT29" s="30"/>
      <c r="FRY29" s="93"/>
      <c r="FRZ29" s="30"/>
      <c r="FSE29" s="93"/>
      <c r="FSF29" s="30"/>
      <c r="FSK29" s="93"/>
      <c r="FSL29" s="30"/>
      <c r="FSQ29" s="93"/>
      <c r="FSR29" s="30"/>
      <c r="FSW29" s="93"/>
      <c r="FSX29" s="30"/>
      <c r="FTC29" s="93"/>
      <c r="FTD29" s="30"/>
      <c r="FTI29" s="93"/>
      <c r="FTJ29" s="30"/>
      <c r="FTO29" s="93"/>
      <c r="FTP29" s="30"/>
      <c r="FTU29" s="93"/>
      <c r="FTV29" s="30"/>
      <c r="FUA29" s="93"/>
      <c r="FUB29" s="30"/>
      <c r="FUG29" s="93"/>
      <c r="FUH29" s="30"/>
      <c r="FUM29" s="93"/>
      <c r="FUN29" s="30"/>
      <c r="FUS29" s="93"/>
      <c r="FUT29" s="30"/>
      <c r="FUY29" s="93"/>
      <c r="FUZ29" s="30"/>
      <c r="FVE29" s="93"/>
      <c r="FVF29" s="30"/>
      <c r="FVK29" s="93"/>
      <c r="FVL29" s="30"/>
      <c r="FVQ29" s="93"/>
      <c r="FVR29" s="30"/>
      <c r="FVW29" s="93"/>
      <c r="FVX29" s="30"/>
      <c r="FWC29" s="93"/>
      <c r="FWD29" s="30"/>
      <c r="FWI29" s="93"/>
      <c r="FWJ29" s="30"/>
      <c r="FWO29" s="93"/>
      <c r="FWP29" s="30"/>
      <c r="FWU29" s="93"/>
      <c r="FWV29" s="30"/>
      <c r="FXA29" s="93"/>
      <c r="FXB29" s="30"/>
      <c r="FXG29" s="93"/>
      <c r="FXH29" s="30"/>
      <c r="FXM29" s="93"/>
      <c r="FXN29" s="30"/>
      <c r="FXS29" s="93"/>
      <c r="FXT29" s="30"/>
      <c r="FXY29" s="93"/>
      <c r="FXZ29" s="30"/>
      <c r="FYE29" s="93"/>
      <c r="FYF29" s="30"/>
      <c r="FYK29" s="93"/>
      <c r="FYL29" s="30"/>
      <c r="FYQ29" s="93"/>
      <c r="FYR29" s="30"/>
      <c r="FYW29" s="93"/>
      <c r="FYX29" s="30"/>
      <c r="FZC29" s="93"/>
      <c r="FZD29" s="30"/>
      <c r="FZI29" s="93"/>
      <c r="FZJ29" s="30"/>
      <c r="FZO29" s="93"/>
      <c r="FZP29" s="30"/>
      <c r="FZU29" s="93"/>
      <c r="FZV29" s="30"/>
      <c r="GAA29" s="93"/>
      <c r="GAB29" s="30"/>
      <c r="GAG29" s="93"/>
      <c r="GAH29" s="30"/>
      <c r="GAM29" s="93"/>
      <c r="GAN29" s="30"/>
      <c r="GAS29" s="93"/>
      <c r="GAT29" s="30"/>
      <c r="GAY29" s="93"/>
      <c r="GAZ29" s="30"/>
      <c r="GBE29" s="93"/>
      <c r="GBF29" s="30"/>
      <c r="GBK29" s="93"/>
      <c r="GBL29" s="30"/>
      <c r="GBQ29" s="93"/>
      <c r="GBR29" s="30"/>
      <c r="GBW29" s="93"/>
      <c r="GBX29" s="30"/>
      <c r="GCC29" s="93"/>
      <c r="GCD29" s="30"/>
      <c r="GCI29" s="93"/>
      <c r="GCJ29" s="30"/>
      <c r="GCO29" s="93"/>
      <c r="GCP29" s="30"/>
      <c r="GCU29" s="93"/>
      <c r="GCV29" s="30"/>
      <c r="GDA29" s="93"/>
      <c r="GDB29" s="30"/>
      <c r="GDG29" s="93"/>
      <c r="GDH29" s="30"/>
      <c r="GDM29" s="93"/>
      <c r="GDN29" s="30"/>
      <c r="GDS29" s="93"/>
      <c r="GDT29" s="30"/>
      <c r="GDY29" s="93"/>
      <c r="GDZ29" s="30"/>
      <c r="GEE29" s="93"/>
      <c r="GEF29" s="30"/>
      <c r="GEK29" s="93"/>
      <c r="GEL29" s="30"/>
      <c r="GEQ29" s="93"/>
      <c r="GER29" s="30"/>
      <c r="GEW29" s="93"/>
      <c r="GEX29" s="30"/>
      <c r="GFC29" s="93"/>
      <c r="GFD29" s="30"/>
      <c r="GFI29" s="93"/>
      <c r="GFJ29" s="30"/>
      <c r="GFO29" s="93"/>
      <c r="GFP29" s="30"/>
      <c r="GFU29" s="93"/>
      <c r="GFV29" s="30"/>
      <c r="GGA29" s="93"/>
      <c r="GGB29" s="30"/>
      <c r="GGG29" s="93"/>
      <c r="GGH29" s="30"/>
      <c r="GGM29" s="93"/>
      <c r="GGN29" s="30"/>
      <c r="GGS29" s="93"/>
      <c r="GGT29" s="30"/>
      <c r="GGY29" s="93"/>
      <c r="GGZ29" s="30"/>
      <c r="GHE29" s="93"/>
      <c r="GHF29" s="30"/>
      <c r="GHK29" s="93"/>
      <c r="GHL29" s="30"/>
      <c r="GHQ29" s="93"/>
      <c r="GHR29" s="30"/>
      <c r="GHW29" s="93"/>
      <c r="GHX29" s="30"/>
      <c r="GIC29" s="93"/>
      <c r="GID29" s="30"/>
      <c r="GII29" s="93"/>
      <c r="GIJ29" s="30"/>
      <c r="GIO29" s="93"/>
      <c r="GIP29" s="30"/>
      <c r="GIU29" s="93"/>
      <c r="GIV29" s="30"/>
      <c r="GJA29" s="93"/>
      <c r="GJB29" s="30"/>
      <c r="GJG29" s="93"/>
      <c r="GJH29" s="30"/>
      <c r="GJM29" s="93"/>
      <c r="GJN29" s="30"/>
      <c r="GJS29" s="93"/>
      <c r="GJT29" s="30"/>
      <c r="GJY29" s="93"/>
      <c r="GJZ29" s="30"/>
      <c r="GKE29" s="93"/>
      <c r="GKF29" s="30"/>
      <c r="GKK29" s="93"/>
      <c r="GKL29" s="30"/>
      <c r="GKQ29" s="93"/>
      <c r="GKR29" s="30"/>
      <c r="GKW29" s="93"/>
      <c r="GKX29" s="30"/>
      <c r="GLC29" s="93"/>
      <c r="GLD29" s="30"/>
      <c r="GLI29" s="93"/>
      <c r="GLJ29" s="30"/>
      <c r="GLO29" s="93"/>
      <c r="GLP29" s="30"/>
      <c r="GLU29" s="93"/>
      <c r="GLV29" s="30"/>
      <c r="GMA29" s="93"/>
      <c r="GMB29" s="30"/>
      <c r="GMG29" s="93"/>
      <c r="GMH29" s="30"/>
      <c r="GMM29" s="93"/>
      <c r="GMN29" s="30"/>
      <c r="GMS29" s="93"/>
      <c r="GMT29" s="30"/>
      <c r="GMY29" s="93"/>
      <c r="GMZ29" s="30"/>
      <c r="GNE29" s="93"/>
      <c r="GNF29" s="30"/>
      <c r="GNK29" s="93"/>
      <c r="GNL29" s="30"/>
      <c r="GNQ29" s="93"/>
      <c r="GNR29" s="30"/>
      <c r="GNW29" s="93"/>
      <c r="GNX29" s="30"/>
      <c r="GOC29" s="93"/>
      <c r="GOD29" s="30"/>
      <c r="GOI29" s="93"/>
      <c r="GOJ29" s="30"/>
      <c r="GOO29" s="93"/>
      <c r="GOP29" s="30"/>
      <c r="GOU29" s="93"/>
      <c r="GOV29" s="30"/>
      <c r="GPA29" s="93"/>
      <c r="GPB29" s="30"/>
      <c r="GPG29" s="93"/>
      <c r="GPH29" s="30"/>
      <c r="GPM29" s="93"/>
      <c r="GPN29" s="30"/>
      <c r="GPS29" s="93"/>
      <c r="GPT29" s="30"/>
      <c r="GPY29" s="93"/>
      <c r="GPZ29" s="30"/>
      <c r="GQE29" s="93"/>
      <c r="GQF29" s="30"/>
      <c r="GQK29" s="93"/>
      <c r="GQL29" s="30"/>
      <c r="GQQ29" s="93"/>
      <c r="GQR29" s="30"/>
      <c r="GQW29" s="93"/>
      <c r="GQX29" s="30"/>
      <c r="GRC29" s="93"/>
      <c r="GRD29" s="30"/>
      <c r="GRI29" s="93"/>
      <c r="GRJ29" s="30"/>
      <c r="GRO29" s="93"/>
      <c r="GRP29" s="30"/>
      <c r="GRU29" s="93"/>
      <c r="GRV29" s="30"/>
      <c r="GSA29" s="93"/>
      <c r="GSB29" s="30"/>
      <c r="GSG29" s="93"/>
      <c r="GSH29" s="30"/>
      <c r="GSM29" s="93"/>
      <c r="GSN29" s="30"/>
      <c r="GSS29" s="93"/>
      <c r="GST29" s="30"/>
      <c r="GSY29" s="93"/>
      <c r="GSZ29" s="30"/>
      <c r="GTE29" s="93"/>
      <c r="GTF29" s="30"/>
      <c r="GTK29" s="93"/>
      <c r="GTL29" s="30"/>
      <c r="GTQ29" s="93"/>
      <c r="GTR29" s="30"/>
      <c r="GTW29" s="93"/>
      <c r="GTX29" s="30"/>
      <c r="GUC29" s="93"/>
      <c r="GUD29" s="30"/>
      <c r="GUI29" s="93"/>
      <c r="GUJ29" s="30"/>
      <c r="GUO29" s="93"/>
      <c r="GUP29" s="30"/>
      <c r="GUU29" s="93"/>
      <c r="GUV29" s="30"/>
      <c r="GVA29" s="93"/>
      <c r="GVB29" s="30"/>
      <c r="GVG29" s="93"/>
      <c r="GVH29" s="30"/>
      <c r="GVM29" s="93"/>
      <c r="GVN29" s="30"/>
      <c r="GVS29" s="93"/>
      <c r="GVT29" s="30"/>
      <c r="GVY29" s="93"/>
      <c r="GVZ29" s="30"/>
      <c r="GWE29" s="93"/>
      <c r="GWF29" s="30"/>
      <c r="GWK29" s="93"/>
      <c r="GWL29" s="30"/>
      <c r="GWQ29" s="93"/>
      <c r="GWR29" s="30"/>
      <c r="GWW29" s="93"/>
      <c r="GWX29" s="30"/>
      <c r="GXC29" s="93"/>
      <c r="GXD29" s="30"/>
      <c r="GXI29" s="93"/>
      <c r="GXJ29" s="30"/>
      <c r="GXO29" s="93"/>
      <c r="GXP29" s="30"/>
      <c r="GXU29" s="93"/>
      <c r="GXV29" s="30"/>
      <c r="GYA29" s="93"/>
      <c r="GYB29" s="30"/>
      <c r="GYG29" s="93"/>
      <c r="GYH29" s="30"/>
      <c r="GYM29" s="93"/>
      <c r="GYN29" s="30"/>
      <c r="GYS29" s="93"/>
      <c r="GYT29" s="30"/>
      <c r="GYY29" s="93"/>
      <c r="GYZ29" s="30"/>
      <c r="GZE29" s="93"/>
      <c r="GZF29" s="30"/>
      <c r="GZK29" s="93"/>
      <c r="GZL29" s="30"/>
      <c r="GZQ29" s="93"/>
      <c r="GZR29" s="30"/>
      <c r="GZW29" s="93"/>
      <c r="GZX29" s="30"/>
      <c r="HAC29" s="93"/>
      <c r="HAD29" s="30"/>
      <c r="HAI29" s="93"/>
      <c r="HAJ29" s="30"/>
      <c r="HAO29" s="93"/>
      <c r="HAP29" s="30"/>
      <c r="HAU29" s="93"/>
      <c r="HAV29" s="30"/>
      <c r="HBA29" s="93"/>
      <c r="HBB29" s="30"/>
      <c r="HBG29" s="93"/>
      <c r="HBH29" s="30"/>
      <c r="HBM29" s="93"/>
      <c r="HBN29" s="30"/>
      <c r="HBS29" s="93"/>
      <c r="HBT29" s="30"/>
      <c r="HBY29" s="93"/>
      <c r="HBZ29" s="30"/>
      <c r="HCE29" s="93"/>
      <c r="HCF29" s="30"/>
      <c r="HCK29" s="93"/>
      <c r="HCL29" s="30"/>
      <c r="HCQ29" s="93"/>
      <c r="HCR29" s="30"/>
      <c r="HCW29" s="93"/>
      <c r="HCX29" s="30"/>
      <c r="HDC29" s="93"/>
      <c r="HDD29" s="30"/>
      <c r="HDI29" s="93"/>
      <c r="HDJ29" s="30"/>
      <c r="HDO29" s="93"/>
      <c r="HDP29" s="30"/>
      <c r="HDU29" s="93"/>
      <c r="HDV29" s="30"/>
      <c r="HEA29" s="93"/>
      <c r="HEB29" s="30"/>
      <c r="HEG29" s="93"/>
      <c r="HEH29" s="30"/>
      <c r="HEM29" s="93"/>
      <c r="HEN29" s="30"/>
      <c r="HES29" s="93"/>
      <c r="HET29" s="30"/>
      <c r="HEY29" s="93"/>
      <c r="HEZ29" s="30"/>
      <c r="HFE29" s="93"/>
      <c r="HFF29" s="30"/>
      <c r="HFK29" s="93"/>
      <c r="HFL29" s="30"/>
      <c r="HFQ29" s="93"/>
      <c r="HFR29" s="30"/>
      <c r="HFW29" s="93"/>
      <c r="HFX29" s="30"/>
      <c r="HGC29" s="93"/>
      <c r="HGD29" s="30"/>
      <c r="HGI29" s="93"/>
      <c r="HGJ29" s="30"/>
      <c r="HGO29" s="93"/>
      <c r="HGP29" s="30"/>
      <c r="HGU29" s="93"/>
      <c r="HGV29" s="30"/>
      <c r="HHA29" s="93"/>
      <c r="HHB29" s="30"/>
      <c r="HHG29" s="93"/>
      <c r="HHH29" s="30"/>
      <c r="HHM29" s="93"/>
      <c r="HHN29" s="30"/>
      <c r="HHS29" s="93"/>
      <c r="HHT29" s="30"/>
      <c r="HHY29" s="93"/>
      <c r="HHZ29" s="30"/>
      <c r="HIE29" s="93"/>
      <c r="HIF29" s="30"/>
      <c r="HIK29" s="93"/>
      <c r="HIL29" s="30"/>
      <c r="HIQ29" s="93"/>
      <c r="HIR29" s="30"/>
      <c r="HIW29" s="93"/>
      <c r="HIX29" s="30"/>
      <c r="HJC29" s="93"/>
      <c r="HJD29" s="30"/>
      <c r="HJI29" s="93"/>
      <c r="HJJ29" s="30"/>
      <c r="HJO29" s="93"/>
      <c r="HJP29" s="30"/>
      <c r="HJU29" s="93"/>
      <c r="HJV29" s="30"/>
      <c r="HKA29" s="93"/>
      <c r="HKB29" s="30"/>
      <c r="HKG29" s="93"/>
      <c r="HKH29" s="30"/>
      <c r="HKM29" s="93"/>
      <c r="HKN29" s="30"/>
      <c r="HKS29" s="93"/>
      <c r="HKT29" s="30"/>
      <c r="HKY29" s="93"/>
      <c r="HKZ29" s="30"/>
      <c r="HLE29" s="93"/>
      <c r="HLF29" s="30"/>
      <c r="HLK29" s="93"/>
      <c r="HLL29" s="30"/>
      <c r="HLQ29" s="93"/>
      <c r="HLR29" s="30"/>
      <c r="HLW29" s="93"/>
      <c r="HLX29" s="30"/>
      <c r="HMC29" s="93"/>
      <c r="HMD29" s="30"/>
      <c r="HMI29" s="93"/>
      <c r="HMJ29" s="30"/>
      <c r="HMO29" s="93"/>
      <c r="HMP29" s="30"/>
      <c r="HMU29" s="93"/>
      <c r="HMV29" s="30"/>
      <c r="HNA29" s="93"/>
      <c r="HNB29" s="30"/>
      <c r="HNG29" s="93"/>
      <c r="HNH29" s="30"/>
      <c r="HNM29" s="93"/>
      <c r="HNN29" s="30"/>
      <c r="HNS29" s="93"/>
      <c r="HNT29" s="30"/>
      <c r="HNY29" s="93"/>
      <c r="HNZ29" s="30"/>
      <c r="HOE29" s="93"/>
      <c r="HOF29" s="30"/>
      <c r="HOK29" s="93"/>
      <c r="HOL29" s="30"/>
      <c r="HOQ29" s="93"/>
      <c r="HOR29" s="30"/>
      <c r="HOW29" s="93"/>
      <c r="HOX29" s="30"/>
      <c r="HPC29" s="93"/>
      <c r="HPD29" s="30"/>
      <c r="HPI29" s="93"/>
      <c r="HPJ29" s="30"/>
      <c r="HPO29" s="93"/>
      <c r="HPP29" s="30"/>
      <c r="HPU29" s="93"/>
      <c r="HPV29" s="30"/>
      <c r="HQA29" s="93"/>
      <c r="HQB29" s="30"/>
      <c r="HQG29" s="93"/>
      <c r="HQH29" s="30"/>
      <c r="HQM29" s="93"/>
      <c r="HQN29" s="30"/>
      <c r="HQS29" s="93"/>
      <c r="HQT29" s="30"/>
      <c r="HQY29" s="93"/>
      <c r="HQZ29" s="30"/>
      <c r="HRE29" s="93"/>
      <c r="HRF29" s="30"/>
      <c r="HRK29" s="93"/>
      <c r="HRL29" s="30"/>
      <c r="HRQ29" s="93"/>
      <c r="HRR29" s="30"/>
      <c r="HRW29" s="93"/>
      <c r="HRX29" s="30"/>
      <c r="HSC29" s="93"/>
      <c r="HSD29" s="30"/>
      <c r="HSI29" s="93"/>
      <c r="HSJ29" s="30"/>
      <c r="HSO29" s="93"/>
      <c r="HSP29" s="30"/>
      <c r="HSU29" s="93"/>
      <c r="HSV29" s="30"/>
      <c r="HTA29" s="93"/>
      <c r="HTB29" s="30"/>
      <c r="HTG29" s="93"/>
      <c r="HTH29" s="30"/>
      <c r="HTM29" s="93"/>
      <c r="HTN29" s="30"/>
      <c r="HTS29" s="93"/>
      <c r="HTT29" s="30"/>
      <c r="HTY29" s="93"/>
      <c r="HTZ29" s="30"/>
      <c r="HUE29" s="93"/>
      <c r="HUF29" s="30"/>
      <c r="HUK29" s="93"/>
      <c r="HUL29" s="30"/>
      <c r="HUQ29" s="93"/>
      <c r="HUR29" s="30"/>
      <c r="HUW29" s="93"/>
      <c r="HUX29" s="30"/>
      <c r="HVC29" s="93"/>
      <c r="HVD29" s="30"/>
      <c r="HVI29" s="93"/>
      <c r="HVJ29" s="30"/>
      <c r="HVO29" s="93"/>
      <c r="HVP29" s="30"/>
      <c r="HVU29" s="93"/>
      <c r="HVV29" s="30"/>
      <c r="HWA29" s="93"/>
      <c r="HWB29" s="30"/>
      <c r="HWG29" s="93"/>
      <c r="HWH29" s="30"/>
      <c r="HWM29" s="93"/>
      <c r="HWN29" s="30"/>
      <c r="HWS29" s="93"/>
      <c r="HWT29" s="30"/>
      <c r="HWY29" s="93"/>
      <c r="HWZ29" s="30"/>
      <c r="HXE29" s="93"/>
      <c r="HXF29" s="30"/>
      <c r="HXK29" s="93"/>
      <c r="HXL29" s="30"/>
      <c r="HXQ29" s="93"/>
      <c r="HXR29" s="30"/>
      <c r="HXW29" s="93"/>
      <c r="HXX29" s="30"/>
      <c r="HYC29" s="93"/>
      <c r="HYD29" s="30"/>
      <c r="HYI29" s="93"/>
      <c r="HYJ29" s="30"/>
      <c r="HYO29" s="93"/>
      <c r="HYP29" s="30"/>
      <c r="HYU29" s="93"/>
      <c r="HYV29" s="30"/>
      <c r="HZA29" s="93"/>
      <c r="HZB29" s="30"/>
      <c r="HZG29" s="93"/>
      <c r="HZH29" s="30"/>
      <c r="HZM29" s="93"/>
      <c r="HZN29" s="30"/>
      <c r="HZS29" s="93"/>
      <c r="HZT29" s="30"/>
      <c r="HZY29" s="93"/>
      <c r="HZZ29" s="30"/>
      <c r="IAE29" s="93"/>
      <c r="IAF29" s="30"/>
      <c r="IAK29" s="93"/>
      <c r="IAL29" s="30"/>
      <c r="IAQ29" s="93"/>
      <c r="IAR29" s="30"/>
      <c r="IAW29" s="93"/>
      <c r="IAX29" s="30"/>
      <c r="IBC29" s="93"/>
      <c r="IBD29" s="30"/>
      <c r="IBI29" s="93"/>
      <c r="IBJ29" s="30"/>
      <c r="IBO29" s="93"/>
      <c r="IBP29" s="30"/>
      <c r="IBU29" s="93"/>
      <c r="IBV29" s="30"/>
      <c r="ICA29" s="93"/>
      <c r="ICB29" s="30"/>
      <c r="ICG29" s="93"/>
      <c r="ICH29" s="30"/>
      <c r="ICM29" s="93"/>
      <c r="ICN29" s="30"/>
      <c r="ICS29" s="93"/>
      <c r="ICT29" s="30"/>
      <c r="ICY29" s="93"/>
      <c r="ICZ29" s="30"/>
      <c r="IDE29" s="93"/>
      <c r="IDF29" s="30"/>
      <c r="IDK29" s="93"/>
      <c r="IDL29" s="30"/>
      <c r="IDQ29" s="93"/>
      <c r="IDR29" s="30"/>
      <c r="IDW29" s="93"/>
      <c r="IDX29" s="30"/>
      <c r="IEC29" s="93"/>
      <c r="IED29" s="30"/>
      <c r="IEI29" s="93"/>
      <c r="IEJ29" s="30"/>
      <c r="IEO29" s="93"/>
      <c r="IEP29" s="30"/>
      <c r="IEU29" s="93"/>
      <c r="IEV29" s="30"/>
      <c r="IFA29" s="93"/>
      <c r="IFB29" s="30"/>
      <c r="IFG29" s="93"/>
      <c r="IFH29" s="30"/>
      <c r="IFM29" s="93"/>
      <c r="IFN29" s="30"/>
      <c r="IFS29" s="93"/>
      <c r="IFT29" s="30"/>
      <c r="IFY29" s="93"/>
      <c r="IFZ29" s="30"/>
      <c r="IGE29" s="93"/>
      <c r="IGF29" s="30"/>
      <c r="IGK29" s="93"/>
      <c r="IGL29" s="30"/>
      <c r="IGQ29" s="93"/>
      <c r="IGR29" s="30"/>
      <c r="IGW29" s="93"/>
      <c r="IGX29" s="30"/>
      <c r="IHC29" s="93"/>
      <c r="IHD29" s="30"/>
      <c r="IHI29" s="93"/>
      <c r="IHJ29" s="30"/>
      <c r="IHO29" s="93"/>
      <c r="IHP29" s="30"/>
      <c r="IHU29" s="93"/>
      <c r="IHV29" s="30"/>
      <c r="IIA29" s="93"/>
      <c r="IIB29" s="30"/>
      <c r="IIG29" s="93"/>
      <c r="IIH29" s="30"/>
      <c r="IIM29" s="93"/>
      <c r="IIN29" s="30"/>
      <c r="IIS29" s="93"/>
      <c r="IIT29" s="30"/>
      <c r="IIY29" s="93"/>
      <c r="IIZ29" s="30"/>
      <c r="IJE29" s="93"/>
      <c r="IJF29" s="30"/>
      <c r="IJK29" s="93"/>
      <c r="IJL29" s="30"/>
      <c r="IJQ29" s="93"/>
      <c r="IJR29" s="30"/>
      <c r="IJW29" s="93"/>
      <c r="IJX29" s="30"/>
      <c r="IKC29" s="93"/>
      <c r="IKD29" s="30"/>
      <c r="IKI29" s="93"/>
      <c r="IKJ29" s="30"/>
      <c r="IKO29" s="93"/>
      <c r="IKP29" s="30"/>
      <c r="IKU29" s="93"/>
      <c r="IKV29" s="30"/>
      <c r="ILA29" s="93"/>
      <c r="ILB29" s="30"/>
      <c r="ILG29" s="93"/>
      <c r="ILH29" s="30"/>
      <c r="ILM29" s="93"/>
      <c r="ILN29" s="30"/>
      <c r="ILS29" s="93"/>
      <c r="ILT29" s="30"/>
      <c r="ILY29" s="93"/>
      <c r="ILZ29" s="30"/>
      <c r="IME29" s="93"/>
      <c r="IMF29" s="30"/>
      <c r="IMK29" s="93"/>
      <c r="IML29" s="30"/>
      <c r="IMQ29" s="93"/>
      <c r="IMR29" s="30"/>
      <c r="IMW29" s="93"/>
      <c r="IMX29" s="30"/>
      <c r="INC29" s="93"/>
      <c r="IND29" s="30"/>
      <c r="INI29" s="93"/>
      <c r="INJ29" s="30"/>
      <c r="INO29" s="93"/>
      <c r="INP29" s="30"/>
      <c r="INU29" s="93"/>
      <c r="INV29" s="30"/>
      <c r="IOA29" s="93"/>
      <c r="IOB29" s="30"/>
      <c r="IOG29" s="93"/>
      <c r="IOH29" s="30"/>
      <c r="IOM29" s="93"/>
      <c r="ION29" s="30"/>
      <c r="IOS29" s="93"/>
      <c r="IOT29" s="30"/>
      <c r="IOY29" s="93"/>
      <c r="IOZ29" s="30"/>
      <c r="IPE29" s="93"/>
      <c r="IPF29" s="30"/>
      <c r="IPK29" s="93"/>
      <c r="IPL29" s="30"/>
      <c r="IPQ29" s="93"/>
      <c r="IPR29" s="30"/>
      <c r="IPW29" s="93"/>
      <c r="IPX29" s="30"/>
      <c r="IQC29" s="93"/>
      <c r="IQD29" s="30"/>
      <c r="IQI29" s="93"/>
      <c r="IQJ29" s="30"/>
      <c r="IQO29" s="93"/>
      <c r="IQP29" s="30"/>
      <c r="IQU29" s="93"/>
      <c r="IQV29" s="30"/>
      <c r="IRA29" s="93"/>
      <c r="IRB29" s="30"/>
      <c r="IRG29" s="93"/>
      <c r="IRH29" s="30"/>
      <c r="IRM29" s="93"/>
      <c r="IRN29" s="30"/>
      <c r="IRS29" s="93"/>
      <c r="IRT29" s="30"/>
      <c r="IRY29" s="93"/>
      <c r="IRZ29" s="30"/>
      <c r="ISE29" s="93"/>
      <c r="ISF29" s="30"/>
      <c r="ISK29" s="93"/>
      <c r="ISL29" s="30"/>
      <c r="ISQ29" s="93"/>
      <c r="ISR29" s="30"/>
      <c r="ISW29" s="93"/>
      <c r="ISX29" s="30"/>
      <c r="ITC29" s="93"/>
      <c r="ITD29" s="30"/>
      <c r="ITI29" s="93"/>
      <c r="ITJ29" s="30"/>
      <c r="ITO29" s="93"/>
      <c r="ITP29" s="30"/>
      <c r="ITU29" s="93"/>
      <c r="ITV29" s="30"/>
      <c r="IUA29" s="93"/>
      <c r="IUB29" s="30"/>
      <c r="IUG29" s="93"/>
      <c r="IUH29" s="30"/>
      <c r="IUM29" s="93"/>
      <c r="IUN29" s="30"/>
      <c r="IUS29" s="93"/>
      <c r="IUT29" s="30"/>
      <c r="IUY29" s="93"/>
      <c r="IUZ29" s="30"/>
      <c r="IVE29" s="93"/>
      <c r="IVF29" s="30"/>
      <c r="IVK29" s="93"/>
      <c r="IVL29" s="30"/>
      <c r="IVQ29" s="93"/>
      <c r="IVR29" s="30"/>
      <c r="IVW29" s="93"/>
      <c r="IVX29" s="30"/>
      <c r="IWC29" s="93"/>
      <c r="IWD29" s="30"/>
      <c r="IWI29" s="93"/>
      <c r="IWJ29" s="30"/>
      <c r="IWO29" s="93"/>
      <c r="IWP29" s="30"/>
      <c r="IWU29" s="93"/>
      <c r="IWV29" s="30"/>
      <c r="IXA29" s="93"/>
      <c r="IXB29" s="30"/>
      <c r="IXG29" s="93"/>
      <c r="IXH29" s="30"/>
      <c r="IXM29" s="93"/>
      <c r="IXN29" s="30"/>
      <c r="IXS29" s="93"/>
      <c r="IXT29" s="30"/>
      <c r="IXY29" s="93"/>
      <c r="IXZ29" s="30"/>
      <c r="IYE29" s="93"/>
      <c r="IYF29" s="30"/>
      <c r="IYK29" s="93"/>
      <c r="IYL29" s="30"/>
      <c r="IYQ29" s="93"/>
      <c r="IYR29" s="30"/>
      <c r="IYW29" s="93"/>
      <c r="IYX29" s="30"/>
      <c r="IZC29" s="93"/>
      <c r="IZD29" s="30"/>
      <c r="IZI29" s="93"/>
      <c r="IZJ29" s="30"/>
      <c r="IZO29" s="93"/>
      <c r="IZP29" s="30"/>
      <c r="IZU29" s="93"/>
      <c r="IZV29" s="30"/>
      <c r="JAA29" s="93"/>
      <c r="JAB29" s="30"/>
      <c r="JAG29" s="93"/>
      <c r="JAH29" s="30"/>
      <c r="JAM29" s="93"/>
      <c r="JAN29" s="30"/>
      <c r="JAS29" s="93"/>
      <c r="JAT29" s="30"/>
      <c r="JAY29" s="93"/>
      <c r="JAZ29" s="30"/>
      <c r="JBE29" s="93"/>
      <c r="JBF29" s="30"/>
      <c r="JBK29" s="93"/>
      <c r="JBL29" s="30"/>
      <c r="JBQ29" s="93"/>
      <c r="JBR29" s="30"/>
      <c r="JBW29" s="93"/>
      <c r="JBX29" s="30"/>
      <c r="JCC29" s="93"/>
      <c r="JCD29" s="30"/>
      <c r="JCI29" s="93"/>
      <c r="JCJ29" s="30"/>
      <c r="JCO29" s="93"/>
      <c r="JCP29" s="30"/>
      <c r="JCU29" s="93"/>
      <c r="JCV29" s="30"/>
      <c r="JDA29" s="93"/>
      <c r="JDB29" s="30"/>
      <c r="JDG29" s="93"/>
      <c r="JDH29" s="30"/>
      <c r="JDM29" s="93"/>
      <c r="JDN29" s="30"/>
      <c r="JDS29" s="93"/>
      <c r="JDT29" s="30"/>
      <c r="JDY29" s="93"/>
      <c r="JDZ29" s="30"/>
      <c r="JEE29" s="93"/>
      <c r="JEF29" s="30"/>
      <c r="JEK29" s="93"/>
      <c r="JEL29" s="30"/>
      <c r="JEQ29" s="93"/>
      <c r="JER29" s="30"/>
      <c r="JEW29" s="93"/>
      <c r="JEX29" s="30"/>
      <c r="JFC29" s="93"/>
      <c r="JFD29" s="30"/>
      <c r="JFI29" s="93"/>
      <c r="JFJ29" s="30"/>
      <c r="JFO29" s="93"/>
      <c r="JFP29" s="30"/>
      <c r="JFU29" s="93"/>
      <c r="JFV29" s="30"/>
      <c r="JGA29" s="93"/>
      <c r="JGB29" s="30"/>
      <c r="JGG29" s="93"/>
      <c r="JGH29" s="30"/>
      <c r="JGM29" s="93"/>
      <c r="JGN29" s="30"/>
      <c r="JGS29" s="93"/>
      <c r="JGT29" s="30"/>
      <c r="JGY29" s="93"/>
      <c r="JGZ29" s="30"/>
      <c r="JHE29" s="93"/>
      <c r="JHF29" s="30"/>
      <c r="JHK29" s="93"/>
      <c r="JHL29" s="30"/>
      <c r="JHQ29" s="93"/>
      <c r="JHR29" s="30"/>
      <c r="JHW29" s="93"/>
      <c r="JHX29" s="30"/>
      <c r="JIC29" s="93"/>
      <c r="JID29" s="30"/>
      <c r="JII29" s="93"/>
      <c r="JIJ29" s="30"/>
      <c r="JIO29" s="93"/>
      <c r="JIP29" s="30"/>
      <c r="JIU29" s="93"/>
      <c r="JIV29" s="30"/>
      <c r="JJA29" s="93"/>
      <c r="JJB29" s="30"/>
      <c r="JJG29" s="93"/>
      <c r="JJH29" s="30"/>
      <c r="JJM29" s="93"/>
      <c r="JJN29" s="30"/>
      <c r="JJS29" s="93"/>
      <c r="JJT29" s="30"/>
      <c r="JJY29" s="93"/>
      <c r="JJZ29" s="30"/>
      <c r="JKE29" s="93"/>
      <c r="JKF29" s="30"/>
      <c r="JKK29" s="93"/>
      <c r="JKL29" s="30"/>
      <c r="JKQ29" s="93"/>
      <c r="JKR29" s="30"/>
      <c r="JKW29" s="93"/>
      <c r="JKX29" s="30"/>
      <c r="JLC29" s="93"/>
      <c r="JLD29" s="30"/>
      <c r="JLI29" s="93"/>
      <c r="JLJ29" s="30"/>
      <c r="JLO29" s="93"/>
      <c r="JLP29" s="30"/>
      <c r="JLU29" s="93"/>
      <c r="JLV29" s="30"/>
      <c r="JMA29" s="93"/>
      <c r="JMB29" s="30"/>
      <c r="JMG29" s="93"/>
      <c r="JMH29" s="30"/>
      <c r="JMM29" s="93"/>
      <c r="JMN29" s="30"/>
      <c r="JMS29" s="93"/>
      <c r="JMT29" s="30"/>
      <c r="JMY29" s="93"/>
      <c r="JMZ29" s="30"/>
      <c r="JNE29" s="93"/>
      <c r="JNF29" s="30"/>
      <c r="JNK29" s="93"/>
      <c r="JNL29" s="30"/>
      <c r="JNQ29" s="93"/>
      <c r="JNR29" s="30"/>
      <c r="JNW29" s="93"/>
      <c r="JNX29" s="30"/>
      <c r="JOC29" s="93"/>
      <c r="JOD29" s="30"/>
      <c r="JOI29" s="93"/>
      <c r="JOJ29" s="30"/>
      <c r="JOO29" s="93"/>
      <c r="JOP29" s="30"/>
      <c r="JOU29" s="93"/>
      <c r="JOV29" s="30"/>
      <c r="JPA29" s="93"/>
      <c r="JPB29" s="30"/>
      <c r="JPG29" s="93"/>
      <c r="JPH29" s="30"/>
      <c r="JPM29" s="93"/>
      <c r="JPN29" s="30"/>
      <c r="JPS29" s="93"/>
      <c r="JPT29" s="30"/>
      <c r="JPY29" s="93"/>
      <c r="JPZ29" s="30"/>
      <c r="JQE29" s="93"/>
      <c r="JQF29" s="30"/>
      <c r="JQK29" s="93"/>
      <c r="JQL29" s="30"/>
      <c r="JQQ29" s="93"/>
      <c r="JQR29" s="30"/>
      <c r="JQW29" s="93"/>
      <c r="JQX29" s="30"/>
      <c r="JRC29" s="93"/>
      <c r="JRD29" s="30"/>
      <c r="JRI29" s="93"/>
      <c r="JRJ29" s="30"/>
      <c r="JRO29" s="93"/>
      <c r="JRP29" s="30"/>
      <c r="JRU29" s="93"/>
      <c r="JRV29" s="30"/>
      <c r="JSA29" s="93"/>
      <c r="JSB29" s="30"/>
      <c r="JSG29" s="93"/>
      <c r="JSH29" s="30"/>
      <c r="JSM29" s="93"/>
      <c r="JSN29" s="30"/>
      <c r="JSS29" s="93"/>
      <c r="JST29" s="30"/>
      <c r="JSY29" s="93"/>
      <c r="JSZ29" s="30"/>
      <c r="JTE29" s="93"/>
      <c r="JTF29" s="30"/>
      <c r="JTK29" s="93"/>
      <c r="JTL29" s="30"/>
      <c r="JTQ29" s="93"/>
      <c r="JTR29" s="30"/>
      <c r="JTW29" s="93"/>
      <c r="JTX29" s="30"/>
      <c r="JUC29" s="93"/>
      <c r="JUD29" s="30"/>
      <c r="JUI29" s="93"/>
      <c r="JUJ29" s="30"/>
      <c r="JUO29" s="93"/>
      <c r="JUP29" s="30"/>
      <c r="JUU29" s="93"/>
      <c r="JUV29" s="30"/>
      <c r="JVA29" s="93"/>
      <c r="JVB29" s="30"/>
      <c r="JVG29" s="93"/>
      <c r="JVH29" s="30"/>
      <c r="JVM29" s="93"/>
      <c r="JVN29" s="30"/>
      <c r="JVS29" s="93"/>
      <c r="JVT29" s="30"/>
      <c r="JVY29" s="93"/>
      <c r="JVZ29" s="30"/>
      <c r="JWE29" s="93"/>
      <c r="JWF29" s="30"/>
      <c r="JWK29" s="93"/>
      <c r="JWL29" s="30"/>
      <c r="JWQ29" s="93"/>
      <c r="JWR29" s="30"/>
      <c r="JWW29" s="93"/>
      <c r="JWX29" s="30"/>
      <c r="JXC29" s="93"/>
      <c r="JXD29" s="30"/>
      <c r="JXI29" s="93"/>
      <c r="JXJ29" s="30"/>
      <c r="JXO29" s="93"/>
      <c r="JXP29" s="30"/>
      <c r="JXU29" s="93"/>
      <c r="JXV29" s="30"/>
      <c r="JYA29" s="93"/>
      <c r="JYB29" s="30"/>
      <c r="JYG29" s="93"/>
      <c r="JYH29" s="30"/>
      <c r="JYM29" s="93"/>
      <c r="JYN29" s="30"/>
      <c r="JYS29" s="93"/>
      <c r="JYT29" s="30"/>
      <c r="JYY29" s="93"/>
      <c r="JYZ29" s="30"/>
      <c r="JZE29" s="93"/>
      <c r="JZF29" s="30"/>
      <c r="JZK29" s="93"/>
      <c r="JZL29" s="30"/>
      <c r="JZQ29" s="93"/>
      <c r="JZR29" s="30"/>
      <c r="JZW29" s="93"/>
      <c r="JZX29" s="30"/>
      <c r="KAC29" s="93"/>
      <c r="KAD29" s="30"/>
      <c r="KAI29" s="93"/>
      <c r="KAJ29" s="30"/>
      <c r="KAO29" s="93"/>
      <c r="KAP29" s="30"/>
      <c r="KAU29" s="93"/>
      <c r="KAV29" s="30"/>
      <c r="KBA29" s="93"/>
      <c r="KBB29" s="30"/>
      <c r="KBG29" s="93"/>
      <c r="KBH29" s="30"/>
      <c r="KBM29" s="93"/>
      <c r="KBN29" s="30"/>
      <c r="KBS29" s="93"/>
      <c r="KBT29" s="30"/>
      <c r="KBY29" s="93"/>
      <c r="KBZ29" s="30"/>
      <c r="KCE29" s="93"/>
      <c r="KCF29" s="30"/>
      <c r="KCK29" s="93"/>
      <c r="KCL29" s="30"/>
      <c r="KCQ29" s="93"/>
      <c r="KCR29" s="30"/>
      <c r="KCW29" s="93"/>
      <c r="KCX29" s="30"/>
      <c r="KDC29" s="93"/>
      <c r="KDD29" s="30"/>
      <c r="KDI29" s="93"/>
      <c r="KDJ29" s="30"/>
      <c r="KDO29" s="93"/>
      <c r="KDP29" s="30"/>
      <c r="KDU29" s="93"/>
      <c r="KDV29" s="30"/>
      <c r="KEA29" s="93"/>
      <c r="KEB29" s="30"/>
      <c r="KEG29" s="93"/>
      <c r="KEH29" s="30"/>
      <c r="KEM29" s="93"/>
      <c r="KEN29" s="30"/>
      <c r="KES29" s="93"/>
      <c r="KET29" s="30"/>
      <c r="KEY29" s="93"/>
      <c r="KEZ29" s="30"/>
      <c r="KFE29" s="93"/>
      <c r="KFF29" s="30"/>
      <c r="KFK29" s="93"/>
      <c r="KFL29" s="30"/>
      <c r="KFQ29" s="93"/>
      <c r="KFR29" s="30"/>
      <c r="KFW29" s="93"/>
      <c r="KFX29" s="30"/>
      <c r="KGC29" s="93"/>
      <c r="KGD29" s="30"/>
      <c r="KGI29" s="93"/>
      <c r="KGJ29" s="30"/>
      <c r="KGO29" s="93"/>
      <c r="KGP29" s="30"/>
      <c r="KGU29" s="93"/>
      <c r="KGV29" s="30"/>
      <c r="KHA29" s="93"/>
      <c r="KHB29" s="30"/>
      <c r="KHG29" s="93"/>
      <c r="KHH29" s="30"/>
      <c r="KHM29" s="93"/>
      <c r="KHN29" s="30"/>
      <c r="KHS29" s="93"/>
      <c r="KHT29" s="30"/>
      <c r="KHY29" s="93"/>
      <c r="KHZ29" s="30"/>
      <c r="KIE29" s="93"/>
      <c r="KIF29" s="30"/>
      <c r="KIK29" s="93"/>
      <c r="KIL29" s="30"/>
      <c r="KIQ29" s="93"/>
      <c r="KIR29" s="30"/>
      <c r="KIW29" s="93"/>
      <c r="KIX29" s="30"/>
      <c r="KJC29" s="93"/>
      <c r="KJD29" s="30"/>
      <c r="KJI29" s="93"/>
      <c r="KJJ29" s="30"/>
      <c r="KJO29" s="93"/>
      <c r="KJP29" s="30"/>
      <c r="KJU29" s="93"/>
      <c r="KJV29" s="30"/>
      <c r="KKA29" s="93"/>
      <c r="KKB29" s="30"/>
      <c r="KKG29" s="93"/>
      <c r="KKH29" s="30"/>
      <c r="KKM29" s="93"/>
      <c r="KKN29" s="30"/>
      <c r="KKS29" s="93"/>
      <c r="KKT29" s="30"/>
      <c r="KKY29" s="93"/>
      <c r="KKZ29" s="30"/>
      <c r="KLE29" s="93"/>
      <c r="KLF29" s="30"/>
      <c r="KLK29" s="93"/>
      <c r="KLL29" s="30"/>
      <c r="KLQ29" s="93"/>
      <c r="KLR29" s="30"/>
      <c r="KLW29" s="93"/>
      <c r="KLX29" s="30"/>
      <c r="KMC29" s="93"/>
      <c r="KMD29" s="30"/>
      <c r="KMI29" s="93"/>
      <c r="KMJ29" s="30"/>
      <c r="KMO29" s="93"/>
      <c r="KMP29" s="30"/>
      <c r="KMU29" s="93"/>
      <c r="KMV29" s="30"/>
      <c r="KNA29" s="93"/>
      <c r="KNB29" s="30"/>
      <c r="KNG29" s="93"/>
      <c r="KNH29" s="30"/>
      <c r="KNM29" s="93"/>
      <c r="KNN29" s="30"/>
      <c r="KNS29" s="93"/>
      <c r="KNT29" s="30"/>
      <c r="KNY29" s="93"/>
      <c r="KNZ29" s="30"/>
      <c r="KOE29" s="93"/>
      <c r="KOF29" s="30"/>
      <c r="KOK29" s="93"/>
      <c r="KOL29" s="30"/>
      <c r="KOQ29" s="93"/>
      <c r="KOR29" s="30"/>
      <c r="KOW29" s="93"/>
      <c r="KOX29" s="30"/>
      <c r="KPC29" s="93"/>
      <c r="KPD29" s="30"/>
      <c r="KPI29" s="93"/>
      <c r="KPJ29" s="30"/>
      <c r="KPO29" s="93"/>
      <c r="KPP29" s="30"/>
      <c r="KPU29" s="93"/>
      <c r="KPV29" s="30"/>
      <c r="KQA29" s="93"/>
      <c r="KQB29" s="30"/>
      <c r="KQG29" s="93"/>
      <c r="KQH29" s="30"/>
      <c r="KQM29" s="93"/>
      <c r="KQN29" s="30"/>
      <c r="KQS29" s="93"/>
      <c r="KQT29" s="30"/>
      <c r="KQY29" s="93"/>
      <c r="KQZ29" s="30"/>
      <c r="KRE29" s="93"/>
      <c r="KRF29" s="30"/>
      <c r="KRK29" s="93"/>
      <c r="KRL29" s="30"/>
      <c r="KRQ29" s="93"/>
      <c r="KRR29" s="30"/>
      <c r="KRW29" s="93"/>
      <c r="KRX29" s="30"/>
      <c r="KSC29" s="93"/>
      <c r="KSD29" s="30"/>
      <c r="KSI29" s="93"/>
      <c r="KSJ29" s="30"/>
      <c r="KSO29" s="93"/>
      <c r="KSP29" s="30"/>
      <c r="KSU29" s="93"/>
      <c r="KSV29" s="30"/>
      <c r="KTA29" s="93"/>
      <c r="KTB29" s="30"/>
      <c r="KTG29" s="93"/>
      <c r="KTH29" s="30"/>
      <c r="KTM29" s="93"/>
      <c r="KTN29" s="30"/>
      <c r="KTS29" s="93"/>
      <c r="KTT29" s="30"/>
      <c r="KTY29" s="93"/>
      <c r="KTZ29" s="30"/>
      <c r="KUE29" s="93"/>
      <c r="KUF29" s="30"/>
      <c r="KUK29" s="93"/>
      <c r="KUL29" s="30"/>
      <c r="KUQ29" s="93"/>
      <c r="KUR29" s="30"/>
      <c r="KUW29" s="93"/>
      <c r="KUX29" s="30"/>
      <c r="KVC29" s="93"/>
      <c r="KVD29" s="30"/>
      <c r="KVI29" s="93"/>
      <c r="KVJ29" s="30"/>
      <c r="KVO29" s="93"/>
      <c r="KVP29" s="30"/>
      <c r="KVU29" s="93"/>
      <c r="KVV29" s="30"/>
      <c r="KWA29" s="93"/>
      <c r="KWB29" s="30"/>
      <c r="KWG29" s="93"/>
      <c r="KWH29" s="30"/>
      <c r="KWM29" s="93"/>
      <c r="KWN29" s="30"/>
      <c r="KWS29" s="93"/>
      <c r="KWT29" s="30"/>
      <c r="KWY29" s="93"/>
      <c r="KWZ29" s="30"/>
      <c r="KXE29" s="93"/>
      <c r="KXF29" s="30"/>
      <c r="KXK29" s="93"/>
      <c r="KXL29" s="30"/>
      <c r="KXQ29" s="93"/>
      <c r="KXR29" s="30"/>
      <c r="KXW29" s="93"/>
      <c r="KXX29" s="30"/>
      <c r="KYC29" s="93"/>
      <c r="KYD29" s="30"/>
      <c r="KYI29" s="93"/>
      <c r="KYJ29" s="30"/>
      <c r="KYO29" s="93"/>
      <c r="KYP29" s="30"/>
      <c r="KYU29" s="93"/>
      <c r="KYV29" s="30"/>
      <c r="KZA29" s="93"/>
      <c r="KZB29" s="30"/>
      <c r="KZG29" s="93"/>
      <c r="KZH29" s="30"/>
      <c r="KZM29" s="93"/>
      <c r="KZN29" s="30"/>
      <c r="KZS29" s="93"/>
      <c r="KZT29" s="30"/>
      <c r="KZY29" s="93"/>
      <c r="KZZ29" s="30"/>
      <c r="LAE29" s="93"/>
      <c r="LAF29" s="30"/>
      <c r="LAK29" s="93"/>
      <c r="LAL29" s="30"/>
      <c r="LAQ29" s="93"/>
      <c r="LAR29" s="30"/>
      <c r="LAW29" s="93"/>
      <c r="LAX29" s="30"/>
      <c r="LBC29" s="93"/>
      <c r="LBD29" s="30"/>
      <c r="LBI29" s="93"/>
      <c r="LBJ29" s="30"/>
      <c r="LBO29" s="93"/>
      <c r="LBP29" s="30"/>
      <c r="LBU29" s="93"/>
      <c r="LBV29" s="30"/>
      <c r="LCA29" s="93"/>
      <c r="LCB29" s="30"/>
      <c r="LCG29" s="93"/>
      <c r="LCH29" s="30"/>
      <c r="LCM29" s="93"/>
      <c r="LCN29" s="30"/>
      <c r="LCS29" s="93"/>
      <c r="LCT29" s="30"/>
      <c r="LCY29" s="93"/>
      <c r="LCZ29" s="30"/>
      <c r="LDE29" s="93"/>
      <c r="LDF29" s="30"/>
      <c r="LDK29" s="93"/>
      <c r="LDL29" s="30"/>
      <c r="LDQ29" s="93"/>
      <c r="LDR29" s="30"/>
      <c r="LDW29" s="93"/>
      <c r="LDX29" s="30"/>
      <c r="LEC29" s="93"/>
      <c r="LED29" s="30"/>
      <c r="LEI29" s="93"/>
      <c r="LEJ29" s="30"/>
      <c r="LEO29" s="93"/>
      <c r="LEP29" s="30"/>
      <c r="LEU29" s="93"/>
      <c r="LEV29" s="30"/>
      <c r="LFA29" s="93"/>
      <c r="LFB29" s="30"/>
      <c r="LFG29" s="93"/>
      <c r="LFH29" s="30"/>
      <c r="LFM29" s="93"/>
      <c r="LFN29" s="30"/>
      <c r="LFS29" s="93"/>
      <c r="LFT29" s="30"/>
      <c r="LFY29" s="93"/>
      <c r="LFZ29" s="30"/>
      <c r="LGE29" s="93"/>
      <c r="LGF29" s="30"/>
      <c r="LGK29" s="93"/>
      <c r="LGL29" s="30"/>
      <c r="LGQ29" s="93"/>
      <c r="LGR29" s="30"/>
      <c r="LGW29" s="93"/>
      <c r="LGX29" s="30"/>
      <c r="LHC29" s="93"/>
      <c r="LHD29" s="30"/>
      <c r="LHI29" s="93"/>
      <c r="LHJ29" s="30"/>
      <c r="LHO29" s="93"/>
      <c r="LHP29" s="30"/>
      <c r="LHU29" s="93"/>
      <c r="LHV29" s="30"/>
      <c r="LIA29" s="93"/>
      <c r="LIB29" s="30"/>
      <c r="LIG29" s="93"/>
      <c r="LIH29" s="30"/>
      <c r="LIM29" s="93"/>
      <c r="LIN29" s="30"/>
      <c r="LIS29" s="93"/>
      <c r="LIT29" s="30"/>
      <c r="LIY29" s="93"/>
      <c r="LIZ29" s="30"/>
      <c r="LJE29" s="93"/>
      <c r="LJF29" s="30"/>
      <c r="LJK29" s="93"/>
      <c r="LJL29" s="30"/>
      <c r="LJQ29" s="93"/>
      <c r="LJR29" s="30"/>
      <c r="LJW29" s="93"/>
      <c r="LJX29" s="30"/>
      <c r="LKC29" s="93"/>
      <c r="LKD29" s="30"/>
      <c r="LKI29" s="93"/>
      <c r="LKJ29" s="30"/>
      <c r="LKO29" s="93"/>
      <c r="LKP29" s="30"/>
      <c r="LKU29" s="93"/>
      <c r="LKV29" s="30"/>
      <c r="LLA29" s="93"/>
      <c r="LLB29" s="30"/>
      <c r="LLG29" s="93"/>
      <c r="LLH29" s="30"/>
      <c r="LLM29" s="93"/>
      <c r="LLN29" s="30"/>
      <c r="LLS29" s="93"/>
      <c r="LLT29" s="30"/>
      <c r="LLY29" s="93"/>
      <c r="LLZ29" s="30"/>
      <c r="LME29" s="93"/>
      <c r="LMF29" s="30"/>
      <c r="LMK29" s="93"/>
      <c r="LML29" s="30"/>
      <c r="LMQ29" s="93"/>
      <c r="LMR29" s="30"/>
      <c r="LMW29" s="93"/>
      <c r="LMX29" s="30"/>
      <c r="LNC29" s="93"/>
      <c r="LND29" s="30"/>
      <c r="LNI29" s="93"/>
      <c r="LNJ29" s="30"/>
      <c r="LNO29" s="93"/>
      <c r="LNP29" s="30"/>
      <c r="LNU29" s="93"/>
      <c r="LNV29" s="30"/>
      <c r="LOA29" s="93"/>
      <c r="LOB29" s="30"/>
      <c r="LOG29" s="93"/>
      <c r="LOH29" s="30"/>
      <c r="LOM29" s="93"/>
      <c r="LON29" s="30"/>
      <c r="LOS29" s="93"/>
      <c r="LOT29" s="30"/>
      <c r="LOY29" s="93"/>
      <c r="LOZ29" s="30"/>
      <c r="LPE29" s="93"/>
      <c r="LPF29" s="30"/>
      <c r="LPK29" s="93"/>
      <c r="LPL29" s="30"/>
      <c r="LPQ29" s="93"/>
      <c r="LPR29" s="30"/>
      <c r="LPW29" s="93"/>
      <c r="LPX29" s="30"/>
      <c r="LQC29" s="93"/>
      <c r="LQD29" s="30"/>
      <c r="LQI29" s="93"/>
      <c r="LQJ29" s="30"/>
      <c r="LQO29" s="93"/>
      <c r="LQP29" s="30"/>
      <c r="LQU29" s="93"/>
      <c r="LQV29" s="30"/>
      <c r="LRA29" s="93"/>
      <c r="LRB29" s="30"/>
      <c r="LRG29" s="93"/>
      <c r="LRH29" s="30"/>
      <c r="LRM29" s="93"/>
      <c r="LRN29" s="30"/>
      <c r="LRS29" s="93"/>
      <c r="LRT29" s="30"/>
      <c r="LRY29" s="93"/>
      <c r="LRZ29" s="30"/>
      <c r="LSE29" s="93"/>
      <c r="LSF29" s="30"/>
      <c r="LSK29" s="93"/>
      <c r="LSL29" s="30"/>
      <c r="LSQ29" s="93"/>
      <c r="LSR29" s="30"/>
      <c r="LSW29" s="93"/>
      <c r="LSX29" s="30"/>
      <c r="LTC29" s="93"/>
      <c r="LTD29" s="30"/>
      <c r="LTI29" s="93"/>
      <c r="LTJ29" s="30"/>
      <c r="LTO29" s="93"/>
      <c r="LTP29" s="30"/>
      <c r="LTU29" s="93"/>
      <c r="LTV29" s="30"/>
      <c r="LUA29" s="93"/>
      <c r="LUB29" s="30"/>
      <c r="LUG29" s="93"/>
      <c r="LUH29" s="30"/>
      <c r="LUM29" s="93"/>
      <c r="LUN29" s="30"/>
      <c r="LUS29" s="93"/>
      <c r="LUT29" s="30"/>
      <c r="LUY29" s="93"/>
      <c r="LUZ29" s="30"/>
      <c r="LVE29" s="93"/>
      <c r="LVF29" s="30"/>
      <c r="LVK29" s="93"/>
      <c r="LVL29" s="30"/>
      <c r="LVQ29" s="93"/>
      <c r="LVR29" s="30"/>
      <c r="LVW29" s="93"/>
      <c r="LVX29" s="30"/>
      <c r="LWC29" s="93"/>
      <c r="LWD29" s="30"/>
      <c r="LWI29" s="93"/>
      <c r="LWJ29" s="30"/>
      <c r="LWO29" s="93"/>
      <c r="LWP29" s="30"/>
      <c r="LWU29" s="93"/>
      <c r="LWV29" s="30"/>
      <c r="LXA29" s="93"/>
      <c r="LXB29" s="30"/>
      <c r="LXG29" s="93"/>
      <c r="LXH29" s="30"/>
      <c r="LXM29" s="93"/>
      <c r="LXN29" s="30"/>
      <c r="LXS29" s="93"/>
      <c r="LXT29" s="30"/>
      <c r="LXY29" s="93"/>
      <c r="LXZ29" s="30"/>
      <c r="LYE29" s="93"/>
      <c r="LYF29" s="30"/>
      <c r="LYK29" s="93"/>
      <c r="LYL29" s="30"/>
      <c r="LYQ29" s="93"/>
      <c r="LYR29" s="30"/>
      <c r="LYW29" s="93"/>
      <c r="LYX29" s="30"/>
      <c r="LZC29" s="93"/>
      <c r="LZD29" s="30"/>
      <c r="LZI29" s="93"/>
      <c r="LZJ29" s="30"/>
      <c r="LZO29" s="93"/>
      <c r="LZP29" s="30"/>
      <c r="LZU29" s="93"/>
      <c r="LZV29" s="30"/>
      <c r="MAA29" s="93"/>
      <c r="MAB29" s="30"/>
      <c r="MAG29" s="93"/>
      <c r="MAH29" s="30"/>
      <c r="MAM29" s="93"/>
      <c r="MAN29" s="30"/>
      <c r="MAS29" s="93"/>
      <c r="MAT29" s="30"/>
      <c r="MAY29" s="93"/>
      <c r="MAZ29" s="30"/>
      <c r="MBE29" s="93"/>
      <c r="MBF29" s="30"/>
      <c r="MBK29" s="93"/>
      <c r="MBL29" s="30"/>
      <c r="MBQ29" s="93"/>
      <c r="MBR29" s="30"/>
      <c r="MBW29" s="93"/>
      <c r="MBX29" s="30"/>
      <c r="MCC29" s="93"/>
      <c r="MCD29" s="30"/>
      <c r="MCI29" s="93"/>
      <c r="MCJ29" s="30"/>
      <c r="MCO29" s="93"/>
      <c r="MCP29" s="30"/>
      <c r="MCU29" s="93"/>
      <c r="MCV29" s="30"/>
      <c r="MDA29" s="93"/>
      <c r="MDB29" s="30"/>
      <c r="MDG29" s="93"/>
      <c r="MDH29" s="30"/>
      <c r="MDM29" s="93"/>
      <c r="MDN29" s="30"/>
      <c r="MDS29" s="93"/>
      <c r="MDT29" s="30"/>
      <c r="MDY29" s="93"/>
      <c r="MDZ29" s="30"/>
      <c r="MEE29" s="93"/>
      <c r="MEF29" s="30"/>
      <c r="MEK29" s="93"/>
      <c r="MEL29" s="30"/>
      <c r="MEQ29" s="93"/>
      <c r="MER29" s="30"/>
      <c r="MEW29" s="93"/>
      <c r="MEX29" s="30"/>
      <c r="MFC29" s="93"/>
      <c r="MFD29" s="30"/>
      <c r="MFI29" s="93"/>
      <c r="MFJ29" s="30"/>
      <c r="MFO29" s="93"/>
      <c r="MFP29" s="30"/>
      <c r="MFU29" s="93"/>
      <c r="MFV29" s="30"/>
      <c r="MGA29" s="93"/>
      <c r="MGB29" s="30"/>
      <c r="MGG29" s="93"/>
      <c r="MGH29" s="30"/>
      <c r="MGM29" s="93"/>
      <c r="MGN29" s="30"/>
      <c r="MGS29" s="93"/>
      <c r="MGT29" s="30"/>
      <c r="MGY29" s="93"/>
      <c r="MGZ29" s="30"/>
      <c r="MHE29" s="93"/>
      <c r="MHF29" s="30"/>
      <c r="MHK29" s="93"/>
      <c r="MHL29" s="30"/>
      <c r="MHQ29" s="93"/>
      <c r="MHR29" s="30"/>
      <c r="MHW29" s="93"/>
      <c r="MHX29" s="30"/>
      <c r="MIC29" s="93"/>
      <c r="MID29" s="30"/>
      <c r="MII29" s="93"/>
      <c r="MIJ29" s="30"/>
      <c r="MIO29" s="93"/>
      <c r="MIP29" s="30"/>
      <c r="MIU29" s="93"/>
      <c r="MIV29" s="30"/>
      <c r="MJA29" s="93"/>
      <c r="MJB29" s="30"/>
      <c r="MJG29" s="93"/>
      <c r="MJH29" s="30"/>
      <c r="MJM29" s="93"/>
      <c r="MJN29" s="30"/>
      <c r="MJS29" s="93"/>
      <c r="MJT29" s="30"/>
      <c r="MJY29" s="93"/>
      <c r="MJZ29" s="30"/>
      <c r="MKE29" s="93"/>
      <c r="MKF29" s="30"/>
      <c r="MKK29" s="93"/>
      <c r="MKL29" s="30"/>
      <c r="MKQ29" s="93"/>
      <c r="MKR29" s="30"/>
      <c r="MKW29" s="93"/>
      <c r="MKX29" s="30"/>
      <c r="MLC29" s="93"/>
      <c r="MLD29" s="30"/>
      <c r="MLI29" s="93"/>
      <c r="MLJ29" s="30"/>
      <c r="MLO29" s="93"/>
      <c r="MLP29" s="30"/>
      <c r="MLU29" s="93"/>
      <c r="MLV29" s="30"/>
      <c r="MMA29" s="93"/>
      <c r="MMB29" s="30"/>
      <c r="MMG29" s="93"/>
      <c r="MMH29" s="30"/>
      <c r="MMM29" s="93"/>
      <c r="MMN29" s="30"/>
      <c r="MMS29" s="93"/>
      <c r="MMT29" s="30"/>
      <c r="MMY29" s="93"/>
      <c r="MMZ29" s="30"/>
      <c r="MNE29" s="93"/>
      <c r="MNF29" s="30"/>
      <c r="MNK29" s="93"/>
      <c r="MNL29" s="30"/>
      <c r="MNQ29" s="93"/>
      <c r="MNR29" s="30"/>
      <c r="MNW29" s="93"/>
      <c r="MNX29" s="30"/>
      <c r="MOC29" s="93"/>
      <c r="MOD29" s="30"/>
      <c r="MOI29" s="93"/>
      <c r="MOJ29" s="30"/>
      <c r="MOO29" s="93"/>
      <c r="MOP29" s="30"/>
      <c r="MOU29" s="93"/>
      <c r="MOV29" s="30"/>
      <c r="MPA29" s="93"/>
      <c r="MPB29" s="30"/>
      <c r="MPG29" s="93"/>
      <c r="MPH29" s="30"/>
      <c r="MPM29" s="93"/>
      <c r="MPN29" s="30"/>
      <c r="MPS29" s="93"/>
      <c r="MPT29" s="30"/>
      <c r="MPY29" s="93"/>
      <c r="MPZ29" s="30"/>
      <c r="MQE29" s="93"/>
      <c r="MQF29" s="30"/>
      <c r="MQK29" s="93"/>
      <c r="MQL29" s="30"/>
      <c r="MQQ29" s="93"/>
      <c r="MQR29" s="30"/>
      <c r="MQW29" s="93"/>
      <c r="MQX29" s="30"/>
      <c r="MRC29" s="93"/>
      <c r="MRD29" s="30"/>
      <c r="MRI29" s="93"/>
      <c r="MRJ29" s="30"/>
      <c r="MRO29" s="93"/>
      <c r="MRP29" s="30"/>
      <c r="MRU29" s="93"/>
      <c r="MRV29" s="30"/>
      <c r="MSA29" s="93"/>
      <c r="MSB29" s="30"/>
      <c r="MSG29" s="93"/>
      <c r="MSH29" s="30"/>
      <c r="MSM29" s="93"/>
      <c r="MSN29" s="30"/>
      <c r="MSS29" s="93"/>
      <c r="MST29" s="30"/>
      <c r="MSY29" s="93"/>
      <c r="MSZ29" s="30"/>
      <c r="MTE29" s="93"/>
      <c r="MTF29" s="30"/>
      <c r="MTK29" s="93"/>
      <c r="MTL29" s="30"/>
      <c r="MTQ29" s="93"/>
      <c r="MTR29" s="30"/>
      <c r="MTW29" s="93"/>
      <c r="MTX29" s="30"/>
      <c r="MUC29" s="93"/>
      <c r="MUD29" s="30"/>
      <c r="MUI29" s="93"/>
      <c r="MUJ29" s="30"/>
      <c r="MUO29" s="93"/>
      <c r="MUP29" s="30"/>
      <c r="MUU29" s="93"/>
      <c r="MUV29" s="30"/>
      <c r="MVA29" s="93"/>
      <c r="MVB29" s="30"/>
      <c r="MVG29" s="93"/>
      <c r="MVH29" s="30"/>
      <c r="MVM29" s="93"/>
      <c r="MVN29" s="30"/>
      <c r="MVS29" s="93"/>
      <c r="MVT29" s="30"/>
      <c r="MVY29" s="93"/>
      <c r="MVZ29" s="30"/>
      <c r="MWE29" s="93"/>
      <c r="MWF29" s="30"/>
      <c r="MWK29" s="93"/>
      <c r="MWL29" s="30"/>
      <c r="MWQ29" s="93"/>
      <c r="MWR29" s="30"/>
      <c r="MWW29" s="93"/>
      <c r="MWX29" s="30"/>
      <c r="MXC29" s="93"/>
      <c r="MXD29" s="30"/>
      <c r="MXI29" s="93"/>
      <c r="MXJ29" s="30"/>
      <c r="MXO29" s="93"/>
      <c r="MXP29" s="30"/>
      <c r="MXU29" s="93"/>
      <c r="MXV29" s="30"/>
      <c r="MYA29" s="93"/>
      <c r="MYB29" s="30"/>
      <c r="MYG29" s="93"/>
      <c r="MYH29" s="30"/>
      <c r="MYM29" s="93"/>
      <c r="MYN29" s="30"/>
      <c r="MYS29" s="93"/>
      <c r="MYT29" s="30"/>
      <c r="MYY29" s="93"/>
      <c r="MYZ29" s="30"/>
      <c r="MZE29" s="93"/>
      <c r="MZF29" s="30"/>
      <c r="MZK29" s="93"/>
      <c r="MZL29" s="30"/>
      <c r="MZQ29" s="93"/>
      <c r="MZR29" s="30"/>
      <c r="MZW29" s="93"/>
      <c r="MZX29" s="30"/>
      <c r="NAC29" s="93"/>
      <c r="NAD29" s="30"/>
      <c r="NAI29" s="93"/>
      <c r="NAJ29" s="30"/>
      <c r="NAO29" s="93"/>
      <c r="NAP29" s="30"/>
      <c r="NAU29" s="93"/>
      <c r="NAV29" s="30"/>
      <c r="NBA29" s="93"/>
      <c r="NBB29" s="30"/>
      <c r="NBG29" s="93"/>
      <c r="NBH29" s="30"/>
      <c r="NBM29" s="93"/>
      <c r="NBN29" s="30"/>
      <c r="NBS29" s="93"/>
      <c r="NBT29" s="30"/>
      <c r="NBY29" s="93"/>
      <c r="NBZ29" s="30"/>
      <c r="NCE29" s="93"/>
      <c r="NCF29" s="30"/>
      <c r="NCK29" s="93"/>
      <c r="NCL29" s="30"/>
      <c r="NCQ29" s="93"/>
      <c r="NCR29" s="30"/>
      <c r="NCW29" s="93"/>
      <c r="NCX29" s="30"/>
      <c r="NDC29" s="93"/>
      <c r="NDD29" s="30"/>
      <c r="NDI29" s="93"/>
      <c r="NDJ29" s="30"/>
      <c r="NDO29" s="93"/>
      <c r="NDP29" s="30"/>
      <c r="NDU29" s="93"/>
      <c r="NDV29" s="30"/>
      <c r="NEA29" s="93"/>
      <c r="NEB29" s="30"/>
      <c r="NEG29" s="93"/>
      <c r="NEH29" s="30"/>
      <c r="NEM29" s="93"/>
      <c r="NEN29" s="30"/>
      <c r="NES29" s="93"/>
      <c r="NET29" s="30"/>
      <c r="NEY29" s="93"/>
      <c r="NEZ29" s="30"/>
      <c r="NFE29" s="93"/>
      <c r="NFF29" s="30"/>
      <c r="NFK29" s="93"/>
      <c r="NFL29" s="30"/>
      <c r="NFQ29" s="93"/>
      <c r="NFR29" s="30"/>
      <c r="NFW29" s="93"/>
      <c r="NFX29" s="30"/>
      <c r="NGC29" s="93"/>
      <c r="NGD29" s="30"/>
      <c r="NGI29" s="93"/>
      <c r="NGJ29" s="30"/>
      <c r="NGO29" s="93"/>
      <c r="NGP29" s="30"/>
      <c r="NGU29" s="93"/>
      <c r="NGV29" s="30"/>
      <c r="NHA29" s="93"/>
      <c r="NHB29" s="30"/>
      <c r="NHG29" s="93"/>
      <c r="NHH29" s="30"/>
      <c r="NHM29" s="93"/>
      <c r="NHN29" s="30"/>
      <c r="NHS29" s="93"/>
      <c r="NHT29" s="30"/>
      <c r="NHY29" s="93"/>
      <c r="NHZ29" s="30"/>
      <c r="NIE29" s="93"/>
      <c r="NIF29" s="30"/>
      <c r="NIK29" s="93"/>
      <c r="NIL29" s="30"/>
      <c r="NIQ29" s="93"/>
      <c r="NIR29" s="30"/>
      <c r="NIW29" s="93"/>
      <c r="NIX29" s="30"/>
      <c r="NJC29" s="93"/>
      <c r="NJD29" s="30"/>
      <c r="NJI29" s="93"/>
      <c r="NJJ29" s="30"/>
      <c r="NJO29" s="93"/>
      <c r="NJP29" s="30"/>
      <c r="NJU29" s="93"/>
      <c r="NJV29" s="30"/>
      <c r="NKA29" s="93"/>
      <c r="NKB29" s="30"/>
      <c r="NKG29" s="93"/>
      <c r="NKH29" s="30"/>
      <c r="NKM29" s="93"/>
      <c r="NKN29" s="30"/>
      <c r="NKS29" s="93"/>
      <c r="NKT29" s="30"/>
      <c r="NKY29" s="93"/>
      <c r="NKZ29" s="30"/>
      <c r="NLE29" s="93"/>
      <c r="NLF29" s="30"/>
      <c r="NLK29" s="93"/>
      <c r="NLL29" s="30"/>
      <c r="NLQ29" s="93"/>
      <c r="NLR29" s="30"/>
      <c r="NLW29" s="93"/>
      <c r="NLX29" s="30"/>
      <c r="NMC29" s="93"/>
      <c r="NMD29" s="30"/>
      <c r="NMI29" s="93"/>
      <c r="NMJ29" s="30"/>
      <c r="NMO29" s="93"/>
      <c r="NMP29" s="30"/>
      <c r="NMU29" s="93"/>
      <c r="NMV29" s="30"/>
      <c r="NNA29" s="93"/>
      <c r="NNB29" s="30"/>
      <c r="NNG29" s="93"/>
      <c r="NNH29" s="30"/>
      <c r="NNM29" s="93"/>
      <c r="NNN29" s="30"/>
      <c r="NNS29" s="93"/>
      <c r="NNT29" s="30"/>
      <c r="NNY29" s="93"/>
      <c r="NNZ29" s="30"/>
      <c r="NOE29" s="93"/>
      <c r="NOF29" s="30"/>
      <c r="NOK29" s="93"/>
      <c r="NOL29" s="30"/>
      <c r="NOQ29" s="93"/>
      <c r="NOR29" s="30"/>
      <c r="NOW29" s="93"/>
      <c r="NOX29" s="30"/>
      <c r="NPC29" s="93"/>
      <c r="NPD29" s="30"/>
      <c r="NPI29" s="93"/>
      <c r="NPJ29" s="30"/>
      <c r="NPO29" s="93"/>
      <c r="NPP29" s="30"/>
      <c r="NPU29" s="93"/>
      <c r="NPV29" s="30"/>
      <c r="NQA29" s="93"/>
      <c r="NQB29" s="30"/>
      <c r="NQG29" s="93"/>
      <c r="NQH29" s="30"/>
      <c r="NQM29" s="93"/>
      <c r="NQN29" s="30"/>
      <c r="NQS29" s="93"/>
      <c r="NQT29" s="30"/>
      <c r="NQY29" s="93"/>
      <c r="NQZ29" s="30"/>
      <c r="NRE29" s="93"/>
      <c r="NRF29" s="30"/>
      <c r="NRK29" s="93"/>
      <c r="NRL29" s="30"/>
      <c r="NRQ29" s="93"/>
      <c r="NRR29" s="30"/>
      <c r="NRW29" s="93"/>
      <c r="NRX29" s="30"/>
      <c r="NSC29" s="93"/>
      <c r="NSD29" s="30"/>
      <c r="NSI29" s="93"/>
      <c r="NSJ29" s="30"/>
      <c r="NSO29" s="93"/>
      <c r="NSP29" s="30"/>
      <c r="NSU29" s="93"/>
      <c r="NSV29" s="30"/>
      <c r="NTA29" s="93"/>
      <c r="NTB29" s="30"/>
      <c r="NTG29" s="93"/>
      <c r="NTH29" s="30"/>
      <c r="NTM29" s="93"/>
      <c r="NTN29" s="30"/>
      <c r="NTS29" s="93"/>
      <c r="NTT29" s="30"/>
      <c r="NTY29" s="93"/>
      <c r="NTZ29" s="30"/>
      <c r="NUE29" s="93"/>
      <c r="NUF29" s="30"/>
      <c r="NUK29" s="93"/>
      <c r="NUL29" s="30"/>
      <c r="NUQ29" s="93"/>
      <c r="NUR29" s="30"/>
      <c r="NUW29" s="93"/>
      <c r="NUX29" s="30"/>
      <c r="NVC29" s="93"/>
      <c r="NVD29" s="30"/>
      <c r="NVI29" s="93"/>
      <c r="NVJ29" s="30"/>
      <c r="NVO29" s="93"/>
      <c r="NVP29" s="30"/>
      <c r="NVU29" s="93"/>
      <c r="NVV29" s="30"/>
      <c r="NWA29" s="93"/>
      <c r="NWB29" s="30"/>
      <c r="NWG29" s="93"/>
      <c r="NWH29" s="30"/>
      <c r="NWM29" s="93"/>
      <c r="NWN29" s="30"/>
      <c r="NWS29" s="93"/>
      <c r="NWT29" s="30"/>
      <c r="NWY29" s="93"/>
      <c r="NWZ29" s="30"/>
      <c r="NXE29" s="93"/>
      <c r="NXF29" s="30"/>
      <c r="NXK29" s="93"/>
      <c r="NXL29" s="30"/>
      <c r="NXQ29" s="93"/>
      <c r="NXR29" s="30"/>
      <c r="NXW29" s="93"/>
      <c r="NXX29" s="30"/>
      <c r="NYC29" s="93"/>
      <c r="NYD29" s="30"/>
      <c r="NYI29" s="93"/>
      <c r="NYJ29" s="30"/>
      <c r="NYO29" s="93"/>
      <c r="NYP29" s="30"/>
      <c r="NYU29" s="93"/>
      <c r="NYV29" s="30"/>
      <c r="NZA29" s="93"/>
      <c r="NZB29" s="30"/>
      <c r="NZG29" s="93"/>
      <c r="NZH29" s="30"/>
      <c r="NZM29" s="93"/>
      <c r="NZN29" s="30"/>
      <c r="NZS29" s="93"/>
      <c r="NZT29" s="30"/>
      <c r="NZY29" s="93"/>
      <c r="NZZ29" s="30"/>
      <c r="OAE29" s="93"/>
      <c r="OAF29" s="30"/>
      <c r="OAK29" s="93"/>
      <c r="OAL29" s="30"/>
      <c r="OAQ29" s="93"/>
      <c r="OAR29" s="30"/>
      <c r="OAW29" s="93"/>
      <c r="OAX29" s="30"/>
      <c r="OBC29" s="93"/>
      <c r="OBD29" s="30"/>
      <c r="OBI29" s="93"/>
      <c r="OBJ29" s="30"/>
      <c r="OBO29" s="93"/>
      <c r="OBP29" s="30"/>
      <c r="OBU29" s="93"/>
      <c r="OBV29" s="30"/>
      <c r="OCA29" s="93"/>
      <c r="OCB29" s="30"/>
      <c r="OCG29" s="93"/>
      <c r="OCH29" s="30"/>
      <c r="OCM29" s="93"/>
      <c r="OCN29" s="30"/>
      <c r="OCS29" s="93"/>
      <c r="OCT29" s="30"/>
      <c r="OCY29" s="93"/>
      <c r="OCZ29" s="30"/>
      <c r="ODE29" s="93"/>
      <c r="ODF29" s="30"/>
      <c r="ODK29" s="93"/>
      <c r="ODL29" s="30"/>
      <c r="ODQ29" s="93"/>
      <c r="ODR29" s="30"/>
      <c r="ODW29" s="93"/>
      <c r="ODX29" s="30"/>
      <c r="OEC29" s="93"/>
      <c r="OED29" s="30"/>
      <c r="OEI29" s="93"/>
      <c r="OEJ29" s="30"/>
      <c r="OEO29" s="93"/>
      <c r="OEP29" s="30"/>
      <c r="OEU29" s="93"/>
      <c r="OEV29" s="30"/>
      <c r="OFA29" s="93"/>
      <c r="OFB29" s="30"/>
      <c r="OFG29" s="93"/>
      <c r="OFH29" s="30"/>
      <c r="OFM29" s="93"/>
      <c r="OFN29" s="30"/>
      <c r="OFS29" s="93"/>
      <c r="OFT29" s="30"/>
      <c r="OFY29" s="93"/>
      <c r="OFZ29" s="30"/>
      <c r="OGE29" s="93"/>
      <c r="OGF29" s="30"/>
      <c r="OGK29" s="93"/>
      <c r="OGL29" s="30"/>
      <c r="OGQ29" s="93"/>
      <c r="OGR29" s="30"/>
      <c r="OGW29" s="93"/>
      <c r="OGX29" s="30"/>
      <c r="OHC29" s="93"/>
      <c r="OHD29" s="30"/>
      <c r="OHI29" s="93"/>
      <c r="OHJ29" s="30"/>
      <c r="OHO29" s="93"/>
      <c r="OHP29" s="30"/>
      <c r="OHU29" s="93"/>
      <c r="OHV29" s="30"/>
      <c r="OIA29" s="93"/>
      <c r="OIB29" s="30"/>
      <c r="OIG29" s="93"/>
      <c r="OIH29" s="30"/>
      <c r="OIM29" s="93"/>
      <c r="OIN29" s="30"/>
      <c r="OIS29" s="93"/>
      <c r="OIT29" s="30"/>
      <c r="OIY29" s="93"/>
      <c r="OIZ29" s="30"/>
      <c r="OJE29" s="93"/>
      <c r="OJF29" s="30"/>
      <c r="OJK29" s="93"/>
      <c r="OJL29" s="30"/>
      <c r="OJQ29" s="93"/>
      <c r="OJR29" s="30"/>
      <c r="OJW29" s="93"/>
      <c r="OJX29" s="30"/>
      <c r="OKC29" s="93"/>
      <c r="OKD29" s="30"/>
      <c r="OKI29" s="93"/>
      <c r="OKJ29" s="30"/>
      <c r="OKO29" s="93"/>
      <c r="OKP29" s="30"/>
      <c r="OKU29" s="93"/>
      <c r="OKV29" s="30"/>
      <c r="OLA29" s="93"/>
      <c r="OLB29" s="30"/>
      <c r="OLG29" s="93"/>
      <c r="OLH29" s="30"/>
      <c r="OLM29" s="93"/>
      <c r="OLN29" s="30"/>
      <c r="OLS29" s="93"/>
      <c r="OLT29" s="30"/>
      <c r="OLY29" s="93"/>
      <c r="OLZ29" s="30"/>
      <c r="OME29" s="93"/>
      <c r="OMF29" s="30"/>
      <c r="OMK29" s="93"/>
      <c r="OML29" s="30"/>
      <c r="OMQ29" s="93"/>
      <c r="OMR29" s="30"/>
      <c r="OMW29" s="93"/>
      <c r="OMX29" s="30"/>
      <c r="ONC29" s="93"/>
      <c r="OND29" s="30"/>
      <c r="ONI29" s="93"/>
      <c r="ONJ29" s="30"/>
      <c r="ONO29" s="93"/>
      <c r="ONP29" s="30"/>
      <c r="ONU29" s="93"/>
      <c r="ONV29" s="30"/>
      <c r="OOA29" s="93"/>
      <c r="OOB29" s="30"/>
      <c r="OOG29" s="93"/>
      <c r="OOH29" s="30"/>
      <c r="OOM29" s="93"/>
      <c r="OON29" s="30"/>
      <c r="OOS29" s="93"/>
      <c r="OOT29" s="30"/>
      <c r="OOY29" s="93"/>
      <c r="OOZ29" s="30"/>
      <c r="OPE29" s="93"/>
      <c r="OPF29" s="30"/>
      <c r="OPK29" s="93"/>
      <c r="OPL29" s="30"/>
      <c r="OPQ29" s="93"/>
      <c r="OPR29" s="30"/>
      <c r="OPW29" s="93"/>
      <c r="OPX29" s="30"/>
      <c r="OQC29" s="93"/>
      <c r="OQD29" s="30"/>
      <c r="OQI29" s="93"/>
      <c r="OQJ29" s="30"/>
      <c r="OQO29" s="93"/>
      <c r="OQP29" s="30"/>
      <c r="OQU29" s="93"/>
      <c r="OQV29" s="30"/>
      <c r="ORA29" s="93"/>
      <c r="ORB29" s="30"/>
      <c r="ORG29" s="93"/>
      <c r="ORH29" s="30"/>
      <c r="ORM29" s="93"/>
      <c r="ORN29" s="30"/>
      <c r="ORS29" s="93"/>
      <c r="ORT29" s="30"/>
      <c r="ORY29" s="93"/>
      <c r="ORZ29" s="30"/>
      <c r="OSE29" s="93"/>
      <c r="OSF29" s="30"/>
      <c r="OSK29" s="93"/>
      <c r="OSL29" s="30"/>
      <c r="OSQ29" s="93"/>
      <c r="OSR29" s="30"/>
      <c r="OSW29" s="93"/>
      <c r="OSX29" s="30"/>
      <c r="OTC29" s="93"/>
      <c r="OTD29" s="30"/>
      <c r="OTI29" s="93"/>
      <c r="OTJ29" s="30"/>
      <c r="OTO29" s="93"/>
      <c r="OTP29" s="30"/>
      <c r="OTU29" s="93"/>
      <c r="OTV29" s="30"/>
      <c r="OUA29" s="93"/>
      <c r="OUB29" s="30"/>
      <c r="OUG29" s="93"/>
      <c r="OUH29" s="30"/>
      <c r="OUM29" s="93"/>
      <c r="OUN29" s="30"/>
      <c r="OUS29" s="93"/>
      <c r="OUT29" s="30"/>
      <c r="OUY29" s="93"/>
      <c r="OUZ29" s="30"/>
      <c r="OVE29" s="93"/>
      <c r="OVF29" s="30"/>
      <c r="OVK29" s="93"/>
      <c r="OVL29" s="30"/>
      <c r="OVQ29" s="93"/>
      <c r="OVR29" s="30"/>
      <c r="OVW29" s="93"/>
      <c r="OVX29" s="30"/>
      <c r="OWC29" s="93"/>
      <c r="OWD29" s="30"/>
      <c r="OWI29" s="93"/>
      <c r="OWJ29" s="30"/>
      <c r="OWO29" s="93"/>
      <c r="OWP29" s="30"/>
      <c r="OWU29" s="93"/>
      <c r="OWV29" s="30"/>
      <c r="OXA29" s="93"/>
      <c r="OXB29" s="30"/>
      <c r="OXG29" s="93"/>
      <c r="OXH29" s="30"/>
      <c r="OXM29" s="93"/>
      <c r="OXN29" s="30"/>
      <c r="OXS29" s="93"/>
      <c r="OXT29" s="30"/>
      <c r="OXY29" s="93"/>
      <c r="OXZ29" s="30"/>
      <c r="OYE29" s="93"/>
      <c r="OYF29" s="30"/>
      <c r="OYK29" s="93"/>
      <c r="OYL29" s="30"/>
      <c r="OYQ29" s="93"/>
      <c r="OYR29" s="30"/>
      <c r="OYW29" s="93"/>
      <c r="OYX29" s="30"/>
      <c r="OZC29" s="93"/>
      <c r="OZD29" s="30"/>
      <c r="OZI29" s="93"/>
      <c r="OZJ29" s="30"/>
      <c r="OZO29" s="93"/>
      <c r="OZP29" s="30"/>
      <c r="OZU29" s="93"/>
      <c r="OZV29" s="30"/>
      <c r="PAA29" s="93"/>
      <c r="PAB29" s="30"/>
      <c r="PAG29" s="93"/>
      <c r="PAH29" s="30"/>
      <c r="PAM29" s="93"/>
      <c r="PAN29" s="30"/>
      <c r="PAS29" s="93"/>
      <c r="PAT29" s="30"/>
      <c r="PAY29" s="93"/>
      <c r="PAZ29" s="30"/>
      <c r="PBE29" s="93"/>
      <c r="PBF29" s="30"/>
      <c r="PBK29" s="93"/>
      <c r="PBL29" s="30"/>
      <c r="PBQ29" s="93"/>
      <c r="PBR29" s="30"/>
      <c r="PBW29" s="93"/>
      <c r="PBX29" s="30"/>
      <c r="PCC29" s="93"/>
      <c r="PCD29" s="30"/>
      <c r="PCI29" s="93"/>
      <c r="PCJ29" s="30"/>
      <c r="PCO29" s="93"/>
      <c r="PCP29" s="30"/>
      <c r="PCU29" s="93"/>
      <c r="PCV29" s="30"/>
      <c r="PDA29" s="93"/>
      <c r="PDB29" s="30"/>
      <c r="PDG29" s="93"/>
      <c r="PDH29" s="30"/>
      <c r="PDM29" s="93"/>
      <c r="PDN29" s="30"/>
      <c r="PDS29" s="93"/>
      <c r="PDT29" s="30"/>
      <c r="PDY29" s="93"/>
      <c r="PDZ29" s="30"/>
      <c r="PEE29" s="93"/>
      <c r="PEF29" s="30"/>
      <c r="PEK29" s="93"/>
      <c r="PEL29" s="30"/>
      <c r="PEQ29" s="93"/>
      <c r="PER29" s="30"/>
      <c r="PEW29" s="93"/>
      <c r="PEX29" s="30"/>
      <c r="PFC29" s="93"/>
      <c r="PFD29" s="30"/>
      <c r="PFI29" s="93"/>
      <c r="PFJ29" s="30"/>
      <c r="PFO29" s="93"/>
      <c r="PFP29" s="30"/>
      <c r="PFU29" s="93"/>
      <c r="PFV29" s="30"/>
      <c r="PGA29" s="93"/>
      <c r="PGB29" s="30"/>
      <c r="PGG29" s="93"/>
      <c r="PGH29" s="30"/>
      <c r="PGM29" s="93"/>
      <c r="PGN29" s="30"/>
      <c r="PGS29" s="93"/>
      <c r="PGT29" s="30"/>
      <c r="PGY29" s="93"/>
      <c r="PGZ29" s="30"/>
      <c r="PHE29" s="93"/>
      <c r="PHF29" s="30"/>
      <c r="PHK29" s="93"/>
      <c r="PHL29" s="30"/>
      <c r="PHQ29" s="93"/>
      <c r="PHR29" s="30"/>
      <c r="PHW29" s="93"/>
      <c r="PHX29" s="30"/>
      <c r="PIC29" s="93"/>
      <c r="PID29" s="30"/>
      <c r="PII29" s="93"/>
      <c r="PIJ29" s="30"/>
      <c r="PIO29" s="93"/>
      <c r="PIP29" s="30"/>
      <c r="PIU29" s="93"/>
      <c r="PIV29" s="30"/>
      <c r="PJA29" s="93"/>
      <c r="PJB29" s="30"/>
      <c r="PJG29" s="93"/>
      <c r="PJH29" s="30"/>
      <c r="PJM29" s="93"/>
      <c r="PJN29" s="30"/>
      <c r="PJS29" s="93"/>
      <c r="PJT29" s="30"/>
      <c r="PJY29" s="93"/>
      <c r="PJZ29" s="30"/>
      <c r="PKE29" s="93"/>
      <c r="PKF29" s="30"/>
      <c r="PKK29" s="93"/>
      <c r="PKL29" s="30"/>
      <c r="PKQ29" s="93"/>
      <c r="PKR29" s="30"/>
      <c r="PKW29" s="93"/>
      <c r="PKX29" s="30"/>
      <c r="PLC29" s="93"/>
      <c r="PLD29" s="30"/>
      <c r="PLI29" s="93"/>
      <c r="PLJ29" s="30"/>
      <c r="PLO29" s="93"/>
      <c r="PLP29" s="30"/>
      <c r="PLU29" s="93"/>
      <c r="PLV29" s="30"/>
      <c r="PMA29" s="93"/>
      <c r="PMB29" s="30"/>
      <c r="PMG29" s="93"/>
      <c r="PMH29" s="30"/>
      <c r="PMM29" s="93"/>
      <c r="PMN29" s="30"/>
      <c r="PMS29" s="93"/>
      <c r="PMT29" s="30"/>
      <c r="PMY29" s="93"/>
      <c r="PMZ29" s="30"/>
      <c r="PNE29" s="93"/>
      <c r="PNF29" s="30"/>
      <c r="PNK29" s="93"/>
      <c r="PNL29" s="30"/>
      <c r="PNQ29" s="93"/>
      <c r="PNR29" s="30"/>
      <c r="PNW29" s="93"/>
      <c r="PNX29" s="30"/>
      <c r="POC29" s="93"/>
      <c r="POD29" s="30"/>
      <c r="POI29" s="93"/>
      <c r="POJ29" s="30"/>
      <c r="POO29" s="93"/>
      <c r="POP29" s="30"/>
      <c r="POU29" s="93"/>
      <c r="POV29" s="30"/>
      <c r="PPA29" s="93"/>
      <c r="PPB29" s="30"/>
      <c r="PPG29" s="93"/>
      <c r="PPH29" s="30"/>
      <c r="PPM29" s="93"/>
      <c r="PPN29" s="30"/>
      <c r="PPS29" s="93"/>
      <c r="PPT29" s="30"/>
      <c r="PPY29" s="93"/>
      <c r="PPZ29" s="30"/>
      <c r="PQE29" s="93"/>
      <c r="PQF29" s="30"/>
      <c r="PQK29" s="93"/>
      <c r="PQL29" s="30"/>
      <c r="PQQ29" s="93"/>
      <c r="PQR29" s="30"/>
      <c r="PQW29" s="93"/>
      <c r="PQX29" s="30"/>
      <c r="PRC29" s="93"/>
      <c r="PRD29" s="30"/>
      <c r="PRI29" s="93"/>
      <c r="PRJ29" s="30"/>
      <c r="PRO29" s="93"/>
      <c r="PRP29" s="30"/>
      <c r="PRU29" s="93"/>
      <c r="PRV29" s="30"/>
      <c r="PSA29" s="93"/>
      <c r="PSB29" s="30"/>
      <c r="PSG29" s="93"/>
      <c r="PSH29" s="30"/>
      <c r="PSM29" s="93"/>
      <c r="PSN29" s="30"/>
      <c r="PSS29" s="93"/>
      <c r="PST29" s="30"/>
      <c r="PSY29" s="93"/>
      <c r="PSZ29" s="30"/>
      <c r="PTE29" s="93"/>
      <c r="PTF29" s="30"/>
      <c r="PTK29" s="93"/>
      <c r="PTL29" s="30"/>
      <c r="PTQ29" s="93"/>
      <c r="PTR29" s="30"/>
      <c r="PTW29" s="93"/>
      <c r="PTX29" s="30"/>
      <c r="PUC29" s="93"/>
      <c r="PUD29" s="30"/>
      <c r="PUI29" s="93"/>
      <c r="PUJ29" s="30"/>
      <c r="PUO29" s="93"/>
      <c r="PUP29" s="30"/>
      <c r="PUU29" s="93"/>
      <c r="PUV29" s="30"/>
      <c r="PVA29" s="93"/>
      <c r="PVB29" s="30"/>
      <c r="PVG29" s="93"/>
      <c r="PVH29" s="30"/>
      <c r="PVM29" s="93"/>
      <c r="PVN29" s="30"/>
      <c r="PVS29" s="93"/>
      <c r="PVT29" s="30"/>
      <c r="PVY29" s="93"/>
      <c r="PVZ29" s="30"/>
      <c r="PWE29" s="93"/>
      <c r="PWF29" s="30"/>
      <c r="PWK29" s="93"/>
      <c r="PWL29" s="30"/>
      <c r="PWQ29" s="93"/>
      <c r="PWR29" s="30"/>
      <c r="PWW29" s="93"/>
      <c r="PWX29" s="30"/>
      <c r="PXC29" s="93"/>
      <c r="PXD29" s="30"/>
      <c r="PXI29" s="93"/>
      <c r="PXJ29" s="30"/>
      <c r="PXO29" s="93"/>
      <c r="PXP29" s="30"/>
      <c r="PXU29" s="93"/>
      <c r="PXV29" s="30"/>
      <c r="PYA29" s="93"/>
      <c r="PYB29" s="30"/>
      <c r="PYG29" s="93"/>
      <c r="PYH29" s="30"/>
      <c r="PYM29" s="93"/>
      <c r="PYN29" s="30"/>
      <c r="PYS29" s="93"/>
      <c r="PYT29" s="30"/>
      <c r="PYY29" s="93"/>
      <c r="PYZ29" s="30"/>
      <c r="PZE29" s="93"/>
      <c r="PZF29" s="30"/>
      <c r="PZK29" s="93"/>
      <c r="PZL29" s="30"/>
      <c r="PZQ29" s="93"/>
      <c r="PZR29" s="30"/>
      <c r="PZW29" s="93"/>
      <c r="PZX29" s="30"/>
      <c r="QAC29" s="93"/>
      <c r="QAD29" s="30"/>
      <c r="QAI29" s="93"/>
      <c r="QAJ29" s="30"/>
      <c r="QAO29" s="93"/>
      <c r="QAP29" s="30"/>
      <c r="QAU29" s="93"/>
      <c r="QAV29" s="30"/>
      <c r="QBA29" s="93"/>
      <c r="QBB29" s="30"/>
      <c r="QBG29" s="93"/>
      <c r="QBH29" s="30"/>
      <c r="QBM29" s="93"/>
      <c r="QBN29" s="30"/>
      <c r="QBS29" s="93"/>
      <c r="QBT29" s="30"/>
      <c r="QBY29" s="93"/>
      <c r="QBZ29" s="30"/>
      <c r="QCE29" s="93"/>
      <c r="QCF29" s="30"/>
      <c r="QCK29" s="93"/>
      <c r="QCL29" s="30"/>
      <c r="QCQ29" s="93"/>
      <c r="QCR29" s="30"/>
      <c r="QCW29" s="93"/>
      <c r="QCX29" s="30"/>
      <c r="QDC29" s="93"/>
      <c r="QDD29" s="30"/>
      <c r="QDI29" s="93"/>
      <c r="QDJ29" s="30"/>
      <c r="QDO29" s="93"/>
      <c r="QDP29" s="30"/>
      <c r="QDU29" s="93"/>
      <c r="QDV29" s="30"/>
      <c r="QEA29" s="93"/>
      <c r="QEB29" s="30"/>
      <c r="QEG29" s="93"/>
      <c r="QEH29" s="30"/>
      <c r="QEM29" s="93"/>
      <c r="QEN29" s="30"/>
      <c r="QES29" s="93"/>
      <c r="QET29" s="30"/>
      <c r="QEY29" s="93"/>
      <c r="QEZ29" s="30"/>
      <c r="QFE29" s="93"/>
      <c r="QFF29" s="30"/>
      <c r="QFK29" s="93"/>
      <c r="QFL29" s="30"/>
      <c r="QFQ29" s="93"/>
      <c r="QFR29" s="30"/>
      <c r="QFW29" s="93"/>
      <c r="QFX29" s="30"/>
      <c r="QGC29" s="93"/>
      <c r="QGD29" s="30"/>
      <c r="QGI29" s="93"/>
      <c r="QGJ29" s="30"/>
      <c r="QGO29" s="93"/>
      <c r="QGP29" s="30"/>
      <c r="QGU29" s="93"/>
      <c r="QGV29" s="30"/>
      <c r="QHA29" s="93"/>
      <c r="QHB29" s="30"/>
      <c r="QHG29" s="93"/>
      <c r="QHH29" s="30"/>
      <c r="QHM29" s="93"/>
      <c r="QHN29" s="30"/>
      <c r="QHS29" s="93"/>
      <c r="QHT29" s="30"/>
      <c r="QHY29" s="93"/>
      <c r="QHZ29" s="30"/>
      <c r="QIE29" s="93"/>
      <c r="QIF29" s="30"/>
      <c r="QIK29" s="93"/>
      <c r="QIL29" s="30"/>
      <c r="QIQ29" s="93"/>
      <c r="QIR29" s="30"/>
      <c r="QIW29" s="93"/>
      <c r="QIX29" s="30"/>
      <c r="QJC29" s="93"/>
      <c r="QJD29" s="30"/>
      <c r="QJI29" s="93"/>
      <c r="QJJ29" s="30"/>
      <c r="QJO29" s="93"/>
      <c r="QJP29" s="30"/>
      <c r="QJU29" s="93"/>
      <c r="QJV29" s="30"/>
      <c r="QKA29" s="93"/>
      <c r="QKB29" s="30"/>
      <c r="QKG29" s="93"/>
      <c r="QKH29" s="30"/>
      <c r="QKM29" s="93"/>
      <c r="QKN29" s="30"/>
      <c r="QKS29" s="93"/>
      <c r="QKT29" s="30"/>
      <c r="QKY29" s="93"/>
      <c r="QKZ29" s="30"/>
      <c r="QLE29" s="93"/>
      <c r="QLF29" s="30"/>
      <c r="QLK29" s="93"/>
      <c r="QLL29" s="30"/>
      <c r="QLQ29" s="93"/>
      <c r="QLR29" s="30"/>
      <c r="QLW29" s="93"/>
      <c r="QLX29" s="30"/>
      <c r="QMC29" s="93"/>
      <c r="QMD29" s="30"/>
      <c r="QMI29" s="93"/>
      <c r="QMJ29" s="30"/>
      <c r="QMO29" s="93"/>
      <c r="QMP29" s="30"/>
      <c r="QMU29" s="93"/>
      <c r="QMV29" s="30"/>
      <c r="QNA29" s="93"/>
      <c r="QNB29" s="30"/>
      <c r="QNG29" s="93"/>
      <c r="QNH29" s="30"/>
      <c r="QNM29" s="93"/>
      <c r="QNN29" s="30"/>
      <c r="QNS29" s="93"/>
      <c r="QNT29" s="30"/>
      <c r="QNY29" s="93"/>
      <c r="QNZ29" s="30"/>
      <c r="QOE29" s="93"/>
      <c r="QOF29" s="30"/>
      <c r="QOK29" s="93"/>
      <c r="QOL29" s="30"/>
      <c r="QOQ29" s="93"/>
      <c r="QOR29" s="30"/>
      <c r="QOW29" s="93"/>
      <c r="QOX29" s="30"/>
      <c r="QPC29" s="93"/>
      <c r="QPD29" s="30"/>
      <c r="QPI29" s="93"/>
      <c r="QPJ29" s="30"/>
      <c r="QPO29" s="93"/>
      <c r="QPP29" s="30"/>
      <c r="QPU29" s="93"/>
      <c r="QPV29" s="30"/>
      <c r="QQA29" s="93"/>
      <c r="QQB29" s="30"/>
      <c r="QQG29" s="93"/>
      <c r="QQH29" s="30"/>
      <c r="QQM29" s="93"/>
      <c r="QQN29" s="30"/>
      <c r="QQS29" s="93"/>
      <c r="QQT29" s="30"/>
      <c r="QQY29" s="93"/>
      <c r="QQZ29" s="30"/>
      <c r="QRE29" s="93"/>
      <c r="QRF29" s="30"/>
      <c r="QRK29" s="93"/>
      <c r="QRL29" s="30"/>
      <c r="QRQ29" s="93"/>
      <c r="QRR29" s="30"/>
      <c r="QRW29" s="93"/>
      <c r="QRX29" s="30"/>
      <c r="QSC29" s="93"/>
      <c r="QSD29" s="30"/>
      <c r="QSI29" s="93"/>
      <c r="QSJ29" s="30"/>
      <c r="QSO29" s="93"/>
      <c r="QSP29" s="30"/>
      <c r="QSU29" s="93"/>
      <c r="QSV29" s="30"/>
      <c r="QTA29" s="93"/>
      <c r="QTB29" s="30"/>
      <c r="QTG29" s="93"/>
      <c r="QTH29" s="30"/>
      <c r="QTM29" s="93"/>
      <c r="QTN29" s="30"/>
      <c r="QTS29" s="93"/>
      <c r="QTT29" s="30"/>
      <c r="QTY29" s="93"/>
      <c r="QTZ29" s="30"/>
      <c r="QUE29" s="93"/>
      <c r="QUF29" s="30"/>
      <c r="QUK29" s="93"/>
      <c r="QUL29" s="30"/>
      <c r="QUQ29" s="93"/>
      <c r="QUR29" s="30"/>
      <c r="QUW29" s="93"/>
      <c r="QUX29" s="30"/>
      <c r="QVC29" s="93"/>
      <c r="QVD29" s="30"/>
      <c r="QVI29" s="93"/>
      <c r="QVJ29" s="30"/>
      <c r="QVO29" s="93"/>
      <c r="QVP29" s="30"/>
      <c r="QVU29" s="93"/>
      <c r="QVV29" s="30"/>
      <c r="QWA29" s="93"/>
      <c r="QWB29" s="30"/>
      <c r="QWG29" s="93"/>
      <c r="QWH29" s="30"/>
      <c r="QWM29" s="93"/>
      <c r="QWN29" s="30"/>
      <c r="QWS29" s="93"/>
      <c r="QWT29" s="30"/>
      <c r="QWY29" s="93"/>
      <c r="QWZ29" s="30"/>
      <c r="QXE29" s="93"/>
      <c r="QXF29" s="30"/>
      <c r="QXK29" s="93"/>
      <c r="QXL29" s="30"/>
      <c r="QXQ29" s="93"/>
      <c r="QXR29" s="30"/>
      <c r="QXW29" s="93"/>
      <c r="QXX29" s="30"/>
      <c r="QYC29" s="93"/>
      <c r="QYD29" s="30"/>
      <c r="QYI29" s="93"/>
      <c r="QYJ29" s="30"/>
      <c r="QYO29" s="93"/>
      <c r="QYP29" s="30"/>
      <c r="QYU29" s="93"/>
      <c r="QYV29" s="30"/>
      <c r="QZA29" s="93"/>
      <c r="QZB29" s="30"/>
      <c r="QZG29" s="93"/>
      <c r="QZH29" s="30"/>
      <c r="QZM29" s="93"/>
      <c r="QZN29" s="30"/>
      <c r="QZS29" s="93"/>
      <c r="QZT29" s="30"/>
      <c r="QZY29" s="93"/>
      <c r="QZZ29" s="30"/>
      <c r="RAE29" s="93"/>
      <c r="RAF29" s="30"/>
      <c r="RAK29" s="93"/>
      <c r="RAL29" s="30"/>
      <c r="RAQ29" s="93"/>
      <c r="RAR29" s="30"/>
      <c r="RAW29" s="93"/>
      <c r="RAX29" s="30"/>
      <c r="RBC29" s="93"/>
      <c r="RBD29" s="30"/>
      <c r="RBI29" s="93"/>
      <c r="RBJ29" s="30"/>
      <c r="RBO29" s="93"/>
      <c r="RBP29" s="30"/>
      <c r="RBU29" s="93"/>
      <c r="RBV29" s="30"/>
      <c r="RCA29" s="93"/>
      <c r="RCB29" s="30"/>
      <c r="RCG29" s="93"/>
      <c r="RCH29" s="30"/>
      <c r="RCM29" s="93"/>
      <c r="RCN29" s="30"/>
      <c r="RCS29" s="93"/>
      <c r="RCT29" s="30"/>
      <c r="RCY29" s="93"/>
      <c r="RCZ29" s="30"/>
      <c r="RDE29" s="93"/>
      <c r="RDF29" s="30"/>
      <c r="RDK29" s="93"/>
      <c r="RDL29" s="30"/>
      <c r="RDQ29" s="93"/>
      <c r="RDR29" s="30"/>
      <c r="RDW29" s="93"/>
      <c r="RDX29" s="30"/>
      <c r="REC29" s="93"/>
      <c r="RED29" s="30"/>
      <c r="REI29" s="93"/>
      <c r="REJ29" s="30"/>
      <c r="REO29" s="93"/>
      <c r="REP29" s="30"/>
      <c r="REU29" s="93"/>
      <c r="REV29" s="30"/>
      <c r="RFA29" s="93"/>
      <c r="RFB29" s="30"/>
      <c r="RFG29" s="93"/>
      <c r="RFH29" s="30"/>
      <c r="RFM29" s="93"/>
      <c r="RFN29" s="30"/>
      <c r="RFS29" s="93"/>
      <c r="RFT29" s="30"/>
      <c r="RFY29" s="93"/>
      <c r="RFZ29" s="30"/>
      <c r="RGE29" s="93"/>
      <c r="RGF29" s="30"/>
      <c r="RGK29" s="93"/>
      <c r="RGL29" s="30"/>
      <c r="RGQ29" s="93"/>
      <c r="RGR29" s="30"/>
      <c r="RGW29" s="93"/>
      <c r="RGX29" s="30"/>
      <c r="RHC29" s="93"/>
      <c r="RHD29" s="30"/>
      <c r="RHI29" s="93"/>
      <c r="RHJ29" s="30"/>
      <c r="RHO29" s="93"/>
      <c r="RHP29" s="30"/>
      <c r="RHU29" s="93"/>
      <c r="RHV29" s="30"/>
      <c r="RIA29" s="93"/>
      <c r="RIB29" s="30"/>
      <c r="RIG29" s="93"/>
      <c r="RIH29" s="30"/>
      <c r="RIM29" s="93"/>
      <c r="RIN29" s="30"/>
      <c r="RIS29" s="93"/>
      <c r="RIT29" s="30"/>
      <c r="RIY29" s="93"/>
      <c r="RIZ29" s="30"/>
      <c r="RJE29" s="93"/>
      <c r="RJF29" s="30"/>
      <c r="RJK29" s="93"/>
      <c r="RJL29" s="30"/>
      <c r="RJQ29" s="93"/>
      <c r="RJR29" s="30"/>
      <c r="RJW29" s="93"/>
      <c r="RJX29" s="30"/>
      <c r="RKC29" s="93"/>
      <c r="RKD29" s="30"/>
      <c r="RKI29" s="93"/>
      <c r="RKJ29" s="30"/>
      <c r="RKO29" s="93"/>
      <c r="RKP29" s="30"/>
      <c r="RKU29" s="93"/>
      <c r="RKV29" s="30"/>
      <c r="RLA29" s="93"/>
      <c r="RLB29" s="30"/>
      <c r="RLG29" s="93"/>
      <c r="RLH29" s="30"/>
      <c r="RLM29" s="93"/>
      <c r="RLN29" s="30"/>
      <c r="RLS29" s="93"/>
      <c r="RLT29" s="30"/>
      <c r="RLY29" s="93"/>
      <c r="RLZ29" s="30"/>
      <c r="RME29" s="93"/>
      <c r="RMF29" s="30"/>
      <c r="RMK29" s="93"/>
      <c r="RML29" s="30"/>
      <c r="RMQ29" s="93"/>
      <c r="RMR29" s="30"/>
      <c r="RMW29" s="93"/>
      <c r="RMX29" s="30"/>
      <c r="RNC29" s="93"/>
      <c r="RND29" s="30"/>
      <c r="RNI29" s="93"/>
      <c r="RNJ29" s="30"/>
      <c r="RNO29" s="93"/>
      <c r="RNP29" s="30"/>
      <c r="RNU29" s="93"/>
      <c r="RNV29" s="30"/>
      <c r="ROA29" s="93"/>
      <c r="ROB29" s="30"/>
      <c r="ROG29" s="93"/>
      <c r="ROH29" s="30"/>
      <c r="ROM29" s="93"/>
      <c r="RON29" s="30"/>
      <c r="ROS29" s="93"/>
      <c r="ROT29" s="30"/>
      <c r="ROY29" s="93"/>
      <c r="ROZ29" s="30"/>
      <c r="RPE29" s="93"/>
      <c r="RPF29" s="30"/>
      <c r="RPK29" s="93"/>
      <c r="RPL29" s="30"/>
      <c r="RPQ29" s="93"/>
      <c r="RPR29" s="30"/>
      <c r="RPW29" s="93"/>
      <c r="RPX29" s="30"/>
      <c r="RQC29" s="93"/>
      <c r="RQD29" s="30"/>
      <c r="RQI29" s="93"/>
      <c r="RQJ29" s="30"/>
      <c r="RQO29" s="93"/>
      <c r="RQP29" s="30"/>
      <c r="RQU29" s="93"/>
      <c r="RQV29" s="30"/>
      <c r="RRA29" s="93"/>
      <c r="RRB29" s="30"/>
      <c r="RRG29" s="93"/>
      <c r="RRH29" s="30"/>
      <c r="RRM29" s="93"/>
      <c r="RRN29" s="30"/>
      <c r="RRS29" s="93"/>
      <c r="RRT29" s="30"/>
      <c r="RRY29" s="93"/>
      <c r="RRZ29" s="30"/>
      <c r="RSE29" s="93"/>
      <c r="RSF29" s="30"/>
      <c r="RSK29" s="93"/>
      <c r="RSL29" s="30"/>
      <c r="RSQ29" s="93"/>
      <c r="RSR29" s="30"/>
      <c r="RSW29" s="93"/>
      <c r="RSX29" s="30"/>
      <c r="RTC29" s="93"/>
      <c r="RTD29" s="30"/>
      <c r="RTI29" s="93"/>
      <c r="RTJ29" s="30"/>
      <c r="RTO29" s="93"/>
      <c r="RTP29" s="30"/>
      <c r="RTU29" s="93"/>
      <c r="RTV29" s="30"/>
      <c r="RUA29" s="93"/>
      <c r="RUB29" s="30"/>
      <c r="RUG29" s="93"/>
      <c r="RUH29" s="30"/>
      <c r="RUM29" s="93"/>
      <c r="RUN29" s="30"/>
      <c r="RUS29" s="93"/>
      <c r="RUT29" s="30"/>
      <c r="RUY29" s="93"/>
      <c r="RUZ29" s="30"/>
      <c r="RVE29" s="93"/>
      <c r="RVF29" s="30"/>
      <c r="RVK29" s="93"/>
      <c r="RVL29" s="30"/>
      <c r="RVQ29" s="93"/>
      <c r="RVR29" s="30"/>
      <c r="RVW29" s="93"/>
      <c r="RVX29" s="30"/>
      <c r="RWC29" s="93"/>
      <c r="RWD29" s="30"/>
      <c r="RWI29" s="93"/>
      <c r="RWJ29" s="30"/>
      <c r="RWO29" s="93"/>
      <c r="RWP29" s="30"/>
      <c r="RWU29" s="93"/>
      <c r="RWV29" s="30"/>
      <c r="RXA29" s="93"/>
      <c r="RXB29" s="30"/>
      <c r="RXG29" s="93"/>
      <c r="RXH29" s="30"/>
      <c r="RXM29" s="93"/>
      <c r="RXN29" s="30"/>
      <c r="RXS29" s="93"/>
      <c r="RXT29" s="30"/>
      <c r="RXY29" s="93"/>
      <c r="RXZ29" s="30"/>
      <c r="RYE29" s="93"/>
      <c r="RYF29" s="30"/>
      <c r="RYK29" s="93"/>
      <c r="RYL29" s="30"/>
      <c r="RYQ29" s="93"/>
      <c r="RYR29" s="30"/>
      <c r="RYW29" s="93"/>
      <c r="RYX29" s="30"/>
      <c r="RZC29" s="93"/>
      <c r="RZD29" s="30"/>
      <c r="RZI29" s="93"/>
      <c r="RZJ29" s="30"/>
      <c r="RZO29" s="93"/>
      <c r="RZP29" s="30"/>
      <c r="RZU29" s="93"/>
      <c r="RZV29" s="30"/>
      <c r="SAA29" s="93"/>
      <c r="SAB29" s="30"/>
      <c r="SAG29" s="93"/>
      <c r="SAH29" s="30"/>
      <c r="SAM29" s="93"/>
      <c r="SAN29" s="30"/>
      <c r="SAS29" s="93"/>
      <c r="SAT29" s="30"/>
      <c r="SAY29" s="93"/>
      <c r="SAZ29" s="30"/>
      <c r="SBE29" s="93"/>
      <c r="SBF29" s="30"/>
      <c r="SBK29" s="93"/>
      <c r="SBL29" s="30"/>
      <c r="SBQ29" s="93"/>
      <c r="SBR29" s="30"/>
      <c r="SBW29" s="93"/>
      <c r="SBX29" s="30"/>
      <c r="SCC29" s="93"/>
      <c r="SCD29" s="30"/>
      <c r="SCI29" s="93"/>
      <c r="SCJ29" s="30"/>
      <c r="SCO29" s="93"/>
      <c r="SCP29" s="30"/>
      <c r="SCU29" s="93"/>
      <c r="SCV29" s="30"/>
      <c r="SDA29" s="93"/>
      <c r="SDB29" s="30"/>
      <c r="SDG29" s="93"/>
      <c r="SDH29" s="30"/>
      <c r="SDM29" s="93"/>
      <c r="SDN29" s="30"/>
      <c r="SDS29" s="93"/>
      <c r="SDT29" s="30"/>
      <c r="SDY29" s="93"/>
      <c r="SDZ29" s="30"/>
      <c r="SEE29" s="93"/>
      <c r="SEF29" s="30"/>
      <c r="SEK29" s="93"/>
      <c r="SEL29" s="30"/>
      <c r="SEQ29" s="93"/>
      <c r="SER29" s="30"/>
      <c r="SEW29" s="93"/>
      <c r="SEX29" s="30"/>
      <c r="SFC29" s="93"/>
      <c r="SFD29" s="30"/>
      <c r="SFI29" s="93"/>
      <c r="SFJ29" s="30"/>
      <c r="SFO29" s="93"/>
      <c r="SFP29" s="30"/>
      <c r="SFU29" s="93"/>
      <c r="SFV29" s="30"/>
      <c r="SGA29" s="93"/>
      <c r="SGB29" s="30"/>
      <c r="SGG29" s="93"/>
      <c r="SGH29" s="30"/>
      <c r="SGM29" s="93"/>
      <c r="SGN29" s="30"/>
      <c r="SGS29" s="93"/>
      <c r="SGT29" s="30"/>
      <c r="SGY29" s="93"/>
      <c r="SGZ29" s="30"/>
      <c r="SHE29" s="93"/>
      <c r="SHF29" s="30"/>
      <c r="SHK29" s="93"/>
      <c r="SHL29" s="30"/>
      <c r="SHQ29" s="93"/>
      <c r="SHR29" s="30"/>
      <c r="SHW29" s="93"/>
      <c r="SHX29" s="30"/>
      <c r="SIC29" s="93"/>
      <c r="SID29" s="30"/>
      <c r="SII29" s="93"/>
      <c r="SIJ29" s="30"/>
      <c r="SIO29" s="93"/>
      <c r="SIP29" s="30"/>
      <c r="SIU29" s="93"/>
      <c r="SIV29" s="30"/>
      <c r="SJA29" s="93"/>
      <c r="SJB29" s="30"/>
      <c r="SJG29" s="93"/>
      <c r="SJH29" s="30"/>
      <c r="SJM29" s="93"/>
      <c r="SJN29" s="30"/>
      <c r="SJS29" s="93"/>
      <c r="SJT29" s="30"/>
      <c r="SJY29" s="93"/>
      <c r="SJZ29" s="30"/>
      <c r="SKE29" s="93"/>
      <c r="SKF29" s="30"/>
      <c r="SKK29" s="93"/>
      <c r="SKL29" s="30"/>
      <c r="SKQ29" s="93"/>
      <c r="SKR29" s="30"/>
      <c r="SKW29" s="93"/>
      <c r="SKX29" s="30"/>
      <c r="SLC29" s="93"/>
      <c r="SLD29" s="30"/>
      <c r="SLI29" s="93"/>
      <c r="SLJ29" s="30"/>
      <c r="SLO29" s="93"/>
      <c r="SLP29" s="30"/>
      <c r="SLU29" s="93"/>
      <c r="SLV29" s="30"/>
      <c r="SMA29" s="93"/>
      <c r="SMB29" s="30"/>
      <c r="SMG29" s="93"/>
      <c r="SMH29" s="30"/>
      <c r="SMM29" s="93"/>
      <c r="SMN29" s="30"/>
      <c r="SMS29" s="93"/>
      <c r="SMT29" s="30"/>
      <c r="SMY29" s="93"/>
      <c r="SMZ29" s="30"/>
      <c r="SNE29" s="93"/>
      <c r="SNF29" s="30"/>
      <c r="SNK29" s="93"/>
      <c r="SNL29" s="30"/>
      <c r="SNQ29" s="93"/>
      <c r="SNR29" s="30"/>
      <c r="SNW29" s="93"/>
      <c r="SNX29" s="30"/>
      <c r="SOC29" s="93"/>
      <c r="SOD29" s="30"/>
      <c r="SOI29" s="93"/>
      <c r="SOJ29" s="30"/>
      <c r="SOO29" s="93"/>
      <c r="SOP29" s="30"/>
      <c r="SOU29" s="93"/>
      <c r="SOV29" s="30"/>
      <c r="SPA29" s="93"/>
      <c r="SPB29" s="30"/>
      <c r="SPG29" s="93"/>
      <c r="SPH29" s="30"/>
      <c r="SPM29" s="93"/>
      <c r="SPN29" s="30"/>
      <c r="SPS29" s="93"/>
      <c r="SPT29" s="30"/>
      <c r="SPY29" s="93"/>
      <c r="SPZ29" s="30"/>
      <c r="SQE29" s="93"/>
      <c r="SQF29" s="30"/>
      <c r="SQK29" s="93"/>
      <c r="SQL29" s="30"/>
      <c r="SQQ29" s="93"/>
      <c r="SQR29" s="30"/>
      <c r="SQW29" s="93"/>
      <c r="SQX29" s="30"/>
      <c r="SRC29" s="93"/>
      <c r="SRD29" s="30"/>
      <c r="SRI29" s="93"/>
      <c r="SRJ29" s="30"/>
      <c r="SRO29" s="93"/>
      <c r="SRP29" s="30"/>
      <c r="SRU29" s="93"/>
      <c r="SRV29" s="30"/>
      <c r="SSA29" s="93"/>
      <c r="SSB29" s="30"/>
      <c r="SSG29" s="93"/>
      <c r="SSH29" s="30"/>
      <c r="SSM29" s="93"/>
      <c r="SSN29" s="30"/>
      <c r="SSS29" s="93"/>
      <c r="SST29" s="30"/>
      <c r="SSY29" s="93"/>
      <c r="SSZ29" s="30"/>
      <c r="STE29" s="93"/>
      <c r="STF29" s="30"/>
      <c r="STK29" s="93"/>
      <c r="STL29" s="30"/>
      <c r="STQ29" s="93"/>
      <c r="STR29" s="30"/>
      <c r="STW29" s="93"/>
      <c r="STX29" s="30"/>
      <c r="SUC29" s="93"/>
      <c r="SUD29" s="30"/>
      <c r="SUI29" s="93"/>
      <c r="SUJ29" s="30"/>
      <c r="SUO29" s="93"/>
      <c r="SUP29" s="30"/>
      <c r="SUU29" s="93"/>
      <c r="SUV29" s="30"/>
      <c r="SVA29" s="93"/>
      <c r="SVB29" s="30"/>
      <c r="SVG29" s="93"/>
      <c r="SVH29" s="30"/>
      <c r="SVM29" s="93"/>
      <c r="SVN29" s="30"/>
      <c r="SVS29" s="93"/>
      <c r="SVT29" s="30"/>
      <c r="SVY29" s="93"/>
      <c r="SVZ29" s="30"/>
      <c r="SWE29" s="93"/>
      <c r="SWF29" s="30"/>
      <c r="SWK29" s="93"/>
      <c r="SWL29" s="30"/>
      <c r="SWQ29" s="93"/>
      <c r="SWR29" s="30"/>
      <c r="SWW29" s="93"/>
      <c r="SWX29" s="30"/>
      <c r="SXC29" s="93"/>
      <c r="SXD29" s="30"/>
      <c r="SXI29" s="93"/>
      <c r="SXJ29" s="30"/>
      <c r="SXO29" s="93"/>
      <c r="SXP29" s="30"/>
      <c r="SXU29" s="93"/>
      <c r="SXV29" s="30"/>
      <c r="SYA29" s="93"/>
      <c r="SYB29" s="30"/>
      <c r="SYG29" s="93"/>
      <c r="SYH29" s="30"/>
      <c r="SYM29" s="93"/>
      <c r="SYN29" s="30"/>
      <c r="SYS29" s="93"/>
      <c r="SYT29" s="30"/>
      <c r="SYY29" s="93"/>
      <c r="SYZ29" s="30"/>
      <c r="SZE29" s="93"/>
      <c r="SZF29" s="30"/>
      <c r="SZK29" s="93"/>
      <c r="SZL29" s="30"/>
      <c r="SZQ29" s="93"/>
      <c r="SZR29" s="30"/>
      <c r="SZW29" s="93"/>
      <c r="SZX29" s="30"/>
      <c r="TAC29" s="93"/>
      <c r="TAD29" s="30"/>
      <c r="TAI29" s="93"/>
      <c r="TAJ29" s="30"/>
      <c r="TAO29" s="93"/>
      <c r="TAP29" s="30"/>
      <c r="TAU29" s="93"/>
      <c r="TAV29" s="30"/>
      <c r="TBA29" s="93"/>
      <c r="TBB29" s="30"/>
      <c r="TBG29" s="93"/>
      <c r="TBH29" s="30"/>
      <c r="TBM29" s="93"/>
      <c r="TBN29" s="30"/>
      <c r="TBS29" s="93"/>
      <c r="TBT29" s="30"/>
      <c r="TBY29" s="93"/>
      <c r="TBZ29" s="30"/>
      <c r="TCE29" s="93"/>
      <c r="TCF29" s="30"/>
      <c r="TCK29" s="93"/>
      <c r="TCL29" s="30"/>
      <c r="TCQ29" s="93"/>
      <c r="TCR29" s="30"/>
      <c r="TCW29" s="93"/>
      <c r="TCX29" s="30"/>
      <c r="TDC29" s="93"/>
      <c r="TDD29" s="30"/>
      <c r="TDI29" s="93"/>
      <c r="TDJ29" s="30"/>
      <c r="TDO29" s="93"/>
      <c r="TDP29" s="30"/>
      <c r="TDU29" s="93"/>
      <c r="TDV29" s="30"/>
      <c r="TEA29" s="93"/>
      <c r="TEB29" s="30"/>
      <c r="TEG29" s="93"/>
      <c r="TEH29" s="30"/>
      <c r="TEM29" s="93"/>
      <c r="TEN29" s="30"/>
      <c r="TES29" s="93"/>
      <c r="TET29" s="30"/>
      <c r="TEY29" s="93"/>
      <c r="TEZ29" s="30"/>
      <c r="TFE29" s="93"/>
      <c r="TFF29" s="30"/>
      <c r="TFK29" s="93"/>
      <c r="TFL29" s="30"/>
      <c r="TFQ29" s="93"/>
      <c r="TFR29" s="30"/>
      <c r="TFW29" s="93"/>
      <c r="TFX29" s="30"/>
      <c r="TGC29" s="93"/>
      <c r="TGD29" s="30"/>
      <c r="TGI29" s="93"/>
      <c r="TGJ29" s="30"/>
      <c r="TGO29" s="93"/>
      <c r="TGP29" s="30"/>
      <c r="TGU29" s="93"/>
      <c r="TGV29" s="30"/>
      <c r="THA29" s="93"/>
      <c r="THB29" s="30"/>
      <c r="THG29" s="93"/>
      <c r="THH29" s="30"/>
      <c r="THM29" s="93"/>
      <c r="THN29" s="30"/>
      <c r="THS29" s="93"/>
      <c r="THT29" s="30"/>
      <c r="THY29" s="93"/>
      <c r="THZ29" s="30"/>
      <c r="TIE29" s="93"/>
      <c r="TIF29" s="30"/>
      <c r="TIK29" s="93"/>
      <c r="TIL29" s="30"/>
      <c r="TIQ29" s="93"/>
      <c r="TIR29" s="30"/>
      <c r="TIW29" s="93"/>
      <c r="TIX29" s="30"/>
      <c r="TJC29" s="93"/>
      <c r="TJD29" s="30"/>
      <c r="TJI29" s="93"/>
      <c r="TJJ29" s="30"/>
      <c r="TJO29" s="93"/>
      <c r="TJP29" s="30"/>
      <c r="TJU29" s="93"/>
      <c r="TJV29" s="30"/>
      <c r="TKA29" s="93"/>
      <c r="TKB29" s="30"/>
      <c r="TKG29" s="93"/>
      <c r="TKH29" s="30"/>
      <c r="TKM29" s="93"/>
      <c r="TKN29" s="30"/>
      <c r="TKS29" s="93"/>
      <c r="TKT29" s="30"/>
      <c r="TKY29" s="93"/>
      <c r="TKZ29" s="30"/>
      <c r="TLE29" s="93"/>
      <c r="TLF29" s="30"/>
      <c r="TLK29" s="93"/>
      <c r="TLL29" s="30"/>
      <c r="TLQ29" s="93"/>
      <c r="TLR29" s="30"/>
      <c r="TLW29" s="93"/>
      <c r="TLX29" s="30"/>
      <c r="TMC29" s="93"/>
      <c r="TMD29" s="30"/>
      <c r="TMI29" s="93"/>
      <c r="TMJ29" s="30"/>
      <c r="TMO29" s="93"/>
      <c r="TMP29" s="30"/>
      <c r="TMU29" s="93"/>
      <c r="TMV29" s="30"/>
      <c r="TNA29" s="93"/>
      <c r="TNB29" s="30"/>
      <c r="TNG29" s="93"/>
      <c r="TNH29" s="30"/>
      <c r="TNM29" s="93"/>
      <c r="TNN29" s="30"/>
      <c r="TNS29" s="93"/>
      <c r="TNT29" s="30"/>
      <c r="TNY29" s="93"/>
      <c r="TNZ29" s="30"/>
      <c r="TOE29" s="93"/>
      <c r="TOF29" s="30"/>
      <c r="TOK29" s="93"/>
      <c r="TOL29" s="30"/>
      <c r="TOQ29" s="93"/>
      <c r="TOR29" s="30"/>
      <c r="TOW29" s="93"/>
      <c r="TOX29" s="30"/>
      <c r="TPC29" s="93"/>
      <c r="TPD29" s="30"/>
      <c r="TPI29" s="93"/>
      <c r="TPJ29" s="30"/>
      <c r="TPO29" s="93"/>
      <c r="TPP29" s="30"/>
      <c r="TPU29" s="93"/>
      <c r="TPV29" s="30"/>
      <c r="TQA29" s="93"/>
      <c r="TQB29" s="30"/>
      <c r="TQG29" s="93"/>
      <c r="TQH29" s="30"/>
      <c r="TQM29" s="93"/>
      <c r="TQN29" s="30"/>
      <c r="TQS29" s="93"/>
      <c r="TQT29" s="30"/>
      <c r="TQY29" s="93"/>
      <c r="TQZ29" s="30"/>
      <c r="TRE29" s="93"/>
      <c r="TRF29" s="30"/>
      <c r="TRK29" s="93"/>
      <c r="TRL29" s="30"/>
      <c r="TRQ29" s="93"/>
      <c r="TRR29" s="30"/>
      <c r="TRW29" s="93"/>
      <c r="TRX29" s="30"/>
      <c r="TSC29" s="93"/>
      <c r="TSD29" s="30"/>
      <c r="TSI29" s="93"/>
      <c r="TSJ29" s="30"/>
      <c r="TSO29" s="93"/>
      <c r="TSP29" s="30"/>
      <c r="TSU29" s="93"/>
      <c r="TSV29" s="30"/>
      <c r="TTA29" s="93"/>
      <c r="TTB29" s="30"/>
      <c r="TTG29" s="93"/>
      <c r="TTH29" s="30"/>
      <c r="TTM29" s="93"/>
      <c r="TTN29" s="30"/>
      <c r="TTS29" s="93"/>
      <c r="TTT29" s="30"/>
      <c r="TTY29" s="93"/>
      <c r="TTZ29" s="30"/>
      <c r="TUE29" s="93"/>
      <c r="TUF29" s="30"/>
      <c r="TUK29" s="93"/>
      <c r="TUL29" s="30"/>
      <c r="TUQ29" s="93"/>
      <c r="TUR29" s="30"/>
      <c r="TUW29" s="93"/>
      <c r="TUX29" s="30"/>
      <c r="TVC29" s="93"/>
      <c r="TVD29" s="30"/>
      <c r="TVI29" s="93"/>
      <c r="TVJ29" s="30"/>
      <c r="TVO29" s="93"/>
      <c r="TVP29" s="30"/>
      <c r="TVU29" s="93"/>
      <c r="TVV29" s="30"/>
      <c r="TWA29" s="93"/>
      <c r="TWB29" s="30"/>
      <c r="TWG29" s="93"/>
      <c r="TWH29" s="30"/>
      <c r="TWM29" s="93"/>
      <c r="TWN29" s="30"/>
      <c r="TWS29" s="93"/>
      <c r="TWT29" s="30"/>
      <c r="TWY29" s="93"/>
      <c r="TWZ29" s="30"/>
      <c r="TXE29" s="93"/>
      <c r="TXF29" s="30"/>
      <c r="TXK29" s="93"/>
      <c r="TXL29" s="30"/>
      <c r="TXQ29" s="93"/>
      <c r="TXR29" s="30"/>
      <c r="TXW29" s="93"/>
      <c r="TXX29" s="30"/>
      <c r="TYC29" s="93"/>
      <c r="TYD29" s="30"/>
      <c r="TYI29" s="93"/>
      <c r="TYJ29" s="30"/>
      <c r="TYO29" s="93"/>
      <c r="TYP29" s="30"/>
      <c r="TYU29" s="93"/>
      <c r="TYV29" s="30"/>
      <c r="TZA29" s="93"/>
      <c r="TZB29" s="30"/>
      <c r="TZG29" s="93"/>
      <c r="TZH29" s="30"/>
      <c r="TZM29" s="93"/>
      <c r="TZN29" s="30"/>
      <c r="TZS29" s="93"/>
      <c r="TZT29" s="30"/>
      <c r="TZY29" s="93"/>
      <c r="TZZ29" s="30"/>
      <c r="UAE29" s="93"/>
      <c r="UAF29" s="30"/>
      <c r="UAK29" s="93"/>
      <c r="UAL29" s="30"/>
      <c r="UAQ29" s="93"/>
      <c r="UAR29" s="30"/>
      <c r="UAW29" s="93"/>
      <c r="UAX29" s="30"/>
      <c r="UBC29" s="93"/>
      <c r="UBD29" s="30"/>
      <c r="UBI29" s="93"/>
      <c r="UBJ29" s="30"/>
      <c r="UBO29" s="93"/>
      <c r="UBP29" s="30"/>
      <c r="UBU29" s="93"/>
      <c r="UBV29" s="30"/>
      <c r="UCA29" s="93"/>
      <c r="UCB29" s="30"/>
      <c r="UCG29" s="93"/>
      <c r="UCH29" s="30"/>
      <c r="UCM29" s="93"/>
      <c r="UCN29" s="30"/>
      <c r="UCS29" s="93"/>
      <c r="UCT29" s="30"/>
      <c r="UCY29" s="93"/>
      <c r="UCZ29" s="30"/>
      <c r="UDE29" s="93"/>
      <c r="UDF29" s="30"/>
      <c r="UDK29" s="93"/>
      <c r="UDL29" s="30"/>
      <c r="UDQ29" s="93"/>
      <c r="UDR29" s="30"/>
      <c r="UDW29" s="93"/>
      <c r="UDX29" s="30"/>
      <c r="UEC29" s="93"/>
      <c r="UED29" s="30"/>
      <c r="UEI29" s="93"/>
      <c r="UEJ29" s="30"/>
      <c r="UEO29" s="93"/>
      <c r="UEP29" s="30"/>
      <c r="UEU29" s="93"/>
      <c r="UEV29" s="30"/>
      <c r="UFA29" s="93"/>
      <c r="UFB29" s="30"/>
      <c r="UFG29" s="93"/>
      <c r="UFH29" s="30"/>
      <c r="UFM29" s="93"/>
      <c r="UFN29" s="30"/>
      <c r="UFS29" s="93"/>
      <c r="UFT29" s="30"/>
      <c r="UFY29" s="93"/>
      <c r="UFZ29" s="30"/>
      <c r="UGE29" s="93"/>
      <c r="UGF29" s="30"/>
      <c r="UGK29" s="93"/>
      <c r="UGL29" s="30"/>
      <c r="UGQ29" s="93"/>
      <c r="UGR29" s="30"/>
      <c r="UGW29" s="93"/>
      <c r="UGX29" s="30"/>
      <c r="UHC29" s="93"/>
      <c r="UHD29" s="30"/>
      <c r="UHI29" s="93"/>
      <c r="UHJ29" s="30"/>
      <c r="UHO29" s="93"/>
      <c r="UHP29" s="30"/>
      <c r="UHU29" s="93"/>
      <c r="UHV29" s="30"/>
      <c r="UIA29" s="93"/>
      <c r="UIB29" s="30"/>
      <c r="UIG29" s="93"/>
      <c r="UIH29" s="30"/>
      <c r="UIM29" s="93"/>
      <c r="UIN29" s="30"/>
      <c r="UIS29" s="93"/>
      <c r="UIT29" s="30"/>
      <c r="UIY29" s="93"/>
      <c r="UIZ29" s="30"/>
      <c r="UJE29" s="93"/>
      <c r="UJF29" s="30"/>
      <c r="UJK29" s="93"/>
      <c r="UJL29" s="30"/>
      <c r="UJQ29" s="93"/>
      <c r="UJR29" s="30"/>
      <c r="UJW29" s="93"/>
      <c r="UJX29" s="30"/>
      <c r="UKC29" s="93"/>
      <c r="UKD29" s="30"/>
      <c r="UKI29" s="93"/>
      <c r="UKJ29" s="30"/>
      <c r="UKO29" s="93"/>
      <c r="UKP29" s="30"/>
      <c r="UKU29" s="93"/>
      <c r="UKV29" s="30"/>
      <c r="ULA29" s="93"/>
      <c r="ULB29" s="30"/>
      <c r="ULG29" s="93"/>
      <c r="ULH29" s="30"/>
      <c r="ULM29" s="93"/>
      <c r="ULN29" s="30"/>
      <c r="ULS29" s="93"/>
      <c r="ULT29" s="30"/>
      <c r="ULY29" s="93"/>
      <c r="ULZ29" s="30"/>
      <c r="UME29" s="93"/>
      <c r="UMF29" s="30"/>
      <c r="UMK29" s="93"/>
      <c r="UML29" s="30"/>
      <c r="UMQ29" s="93"/>
      <c r="UMR29" s="30"/>
      <c r="UMW29" s="93"/>
      <c r="UMX29" s="30"/>
      <c r="UNC29" s="93"/>
      <c r="UND29" s="30"/>
      <c r="UNI29" s="93"/>
      <c r="UNJ29" s="30"/>
      <c r="UNO29" s="93"/>
      <c r="UNP29" s="30"/>
      <c r="UNU29" s="93"/>
      <c r="UNV29" s="30"/>
      <c r="UOA29" s="93"/>
      <c r="UOB29" s="30"/>
      <c r="UOG29" s="93"/>
      <c r="UOH29" s="30"/>
      <c r="UOM29" s="93"/>
      <c r="UON29" s="30"/>
      <c r="UOS29" s="93"/>
      <c r="UOT29" s="30"/>
      <c r="UOY29" s="93"/>
      <c r="UOZ29" s="30"/>
      <c r="UPE29" s="93"/>
      <c r="UPF29" s="30"/>
      <c r="UPK29" s="93"/>
      <c r="UPL29" s="30"/>
      <c r="UPQ29" s="93"/>
      <c r="UPR29" s="30"/>
      <c r="UPW29" s="93"/>
      <c r="UPX29" s="30"/>
      <c r="UQC29" s="93"/>
      <c r="UQD29" s="30"/>
      <c r="UQI29" s="93"/>
      <c r="UQJ29" s="30"/>
      <c r="UQO29" s="93"/>
      <c r="UQP29" s="30"/>
      <c r="UQU29" s="93"/>
      <c r="UQV29" s="30"/>
      <c r="URA29" s="93"/>
      <c r="URB29" s="30"/>
      <c r="URG29" s="93"/>
      <c r="URH29" s="30"/>
      <c r="URM29" s="93"/>
      <c r="URN29" s="30"/>
      <c r="URS29" s="93"/>
      <c r="URT29" s="30"/>
      <c r="URY29" s="93"/>
      <c r="URZ29" s="30"/>
      <c r="USE29" s="93"/>
      <c r="USF29" s="30"/>
      <c r="USK29" s="93"/>
      <c r="USL29" s="30"/>
      <c r="USQ29" s="93"/>
      <c r="USR29" s="30"/>
      <c r="USW29" s="93"/>
      <c r="USX29" s="30"/>
      <c r="UTC29" s="93"/>
      <c r="UTD29" s="30"/>
      <c r="UTI29" s="93"/>
      <c r="UTJ29" s="30"/>
      <c r="UTO29" s="93"/>
      <c r="UTP29" s="30"/>
      <c r="UTU29" s="93"/>
      <c r="UTV29" s="30"/>
      <c r="UUA29" s="93"/>
      <c r="UUB29" s="30"/>
      <c r="UUG29" s="93"/>
      <c r="UUH29" s="30"/>
      <c r="UUM29" s="93"/>
      <c r="UUN29" s="30"/>
      <c r="UUS29" s="93"/>
      <c r="UUT29" s="30"/>
      <c r="UUY29" s="93"/>
      <c r="UUZ29" s="30"/>
      <c r="UVE29" s="93"/>
      <c r="UVF29" s="30"/>
      <c r="UVK29" s="93"/>
      <c r="UVL29" s="30"/>
      <c r="UVQ29" s="93"/>
      <c r="UVR29" s="30"/>
      <c r="UVW29" s="93"/>
      <c r="UVX29" s="30"/>
      <c r="UWC29" s="93"/>
      <c r="UWD29" s="30"/>
      <c r="UWI29" s="93"/>
      <c r="UWJ29" s="30"/>
      <c r="UWO29" s="93"/>
      <c r="UWP29" s="30"/>
      <c r="UWU29" s="93"/>
      <c r="UWV29" s="30"/>
      <c r="UXA29" s="93"/>
      <c r="UXB29" s="30"/>
      <c r="UXG29" s="93"/>
      <c r="UXH29" s="30"/>
      <c r="UXM29" s="93"/>
      <c r="UXN29" s="30"/>
      <c r="UXS29" s="93"/>
      <c r="UXT29" s="30"/>
      <c r="UXY29" s="93"/>
      <c r="UXZ29" s="30"/>
      <c r="UYE29" s="93"/>
      <c r="UYF29" s="30"/>
      <c r="UYK29" s="93"/>
      <c r="UYL29" s="30"/>
      <c r="UYQ29" s="93"/>
      <c r="UYR29" s="30"/>
      <c r="UYW29" s="93"/>
      <c r="UYX29" s="30"/>
      <c r="UZC29" s="93"/>
      <c r="UZD29" s="30"/>
      <c r="UZI29" s="93"/>
      <c r="UZJ29" s="30"/>
      <c r="UZO29" s="93"/>
      <c r="UZP29" s="30"/>
      <c r="UZU29" s="93"/>
      <c r="UZV29" s="30"/>
      <c r="VAA29" s="93"/>
      <c r="VAB29" s="30"/>
      <c r="VAG29" s="93"/>
      <c r="VAH29" s="30"/>
      <c r="VAM29" s="93"/>
      <c r="VAN29" s="30"/>
      <c r="VAS29" s="93"/>
      <c r="VAT29" s="30"/>
      <c r="VAY29" s="93"/>
      <c r="VAZ29" s="30"/>
      <c r="VBE29" s="93"/>
      <c r="VBF29" s="30"/>
      <c r="VBK29" s="93"/>
      <c r="VBL29" s="30"/>
      <c r="VBQ29" s="93"/>
      <c r="VBR29" s="30"/>
      <c r="VBW29" s="93"/>
      <c r="VBX29" s="30"/>
      <c r="VCC29" s="93"/>
      <c r="VCD29" s="30"/>
      <c r="VCI29" s="93"/>
      <c r="VCJ29" s="30"/>
      <c r="VCO29" s="93"/>
      <c r="VCP29" s="30"/>
      <c r="VCU29" s="93"/>
      <c r="VCV29" s="30"/>
      <c r="VDA29" s="93"/>
      <c r="VDB29" s="30"/>
      <c r="VDG29" s="93"/>
      <c r="VDH29" s="30"/>
      <c r="VDM29" s="93"/>
      <c r="VDN29" s="30"/>
      <c r="VDS29" s="93"/>
      <c r="VDT29" s="30"/>
      <c r="VDY29" s="93"/>
      <c r="VDZ29" s="30"/>
      <c r="VEE29" s="93"/>
      <c r="VEF29" s="30"/>
      <c r="VEK29" s="93"/>
      <c r="VEL29" s="30"/>
      <c r="VEQ29" s="93"/>
      <c r="VER29" s="30"/>
      <c r="VEW29" s="93"/>
      <c r="VEX29" s="30"/>
      <c r="VFC29" s="93"/>
      <c r="VFD29" s="30"/>
      <c r="VFI29" s="93"/>
      <c r="VFJ29" s="30"/>
      <c r="VFO29" s="93"/>
      <c r="VFP29" s="30"/>
      <c r="VFU29" s="93"/>
      <c r="VFV29" s="30"/>
      <c r="VGA29" s="93"/>
      <c r="VGB29" s="30"/>
      <c r="VGG29" s="93"/>
      <c r="VGH29" s="30"/>
      <c r="VGM29" s="93"/>
      <c r="VGN29" s="30"/>
      <c r="VGS29" s="93"/>
      <c r="VGT29" s="30"/>
      <c r="VGY29" s="93"/>
      <c r="VGZ29" s="30"/>
      <c r="VHE29" s="93"/>
      <c r="VHF29" s="30"/>
      <c r="VHK29" s="93"/>
      <c r="VHL29" s="30"/>
      <c r="VHQ29" s="93"/>
      <c r="VHR29" s="30"/>
      <c r="VHW29" s="93"/>
      <c r="VHX29" s="30"/>
      <c r="VIC29" s="93"/>
      <c r="VID29" s="30"/>
      <c r="VII29" s="93"/>
      <c r="VIJ29" s="30"/>
      <c r="VIO29" s="93"/>
      <c r="VIP29" s="30"/>
      <c r="VIU29" s="93"/>
      <c r="VIV29" s="30"/>
      <c r="VJA29" s="93"/>
      <c r="VJB29" s="30"/>
      <c r="VJG29" s="93"/>
      <c r="VJH29" s="30"/>
      <c r="VJM29" s="93"/>
      <c r="VJN29" s="30"/>
      <c r="VJS29" s="93"/>
      <c r="VJT29" s="30"/>
      <c r="VJY29" s="93"/>
      <c r="VJZ29" s="30"/>
      <c r="VKE29" s="93"/>
      <c r="VKF29" s="30"/>
      <c r="VKK29" s="93"/>
      <c r="VKL29" s="30"/>
      <c r="VKQ29" s="93"/>
      <c r="VKR29" s="30"/>
      <c r="VKW29" s="93"/>
      <c r="VKX29" s="30"/>
      <c r="VLC29" s="93"/>
      <c r="VLD29" s="30"/>
      <c r="VLI29" s="93"/>
      <c r="VLJ29" s="30"/>
      <c r="VLO29" s="93"/>
      <c r="VLP29" s="30"/>
      <c r="VLU29" s="93"/>
      <c r="VLV29" s="30"/>
      <c r="VMA29" s="93"/>
      <c r="VMB29" s="30"/>
      <c r="VMG29" s="93"/>
      <c r="VMH29" s="30"/>
      <c r="VMM29" s="93"/>
      <c r="VMN29" s="30"/>
      <c r="VMS29" s="93"/>
      <c r="VMT29" s="30"/>
      <c r="VMY29" s="93"/>
      <c r="VMZ29" s="30"/>
      <c r="VNE29" s="93"/>
      <c r="VNF29" s="30"/>
      <c r="VNK29" s="93"/>
      <c r="VNL29" s="30"/>
      <c r="VNQ29" s="93"/>
      <c r="VNR29" s="30"/>
      <c r="VNW29" s="93"/>
      <c r="VNX29" s="30"/>
      <c r="VOC29" s="93"/>
      <c r="VOD29" s="30"/>
      <c r="VOI29" s="93"/>
      <c r="VOJ29" s="30"/>
      <c r="VOO29" s="93"/>
      <c r="VOP29" s="30"/>
      <c r="VOU29" s="93"/>
      <c r="VOV29" s="30"/>
      <c r="VPA29" s="93"/>
      <c r="VPB29" s="30"/>
      <c r="VPG29" s="93"/>
      <c r="VPH29" s="30"/>
      <c r="VPM29" s="93"/>
      <c r="VPN29" s="30"/>
      <c r="VPS29" s="93"/>
      <c r="VPT29" s="30"/>
      <c r="VPY29" s="93"/>
      <c r="VPZ29" s="30"/>
      <c r="VQE29" s="93"/>
      <c r="VQF29" s="30"/>
      <c r="VQK29" s="93"/>
      <c r="VQL29" s="30"/>
      <c r="VQQ29" s="93"/>
      <c r="VQR29" s="30"/>
      <c r="VQW29" s="93"/>
      <c r="VQX29" s="30"/>
      <c r="VRC29" s="93"/>
      <c r="VRD29" s="30"/>
      <c r="VRI29" s="93"/>
      <c r="VRJ29" s="30"/>
      <c r="VRO29" s="93"/>
      <c r="VRP29" s="30"/>
      <c r="VRU29" s="93"/>
      <c r="VRV29" s="30"/>
      <c r="VSA29" s="93"/>
      <c r="VSB29" s="30"/>
      <c r="VSG29" s="93"/>
      <c r="VSH29" s="30"/>
      <c r="VSM29" s="93"/>
      <c r="VSN29" s="30"/>
      <c r="VSS29" s="93"/>
      <c r="VST29" s="30"/>
      <c r="VSY29" s="93"/>
      <c r="VSZ29" s="30"/>
      <c r="VTE29" s="93"/>
      <c r="VTF29" s="30"/>
      <c r="VTK29" s="93"/>
      <c r="VTL29" s="30"/>
      <c r="VTQ29" s="93"/>
      <c r="VTR29" s="30"/>
      <c r="VTW29" s="93"/>
      <c r="VTX29" s="30"/>
      <c r="VUC29" s="93"/>
      <c r="VUD29" s="30"/>
      <c r="VUI29" s="93"/>
      <c r="VUJ29" s="30"/>
      <c r="VUO29" s="93"/>
      <c r="VUP29" s="30"/>
      <c r="VUU29" s="93"/>
      <c r="VUV29" s="30"/>
      <c r="VVA29" s="93"/>
      <c r="VVB29" s="30"/>
      <c r="VVG29" s="93"/>
      <c r="VVH29" s="30"/>
      <c r="VVM29" s="93"/>
      <c r="VVN29" s="30"/>
      <c r="VVS29" s="93"/>
      <c r="VVT29" s="30"/>
      <c r="VVY29" s="93"/>
      <c r="VVZ29" s="30"/>
      <c r="VWE29" s="93"/>
      <c r="VWF29" s="30"/>
      <c r="VWK29" s="93"/>
      <c r="VWL29" s="30"/>
      <c r="VWQ29" s="93"/>
      <c r="VWR29" s="30"/>
      <c r="VWW29" s="93"/>
      <c r="VWX29" s="30"/>
      <c r="VXC29" s="93"/>
      <c r="VXD29" s="30"/>
      <c r="VXI29" s="93"/>
      <c r="VXJ29" s="30"/>
      <c r="VXO29" s="93"/>
      <c r="VXP29" s="30"/>
      <c r="VXU29" s="93"/>
      <c r="VXV29" s="30"/>
      <c r="VYA29" s="93"/>
      <c r="VYB29" s="30"/>
      <c r="VYG29" s="93"/>
      <c r="VYH29" s="30"/>
      <c r="VYM29" s="93"/>
      <c r="VYN29" s="30"/>
      <c r="VYS29" s="93"/>
      <c r="VYT29" s="30"/>
      <c r="VYY29" s="93"/>
      <c r="VYZ29" s="30"/>
      <c r="VZE29" s="93"/>
      <c r="VZF29" s="30"/>
      <c r="VZK29" s="93"/>
      <c r="VZL29" s="30"/>
      <c r="VZQ29" s="93"/>
      <c r="VZR29" s="30"/>
      <c r="VZW29" s="93"/>
      <c r="VZX29" s="30"/>
      <c r="WAC29" s="93"/>
      <c r="WAD29" s="30"/>
      <c r="WAI29" s="93"/>
      <c r="WAJ29" s="30"/>
      <c r="WAO29" s="93"/>
      <c r="WAP29" s="30"/>
      <c r="WAU29" s="93"/>
      <c r="WAV29" s="30"/>
      <c r="WBA29" s="93"/>
      <c r="WBB29" s="30"/>
      <c r="WBG29" s="93"/>
      <c r="WBH29" s="30"/>
      <c r="WBM29" s="93"/>
      <c r="WBN29" s="30"/>
      <c r="WBS29" s="93"/>
      <c r="WBT29" s="30"/>
      <c r="WBY29" s="93"/>
      <c r="WBZ29" s="30"/>
      <c r="WCE29" s="93"/>
      <c r="WCF29" s="30"/>
      <c r="WCK29" s="93"/>
      <c r="WCL29" s="30"/>
      <c r="WCQ29" s="93"/>
      <c r="WCR29" s="30"/>
      <c r="WCW29" s="93"/>
      <c r="WCX29" s="30"/>
      <c r="WDC29" s="93"/>
      <c r="WDD29" s="30"/>
      <c r="WDI29" s="93"/>
      <c r="WDJ29" s="30"/>
      <c r="WDO29" s="93"/>
      <c r="WDP29" s="30"/>
      <c r="WDU29" s="93"/>
      <c r="WDV29" s="30"/>
      <c r="WEA29" s="93"/>
      <c r="WEB29" s="30"/>
      <c r="WEG29" s="93"/>
      <c r="WEH29" s="30"/>
      <c r="WEM29" s="93"/>
      <c r="WEN29" s="30"/>
      <c r="WES29" s="93"/>
      <c r="WET29" s="30"/>
      <c r="WEY29" s="93"/>
      <c r="WEZ29" s="30"/>
      <c r="WFE29" s="93"/>
      <c r="WFF29" s="30"/>
      <c r="WFK29" s="93"/>
      <c r="WFL29" s="30"/>
      <c r="WFQ29" s="93"/>
      <c r="WFR29" s="30"/>
      <c r="WFW29" s="93"/>
      <c r="WFX29" s="30"/>
      <c r="WGC29" s="93"/>
      <c r="WGD29" s="30"/>
      <c r="WGI29" s="93"/>
      <c r="WGJ29" s="30"/>
      <c r="WGO29" s="93"/>
      <c r="WGP29" s="30"/>
      <c r="WGU29" s="93"/>
      <c r="WGV29" s="30"/>
      <c r="WHA29" s="93"/>
      <c r="WHB29" s="30"/>
      <c r="WHG29" s="93"/>
      <c r="WHH29" s="30"/>
      <c r="WHM29" s="93"/>
      <c r="WHN29" s="30"/>
      <c r="WHS29" s="93"/>
      <c r="WHT29" s="30"/>
      <c r="WHY29" s="93"/>
      <c r="WHZ29" s="30"/>
      <c r="WIE29" s="93"/>
      <c r="WIF29" s="30"/>
      <c r="WIK29" s="93"/>
      <c r="WIL29" s="30"/>
      <c r="WIQ29" s="93"/>
      <c r="WIR29" s="30"/>
      <c r="WIW29" s="93"/>
      <c r="WIX29" s="30"/>
      <c r="WJC29" s="93"/>
      <c r="WJD29" s="30"/>
      <c r="WJI29" s="93"/>
      <c r="WJJ29" s="30"/>
      <c r="WJO29" s="93"/>
      <c r="WJP29" s="30"/>
      <c r="WJU29" s="93"/>
      <c r="WJV29" s="30"/>
      <c r="WKA29" s="93"/>
      <c r="WKB29" s="30"/>
      <c r="WKG29" s="93"/>
      <c r="WKH29" s="30"/>
      <c r="WKM29" s="93"/>
      <c r="WKN29" s="30"/>
      <c r="WKS29" s="93"/>
      <c r="WKT29" s="30"/>
      <c r="WKY29" s="93"/>
      <c r="WKZ29" s="30"/>
      <c r="WLE29" s="93"/>
      <c r="WLF29" s="30"/>
      <c r="WLK29" s="93"/>
      <c r="WLL29" s="30"/>
      <c r="WLQ29" s="93"/>
      <c r="WLR29" s="30"/>
      <c r="WLW29" s="93"/>
      <c r="WLX29" s="30"/>
      <c r="WMC29" s="93"/>
      <c r="WMD29" s="30"/>
      <c r="WMI29" s="93"/>
      <c r="WMJ29" s="30"/>
      <c r="WMO29" s="93"/>
      <c r="WMP29" s="30"/>
      <c r="WMU29" s="93"/>
      <c r="WMV29" s="30"/>
      <c r="WNA29" s="93"/>
      <c r="WNB29" s="30"/>
      <c r="WNG29" s="93"/>
      <c r="WNH29" s="30"/>
      <c r="WNM29" s="93"/>
      <c r="WNN29" s="30"/>
      <c r="WNS29" s="93"/>
      <c r="WNT29" s="30"/>
      <c r="WNY29" s="93"/>
      <c r="WNZ29" s="30"/>
      <c r="WOE29" s="93"/>
      <c r="WOF29" s="30"/>
      <c r="WOK29" s="93"/>
      <c r="WOL29" s="30"/>
      <c r="WOQ29" s="93"/>
      <c r="WOR29" s="30"/>
      <c r="WOW29" s="93"/>
      <c r="WOX29" s="30"/>
      <c r="WPC29" s="93"/>
      <c r="WPD29" s="30"/>
      <c r="WPI29" s="93"/>
      <c r="WPJ29" s="30"/>
      <c r="WPO29" s="93"/>
      <c r="WPP29" s="30"/>
      <c r="WPU29" s="93"/>
      <c r="WPV29" s="30"/>
      <c r="WQA29" s="93"/>
      <c r="WQB29" s="30"/>
      <c r="WQG29" s="93"/>
      <c r="WQH29" s="30"/>
      <c r="WQM29" s="93"/>
      <c r="WQN29" s="30"/>
      <c r="WQS29" s="93"/>
      <c r="WQT29" s="30"/>
      <c r="WQY29" s="93"/>
      <c r="WQZ29" s="30"/>
      <c r="WRE29" s="93"/>
      <c r="WRF29" s="30"/>
      <c r="WRK29" s="93"/>
      <c r="WRL29" s="30"/>
      <c r="WRQ29" s="93"/>
      <c r="WRR29" s="30"/>
      <c r="WRW29" s="93"/>
      <c r="WRX29" s="30"/>
      <c r="WSC29" s="93"/>
      <c r="WSD29" s="30"/>
      <c r="WSI29" s="93"/>
      <c r="WSJ29" s="30"/>
      <c r="WSO29" s="93"/>
      <c r="WSP29" s="30"/>
      <c r="WSU29" s="93"/>
      <c r="WSV29" s="30"/>
      <c r="WTA29" s="93"/>
      <c r="WTB29" s="30"/>
      <c r="WTG29" s="93"/>
      <c r="WTH29" s="30"/>
      <c r="WTM29" s="93"/>
      <c r="WTN29" s="30"/>
      <c r="WTS29" s="93"/>
      <c r="WTT29" s="30"/>
      <c r="WTY29" s="93"/>
      <c r="WTZ29" s="30"/>
      <c r="WUE29" s="93"/>
      <c r="WUF29" s="30"/>
      <c r="WUK29" s="93"/>
      <c r="WUL29" s="30"/>
      <c r="WUQ29" s="93"/>
      <c r="WUR29" s="30"/>
      <c r="WUW29" s="93"/>
      <c r="WUX29" s="30"/>
      <c r="WVC29" s="93"/>
      <c r="WVD29" s="30"/>
      <c r="WVI29" s="93"/>
      <c r="WVJ29" s="30"/>
      <c r="WVO29" s="93"/>
      <c r="WVP29" s="30"/>
      <c r="WVU29" s="93"/>
      <c r="WVV29" s="30"/>
      <c r="WWA29" s="93"/>
      <c r="WWB29" s="30"/>
      <c r="WWG29" s="93"/>
      <c r="WWH29" s="30"/>
      <c r="WWM29" s="93"/>
      <c r="WWN29" s="30"/>
      <c r="WWS29" s="93"/>
      <c r="WWT29" s="30"/>
      <c r="WWY29" s="93"/>
      <c r="WWZ29" s="30"/>
      <c r="WXE29" s="93"/>
      <c r="WXF29" s="30"/>
      <c r="WXK29" s="93"/>
      <c r="WXL29" s="30"/>
      <c r="WXQ29" s="93"/>
      <c r="WXR29" s="30"/>
      <c r="WXW29" s="93"/>
      <c r="WXX29" s="30"/>
      <c r="WYC29" s="93"/>
      <c r="WYD29" s="30"/>
      <c r="WYI29" s="93"/>
      <c r="WYJ29" s="30"/>
      <c r="WYO29" s="93"/>
      <c r="WYP29" s="30"/>
      <c r="WYU29" s="93"/>
      <c r="WYV29" s="30"/>
      <c r="WZA29" s="93"/>
      <c r="WZB29" s="30"/>
      <c r="WZG29" s="93"/>
      <c r="WZH29" s="30"/>
      <c r="WZM29" s="93"/>
      <c r="WZN29" s="30"/>
      <c r="WZS29" s="93"/>
      <c r="WZT29" s="30"/>
      <c r="WZY29" s="93"/>
      <c r="WZZ29" s="30"/>
      <c r="XAE29" s="93"/>
      <c r="XAF29" s="30"/>
      <c r="XAK29" s="93"/>
      <c r="XAL29" s="30"/>
      <c r="XAQ29" s="93"/>
      <c r="XAR29" s="30"/>
      <c r="XAW29" s="93"/>
      <c r="XAX29" s="30"/>
      <c r="XBC29" s="93"/>
      <c r="XBD29" s="30"/>
      <c r="XBI29" s="93"/>
      <c r="XBJ29" s="30"/>
      <c r="XBO29" s="93"/>
      <c r="XBP29" s="30"/>
      <c r="XBU29" s="93"/>
      <c r="XBV29" s="30"/>
      <c r="XCA29" s="93"/>
      <c r="XCB29" s="30"/>
      <c r="XCG29" s="93"/>
      <c r="XCH29" s="30"/>
      <c r="XCM29" s="93"/>
      <c r="XCN29" s="30"/>
      <c r="XCS29" s="93"/>
      <c r="XCT29" s="30"/>
      <c r="XCY29" s="93"/>
      <c r="XCZ29" s="30"/>
      <c r="XDE29" s="93"/>
      <c r="XDF29" s="30"/>
      <c r="XDK29" s="93"/>
      <c r="XDL29" s="30"/>
      <c r="XDQ29" s="93"/>
      <c r="XDR29" s="30"/>
      <c r="XDW29" s="93"/>
      <c r="XDX29" s="30"/>
      <c r="XEC29" s="93"/>
      <c r="XED29" s="30"/>
      <c r="XEI29" s="93"/>
      <c r="XEJ29" s="30"/>
      <c r="XEO29" s="93"/>
      <c r="XEP29" s="30"/>
      <c r="XEU29" s="93"/>
      <c r="XEV29" s="30"/>
      <c r="XFA29" s="93"/>
      <c r="XFB29" s="30"/>
    </row>
    <row r="30" spans="1:1022 1027:2048 2053:3068 3073:4094 4099:5120 5125:6140 6145:7166 7171:8192 8197:9212 9217:10238 10243:11264 11269:12284 12289:13310 13315:14336 14341:15356 15361:16382" s="8" customFormat="1" ht="16" x14ac:dyDescent="0.2">
      <c r="A30" s="93" t="s">
        <v>625</v>
      </c>
      <c r="B30" s="10" t="s">
        <v>35</v>
      </c>
      <c r="C30" s="9" t="s">
        <v>589</v>
      </c>
      <c r="D30" s="10"/>
      <c r="E30" s="10"/>
      <c r="F30" s="10"/>
      <c r="G30" s="10"/>
      <c r="H30" s="10"/>
      <c r="I30" s="10"/>
      <c r="J30" s="10"/>
      <c r="K30" s="10"/>
      <c r="L30" s="10"/>
      <c r="M30" s="93"/>
      <c r="N30" s="30"/>
      <c r="S30" s="93"/>
      <c r="T30" s="30"/>
      <c r="Y30" s="93"/>
      <c r="Z30" s="30"/>
      <c r="AE30" s="93"/>
      <c r="AF30" s="30"/>
      <c r="AK30" s="93"/>
      <c r="AL30" s="30"/>
      <c r="AQ30" s="93"/>
      <c r="AR30" s="30"/>
      <c r="AW30" s="93"/>
      <c r="AX30" s="30"/>
      <c r="BC30" s="93"/>
      <c r="BD30" s="30"/>
      <c r="BI30" s="93"/>
      <c r="BJ30" s="30"/>
      <c r="BO30" s="93"/>
      <c r="BP30" s="30"/>
      <c r="BU30" s="93"/>
      <c r="BV30" s="30"/>
      <c r="CA30" s="93"/>
      <c r="CB30" s="30"/>
      <c r="CG30" s="93"/>
      <c r="CH30" s="30"/>
      <c r="CM30" s="93"/>
      <c r="CN30" s="30"/>
      <c r="CS30" s="93"/>
      <c r="CT30" s="30"/>
      <c r="CY30" s="93"/>
      <c r="CZ30" s="30"/>
      <c r="DE30" s="93"/>
      <c r="DF30" s="30"/>
      <c r="DK30" s="93"/>
      <c r="DL30" s="30"/>
      <c r="DQ30" s="93"/>
      <c r="DR30" s="30"/>
      <c r="DW30" s="93"/>
      <c r="DX30" s="30"/>
      <c r="EC30" s="93"/>
      <c r="ED30" s="30"/>
      <c r="EI30" s="93"/>
      <c r="EJ30" s="30"/>
      <c r="EO30" s="93"/>
      <c r="EP30" s="30"/>
      <c r="EU30" s="93"/>
      <c r="EV30" s="30"/>
      <c r="FA30" s="93"/>
      <c r="FB30" s="30"/>
      <c r="FG30" s="93"/>
      <c r="FH30" s="30"/>
      <c r="FM30" s="93"/>
      <c r="FN30" s="30"/>
      <c r="FS30" s="93"/>
      <c r="FT30" s="30"/>
      <c r="FY30" s="93"/>
      <c r="FZ30" s="30"/>
      <c r="GE30" s="93"/>
      <c r="GF30" s="30"/>
      <c r="GK30" s="93"/>
      <c r="GL30" s="30"/>
      <c r="GQ30" s="93"/>
      <c r="GR30" s="30"/>
      <c r="GW30" s="93"/>
      <c r="GX30" s="30"/>
      <c r="HC30" s="93"/>
      <c r="HD30" s="30"/>
      <c r="HI30" s="93"/>
      <c r="HJ30" s="30"/>
      <c r="HO30" s="93"/>
      <c r="HP30" s="30"/>
      <c r="HU30" s="93"/>
      <c r="HV30" s="30"/>
      <c r="IA30" s="93"/>
      <c r="IB30" s="30"/>
      <c r="IG30" s="93"/>
      <c r="IH30" s="30"/>
      <c r="IM30" s="93"/>
      <c r="IN30" s="30"/>
      <c r="IS30" s="93"/>
      <c r="IT30" s="30"/>
      <c r="IY30" s="93"/>
      <c r="IZ30" s="30"/>
      <c r="JE30" s="93"/>
      <c r="JF30" s="30"/>
      <c r="JK30" s="93"/>
      <c r="JL30" s="30"/>
      <c r="JQ30" s="93"/>
      <c r="JR30" s="30"/>
      <c r="JW30" s="93"/>
      <c r="JX30" s="30"/>
      <c r="KC30" s="93"/>
      <c r="KD30" s="30"/>
      <c r="KI30" s="93"/>
      <c r="KJ30" s="30"/>
      <c r="KO30" s="93"/>
      <c r="KP30" s="30"/>
      <c r="KU30" s="93"/>
      <c r="KV30" s="30"/>
      <c r="LA30" s="93"/>
      <c r="LB30" s="30"/>
      <c r="LG30" s="93"/>
      <c r="LH30" s="30"/>
      <c r="LM30" s="93"/>
      <c r="LN30" s="30"/>
      <c r="LS30" s="93"/>
      <c r="LT30" s="30"/>
      <c r="LY30" s="93"/>
      <c r="LZ30" s="30"/>
      <c r="ME30" s="93"/>
      <c r="MF30" s="30"/>
      <c r="MK30" s="93"/>
      <c r="ML30" s="30"/>
      <c r="MQ30" s="93"/>
      <c r="MR30" s="30"/>
      <c r="MW30" s="93"/>
      <c r="MX30" s="30"/>
      <c r="NC30" s="93"/>
      <c r="ND30" s="30"/>
      <c r="NI30" s="93"/>
      <c r="NJ30" s="30"/>
      <c r="NO30" s="93"/>
      <c r="NP30" s="30"/>
      <c r="NU30" s="93"/>
      <c r="NV30" s="30"/>
      <c r="OA30" s="93"/>
      <c r="OB30" s="30"/>
      <c r="OG30" s="93"/>
      <c r="OH30" s="30"/>
      <c r="OM30" s="93"/>
      <c r="ON30" s="30"/>
      <c r="OS30" s="93"/>
      <c r="OT30" s="30"/>
      <c r="OY30" s="93"/>
      <c r="OZ30" s="30"/>
      <c r="PE30" s="93"/>
      <c r="PF30" s="30"/>
      <c r="PK30" s="93"/>
      <c r="PL30" s="30"/>
      <c r="PQ30" s="93"/>
      <c r="PR30" s="30"/>
      <c r="PW30" s="93"/>
      <c r="PX30" s="30"/>
      <c r="QC30" s="93"/>
      <c r="QD30" s="30"/>
      <c r="QI30" s="93"/>
      <c r="QJ30" s="30"/>
      <c r="QO30" s="93"/>
      <c r="QP30" s="30"/>
      <c r="QU30" s="93"/>
      <c r="QV30" s="30"/>
      <c r="RA30" s="93"/>
      <c r="RB30" s="30"/>
      <c r="RG30" s="93"/>
      <c r="RH30" s="30"/>
      <c r="RM30" s="93"/>
      <c r="RN30" s="30"/>
      <c r="RS30" s="93"/>
      <c r="RT30" s="30"/>
      <c r="RY30" s="93"/>
      <c r="RZ30" s="30"/>
      <c r="SE30" s="93"/>
      <c r="SF30" s="30"/>
      <c r="SK30" s="93"/>
      <c r="SL30" s="30"/>
      <c r="SQ30" s="93"/>
      <c r="SR30" s="30"/>
      <c r="SW30" s="93"/>
      <c r="SX30" s="30"/>
      <c r="TC30" s="93"/>
      <c r="TD30" s="30"/>
      <c r="TI30" s="93"/>
      <c r="TJ30" s="30"/>
      <c r="TO30" s="93"/>
      <c r="TP30" s="30"/>
      <c r="TU30" s="93"/>
      <c r="TV30" s="30"/>
      <c r="UA30" s="93"/>
      <c r="UB30" s="30"/>
      <c r="UG30" s="93"/>
      <c r="UH30" s="30"/>
      <c r="UM30" s="93"/>
      <c r="UN30" s="30"/>
      <c r="US30" s="93"/>
      <c r="UT30" s="30"/>
      <c r="UY30" s="93"/>
      <c r="UZ30" s="30"/>
      <c r="VE30" s="93"/>
      <c r="VF30" s="30"/>
      <c r="VK30" s="93"/>
      <c r="VL30" s="30"/>
      <c r="VQ30" s="93"/>
      <c r="VR30" s="30"/>
      <c r="VW30" s="93"/>
      <c r="VX30" s="30"/>
      <c r="WC30" s="93"/>
      <c r="WD30" s="30"/>
      <c r="WI30" s="93"/>
      <c r="WJ30" s="30"/>
      <c r="WO30" s="93"/>
      <c r="WP30" s="30"/>
      <c r="WU30" s="93"/>
      <c r="WV30" s="30"/>
      <c r="XA30" s="93"/>
      <c r="XB30" s="30"/>
      <c r="XG30" s="93"/>
      <c r="XH30" s="30"/>
      <c r="XM30" s="93"/>
      <c r="XN30" s="30"/>
      <c r="XS30" s="93"/>
      <c r="XT30" s="30"/>
      <c r="XY30" s="93"/>
      <c r="XZ30" s="30"/>
      <c r="YE30" s="93"/>
      <c r="YF30" s="30"/>
      <c r="YK30" s="93"/>
      <c r="YL30" s="30"/>
      <c r="YQ30" s="93"/>
      <c r="YR30" s="30"/>
      <c r="YW30" s="93"/>
      <c r="YX30" s="30"/>
      <c r="ZC30" s="93"/>
      <c r="ZD30" s="30"/>
      <c r="ZI30" s="93"/>
      <c r="ZJ30" s="30"/>
      <c r="ZO30" s="93"/>
      <c r="ZP30" s="30"/>
      <c r="ZU30" s="93"/>
      <c r="ZV30" s="30"/>
      <c r="AAA30" s="93"/>
      <c r="AAB30" s="30"/>
      <c r="AAG30" s="93"/>
      <c r="AAH30" s="30"/>
      <c r="AAM30" s="93"/>
      <c r="AAN30" s="30"/>
      <c r="AAS30" s="93"/>
      <c r="AAT30" s="30"/>
      <c r="AAY30" s="93"/>
      <c r="AAZ30" s="30"/>
      <c r="ABE30" s="93"/>
      <c r="ABF30" s="30"/>
      <c r="ABK30" s="93"/>
      <c r="ABL30" s="30"/>
      <c r="ABQ30" s="93"/>
      <c r="ABR30" s="30"/>
      <c r="ABW30" s="93"/>
      <c r="ABX30" s="30"/>
      <c r="ACC30" s="93"/>
      <c r="ACD30" s="30"/>
      <c r="ACI30" s="93"/>
      <c r="ACJ30" s="30"/>
      <c r="ACO30" s="93"/>
      <c r="ACP30" s="30"/>
      <c r="ACU30" s="93"/>
      <c r="ACV30" s="30"/>
      <c r="ADA30" s="93"/>
      <c r="ADB30" s="30"/>
      <c r="ADG30" s="93"/>
      <c r="ADH30" s="30"/>
      <c r="ADM30" s="93"/>
      <c r="ADN30" s="30"/>
      <c r="ADS30" s="93"/>
      <c r="ADT30" s="30"/>
      <c r="ADY30" s="93"/>
      <c r="ADZ30" s="30"/>
      <c r="AEE30" s="93"/>
      <c r="AEF30" s="30"/>
      <c r="AEK30" s="93"/>
      <c r="AEL30" s="30"/>
      <c r="AEQ30" s="93"/>
      <c r="AER30" s="30"/>
      <c r="AEW30" s="93"/>
      <c r="AEX30" s="30"/>
      <c r="AFC30" s="93"/>
      <c r="AFD30" s="30"/>
      <c r="AFI30" s="93"/>
      <c r="AFJ30" s="30"/>
      <c r="AFO30" s="93"/>
      <c r="AFP30" s="30"/>
      <c r="AFU30" s="93"/>
      <c r="AFV30" s="30"/>
      <c r="AGA30" s="93"/>
      <c r="AGB30" s="30"/>
      <c r="AGG30" s="93"/>
      <c r="AGH30" s="30"/>
      <c r="AGM30" s="93"/>
      <c r="AGN30" s="30"/>
      <c r="AGS30" s="93"/>
      <c r="AGT30" s="30"/>
      <c r="AGY30" s="93"/>
      <c r="AGZ30" s="30"/>
      <c r="AHE30" s="93"/>
      <c r="AHF30" s="30"/>
      <c r="AHK30" s="93"/>
      <c r="AHL30" s="30"/>
      <c r="AHQ30" s="93"/>
      <c r="AHR30" s="30"/>
      <c r="AHW30" s="93"/>
      <c r="AHX30" s="30"/>
      <c r="AIC30" s="93"/>
      <c r="AID30" s="30"/>
      <c r="AII30" s="93"/>
      <c r="AIJ30" s="30"/>
      <c r="AIO30" s="93"/>
      <c r="AIP30" s="30"/>
      <c r="AIU30" s="93"/>
      <c r="AIV30" s="30"/>
      <c r="AJA30" s="93"/>
      <c r="AJB30" s="30"/>
      <c r="AJG30" s="93"/>
      <c r="AJH30" s="30"/>
      <c r="AJM30" s="93"/>
      <c r="AJN30" s="30"/>
      <c r="AJS30" s="93"/>
      <c r="AJT30" s="30"/>
      <c r="AJY30" s="93"/>
      <c r="AJZ30" s="30"/>
      <c r="AKE30" s="93"/>
      <c r="AKF30" s="30"/>
      <c r="AKK30" s="93"/>
      <c r="AKL30" s="30"/>
      <c r="AKQ30" s="93"/>
      <c r="AKR30" s="30"/>
      <c r="AKW30" s="93"/>
      <c r="AKX30" s="30"/>
      <c r="ALC30" s="93"/>
      <c r="ALD30" s="30"/>
      <c r="ALI30" s="93"/>
      <c r="ALJ30" s="30"/>
      <c r="ALO30" s="93"/>
      <c r="ALP30" s="30"/>
      <c r="ALU30" s="93"/>
      <c r="ALV30" s="30"/>
      <c r="AMA30" s="93"/>
      <c r="AMB30" s="30"/>
      <c r="AMG30" s="93"/>
      <c r="AMH30" s="30"/>
      <c r="AMM30" s="93"/>
      <c r="AMN30" s="30"/>
      <c r="AMS30" s="93"/>
      <c r="AMT30" s="30"/>
      <c r="AMY30" s="93"/>
      <c r="AMZ30" s="30"/>
      <c r="ANE30" s="93"/>
      <c r="ANF30" s="30"/>
      <c r="ANK30" s="93"/>
      <c r="ANL30" s="30"/>
      <c r="ANQ30" s="93"/>
      <c r="ANR30" s="30"/>
      <c r="ANW30" s="93"/>
      <c r="ANX30" s="30"/>
      <c r="AOC30" s="93"/>
      <c r="AOD30" s="30"/>
      <c r="AOI30" s="93"/>
      <c r="AOJ30" s="30"/>
      <c r="AOO30" s="93"/>
      <c r="AOP30" s="30"/>
      <c r="AOU30" s="93"/>
      <c r="AOV30" s="30"/>
      <c r="APA30" s="93"/>
      <c r="APB30" s="30"/>
      <c r="APG30" s="93"/>
      <c r="APH30" s="30"/>
      <c r="APM30" s="93"/>
      <c r="APN30" s="30"/>
      <c r="APS30" s="93"/>
      <c r="APT30" s="30"/>
      <c r="APY30" s="93"/>
      <c r="APZ30" s="30"/>
      <c r="AQE30" s="93"/>
      <c r="AQF30" s="30"/>
      <c r="AQK30" s="93"/>
      <c r="AQL30" s="30"/>
      <c r="AQQ30" s="93"/>
      <c r="AQR30" s="30"/>
      <c r="AQW30" s="93"/>
      <c r="AQX30" s="30"/>
      <c r="ARC30" s="93"/>
      <c r="ARD30" s="30"/>
      <c r="ARI30" s="93"/>
      <c r="ARJ30" s="30"/>
      <c r="ARO30" s="93"/>
      <c r="ARP30" s="30"/>
      <c r="ARU30" s="93"/>
      <c r="ARV30" s="30"/>
      <c r="ASA30" s="93"/>
      <c r="ASB30" s="30"/>
      <c r="ASG30" s="93"/>
      <c r="ASH30" s="30"/>
      <c r="ASM30" s="93"/>
      <c r="ASN30" s="30"/>
      <c r="ASS30" s="93"/>
      <c r="AST30" s="30"/>
      <c r="ASY30" s="93"/>
      <c r="ASZ30" s="30"/>
      <c r="ATE30" s="93"/>
      <c r="ATF30" s="30"/>
      <c r="ATK30" s="93"/>
      <c r="ATL30" s="30"/>
      <c r="ATQ30" s="93"/>
      <c r="ATR30" s="30"/>
      <c r="ATW30" s="93"/>
      <c r="ATX30" s="30"/>
      <c r="AUC30" s="93"/>
      <c r="AUD30" s="30"/>
      <c r="AUI30" s="93"/>
      <c r="AUJ30" s="30"/>
      <c r="AUO30" s="93"/>
      <c r="AUP30" s="30"/>
      <c r="AUU30" s="93"/>
      <c r="AUV30" s="30"/>
      <c r="AVA30" s="93"/>
      <c r="AVB30" s="30"/>
      <c r="AVG30" s="93"/>
      <c r="AVH30" s="30"/>
      <c r="AVM30" s="93"/>
      <c r="AVN30" s="30"/>
      <c r="AVS30" s="93"/>
      <c r="AVT30" s="30"/>
      <c r="AVY30" s="93"/>
      <c r="AVZ30" s="30"/>
      <c r="AWE30" s="93"/>
      <c r="AWF30" s="30"/>
      <c r="AWK30" s="93"/>
      <c r="AWL30" s="30"/>
      <c r="AWQ30" s="93"/>
      <c r="AWR30" s="30"/>
      <c r="AWW30" s="93"/>
      <c r="AWX30" s="30"/>
      <c r="AXC30" s="93"/>
      <c r="AXD30" s="30"/>
      <c r="AXI30" s="93"/>
      <c r="AXJ30" s="30"/>
      <c r="AXO30" s="93"/>
      <c r="AXP30" s="30"/>
      <c r="AXU30" s="93"/>
      <c r="AXV30" s="30"/>
      <c r="AYA30" s="93"/>
      <c r="AYB30" s="30"/>
      <c r="AYG30" s="93"/>
      <c r="AYH30" s="30"/>
      <c r="AYM30" s="93"/>
      <c r="AYN30" s="30"/>
      <c r="AYS30" s="93"/>
      <c r="AYT30" s="30"/>
      <c r="AYY30" s="93"/>
      <c r="AYZ30" s="30"/>
      <c r="AZE30" s="93"/>
      <c r="AZF30" s="30"/>
      <c r="AZK30" s="93"/>
      <c r="AZL30" s="30"/>
      <c r="AZQ30" s="93"/>
      <c r="AZR30" s="30"/>
      <c r="AZW30" s="93"/>
      <c r="AZX30" s="30"/>
      <c r="BAC30" s="93"/>
      <c r="BAD30" s="30"/>
      <c r="BAI30" s="93"/>
      <c r="BAJ30" s="30"/>
      <c r="BAO30" s="93"/>
      <c r="BAP30" s="30"/>
      <c r="BAU30" s="93"/>
      <c r="BAV30" s="30"/>
      <c r="BBA30" s="93"/>
      <c r="BBB30" s="30"/>
      <c r="BBG30" s="93"/>
      <c r="BBH30" s="30"/>
      <c r="BBM30" s="93"/>
      <c r="BBN30" s="30"/>
      <c r="BBS30" s="93"/>
      <c r="BBT30" s="30"/>
      <c r="BBY30" s="93"/>
      <c r="BBZ30" s="30"/>
      <c r="BCE30" s="93"/>
      <c r="BCF30" s="30"/>
      <c r="BCK30" s="93"/>
      <c r="BCL30" s="30"/>
      <c r="BCQ30" s="93"/>
      <c r="BCR30" s="30"/>
      <c r="BCW30" s="93"/>
      <c r="BCX30" s="30"/>
      <c r="BDC30" s="93"/>
      <c r="BDD30" s="30"/>
      <c r="BDI30" s="93"/>
      <c r="BDJ30" s="30"/>
      <c r="BDO30" s="93"/>
      <c r="BDP30" s="30"/>
      <c r="BDU30" s="93"/>
      <c r="BDV30" s="30"/>
      <c r="BEA30" s="93"/>
      <c r="BEB30" s="30"/>
      <c r="BEG30" s="93"/>
      <c r="BEH30" s="30"/>
      <c r="BEM30" s="93"/>
      <c r="BEN30" s="30"/>
      <c r="BES30" s="93"/>
      <c r="BET30" s="30"/>
      <c r="BEY30" s="93"/>
      <c r="BEZ30" s="30"/>
      <c r="BFE30" s="93"/>
      <c r="BFF30" s="30"/>
      <c r="BFK30" s="93"/>
      <c r="BFL30" s="30"/>
      <c r="BFQ30" s="93"/>
      <c r="BFR30" s="30"/>
      <c r="BFW30" s="93"/>
      <c r="BFX30" s="30"/>
      <c r="BGC30" s="93"/>
      <c r="BGD30" s="30"/>
      <c r="BGI30" s="93"/>
      <c r="BGJ30" s="30"/>
      <c r="BGO30" s="93"/>
      <c r="BGP30" s="30"/>
      <c r="BGU30" s="93"/>
      <c r="BGV30" s="30"/>
      <c r="BHA30" s="93"/>
      <c r="BHB30" s="30"/>
      <c r="BHG30" s="93"/>
      <c r="BHH30" s="30"/>
      <c r="BHM30" s="93"/>
      <c r="BHN30" s="30"/>
      <c r="BHS30" s="93"/>
      <c r="BHT30" s="30"/>
      <c r="BHY30" s="93"/>
      <c r="BHZ30" s="30"/>
      <c r="BIE30" s="93"/>
      <c r="BIF30" s="30"/>
      <c r="BIK30" s="93"/>
      <c r="BIL30" s="30"/>
      <c r="BIQ30" s="93"/>
      <c r="BIR30" s="30"/>
      <c r="BIW30" s="93"/>
      <c r="BIX30" s="30"/>
      <c r="BJC30" s="93"/>
      <c r="BJD30" s="30"/>
      <c r="BJI30" s="93"/>
      <c r="BJJ30" s="30"/>
      <c r="BJO30" s="93"/>
      <c r="BJP30" s="30"/>
      <c r="BJU30" s="93"/>
      <c r="BJV30" s="30"/>
      <c r="BKA30" s="93"/>
      <c r="BKB30" s="30"/>
      <c r="BKG30" s="93"/>
      <c r="BKH30" s="30"/>
      <c r="BKM30" s="93"/>
      <c r="BKN30" s="30"/>
      <c r="BKS30" s="93"/>
      <c r="BKT30" s="30"/>
      <c r="BKY30" s="93"/>
      <c r="BKZ30" s="30"/>
      <c r="BLE30" s="93"/>
      <c r="BLF30" s="30"/>
      <c r="BLK30" s="93"/>
      <c r="BLL30" s="30"/>
      <c r="BLQ30" s="93"/>
      <c r="BLR30" s="30"/>
      <c r="BLW30" s="93"/>
      <c r="BLX30" s="30"/>
      <c r="BMC30" s="93"/>
      <c r="BMD30" s="30"/>
      <c r="BMI30" s="93"/>
      <c r="BMJ30" s="30"/>
      <c r="BMO30" s="93"/>
      <c r="BMP30" s="30"/>
      <c r="BMU30" s="93"/>
      <c r="BMV30" s="30"/>
      <c r="BNA30" s="93"/>
      <c r="BNB30" s="30"/>
      <c r="BNG30" s="93"/>
      <c r="BNH30" s="30"/>
      <c r="BNM30" s="93"/>
      <c r="BNN30" s="30"/>
      <c r="BNS30" s="93"/>
      <c r="BNT30" s="30"/>
      <c r="BNY30" s="93"/>
      <c r="BNZ30" s="30"/>
      <c r="BOE30" s="93"/>
      <c r="BOF30" s="30"/>
      <c r="BOK30" s="93"/>
      <c r="BOL30" s="30"/>
      <c r="BOQ30" s="93"/>
      <c r="BOR30" s="30"/>
      <c r="BOW30" s="93"/>
      <c r="BOX30" s="30"/>
      <c r="BPC30" s="93"/>
      <c r="BPD30" s="30"/>
      <c r="BPI30" s="93"/>
      <c r="BPJ30" s="30"/>
      <c r="BPO30" s="93"/>
      <c r="BPP30" s="30"/>
      <c r="BPU30" s="93"/>
      <c r="BPV30" s="30"/>
      <c r="BQA30" s="93"/>
      <c r="BQB30" s="30"/>
      <c r="BQG30" s="93"/>
      <c r="BQH30" s="30"/>
      <c r="BQM30" s="93"/>
      <c r="BQN30" s="30"/>
      <c r="BQS30" s="93"/>
      <c r="BQT30" s="30"/>
      <c r="BQY30" s="93"/>
      <c r="BQZ30" s="30"/>
      <c r="BRE30" s="93"/>
      <c r="BRF30" s="30"/>
      <c r="BRK30" s="93"/>
      <c r="BRL30" s="30"/>
      <c r="BRQ30" s="93"/>
      <c r="BRR30" s="30"/>
      <c r="BRW30" s="93"/>
      <c r="BRX30" s="30"/>
      <c r="BSC30" s="93"/>
      <c r="BSD30" s="30"/>
      <c r="BSI30" s="93"/>
      <c r="BSJ30" s="30"/>
      <c r="BSO30" s="93"/>
      <c r="BSP30" s="30"/>
      <c r="BSU30" s="93"/>
      <c r="BSV30" s="30"/>
      <c r="BTA30" s="93"/>
      <c r="BTB30" s="30"/>
      <c r="BTG30" s="93"/>
      <c r="BTH30" s="30"/>
      <c r="BTM30" s="93"/>
      <c r="BTN30" s="30"/>
      <c r="BTS30" s="93"/>
      <c r="BTT30" s="30"/>
      <c r="BTY30" s="93"/>
      <c r="BTZ30" s="30"/>
      <c r="BUE30" s="93"/>
      <c r="BUF30" s="30"/>
      <c r="BUK30" s="93"/>
      <c r="BUL30" s="30"/>
      <c r="BUQ30" s="93"/>
      <c r="BUR30" s="30"/>
      <c r="BUW30" s="93"/>
      <c r="BUX30" s="30"/>
      <c r="BVC30" s="93"/>
      <c r="BVD30" s="30"/>
      <c r="BVI30" s="93"/>
      <c r="BVJ30" s="30"/>
      <c r="BVO30" s="93"/>
      <c r="BVP30" s="30"/>
      <c r="BVU30" s="93"/>
      <c r="BVV30" s="30"/>
      <c r="BWA30" s="93"/>
      <c r="BWB30" s="30"/>
      <c r="BWG30" s="93"/>
      <c r="BWH30" s="30"/>
      <c r="BWM30" s="93"/>
      <c r="BWN30" s="30"/>
      <c r="BWS30" s="93"/>
      <c r="BWT30" s="30"/>
      <c r="BWY30" s="93"/>
      <c r="BWZ30" s="30"/>
      <c r="BXE30" s="93"/>
      <c r="BXF30" s="30"/>
      <c r="BXK30" s="93"/>
      <c r="BXL30" s="30"/>
      <c r="BXQ30" s="93"/>
      <c r="BXR30" s="30"/>
      <c r="BXW30" s="93"/>
      <c r="BXX30" s="30"/>
      <c r="BYC30" s="93"/>
      <c r="BYD30" s="30"/>
      <c r="BYI30" s="93"/>
      <c r="BYJ30" s="30"/>
      <c r="BYO30" s="93"/>
      <c r="BYP30" s="30"/>
      <c r="BYU30" s="93"/>
      <c r="BYV30" s="30"/>
      <c r="BZA30" s="93"/>
      <c r="BZB30" s="30"/>
      <c r="BZG30" s="93"/>
      <c r="BZH30" s="30"/>
      <c r="BZM30" s="93"/>
      <c r="BZN30" s="30"/>
      <c r="BZS30" s="93"/>
      <c r="BZT30" s="30"/>
      <c r="BZY30" s="93"/>
      <c r="BZZ30" s="30"/>
      <c r="CAE30" s="93"/>
      <c r="CAF30" s="30"/>
      <c r="CAK30" s="93"/>
      <c r="CAL30" s="30"/>
      <c r="CAQ30" s="93"/>
      <c r="CAR30" s="30"/>
      <c r="CAW30" s="93"/>
      <c r="CAX30" s="30"/>
      <c r="CBC30" s="93"/>
      <c r="CBD30" s="30"/>
      <c r="CBI30" s="93"/>
      <c r="CBJ30" s="30"/>
      <c r="CBO30" s="93"/>
      <c r="CBP30" s="30"/>
      <c r="CBU30" s="93"/>
      <c r="CBV30" s="30"/>
      <c r="CCA30" s="93"/>
      <c r="CCB30" s="30"/>
      <c r="CCG30" s="93"/>
      <c r="CCH30" s="30"/>
      <c r="CCM30" s="93"/>
      <c r="CCN30" s="30"/>
      <c r="CCS30" s="93"/>
      <c r="CCT30" s="30"/>
      <c r="CCY30" s="93"/>
      <c r="CCZ30" s="30"/>
      <c r="CDE30" s="93"/>
      <c r="CDF30" s="30"/>
      <c r="CDK30" s="93"/>
      <c r="CDL30" s="30"/>
      <c r="CDQ30" s="93"/>
      <c r="CDR30" s="30"/>
      <c r="CDW30" s="93"/>
      <c r="CDX30" s="30"/>
      <c r="CEC30" s="93"/>
      <c r="CED30" s="30"/>
      <c r="CEI30" s="93"/>
      <c r="CEJ30" s="30"/>
      <c r="CEO30" s="93"/>
      <c r="CEP30" s="30"/>
      <c r="CEU30" s="93"/>
      <c r="CEV30" s="30"/>
      <c r="CFA30" s="93"/>
      <c r="CFB30" s="30"/>
      <c r="CFG30" s="93"/>
      <c r="CFH30" s="30"/>
      <c r="CFM30" s="93"/>
      <c r="CFN30" s="30"/>
      <c r="CFS30" s="93"/>
      <c r="CFT30" s="30"/>
      <c r="CFY30" s="93"/>
      <c r="CFZ30" s="30"/>
      <c r="CGE30" s="93"/>
      <c r="CGF30" s="30"/>
      <c r="CGK30" s="93"/>
      <c r="CGL30" s="30"/>
      <c r="CGQ30" s="93"/>
      <c r="CGR30" s="30"/>
      <c r="CGW30" s="93"/>
      <c r="CGX30" s="30"/>
      <c r="CHC30" s="93"/>
      <c r="CHD30" s="30"/>
      <c r="CHI30" s="93"/>
      <c r="CHJ30" s="30"/>
      <c r="CHO30" s="93"/>
      <c r="CHP30" s="30"/>
      <c r="CHU30" s="93"/>
      <c r="CHV30" s="30"/>
      <c r="CIA30" s="93"/>
      <c r="CIB30" s="30"/>
      <c r="CIG30" s="93"/>
      <c r="CIH30" s="30"/>
      <c r="CIM30" s="93"/>
      <c r="CIN30" s="30"/>
      <c r="CIS30" s="93"/>
      <c r="CIT30" s="30"/>
      <c r="CIY30" s="93"/>
      <c r="CIZ30" s="30"/>
      <c r="CJE30" s="93"/>
      <c r="CJF30" s="30"/>
      <c r="CJK30" s="93"/>
      <c r="CJL30" s="30"/>
      <c r="CJQ30" s="93"/>
      <c r="CJR30" s="30"/>
      <c r="CJW30" s="93"/>
      <c r="CJX30" s="30"/>
      <c r="CKC30" s="93"/>
      <c r="CKD30" s="30"/>
      <c r="CKI30" s="93"/>
      <c r="CKJ30" s="30"/>
      <c r="CKO30" s="93"/>
      <c r="CKP30" s="30"/>
      <c r="CKU30" s="93"/>
      <c r="CKV30" s="30"/>
      <c r="CLA30" s="93"/>
      <c r="CLB30" s="30"/>
      <c r="CLG30" s="93"/>
      <c r="CLH30" s="30"/>
      <c r="CLM30" s="93"/>
      <c r="CLN30" s="30"/>
      <c r="CLS30" s="93"/>
      <c r="CLT30" s="30"/>
      <c r="CLY30" s="93"/>
      <c r="CLZ30" s="30"/>
      <c r="CME30" s="93"/>
      <c r="CMF30" s="30"/>
      <c r="CMK30" s="93"/>
      <c r="CML30" s="30"/>
      <c r="CMQ30" s="93"/>
      <c r="CMR30" s="30"/>
      <c r="CMW30" s="93"/>
      <c r="CMX30" s="30"/>
      <c r="CNC30" s="93"/>
      <c r="CND30" s="30"/>
      <c r="CNI30" s="93"/>
      <c r="CNJ30" s="30"/>
      <c r="CNO30" s="93"/>
      <c r="CNP30" s="30"/>
      <c r="CNU30" s="93"/>
      <c r="CNV30" s="30"/>
      <c r="COA30" s="93"/>
      <c r="COB30" s="30"/>
      <c r="COG30" s="93"/>
      <c r="COH30" s="30"/>
      <c r="COM30" s="93"/>
      <c r="CON30" s="30"/>
      <c r="COS30" s="93"/>
      <c r="COT30" s="30"/>
      <c r="COY30" s="93"/>
      <c r="COZ30" s="30"/>
      <c r="CPE30" s="93"/>
      <c r="CPF30" s="30"/>
      <c r="CPK30" s="93"/>
      <c r="CPL30" s="30"/>
      <c r="CPQ30" s="93"/>
      <c r="CPR30" s="30"/>
      <c r="CPW30" s="93"/>
      <c r="CPX30" s="30"/>
      <c r="CQC30" s="93"/>
      <c r="CQD30" s="30"/>
      <c r="CQI30" s="93"/>
      <c r="CQJ30" s="30"/>
      <c r="CQO30" s="93"/>
      <c r="CQP30" s="30"/>
      <c r="CQU30" s="93"/>
      <c r="CQV30" s="30"/>
      <c r="CRA30" s="93"/>
      <c r="CRB30" s="30"/>
      <c r="CRG30" s="93"/>
      <c r="CRH30" s="30"/>
      <c r="CRM30" s="93"/>
      <c r="CRN30" s="30"/>
      <c r="CRS30" s="93"/>
      <c r="CRT30" s="30"/>
      <c r="CRY30" s="93"/>
      <c r="CRZ30" s="30"/>
      <c r="CSE30" s="93"/>
      <c r="CSF30" s="30"/>
      <c r="CSK30" s="93"/>
      <c r="CSL30" s="30"/>
      <c r="CSQ30" s="93"/>
      <c r="CSR30" s="30"/>
      <c r="CSW30" s="93"/>
      <c r="CSX30" s="30"/>
      <c r="CTC30" s="93"/>
      <c r="CTD30" s="30"/>
      <c r="CTI30" s="93"/>
      <c r="CTJ30" s="30"/>
      <c r="CTO30" s="93"/>
      <c r="CTP30" s="30"/>
      <c r="CTU30" s="93"/>
      <c r="CTV30" s="30"/>
      <c r="CUA30" s="93"/>
      <c r="CUB30" s="30"/>
      <c r="CUG30" s="93"/>
      <c r="CUH30" s="30"/>
      <c r="CUM30" s="93"/>
      <c r="CUN30" s="30"/>
      <c r="CUS30" s="93"/>
      <c r="CUT30" s="30"/>
      <c r="CUY30" s="93"/>
      <c r="CUZ30" s="30"/>
      <c r="CVE30" s="93"/>
      <c r="CVF30" s="30"/>
      <c r="CVK30" s="93"/>
      <c r="CVL30" s="30"/>
      <c r="CVQ30" s="93"/>
      <c r="CVR30" s="30"/>
      <c r="CVW30" s="93"/>
      <c r="CVX30" s="30"/>
      <c r="CWC30" s="93"/>
      <c r="CWD30" s="30"/>
      <c r="CWI30" s="93"/>
      <c r="CWJ30" s="30"/>
      <c r="CWO30" s="93"/>
      <c r="CWP30" s="30"/>
      <c r="CWU30" s="93"/>
      <c r="CWV30" s="30"/>
      <c r="CXA30" s="93"/>
      <c r="CXB30" s="30"/>
      <c r="CXG30" s="93"/>
      <c r="CXH30" s="30"/>
      <c r="CXM30" s="93"/>
      <c r="CXN30" s="30"/>
      <c r="CXS30" s="93"/>
      <c r="CXT30" s="30"/>
      <c r="CXY30" s="93"/>
      <c r="CXZ30" s="30"/>
      <c r="CYE30" s="93"/>
      <c r="CYF30" s="30"/>
      <c r="CYK30" s="93"/>
      <c r="CYL30" s="30"/>
      <c r="CYQ30" s="93"/>
      <c r="CYR30" s="30"/>
      <c r="CYW30" s="93"/>
      <c r="CYX30" s="30"/>
      <c r="CZC30" s="93"/>
      <c r="CZD30" s="30"/>
      <c r="CZI30" s="93"/>
      <c r="CZJ30" s="30"/>
      <c r="CZO30" s="93"/>
      <c r="CZP30" s="30"/>
      <c r="CZU30" s="93"/>
      <c r="CZV30" s="30"/>
      <c r="DAA30" s="93"/>
      <c r="DAB30" s="30"/>
      <c r="DAG30" s="93"/>
      <c r="DAH30" s="30"/>
      <c r="DAM30" s="93"/>
      <c r="DAN30" s="30"/>
      <c r="DAS30" s="93"/>
      <c r="DAT30" s="30"/>
      <c r="DAY30" s="93"/>
      <c r="DAZ30" s="30"/>
      <c r="DBE30" s="93"/>
      <c r="DBF30" s="30"/>
      <c r="DBK30" s="93"/>
      <c r="DBL30" s="30"/>
      <c r="DBQ30" s="93"/>
      <c r="DBR30" s="30"/>
      <c r="DBW30" s="93"/>
      <c r="DBX30" s="30"/>
      <c r="DCC30" s="93"/>
      <c r="DCD30" s="30"/>
      <c r="DCI30" s="93"/>
      <c r="DCJ30" s="30"/>
      <c r="DCO30" s="93"/>
      <c r="DCP30" s="30"/>
      <c r="DCU30" s="93"/>
      <c r="DCV30" s="30"/>
      <c r="DDA30" s="93"/>
      <c r="DDB30" s="30"/>
      <c r="DDG30" s="93"/>
      <c r="DDH30" s="30"/>
      <c r="DDM30" s="93"/>
      <c r="DDN30" s="30"/>
      <c r="DDS30" s="93"/>
      <c r="DDT30" s="30"/>
      <c r="DDY30" s="93"/>
      <c r="DDZ30" s="30"/>
      <c r="DEE30" s="93"/>
      <c r="DEF30" s="30"/>
      <c r="DEK30" s="93"/>
      <c r="DEL30" s="30"/>
      <c r="DEQ30" s="93"/>
      <c r="DER30" s="30"/>
      <c r="DEW30" s="93"/>
      <c r="DEX30" s="30"/>
      <c r="DFC30" s="93"/>
      <c r="DFD30" s="30"/>
      <c r="DFI30" s="93"/>
      <c r="DFJ30" s="30"/>
      <c r="DFO30" s="93"/>
      <c r="DFP30" s="30"/>
      <c r="DFU30" s="93"/>
      <c r="DFV30" s="30"/>
      <c r="DGA30" s="93"/>
      <c r="DGB30" s="30"/>
      <c r="DGG30" s="93"/>
      <c r="DGH30" s="30"/>
      <c r="DGM30" s="93"/>
      <c r="DGN30" s="30"/>
      <c r="DGS30" s="93"/>
      <c r="DGT30" s="30"/>
      <c r="DGY30" s="93"/>
      <c r="DGZ30" s="30"/>
      <c r="DHE30" s="93"/>
      <c r="DHF30" s="30"/>
      <c r="DHK30" s="93"/>
      <c r="DHL30" s="30"/>
      <c r="DHQ30" s="93"/>
      <c r="DHR30" s="30"/>
      <c r="DHW30" s="93"/>
      <c r="DHX30" s="30"/>
      <c r="DIC30" s="93"/>
      <c r="DID30" s="30"/>
      <c r="DII30" s="93"/>
      <c r="DIJ30" s="30"/>
      <c r="DIO30" s="93"/>
      <c r="DIP30" s="30"/>
      <c r="DIU30" s="93"/>
      <c r="DIV30" s="30"/>
      <c r="DJA30" s="93"/>
      <c r="DJB30" s="30"/>
      <c r="DJG30" s="93"/>
      <c r="DJH30" s="30"/>
      <c r="DJM30" s="93"/>
      <c r="DJN30" s="30"/>
      <c r="DJS30" s="93"/>
      <c r="DJT30" s="30"/>
      <c r="DJY30" s="93"/>
      <c r="DJZ30" s="30"/>
      <c r="DKE30" s="93"/>
      <c r="DKF30" s="30"/>
      <c r="DKK30" s="93"/>
      <c r="DKL30" s="30"/>
      <c r="DKQ30" s="93"/>
      <c r="DKR30" s="30"/>
      <c r="DKW30" s="93"/>
      <c r="DKX30" s="30"/>
      <c r="DLC30" s="93"/>
      <c r="DLD30" s="30"/>
      <c r="DLI30" s="93"/>
      <c r="DLJ30" s="30"/>
      <c r="DLO30" s="93"/>
      <c r="DLP30" s="30"/>
      <c r="DLU30" s="93"/>
      <c r="DLV30" s="30"/>
      <c r="DMA30" s="93"/>
      <c r="DMB30" s="30"/>
      <c r="DMG30" s="93"/>
      <c r="DMH30" s="30"/>
      <c r="DMM30" s="93"/>
      <c r="DMN30" s="30"/>
      <c r="DMS30" s="93"/>
      <c r="DMT30" s="30"/>
      <c r="DMY30" s="93"/>
      <c r="DMZ30" s="30"/>
      <c r="DNE30" s="93"/>
      <c r="DNF30" s="30"/>
      <c r="DNK30" s="93"/>
      <c r="DNL30" s="30"/>
      <c r="DNQ30" s="93"/>
      <c r="DNR30" s="30"/>
      <c r="DNW30" s="93"/>
      <c r="DNX30" s="30"/>
      <c r="DOC30" s="93"/>
      <c r="DOD30" s="30"/>
      <c r="DOI30" s="93"/>
      <c r="DOJ30" s="30"/>
      <c r="DOO30" s="93"/>
      <c r="DOP30" s="30"/>
      <c r="DOU30" s="93"/>
      <c r="DOV30" s="30"/>
      <c r="DPA30" s="93"/>
      <c r="DPB30" s="30"/>
      <c r="DPG30" s="93"/>
      <c r="DPH30" s="30"/>
      <c r="DPM30" s="93"/>
      <c r="DPN30" s="30"/>
      <c r="DPS30" s="93"/>
      <c r="DPT30" s="30"/>
      <c r="DPY30" s="93"/>
      <c r="DPZ30" s="30"/>
      <c r="DQE30" s="93"/>
      <c r="DQF30" s="30"/>
      <c r="DQK30" s="93"/>
      <c r="DQL30" s="30"/>
      <c r="DQQ30" s="93"/>
      <c r="DQR30" s="30"/>
      <c r="DQW30" s="93"/>
      <c r="DQX30" s="30"/>
      <c r="DRC30" s="93"/>
      <c r="DRD30" s="30"/>
      <c r="DRI30" s="93"/>
      <c r="DRJ30" s="30"/>
      <c r="DRO30" s="93"/>
      <c r="DRP30" s="30"/>
      <c r="DRU30" s="93"/>
      <c r="DRV30" s="30"/>
      <c r="DSA30" s="93"/>
      <c r="DSB30" s="30"/>
      <c r="DSG30" s="93"/>
      <c r="DSH30" s="30"/>
      <c r="DSM30" s="93"/>
      <c r="DSN30" s="30"/>
      <c r="DSS30" s="93"/>
      <c r="DST30" s="30"/>
      <c r="DSY30" s="93"/>
      <c r="DSZ30" s="30"/>
      <c r="DTE30" s="93"/>
      <c r="DTF30" s="30"/>
      <c r="DTK30" s="93"/>
      <c r="DTL30" s="30"/>
      <c r="DTQ30" s="93"/>
      <c r="DTR30" s="30"/>
      <c r="DTW30" s="93"/>
      <c r="DTX30" s="30"/>
      <c r="DUC30" s="93"/>
      <c r="DUD30" s="30"/>
      <c r="DUI30" s="93"/>
      <c r="DUJ30" s="30"/>
      <c r="DUO30" s="93"/>
      <c r="DUP30" s="30"/>
      <c r="DUU30" s="93"/>
      <c r="DUV30" s="30"/>
      <c r="DVA30" s="93"/>
      <c r="DVB30" s="30"/>
      <c r="DVG30" s="93"/>
      <c r="DVH30" s="30"/>
      <c r="DVM30" s="93"/>
      <c r="DVN30" s="30"/>
      <c r="DVS30" s="93"/>
      <c r="DVT30" s="30"/>
      <c r="DVY30" s="93"/>
      <c r="DVZ30" s="30"/>
      <c r="DWE30" s="93"/>
      <c r="DWF30" s="30"/>
      <c r="DWK30" s="93"/>
      <c r="DWL30" s="30"/>
      <c r="DWQ30" s="93"/>
      <c r="DWR30" s="30"/>
      <c r="DWW30" s="93"/>
      <c r="DWX30" s="30"/>
      <c r="DXC30" s="93"/>
      <c r="DXD30" s="30"/>
      <c r="DXI30" s="93"/>
      <c r="DXJ30" s="30"/>
      <c r="DXO30" s="93"/>
      <c r="DXP30" s="30"/>
      <c r="DXU30" s="93"/>
      <c r="DXV30" s="30"/>
      <c r="DYA30" s="93"/>
      <c r="DYB30" s="30"/>
      <c r="DYG30" s="93"/>
      <c r="DYH30" s="30"/>
      <c r="DYM30" s="93"/>
      <c r="DYN30" s="30"/>
      <c r="DYS30" s="93"/>
      <c r="DYT30" s="30"/>
      <c r="DYY30" s="93"/>
      <c r="DYZ30" s="30"/>
      <c r="DZE30" s="93"/>
      <c r="DZF30" s="30"/>
      <c r="DZK30" s="93"/>
      <c r="DZL30" s="30"/>
      <c r="DZQ30" s="93"/>
      <c r="DZR30" s="30"/>
      <c r="DZW30" s="93"/>
      <c r="DZX30" s="30"/>
      <c r="EAC30" s="93"/>
      <c r="EAD30" s="30"/>
      <c r="EAI30" s="93"/>
      <c r="EAJ30" s="30"/>
      <c r="EAO30" s="93"/>
      <c r="EAP30" s="30"/>
      <c r="EAU30" s="93"/>
      <c r="EAV30" s="30"/>
      <c r="EBA30" s="93"/>
      <c r="EBB30" s="30"/>
      <c r="EBG30" s="93"/>
      <c r="EBH30" s="30"/>
      <c r="EBM30" s="93"/>
      <c r="EBN30" s="30"/>
      <c r="EBS30" s="93"/>
      <c r="EBT30" s="30"/>
      <c r="EBY30" s="93"/>
      <c r="EBZ30" s="30"/>
      <c r="ECE30" s="93"/>
      <c r="ECF30" s="30"/>
      <c r="ECK30" s="93"/>
      <c r="ECL30" s="30"/>
      <c r="ECQ30" s="93"/>
      <c r="ECR30" s="30"/>
      <c r="ECW30" s="93"/>
      <c r="ECX30" s="30"/>
      <c r="EDC30" s="93"/>
      <c r="EDD30" s="30"/>
      <c r="EDI30" s="93"/>
      <c r="EDJ30" s="30"/>
      <c r="EDO30" s="93"/>
      <c r="EDP30" s="30"/>
      <c r="EDU30" s="93"/>
      <c r="EDV30" s="30"/>
      <c r="EEA30" s="93"/>
      <c r="EEB30" s="30"/>
      <c r="EEG30" s="93"/>
      <c r="EEH30" s="30"/>
      <c r="EEM30" s="93"/>
      <c r="EEN30" s="30"/>
      <c r="EES30" s="93"/>
      <c r="EET30" s="30"/>
      <c r="EEY30" s="93"/>
      <c r="EEZ30" s="30"/>
      <c r="EFE30" s="93"/>
      <c r="EFF30" s="30"/>
      <c r="EFK30" s="93"/>
      <c r="EFL30" s="30"/>
      <c r="EFQ30" s="93"/>
      <c r="EFR30" s="30"/>
      <c r="EFW30" s="93"/>
      <c r="EFX30" s="30"/>
      <c r="EGC30" s="93"/>
      <c r="EGD30" s="30"/>
      <c r="EGI30" s="93"/>
      <c r="EGJ30" s="30"/>
      <c r="EGO30" s="93"/>
      <c r="EGP30" s="30"/>
      <c r="EGU30" s="93"/>
      <c r="EGV30" s="30"/>
      <c r="EHA30" s="93"/>
      <c r="EHB30" s="30"/>
      <c r="EHG30" s="93"/>
      <c r="EHH30" s="30"/>
      <c r="EHM30" s="93"/>
      <c r="EHN30" s="30"/>
      <c r="EHS30" s="93"/>
      <c r="EHT30" s="30"/>
      <c r="EHY30" s="93"/>
      <c r="EHZ30" s="30"/>
      <c r="EIE30" s="93"/>
      <c r="EIF30" s="30"/>
      <c r="EIK30" s="93"/>
      <c r="EIL30" s="30"/>
      <c r="EIQ30" s="93"/>
      <c r="EIR30" s="30"/>
      <c r="EIW30" s="93"/>
      <c r="EIX30" s="30"/>
      <c r="EJC30" s="93"/>
      <c r="EJD30" s="30"/>
      <c r="EJI30" s="93"/>
      <c r="EJJ30" s="30"/>
      <c r="EJO30" s="93"/>
      <c r="EJP30" s="30"/>
      <c r="EJU30" s="93"/>
      <c r="EJV30" s="30"/>
      <c r="EKA30" s="93"/>
      <c r="EKB30" s="30"/>
      <c r="EKG30" s="93"/>
      <c r="EKH30" s="30"/>
      <c r="EKM30" s="93"/>
      <c r="EKN30" s="30"/>
      <c r="EKS30" s="93"/>
      <c r="EKT30" s="30"/>
      <c r="EKY30" s="93"/>
      <c r="EKZ30" s="30"/>
      <c r="ELE30" s="93"/>
      <c r="ELF30" s="30"/>
      <c r="ELK30" s="93"/>
      <c r="ELL30" s="30"/>
      <c r="ELQ30" s="93"/>
      <c r="ELR30" s="30"/>
      <c r="ELW30" s="93"/>
      <c r="ELX30" s="30"/>
      <c r="EMC30" s="93"/>
      <c r="EMD30" s="30"/>
      <c r="EMI30" s="93"/>
      <c r="EMJ30" s="30"/>
      <c r="EMO30" s="93"/>
      <c r="EMP30" s="30"/>
      <c r="EMU30" s="93"/>
      <c r="EMV30" s="30"/>
      <c r="ENA30" s="93"/>
      <c r="ENB30" s="30"/>
      <c r="ENG30" s="93"/>
      <c r="ENH30" s="30"/>
      <c r="ENM30" s="93"/>
      <c r="ENN30" s="30"/>
      <c r="ENS30" s="93"/>
      <c r="ENT30" s="30"/>
      <c r="ENY30" s="93"/>
      <c r="ENZ30" s="30"/>
      <c r="EOE30" s="93"/>
      <c r="EOF30" s="30"/>
      <c r="EOK30" s="93"/>
      <c r="EOL30" s="30"/>
      <c r="EOQ30" s="93"/>
      <c r="EOR30" s="30"/>
      <c r="EOW30" s="93"/>
      <c r="EOX30" s="30"/>
      <c r="EPC30" s="93"/>
      <c r="EPD30" s="30"/>
      <c r="EPI30" s="93"/>
      <c r="EPJ30" s="30"/>
      <c r="EPO30" s="93"/>
      <c r="EPP30" s="30"/>
      <c r="EPU30" s="93"/>
      <c r="EPV30" s="30"/>
      <c r="EQA30" s="93"/>
      <c r="EQB30" s="30"/>
      <c r="EQG30" s="93"/>
      <c r="EQH30" s="30"/>
      <c r="EQM30" s="93"/>
      <c r="EQN30" s="30"/>
      <c r="EQS30" s="93"/>
      <c r="EQT30" s="30"/>
      <c r="EQY30" s="93"/>
      <c r="EQZ30" s="30"/>
      <c r="ERE30" s="93"/>
      <c r="ERF30" s="30"/>
      <c r="ERK30" s="93"/>
      <c r="ERL30" s="30"/>
      <c r="ERQ30" s="93"/>
      <c r="ERR30" s="30"/>
      <c r="ERW30" s="93"/>
      <c r="ERX30" s="30"/>
      <c r="ESC30" s="93"/>
      <c r="ESD30" s="30"/>
      <c r="ESI30" s="93"/>
      <c r="ESJ30" s="30"/>
      <c r="ESO30" s="93"/>
      <c r="ESP30" s="30"/>
      <c r="ESU30" s="93"/>
      <c r="ESV30" s="30"/>
      <c r="ETA30" s="93"/>
      <c r="ETB30" s="30"/>
      <c r="ETG30" s="93"/>
      <c r="ETH30" s="30"/>
      <c r="ETM30" s="93"/>
      <c r="ETN30" s="30"/>
      <c r="ETS30" s="93"/>
      <c r="ETT30" s="30"/>
      <c r="ETY30" s="93"/>
      <c r="ETZ30" s="30"/>
      <c r="EUE30" s="93"/>
      <c r="EUF30" s="30"/>
      <c r="EUK30" s="93"/>
      <c r="EUL30" s="30"/>
      <c r="EUQ30" s="93"/>
      <c r="EUR30" s="30"/>
      <c r="EUW30" s="93"/>
      <c r="EUX30" s="30"/>
      <c r="EVC30" s="93"/>
      <c r="EVD30" s="30"/>
      <c r="EVI30" s="93"/>
      <c r="EVJ30" s="30"/>
      <c r="EVO30" s="93"/>
      <c r="EVP30" s="30"/>
      <c r="EVU30" s="93"/>
      <c r="EVV30" s="30"/>
      <c r="EWA30" s="93"/>
      <c r="EWB30" s="30"/>
      <c r="EWG30" s="93"/>
      <c r="EWH30" s="30"/>
      <c r="EWM30" s="93"/>
      <c r="EWN30" s="30"/>
      <c r="EWS30" s="93"/>
      <c r="EWT30" s="30"/>
      <c r="EWY30" s="93"/>
      <c r="EWZ30" s="30"/>
      <c r="EXE30" s="93"/>
      <c r="EXF30" s="30"/>
      <c r="EXK30" s="93"/>
      <c r="EXL30" s="30"/>
      <c r="EXQ30" s="93"/>
      <c r="EXR30" s="30"/>
      <c r="EXW30" s="93"/>
      <c r="EXX30" s="30"/>
      <c r="EYC30" s="93"/>
      <c r="EYD30" s="30"/>
      <c r="EYI30" s="93"/>
      <c r="EYJ30" s="30"/>
      <c r="EYO30" s="93"/>
      <c r="EYP30" s="30"/>
      <c r="EYU30" s="93"/>
      <c r="EYV30" s="30"/>
      <c r="EZA30" s="93"/>
      <c r="EZB30" s="30"/>
      <c r="EZG30" s="93"/>
      <c r="EZH30" s="30"/>
      <c r="EZM30" s="93"/>
      <c r="EZN30" s="30"/>
      <c r="EZS30" s="93"/>
      <c r="EZT30" s="30"/>
      <c r="EZY30" s="93"/>
      <c r="EZZ30" s="30"/>
      <c r="FAE30" s="93"/>
      <c r="FAF30" s="30"/>
      <c r="FAK30" s="93"/>
      <c r="FAL30" s="30"/>
      <c r="FAQ30" s="93"/>
      <c r="FAR30" s="30"/>
      <c r="FAW30" s="93"/>
      <c r="FAX30" s="30"/>
      <c r="FBC30" s="93"/>
      <c r="FBD30" s="30"/>
      <c r="FBI30" s="93"/>
      <c r="FBJ30" s="30"/>
      <c r="FBO30" s="93"/>
      <c r="FBP30" s="30"/>
      <c r="FBU30" s="93"/>
      <c r="FBV30" s="30"/>
      <c r="FCA30" s="93"/>
      <c r="FCB30" s="30"/>
      <c r="FCG30" s="93"/>
      <c r="FCH30" s="30"/>
      <c r="FCM30" s="93"/>
      <c r="FCN30" s="30"/>
      <c r="FCS30" s="93"/>
      <c r="FCT30" s="30"/>
      <c r="FCY30" s="93"/>
      <c r="FCZ30" s="30"/>
      <c r="FDE30" s="93"/>
      <c r="FDF30" s="30"/>
      <c r="FDK30" s="93"/>
      <c r="FDL30" s="30"/>
      <c r="FDQ30" s="93"/>
      <c r="FDR30" s="30"/>
      <c r="FDW30" s="93"/>
      <c r="FDX30" s="30"/>
      <c r="FEC30" s="93"/>
      <c r="FED30" s="30"/>
      <c r="FEI30" s="93"/>
      <c r="FEJ30" s="30"/>
      <c r="FEO30" s="93"/>
      <c r="FEP30" s="30"/>
      <c r="FEU30" s="93"/>
      <c r="FEV30" s="30"/>
      <c r="FFA30" s="93"/>
      <c r="FFB30" s="30"/>
      <c r="FFG30" s="93"/>
      <c r="FFH30" s="30"/>
      <c r="FFM30" s="93"/>
      <c r="FFN30" s="30"/>
      <c r="FFS30" s="93"/>
      <c r="FFT30" s="30"/>
      <c r="FFY30" s="93"/>
      <c r="FFZ30" s="30"/>
      <c r="FGE30" s="93"/>
      <c r="FGF30" s="30"/>
      <c r="FGK30" s="93"/>
      <c r="FGL30" s="30"/>
      <c r="FGQ30" s="93"/>
      <c r="FGR30" s="30"/>
      <c r="FGW30" s="93"/>
      <c r="FGX30" s="30"/>
      <c r="FHC30" s="93"/>
      <c r="FHD30" s="30"/>
      <c r="FHI30" s="93"/>
      <c r="FHJ30" s="30"/>
      <c r="FHO30" s="93"/>
      <c r="FHP30" s="30"/>
      <c r="FHU30" s="93"/>
      <c r="FHV30" s="30"/>
      <c r="FIA30" s="93"/>
      <c r="FIB30" s="30"/>
      <c r="FIG30" s="93"/>
      <c r="FIH30" s="30"/>
      <c r="FIM30" s="93"/>
      <c r="FIN30" s="30"/>
      <c r="FIS30" s="93"/>
      <c r="FIT30" s="30"/>
      <c r="FIY30" s="93"/>
      <c r="FIZ30" s="30"/>
      <c r="FJE30" s="93"/>
      <c r="FJF30" s="30"/>
      <c r="FJK30" s="93"/>
      <c r="FJL30" s="30"/>
      <c r="FJQ30" s="93"/>
      <c r="FJR30" s="30"/>
      <c r="FJW30" s="93"/>
      <c r="FJX30" s="30"/>
      <c r="FKC30" s="93"/>
      <c r="FKD30" s="30"/>
      <c r="FKI30" s="93"/>
      <c r="FKJ30" s="30"/>
      <c r="FKO30" s="93"/>
      <c r="FKP30" s="30"/>
      <c r="FKU30" s="93"/>
      <c r="FKV30" s="30"/>
      <c r="FLA30" s="93"/>
      <c r="FLB30" s="30"/>
      <c r="FLG30" s="93"/>
      <c r="FLH30" s="30"/>
      <c r="FLM30" s="93"/>
      <c r="FLN30" s="30"/>
      <c r="FLS30" s="93"/>
      <c r="FLT30" s="30"/>
      <c r="FLY30" s="93"/>
      <c r="FLZ30" s="30"/>
      <c r="FME30" s="93"/>
      <c r="FMF30" s="30"/>
      <c r="FMK30" s="93"/>
      <c r="FML30" s="30"/>
      <c r="FMQ30" s="93"/>
      <c r="FMR30" s="30"/>
      <c r="FMW30" s="93"/>
      <c r="FMX30" s="30"/>
      <c r="FNC30" s="93"/>
      <c r="FND30" s="30"/>
      <c r="FNI30" s="93"/>
      <c r="FNJ30" s="30"/>
      <c r="FNO30" s="93"/>
      <c r="FNP30" s="30"/>
      <c r="FNU30" s="93"/>
      <c r="FNV30" s="30"/>
      <c r="FOA30" s="93"/>
      <c r="FOB30" s="30"/>
      <c r="FOG30" s="93"/>
      <c r="FOH30" s="30"/>
      <c r="FOM30" s="93"/>
      <c r="FON30" s="30"/>
      <c r="FOS30" s="93"/>
      <c r="FOT30" s="30"/>
      <c r="FOY30" s="93"/>
      <c r="FOZ30" s="30"/>
      <c r="FPE30" s="93"/>
      <c r="FPF30" s="30"/>
      <c r="FPK30" s="93"/>
      <c r="FPL30" s="30"/>
      <c r="FPQ30" s="93"/>
      <c r="FPR30" s="30"/>
      <c r="FPW30" s="93"/>
      <c r="FPX30" s="30"/>
      <c r="FQC30" s="93"/>
      <c r="FQD30" s="30"/>
      <c r="FQI30" s="93"/>
      <c r="FQJ30" s="30"/>
      <c r="FQO30" s="93"/>
      <c r="FQP30" s="30"/>
      <c r="FQU30" s="93"/>
      <c r="FQV30" s="30"/>
      <c r="FRA30" s="93"/>
      <c r="FRB30" s="30"/>
      <c r="FRG30" s="93"/>
      <c r="FRH30" s="30"/>
      <c r="FRM30" s="93"/>
      <c r="FRN30" s="30"/>
      <c r="FRS30" s="93"/>
      <c r="FRT30" s="30"/>
      <c r="FRY30" s="93"/>
      <c r="FRZ30" s="30"/>
      <c r="FSE30" s="93"/>
      <c r="FSF30" s="30"/>
      <c r="FSK30" s="93"/>
      <c r="FSL30" s="30"/>
      <c r="FSQ30" s="93"/>
      <c r="FSR30" s="30"/>
      <c r="FSW30" s="93"/>
      <c r="FSX30" s="30"/>
      <c r="FTC30" s="93"/>
      <c r="FTD30" s="30"/>
      <c r="FTI30" s="93"/>
      <c r="FTJ30" s="30"/>
      <c r="FTO30" s="93"/>
      <c r="FTP30" s="30"/>
      <c r="FTU30" s="93"/>
      <c r="FTV30" s="30"/>
      <c r="FUA30" s="93"/>
      <c r="FUB30" s="30"/>
      <c r="FUG30" s="93"/>
      <c r="FUH30" s="30"/>
      <c r="FUM30" s="93"/>
      <c r="FUN30" s="30"/>
      <c r="FUS30" s="93"/>
      <c r="FUT30" s="30"/>
      <c r="FUY30" s="93"/>
      <c r="FUZ30" s="30"/>
      <c r="FVE30" s="93"/>
      <c r="FVF30" s="30"/>
      <c r="FVK30" s="93"/>
      <c r="FVL30" s="30"/>
      <c r="FVQ30" s="93"/>
      <c r="FVR30" s="30"/>
      <c r="FVW30" s="93"/>
      <c r="FVX30" s="30"/>
      <c r="FWC30" s="93"/>
      <c r="FWD30" s="30"/>
      <c r="FWI30" s="93"/>
      <c r="FWJ30" s="30"/>
      <c r="FWO30" s="93"/>
      <c r="FWP30" s="30"/>
      <c r="FWU30" s="93"/>
      <c r="FWV30" s="30"/>
      <c r="FXA30" s="93"/>
      <c r="FXB30" s="30"/>
      <c r="FXG30" s="93"/>
      <c r="FXH30" s="30"/>
      <c r="FXM30" s="93"/>
      <c r="FXN30" s="30"/>
      <c r="FXS30" s="93"/>
      <c r="FXT30" s="30"/>
      <c r="FXY30" s="93"/>
      <c r="FXZ30" s="30"/>
      <c r="FYE30" s="93"/>
      <c r="FYF30" s="30"/>
      <c r="FYK30" s="93"/>
      <c r="FYL30" s="30"/>
      <c r="FYQ30" s="93"/>
      <c r="FYR30" s="30"/>
      <c r="FYW30" s="93"/>
      <c r="FYX30" s="30"/>
      <c r="FZC30" s="93"/>
      <c r="FZD30" s="30"/>
      <c r="FZI30" s="93"/>
      <c r="FZJ30" s="30"/>
      <c r="FZO30" s="93"/>
      <c r="FZP30" s="30"/>
      <c r="FZU30" s="93"/>
      <c r="FZV30" s="30"/>
      <c r="GAA30" s="93"/>
      <c r="GAB30" s="30"/>
      <c r="GAG30" s="93"/>
      <c r="GAH30" s="30"/>
      <c r="GAM30" s="93"/>
      <c r="GAN30" s="30"/>
      <c r="GAS30" s="93"/>
      <c r="GAT30" s="30"/>
      <c r="GAY30" s="93"/>
      <c r="GAZ30" s="30"/>
      <c r="GBE30" s="93"/>
      <c r="GBF30" s="30"/>
      <c r="GBK30" s="93"/>
      <c r="GBL30" s="30"/>
      <c r="GBQ30" s="93"/>
      <c r="GBR30" s="30"/>
      <c r="GBW30" s="93"/>
      <c r="GBX30" s="30"/>
      <c r="GCC30" s="93"/>
      <c r="GCD30" s="30"/>
      <c r="GCI30" s="93"/>
      <c r="GCJ30" s="30"/>
      <c r="GCO30" s="93"/>
      <c r="GCP30" s="30"/>
      <c r="GCU30" s="93"/>
      <c r="GCV30" s="30"/>
      <c r="GDA30" s="93"/>
      <c r="GDB30" s="30"/>
      <c r="GDG30" s="93"/>
      <c r="GDH30" s="30"/>
      <c r="GDM30" s="93"/>
      <c r="GDN30" s="30"/>
      <c r="GDS30" s="93"/>
      <c r="GDT30" s="30"/>
      <c r="GDY30" s="93"/>
      <c r="GDZ30" s="30"/>
      <c r="GEE30" s="93"/>
      <c r="GEF30" s="30"/>
      <c r="GEK30" s="93"/>
      <c r="GEL30" s="30"/>
      <c r="GEQ30" s="93"/>
      <c r="GER30" s="30"/>
      <c r="GEW30" s="93"/>
      <c r="GEX30" s="30"/>
      <c r="GFC30" s="93"/>
      <c r="GFD30" s="30"/>
      <c r="GFI30" s="93"/>
      <c r="GFJ30" s="30"/>
      <c r="GFO30" s="93"/>
      <c r="GFP30" s="30"/>
      <c r="GFU30" s="93"/>
      <c r="GFV30" s="30"/>
      <c r="GGA30" s="93"/>
      <c r="GGB30" s="30"/>
      <c r="GGG30" s="93"/>
      <c r="GGH30" s="30"/>
      <c r="GGM30" s="93"/>
      <c r="GGN30" s="30"/>
      <c r="GGS30" s="93"/>
      <c r="GGT30" s="30"/>
      <c r="GGY30" s="93"/>
      <c r="GGZ30" s="30"/>
      <c r="GHE30" s="93"/>
      <c r="GHF30" s="30"/>
      <c r="GHK30" s="93"/>
      <c r="GHL30" s="30"/>
      <c r="GHQ30" s="93"/>
      <c r="GHR30" s="30"/>
      <c r="GHW30" s="93"/>
      <c r="GHX30" s="30"/>
      <c r="GIC30" s="93"/>
      <c r="GID30" s="30"/>
      <c r="GII30" s="93"/>
      <c r="GIJ30" s="30"/>
      <c r="GIO30" s="93"/>
      <c r="GIP30" s="30"/>
      <c r="GIU30" s="93"/>
      <c r="GIV30" s="30"/>
      <c r="GJA30" s="93"/>
      <c r="GJB30" s="30"/>
      <c r="GJG30" s="93"/>
      <c r="GJH30" s="30"/>
      <c r="GJM30" s="93"/>
      <c r="GJN30" s="30"/>
      <c r="GJS30" s="93"/>
      <c r="GJT30" s="30"/>
      <c r="GJY30" s="93"/>
      <c r="GJZ30" s="30"/>
      <c r="GKE30" s="93"/>
      <c r="GKF30" s="30"/>
      <c r="GKK30" s="93"/>
      <c r="GKL30" s="30"/>
      <c r="GKQ30" s="93"/>
      <c r="GKR30" s="30"/>
      <c r="GKW30" s="93"/>
      <c r="GKX30" s="30"/>
      <c r="GLC30" s="93"/>
      <c r="GLD30" s="30"/>
      <c r="GLI30" s="93"/>
      <c r="GLJ30" s="30"/>
      <c r="GLO30" s="93"/>
      <c r="GLP30" s="30"/>
      <c r="GLU30" s="93"/>
      <c r="GLV30" s="30"/>
      <c r="GMA30" s="93"/>
      <c r="GMB30" s="30"/>
      <c r="GMG30" s="93"/>
      <c r="GMH30" s="30"/>
      <c r="GMM30" s="93"/>
      <c r="GMN30" s="30"/>
      <c r="GMS30" s="93"/>
      <c r="GMT30" s="30"/>
      <c r="GMY30" s="93"/>
      <c r="GMZ30" s="30"/>
      <c r="GNE30" s="93"/>
      <c r="GNF30" s="30"/>
      <c r="GNK30" s="93"/>
      <c r="GNL30" s="30"/>
      <c r="GNQ30" s="93"/>
      <c r="GNR30" s="30"/>
      <c r="GNW30" s="93"/>
      <c r="GNX30" s="30"/>
      <c r="GOC30" s="93"/>
      <c r="GOD30" s="30"/>
      <c r="GOI30" s="93"/>
      <c r="GOJ30" s="30"/>
      <c r="GOO30" s="93"/>
      <c r="GOP30" s="30"/>
      <c r="GOU30" s="93"/>
      <c r="GOV30" s="30"/>
      <c r="GPA30" s="93"/>
      <c r="GPB30" s="30"/>
      <c r="GPG30" s="93"/>
      <c r="GPH30" s="30"/>
      <c r="GPM30" s="93"/>
      <c r="GPN30" s="30"/>
      <c r="GPS30" s="93"/>
      <c r="GPT30" s="30"/>
      <c r="GPY30" s="93"/>
      <c r="GPZ30" s="30"/>
      <c r="GQE30" s="93"/>
      <c r="GQF30" s="30"/>
      <c r="GQK30" s="93"/>
      <c r="GQL30" s="30"/>
      <c r="GQQ30" s="93"/>
      <c r="GQR30" s="30"/>
      <c r="GQW30" s="93"/>
      <c r="GQX30" s="30"/>
      <c r="GRC30" s="93"/>
      <c r="GRD30" s="30"/>
      <c r="GRI30" s="93"/>
      <c r="GRJ30" s="30"/>
      <c r="GRO30" s="93"/>
      <c r="GRP30" s="30"/>
      <c r="GRU30" s="93"/>
      <c r="GRV30" s="30"/>
      <c r="GSA30" s="93"/>
      <c r="GSB30" s="30"/>
      <c r="GSG30" s="93"/>
      <c r="GSH30" s="30"/>
      <c r="GSM30" s="93"/>
      <c r="GSN30" s="30"/>
      <c r="GSS30" s="93"/>
      <c r="GST30" s="30"/>
      <c r="GSY30" s="93"/>
      <c r="GSZ30" s="30"/>
      <c r="GTE30" s="93"/>
      <c r="GTF30" s="30"/>
      <c r="GTK30" s="93"/>
      <c r="GTL30" s="30"/>
      <c r="GTQ30" s="93"/>
      <c r="GTR30" s="30"/>
      <c r="GTW30" s="93"/>
      <c r="GTX30" s="30"/>
      <c r="GUC30" s="93"/>
      <c r="GUD30" s="30"/>
      <c r="GUI30" s="93"/>
      <c r="GUJ30" s="30"/>
      <c r="GUO30" s="93"/>
      <c r="GUP30" s="30"/>
      <c r="GUU30" s="93"/>
      <c r="GUV30" s="30"/>
      <c r="GVA30" s="93"/>
      <c r="GVB30" s="30"/>
      <c r="GVG30" s="93"/>
      <c r="GVH30" s="30"/>
      <c r="GVM30" s="93"/>
      <c r="GVN30" s="30"/>
      <c r="GVS30" s="93"/>
      <c r="GVT30" s="30"/>
      <c r="GVY30" s="93"/>
      <c r="GVZ30" s="30"/>
      <c r="GWE30" s="93"/>
      <c r="GWF30" s="30"/>
      <c r="GWK30" s="93"/>
      <c r="GWL30" s="30"/>
      <c r="GWQ30" s="93"/>
      <c r="GWR30" s="30"/>
      <c r="GWW30" s="93"/>
      <c r="GWX30" s="30"/>
      <c r="GXC30" s="93"/>
      <c r="GXD30" s="30"/>
      <c r="GXI30" s="93"/>
      <c r="GXJ30" s="30"/>
      <c r="GXO30" s="93"/>
      <c r="GXP30" s="30"/>
      <c r="GXU30" s="93"/>
      <c r="GXV30" s="30"/>
      <c r="GYA30" s="93"/>
      <c r="GYB30" s="30"/>
      <c r="GYG30" s="93"/>
      <c r="GYH30" s="30"/>
      <c r="GYM30" s="93"/>
      <c r="GYN30" s="30"/>
      <c r="GYS30" s="93"/>
      <c r="GYT30" s="30"/>
      <c r="GYY30" s="93"/>
      <c r="GYZ30" s="30"/>
      <c r="GZE30" s="93"/>
      <c r="GZF30" s="30"/>
      <c r="GZK30" s="93"/>
      <c r="GZL30" s="30"/>
      <c r="GZQ30" s="93"/>
      <c r="GZR30" s="30"/>
      <c r="GZW30" s="93"/>
      <c r="GZX30" s="30"/>
      <c r="HAC30" s="93"/>
      <c r="HAD30" s="30"/>
      <c r="HAI30" s="93"/>
      <c r="HAJ30" s="30"/>
      <c r="HAO30" s="93"/>
      <c r="HAP30" s="30"/>
      <c r="HAU30" s="93"/>
      <c r="HAV30" s="30"/>
      <c r="HBA30" s="93"/>
      <c r="HBB30" s="30"/>
      <c r="HBG30" s="93"/>
      <c r="HBH30" s="30"/>
      <c r="HBM30" s="93"/>
      <c r="HBN30" s="30"/>
      <c r="HBS30" s="93"/>
      <c r="HBT30" s="30"/>
      <c r="HBY30" s="93"/>
      <c r="HBZ30" s="30"/>
      <c r="HCE30" s="93"/>
      <c r="HCF30" s="30"/>
      <c r="HCK30" s="93"/>
      <c r="HCL30" s="30"/>
      <c r="HCQ30" s="93"/>
      <c r="HCR30" s="30"/>
      <c r="HCW30" s="93"/>
      <c r="HCX30" s="30"/>
      <c r="HDC30" s="93"/>
      <c r="HDD30" s="30"/>
      <c r="HDI30" s="93"/>
      <c r="HDJ30" s="30"/>
      <c r="HDO30" s="93"/>
      <c r="HDP30" s="30"/>
      <c r="HDU30" s="93"/>
      <c r="HDV30" s="30"/>
      <c r="HEA30" s="93"/>
      <c r="HEB30" s="30"/>
      <c r="HEG30" s="93"/>
      <c r="HEH30" s="30"/>
      <c r="HEM30" s="93"/>
      <c r="HEN30" s="30"/>
      <c r="HES30" s="93"/>
      <c r="HET30" s="30"/>
      <c r="HEY30" s="93"/>
      <c r="HEZ30" s="30"/>
      <c r="HFE30" s="93"/>
      <c r="HFF30" s="30"/>
      <c r="HFK30" s="93"/>
      <c r="HFL30" s="30"/>
      <c r="HFQ30" s="93"/>
      <c r="HFR30" s="30"/>
      <c r="HFW30" s="93"/>
      <c r="HFX30" s="30"/>
      <c r="HGC30" s="93"/>
      <c r="HGD30" s="30"/>
      <c r="HGI30" s="93"/>
      <c r="HGJ30" s="30"/>
      <c r="HGO30" s="93"/>
      <c r="HGP30" s="30"/>
      <c r="HGU30" s="93"/>
      <c r="HGV30" s="30"/>
      <c r="HHA30" s="93"/>
      <c r="HHB30" s="30"/>
      <c r="HHG30" s="93"/>
      <c r="HHH30" s="30"/>
      <c r="HHM30" s="93"/>
      <c r="HHN30" s="30"/>
      <c r="HHS30" s="93"/>
      <c r="HHT30" s="30"/>
      <c r="HHY30" s="93"/>
      <c r="HHZ30" s="30"/>
      <c r="HIE30" s="93"/>
      <c r="HIF30" s="30"/>
      <c r="HIK30" s="93"/>
      <c r="HIL30" s="30"/>
      <c r="HIQ30" s="93"/>
      <c r="HIR30" s="30"/>
      <c r="HIW30" s="93"/>
      <c r="HIX30" s="30"/>
      <c r="HJC30" s="93"/>
      <c r="HJD30" s="30"/>
      <c r="HJI30" s="93"/>
      <c r="HJJ30" s="30"/>
      <c r="HJO30" s="93"/>
      <c r="HJP30" s="30"/>
      <c r="HJU30" s="93"/>
      <c r="HJV30" s="30"/>
      <c r="HKA30" s="93"/>
      <c r="HKB30" s="30"/>
      <c r="HKG30" s="93"/>
      <c r="HKH30" s="30"/>
      <c r="HKM30" s="93"/>
      <c r="HKN30" s="30"/>
      <c r="HKS30" s="93"/>
      <c r="HKT30" s="30"/>
      <c r="HKY30" s="93"/>
      <c r="HKZ30" s="30"/>
      <c r="HLE30" s="93"/>
      <c r="HLF30" s="30"/>
      <c r="HLK30" s="93"/>
      <c r="HLL30" s="30"/>
      <c r="HLQ30" s="93"/>
      <c r="HLR30" s="30"/>
      <c r="HLW30" s="93"/>
      <c r="HLX30" s="30"/>
      <c r="HMC30" s="93"/>
      <c r="HMD30" s="30"/>
      <c r="HMI30" s="93"/>
      <c r="HMJ30" s="30"/>
      <c r="HMO30" s="93"/>
      <c r="HMP30" s="30"/>
      <c r="HMU30" s="93"/>
      <c r="HMV30" s="30"/>
      <c r="HNA30" s="93"/>
      <c r="HNB30" s="30"/>
      <c r="HNG30" s="93"/>
      <c r="HNH30" s="30"/>
      <c r="HNM30" s="93"/>
      <c r="HNN30" s="30"/>
      <c r="HNS30" s="93"/>
      <c r="HNT30" s="30"/>
      <c r="HNY30" s="93"/>
      <c r="HNZ30" s="30"/>
      <c r="HOE30" s="93"/>
      <c r="HOF30" s="30"/>
      <c r="HOK30" s="93"/>
      <c r="HOL30" s="30"/>
      <c r="HOQ30" s="93"/>
      <c r="HOR30" s="30"/>
      <c r="HOW30" s="93"/>
      <c r="HOX30" s="30"/>
      <c r="HPC30" s="93"/>
      <c r="HPD30" s="30"/>
      <c r="HPI30" s="93"/>
      <c r="HPJ30" s="30"/>
      <c r="HPO30" s="93"/>
      <c r="HPP30" s="30"/>
      <c r="HPU30" s="93"/>
      <c r="HPV30" s="30"/>
      <c r="HQA30" s="93"/>
      <c r="HQB30" s="30"/>
      <c r="HQG30" s="93"/>
      <c r="HQH30" s="30"/>
      <c r="HQM30" s="93"/>
      <c r="HQN30" s="30"/>
      <c r="HQS30" s="93"/>
      <c r="HQT30" s="30"/>
      <c r="HQY30" s="93"/>
      <c r="HQZ30" s="30"/>
      <c r="HRE30" s="93"/>
      <c r="HRF30" s="30"/>
      <c r="HRK30" s="93"/>
      <c r="HRL30" s="30"/>
      <c r="HRQ30" s="93"/>
      <c r="HRR30" s="30"/>
      <c r="HRW30" s="93"/>
      <c r="HRX30" s="30"/>
      <c r="HSC30" s="93"/>
      <c r="HSD30" s="30"/>
      <c r="HSI30" s="93"/>
      <c r="HSJ30" s="30"/>
      <c r="HSO30" s="93"/>
      <c r="HSP30" s="30"/>
      <c r="HSU30" s="93"/>
      <c r="HSV30" s="30"/>
      <c r="HTA30" s="93"/>
      <c r="HTB30" s="30"/>
      <c r="HTG30" s="93"/>
      <c r="HTH30" s="30"/>
      <c r="HTM30" s="93"/>
      <c r="HTN30" s="30"/>
      <c r="HTS30" s="93"/>
      <c r="HTT30" s="30"/>
      <c r="HTY30" s="93"/>
      <c r="HTZ30" s="30"/>
      <c r="HUE30" s="93"/>
      <c r="HUF30" s="30"/>
      <c r="HUK30" s="93"/>
      <c r="HUL30" s="30"/>
      <c r="HUQ30" s="93"/>
      <c r="HUR30" s="30"/>
      <c r="HUW30" s="93"/>
      <c r="HUX30" s="30"/>
      <c r="HVC30" s="93"/>
      <c r="HVD30" s="30"/>
      <c r="HVI30" s="93"/>
      <c r="HVJ30" s="30"/>
      <c r="HVO30" s="93"/>
      <c r="HVP30" s="30"/>
      <c r="HVU30" s="93"/>
      <c r="HVV30" s="30"/>
      <c r="HWA30" s="93"/>
      <c r="HWB30" s="30"/>
      <c r="HWG30" s="93"/>
      <c r="HWH30" s="30"/>
      <c r="HWM30" s="93"/>
      <c r="HWN30" s="30"/>
      <c r="HWS30" s="93"/>
      <c r="HWT30" s="30"/>
      <c r="HWY30" s="93"/>
      <c r="HWZ30" s="30"/>
      <c r="HXE30" s="93"/>
      <c r="HXF30" s="30"/>
      <c r="HXK30" s="93"/>
      <c r="HXL30" s="30"/>
      <c r="HXQ30" s="93"/>
      <c r="HXR30" s="30"/>
      <c r="HXW30" s="93"/>
      <c r="HXX30" s="30"/>
      <c r="HYC30" s="93"/>
      <c r="HYD30" s="30"/>
      <c r="HYI30" s="93"/>
      <c r="HYJ30" s="30"/>
      <c r="HYO30" s="93"/>
      <c r="HYP30" s="30"/>
      <c r="HYU30" s="93"/>
      <c r="HYV30" s="30"/>
      <c r="HZA30" s="93"/>
      <c r="HZB30" s="30"/>
      <c r="HZG30" s="93"/>
      <c r="HZH30" s="30"/>
      <c r="HZM30" s="93"/>
      <c r="HZN30" s="30"/>
      <c r="HZS30" s="93"/>
      <c r="HZT30" s="30"/>
      <c r="HZY30" s="93"/>
      <c r="HZZ30" s="30"/>
      <c r="IAE30" s="93"/>
      <c r="IAF30" s="30"/>
      <c r="IAK30" s="93"/>
      <c r="IAL30" s="30"/>
      <c r="IAQ30" s="93"/>
      <c r="IAR30" s="30"/>
      <c r="IAW30" s="93"/>
      <c r="IAX30" s="30"/>
      <c r="IBC30" s="93"/>
      <c r="IBD30" s="30"/>
      <c r="IBI30" s="93"/>
      <c r="IBJ30" s="30"/>
      <c r="IBO30" s="93"/>
      <c r="IBP30" s="30"/>
      <c r="IBU30" s="93"/>
      <c r="IBV30" s="30"/>
      <c r="ICA30" s="93"/>
      <c r="ICB30" s="30"/>
      <c r="ICG30" s="93"/>
      <c r="ICH30" s="30"/>
      <c r="ICM30" s="93"/>
      <c r="ICN30" s="30"/>
      <c r="ICS30" s="93"/>
      <c r="ICT30" s="30"/>
      <c r="ICY30" s="93"/>
      <c r="ICZ30" s="30"/>
      <c r="IDE30" s="93"/>
      <c r="IDF30" s="30"/>
      <c r="IDK30" s="93"/>
      <c r="IDL30" s="30"/>
      <c r="IDQ30" s="93"/>
      <c r="IDR30" s="30"/>
      <c r="IDW30" s="93"/>
      <c r="IDX30" s="30"/>
      <c r="IEC30" s="93"/>
      <c r="IED30" s="30"/>
      <c r="IEI30" s="93"/>
      <c r="IEJ30" s="30"/>
      <c r="IEO30" s="93"/>
      <c r="IEP30" s="30"/>
      <c r="IEU30" s="93"/>
      <c r="IEV30" s="30"/>
      <c r="IFA30" s="93"/>
      <c r="IFB30" s="30"/>
      <c r="IFG30" s="93"/>
      <c r="IFH30" s="30"/>
      <c r="IFM30" s="93"/>
      <c r="IFN30" s="30"/>
      <c r="IFS30" s="93"/>
      <c r="IFT30" s="30"/>
      <c r="IFY30" s="93"/>
      <c r="IFZ30" s="30"/>
      <c r="IGE30" s="93"/>
      <c r="IGF30" s="30"/>
      <c r="IGK30" s="93"/>
      <c r="IGL30" s="30"/>
      <c r="IGQ30" s="93"/>
      <c r="IGR30" s="30"/>
      <c r="IGW30" s="93"/>
      <c r="IGX30" s="30"/>
      <c r="IHC30" s="93"/>
      <c r="IHD30" s="30"/>
      <c r="IHI30" s="93"/>
      <c r="IHJ30" s="30"/>
      <c r="IHO30" s="93"/>
      <c r="IHP30" s="30"/>
      <c r="IHU30" s="93"/>
      <c r="IHV30" s="30"/>
      <c r="IIA30" s="93"/>
      <c r="IIB30" s="30"/>
      <c r="IIG30" s="93"/>
      <c r="IIH30" s="30"/>
      <c r="IIM30" s="93"/>
      <c r="IIN30" s="30"/>
      <c r="IIS30" s="93"/>
      <c r="IIT30" s="30"/>
      <c r="IIY30" s="93"/>
      <c r="IIZ30" s="30"/>
      <c r="IJE30" s="93"/>
      <c r="IJF30" s="30"/>
      <c r="IJK30" s="93"/>
      <c r="IJL30" s="30"/>
      <c r="IJQ30" s="93"/>
      <c r="IJR30" s="30"/>
      <c r="IJW30" s="93"/>
      <c r="IJX30" s="30"/>
      <c r="IKC30" s="93"/>
      <c r="IKD30" s="30"/>
      <c r="IKI30" s="93"/>
      <c r="IKJ30" s="30"/>
      <c r="IKO30" s="93"/>
      <c r="IKP30" s="30"/>
      <c r="IKU30" s="93"/>
      <c r="IKV30" s="30"/>
      <c r="ILA30" s="93"/>
      <c r="ILB30" s="30"/>
      <c r="ILG30" s="93"/>
      <c r="ILH30" s="30"/>
      <c r="ILM30" s="93"/>
      <c r="ILN30" s="30"/>
      <c r="ILS30" s="93"/>
      <c r="ILT30" s="30"/>
      <c r="ILY30" s="93"/>
      <c r="ILZ30" s="30"/>
      <c r="IME30" s="93"/>
      <c r="IMF30" s="30"/>
      <c r="IMK30" s="93"/>
      <c r="IML30" s="30"/>
      <c r="IMQ30" s="93"/>
      <c r="IMR30" s="30"/>
      <c r="IMW30" s="93"/>
      <c r="IMX30" s="30"/>
      <c r="INC30" s="93"/>
      <c r="IND30" s="30"/>
      <c r="INI30" s="93"/>
      <c r="INJ30" s="30"/>
      <c r="INO30" s="93"/>
      <c r="INP30" s="30"/>
      <c r="INU30" s="93"/>
      <c r="INV30" s="30"/>
      <c r="IOA30" s="93"/>
      <c r="IOB30" s="30"/>
      <c r="IOG30" s="93"/>
      <c r="IOH30" s="30"/>
      <c r="IOM30" s="93"/>
      <c r="ION30" s="30"/>
      <c r="IOS30" s="93"/>
      <c r="IOT30" s="30"/>
      <c r="IOY30" s="93"/>
      <c r="IOZ30" s="30"/>
      <c r="IPE30" s="93"/>
      <c r="IPF30" s="30"/>
      <c r="IPK30" s="93"/>
      <c r="IPL30" s="30"/>
      <c r="IPQ30" s="93"/>
      <c r="IPR30" s="30"/>
      <c r="IPW30" s="93"/>
      <c r="IPX30" s="30"/>
      <c r="IQC30" s="93"/>
      <c r="IQD30" s="30"/>
      <c r="IQI30" s="93"/>
      <c r="IQJ30" s="30"/>
      <c r="IQO30" s="93"/>
      <c r="IQP30" s="30"/>
      <c r="IQU30" s="93"/>
      <c r="IQV30" s="30"/>
      <c r="IRA30" s="93"/>
      <c r="IRB30" s="30"/>
      <c r="IRG30" s="93"/>
      <c r="IRH30" s="30"/>
      <c r="IRM30" s="93"/>
      <c r="IRN30" s="30"/>
      <c r="IRS30" s="93"/>
      <c r="IRT30" s="30"/>
      <c r="IRY30" s="93"/>
      <c r="IRZ30" s="30"/>
      <c r="ISE30" s="93"/>
      <c r="ISF30" s="30"/>
      <c r="ISK30" s="93"/>
      <c r="ISL30" s="30"/>
      <c r="ISQ30" s="93"/>
      <c r="ISR30" s="30"/>
      <c r="ISW30" s="93"/>
      <c r="ISX30" s="30"/>
      <c r="ITC30" s="93"/>
      <c r="ITD30" s="30"/>
      <c r="ITI30" s="93"/>
      <c r="ITJ30" s="30"/>
      <c r="ITO30" s="93"/>
      <c r="ITP30" s="30"/>
      <c r="ITU30" s="93"/>
      <c r="ITV30" s="30"/>
      <c r="IUA30" s="93"/>
      <c r="IUB30" s="30"/>
      <c r="IUG30" s="93"/>
      <c r="IUH30" s="30"/>
      <c r="IUM30" s="93"/>
      <c r="IUN30" s="30"/>
      <c r="IUS30" s="93"/>
      <c r="IUT30" s="30"/>
      <c r="IUY30" s="93"/>
      <c r="IUZ30" s="30"/>
      <c r="IVE30" s="93"/>
      <c r="IVF30" s="30"/>
      <c r="IVK30" s="93"/>
      <c r="IVL30" s="30"/>
      <c r="IVQ30" s="93"/>
      <c r="IVR30" s="30"/>
      <c r="IVW30" s="93"/>
      <c r="IVX30" s="30"/>
      <c r="IWC30" s="93"/>
      <c r="IWD30" s="30"/>
      <c r="IWI30" s="93"/>
      <c r="IWJ30" s="30"/>
      <c r="IWO30" s="93"/>
      <c r="IWP30" s="30"/>
      <c r="IWU30" s="93"/>
      <c r="IWV30" s="30"/>
      <c r="IXA30" s="93"/>
      <c r="IXB30" s="30"/>
      <c r="IXG30" s="93"/>
      <c r="IXH30" s="30"/>
      <c r="IXM30" s="93"/>
      <c r="IXN30" s="30"/>
      <c r="IXS30" s="93"/>
      <c r="IXT30" s="30"/>
      <c r="IXY30" s="93"/>
      <c r="IXZ30" s="30"/>
      <c r="IYE30" s="93"/>
      <c r="IYF30" s="30"/>
      <c r="IYK30" s="93"/>
      <c r="IYL30" s="30"/>
      <c r="IYQ30" s="93"/>
      <c r="IYR30" s="30"/>
      <c r="IYW30" s="93"/>
      <c r="IYX30" s="30"/>
      <c r="IZC30" s="93"/>
      <c r="IZD30" s="30"/>
      <c r="IZI30" s="93"/>
      <c r="IZJ30" s="30"/>
      <c r="IZO30" s="93"/>
      <c r="IZP30" s="30"/>
      <c r="IZU30" s="93"/>
      <c r="IZV30" s="30"/>
      <c r="JAA30" s="93"/>
      <c r="JAB30" s="30"/>
      <c r="JAG30" s="93"/>
      <c r="JAH30" s="30"/>
      <c r="JAM30" s="93"/>
      <c r="JAN30" s="30"/>
      <c r="JAS30" s="93"/>
      <c r="JAT30" s="30"/>
      <c r="JAY30" s="93"/>
      <c r="JAZ30" s="30"/>
      <c r="JBE30" s="93"/>
      <c r="JBF30" s="30"/>
      <c r="JBK30" s="93"/>
      <c r="JBL30" s="30"/>
      <c r="JBQ30" s="93"/>
      <c r="JBR30" s="30"/>
      <c r="JBW30" s="93"/>
      <c r="JBX30" s="30"/>
      <c r="JCC30" s="93"/>
      <c r="JCD30" s="30"/>
      <c r="JCI30" s="93"/>
      <c r="JCJ30" s="30"/>
      <c r="JCO30" s="93"/>
      <c r="JCP30" s="30"/>
      <c r="JCU30" s="93"/>
      <c r="JCV30" s="30"/>
      <c r="JDA30" s="93"/>
      <c r="JDB30" s="30"/>
      <c r="JDG30" s="93"/>
      <c r="JDH30" s="30"/>
      <c r="JDM30" s="93"/>
      <c r="JDN30" s="30"/>
      <c r="JDS30" s="93"/>
      <c r="JDT30" s="30"/>
      <c r="JDY30" s="93"/>
      <c r="JDZ30" s="30"/>
      <c r="JEE30" s="93"/>
      <c r="JEF30" s="30"/>
      <c r="JEK30" s="93"/>
      <c r="JEL30" s="30"/>
      <c r="JEQ30" s="93"/>
      <c r="JER30" s="30"/>
      <c r="JEW30" s="93"/>
      <c r="JEX30" s="30"/>
      <c r="JFC30" s="93"/>
      <c r="JFD30" s="30"/>
      <c r="JFI30" s="93"/>
      <c r="JFJ30" s="30"/>
      <c r="JFO30" s="93"/>
      <c r="JFP30" s="30"/>
      <c r="JFU30" s="93"/>
      <c r="JFV30" s="30"/>
      <c r="JGA30" s="93"/>
      <c r="JGB30" s="30"/>
      <c r="JGG30" s="93"/>
      <c r="JGH30" s="30"/>
      <c r="JGM30" s="93"/>
      <c r="JGN30" s="30"/>
      <c r="JGS30" s="93"/>
      <c r="JGT30" s="30"/>
      <c r="JGY30" s="93"/>
      <c r="JGZ30" s="30"/>
      <c r="JHE30" s="93"/>
      <c r="JHF30" s="30"/>
      <c r="JHK30" s="93"/>
      <c r="JHL30" s="30"/>
      <c r="JHQ30" s="93"/>
      <c r="JHR30" s="30"/>
      <c r="JHW30" s="93"/>
      <c r="JHX30" s="30"/>
      <c r="JIC30" s="93"/>
      <c r="JID30" s="30"/>
      <c r="JII30" s="93"/>
      <c r="JIJ30" s="30"/>
      <c r="JIO30" s="93"/>
      <c r="JIP30" s="30"/>
      <c r="JIU30" s="93"/>
      <c r="JIV30" s="30"/>
      <c r="JJA30" s="93"/>
      <c r="JJB30" s="30"/>
      <c r="JJG30" s="93"/>
      <c r="JJH30" s="30"/>
      <c r="JJM30" s="93"/>
      <c r="JJN30" s="30"/>
      <c r="JJS30" s="93"/>
      <c r="JJT30" s="30"/>
      <c r="JJY30" s="93"/>
      <c r="JJZ30" s="30"/>
      <c r="JKE30" s="93"/>
      <c r="JKF30" s="30"/>
      <c r="JKK30" s="93"/>
      <c r="JKL30" s="30"/>
      <c r="JKQ30" s="93"/>
      <c r="JKR30" s="30"/>
      <c r="JKW30" s="93"/>
      <c r="JKX30" s="30"/>
      <c r="JLC30" s="93"/>
      <c r="JLD30" s="30"/>
      <c r="JLI30" s="93"/>
      <c r="JLJ30" s="30"/>
      <c r="JLO30" s="93"/>
      <c r="JLP30" s="30"/>
      <c r="JLU30" s="93"/>
      <c r="JLV30" s="30"/>
      <c r="JMA30" s="93"/>
      <c r="JMB30" s="30"/>
      <c r="JMG30" s="93"/>
      <c r="JMH30" s="30"/>
      <c r="JMM30" s="93"/>
      <c r="JMN30" s="30"/>
      <c r="JMS30" s="93"/>
      <c r="JMT30" s="30"/>
      <c r="JMY30" s="93"/>
      <c r="JMZ30" s="30"/>
      <c r="JNE30" s="93"/>
      <c r="JNF30" s="30"/>
      <c r="JNK30" s="93"/>
      <c r="JNL30" s="30"/>
      <c r="JNQ30" s="93"/>
      <c r="JNR30" s="30"/>
      <c r="JNW30" s="93"/>
      <c r="JNX30" s="30"/>
      <c r="JOC30" s="93"/>
      <c r="JOD30" s="30"/>
      <c r="JOI30" s="93"/>
      <c r="JOJ30" s="30"/>
      <c r="JOO30" s="93"/>
      <c r="JOP30" s="30"/>
      <c r="JOU30" s="93"/>
      <c r="JOV30" s="30"/>
      <c r="JPA30" s="93"/>
      <c r="JPB30" s="30"/>
      <c r="JPG30" s="93"/>
      <c r="JPH30" s="30"/>
      <c r="JPM30" s="93"/>
      <c r="JPN30" s="30"/>
      <c r="JPS30" s="93"/>
      <c r="JPT30" s="30"/>
      <c r="JPY30" s="93"/>
      <c r="JPZ30" s="30"/>
      <c r="JQE30" s="93"/>
      <c r="JQF30" s="30"/>
      <c r="JQK30" s="93"/>
      <c r="JQL30" s="30"/>
      <c r="JQQ30" s="93"/>
      <c r="JQR30" s="30"/>
      <c r="JQW30" s="93"/>
      <c r="JQX30" s="30"/>
      <c r="JRC30" s="93"/>
      <c r="JRD30" s="30"/>
      <c r="JRI30" s="93"/>
      <c r="JRJ30" s="30"/>
      <c r="JRO30" s="93"/>
      <c r="JRP30" s="30"/>
      <c r="JRU30" s="93"/>
      <c r="JRV30" s="30"/>
      <c r="JSA30" s="93"/>
      <c r="JSB30" s="30"/>
      <c r="JSG30" s="93"/>
      <c r="JSH30" s="30"/>
      <c r="JSM30" s="93"/>
      <c r="JSN30" s="30"/>
      <c r="JSS30" s="93"/>
      <c r="JST30" s="30"/>
      <c r="JSY30" s="93"/>
      <c r="JSZ30" s="30"/>
      <c r="JTE30" s="93"/>
      <c r="JTF30" s="30"/>
      <c r="JTK30" s="93"/>
      <c r="JTL30" s="30"/>
      <c r="JTQ30" s="93"/>
      <c r="JTR30" s="30"/>
      <c r="JTW30" s="93"/>
      <c r="JTX30" s="30"/>
      <c r="JUC30" s="93"/>
      <c r="JUD30" s="30"/>
      <c r="JUI30" s="93"/>
      <c r="JUJ30" s="30"/>
      <c r="JUO30" s="93"/>
      <c r="JUP30" s="30"/>
      <c r="JUU30" s="93"/>
      <c r="JUV30" s="30"/>
      <c r="JVA30" s="93"/>
      <c r="JVB30" s="30"/>
      <c r="JVG30" s="93"/>
      <c r="JVH30" s="30"/>
      <c r="JVM30" s="93"/>
      <c r="JVN30" s="30"/>
      <c r="JVS30" s="93"/>
      <c r="JVT30" s="30"/>
      <c r="JVY30" s="93"/>
      <c r="JVZ30" s="30"/>
      <c r="JWE30" s="93"/>
      <c r="JWF30" s="30"/>
      <c r="JWK30" s="93"/>
      <c r="JWL30" s="30"/>
      <c r="JWQ30" s="93"/>
      <c r="JWR30" s="30"/>
      <c r="JWW30" s="93"/>
      <c r="JWX30" s="30"/>
      <c r="JXC30" s="93"/>
      <c r="JXD30" s="30"/>
      <c r="JXI30" s="93"/>
      <c r="JXJ30" s="30"/>
      <c r="JXO30" s="93"/>
      <c r="JXP30" s="30"/>
      <c r="JXU30" s="93"/>
      <c r="JXV30" s="30"/>
      <c r="JYA30" s="93"/>
      <c r="JYB30" s="30"/>
      <c r="JYG30" s="93"/>
      <c r="JYH30" s="30"/>
      <c r="JYM30" s="93"/>
      <c r="JYN30" s="30"/>
      <c r="JYS30" s="93"/>
      <c r="JYT30" s="30"/>
      <c r="JYY30" s="93"/>
      <c r="JYZ30" s="30"/>
      <c r="JZE30" s="93"/>
      <c r="JZF30" s="30"/>
      <c r="JZK30" s="93"/>
      <c r="JZL30" s="30"/>
      <c r="JZQ30" s="93"/>
      <c r="JZR30" s="30"/>
      <c r="JZW30" s="93"/>
      <c r="JZX30" s="30"/>
      <c r="KAC30" s="93"/>
      <c r="KAD30" s="30"/>
      <c r="KAI30" s="93"/>
      <c r="KAJ30" s="30"/>
      <c r="KAO30" s="93"/>
      <c r="KAP30" s="30"/>
      <c r="KAU30" s="93"/>
      <c r="KAV30" s="30"/>
      <c r="KBA30" s="93"/>
      <c r="KBB30" s="30"/>
      <c r="KBG30" s="93"/>
      <c r="KBH30" s="30"/>
      <c r="KBM30" s="93"/>
      <c r="KBN30" s="30"/>
      <c r="KBS30" s="93"/>
      <c r="KBT30" s="30"/>
      <c r="KBY30" s="93"/>
      <c r="KBZ30" s="30"/>
      <c r="KCE30" s="93"/>
      <c r="KCF30" s="30"/>
      <c r="KCK30" s="93"/>
      <c r="KCL30" s="30"/>
      <c r="KCQ30" s="93"/>
      <c r="KCR30" s="30"/>
      <c r="KCW30" s="93"/>
      <c r="KCX30" s="30"/>
      <c r="KDC30" s="93"/>
      <c r="KDD30" s="30"/>
      <c r="KDI30" s="93"/>
      <c r="KDJ30" s="30"/>
      <c r="KDO30" s="93"/>
      <c r="KDP30" s="30"/>
      <c r="KDU30" s="93"/>
      <c r="KDV30" s="30"/>
      <c r="KEA30" s="93"/>
      <c r="KEB30" s="30"/>
      <c r="KEG30" s="93"/>
      <c r="KEH30" s="30"/>
      <c r="KEM30" s="93"/>
      <c r="KEN30" s="30"/>
      <c r="KES30" s="93"/>
      <c r="KET30" s="30"/>
      <c r="KEY30" s="93"/>
      <c r="KEZ30" s="30"/>
      <c r="KFE30" s="93"/>
      <c r="KFF30" s="30"/>
      <c r="KFK30" s="93"/>
      <c r="KFL30" s="30"/>
      <c r="KFQ30" s="93"/>
      <c r="KFR30" s="30"/>
      <c r="KFW30" s="93"/>
      <c r="KFX30" s="30"/>
      <c r="KGC30" s="93"/>
      <c r="KGD30" s="30"/>
      <c r="KGI30" s="93"/>
      <c r="KGJ30" s="30"/>
      <c r="KGO30" s="93"/>
      <c r="KGP30" s="30"/>
      <c r="KGU30" s="93"/>
      <c r="KGV30" s="30"/>
      <c r="KHA30" s="93"/>
      <c r="KHB30" s="30"/>
      <c r="KHG30" s="93"/>
      <c r="KHH30" s="30"/>
      <c r="KHM30" s="93"/>
      <c r="KHN30" s="30"/>
      <c r="KHS30" s="93"/>
      <c r="KHT30" s="30"/>
      <c r="KHY30" s="93"/>
      <c r="KHZ30" s="30"/>
      <c r="KIE30" s="93"/>
      <c r="KIF30" s="30"/>
      <c r="KIK30" s="93"/>
      <c r="KIL30" s="30"/>
      <c r="KIQ30" s="93"/>
      <c r="KIR30" s="30"/>
      <c r="KIW30" s="93"/>
      <c r="KIX30" s="30"/>
      <c r="KJC30" s="93"/>
      <c r="KJD30" s="30"/>
      <c r="KJI30" s="93"/>
      <c r="KJJ30" s="30"/>
      <c r="KJO30" s="93"/>
      <c r="KJP30" s="30"/>
      <c r="KJU30" s="93"/>
      <c r="KJV30" s="30"/>
      <c r="KKA30" s="93"/>
      <c r="KKB30" s="30"/>
      <c r="KKG30" s="93"/>
      <c r="KKH30" s="30"/>
      <c r="KKM30" s="93"/>
      <c r="KKN30" s="30"/>
      <c r="KKS30" s="93"/>
      <c r="KKT30" s="30"/>
      <c r="KKY30" s="93"/>
      <c r="KKZ30" s="30"/>
      <c r="KLE30" s="93"/>
      <c r="KLF30" s="30"/>
      <c r="KLK30" s="93"/>
      <c r="KLL30" s="30"/>
      <c r="KLQ30" s="93"/>
      <c r="KLR30" s="30"/>
      <c r="KLW30" s="93"/>
      <c r="KLX30" s="30"/>
      <c r="KMC30" s="93"/>
      <c r="KMD30" s="30"/>
      <c r="KMI30" s="93"/>
      <c r="KMJ30" s="30"/>
      <c r="KMO30" s="93"/>
      <c r="KMP30" s="30"/>
      <c r="KMU30" s="93"/>
      <c r="KMV30" s="30"/>
      <c r="KNA30" s="93"/>
      <c r="KNB30" s="30"/>
      <c r="KNG30" s="93"/>
      <c r="KNH30" s="30"/>
      <c r="KNM30" s="93"/>
      <c r="KNN30" s="30"/>
      <c r="KNS30" s="93"/>
      <c r="KNT30" s="30"/>
      <c r="KNY30" s="93"/>
      <c r="KNZ30" s="30"/>
      <c r="KOE30" s="93"/>
      <c r="KOF30" s="30"/>
      <c r="KOK30" s="93"/>
      <c r="KOL30" s="30"/>
      <c r="KOQ30" s="93"/>
      <c r="KOR30" s="30"/>
      <c r="KOW30" s="93"/>
      <c r="KOX30" s="30"/>
      <c r="KPC30" s="93"/>
      <c r="KPD30" s="30"/>
      <c r="KPI30" s="93"/>
      <c r="KPJ30" s="30"/>
      <c r="KPO30" s="93"/>
      <c r="KPP30" s="30"/>
      <c r="KPU30" s="93"/>
      <c r="KPV30" s="30"/>
      <c r="KQA30" s="93"/>
      <c r="KQB30" s="30"/>
      <c r="KQG30" s="93"/>
      <c r="KQH30" s="30"/>
      <c r="KQM30" s="93"/>
      <c r="KQN30" s="30"/>
      <c r="KQS30" s="93"/>
      <c r="KQT30" s="30"/>
      <c r="KQY30" s="93"/>
      <c r="KQZ30" s="30"/>
      <c r="KRE30" s="93"/>
      <c r="KRF30" s="30"/>
      <c r="KRK30" s="93"/>
      <c r="KRL30" s="30"/>
      <c r="KRQ30" s="93"/>
      <c r="KRR30" s="30"/>
      <c r="KRW30" s="93"/>
      <c r="KRX30" s="30"/>
      <c r="KSC30" s="93"/>
      <c r="KSD30" s="30"/>
      <c r="KSI30" s="93"/>
      <c r="KSJ30" s="30"/>
      <c r="KSO30" s="93"/>
      <c r="KSP30" s="30"/>
      <c r="KSU30" s="93"/>
      <c r="KSV30" s="30"/>
      <c r="KTA30" s="93"/>
      <c r="KTB30" s="30"/>
      <c r="KTG30" s="93"/>
      <c r="KTH30" s="30"/>
      <c r="KTM30" s="93"/>
      <c r="KTN30" s="30"/>
      <c r="KTS30" s="93"/>
      <c r="KTT30" s="30"/>
      <c r="KTY30" s="93"/>
      <c r="KTZ30" s="30"/>
      <c r="KUE30" s="93"/>
      <c r="KUF30" s="30"/>
      <c r="KUK30" s="93"/>
      <c r="KUL30" s="30"/>
      <c r="KUQ30" s="93"/>
      <c r="KUR30" s="30"/>
      <c r="KUW30" s="93"/>
      <c r="KUX30" s="30"/>
      <c r="KVC30" s="93"/>
      <c r="KVD30" s="30"/>
      <c r="KVI30" s="93"/>
      <c r="KVJ30" s="30"/>
      <c r="KVO30" s="93"/>
      <c r="KVP30" s="30"/>
      <c r="KVU30" s="93"/>
      <c r="KVV30" s="30"/>
      <c r="KWA30" s="93"/>
      <c r="KWB30" s="30"/>
      <c r="KWG30" s="93"/>
      <c r="KWH30" s="30"/>
      <c r="KWM30" s="93"/>
      <c r="KWN30" s="30"/>
      <c r="KWS30" s="93"/>
      <c r="KWT30" s="30"/>
      <c r="KWY30" s="93"/>
      <c r="KWZ30" s="30"/>
      <c r="KXE30" s="93"/>
      <c r="KXF30" s="30"/>
      <c r="KXK30" s="93"/>
      <c r="KXL30" s="30"/>
      <c r="KXQ30" s="93"/>
      <c r="KXR30" s="30"/>
      <c r="KXW30" s="93"/>
      <c r="KXX30" s="30"/>
      <c r="KYC30" s="93"/>
      <c r="KYD30" s="30"/>
      <c r="KYI30" s="93"/>
      <c r="KYJ30" s="30"/>
      <c r="KYO30" s="93"/>
      <c r="KYP30" s="30"/>
      <c r="KYU30" s="93"/>
      <c r="KYV30" s="30"/>
      <c r="KZA30" s="93"/>
      <c r="KZB30" s="30"/>
      <c r="KZG30" s="93"/>
      <c r="KZH30" s="30"/>
      <c r="KZM30" s="93"/>
      <c r="KZN30" s="30"/>
      <c r="KZS30" s="93"/>
      <c r="KZT30" s="30"/>
      <c r="KZY30" s="93"/>
      <c r="KZZ30" s="30"/>
      <c r="LAE30" s="93"/>
      <c r="LAF30" s="30"/>
      <c r="LAK30" s="93"/>
      <c r="LAL30" s="30"/>
      <c r="LAQ30" s="93"/>
      <c r="LAR30" s="30"/>
      <c r="LAW30" s="93"/>
      <c r="LAX30" s="30"/>
      <c r="LBC30" s="93"/>
      <c r="LBD30" s="30"/>
      <c r="LBI30" s="93"/>
      <c r="LBJ30" s="30"/>
      <c r="LBO30" s="93"/>
      <c r="LBP30" s="30"/>
      <c r="LBU30" s="93"/>
      <c r="LBV30" s="30"/>
      <c r="LCA30" s="93"/>
      <c r="LCB30" s="30"/>
      <c r="LCG30" s="93"/>
      <c r="LCH30" s="30"/>
      <c r="LCM30" s="93"/>
      <c r="LCN30" s="30"/>
      <c r="LCS30" s="93"/>
      <c r="LCT30" s="30"/>
      <c r="LCY30" s="93"/>
      <c r="LCZ30" s="30"/>
      <c r="LDE30" s="93"/>
      <c r="LDF30" s="30"/>
      <c r="LDK30" s="93"/>
      <c r="LDL30" s="30"/>
      <c r="LDQ30" s="93"/>
      <c r="LDR30" s="30"/>
      <c r="LDW30" s="93"/>
      <c r="LDX30" s="30"/>
      <c r="LEC30" s="93"/>
      <c r="LED30" s="30"/>
      <c r="LEI30" s="93"/>
      <c r="LEJ30" s="30"/>
      <c r="LEO30" s="93"/>
      <c r="LEP30" s="30"/>
      <c r="LEU30" s="93"/>
      <c r="LEV30" s="30"/>
      <c r="LFA30" s="93"/>
      <c r="LFB30" s="30"/>
      <c r="LFG30" s="93"/>
      <c r="LFH30" s="30"/>
      <c r="LFM30" s="93"/>
      <c r="LFN30" s="30"/>
      <c r="LFS30" s="93"/>
      <c r="LFT30" s="30"/>
      <c r="LFY30" s="93"/>
      <c r="LFZ30" s="30"/>
      <c r="LGE30" s="93"/>
      <c r="LGF30" s="30"/>
      <c r="LGK30" s="93"/>
      <c r="LGL30" s="30"/>
      <c r="LGQ30" s="93"/>
      <c r="LGR30" s="30"/>
      <c r="LGW30" s="93"/>
      <c r="LGX30" s="30"/>
      <c r="LHC30" s="93"/>
      <c r="LHD30" s="30"/>
      <c r="LHI30" s="93"/>
      <c r="LHJ30" s="30"/>
      <c r="LHO30" s="93"/>
      <c r="LHP30" s="30"/>
      <c r="LHU30" s="93"/>
      <c r="LHV30" s="30"/>
      <c r="LIA30" s="93"/>
      <c r="LIB30" s="30"/>
      <c r="LIG30" s="93"/>
      <c r="LIH30" s="30"/>
      <c r="LIM30" s="93"/>
      <c r="LIN30" s="30"/>
      <c r="LIS30" s="93"/>
      <c r="LIT30" s="30"/>
      <c r="LIY30" s="93"/>
      <c r="LIZ30" s="30"/>
      <c r="LJE30" s="93"/>
      <c r="LJF30" s="30"/>
      <c r="LJK30" s="93"/>
      <c r="LJL30" s="30"/>
      <c r="LJQ30" s="93"/>
      <c r="LJR30" s="30"/>
      <c r="LJW30" s="93"/>
      <c r="LJX30" s="30"/>
      <c r="LKC30" s="93"/>
      <c r="LKD30" s="30"/>
      <c r="LKI30" s="93"/>
      <c r="LKJ30" s="30"/>
      <c r="LKO30" s="93"/>
      <c r="LKP30" s="30"/>
      <c r="LKU30" s="93"/>
      <c r="LKV30" s="30"/>
      <c r="LLA30" s="93"/>
      <c r="LLB30" s="30"/>
      <c r="LLG30" s="93"/>
      <c r="LLH30" s="30"/>
      <c r="LLM30" s="93"/>
      <c r="LLN30" s="30"/>
      <c r="LLS30" s="93"/>
      <c r="LLT30" s="30"/>
      <c r="LLY30" s="93"/>
      <c r="LLZ30" s="30"/>
      <c r="LME30" s="93"/>
      <c r="LMF30" s="30"/>
      <c r="LMK30" s="93"/>
      <c r="LML30" s="30"/>
      <c r="LMQ30" s="93"/>
      <c r="LMR30" s="30"/>
      <c r="LMW30" s="93"/>
      <c r="LMX30" s="30"/>
      <c r="LNC30" s="93"/>
      <c r="LND30" s="30"/>
      <c r="LNI30" s="93"/>
      <c r="LNJ30" s="30"/>
      <c r="LNO30" s="93"/>
      <c r="LNP30" s="30"/>
      <c r="LNU30" s="93"/>
      <c r="LNV30" s="30"/>
      <c r="LOA30" s="93"/>
      <c r="LOB30" s="30"/>
      <c r="LOG30" s="93"/>
      <c r="LOH30" s="30"/>
      <c r="LOM30" s="93"/>
      <c r="LON30" s="30"/>
      <c r="LOS30" s="93"/>
      <c r="LOT30" s="30"/>
      <c r="LOY30" s="93"/>
      <c r="LOZ30" s="30"/>
      <c r="LPE30" s="93"/>
      <c r="LPF30" s="30"/>
      <c r="LPK30" s="93"/>
      <c r="LPL30" s="30"/>
      <c r="LPQ30" s="93"/>
      <c r="LPR30" s="30"/>
      <c r="LPW30" s="93"/>
      <c r="LPX30" s="30"/>
      <c r="LQC30" s="93"/>
      <c r="LQD30" s="30"/>
      <c r="LQI30" s="93"/>
      <c r="LQJ30" s="30"/>
      <c r="LQO30" s="93"/>
      <c r="LQP30" s="30"/>
      <c r="LQU30" s="93"/>
      <c r="LQV30" s="30"/>
      <c r="LRA30" s="93"/>
      <c r="LRB30" s="30"/>
      <c r="LRG30" s="93"/>
      <c r="LRH30" s="30"/>
      <c r="LRM30" s="93"/>
      <c r="LRN30" s="30"/>
      <c r="LRS30" s="93"/>
      <c r="LRT30" s="30"/>
      <c r="LRY30" s="93"/>
      <c r="LRZ30" s="30"/>
      <c r="LSE30" s="93"/>
      <c r="LSF30" s="30"/>
      <c r="LSK30" s="93"/>
      <c r="LSL30" s="30"/>
      <c r="LSQ30" s="93"/>
      <c r="LSR30" s="30"/>
      <c r="LSW30" s="93"/>
      <c r="LSX30" s="30"/>
      <c r="LTC30" s="93"/>
      <c r="LTD30" s="30"/>
      <c r="LTI30" s="93"/>
      <c r="LTJ30" s="30"/>
      <c r="LTO30" s="93"/>
      <c r="LTP30" s="30"/>
      <c r="LTU30" s="93"/>
      <c r="LTV30" s="30"/>
      <c r="LUA30" s="93"/>
      <c r="LUB30" s="30"/>
      <c r="LUG30" s="93"/>
      <c r="LUH30" s="30"/>
      <c r="LUM30" s="93"/>
      <c r="LUN30" s="30"/>
      <c r="LUS30" s="93"/>
      <c r="LUT30" s="30"/>
      <c r="LUY30" s="93"/>
      <c r="LUZ30" s="30"/>
      <c r="LVE30" s="93"/>
      <c r="LVF30" s="30"/>
      <c r="LVK30" s="93"/>
      <c r="LVL30" s="30"/>
      <c r="LVQ30" s="93"/>
      <c r="LVR30" s="30"/>
      <c r="LVW30" s="93"/>
      <c r="LVX30" s="30"/>
      <c r="LWC30" s="93"/>
      <c r="LWD30" s="30"/>
      <c r="LWI30" s="93"/>
      <c r="LWJ30" s="30"/>
      <c r="LWO30" s="93"/>
      <c r="LWP30" s="30"/>
      <c r="LWU30" s="93"/>
      <c r="LWV30" s="30"/>
      <c r="LXA30" s="93"/>
      <c r="LXB30" s="30"/>
      <c r="LXG30" s="93"/>
      <c r="LXH30" s="30"/>
      <c r="LXM30" s="93"/>
      <c r="LXN30" s="30"/>
      <c r="LXS30" s="93"/>
      <c r="LXT30" s="30"/>
      <c r="LXY30" s="93"/>
      <c r="LXZ30" s="30"/>
      <c r="LYE30" s="93"/>
      <c r="LYF30" s="30"/>
      <c r="LYK30" s="93"/>
      <c r="LYL30" s="30"/>
      <c r="LYQ30" s="93"/>
      <c r="LYR30" s="30"/>
      <c r="LYW30" s="93"/>
      <c r="LYX30" s="30"/>
      <c r="LZC30" s="93"/>
      <c r="LZD30" s="30"/>
      <c r="LZI30" s="93"/>
      <c r="LZJ30" s="30"/>
      <c r="LZO30" s="93"/>
      <c r="LZP30" s="30"/>
      <c r="LZU30" s="93"/>
      <c r="LZV30" s="30"/>
      <c r="MAA30" s="93"/>
      <c r="MAB30" s="30"/>
      <c r="MAG30" s="93"/>
      <c r="MAH30" s="30"/>
      <c r="MAM30" s="93"/>
      <c r="MAN30" s="30"/>
      <c r="MAS30" s="93"/>
      <c r="MAT30" s="30"/>
      <c r="MAY30" s="93"/>
      <c r="MAZ30" s="30"/>
      <c r="MBE30" s="93"/>
      <c r="MBF30" s="30"/>
      <c r="MBK30" s="93"/>
      <c r="MBL30" s="30"/>
      <c r="MBQ30" s="93"/>
      <c r="MBR30" s="30"/>
      <c r="MBW30" s="93"/>
      <c r="MBX30" s="30"/>
      <c r="MCC30" s="93"/>
      <c r="MCD30" s="30"/>
      <c r="MCI30" s="93"/>
      <c r="MCJ30" s="30"/>
      <c r="MCO30" s="93"/>
      <c r="MCP30" s="30"/>
      <c r="MCU30" s="93"/>
      <c r="MCV30" s="30"/>
      <c r="MDA30" s="93"/>
      <c r="MDB30" s="30"/>
      <c r="MDG30" s="93"/>
      <c r="MDH30" s="30"/>
      <c r="MDM30" s="93"/>
      <c r="MDN30" s="30"/>
      <c r="MDS30" s="93"/>
      <c r="MDT30" s="30"/>
      <c r="MDY30" s="93"/>
      <c r="MDZ30" s="30"/>
      <c r="MEE30" s="93"/>
      <c r="MEF30" s="30"/>
      <c r="MEK30" s="93"/>
      <c r="MEL30" s="30"/>
      <c r="MEQ30" s="93"/>
      <c r="MER30" s="30"/>
      <c r="MEW30" s="93"/>
      <c r="MEX30" s="30"/>
      <c r="MFC30" s="93"/>
      <c r="MFD30" s="30"/>
      <c r="MFI30" s="93"/>
      <c r="MFJ30" s="30"/>
      <c r="MFO30" s="93"/>
      <c r="MFP30" s="30"/>
      <c r="MFU30" s="93"/>
      <c r="MFV30" s="30"/>
      <c r="MGA30" s="93"/>
      <c r="MGB30" s="30"/>
      <c r="MGG30" s="93"/>
      <c r="MGH30" s="30"/>
      <c r="MGM30" s="93"/>
      <c r="MGN30" s="30"/>
      <c r="MGS30" s="93"/>
      <c r="MGT30" s="30"/>
      <c r="MGY30" s="93"/>
      <c r="MGZ30" s="30"/>
      <c r="MHE30" s="93"/>
      <c r="MHF30" s="30"/>
      <c r="MHK30" s="93"/>
      <c r="MHL30" s="30"/>
      <c r="MHQ30" s="93"/>
      <c r="MHR30" s="30"/>
      <c r="MHW30" s="93"/>
      <c r="MHX30" s="30"/>
      <c r="MIC30" s="93"/>
      <c r="MID30" s="30"/>
      <c r="MII30" s="93"/>
      <c r="MIJ30" s="30"/>
      <c r="MIO30" s="93"/>
      <c r="MIP30" s="30"/>
      <c r="MIU30" s="93"/>
      <c r="MIV30" s="30"/>
      <c r="MJA30" s="93"/>
      <c r="MJB30" s="30"/>
      <c r="MJG30" s="93"/>
      <c r="MJH30" s="30"/>
      <c r="MJM30" s="93"/>
      <c r="MJN30" s="30"/>
      <c r="MJS30" s="93"/>
      <c r="MJT30" s="30"/>
      <c r="MJY30" s="93"/>
      <c r="MJZ30" s="30"/>
      <c r="MKE30" s="93"/>
      <c r="MKF30" s="30"/>
      <c r="MKK30" s="93"/>
      <c r="MKL30" s="30"/>
      <c r="MKQ30" s="93"/>
      <c r="MKR30" s="30"/>
      <c r="MKW30" s="93"/>
      <c r="MKX30" s="30"/>
      <c r="MLC30" s="93"/>
      <c r="MLD30" s="30"/>
      <c r="MLI30" s="93"/>
      <c r="MLJ30" s="30"/>
      <c r="MLO30" s="93"/>
      <c r="MLP30" s="30"/>
      <c r="MLU30" s="93"/>
      <c r="MLV30" s="30"/>
      <c r="MMA30" s="93"/>
      <c r="MMB30" s="30"/>
      <c r="MMG30" s="93"/>
      <c r="MMH30" s="30"/>
      <c r="MMM30" s="93"/>
      <c r="MMN30" s="30"/>
      <c r="MMS30" s="93"/>
      <c r="MMT30" s="30"/>
      <c r="MMY30" s="93"/>
      <c r="MMZ30" s="30"/>
      <c r="MNE30" s="93"/>
      <c r="MNF30" s="30"/>
      <c r="MNK30" s="93"/>
      <c r="MNL30" s="30"/>
      <c r="MNQ30" s="93"/>
      <c r="MNR30" s="30"/>
      <c r="MNW30" s="93"/>
      <c r="MNX30" s="30"/>
      <c r="MOC30" s="93"/>
      <c r="MOD30" s="30"/>
      <c r="MOI30" s="93"/>
      <c r="MOJ30" s="30"/>
      <c r="MOO30" s="93"/>
      <c r="MOP30" s="30"/>
      <c r="MOU30" s="93"/>
      <c r="MOV30" s="30"/>
      <c r="MPA30" s="93"/>
      <c r="MPB30" s="30"/>
      <c r="MPG30" s="93"/>
      <c r="MPH30" s="30"/>
      <c r="MPM30" s="93"/>
      <c r="MPN30" s="30"/>
      <c r="MPS30" s="93"/>
      <c r="MPT30" s="30"/>
      <c r="MPY30" s="93"/>
      <c r="MPZ30" s="30"/>
      <c r="MQE30" s="93"/>
      <c r="MQF30" s="30"/>
      <c r="MQK30" s="93"/>
      <c r="MQL30" s="30"/>
      <c r="MQQ30" s="93"/>
      <c r="MQR30" s="30"/>
      <c r="MQW30" s="93"/>
      <c r="MQX30" s="30"/>
      <c r="MRC30" s="93"/>
      <c r="MRD30" s="30"/>
      <c r="MRI30" s="93"/>
      <c r="MRJ30" s="30"/>
      <c r="MRO30" s="93"/>
      <c r="MRP30" s="30"/>
      <c r="MRU30" s="93"/>
      <c r="MRV30" s="30"/>
      <c r="MSA30" s="93"/>
      <c r="MSB30" s="30"/>
      <c r="MSG30" s="93"/>
      <c r="MSH30" s="30"/>
      <c r="MSM30" s="93"/>
      <c r="MSN30" s="30"/>
      <c r="MSS30" s="93"/>
      <c r="MST30" s="30"/>
      <c r="MSY30" s="93"/>
      <c r="MSZ30" s="30"/>
      <c r="MTE30" s="93"/>
      <c r="MTF30" s="30"/>
      <c r="MTK30" s="93"/>
      <c r="MTL30" s="30"/>
      <c r="MTQ30" s="93"/>
      <c r="MTR30" s="30"/>
      <c r="MTW30" s="93"/>
      <c r="MTX30" s="30"/>
      <c r="MUC30" s="93"/>
      <c r="MUD30" s="30"/>
      <c r="MUI30" s="93"/>
      <c r="MUJ30" s="30"/>
      <c r="MUO30" s="93"/>
      <c r="MUP30" s="30"/>
      <c r="MUU30" s="93"/>
      <c r="MUV30" s="30"/>
      <c r="MVA30" s="93"/>
      <c r="MVB30" s="30"/>
      <c r="MVG30" s="93"/>
      <c r="MVH30" s="30"/>
      <c r="MVM30" s="93"/>
      <c r="MVN30" s="30"/>
      <c r="MVS30" s="93"/>
      <c r="MVT30" s="30"/>
      <c r="MVY30" s="93"/>
      <c r="MVZ30" s="30"/>
      <c r="MWE30" s="93"/>
      <c r="MWF30" s="30"/>
      <c r="MWK30" s="93"/>
      <c r="MWL30" s="30"/>
      <c r="MWQ30" s="93"/>
      <c r="MWR30" s="30"/>
      <c r="MWW30" s="93"/>
      <c r="MWX30" s="30"/>
      <c r="MXC30" s="93"/>
      <c r="MXD30" s="30"/>
      <c r="MXI30" s="93"/>
      <c r="MXJ30" s="30"/>
      <c r="MXO30" s="93"/>
      <c r="MXP30" s="30"/>
      <c r="MXU30" s="93"/>
      <c r="MXV30" s="30"/>
      <c r="MYA30" s="93"/>
      <c r="MYB30" s="30"/>
      <c r="MYG30" s="93"/>
      <c r="MYH30" s="30"/>
      <c r="MYM30" s="93"/>
      <c r="MYN30" s="30"/>
      <c r="MYS30" s="93"/>
      <c r="MYT30" s="30"/>
      <c r="MYY30" s="93"/>
      <c r="MYZ30" s="30"/>
      <c r="MZE30" s="93"/>
      <c r="MZF30" s="30"/>
      <c r="MZK30" s="93"/>
      <c r="MZL30" s="30"/>
      <c r="MZQ30" s="93"/>
      <c r="MZR30" s="30"/>
      <c r="MZW30" s="93"/>
      <c r="MZX30" s="30"/>
      <c r="NAC30" s="93"/>
      <c r="NAD30" s="30"/>
      <c r="NAI30" s="93"/>
      <c r="NAJ30" s="30"/>
      <c r="NAO30" s="93"/>
      <c r="NAP30" s="30"/>
      <c r="NAU30" s="93"/>
      <c r="NAV30" s="30"/>
      <c r="NBA30" s="93"/>
      <c r="NBB30" s="30"/>
      <c r="NBG30" s="93"/>
      <c r="NBH30" s="30"/>
      <c r="NBM30" s="93"/>
      <c r="NBN30" s="30"/>
      <c r="NBS30" s="93"/>
      <c r="NBT30" s="30"/>
      <c r="NBY30" s="93"/>
      <c r="NBZ30" s="30"/>
      <c r="NCE30" s="93"/>
      <c r="NCF30" s="30"/>
      <c r="NCK30" s="93"/>
      <c r="NCL30" s="30"/>
      <c r="NCQ30" s="93"/>
      <c r="NCR30" s="30"/>
      <c r="NCW30" s="93"/>
      <c r="NCX30" s="30"/>
      <c r="NDC30" s="93"/>
      <c r="NDD30" s="30"/>
      <c r="NDI30" s="93"/>
      <c r="NDJ30" s="30"/>
      <c r="NDO30" s="93"/>
      <c r="NDP30" s="30"/>
      <c r="NDU30" s="93"/>
      <c r="NDV30" s="30"/>
      <c r="NEA30" s="93"/>
      <c r="NEB30" s="30"/>
      <c r="NEG30" s="93"/>
      <c r="NEH30" s="30"/>
      <c r="NEM30" s="93"/>
      <c r="NEN30" s="30"/>
      <c r="NES30" s="93"/>
      <c r="NET30" s="30"/>
      <c r="NEY30" s="93"/>
      <c r="NEZ30" s="30"/>
      <c r="NFE30" s="93"/>
      <c r="NFF30" s="30"/>
      <c r="NFK30" s="93"/>
      <c r="NFL30" s="30"/>
      <c r="NFQ30" s="93"/>
      <c r="NFR30" s="30"/>
      <c r="NFW30" s="93"/>
      <c r="NFX30" s="30"/>
      <c r="NGC30" s="93"/>
      <c r="NGD30" s="30"/>
      <c r="NGI30" s="93"/>
      <c r="NGJ30" s="30"/>
      <c r="NGO30" s="93"/>
      <c r="NGP30" s="30"/>
      <c r="NGU30" s="93"/>
      <c r="NGV30" s="30"/>
      <c r="NHA30" s="93"/>
      <c r="NHB30" s="30"/>
      <c r="NHG30" s="93"/>
      <c r="NHH30" s="30"/>
      <c r="NHM30" s="93"/>
      <c r="NHN30" s="30"/>
      <c r="NHS30" s="93"/>
      <c r="NHT30" s="30"/>
      <c r="NHY30" s="93"/>
      <c r="NHZ30" s="30"/>
      <c r="NIE30" s="93"/>
      <c r="NIF30" s="30"/>
      <c r="NIK30" s="93"/>
      <c r="NIL30" s="30"/>
      <c r="NIQ30" s="93"/>
      <c r="NIR30" s="30"/>
      <c r="NIW30" s="93"/>
      <c r="NIX30" s="30"/>
      <c r="NJC30" s="93"/>
      <c r="NJD30" s="30"/>
      <c r="NJI30" s="93"/>
      <c r="NJJ30" s="30"/>
      <c r="NJO30" s="93"/>
      <c r="NJP30" s="30"/>
      <c r="NJU30" s="93"/>
      <c r="NJV30" s="30"/>
      <c r="NKA30" s="93"/>
      <c r="NKB30" s="30"/>
      <c r="NKG30" s="93"/>
      <c r="NKH30" s="30"/>
      <c r="NKM30" s="93"/>
      <c r="NKN30" s="30"/>
      <c r="NKS30" s="93"/>
      <c r="NKT30" s="30"/>
      <c r="NKY30" s="93"/>
      <c r="NKZ30" s="30"/>
      <c r="NLE30" s="93"/>
      <c r="NLF30" s="30"/>
      <c r="NLK30" s="93"/>
      <c r="NLL30" s="30"/>
      <c r="NLQ30" s="93"/>
      <c r="NLR30" s="30"/>
      <c r="NLW30" s="93"/>
      <c r="NLX30" s="30"/>
      <c r="NMC30" s="93"/>
      <c r="NMD30" s="30"/>
      <c r="NMI30" s="93"/>
      <c r="NMJ30" s="30"/>
      <c r="NMO30" s="93"/>
      <c r="NMP30" s="30"/>
      <c r="NMU30" s="93"/>
      <c r="NMV30" s="30"/>
      <c r="NNA30" s="93"/>
      <c r="NNB30" s="30"/>
      <c r="NNG30" s="93"/>
      <c r="NNH30" s="30"/>
      <c r="NNM30" s="93"/>
      <c r="NNN30" s="30"/>
      <c r="NNS30" s="93"/>
      <c r="NNT30" s="30"/>
      <c r="NNY30" s="93"/>
      <c r="NNZ30" s="30"/>
      <c r="NOE30" s="93"/>
      <c r="NOF30" s="30"/>
      <c r="NOK30" s="93"/>
      <c r="NOL30" s="30"/>
      <c r="NOQ30" s="93"/>
      <c r="NOR30" s="30"/>
      <c r="NOW30" s="93"/>
      <c r="NOX30" s="30"/>
      <c r="NPC30" s="93"/>
      <c r="NPD30" s="30"/>
      <c r="NPI30" s="93"/>
      <c r="NPJ30" s="30"/>
      <c r="NPO30" s="93"/>
      <c r="NPP30" s="30"/>
      <c r="NPU30" s="93"/>
      <c r="NPV30" s="30"/>
      <c r="NQA30" s="93"/>
      <c r="NQB30" s="30"/>
      <c r="NQG30" s="93"/>
      <c r="NQH30" s="30"/>
      <c r="NQM30" s="93"/>
      <c r="NQN30" s="30"/>
      <c r="NQS30" s="93"/>
      <c r="NQT30" s="30"/>
      <c r="NQY30" s="93"/>
      <c r="NQZ30" s="30"/>
      <c r="NRE30" s="93"/>
      <c r="NRF30" s="30"/>
      <c r="NRK30" s="93"/>
      <c r="NRL30" s="30"/>
      <c r="NRQ30" s="93"/>
      <c r="NRR30" s="30"/>
      <c r="NRW30" s="93"/>
      <c r="NRX30" s="30"/>
      <c r="NSC30" s="93"/>
      <c r="NSD30" s="30"/>
      <c r="NSI30" s="93"/>
      <c r="NSJ30" s="30"/>
      <c r="NSO30" s="93"/>
      <c r="NSP30" s="30"/>
      <c r="NSU30" s="93"/>
      <c r="NSV30" s="30"/>
      <c r="NTA30" s="93"/>
      <c r="NTB30" s="30"/>
      <c r="NTG30" s="93"/>
      <c r="NTH30" s="30"/>
      <c r="NTM30" s="93"/>
      <c r="NTN30" s="30"/>
      <c r="NTS30" s="93"/>
      <c r="NTT30" s="30"/>
      <c r="NTY30" s="93"/>
      <c r="NTZ30" s="30"/>
      <c r="NUE30" s="93"/>
      <c r="NUF30" s="30"/>
      <c r="NUK30" s="93"/>
      <c r="NUL30" s="30"/>
      <c r="NUQ30" s="93"/>
      <c r="NUR30" s="30"/>
      <c r="NUW30" s="93"/>
      <c r="NUX30" s="30"/>
      <c r="NVC30" s="93"/>
      <c r="NVD30" s="30"/>
      <c r="NVI30" s="93"/>
      <c r="NVJ30" s="30"/>
      <c r="NVO30" s="93"/>
      <c r="NVP30" s="30"/>
      <c r="NVU30" s="93"/>
      <c r="NVV30" s="30"/>
      <c r="NWA30" s="93"/>
      <c r="NWB30" s="30"/>
      <c r="NWG30" s="93"/>
      <c r="NWH30" s="30"/>
      <c r="NWM30" s="93"/>
      <c r="NWN30" s="30"/>
      <c r="NWS30" s="93"/>
      <c r="NWT30" s="30"/>
      <c r="NWY30" s="93"/>
      <c r="NWZ30" s="30"/>
      <c r="NXE30" s="93"/>
      <c r="NXF30" s="30"/>
      <c r="NXK30" s="93"/>
      <c r="NXL30" s="30"/>
      <c r="NXQ30" s="93"/>
      <c r="NXR30" s="30"/>
      <c r="NXW30" s="93"/>
      <c r="NXX30" s="30"/>
      <c r="NYC30" s="93"/>
      <c r="NYD30" s="30"/>
      <c r="NYI30" s="93"/>
      <c r="NYJ30" s="30"/>
      <c r="NYO30" s="93"/>
      <c r="NYP30" s="30"/>
      <c r="NYU30" s="93"/>
      <c r="NYV30" s="30"/>
      <c r="NZA30" s="93"/>
      <c r="NZB30" s="30"/>
      <c r="NZG30" s="93"/>
      <c r="NZH30" s="30"/>
      <c r="NZM30" s="93"/>
      <c r="NZN30" s="30"/>
      <c r="NZS30" s="93"/>
      <c r="NZT30" s="30"/>
      <c r="NZY30" s="93"/>
      <c r="NZZ30" s="30"/>
      <c r="OAE30" s="93"/>
      <c r="OAF30" s="30"/>
      <c r="OAK30" s="93"/>
      <c r="OAL30" s="30"/>
      <c r="OAQ30" s="93"/>
      <c r="OAR30" s="30"/>
      <c r="OAW30" s="93"/>
      <c r="OAX30" s="30"/>
      <c r="OBC30" s="93"/>
      <c r="OBD30" s="30"/>
      <c r="OBI30" s="93"/>
      <c r="OBJ30" s="30"/>
      <c r="OBO30" s="93"/>
      <c r="OBP30" s="30"/>
      <c r="OBU30" s="93"/>
      <c r="OBV30" s="30"/>
      <c r="OCA30" s="93"/>
      <c r="OCB30" s="30"/>
      <c r="OCG30" s="93"/>
      <c r="OCH30" s="30"/>
      <c r="OCM30" s="93"/>
      <c r="OCN30" s="30"/>
      <c r="OCS30" s="93"/>
      <c r="OCT30" s="30"/>
      <c r="OCY30" s="93"/>
      <c r="OCZ30" s="30"/>
      <c r="ODE30" s="93"/>
      <c r="ODF30" s="30"/>
      <c r="ODK30" s="93"/>
      <c r="ODL30" s="30"/>
      <c r="ODQ30" s="93"/>
      <c r="ODR30" s="30"/>
      <c r="ODW30" s="93"/>
      <c r="ODX30" s="30"/>
      <c r="OEC30" s="93"/>
      <c r="OED30" s="30"/>
      <c r="OEI30" s="93"/>
      <c r="OEJ30" s="30"/>
      <c r="OEO30" s="93"/>
      <c r="OEP30" s="30"/>
      <c r="OEU30" s="93"/>
      <c r="OEV30" s="30"/>
      <c r="OFA30" s="93"/>
      <c r="OFB30" s="30"/>
      <c r="OFG30" s="93"/>
      <c r="OFH30" s="30"/>
      <c r="OFM30" s="93"/>
      <c r="OFN30" s="30"/>
      <c r="OFS30" s="93"/>
      <c r="OFT30" s="30"/>
      <c r="OFY30" s="93"/>
      <c r="OFZ30" s="30"/>
      <c r="OGE30" s="93"/>
      <c r="OGF30" s="30"/>
      <c r="OGK30" s="93"/>
      <c r="OGL30" s="30"/>
      <c r="OGQ30" s="93"/>
      <c r="OGR30" s="30"/>
      <c r="OGW30" s="93"/>
      <c r="OGX30" s="30"/>
      <c r="OHC30" s="93"/>
      <c r="OHD30" s="30"/>
      <c r="OHI30" s="93"/>
      <c r="OHJ30" s="30"/>
      <c r="OHO30" s="93"/>
      <c r="OHP30" s="30"/>
      <c r="OHU30" s="93"/>
      <c r="OHV30" s="30"/>
      <c r="OIA30" s="93"/>
      <c r="OIB30" s="30"/>
      <c r="OIG30" s="93"/>
      <c r="OIH30" s="30"/>
      <c r="OIM30" s="93"/>
      <c r="OIN30" s="30"/>
      <c r="OIS30" s="93"/>
      <c r="OIT30" s="30"/>
      <c r="OIY30" s="93"/>
      <c r="OIZ30" s="30"/>
      <c r="OJE30" s="93"/>
      <c r="OJF30" s="30"/>
      <c r="OJK30" s="93"/>
      <c r="OJL30" s="30"/>
      <c r="OJQ30" s="93"/>
      <c r="OJR30" s="30"/>
      <c r="OJW30" s="93"/>
      <c r="OJX30" s="30"/>
      <c r="OKC30" s="93"/>
      <c r="OKD30" s="30"/>
      <c r="OKI30" s="93"/>
      <c r="OKJ30" s="30"/>
      <c r="OKO30" s="93"/>
      <c r="OKP30" s="30"/>
      <c r="OKU30" s="93"/>
      <c r="OKV30" s="30"/>
      <c r="OLA30" s="93"/>
      <c r="OLB30" s="30"/>
      <c r="OLG30" s="93"/>
      <c r="OLH30" s="30"/>
      <c r="OLM30" s="93"/>
      <c r="OLN30" s="30"/>
      <c r="OLS30" s="93"/>
      <c r="OLT30" s="30"/>
      <c r="OLY30" s="93"/>
      <c r="OLZ30" s="30"/>
      <c r="OME30" s="93"/>
      <c r="OMF30" s="30"/>
      <c r="OMK30" s="93"/>
      <c r="OML30" s="30"/>
      <c r="OMQ30" s="93"/>
      <c r="OMR30" s="30"/>
      <c r="OMW30" s="93"/>
      <c r="OMX30" s="30"/>
      <c r="ONC30" s="93"/>
      <c r="OND30" s="30"/>
      <c r="ONI30" s="93"/>
      <c r="ONJ30" s="30"/>
      <c r="ONO30" s="93"/>
      <c r="ONP30" s="30"/>
      <c r="ONU30" s="93"/>
      <c r="ONV30" s="30"/>
      <c r="OOA30" s="93"/>
      <c r="OOB30" s="30"/>
      <c r="OOG30" s="93"/>
      <c r="OOH30" s="30"/>
      <c r="OOM30" s="93"/>
      <c r="OON30" s="30"/>
      <c r="OOS30" s="93"/>
      <c r="OOT30" s="30"/>
      <c r="OOY30" s="93"/>
      <c r="OOZ30" s="30"/>
      <c r="OPE30" s="93"/>
      <c r="OPF30" s="30"/>
      <c r="OPK30" s="93"/>
      <c r="OPL30" s="30"/>
      <c r="OPQ30" s="93"/>
      <c r="OPR30" s="30"/>
      <c r="OPW30" s="93"/>
      <c r="OPX30" s="30"/>
      <c r="OQC30" s="93"/>
      <c r="OQD30" s="30"/>
      <c r="OQI30" s="93"/>
      <c r="OQJ30" s="30"/>
      <c r="OQO30" s="93"/>
      <c r="OQP30" s="30"/>
      <c r="OQU30" s="93"/>
      <c r="OQV30" s="30"/>
      <c r="ORA30" s="93"/>
      <c r="ORB30" s="30"/>
      <c r="ORG30" s="93"/>
      <c r="ORH30" s="30"/>
      <c r="ORM30" s="93"/>
      <c r="ORN30" s="30"/>
      <c r="ORS30" s="93"/>
      <c r="ORT30" s="30"/>
      <c r="ORY30" s="93"/>
      <c r="ORZ30" s="30"/>
      <c r="OSE30" s="93"/>
      <c r="OSF30" s="30"/>
      <c r="OSK30" s="93"/>
      <c r="OSL30" s="30"/>
      <c r="OSQ30" s="93"/>
      <c r="OSR30" s="30"/>
      <c r="OSW30" s="93"/>
      <c r="OSX30" s="30"/>
      <c r="OTC30" s="93"/>
      <c r="OTD30" s="30"/>
      <c r="OTI30" s="93"/>
      <c r="OTJ30" s="30"/>
      <c r="OTO30" s="93"/>
      <c r="OTP30" s="30"/>
      <c r="OTU30" s="93"/>
      <c r="OTV30" s="30"/>
      <c r="OUA30" s="93"/>
      <c r="OUB30" s="30"/>
      <c r="OUG30" s="93"/>
      <c r="OUH30" s="30"/>
      <c r="OUM30" s="93"/>
      <c r="OUN30" s="30"/>
      <c r="OUS30" s="93"/>
      <c r="OUT30" s="30"/>
      <c r="OUY30" s="93"/>
      <c r="OUZ30" s="30"/>
      <c r="OVE30" s="93"/>
      <c r="OVF30" s="30"/>
      <c r="OVK30" s="93"/>
      <c r="OVL30" s="30"/>
      <c r="OVQ30" s="93"/>
      <c r="OVR30" s="30"/>
      <c r="OVW30" s="93"/>
      <c r="OVX30" s="30"/>
      <c r="OWC30" s="93"/>
      <c r="OWD30" s="30"/>
      <c r="OWI30" s="93"/>
      <c r="OWJ30" s="30"/>
      <c r="OWO30" s="93"/>
      <c r="OWP30" s="30"/>
      <c r="OWU30" s="93"/>
      <c r="OWV30" s="30"/>
      <c r="OXA30" s="93"/>
      <c r="OXB30" s="30"/>
      <c r="OXG30" s="93"/>
      <c r="OXH30" s="30"/>
      <c r="OXM30" s="93"/>
      <c r="OXN30" s="30"/>
      <c r="OXS30" s="93"/>
      <c r="OXT30" s="30"/>
      <c r="OXY30" s="93"/>
      <c r="OXZ30" s="30"/>
      <c r="OYE30" s="93"/>
      <c r="OYF30" s="30"/>
      <c r="OYK30" s="93"/>
      <c r="OYL30" s="30"/>
      <c r="OYQ30" s="93"/>
      <c r="OYR30" s="30"/>
      <c r="OYW30" s="93"/>
      <c r="OYX30" s="30"/>
      <c r="OZC30" s="93"/>
      <c r="OZD30" s="30"/>
      <c r="OZI30" s="93"/>
      <c r="OZJ30" s="30"/>
      <c r="OZO30" s="93"/>
      <c r="OZP30" s="30"/>
      <c r="OZU30" s="93"/>
      <c r="OZV30" s="30"/>
      <c r="PAA30" s="93"/>
      <c r="PAB30" s="30"/>
      <c r="PAG30" s="93"/>
      <c r="PAH30" s="30"/>
      <c r="PAM30" s="93"/>
      <c r="PAN30" s="30"/>
      <c r="PAS30" s="93"/>
      <c r="PAT30" s="30"/>
      <c r="PAY30" s="93"/>
      <c r="PAZ30" s="30"/>
      <c r="PBE30" s="93"/>
      <c r="PBF30" s="30"/>
      <c r="PBK30" s="93"/>
      <c r="PBL30" s="30"/>
      <c r="PBQ30" s="93"/>
      <c r="PBR30" s="30"/>
      <c r="PBW30" s="93"/>
      <c r="PBX30" s="30"/>
      <c r="PCC30" s="93"/>
      <c r="PCD30" s="30"/>
      <c r="PCI30" s="93"/>
      <c r="PCJ30" s="30"/>
      <c r="PCO30" s="93"/>
      <c r="PCP30" s="30"/>
      <c r="PCU30" s="93"/>
      <c r="PCV30" s="30"/>
      <c r="PDA30" s="93"/>
      <c r="PDB30" s="30"/>
      <c r="PDG30" s="93"/>
      <c r="PDH30" s="30"/>
      <c r="PDM30" s="93"/>
      <c r="PDN30" s="30"/>
      <c r="PDS30" s="93"/>
      <c r="PDT30" s="30"/>
      <c r="PDY30" s="93"/>
      <c r="PDZ30" s="30"/>
      <c r="PEE30" s="93"/>
      <c r="PEF30" s="30"/>
      <c r="PEK30" s="93"/>
      <c r="PEL30" s="30"/>
      <c r="PEQ30" s="93"/>
      <c r="PER30" s="30"/>
      <c r="PEW30" s="93"/>
      <c r="PEX30" s="30"/>
      <c r="PFC30" s="93"/>
      <c r="PFD30" s="30"/>
      <c r="PFI30" s="93"/>
      <c r="PFJ30" s="30"/>
      <c r="PFO30" s="93"/>
      <c r="PFP30" s="30"/>
      <c r="PFU30" s="93"/>
      <c r="PFV30" s="30"/>
      <c r="PGA30" s="93"/>
      <c r="PGB30" s="30"/>
      <c r="PGG30" s="93"/>
      <c r="PGH30" s="30"/>
      <c r="PGM30" s="93"/>
      <c r="PGN30" s="30"/>
      <c r="PGS30" s="93"/>
      <c r="PGT30" s="30"/>
      <c r="PGY30" s="93"/>
      <c r="PGZ30" s="30"/>
      <c r="PHE30" s="93"/>
      <c r="PHF30" s="30"/>
      <c r="PHK30" s="93"/>
      <c r="PHL30" s="30"/>
      <c r="PHQ30" s="93"/>
      <c r="PHR30" s="30"/>
      <c r="PHW30" s="93"/>
      <c r="PHX30" s="30"/>
      <c r="PIC30" s="93"/>
      <c r="PID30" s="30"/>
      <c r="PII30" s="93"/>
      <c r="PIJ30" s="30"/>
      <c r="PIO30" s="93"/>
      <c r="PIP30" s="30"/>
      <c r="PIU30" s="93"/>
      <c r="PIV30" s="30"/>
      <c r="PJA30" s="93"/>
      <c r="PJB30" s="30"/>
      <c r="PJG30" s="93"/>
      <c r="PJH30" s="30"/>
      <c r="PJM30" s="93"/>
      <c r="PJN30" s="30"/>
      <c r="PJS30" s="93"/>
      <c r="PJT30" s="30"/>
      <c r="PJY30" s="93"/>
      <c r="PJZ30" s="30"/>
      <c r="PKE30" s="93"/>
      <c r="PKF30" s="30"/>
      <c r="PKK30" s="93"/>
      <c r="PKL30" s="30"/>
      <c r="PKQ30" s="93"/>
      <c r="PKR30" s="30"/>
      <c r="PKW30" s="93"/>
      <c r="PKX30" s="30"/>
      <c r="PLC30" s="93"/>
      <c r="PLD30" s="30"/>
      <c r="PLI30" s="93"/>
      <c r="PLJ30" s="30"/>
      <c r="PLO30" s="93"/>
      <c r="PLP30" s="30"/>
      <c r="PLU30" s="93"/>
      <c r="PLV30" s="30"/>
      <c r="PMA30" s="93"/>
      <c r="PMB30" s="30"/>
      <c r="PMG30" s="93"/>
      <c r="PMH30" s="30"/>
      <c r="PMM30" s="93"/>
      <c r="PMN30" s="30"/>
      <c r="PMS30" s="93"/>
      <c r="PMT30" s="30"/>
      <c r="PMY30" s="93"/>
      <c r="PMZ30" s="30"/>
      <c r="PNE30" s="93"/>
      <c r="PNF30" s="30"/>
      <c r="PNK30" s="93"/>
      <c r="PNL30" s="30"/>
      <c r="PNQ30" s="93"/>
      <c r="PNR30" s="30"/>
      <c r="PNW30" s="93"/>
      <c r="PNX30" s="30"/>
      <c r="POC30" s="93"/>
      <c r="POD30" s="30"/>
      <c r="POI30" s="93"/>
      <c r="POJ30" s="30"/>
      <c r="POO30" s="93"/>
      <c r="POP30" s="30"/>
      <c r="POU30" s="93"/>
      <c r="POV30" s="30"/>
      <c r="PPA30" s="93"/>
      <c r="PPB30" s="30"/>
      <c r="PPG30" s="93"/>
      <c r="PPH30" s="30"/>
      <c r="PPM30" s="93"/>
      <c r="PPN30" s="30"/>
      <c r="PPS30" s="93"/>
      <c r="PPT30" s="30"/>
      <c r="PPY30" s="93"/>
      <c r="PPZ30" s="30"/>
      <c r="PQE30" s="93"/>
      <c r="PQF30" s="30"/>
      <c r="PQK30" s="93"/>
      <c r="PQL30" s="30"/>
      <c r="PQQ30" s="93"/>
      <c r="PQR30" s="30"/>
      <c r="PQW30" s="93"/>
      <c r="PQX30" s="30"/>
      <c r="PRC30" s="93"/>
      <c r="PRD30" s="30"/>
      <c r="PRI30" s="93"/>
      <c r="PRJ30" s="30"/>
      <c r="PRO30" s="93"/>
      <c r="PRP30" s="30"/>
      <c r="PRU30" s="93"/>
      <c r="PRV30" s="30"/>
      <c r="PSA30" s="93"/>
      <c r="PSB30" s="30"/>
      <c r="PSG30" s="93"/>
      <c r="PSH30" s="30"/>
      <c r="PSM30" s="93"/>
      <c r="PSN30" s="30"/>
      <c r="PSS30" s="93"/>
      <c r="PST30" s="30"/>
      <c r="PSY30" s="93"/>
      <c r="PSZ30" s="30"/>
      <c r="PTE30" s="93"/>
      <c r="PTF30" s="30"/>
      <c r="PTK30" s="93"/>
      <c r="PTL30" s="30"/>
      <c r="PTQ30" s="93"/>
      <c r="PTR30" s="30"/>
      <c r="PTW30" s="93"/>
      <c r="PTX30" s="30"/>
      <c r="PUC30" s="93"/>
      <c r="PUD30" s="30"/>
      <c r="PUI30" s="93"/>
      <c r="PUJ30" s="30"/>
      <c r="PUO30" s="93"/>
      <c r="PUP30" s="30"/>
      <c r="PUU30" s="93"/>
      <c r="PUV30" s="30"/>
      <c r="PVA30" s="93"/>
      <c r="PVB30" s="30"/>
      <c r="PVG30" s="93"/>
      <c r="PVH30" s="30"/>
      <c r="PVM30" s="93"/>
      <c r="PVN30" s="30"/>
      <c r="PVS30" s="93"/>
      <c r="PVT30" s="30"/>
      <c r="PVY30" s="93"/>
      <c r="PVZ30" s="30"/>
      <c r="PWE30" s="93"/>
      <c r="PWF30" s="30"/>
      <c r="PWK30" s="93"/>
      <c r="PWL30" s="30"/>
      <c r="PWQ30" s="93"/>
      <c r="PWR30" s="30"/>
      <c r="PWW30" s="93"/>
      <c r="PWX30" s="30"/>
      <c r="PXC30" s="93"/>
      <c r="PXD30" s="30"/>
      <c r="PXI30" s="93"/>
      <c r="PXJ30" s="30"/>
      <c r="PXO30" s="93"/>
      <c r="PXP30" s="30"/>
      <c r="PXU30" s="93"/>
      <c r="PXV30" s="30"/>
      <c r="PYA30" s="93"/>
      <c r="PYB30" s="30"/>
      <c r="PYG30" s="93"/>
      <c r="PYH30" s="30"/>
      <c r="PYM30" s="93"/>
      <c r="PYN30" s="30"/>
      <c r="PYS30" s="93"/>
      <c r="PYT30" s="30"/>
      <c r="PYY30" s="93"/>
      <c r="PYZ30" s="30"/>
      <c r="PZE30" s="93"/>
      <c r="PZF30" s="30"/>
      <c r="PZK30" s="93"/>
      <c r="PZL30" s="30"/>
      <c r="PZQ30" s="93"/>
      <c r="PZR30" s="30"/>
      <c r="PZW30" s="93"/>
      <c r="PZX30" s="30"/>
      <c r="QAC30" s="93"/>
      <c r="QAD30" s="30"/>
      <c r="QAI30" s="93"/>
      <c r="QAJ30" s="30"/>
      <c r="QAO30" s="93"/>
      <c r="QAP30" s="30"/>
      <c r="QAU30" s="93"/>
      <c r="QAV30" s="30"/>
      <c r="QBA30" s="93"/>
      <c r="QBB30" s="30"/>
      <c r="QBG30" s="93"/>
      <c r="QBH30" s="30"/>
      <c r="QBM30" s="93"/>
      <c r="QBN30" s="30"/>
      <c r="QBS30" s="93"/>
      <c r="QBT30" s="30"/>
      <c r="QBY30" s="93"/>
      <c r="QBZ30" s="30"/>
      <c r="QCE30" s="93"/>
      <c r="QCF30" s="30"/>
      <c r="QCK30" s="93"/>
      <c r="QCL30" s="30"/>
      <c r="QCQ30" s="93"/>
      <c r="QCR30" s="30"/>
      <c r="QCW30" s="93"/>
      <c r="QCX30" s="30"/>
      <c r="QDC30" s="93"/>
      <c r="QDD30" s="30"/>
      <c r="QDI30" s="93"/>
      <c r="QDJ30" s="30"/>
      <c r="QDO30" s="93"/>
      <c r="QDP30" s="30"/>
      <c r="QDU30" s="93"/>
      <c r="QDV30" s="30"/>
      <c r="QEA30" s="93"/>
      <c r="QEB30" s="30"/>
      <c r="QEG30" s="93"/>
      <c r="QEH30" s="30"/>
      <c r="QEM30" s="93"/>
      <c r="QEN30" s="30"/>
      <c r="QES30" s="93"/>
      <c r="QET30" s="30"/>
      <c r="QEY30" s="93"/>
      <c r="QEZ30" s="30"/>
      <c r="QFE30" s="93"/>
      <c r="QFF30" s="30"/>
      <c r="QFK30" s="93"/>
      <c r="QFL30" s="30"/>
      <c r="QFQ30" s="93"/>
      <c r="QFR30" s="30"/>
      <c r="QFW30" s="93"/>
      <c r="QFX30" s="30"/>
      <c r="QGC30" s="93"/>
      <c r="QGD30" s="30"/>
      <c r="QGI30" s="93"/>
      <c r="QGJ30" s="30"/>
      <c r="QGO30" s="93"/>
      <c r="QGP30" s="30"/>
      <c r="QGU30" s="93"/>
      <c r="QGV30" s="30"/>
      <c r="QHA30" s="93"/>
      <c r="QHB30" s="30"/>
      <c r="QHG30" s="93"/>
      <c r="QHH30" s="30"/>
      <c r="QHM30" s="93"/>
      <c r="QHN30" s="30"/>
      <c r="QHS30" s="93"/>
      <c r="QHT30" s="30"/>
      <c r="QHY30" s="93"/>
      <c r="QHZ30" s="30"/>
      <c r="QIE30" s="93"/>
      <c r="QIF30" s="30"/>
      <c r="QIK30" s="93"/>
      <c r="QIL30" s="30"/>
      <c r="QIQ30" s="93"/>
      <c r="QIR30" s="30"/>
      <c r="QIW30" s="93"/>
      <c r="QIX30" s="30"/>
      <c r="QJC30" s="93"/>
      <c r="QJD30" s="30"/>
      <c r="QJI30" s="93"/>
      <c r="QJJ30" s="30"/>
      <c r="QJO30" s="93"/>
      <c r="QJP30" s="30"/>
      <c r="QJU30" s="93"/>
      <c r="QJV30" s="30"/>
      <c r="QKA30" s="93"/>
      <c r="QKB30" s="30"/>
      <c r="QKG30" s="93"/>
      <c r="QKH30" s="30"/>
      <c r="QKM30" s="93"/>
      <c r="QKN30" s="30"/>
      <c r="QKS30" s="93"/>
      <c r="QKT30" s="30"/>
      <c r="QKY30" s="93"/>
      <c r="QKZ30" s="30"/>
      <c r="QLE30" s="93"/>
      <c r="QLF30" s="30"/>
      <c r="QLK30" s="93"/>
      <c r="QLL30" s="30"/>
      <c r="QLQ30" s="93"/>
      <c r="QLR30" s="30"/>
      <c r="QLW30" s="93"/>
      <c r="QLX30" s="30"/>
      <c r="QMC30" s="93"/>
      <c r="QMD30" s="30"/>
      <c r="QMI30" s="93"/>
      <c r="QMJ30" s="30"/>
      <c r="QMO30" s="93"/>
      <c r="QMP30" s="30"/>
      <c r="QMU30" s="93"/>
      <c r="QMV30" s="30"/>
      <c r="QNA30" s="93"/>
      <c r="QNB30" s="30"/>
      <c r="QNG30" s="93"/>
      <c r="QNH30" s="30"/>
      <c r="QNM30" s="93"/>
      <c r="QNN30" s="30"/>
      <c r="QNS30" s="93"/>
      <c r="QNT30" s="30"/>
      <c r="QNY30" s="93"/>
      <c r="QNZ30" s="30"/>
      <c r="QOE30" s="93"/>
      <c r="QOF30" s="30"/>
      <c r="QOK30" s="93"/>
      <c r="QOL30" s="30"/>
      <c r="QOQ30" s="93"/>
      <c r="QOR30" s="30"/>
      <c r="QOW30" s="93"/>
      <c r="QOX30" s="30"/>
      <c r="QPC30" s="93"/>
      <c r="QPD30" s="30"/>
      <c r="QPI30" s="93"/>
      <c r="QPJ30" s="30"/>
      <c r="QPO30" s="93"/>
      <c r="QPP30" s="30"/>
      <c r="QPU30" s="93"/>
      <c r="QPV30" s="30"/>
      <c r="QQA30" s="93"/>
      <c r="QQB30" s="30"/>
      <c r="QQG30" s="93"/>
      <c r="QQH30" s="30"/>
      <c r="QQM30" s="93"/>
      <c r="QQN30" s="30"/>
      <c r="QQS30" s="93"/>
      <c r="QQT30" s="30"/>
      <c r="QQY30" s="93"/>
      <c r="QQZ30" s="30"/>
      <c r="QRE30" s="93"/>
      <c r="QRF30" s="30"/>
      <c r="QRK30" s="93"/>
      <c r="QRL30" s="30"/>
      <c r="QRQ30" s="93"/>
      <c r="QRR30" s="30"/>
      <c r="QRW30" s="93"/>
      <c r="QRX30" s="30"/>
      <c r="QSC30" s="93"/>
      <c r="QSD30" s="30"/>
      <c r="QSI30" s="93"/>
      <c r="QSJ30" s="30"/>
      <c r="QSO30" s="93"/>
      <c r="QSP30" s="30"/>
      <c r="QSU30" s="93"/>
      <c r="QSV30" s="30"/>
      <c r="QTA30" s="93"/>
      <c r="QTB30" s="30"/>
      <c r="QTG30" s="93"/>
      <c r="QTH30" s="30"/>
      <c r="QTM30" s="93"/>
      <c r="QTN30" s="30"/>
      <c r="QTS30" s="93"/>
      <c r="QTT30" s="30"/>
      <c r="QTY30" s="93"/>
      <c r="QTZ30" s="30"/>
      <c r="QUE30" s="93"/>
      <c r="QUF30" s="30"/>
      <c r="QUK30" s="93"/>
      <c r="QUL30" s="30"/>
      <c r="QUQ30" s="93"/>
      <c r="QUR30" s="30"/>
      <c r="QUW30" s="93"/>
      <c r="QUX30" s="30"/>
      <c r="QVC30" s="93"/>
      <c r="QVD30" s="30"/>
      <c r="QVI30" s="93"/>
      <c r="QVJ30" s="30"/>
      <c r="QVO30" s="93"/>
      <c r="QVP30" s="30"/>
      <c r="QVU30" s="93"/>
      <c r="QVV30" s="30"/>
      <c r="QWA30" s="93"/>
      <c r="QWB30" s="30"/>
      <c r="QWG30" s="93"/>
      <c r="QWH30" s="30"/>
      <c r="QWM30" s="93"/>
      <c r="QWN30" s="30"/>
      <c r="QWS30" s="93"/>
      <c r="QWT30" s="30"/>
      <c r="QWY30" s="93"/>
      <c r="QWZ30" s="30"/>
      <c r="QXE30" s="93"/>
      <c r="QXF30" s="30"/>
      <c r="QXK30" s="93"/>
      <c r="QXL30" s="30"/>
      <c r="QXQ30" s="93"/>
      <c r="QXR30" s="30"/>
      <c r="QXW30" s="93"/>
      <c r="QXX30" s="30"/>
      <c r="QYC30" s="93"/>
      <c r="QYD30" s="30"/>
      <c r="QYI30" s="93"/>
      <c r="QYJ30" s="30"/>
      <c r="QYO30" s="93"/>
      <c r="QYP30" s="30"/>
      <c r="QYU30" s="93"/>
      <c r="QYV30" s="30"/>
      <c r="QZA30" s="93"/>
      <c r="QZB30" s="30"/>
      <c r="QZG30" s="93"/>
      <c r="QZH30" s="30"/>
      <c r="QZM30" s="93"/>
      <c r="QZN30" s="30"/>
      <c r="QZS30" s="93"/>
      <c r="QZT30" s="30"/>
      <c r="QZY30" s="93"/>
      <c r="QZZ30" s="30"/>
      <c r="RAE30" s="93"/>
      <c r="RAF30" s="30"/>
      <c r="RAK30" s="93"/>
      <c r="RAL30" s="30"/>
      <c r="RAQ30" s="93"/>
      <c r="RAR30" s="30"/>
      <c r="RAW30" s="93"/>
      <c r="RAX30" s="30"/>
      <c r="RBC30" s="93"/>
      <c r="RBD30" s="30"/>
      <c r="RBI30" s="93"/>
      <c r="RBJ30" s="30"/>
      <c r="RBO30" s="93"/>
      <c r="RBP30" s="30"/>
      <c r="RBU30" s="93"/>
      <c r="RBV30" s="30"/>
      <c r="RCA30" s="93"/>
      <c r="RCB30" s="30"/>
      <c r="RCG30" s="93"/>
      <c r="RCH30" s="30"/>
      <c r="RCM30" s="93"/>
      <c r="RCN30" s="30"/>
      <c r="RCS30" s="93"/>
      <c r="RCT30" s="30"/>
      <c r="RCY30" s="93"/>
      <c r="RCZ30" s="30"/>
      <c r="RDE30" s="93"/>
      <c r="RDF30" s="30"/>
      <c r="RDK30" s="93"/>
      <c r="RDL30" s="30"/>
      <c r="RDQ30" s="93"/>
      <c r="RDR30" s="30"/>
      <c r="RDW30" s="93"/>
      <c r="RDX30" s="30"/>
      <c r="REC30" s="93"/>
      <c r="RED30" s="30"/>
      <c r="REI30" s="93"/>
      <c r="REJ30" s="30"/>
      <c r="REO30" s="93"/>
      <c r="REP30" s="30"/>
      <c r="REU30" s="93"/>
      <c r="REV30" s="30"/>
      <c r="RFA30" s="93"/>
      <c r="RFB30" s="30"/>
      <c r="RFG30" s="93"/>
      <c r="RFH30" s="30"/>
      <c r="RFM30" s="93"/>
      <c r="RFN30" s="30"/>
      <c r="RFS30" s="93"/>
      <c r="RFT30" s="30"/>
      <c r="RFY30" s="93"/>
      <c r="RFZ30" s="30"/>
      <c r="RGE30" s="93"/>
      <c r="RGF30" s="30"/>
      <c r="RGK30" s="93"/>
      <c r="RGL30" s="30"/>
      <c r="RGQ30" s="93"/>
      <c r="RGR30" s="30"/>
      <c r="RGW30" s="93"/>
      <c r="RGX30" s="30"/>
      <c r="RHC30" s="93"/>
      <c r="RHD30" s="30"/>
      <c r="RHI30" s="93"/>
      <c r="RHJ30" s="30"/>
      <c r="RHO30" s="93"/>
      <c r="RHP30" s="30"/>
      <c r="RHU30" s="93"/>
      <c r="RHV30" s="30"/>
      <c r="RIA30" s="93"/>
      <c r="RIB30" s="30"/>
      <c r="RIG30" s="93"/>
      <c r="RIH30" s="30"/>
      <c r="RIM30" s="93"/>
      <c r="RIN30" s="30"/>
      <c r="RIS30" s="93"/>
      <c r="RIT30" s="30"/>
      <c r="RIY30" s="93"/>
      <c r="RIZ30" s="30"/>
      <c r="RJE30" s="93"/>
      <c r="RJF30" s="30"/>
      <c r="RJK30" s="93"/>
      <c r="RJL30" s="30"/>
      <c r="RJQ30" s="93"/>
      <c r="RJR30" s="30"/>
      <c r="RJW30" s="93"/>
      <c r="RJX30" s="30"/>
      <c r="RKC30" s="93"/>
      <c r="RKD30" s="30"/>
      <c r="RKI30" s="93"/>
      <c r="RKJ30" s="30"/>
      <c r="RKO30" s="93"/>
      <c r="RKP30" s="30"/>
      <c r="RKU30" s="93"/>
      <c r="RKV30" s="30"/>
      <c r="RLA30" s="93"/>
      <c r="RLB30" s="30"/>
      <c r="RLG30" s="93"/>
      <c r="RLH30" s="30"/>
      <c r="RLM30" s="93"/>
      <c r="RLN30" s="30"/>
      <c r="RLS30" s="93"/>
      <c r="RLT30" s="30"/>
      <c r="RLY30" s="93"/>
      <c r="RLZ30" s="30"/>
      <c r="RME30" s="93"/>
      <c r="RMF30" s="30"/>
      <c r="RMK30" s="93"/>
      <c r="RML30" s="30"/>
      <c r="RMQ30" s="93"/>
      <c r="RMR30" s="30"/>
      <c r="RMW30" s="93"/>
      <c r="RMX30" s="30"/>
      <c r="RNC30" s="93"/>
      <c r="RND30" s="30"/>
      <c r="RNI30" s="93"/>
      <c r="RNJ30" s="30"/>
      <c r="RNO30" s="93"/>
      <c r="RNP30" s="30"/>
      <c r="RNU30" s="93"/>
      <c r="RNV30" s="30"/>
      <c r="ROA30" s="93"/>
      <c r="ROB30" s="30"/>
      <c r="ROG30" s="93"/>
      <c r="ROH30" s="30"/>
      <c r="ROM30" s="93"/>
      <c r="RON30" s="30"/>
      <c r="ROS30" s="93"/>
      <c r="ROT30" s="30"/>
      <c r="ROY30" s="93"/>
      <c r="ROZ30" s="30"/>
      <c r="RPE30" s="93"/>
      <c r="RPF30" s="30"/>
      <c r="RPK30" s="93"/>
      <c r="RPL30" s="30"/>
      <c r="RPQ30" s="93"/>
      <c r="RPR30" s="30"/>
      <c r="RPW30" s="93"/>
      <c r="RPX30" s="30"/>
      <c r="RQC30" s="93"/>
      <c r="RQD30" s="30"/>
      <c r="RQI30" s="93"/>
      <c r="RQJ30" s="30"/>
      <c r="RQO30" s="93"/>
      <c r="RQP30" s="30"/>
      <c r="RQU30" s="93"/>
      <c r="RQV30" s="30"/>
      <c r="RRA30" s="93"/>
      <c r="RRB30" s="30"/>
      <c r="RRG30" s="93"/>
      <c r="RRH30" s="30"/>
      <c r="RRM30" s="93"/>
      <c r="RRN30" s="30"/>
      <c r="RRS30" s="93"/>
      <c r="RRT30" s="30"/>
      <c r="RRY30" s="93"/>
      <c r="RRZ30" s="30"/>
      <c r="RSE30" s="93"/>
      <c r="RSF30" s="30"/>
      <c r="RSK30" s="93"/>
      <c r="RSL30" s="30"/>
      <c r="RSQ30" s="93"/>
      <c r="RSR30" s="30"/>
      <c r="RSW30" s="93"/>
      <c r="RSX30" s="30"/>
      <c r="RTC30" s="93"/>
      <c r="RTD30" s="30"/>
      <c r="RTI30" s="93"/>
      <c r="RTJ30" s="30"/>
      <c r="RTO30" s="93"/>
      <c r="RTP30" s="30"/>
      <c r="RTU30" s="93"/>
      <c r="RTV30" s="30"/>
      <c r="RUA30" s="93"/>
      <c r="RUB30" s="30"/>
      <c r="RUG30" s="93"/>
      <c r="RUH30" s="30"/>
      <c r="RUM30" s="93"/>
      <c r="RUN30" s="30"/>
      <c r="RUS30" s="93"/>
      <c r="RUT30" s="30"/>
      <c r="RUY30" s="93"/>
      <c r="RUZ30" s="30"/>
      <c r="RVE30" s="93"/>
      <c r="RVF30" s="30"/>
      <c r="RVK30" s="93"/>
      <c r="RVL30" s="30"/>
      <c r="RVQ30" s="93"/>
      <c r="RVR30" s="30"/>
      <c r="RVW30" s="93"/>
      <c r="RVX30" s="30"/>
      <c r="RWC30" s="93"/>
      <c r="RWD30" s="30"/>
      <c r="RWI30" s="93"/>
      <c r="RWJ30" s="30"/>
      <c r="RWO30" s="93"/>
      <c r="RWP30" s="30"/>
      <c r="RWU30" s="93"/>
      <c r="RWV30" s="30"/>
      <c r="RXA30" s="93"/>
      <c r="RXB30" s="30"/>
      <c r="RXG30" s="93"/>
      <c r="RXH30" s="30"/>
      <c r="RXM30" s="93"/>
      <c r="RXN30" s="30"/>
      <c r="RXS30" s="93"/>
      <c r="RXT30" s="30"/>
      <c r="RXY30" s="93"/>
      <c r="RXZ30" s="30"/>
      <c r="RYE30" s="93"/>
      <c r="RYF30" s="30"/>
      <c r="RYK30" s="93"/>
      <c r="RYL30" s="30"/>
      <c r="RYQ30" s="93"/>
      <c r="RYR30" s="30"/>
      <c r="RYW30" s="93"/>
      <c r="RYX30" s="30"/>
      <c r="RZC30" s="93"/>
      <c r="RZD30" s="30"/>
      <c r="RZI30" s="93"/>
      <c r="RZJ30" s="30"/>
      <c r="RZO30" s="93"/>
      <c r="RZP30" s="30"/>
      <c r="RZU30" s="93"/>
      <c r="RZV30" s="30"/>
      <c r="SAA30" s="93"/>
      <c r="SAB30" s="30"/>
      <c r="SAG30" s="93"/>
      <c r="SAH30" s="30"/>
      <c r="SAM30" s="93"/>
      <c r="SAN30" s="30"/>
      <c r="SAS30" s="93"/>
      <c r="SAT30" s="30"/>
      <c r="SAY30" s="93"/>
      <c r="SAZ30" s="30"/>
      <c r="SBE30" s="93"/>
      <c r="SBF30" s="30"/>
      <c r="SBK30" s="93"/>
      <c r="SBL30" s="30"/>
      <c r="SBQ30" s="93"/>
      <c r="SBR30" s="30"/>
      <c r="SBW30" s="93"/>
      <c r="SBX30" s="30"/>
      <c r="SCC30" s="93"/>
      <c r="SCD30" s="30"/>
      <c r="SCI30" s="93"/>
      <c r="SCJ30" s="30"/>
      <c r="SCO30" s="93"/>
      <c r="SCP30" s="30"/>
      <c r="SCU30" s="93"/>
      <c r="SCV30" s="30"/>
      <c r="SDA30" s="93"/>
      <c r="SDB30" s="30"/>
      <c r="SDG30" s="93"/>
      <c r="SDH30" s="30"/>
      <c r="SDM30" s="93"/>
      <c r="SDN30" s="30"/>
      <c r="SDS30" s="93"/>
      <c r="SDT30" s="30"/>
      <c r="SDY30" s="93"/>
      <c r="SDZ30" s="30"/>
      <c r="SEE30" s="93"/>
      <c r="SEF30" s="30"/>
      <c r="SEK30" s="93"/>
      <c r="SEL30" s="30"/>
      <c r="SEQ30" s="93"/>
      <c r="SER30" s="30"/>
      <c r="SEW30" s="93"/>
      <c r="SEX30" s="30"/>
      <c r="SFC30" s="93"/>
      <c r="SFD30" s="30"/>
      <c r="SFI30" s="93"/>
      <c r="SFJ30" s="30"/>
      <c r="SFO30" s="93"/>
      <c r="SFP30" s="30"/>
      <c r="SFU30" s="93"/>
      <c r="SFV30" s="30"/>
      <c r="SGA30" s="93"/>
      <c r="SGB30" s="30"/>
      <c r="SGG30" s="93"/>
      <c r="SGH30" s="30"/>
      <c r="SGM30" s="93"/>
      <c r="SGN30" s="30"/>
      <c r="SGS30" s="93"/>
      <c r="SGT30" s="30"/>
      <c r="SGY30" s="93"/>
      <c r="SGZ30" s="30"/>
      <c r="SHE30" s="93"/>
      <c r="SHF30" s="30"/>
      <c r="SHK30" s="93"/>
      <c r="SHL30" s="30"/>
      <c r="SHQ30" s="93"/>
      <c r="SHR30" s="30"/>
      <c r="SHW30" s="93"/>
      <c r="SHX30" s="30"/>
      <c r="SIC30" s="93"/>
      <c r="SID30" s="30"/>
      <c r="SII30" s="93"/>
      <c r="SIJ30" s="30"/>
      <c r="SIO30" s="93"/>
      <c r="SIP30" s="30"/>
      <c r="SIU30" s="93"/>
      <c r="SIV30" s="30"/>
      <c r="SJA30" s="93"/>
      <c r="SJB30" s="30"/>
      <c r="SJG30" s="93"/>
      <c r="SJH30" s="30"/>
      <c r="SJM30" s="93"/>
      <c r="SJN30" s="30"/>
      <c r="SJS30" s="93"/>
      <c r="SJT30" s="30"/>
      <c r="SJY30" s="93"/>
      <c r="SJZ30" s="30"/>
      <c r="SKE30" s="93"/>
      <c r="SKF30" s="30"/>
      <c r="SKK30" s="93"/>
      <c r="SKL30" s="30"/>
      <c r="SKQ30" s="93"/>
      <c r="SKR30" s="30"/>
      <c r="SKW30" s="93"/>
      <c r="SKX30" s="30"/>
      <c r="SLC30" s="93"/>
      <c r="SLD30" s="30"/>
      <c r="SLI30" s="93"/>
      <c r="SLJ30" s="30"/>
      <c r="SLO30" s="93"/>
      <c r="SLP30" s="30"/>
      <c r="SLU30" s="93"/>
      <c r="SLV30" s="30"/>
      <c r="SMA30" s="93"/>
      <c r="SMB30" s="30"/>
      <c r="SMG30" s="93"/>
      <c r="SMH30" s="30"/>
      <c r="SMM30" s="93"/>
      <c r="SMN30" s="30"/>
      <c r="SMS30" s="93"/>
      <c r="SMT30" s="30"/>
      <c r="SMY30" s="93"/>
      <c r="SMZ30" s="30"/>
      <c r="SNE30" s="93"/>
      <c r="SNF30" s="30"/>
      <c r="SNK30" s="93"/>
      <c r="SNL30" s="30"/>
      <c r="SNQ30" s="93"/>
      <c r="SNR30" s="30"/>
      <c r="SNW30" s="93"/>
      <c r="SNX30" s="30"/>
      <c r="SOC30" s="93"/>
      <c r="SOD30" s="30"/>
      <c r="SOI30" s="93"/>
      <c r="SOJ30" s="30"/>
      <c r="SOO30" s="93"/>
      <c r="SOP30" s="30"/>
      <c r="SOU30" s="93"/>
      <c r="SOV30" s="30"/>
      <c r="SPA30" s="93"/>
      <c r="SPB30" s="30"/>
      <c r="SPG30" s="93"/>
      <c r="SPH30" s="30"/>
      <c r="SPM30" s="93"/>
      <c r="SPN30" s="30"/>
      <c r="SPS30" s="93"/>
      <c r="SPT30" s="30"/>
      <c r="SPY30" s="93"/>
      <c r="SPZ30" s="30"/>
      <c r="SQE30" s="93"/>
      <c r="SQF30" s="30"/>
      <c r="SQK30" s="93"/>
      <c r="SQL30" s="30"/>
      <c r="SQQ30" s="93"/>
      <c r="SQR30" s="30"/>
      <c r="SQW30" s="93"/>
      <c r="SQX30" s="30"/>
      <c r="SRC30" s="93"/>
      <c r="SRD30" s="30"/>
      <c r="SRI30" s="93"/>
      <c r="SRJ30" s="30"/>
      <c r="SRO30" s="93"/>
      <c r="SRP30" s="30"/>
      <c r="SRU30" s="93"/>
      <c r="SRV30" s="30"/>
      <c r="SSA30" s="93"/>
      <c r="SSB30" s="30"/>
      <c r="SSG30" s="93"/>
      <c r="SSH30" s="30"/>
      <c r="SSM30" s="93"/>
      <c r="SSN30" s="30"/>
      <c r="SSS30" s="93"/>
      <c r="SST30" s="30"/>
      <c r="SSY30" s="93"/>
      <c r="SSZ30" s="30"/>
      <c r="STE30" s="93"/>
      <c r="STF30" s="30"/>
      <c r="STK30" s="93"/>
      <c r="STL30" s="30"/>
      <c r="STQ30" s="93"/>
      <c r="STR30" s="30"/>
      <c r="STW30" s="93"/>
      <c r="STX30" s="30"/>
      <c r="SUC30" s="93"/>
      <c r="SUD30" s="30"/>
      <c r="SUI30" s="93"/>
      <c r="SUJ30" s="30"/>
      <c r="SUO30" s="93"/>
      <c r="SUP30" s="30"/>
      <c r="SUU30" s="93"/>
      <c r="SUV30" s="30"/>
      <c r="SVA30" s="93"/>
      <c r="SVB30" s="30"/>
      <c r="SVG30" s="93"/>
      <c r="SVH30" s="30"/>
      <c r="SVM30" s="93"/>
      <c r="SVN30" s="30"/>
      <c r="SVS30" s="93"/>
      <c r="SVT30" s="30"/>
      <c r="SVY30" s="93"/>
      <c r="SVZ30" s="30"/>
      <c r="SWE30" s="93"/>
      <c r="SWF30" s="30"/>
      <c r="SWK30" s="93"/>
      <c r="SWL30" s="30"/>
      <c r="SWQ30" s="93"/>
      <c r="SWR30" s="30"/>
      <c r="SWW30" s="93"/>
      <c r="SWX30" s="30"/>
      <c r="SXC30" s="93"/>
      <c r="SXD30" s="30"/>
      <c r="SXI30" s="93"/>
      <c r="SXJ30" s="30"/>
      <c r="SXO30" s="93"/>
      <c r="SXP30" s="30"/>
      <c r="SXU30" s="93"/>
      <c r="SXV30" s="30"/>
      <c r="SYA30" s="93"/>
      <c r="SYB30" s="30"/>
      <c r="SYG30" s="93"/>
      <c r="SYH30" s="30"/>
      <c r="SYM30" s="93"/>
      <c r="SYN30" s="30"/>
      <c r="SYS30" s="93"/>
      <c r="SYT30" s="30"/>
      <c r="SYY30" s="93"/>
      <c r="SYZ30" s="30"/>
      <c r="SZE30" s="93"/>
      <c r="SZF30" s="30"/>
      <c r="SZK30" s="93"/>
      <c r="SZL30" s="30"/>
      <c r="SZQ30" s="93"/>
      <c r="SZR30" s="30"/>
      <c r="SZW30" s="93"/>
      <c r="SZX30" s="30"/>
      <c r="TAC30" s="93"/>
      <c r="TAD30" s="30"/>
      <c r="TAI30" s="93"/>
      <c r="TAJ30" s="30"/>
      <c r="TAO30" s="93"/>
      <c r="TAP30" s="30"/>
      <c r="TAU30" s="93"/>
      <c r="TAV30" s="30"/>
      <c r="TBA30" s="93"/>
      <c r="TBB30" s="30"/>
      <c r="TBG30" s="93"/>
      <c r="TBH30" s="30"/>
      <c r="TBM30" s="93"/>
      <c r="TBN30" s="30"/>
      <c r="TBS30" s="93"/>
      <c r="TBT30" s="30"/>
      <c r="TBY30" s="93"/>
      <c r="TBZ30" s="30"/>
      <c r="TCE30" s="93"/>
      <c r="TCF30" s="30"/>
      <c r="TCK30" s="93"/>
      <c r="TCL30" s="30"/>
      <c r="TCQ30" s="93"/>
      <c r="TCR30" s="30"/>
      <c r="TCW30" s="93"/>
      <c r="TCX30" s="30"/>
      <c r="TDC30" s="93"/>
      <c r="TDD30" s="30"/>
      <c r="TDI30" s="93"/>
      <c r="TDJ30" s="30"/>
      <c r="TDO30" s="93"/>
      <c r="TDP30" s="30"/>
      <c r="TDU30" s="93"/>
      <c r="TDV30" s="30"/>
      <c r="TEA30" s="93"/>
      <c r="TEB30" s="30"/>
      <c r="TEG30" s="93"/>
      <c r="TEH30" s="30"/>
      <c r="TEM30" s="93"/>
      <c r="TEN30" s="30"/>
      <c r="TES30" s="93"/>
      <c r="TET30" s="30"/>
      <c r="TEY30" s="93"/>
      <c r="TEZ30" s="30"/>
      <c r="TFE30" s="93"/>
      <c r="TFF30" s="30"/>
      <c r="TFK30" s="93"/>
      <c r="TFL30" s="30"/>
      <c r="TFQ30" s="93"/>
      <c r="TFR30" s="30"/>
      <c r="TFW30" s="93"/>
      <c r="TFX30" s="30"/>
      <c r="TGC30" s="93"/>
      <c r="TGD30" s="30"/>
      <c r="TGI30" s="93"/>
      <c r="TGJ30" s="30"/>
      <c r="TGO30" s="93"/>
      <c r="TGP30" s="30"/>
      <c r="TGU30" s="93"/>
      <c r="TGV30" s="30"/>
      <c r="THA30" s="93"/>
      <c r="THB30" s="30"/>
      <c r="THG30" s="93"/>
      <c r="THH30" s="30"/>
      <c r="THM30" s="93"/>
      <c r="THN30" s="30"/>
      <c r="THS30" s="93"/>
      <c r="THT30" s="30"/>
      <c r="THY30" s="93"/>
      <c r="THZ30" s="30"/>
      <c r="TIE30" s="93"/>
      <c r="TIF30" s="30"/>
      <c r="TIK30" s="93"/>
      <c r="TIL30" s="30"/>
      <c r="TIQ30" s="93"/>
      <c r="TIR30" s="30"/>
      <c r="TIW30" s="93"/>
      <c r="TIX30" s="30"/>
      <c r="TJC30" s="93"/>
      <c r="TJD30" s="30"/>
      <c r="TJI30" s="93"/>
      <c r="TJJ30" s="30"/>
      <c r="TJO30" s="93"/>
      <c r="TJP30" s="30"/>
      <c r="TJU30" s="93"/>
      <c r="TJV30" s="30"/>
      <c r="TKA30" s="93"/>
      <c r="TKB30" s="30"/>
      <c r="TKG30" s="93"/>
      <c r="TKH30" s="30"/>
      <c r="TKM30" s="93"/>
      <c r="TKN30" s="30"/>
      <c r="TKS30" s="93"/>
      <c r="TKT30" s="30"/>
      <c r="TKY30" s="93"/>
      <c r="TKZ30" s="30"/>
      <c r="TLE30" s="93"/>
      <c r="TLF30" s="30"/>
      <c r="TLK30" s="93"/>
      <c r="TLL30" s="30"/>
      <c r="TLQ30" s="93"/>
      <c r="TLR30" s="30"/>
      <c r="TLW30" s="93"/>
      <c r="TLX30" s="30"/>
      <c r="TMC30" s="93"/>
      <c r="TMD30" s="30"/>
      <c r="TMI30" s="93"/>
      <c r="TMJ30" s="30"/>
      <c r="TMO30" s="93"/>
      <c r="TMP30" s="30"/>
      <c r="TMU30" s="93"/>
      <c r="TMV30" s="30"/>
      <c r="TNA30" s="93"/>
      <c r="TNB30" s="30"/>
      <c r="TNG30" s="93"/>
      <c r="TNH30" s="30"/>
      <c r="TNM30" s="93"/>
      <c r="TNN30" s="30"/>
      <c r="TNS30" s="93"/>
      <c r="TNT30" s="30"/>
      <c r="TNY30" s="93"/>
      <c r="TNZ30" s="30"/>
      <c r="TOE30" s="93"/>
      <c r="TOF30" s="30"/>
      <c r="TOK30" s="93"/>
      <c r="TOL30" s="30"/>
      <c r="TOQ30" s="93"/>
      <c r="TOR30" s="30"/>
      <c r="TOW30" s="93"/>
      <c r="TOX30" s="30"/>
      <c r="TPC30" s="93"/>
      <c r="TPD30" s="30"/>
      <c r="TPI30" s="93"/>
      <c r="TPJ30" s="30"/>
      <c r="TPO30" s="93"/>
      <c r="TPP30" s="30"/>
      <c r="TPU30" s="93"/>
      <c r="TPV30" s="30"/>
      <c r="TQA30" s="93"/>
      <c r="TQB30" s="30"/>
      <c r="TQG30" s="93"/>
      <c r="TQH30" s="30"/>
      <c r="TQM30" s="93"/>
      <c r="TQN30" s="30"/>
      <c r="TQS30" s="93"/>
      <c r="TQT30" s="30"/>
      <c r="TQY30" s="93"/>
      <c r="TQZ30" s="30"/>
      <c r="TRE30" s="93"/>
      <c r="TRF30" s="30"/>
      <c r="TRK30" s="93"/>
      <c r="TRL30" s="30"/>
      <c r="TRQ30" s="93"/>
      <c r="TRR30" s="30"/>
      <c r="TRW30" s="93"/>
      <c r="TRX30" s="30"/>
      <c r="TSC30" s="93"/>
      <c r="TSD30" s="30"/>
      <c r="TSI30" s="93"/>
      <c r="TSJ30" s="30"/>
      <c r="TSO30" s="93"/>
      <c r="TSP30" s="30"/>
      <c r="TSU30" s="93"/>
      <c r="TSV30" s="30"/>
      <c r="TTA30" s="93"/>
      <c r="TTB30" s="30"/>
      <c r="TTG30" s="93"/>
      <c r="TTH30" s="30"/>
      <c r="TTM30" s="93"/>
      <c r="TTN30" s="30"/>
      <c r="TTS30" s="93"/>
      <c r="TTT30" s="30"/>
      <c r="TTY30" s="93"/>
      <c r="TTZ30" s="30"/>
      <c r="TUE30" s="93"/>
      <c r="TUF30" s="30"/>
      <c r="TUK30" s="93"/>
      <c r="TUL30" s="30"/>
      <c r="TUQ30" s="93"/>
      <c r="TUR30" s="30"/>
      <c r="TUW30" s="93"/>
      <c r="TUX30" s="30"/>
      <c r="TVC30" s="93"/>
      <c r="TVD30" s="30"/>
      <c r="TVI30" s="93"/>
      <c r="TVJ30" s="30"/>
      <c r="TVO30" s="93"/>
      <c r="TVP30" s="30"/>
      <c r="TVU30" s="93"/>
      <c r="TVV30" s="30"/>
      <c r="TWA30" s="93"/>
      <c r="TWB30" s="30"/>
      <c r="TWG30" s="93"/>
      <c r="TWH30" s="30"/>
      <c r="TWM30" s="93"/>
      <c r="TWN30" s="30"/>
      <c r="TWS30" s="93"/>
      <c r="TWT30" s="30"/>
      <c r="TWY30" s="93"/>
      <c r="TWZ30" s="30"/>
      <c r="TXE30" s="93"/>
      <c r="TXF30" s="30"/>
      <c r="TXK30" s="93"/>
      <c r="TXL30" s="30"/>
      <c r="TXQ30" s="93"/>
      <c r="TXR30" s="30"/>
      <c r="TXW30" s="93"/>
      <c r="TXX30" s="30"/>
      <c r="TYC30" s="93"/>
      <c r="TYD30" s="30"/>
      <c r="TYI30" s="93"/>
      <c r="TYJ30" s="30"/>
      <c r="TYO30" s="93"/>
      <c r="TYP30" s="30"/>
      <c r="TYU30" s="93"/>
      <c r="TYV30" s="30"/>
      <c r="TZA30" s="93"/>
      <c r="TZB30" s="30"/>
      <c r="TZG30" s="93"/>
      <c r="TZH30" s="30"/>
      <c r="TZM30" s="93"/>
      <c r="TZN30" s="30"/>
      <c r="TZS30" s="93"/>
      <c r="TZT30" s="30"/>
      <c r="TZY30" s="93"/>
      <c r="TZZ30" s="30"/>
      <c r="UAE30" s="93"/>
      <c r="UAF30" s="30"/>
      <c r="UAK30" s="93"/>
      <c r="UAL30" s="30"/>
      <c r="UAQ30" s="93"/>
      <c r="UAR30" s="30"/>
      <c r="UAW30" s="93"/>
      <c r="UAX30" s="30"/>
      <c r="UBC30" s="93"/>
      <c r="UBD30" s="30"/>
      <c r="UBI30" s="93"/>
      <c r="UBJ30" s="30"/>
      <c r="UBO30" s="93"/>
      <c r="UBP30" s="30"/>
      <c r="UBU30" s="93"/>
      <c r="UBV30" s="30"/>
      <c r="UCA30" s="93"/>
      <c r="UCB30" s="30"/>
      <c r="UCG30" s="93"/>
      <c r="UCH30" s="30"/>
      <c r="UCM30" s="93"/>
      <c r="UCN30" s="30"/>
      <c r="UCS30" s="93"/>
      <c r="UCT30" s="30"/>
      <c r="UCY30" s="93"/>
      <c r="UCZ30" s="30"/>
      <c r="UDE30" s="93"/>
      <c r="UDF30" s="30"/>
      <c r="UDK30" s="93"/>
      <c r="UDL30" s="30"/>
      <c r="UDQ30" s="93"/>
      <c r="UDR30" s="30"/>
      <c r="UDW30" s="93"/>
      <c r="UDX30" s="30"/>
      <c r="UEC30" s="93"/>
      <c r="UED30" s="30"/>
      <c r="UEI30" s="93"/>
      <c r="UEJ30" s="30"/>
      <c r="UEO30" s="93"/>
      <c r="UEP30" s="30"/>
      <c r="UEU30" s="93"/>
      <c r="UEV30" s="30"/>
      <c r="UFA30" s="93"/>
      <c r="UFB30" s="30"/>
      <c r="UFG30" s="93"/>
      <c r="UFH30" s="30"/>
      <c r="UFM30" s="93"/>
      <c r="UFN30" s="30"/>
      <c r="UFS30" s="93"/>
      <c r="UFT30" s="30"/>
      <c r="UFY30" s="93"/>
      <c r="UFZ30" s="30"/>
      <c r="UGE30" s="93"/>
      <c r="UGF30" s="30"/>
      <c r="UGK30" s="93"/>
      <c r="UGL30" s="30"/>
      <c r="UGQ30" s="93"/>
      <c r="UGR30" s="30"/>
      <c r="UGW30" s="93"/>
      <c r="UGX30" s="30"/>
      <c r="UHC30" s="93"/>
      <c r="UHD30" s="30"/>
      <c r="UHI30" s="93"/>
      <c r="UHJ30" s="30"/>
      <c r="UHO30" s="93"/>
      <c r="UHP30" s="30"/>
      <c r="UHU30" s="93"/>
      <c r="UHV30" s="30"/>
      <c r="UIA30" s="93"/>
      <c r="UIB30" s="30"/>
      <c r="UIG30" s="93"/>
      <c r="UIH30" s="30"/>
      <c r="UIM30" s="93"/>
      <c r="UIN30" s="30"/>
      <c r="UIS30" s="93"/>
      <c r="UIT30" s="30"/>
      <c r="UIY30" s="93"/>
      <c r="UIZ30" s="30"/>
      <c r="UJE30" s="93"/>
      <c r="UJF30" s="30"/>
      <c r="UJK30" s="93"/>
      <c r="UJL30" s="30"/>
      <c r="UJQ30" s="93"/>
      <c r="UJR30" s="30"/>
      <c r="UJW30" s="93"/>
      <c r="UJX30" s="30"/>
      <c r="UKC30" s="93"/>
      <c r="UKD30" s="30"/>
      <c r="UKI30" s="93"/>
      <c r="UKJ30" s="30"/>
      <c r="UKO30" s="93"/>
      <c r="UKP30" s="30"/>
      <c r="UKU30" s="93"/>
      <c r="UKV30" s="30"/>
      <c r="ULA30" s="93"/>
      <c r="ULB30" s="30"/>
      <c r="ULG30" s="93"/>
      <c r="ULH30" s="30"/>
      <c r="ULM30" s="93"/>
      <c r="ULN30" s="30"/>
      <c r="ULS30" s="93"/>
      <c r="ULT30" s="30"/>
      <c r="ULY30" s="93"/>
      <c r="ULZ30" s="30"/>
      <c r="UME30" s="93"/>
      <c r="UMF30" s="30"/>
      <c r="UMK30" s="93"/>
      <c r="UML30" s="30"/>
      <c r="UMQ30" s="93"/>
      <c r="UMR30" s="30"/>
      <c r="UMW30" s="93"/>
      <c r="UMX30" s="30"/>
      <c r="UNC30" s="93"/>
      <c r="UND30" s="30"/>
      <c r="UNI30" s="93"/>
      <c r="UNJ30" s="30"/>
      <c r="UNO30" s="93"/>
      <c r="UNP30" s="30"/>
      <c r="UNU30" s="93"/>
      <c r="UNV30" s="30"/>
      <c r="UOA30" s="93"/>
      <c r="UOB30" s="30"/>
      <c r="UOG30" s="93"/>
      <c r="UOH30" s="30"/>
      <c r="UOM30" s="93"/>
      <c r="UON30" s="30"/>
      <c r="UOS30" s="93"/>
      <c r="UOT30" s="30"/>
      <c r="UOY30" s="93"/>
      <c r="UOZ30" s="30"/>
      <c r="UPE30" s="93"/>
      <c r="UPF30" s="30"/>
      <c r="UPK30" s="93"/>
      <c r="UPL30" s="30"/>
      <c r="UPQ30" s="93"/>
      <c r="UPR30" s="30"/>
      <c r="UPW30" s="93"/>
      <c r="UPX30" s="30"/>
      <c r="UQC30" s="93"/>
      <c r="UQD30" s="30"/>
      <c r="UQI30" s="93"/>
      <c r="UQJ30" s="30"/>
      <c r="UQO30" s="93"/>
      <c r="UQP30" s="30"/>
      <c r="UQU30" s="93"/>
      <c r="UQV30" s="30"/>
      <c r="URA30" s="93"/>
      <c r="URB30" s="30"/>
      <c r="URG30" s="93"/>
      <c r="URH30" s="30"/>
      <c r="URM30" s="93"/>
      <c r="URN30" s="30"/>
      <c r="URS30" s="93"/>
      <c r="URT30" s="30"/>
      <c r="URY30" s="93"/>
      <c r="URZ30" s="30"/>
      <c r="USE30" s="93"/>
      <c r="USF30" s="30"/>
      <c r="USK30" s="93"/>
      <c r="USL30" s="30"/>
      <c r="USQ30" s="93"/>
      <c r="USR30" s="30"/>
      <c r="USW30" s="93"/>
      <c r="USX30" s="30"/>
      <c r="UTC30" s="93"/>
      <c r="UTD30" s="30"/>
      <c r="UTI30" s="93"/>
      <c r="UTJ30" s="30"/>
      <c r="UTO30" s="93"/>
      <c r="UTP30" s="30"/>
      <c r="UTU30" s="93"/>
      <c r="UTV30" s="30"/>
      <c r="UUA30" s="93"/>
      <c r="UUB30" s="30"/>
      <c r="UUG30" s="93"/>
      <c r="UUH30" s="30"/>
      <c r="UUM30" s="93"/>
      <c r="UUN30" s="30"/>
      <c r="UUS30" s="93"/>
      <c r="UUT30" s="30"/>
      <c r="UUY30" s="93"/>
      <c r="UUZ30" s="30"/>
      <c r="UVE30" s="93"/>
      <c r="UVF30" s="30"/>
      <c r="UVK30" s="93"/>
      <c r="UVL30" s="30"/>
      <c r="UVQ30" s="93"/>
      <c r="UVR30" s="30"/>
      <c r="UVW30" s="93"/>
      <c r="UVX30" s="30"/>
      <c r="UWC30" s="93"/>
      <c r="UWD30" s="30"/>
      <c r="UWI30" s="93"/>
      <c r="UWJ30" s="30"/>
      <c r="UWO30" s="93"/>
      <c r="UWP30" s="30"/>
      <c r="UWU30" s="93"/>
      <c r="UWV30" s="30"/>
      <c r="UXA30" s="93"/>
      <c r="UXB30" s="30"/>
      <c r="UXG30" s="93"/>
      <c r="UXH30" s="30"/>
      <c r="UXM30" s="93"/>
      <c r="UXN30" s="30"/>
      <c r="UXS30" s="93"/>
      <c r="UXT30" s="30"/>
      <c r="UXY30" s="93"/>
      <c r="UXZ30" s="30"/>
      <c r="UYE30" s="93"/>
      <c r="UYF30" s="30"/>
      <c r="UYK30" s="93"/>
      <c r="UYL30" s="30"/>
      <c r="UYQ30" s="93"/>
      <c r="UYR30" s="30"/>
      <c r="UYW30" s="93"/>
      <c r="UYX30" s="30"/>
      <c r="UZC30" s="93"/>
      <c r="UZD30" s="30"/>
      <c r="UZI30" s="93"/>
      <c r="UZJ30" s="30"/>
      <c r="UZO30" s="93"/>
      <c r="UZP30" s="30"/>
      <c r="UZU30" s="93"/>
      <c r="UZV30" s="30"/>
      <c r="VAA30" s="93"/>
      <c r="VAB30" s="30"/>
      <c r="VAG30" s="93"/>
      <c r="VAH30" s="30"/>
      <c r="VAM30" s="93"/>
      <c r="VAN30" s="30"/>
      <c r="VAS30" s="93"/>
      <c r="VAT30" s="30"/>
      <c r="VAY30" s="93"/>
      <c r="VAZ30" s="30"/>
      <c r="VBE30" s="93"/>
      <c r="VBF30" s="30"/>
      <c r="VBK30" s="93"/>
      <c r="VBL30" s="30"/>
      <c r="VBQ30" s="93"/>
      <c r="VBR30" s="30"/>
      <c r="VBW30" s="93"/>
      <c r="VBX30" s="30"/>
      <c r="VCC30" s="93"/>
      <c r="VCD30" s="30"/>
      <c r="VCI30" s="93"/>
      <c r="VCJ30" s="30"/>
      <c r="VCO30" s="93"/>
      <c r="VCP30" s="30"/>
      <c r="VCU30" s="93"/>
      <c r="VCV30" s="30"/>
      <c r="VDA30" s="93"/>
      <c r="VDB30" s="30"/>
      <c r="VDG30" s="93"/>
      <c r="VDH30" s="30"/>
      <c r="VDM30" s="93"/>
      <c r="VDN30" s="30"/>
      <c r="VDS30" s="93"/>
      <c r="VDT30" s="30"/>
      <c r="VDY30" s="93"/>
      <c r="VDZ30" s="30"/>
      <c r="VEE30" s="93"/>
      <c r="VEF30" s="30"/>
      <c r="VEK30" s="93"/>
      <c r="VEL30" s="30"/>
      <c r="VEQ30" s="93"/>
      <c r="VER30" s="30"/>
      <c r="VEW30" s="93"/>
      <c r="VEX30" s="30"/>
      <c r="VFC30" s="93"/>
      <c r="VFD30" s="30"/>
      <c r="VFI30" s="93"/>
      <c r="VFJ30" s="30"/>
      <c r="VFO30" s="93"/>
      <c r="VFP30" s="30"/>
      <c r="VFU30" s="93"/>
      <c r="VFV30" s="30"/>
      <c r="VGA30" s="93"/>
      <c r="VGB30" s="30"/>
      <c r="VGG30" s="93"/>
      <c r="VGH30" s="30"/>
      <c r="VGM30" s="93"/>
      <c r="VGN30" s="30"/>
      <c r="VGS30" s="93"/>
      <c r="VGT30" s="30"/>
      <c r="VGY30" s="93"/>
      <c r="VGZ30" s="30"/>
      <c r="VHE30" s="93"/>
      <c r="VHF30" s="30"/>
      <c r="VHK30" s="93"/>
      <c r="VHL30" s="30"/>
      <c r="VHQ30" s="93"/>
      <c r="VHR30" s="30"/>
      <c r="VHW30" s="93"/>
      <c r="VHX30" s="30"/>
      <c r="VIC30" s="93"/>
      <c r="VID30" s="30"/>
      <c r="VII30" s="93"/>
      <c r="VIJ30" s="30"/>
      <c r="VIO30" s="93"/>
      <c r="VIP30" s="30"/>
      <c r="VIU30" s="93"/>
      <c r="VIV30" s="30"/>
      <c r="VJA30" s="93"/>
      <c r="VJB30" s="30"/>
      <c r="VJG30" s="93"/>
      <c r="VJH30" s="30"/>
      <c r="VJM30" s="93"/>
      <c r="VJN30" s="30"/>
      <c r="VJS30" s="93"/>
      <c r="VJT30" s="30"/>
      <c r="VJY30" s="93"/>
      <c r="VJZ30" s="30"/>
      <c r="VKE30" s="93"/>
      <c r="VKF30" s="30"/>
      <c r="VKK30" s="93"/>
      <c r="VKL30" s="30"/>
      <c r="VKQ30" s="93"/>
      <c r="VKR30" s="30"/>
      <c r="VKW30" s="93"/>
      <c r="VKX30" s="30"/>
      <c r="VLC30" s="93"/>
      <c r="VLD30" s="30"/>
      <c r="VLI30" s="93"/>
      <c r="VLJ30" s="30"/>
      <c r="VLO30" s="93"/>
      <c r="VLP30" s="30"/>
      <c r="VLU30" s="93"/>
      <c r="VLV30" s="30"/>
      <c r="VMA30" s="93"/>
      <c r="VMB30" s="30"/>
      <c r="VMG30" s="93"/>
      <c r="VMH30" s="30"/>
      <c r="VMM30" s="93"/>
      <c r="VMN30" s="30"/>
      <c r="VMS30" s="93"/>
      <c r="VMT30" s="30"/>
      <c r="VMY30" s="93"/>
      <c r="VMZ30" s="30"/>
      <c r="VNE30" s="93"/>
      <c r="VNF30" s="30"/>
      <c r="VNK30" s="93"/>
      <c r="VNL30" s="30"/>
      <c r="VNQ30" s="93"/>
      <c r="VNR30" s="30"/>
      <c r="VNW30" s="93"/>
      <c r="VNX30" s="30"/>
      <c r="VOC30" s="93"/>
      <c r="VOD30" s="30"/>
      <c r="VOI30" s="93"/>
      <c r="VOJ30" s="30"/>
      <c r="VOO30" s="93"/>
      <c r="VOP30" s="30"/>
      <c r="VOU30" s="93"/>
      <c r="VOV30" s="30"/>
      <c r="VPA30" s="93"/>
      <c r="VPB30" s="30"/>
      <c r="VPG30" s="93"/>
      <c r="VPH30" s="30"/>
      <c r="VPM30" s="93"/>
      <c r="VPN30" s="30"/>
      <c r="VPS30" s="93"/>
      <c r="VPT30" s="30"/>
      <c r="VPY30" s="93"/>
      <c r="VPZ30" s="30"/>
      <c r="VQE30" s="93"/>
      <c r="VQF30" s="30"/>
      <c r="VQK30" s="93"/>
      <c r="VQL30" s="30"/>
      <c r="VQQ30" s="93"/>
      <c r="VQR30" s="30"/>
      <c r="VQW30" s="93"/>
      <c r="VQX30" s="30"/>
      <c r="VRC30" s="93"/>
      <c r="VRD30" s="30"/>
      <c r="VRI30" s="93"/>
      <c r="VRJ30" s="30"/>
      <c r="VRO30" s="93"/>
      <c r="VRP30" s="30"/>
      <c r="VRU30" s="93"/>
      <c r="VRV30" s="30"/>
      <c r="VSA30" s="93"/>
      <c r="VSB30" s="30"/>
      <c r="VSG30" s="93"/>
      <c r="VSH30" s="30"/>
      <c r="VSM30" s="93"/>
      <c r="VSN30" s="30"/>
      <c r="VSS30" s="93"/>
      <c r="VST30" s="30"/>
      <c r="VSY30" s="93"/>
      <c r="VSZ30" s="30"/>
      <c r="VTE30" s="93"/>
      <c r="VTF30" s="30"/>
      <c r="VTK30" s="93"/>
      <c r="VTL30" s="30"/>
      <c r="VTQ30" s="93"/>
      <c r="VTR30" s="30"/>
      <c r="VTW30" s="93"/>
      <c r="VTX30" s="30"/>
      <c r="VUC30" s="93"/>
      <c r="VUD30" s="30"/>
      <c r="VUI30" s="93"/>
      <c r="VUJ30" s="30"/>
      <c r="VUO30" s="93"/>
      <c r="VUP30" s="30"/>
      <c r="VUU30" s="93"/>
      <c r="VUV30" s="30"/>
      <c r="VVA30" s="93"/>
      <c r="VVB30" s="30"/>
      <c r="VVG30" s="93"/>
      <c r="VVH30" s="30"/>
      <c r="VVM30" s="93"/>
      <c r="VVN30" s="30"/>
      <c r="VVS30" s="93"/>
      <c r="VVT30" s="30"/>
      <c r="VVY30" s="93"/>
      <c r="VVZ30" s="30"/>
      <c r="VWE30" s="93"/>
      <c r="VWF30" s="30"/>
      <c r="VWK30" s="93"/>
      <c r="VWL30" s="30"/>
      <c r="VWQ30" s="93"/>
      <c r="VWR30" s="30"/>
      <c r="VWW30" s="93"/>
      <c r="VWX30" s="30"/>
      <c r="VXC30" s="93"/>
      <c r="VXD30" s="30"/>
      <c r="VXI30" s="93"/>
      <c r="VXJ30" s="30"/>
      <c r="VXO30" s="93"/>
      <c r="VXP30" s="30"/>
      <c r="VXU30" s="93"/>
      <c r="VXV30" s="30"/>
      <c r="VYA30" s="93"/>
      <c r="VYB30" s="30"/>
      <c r="VYG30" s="93"/>
      <c r="VYH30" s="30"/>
      <c r="VYM30" s="93"/>
      <c r="VYN30" s="30"/>
      <c r="VYS30" s="93"/>
      <c r="VYT30" s="30"/>
      <c r="VYY30" s="93"/>
      <c r="VYZ30" s="30"/>
      <c r="VZE30" s="93"/>
      <c r="VZF30" s="30"/>
      <c r="VZK30" s="93"/>
      <c r="VZL30" s="30"/>
      <c r="VZQ30" s="93"/>
      <c r="VZR30" s="30"/>
      <c r="VZW30" s="93"/>
      <c r="VZX30" s="30"/>
      <c r="WAC30" s="93"/>
      <c r="WAD30" s="30"/>
      <c r="WAI30" s="93"/>
      <c r="WAJ30" s="30"/>
      <c r="WAO30" s="93"/>
      <c r="WAP30" s="30"/>
      <c r="WAU30" s="93"/>
      <c r="WAV30" s="30"/>
      <c r="WBA30" s="93"/>
      <c r="WBB30" s="30"/>
      <c r="WBG30" s="93"/>
      <c r="WBH30" s="30"/>
      <c r="WBM30" s="93"/>
      <c r="WBN30" s="30"/>
      <c r="WBS30" s="93"/>
      <c r="WBT30" s="30"/>
      <c r="WBY30" s="93"/>
      <c r="WBZ30" s="30"/>
      <c r="WCE30" s="93"/>
      <c r="WCF30" s="30"/>
      <c r="WCK30" s="93"/>
      <c r="WCL30" s="30"/>
      <c r="WCQ30" s="93"/>
      <c r="WCR30" s="30"/>
      <c r="WCW30" s="93"/>
      <c r="WCX30" s="30"/>
      <c r="WDC30" s="93"/>
      <c r="WDD30" s="30"/>
      <c r="WDI30" s="93"/>
      <c r="WDJ30" s="30"/>
      <c r="WDO30" s="93"/>
      <c r="WDP30" s="30"/>
      <c r="WDU30" s="93"/>
      <c r="WDV30" s="30"/>
      <c r="WEA30" s="93"/>
      <c r="WEB30" s="30"/>
      <c r="WEG30" s="93"/>
      <c r="WEH30" s="30"/>
      <c r="WEM30" s="93"/>
      <c r="WEN30" s="30"/>
      <c r="WES30" s="93"/>
      <c r="WET30" s="30"/>
      <c r="WEY30" s="93"/>
      <c r="WEZ30" s="30"/>
      <c r="WFE30" s="93"/>
      <c r="WFF30" s="30"/>
      <c r="WFK30" s="93"/>
      <c r="WFL30" s="30"/>
      <c r="WFQ30" s="93"/>
      <c r="WFR30" s="30"/>
      <c r="WFW30" s="93"/>
      <c r="WFX30" s="30"/>
      <c r="WGC30" s="93"/>
      <c r="WGD30" s="30"/>
      <c r="WGI30" s="93"/>
      <c r="WGJ30" s="30"/>
      <c r="WGO30" s="93"/>
      <c r="WGP30" s="30"/>
      <c r="WGU30" s="93"/>
      <c r="WGV30" s="30"/>
      <c r="WHA30" s="93"/>
      <c r="WHB30" s="30"/>
      <c r="WHG30" s="93"/>
      <c r="WHH30" s="30"/>
      <c r="WHM30" s="93"/>
      <c r="WHN30" s="30"/>
      <c r="WHS30" s="93"/>
      <c r="WHT30" s="30"/>
      <c r="WHY30" s="93"/>
      <c r="WHZ30" s="30"/>
      <c r="WIE30" s="93"/>
      <c r="WIF30" s="30"/>
      <c r="WIK30" s="93"/>
      <c r="WIL30" s="30"/>
      <c r="WIQ30" s="93"/>
      <c r="WIR30" s="30"/>
      <c r="WIW30" s="93"/>
      <c r="WIX30" s="30"/>
      <c r="WJC30" s="93"/>
      <c r="WJD30" s="30"/>
      <c r="WJI30" s="93"/>
      <c r="WJJ30" s="30"/>
      <c r="WJO30" s="93"/>
      <c r="WJP30" s="30"/>
      <c r="WJU30" s="93"/>
      <c r="WJV30" s="30"/>
      <c r="WKA30" s="93"/>
      <c r="WKB30" s="30"/>
      <c r="WKG30" s="93"/>
      <c r="WKH30" s="30"/>
      <c r="WKM30" s="93"/>
      <c r="WKN30" s="30"/>
      <c r="WKS30" s="93"/>
      <c r="WKT30" s="30"/>
      <c r="WKY30" s="93"/>
      <c r="WKZ30" s="30"/>
      <c r="WLE30" s="93"/>
      <c r="WLF30" s="30"/>
      <c r="WLK30" s="93"/>
      <c r="WLL30" s="30"/>
      <c r="WLQ30" s="93"/>
      <c r="WLR30" s="30"/>
      <c r="WLW30" s="93"/>
      <c r="WLX30" s="30"/>
      <c r="WMC30" s="93"/>
      <c r="WMD30" s="30"/>
      <c r="WMI30" s="93"/>
      <c r="WMJ30" s="30"/>
      <c r="WMO30" s="93"/>
      <c r="WMP30" s="30"/>
      <c r="WMU30" s="93"/>
      <c r="WMV30" s="30"/>
      <c r="WNA30" s="93"/>
      <c r="WNB30" s="30"/>
      <c r="WNG30" s="93"/>
      <c r="WNH30" s="30"/>
      <c r="WNM30" s="93"/>
      <c r="WNN30" s="30"/>
      <c r="WNS30" s="93"/>
      <c r="WNT30" s="30"/>
      <c r="WNY30" s="93"/>
      <c r="WNZ30" s="30"/>
      <c r="WOE30" s="93"/>
      <c r="WOF30" s="30"/>
      <c r="WOK30" s="93"/>
      <c r="WOL30" s="30"/>
      <c r="WOQ30" s="93"/>
      <c r="WOR30" s="30"/>
      <c r="WOW30" s="93"/>
      <c r="WOX30" s="30"/>
      <c r="WPC30" s="93"/>
      <c r="WPD30" s="30"/>
      <c r="WPI30" s="93"/>
      <c r="WPJ30" s="30"/>
      <c r="WPO30" s="93"/>
      <c r="WPP30" s="30"/>
      <c r="WPU30" s="93"/>
      <c r="WPV30" s="30"/>
      <c r="WQA30" s="93"/>
      <c r="WQB30" s="30"/>
      <c r="WQG30" s="93"/>
      <c r="WQH30" s="30"/>
      <c r="WQM30" s="93"/>
      <c r="WQN30" s="30"/>
      <c r="WQS30" s="93"/>
      <c r="WQT30" s="30"/>
      <c r="WQY30" s="93"/>
      <c r="WQZ30" s="30"/>
      <c r="WRE30" s="93"/>
      <c r="WRF30" s="30"/>
      <c r="WRK30" s="93"/>
      <c r="WRL30" s="30"/>
      <c r="WRQ30" s="93"/>
      <c r="WRR30" s="30"/>
      <c r="WRW30" s="93"/>
      <c r="WRX30" s="30"/>
      <c r="WSC30" s="93"/>
      <c r="WSD30" s="30"/>
      <c r="WSI30" s="93"/>
      <c r="WSJ30" s="30"/>
      <c r="WSO30" s="93"/>
      <c r="WSP30" s="30"/>
      <c r="WSU30" s="93"/>
      <c r="WSV30" s="30"/>
      <c r="WTA30" s="93"/>
      <c r="WTB30" s="30"/>
      <c r="WTG30" s="93"/>
      <c r="WTH30" s="30"/>
      <c r="WTM30" s="93"/>
      <c r="WTN30" s="30"/>
      <c r="WTS30" s="93"/>
      <c r="WTT30" s="30"/>
      <c r="WTY30" s="93"/>
      <c r="WTZ30" s="30"/>
      <c r="WUE30" s="93"/>
      <c r="WUF30" s="30"/>
      <c r="WUK30" s="93"/>
      <c r="WUL30" s="30"/>
      <c r="WUQ30" s="93"/>
      <c r="WUR30" s="30"/>
      <c r="WUW30" s="93"/>
      <c r="WUX30" s="30"/>
      <c r="WVC30" s="93"/>
      <c r="WVD30" s="30"/>
      <c r="WVI30" s="93"/>
      <c r="WVJ30" s="30"/>
      <c r="WVO30" s="93"/>
      <c r="WVP30" s="30"/>
      <c r="WVU30" s="93"/>
      <c r="WVV30" s="30"/>
      <c r="WWA30" s="93"/>
      <c r="WWB30" s="30"/>
      <c r="WWG30" s="93"/>
      <c r="WWH30" s="30"/>
      <c r="WWM30" s="93"/>
      <c r="WWN30" s="30"/>
      <c r="WWS30" s="93"/>
      <c r="WWT30" s="30"/>
      <c r="WWY30" s="93"/>
      <c r="WWZ30" s="30"/>
      <c r="WXE30" s="93"/>
      <c r="WXF30" s="30"/>
      <c r="WXK30" s="93"/>
      <c r="WXL30" s="30"/>
      <c r="WXQ30" s="93"/>
      <c r="WXR30" s="30"/>
      <c r="WXW30" s="93"/>
      <c r="WXX30" s="30"/>
      <c r="WYC30" s="93"/>
      <c r="WYD30" s="30"/>
      <c r="WYI30" s="93"/>
      <c r="WYJ30" s="30"/>
      <c r="WYO30" s="93"/>
      <c r="WYP30" s="30"/>
      <c r="WYU30" s="93"/>
      <c r="WYV30" s="30"/>
      <c r="WZA30" s="93"/>
      <c r="WZB30" s="30"/>
      <c r="WZG30" s="93"/>
      <c r="WZH30" s="30"/>
      <c r="WZM30" s="93"/>
      <c r="WZN30" s="30"/>
      <c r="WZS30" s="93"/>
      <c r="WZT30" s="30"/>
      <c r="WZY30" s="93"/>
      <c r="WZZ30" s="30"/>
      <c r="XAE30" s="93"/>
      <c r="XAF30" s="30"/>
      <c r="XAK30" s="93"/>
      <c r="XAL30" s="30"/>
      <c r="XAQ30" s="93"/>
      <c r="XAR30" s="30"/>
      <c r="XAW30" s="93"/>
      <c r="XAX30" s="30"/>
      <c r="XBC30" s="93"/>
      <c r="XBD30" s="30"/>
      <c r="XBI30" s="93"/>
      <c r="XBJ30" s="30"/>
      <c r="XBO30" s="93"/>
      <c r="XBP30" s="30"/>
      <c r="XBU30" s="93"/>
      <c r="XBV30" s="30"/>
      <c r="XCA30" s="93"/>
      <c r="XCB30" s="30"/>
      <c r="XCG30" s="93"/>
      <c r="XCH30" s="30"/>
      <c r="XCM30" s="93"/>
      <c r="XCN30" s="30"/>
      <c r="XCS30" s="93"/>
      <c r="XCT30" s="30"/>
      <c r="XCY30" s="93"/>
      <c r="XCZ30" s="30"/>
      <c r="XDE30" s="93"/>
      <c r="XDF30" s="30"/>
      <c r="XDK30" s="93"/>
      <c r="XDL30" s="30"/>
      <c r="XDQ30" s="93"/>
      <c r="XDR30" s="30"/>
      <c r="XDW30" s="93"/>
      <c r="XDX30" s="30"/>
      <c r="XEC30" s="93"/>
      <c r="XED30" s="30"/>
      <c r="XEI30" s="93"/>
      <c r="XEJ30" s="30"/>
      <c r="XEO30" s="93"/>
      <c r="XEP30" s="30"/>
      <c r="XEU30" s="93"/>
      <c r="XEV30" s="30"/>
      <c r="XFA30" s="93"/>
      <c r="XFB30" s="30"/>
    </row>
    <row r="31" spans="1:1022 1027:2048 2053:3068 3073:4094 4099:5120 5125:6140 6145:7166 7171:8192 8197:9212 9217:10238 10243:11264 11269:12284 12289:13310 13315:14336 14341:15356 15361:16382" s="7" customFormat="1" ht="16" x14ac:dyDescent="0.2">
      <c r="A31" s="93" t="s">
        <v>626</v>
      </c>
      <c r="B31" s="10" t="s">
        <v>38</v>
      </c>
      <c r="C31" s="9" t="s">
        <v>593</v>
      </c>
      <c r="D31" s="10"/>
      <c r="E31" s="10"/>
      <c r="F31" s="10"/>
      <c r="G31" s="10"/>
      <c r="H31" s="10"/>
      <c r="I31" s="10"/>
      <c r="J31" s="10"/>
      <c r="K31" s="10"/>
      <c r="L31" s="10"/>
    </row>
    <row r="32" spans="1:1022 1027:2048 2053:3068 3073:4094 4099:5120 5125:6140 6145:7166 7171:8192 8197:9212 9217:10238 10243:11264 11269:12284 12289:13310 13315:14336 14341:15356 15361:16382" ht="16" x14ac:dyDescent="0.2">
      <c r="A32" s="93"/>
      <c r="E32" s="8"/>
    </row>
    <row r="33" spans="1:8" ht="16" x14ac:dyDescent="0.2">
      <c r="B33" s="30"/>
      <c r="C33" s="8"/>
      <c r="D33" s="8"/>
      <c r="E33" s="8"/>
    </row>
    <row r="34" spans="1:8" ht="16" x14ac:dyDescent="0.2">
      <c r="A34" s="8"/>
      <c r="B34" s="11" t="s">
        <v>45</v>
      </c>
      <c r="C34" s="11" t="s">
        <v>2</v>
      </c>
      <c r="D34" s="8"/>
      <c r="E34" s="8"/>
      <c r="F34" s="8"/>
      <c r="G34" s="8"/>
    </row>
    <row r="35" spans="1:8" s="7" customFormat="1" ht="16" x14ac:dyDescent="0.2">
      <c r="A35" s="8"/>
      <c r="B35" s="10" t="s">
        <v>46</v>
      </c>
      <c r="C35" s="8" t="s">
        <v>5</v>
      </c>
      <c r="D35" s="8"/>
      <c r="E35" s="8"/>
      <c r="F35" s="8"/>
      <c r="G35" s="8"/>
    </row>
    <row r="36" spans="1:8" ht="16" x14ac:dyDescent="0.2">
      <c r="A36" s="31"/>
      <c r="B36" s="10" t="s">
        <v>47</v>
      </c>
      <c r="C36" s="9" t="s">
        <v>48</v>
      </c>
    </row>
    <row r="37" spans="1:8" ht="16" x14ac:dyDescent="0.2">
      <c r="A37" s="8"/>
      <c r="B37" s="10" t="s">
        <v>49</v>
      </c>
      <c r="C37" s="9" t="s">
        <v>50</v>
      </c>
      <c r="D37" s="8"/>
      <c r="E37" s="8"/>
      <c r="F37" s="8"/>
      <c r="G37" s="8"/>
      <c r="H37" s="7"/>
    </row>
    <row r="38" spans="1:8" ht="16" x14ac:dyDescent="0.2">
      <c r="A38" s="8"/>
      <c r="B38" s="10" t="s">
        <v>51</v>
      </c>
      <c r="C38" s="9" t="s">
        <v>11</v>
      </c>
      <c r="D38" s="8"/>
      <c r="E38" s="8"/>
      <c r="F38" s="8"/>
      <c r="G38" s="8"/>
      <c r="H38" s="7"/>
    </row>
    <row r="39" spans="1:8" ht="16" x14ac:dyDescent="0.2">
      <c r="A39" s="8"/>
      <c r="B39" s="10" t="s">
        <v>52</v>
      </c>
      <c r="C39" s="9" t="s">
        <v>14</v>
      </c>
      <c r="D39" s="8"/>
      <c r="E39" s="8"/>
      <c r="F39" s="8"/>
      <c r="G39" s="8"/>
    </row>
    <row r="40" spans="1:8" ht="16" x14ac:dyDescent="0.2">
      <c r="A40" s="8"/>
      <c r="B40" s="10" t="s">
        <v>53</v>
      </c>
      <c r="C40" s="9" t="s">
        <v>17</v>
      </c>
      <c r="D40" s="8"/>
      <c r="E40" s="8"/>
      <c r="F40" s="8"/>
      <c r="G40" s="8"/>
    </row>
    <row r="41" spans="1:8" ht="16" x14ac:dyDescent="0.2">
      <c r="A41" s="8"/>
      <c r="B41" s="10" t="s">
        <v>19</v>
      </c>
      <c r="C41" s="9" t="s">
        <v>629</v>
      </c>
      <c r="D41" s="8"/>
      <c r="E41" s="8"/>
      <c r="F41" s="8"/>
      <c r="G41" s="8"/>
    </row>
    <row r="42" spans="1:8" ht="16" x14ac:dyDescent="0.2">
      <c r="A42" s="8"/>
      <c r="B42" s="10" t="s">
        <v>640</v>
      </c>
      <c r="C42" s="9" t="s">
        <v>641</v>
      </c>
      <c r="D42" s="8"/>
      <c r="E42" s="8"/>
      <c r="F42" s="8"/>
      <c r="G42" s="8"/>
    </row>
    <row r="43" spans="1:8" ht="16" x14ac:dyDescent="0.2">
      <c r="A43" s="8"/>
      <c r="B43" s="10" t="s">
        <v>640</v>
      </c>
      <c r="C43" s="9" t="s">
        <v>642</v>
      </c>
      <c r="D43" s="8"/>
      <c r="E43" s="8"/>
      <c r="F43" s="8"/>
      <c r="G43" s="8"/>
    </row>
    <row r="44" spans="1:8" ht="16" x14ac:dyDescent="0.2">
      <c r="A44" s="8"/>
      <c r="B44" s="10" t="s">
        <v>33</v>
      </c>
      <c r="C44" s="9" t="s">
        <v>54</v>
      </c>
      <c r="D44" s="8"/>
      <c r="E44" s="8"/>
      <c r="F44" s="8"/>
      <c r="G44" s="8"/>
    </row>
    <row r="45" spans="1:8" ht="16" x14ac:dyDescent="0.2">
      <c r="A45" s="8"/>
      <c r="B45" s="10" t="s">
        <v>35</v>
      </c>
      <c r="C45" s="9" t="s">
        <v>36</v>
      </c>
      <c r="D45" s="8"/>
      <c r="E45" s="8"/>
      <c r="F45" s="8"/>
      <c r="G45" s="8"/>
    </row>
    <row r="46" spans="1:8" ht="16" x14ac:dyDescent="0.2">
      <c r="A46" s="8"/>
      <c r="B46" s="10" t="s">
        <v>38</v>
      </c>
      <c r="C46" s="9" t="s">
        <v>39</v>
      </c>
      <c r="D46" s="8"/>
      <c r="E46" s="8"/>
      <c r="F46" s="8"/>
      <c r="G46" s="8"/>
    </row>
    <row r="47" spans="1:8" s="7" customFormat="1" ht="16" x14ac:dyDescent="0.2">
      <c r="A47" s="8"/>
      <c r="B47" s="10" t="s">
        <v>55</v>
      </c>
      <c r="C47" s="9" t="s">
        <v>56</v>
      </c>
      <c r="D47" s="8"/>
      <c r="E47" s="8"/>
      <c r="F47" s="8"/>
      <c r="G47" s="8"/>
      <c r="H47" s="6"/>
    </row>
  </sheetData>
  <phoneticPr fontId="55" type="noConversion"/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25BC8-C524-344F-B54B-52E8E61B2F58}">
  <dimension ref="A1:K121"/>
  <sheetViews>
    <sheetView workbookViewId="0">
      <selection activeCell="B3" sqref="B3"/>
    </sheetView>
  </sheetViews>
  <sheetFormatPr baseColWidth="10" defaultRowHeight="15" x14ac:dyDescent="0.2"/>
  <cols>
    <col min="3" max="3" width="33.33203125" customWidth="1"/>
    <col min="4" max="4" width="12" bestFit="1" customWidth="1"/>
    <col min="5" max="5" width="12" customWidth="1"/>
  </cols>
  <sheetData>
    <row r="1" spans="1:11" x14ac:dyDescent="0.2">
      <c r="A1" t="s">
        <v>3233</v>
      </c>
      <c r="B1" s="496" t="s">
        <v>3110</v>
      </c>
      <c r="C1" s="496" t="s">
        <v>3111</v>
      </c>
      <c r="D1" s="496" t="s">
        <v>3234</v>
      </c>
      <c r="E1" s="497" t="s">
        <v>3593</v>
      </c>
      <c r="G1" s="496" t="s">
        <v>3235</v>
      </c>
      <c r="H1" s="496" t="s">
        <v>3236</v>
      </c>
      <c r="I1" s="496" t="s">
        <v>3237</v>
      </c>
      <c r="J1" s="496" t="s">
        <v>3238</v>
      </c>
      <c r="K1" s="498" t="s">
        <v>3594</v>
      </c>
    </row>
    <row r="2" spans="1:11" x14ac:dyDescent="0.2">
      <c r="A2" s="496">
        <v>22</v>
      </c>
      <c r="B2" t="s">
        <v>3112</v>
      </c>
      <c r="C2" t="s">
        <v>3113</v>
      </c>
      <c r="D2">
        <v>7.55</v>
      </c>
      <c r="E2">
        <f>D2/100</f>
        <v>7.5499999999999998E-2</v>
      </c>
      <c r="F2" s="496">
        <v>22</v>
      </c>
      <c r="G2" t="s">
        <v>3239</v>
      </c>
      <c r="H2" t="s">
        <v>3240</v>
      </c>
      <c r="I2" t="s">
        <v>3241</v>
      </c>
      <c r="J2">
        <v>12.64</v>
      </c>
      <c r="K2">
        <f>J2/100</f>
        <v>0.12640000000000001</v>
      </c>
    </row>
    <row r="3" spans="1:11" x14ac:dyDescent="0.2">
      <c r="A3" s="496">
        <v>23</v>
      </c>
      <c r="B3" t="s">
        <v>3112</v>
      </c>
      <c r="C3" t="s">
        <v>3114</v>
      </c>
      <c r="D3">
        <v>7.44</v>
      </c>
      <c r="E3">
        <f t="shared" ref="E3:E66" si="0">D3/100</f>
        <v>7.4400000000000008E-2</v>
      </c>
      <c r="F3" s="496">
        <v>23</v>
      </c>
      <c r="G3" t="s">
        <v>3242</v>
      </c>
      <c r="H3" t="s">
        <v>3243</v>
      </c>
      <c r="I3" t="s">
        <v>3244</v>
      </c>
      <c r="J3">
        <v>12.59</v>
      </c>
      <c r="K3">
        <f t="shared" ref="K3:K66" si="1">J3/100</f>
        <v>0.12590000000000001</v>
      </c>
    </row>
    <row r="4" spans="1:11" x14ac:dyDescent="0.2">
      <c r="A4" s="496">
        <v>24</v>
      </c>
      <c r="B4" t="s">
        <v>3112</v>
      </c>
      <c r="C4" t="s">
        <v>3115</v>
      </c>
      <c r="D4">
        <v>7.46</v>
      </c>
      <c r="E4">
        <f t="shared" si="0"/>
        <v>7.46E-2</v>
      </c>
      <c r="F4" s="496">
        <v>24</v>
      </c>
      <c r="G4" t="s">
        <v>3245</v>
      </c>
      <c r="H4" t="s">
        <v>3246</v>
      </c>
      <c r="I4" t="s">
        <v>3247</v>
      </c>
      <c r="J4">
        <v>12.52</v>
      </c>
      <c r="K4">
        <f t="shared" si="1"/>
        <v>0.12520000000000001</v>
      </c>
    </row>
    <row r="5" spans="1:11" x14ac:dyDescent="0.2">
      <c r="A5" s="496">
        <v>25</v>
      </c>
      <c r="B5" t="s">
        <v>3112</v>
      </c>
      <c r="C5" t="s">
        <v>3116</v>
      </c>
      <c r="D5">
        <v>7.03</v>
      </c>
      <c r="E5">
        <f t="shared" si="0"/>
        <v>7.0300000000000001E-2</v>
      </c>
      <c r="F5" s="496">
        <v>25</v>
      </c>
      <c r="G5" t="s">
        <v>3248</v>
      </c>
      <c r="H5" t="s">
        <v>3249</v>
      </c>
      <c r="I5" t="s">
        <v>3250</v>
      </c>
      <c r="J5">
        <v>12.33</v>
      </c>
      <c r="K5">
        <f t="shared" si="1"/>
        <v>0.12330000000000001</v>
      </c>
    </row>
    <row r="6" spans="1:11" x14ac:dyDescent="0.2">
      <c r="A6" s="496">
        <v>26</v>
      </c>
      <c r="B6" t="s">
        <v>3112</v>
      </c>
      <c r="C6" t="s">
        <v>3117</v>
      </c>
      <c r="D6">
        <v>6.87</v>
      </c>
      <c r="E6">
        <f t="shared" si="0"/>
        <v>6.8699999999999997E-2</v>
      </c>
      <c r="F6" s="496">
        <v>26</v>
      </c>
      <c r="G6" t="s">
        <v>3251</v>
      </c>
      <c r="H6" t="s">
        <v>3252</v>
      </c>
      <c r="I6" t="s">
        <v>3253</v>
      </c>
      <c r="J6">
        <v>12.44</v>
      </c>
      <c r="K6">
        <f t="shared" si="1"/>
        <v>0.1244</v>
      </c>
    </row>
    <row r="7" spans="1:11" x14ac:dyDescent="0.2">
      <c r="A7" s="496">
        <v>27</v>
      </c>
      <c r="B7" t="s">
        <v>3112</v>
      </c>
      <c r="C7" t="s">
        <v>3118</v>
      </c>
      <c r="D7">
        <v>7.21</v>
      </c>
      <c r="E7">
        <f t="shared" si="0"/>
        <v>7.2099999999999997E-2</v>
      </c>
      <c r="F7" s="496">
        <v>27</v>
      </c>
      <c r="G7" t="s">
        <v>3254</v>
      </c>
      <c r="H7" t="s">
        <v>3255</v>
      </c>
      <c r="I7" t="s">
        <v>3256</v>
      </c>
      <c r="J7">
        <v>13.08</v>
      </c>
      <c r="K7">
        <f t="shared" si="1"/>
        <v>0.1308</v>
      </c>
    </row>
    <row r="8" spans="1:11" x14ac:dyDescent="0.2">
      <c r="A8" s="496">
        <v>28</v>
      </c>
      <c r="B8" t="s">
        <v>3112</v>
      </c>
      <c r="C8" t="s">
        <v>3119</v>
      </c>
      <c r="D8">
        <v>7.16</v>
      </c>
      <c r="E8">
        <f t="shared" si="0"/>
        <v>7.1599999999999997E-2</v>
      </c>
      <c r="F8" s="496">
        <v>28</v>
      </c>
      <c r="G8" t="s">
        <v>3257</v>
      </c>
      <c r="H8" t="s">
        <v>3258</v>
      </c>
      <c r="I8" t="s">
        <v>3259</v>
      </c>
      <c r="J8">
        <v>13.64</v>
      </c>
      <c r="K8">
        <f t="shared" si="1"/>
        <v>0.13639999999999999</v>
      </c>
    </row>
    <row r="9" spans="1:11" x14ac:dyDescent="0.2">
      <c r="A9" s="496">
        <v>29</v>
      </c>
      <c r="B9" t="s">
        <v>3112</v>
      </c>
      <c r="C9" t="s">
        <v>3120</v>
      </c>
      <c r="D9">
        <v>7.09</v>
      </c>
      <c r="E9">
        <f t="shared" si="0"/>
        <v>7.0900000000000005E-2</v>
      </c>
      <c r="F9" s="496">
        <v>29</v>
      </c>
      <c r="G9" t="s">
        <v>3260</v>
      </c>
      <c r="H9" t="s">
        <v>3261</v>
      </c>
      <c r="I9" t="s">
        <v>3262</v>
      </c>
      <c r="J9">
        <v>14.2</v>
      </c>
      <c r="K9">
        <f t="shared" si="1"/>
        <v>0.14199999999999999</v>
      </c>
    </row>
    <row r="10" spans="1:11" x14ac:dyDescent="0.2">
      <c r="A10" s="496">
        <v>30</v>
      </c>
      <c r="B10" t="s">
        <v>3112</v>
      </c>
      <c r="C10" t="s">
        <v>3121</v>
      </c>
      <c r="D10">
        <v>7.09</v>
      </c>
      <c r="E10">
        <f t="shared" si="0"/>
        <v>7.0900000000000005E-2</v>
      </c>
      <c r="F10" s="496">
        <v>30</v>
      </c>
      <c r="G10" t="s">
        <v>3263</v>
      </c>
      <c r="H10" t="s">
        <v>3264</v>
      </c>
      <c r="I10" t="s">
        <v>3265</v>
      </c>
      <c r="J10">
        <v>14.65</v>
      </c>
      <c r="K10">
        <f t="shared" si="1"/>
        <v>0.14649999999999999</v>
      </c>
    </row>
    <row r="11" spans="1:11" x14ac:dyDescent="0.2">
      <c r="A11" s="496">
        <v>31</v>
      </c>
      <c r="B11" t="s">
        <v>3112</v>
      </c>
      <c r="C11" t="s">
        <v>3122</v>
      </c>
      <c r="D11">
        <v>7.24</v>
      </c>
      <c r="E11">
        <f t="shared" si="0"/>
        <v>7.2400000000000006E-2</v>
      </c>
      <c r="F11" s="496">
        <v>31</v>
      </c>
      <c r="G11" t="s">
        <v>3266</v>
      </c>
      <c r="H11" t="s">
        <v>3267</v>
      </c>
      <c r="I11" t="s">
        <v>3268</v>
      </c>
      <c r="J11">
        <v>14.4</v>
      </c>
      <c r="K11">
        <f t="shared" si="1"/>
        <v>0.14400000000000002</v>
      </c>
    </row>
    <row r="12" spans="1:11" x14ac:dyDescent="0.2">
      <c r="A12" s="496">
        <v>32</v>
      </c>
      <c r="B12" t="s">
        <v>3112</v>
      </c>
      <c r="C12" t="s">
        <v>3123</v>
      </c>
      <c r="D12">
        <v>7.27</v>
      </c>
      <c r="E12">
        <f t="shared" si="0"/>
        <v>7.2700000000000001E-2</v>
      </c>
      <c r="F12" s="496">
        <v>32</v>
      </c>
      <c r="G12" t="s">
        <v>3269</v>
      </c>
      <c r="H12" t="s">
        <v>3270</v>
      </c>
      <c r="I12" t="s">
        <v>3271</v>
      </c>
      <c r="J12">
        <v>14.52</v>
      </c>
      <c r="K12">
        <f t="shared" si="1"/>
        <v>0.1452</v>
      </c>
    </row>
    <row r="13" spans="1:11" x14ac:dyDescent="0.2">
      <c r="A13" s="496">
        <v>33</v>
      </c>
      <c r="B13" t="s">
        <v>3112</v>
      </c>
      <c r="C13" t="s">
        <v>3124</v>
      </c>
      <c r="D13">
        <v>7.26</v>
      </c>
      <c r="E13">
        <f t="shared" si="0"/>
        <v>7.2599999999999998E-2</v>
      </c>
      <c r="F13" s="496">
        <v>33</v>
      </c>
      <c r="G13" t="s">
        <v>3272</v>
      </c>
      <c r="H13" t="s">
        <v>3273</v>
      </c>
      <c r="I13" t="s">
        <v>3274</v>
      </c>
      <c r="J13">
        <v>14.3</v>
      </c>
      <c r="K13">
        <f t="shared" si="1"/>
        <v>0.14300000000000002</v>
      </c>
    </row>
    <row r="14" spans="1:11" x14ac:dyDescent="0.2">
      <c r="A14" s="496">
        <v>34</v>
      </c>
      <c r="B14" t="s">
        <v>3112</v>
      </c>
      <c r="C14" t="s">
        <v>3125</v>
      </c>
      <c r="D14">
        <v>7.65</v>
      </c>
      <c r="E14">
        <f t="shared" si="0"/>
        <v>7.6499999999999999E-2</v>
      </c>
      <c r="F14" s="496">
        <v>34</v>
      </c>
      <c r="G14" t="s">
        <v>3275</v>
      </c>
      <c r="H14" t="s">
        <v>3276</v>
      </c>
      <c r="I14" t="s">
        <v>3277</v>
      </c>
      <c r="J14">
        <v>15.12</v>
      </c>
      <c r="K14">
        <f t="shared" si="1"/>
        <v>0.1512</v>
      </c>
    </row>
    <row r="15" spans="1:11" x14ac:dyDescent="0.2">
      <c r="A15" s="496">
        <v>35</v>
      </c>
      <c r="B15" t="s">
        <v>3112</v>
      </c>
      <c r="C15" t="s">
        <v>3126</v>
      </c>
      <c r="D15">
        <v>7.6</v>
      </c>
      <c r="E15">
        <f t="shared" si="0"/>
        <v>7.5999999999999998E-2</v>
      </c>
      <c r="F15" s="496">
        <v>35</v>
      </c>
      <c r="G15" t="s">
        <v>3278</v>
      </c>
      <c r="H15" t="s">
        <v>3279</v>
      </c>
      <c r="I15" t="s">
        <v>3280</v>
      </c>
      <c r="J15">
        <v>15.03</v>
      </c>
      <c r="K15">
        <f t="shared" si="1"/>
        <v>0.15029999999999999</v>
      </c>
    </row>
    <row r="16" spans="1:11" x14ac:dyDescent="0.2">
      <c r="A16" s="496">
        <v>36</v>
      </c>
      <c r="B16" t="s">
        <v>3112</v>
      </c>
      <c r="C16" t="s">
        <v>3127</v>
      </c>
      <c r="D16">
        <v>7.47</v>
      </c>
      <c r="E16">
        <f t="shared" si="0"/>
        <v>7.4700000000000003E-2</v>
      </c>
      <c r="F16" s="496">
        <v>36</v>
      </c>
      <c r="G16" t="s">
        <v>3281</v>
      </c>
      <c r="H16" t="s">
        <v>3282</v>
      </c>
      <c r="I16" t="s">
        <v>3283</v>
      </c>
      <c r="J16">
        <v>15.3</v>
      </c>
      <c r="K16">
        <f t="shared" si="1"/>
        <v>0.153</v>
      </c>
    </row>
    <row r="17" spans="1:11" x14ac:dyDescent="0.2">
      <c r="A17" s="496">
        <v>37</v>
      </c>
      <c r="B17" t="s">
        <v>3112</v>
      </c>
      <c r="C17" t="s">
        <v>3128</v>
      </c>
      <c r="D17">
        <v>7.97</v>
      </c>
      <c r="E17">
        <f t="shared" si="0"/>
        <v>7.9699999999999993E-2</v>
      </c>
      <c r="F17" s="496">
        <v>37</v>
      </c>
      <c r="G17" t="s">
        <v>3284</v>
      </c>
      <c r="H17" t="s">
        <v>3285</v>
      </c>
      <c r="I17" t="s">
        <v>3286</v>
      </c>
      <c r="J17">
        <v>15.16</v>
      </c>
      <c r="K17">
        <f t="shared" si="1"/>
        <v>0.15160000000000001</v>
      </c>
    </row>
    <row r="18" spans="1:11" x14ac:dyDescent="0.2">
      <c r="A18" s="496">
        <v>38</v>
      </c>
      <c r="B18" t="s">
        <v>3112</v>
      </c>
      <c r="C18" t="s">
        <v>3129</v>
      </c>
      <c r="D18">
        <v>8.1199999999999992</v>
      </c>
      <c r="E18">
        <f t="shared" si="0"/>
        <v>8.1199999999999994E-2</v>
      </c>
      <c r="F18" s="496">
        <v>38</v>
      </c>
      <c r="G18" t="s">
        <v>3287</v>
      </c>
      <c r="H18" t="s">
        <v>3288</v>
      </c>
      <c r="I18" t="s">
        <v>3289</v>
      </c>
      <c r="J18">
        <v>15.37</v>
      </c>
      <c r="K18">
        <f t="shared" si="1"/>
        <v>0.1537</v>
      </c>
    </row>
    <row r="19" spans="1:11" x14ac:dyDescent="0.2">
      <c r="A19" s="496">
        <v>39</v>
      </c>
      <c r="B19" t="s">
        <v>3112</v>
      </c>
      <c r="C19" t="s">
        <v>3130</v>
      </c>
      <c r="D19">
        <v>7.52</v>
      </c>
      <c r="E19">
        <f t="shared" si="0"/>
        <v>7.5199999999999989E-2</v>
      </c>
      <c r="F19" s="496">
        <v>39</v>
      </c>
      <c r="G19" t="s">
        <v>3290</v>
      </c>
      <c r="H19" t="s">
        <v>3291</v>
      </c>
      <c r="I19" t="s">
        <v>3292</v>
      </c>
      <c r="J19">
        <v>15.6</v>
      </c>
      <c r="K19">
        <f t="shared" si="1"/>
        <v>0.156</v>
      </c>
    </row>
    <row r="20" spans="1:11" x14ac:dyDescent="0.2">
      <c r="A20" s="496">
        <v>40</v>
      </c>
      <c r="B20" t="s">
        <v>3112</v>
      </c>
      <c r="C20" t="s">
        <v>3131</v>
      </c>
      <c r="D20">
        <v>7.75</v>
      </c>
      <c r="E20">
        <f t="shared" si="0"/>
        <v>7.7499999999999999E-2</v>
      </c>
      <c r="F20" s="496">
        <v>40</v>
      </c>
      <c r="G20" t="s">
        <v>3293</v>
      </c>
      <c r="H20" t="s">
        <v>3294</v>
      </c>
      <c r="I20" t="s">
        <v>3295</v>
      </c>
      <c r="J20">
        <v>15.99</v>
      </c>
      <c r="K20">
        <f t="shared" si="1"/>
        <v>0.15990000000000001</v>
      </c>
    </row>
    <row r="21" spans="1:11" x14ac:dyDescent="0.2">
      <c r="A21" s="496">
        <v>41</v>
      </c>
      <c r="B21" t="s">
        <v>3112</v>
      </c>
      <c r="C21" t="s">
        <v>3132</v>
      </c>
      <c r="D21">
        <v>7.7</v>
      </c>
      <c r="E21">
        <f t="shared" si="0"/>
        <v>7.6999999999999999E-2</v>
      </c>
      <c r="F21" s="496">
        <v>41</v>
      </c>
      <c r="G21" t="s">
        <v>3296</v>
      </c>
      <c r="H21" t="s">
        <v>3297</v>
      </c>
      <c r="I21" t="s">
        <v>3298</v>
      </c>
      <c r="J21">
        <v>15.32</v>
      </c>
      <c r="K21">
        <f t="shared" si="1"/>
        <v>0.1532</v>
      </c>
    </row>
    <row r="22" spans="1:11" x14ac:dyDescent="0.2">
      <c r="A22" s="496">
        <v>42</v>
      </c>
      <c r="B22" t="s">
        <v>3112</v>
      </c>
      <c r="C22" t="s">
        <v>3133</v>
      </c>
      <c r="D22">
        <v>7.96</v>
      </c>
      <c r="E22">
        <f t="shared" si="0"/>
        <v>7.9600000000000004E-2</v>
      </c>
      <c r="F22" s="496">
        <v>42</v>
      </c>
      <c r="G22" t="s">
        <v>3299</v>
      </c>
      <c r="H22" t="s">
        <v>3300</v>
      </c>
      <c r="I22" t="s">
        <v>3301</v>
      </c>
      <c r="J22">
        <v>15.39</v>
      </c>
      <c r="K22">
        <f t="shared" si="1"/>
        <v>0.15390000000000001</v>
      </c>
    </row>
    <row r="23" spans="1:11" x14ac:dyDescent="0.2">
      <c r="A23" s="496">
        <v>43</v>
      </c>
      <c r="B23" t="s">
        <v>3112</v>
      </c>
      <c r="C23" t="s">
        <v>3134</v>
      </c>
      <c r="D23">
        <v>7.58</v>
      </c>
      <c r="E23">
        <f t="shared" si="0"/>
        <v>7.5800000000000006E-2</v>
      </c>
      <c r="F23" s="496">
        <v>43</v>
      </c>
      <c r="G23" t="s">
        <v>3302</v>
      </c>
      <c r="H23" t="s">
        <v>3303</v>
      </c>
      <c r="I23" t="s">
        <v>3304</v>
      </c>
      <c r="J23">
        <v>15.43</v>
      </c>
      <c r="K23">
        <f t="shared" si="1"/>
        <v>0.15429999999999999</v>
      </c>
    </row>
    <row r="24" spans="1:11" x14ac:dyDescent="0.2">
      <c r="A24" s="496">
        <v>44</v>
      </c>
      <c r="B24" t="s">
        <v>3112</v>
      </c>
      <c r="C24" t="s">
        <v>3135</v>
      </c>
      <c r="D24">
        <v>7.63</v>
      </c>
      <c r="E24">
        <f t="shared" si="0"/>
        <v>7.6299999999999993E-2</v>
      </c>
      <c r="F24" s="496">
        <v>44</v>
      </c>
      <c r="G24" t="s">
        <v>3305</v>
      </c>
      <c r="H24" t="s">
        <v>3306</v>
      </c>
      <c r="I24" t="s">
        <v>3307</v>
      </c>
      <c r="J24">
        <v>15.98</v>
      </c>
      <c r="K24">
        <f t="shared" si="1"/>
        <v>0.1598</v>
      </c>
    </row>
    <row r="25" spans="1:11" x14ac:dyDescent="0.2">
      <c r="A25" s="496">
        <v>45</v>
      </c>
      <c r="B25" t="s">
        <v>3112</v>
      </c>
      <c r="C25" t="s">
        <v>3136</v>
      </c>
      <c r="D25">
        <v>7.57</v>
      </c>
      <c r="E25">
        <f t="shared" si="0"/>
        <v>7.5700000000000003E-2</v>
      </c>
      <c r="F25" s="496">
        <v>45</v>
      </c>
      <c r="G25" t="s">
        <v>3308</v>
      </c>
      <c r="H25" t="s">
        <v>3309</v>
      </c>
      <c r="I25" t="s">
        <v>3310</v>
      </c>
      <c r="J25">
        <v>16.13</v>
      </c>
      <c r="K25">
        <f t="shared" si="1"/>
        <v>0.1613</v>
      </c>
    </row>
    <row r="26" spans="1:11" x14ac:dyDescent="0.2">
      <c r="A26" s="496">
        <v>46</v>
      </c>
      <c r="B26" t="s">
        <v>3112</v>
      </c>
      <c r="C26" t="s">
        <v>3137</v>
      </c>
      <c r="D26">
        <v>8.4499999999999993</v>
      </c>
      <c r="E26">
        <f t="shared" si="0"/>
        <v>8.4499999999999992E-2</v>
      </c>
      <c r="F26" s="496">
        <v>46</v>
      </c>
      <c r="G26" t="s">
        <v>3311</v>
      </c>
      <c r="H26" t="s">
        <v>3312</v>
      </c>
      <c r="I26" t="s">
        <v>3313</v>
      </c>
      <c r="J26">
        <v>16.36</v>
      </c>
      <c r="K26">
        <f t="shared" si="1"/>
        <v>0.1636</v>
      </c>
    </row>
    <row r="27" spans="1:11" x14ac:dyDescent="0.2">
      <c r="A27" s="496">
        <v>47</v>
      </c>
      <c r="B27" t="s">
        <v>3112</v>
      </c>
      <c r="C27" t="s">
        <v>3138</v>
      </c>
      <c r="D27">
        <v>8.6999999999999993</v>
      </c>
      <c r="E27">
        <f t="shared" si="0"/>
        <v>8.6999999999999994E-2</v>
      </c>
      <c r="F27" s="496">
        <v>47</v>
      </c>
      <c r="G27" t="s">
        <v>3314</v>
      </c>
      <c r="H27" t="s">
        <v>3315</v>
      </c>
      <c r="I27" t="s">
        <v>3316</v>
      </c>
      <c r="J27">
        <v>16.46</v>
      </c>
      <c r="K27">
        <f t="shared" si="1"/>
        <v>0.1646</v>
      </c>
    </row>
    <row r="28" spans="1:11" x14ac:dyDescent="0.2">
      <c r="A28" s="496">
        <v>48</v>
      </c>
      <c r="B28" t="s">
        <v>3112</v>
      </c>
      <c r="C28" t="s">
        <v>3139</v>
      </c>
      <c r="D28">
        <v>8.36</v>
      </c>
      <c r="E28">
        <f t="shared" si="0"/>
        <v>8.3599999999999994E-2</v>
      </c>
      <c r="F28" s="496">
        <v>48</v>
      </c>
      <c r="G28" t="s">
        <v>3317</v>
      </c>
      <c r="H28" t="s">
        <v>3318</v>
      </c>
      <c r="I28" t="s">
        <v>3319</v>
      </c>
      <c r="J28">
        <v>16.989999999999998</v>
      </c>
      <c r="K28">
        <f t="shared" si="1"/>
        <v>0.1699</v>
      </c>
    </row>
    <row r="29" spans="1:11" x14ac:dyDescent="0.2">
      <c r="A29" s="496">
        <v>49</v>
      </c>
      <c r="B29" t="s">
        <v>3112</v>
      </c>
      <c r="C29" t="s">
        <v>3140</v>
      </c>
      <c r="D29">
        <v>8.9600000000000009</v>
      </c>
      <c r="E29">
        <f t="shared" si="0"/>
        <v>8.9600000000000013E-2</v>
      </c>
      <c r="F29" s="496">
        <v>49</v>
      </c>
      <c r="G29" t="s">
        <v>3320</v>
      </c>
      <c r="H29" t="s">
        <v>3321</v>
      </c>
      <c r="I29" t="s">
        <v>3322</v>
      </c>
      <c r="J29">
        <v>17.079999999999998</v>
      </c>
      <c r="K29">
        <f t="shared" si="1"/>
        <v>0.17079999999999998</v>
      </c>
    </row>
    <row r="30" spans="1:11" x14ac:dyDescent="0.2">
      <c r="A30" s="496">
        <v>50</v>
      </c>
      <c r="B30" t="s">
        <v>3112</v>
      </c>
      <c r="C30" t="s">
        <v>3141</v>
      </c>
      <c r="D30">
        <v>9.15</v>
      </c>
      <c r="E30">
        <f t="shared" si="0"/>
        <v>9.1499999999999998E-2</v>
      </c>
      <c r="F30" s="496">
        <v>50</v>
      </c>
      <c r="G30" t="s">
        <v>3323</v>
      </c>
      <c r="H30" t="s">
        <v>3324</v>
      </c>
      <c r="I30" t="s">
        <v>3325</v>
      </c>
      <c r="J30">
        <v>17.260000000000002</v>
      </c>
      <c r="K30">
        <f t="shared" si="1"/>
        <v>0.1726</v>
      </c>
    </row>
    <row r="31" spans="1:11" x14ac:dyDescent="0.2">
      <c r="A31" s="496">
        <v>51</v>
      </c>
      <c r="B31" t="s">
        <v>3112</v>
      </c>
      <c r="C31" t="s">
        <v>3142</v>
      </c>
      <c r="D31">
        <v>9.24</v>
      </c>
      <c r="E31">
        <f t="shared" si="0"/>
        <v>9.2399999999999996E-2</v>
      </c>
      <c r="F31" s="496">
        <v>51</v>
      </c>
      <c r="G31" t="s">
        <v>3326</v>
      </c>
      <c r="H31" t="s">
        <v>3327</v>
      </c>
      <c r="I31" t="s">
        <v>3328</v>
      </c>
      <c r="J31">
        <v>17.41</v>
      </c>
      <c r="K31">
        <f t="shared" si="1"/>
        <v>0.1741</v>
      </c>
    </row>
    <row r="32" spans="1:11" x14ac:dyDescent="0.2">
      <c r="A32" s="496">
        <v>52</v>
      </c>
      <c r="B32" t="s">
        <v>3112</v>
      </c>
      <c r="C32" t="s">
        <v>3143</v>
      </c>
      <c r="D32">
        <v>9.81</v>
      </c>
      <c r="E32">
        <f t="shared" si="0"/>
        <v>9.8100000000000007E-2</v>
      </c>
      <c r="F32" s="496">
        <v>52</v>
      </c>
      <c r="G32" t="s">
        <v>3329</v>
      </c>
      <c r="H32" t="s">
        <v>3330</v>
      </c>
      <c r="I32" t="s">
        <v>3331</v>
      </c>
      <c r="J32">
        <v>17.68</v>
      </c>
      <c r="K32">
        <f t="shared" si="1"/>
        <v>0.17679999999999998</v>
      </c>
    </row>
    <row r="33" spans="1:11" x14ac:dyDescent="0.2">
      <c r="A33" s="496">
        <v>53</v>
      </c>
      <c r="B33" t="s">
        <v>3112</v>
      </c>
      <c r="C33" t="s">
        <v>3144</v>
      </c>
      <c r="D33">
        <v>10.06</v>
      </c>
      <c r="E33">
        <f t="shared" si="0"/>
        <v>0.10060000000000001</v>
      </c>
      <c r="F33" s="496">
        <v>53</v>
      </c>
      <c r="G33" t="s">
        <v>3332</v>
      </c>
      <c r="H33" t="s">
        <v>3333</v>
      </c>
      <c r="I33" t="s">
        <v>3334</v>
      </c>
      <c r="J33">
        <v>18</v>
      </c>
      <c r="K33">
        <f t="shared" si="1"/>
        <v>0.18</v>
      </c>
    </row>
    <row r="34" spans="1:11" x14ac:dyDescent="0.2">
      <c r="A34" s="496">
        <v>54</v>
      </c>
      <c r="B34" t="s">
        <v>3112</v>
      </c>
      <c r="C34" t="s">
        <v>3145</v>
      </c>
      <c r="D34">
        <v>9.6999999999999993</v>
      </c>
      <c r="E34">
        <f t="shared" si="0"/>
        <v>9.6999999999999989E-2</v>
      </c>
      <c r="F34" s="496">
        <v>54</v>
      </c>
      <c r="G34" t="s">
        <v>3335</v>
      </c>
      <c r="H34" t="s">
        <v>3336</v>
      </c>
      <c r="I34" t="s">
        <v>3337</v>
      </c>
      <c r="J34">
        <v>18.27</v>
      </c>
      <c r="K34">
        <f t="shared" si="1"/>
        <v>0.1827</v>
      </c>
    </row>
    <row r="35" spans="1:11" x14ac:dyDescent="0.2">
      <c r="A35" s="496">
        <v>55</v>
      </c>
      <c r="B35" t="s">
        <v>3112</v>
      </c>
      <c r="C35" t="s">
        <v>3146</v>
      </c>
      <c r="D35">
        <v>10.31</v>
      </c>
      <c r="E35">
        <f t="shared" si="0"/>
        <v>0.10310000000000001</v>
      </c>
      <c r="F35" s="496">
        <v>55</v>
      </c>
      <c r="G35" t="s">
        <v>3338</v>
      </c>
      <c r="H35" t="s">
        <v>3339</v>
      </c>
      <c r="I35" t="s">
        <v>3340</v>
      </c>
      <c r="J35">
        <v>18.489999999999998</v>
      </c>
      <c r="K35">
        <f t="shared" si="1"/>
        <v>0.18489999999999998</v>
      </c>
    </row>
    <row r="36" spans="1:11" x14ac:dyDescent="0.2">
      <c r="A36" s="496">
        <v>56</v>
      </c>
      <c r="B36" t="s">
        <v>3112</v>
      </c>
      <c r="C36" t="s">
        <v>3147</v>
      </c>
      <c r="D36">
        <v>10.24</v>
      </c>
      <c r="E36">
        <f t="shared" si="0"/>
        <v>0.1024</v>
      </c>
      <c r="F36" s="496">
        <v>56</v>
      </c>
      <c r="G36" t="s">
        <v>3341</v>
      </c>
      <c r="H36" t="s">
        <v>3342</v>
      </c>
      <c r="I36" t="s">
        <v>3343</v>
      </c>
      <c r="J36">
        <v>18.68</v>
      </c>
      <c r="K36">
        <f t="shared" si="1"/>
        <v>0.18679999999999999</v>
      </c>
    </row>
    <row r="37" spans="1:11" x14ac:dyDescent="0.2">
      <c r="A37" s="496">
        <v>57</v>
      </c>
      <c r="B37" t="s">
        <v>3112</v>
      </c>
      <c r="C37" t="s">
        <v>3148</v>
      </c>
      <c r="D37">
        <v>9.77</v>
      </c>
      <c r="E37">
        <f t="shared" si="0"/>
        <v>9.7699999999999995E-2</v>
      </c>
      <c r="F37" s="496">
        <v>57</v>
      </c>
      <c r="G37" t="s">
        <v>3344</v>
      </c>
      <c r="H37" t="s">
        <v>3345</v>
      </c>
      <c r="I37" t="s">
        <v>3346</v>
      </c>
      <c r="J37">
        <v>18.97</v>
      </c>
      <c r="K37">
        <f t="shared" si="1"/>
        <v>0.18969999999999998</v>
      </c>
    </row>
    <row r="38" spans="1:11" x14ac:dyDescent="0.2">
      <c r="A38" s="496">
        <v>58</v>
      </c>
      <c r="B38" t="s">
        <v>3112</v>
      </c>
      <c r="C38" t="s">
        <v>3149</v>
      </c>
      <c r="D38">
        <v>11.62</v>
      </c>
      <c r="E38">
        <f t="shared" si="0"/>
        <v>0.1162</v>
      </c>
      <c r="F38" s="496">
        <v>58</v>
      </c>
      <c r="G38" t="s">
        <v>3347</v>
      </c>
      <c r="H38" t="s">
        <v>3348</v>
      </c>
      <c r="I38" t="s">
        <v>3349</v>
      </c>
      <c r="J38">
        <v>19.25</v>
      </c>
      <c r="K38">
        <f t="shared" si="1"/>
        <v>0.1925</v>
      </c>
    </row>
    <row r="39" spans="1:11" x14ac:dyDescent="0.2">
      <c r="A39" s="496">
        <v>59</v>
      </c>
      <c r="B39" t="s">
        <v>3112</v>
      </c>
      <c r="C39" t="s">
        <v>3150</v>
      </c>
      <c r="D39">
        <v>11.78</v>
      </c>
      <c r="E39">
        <f t="shared" si="0"/>
        <v>0.11779999999999999</v>
      </c>
      <c r="F39" s="496">
        <v>59</v>
      </c>
      <c r="G39" t="s">
        <v>3350</v>
      </c>
      <c r="H39" t="s">
        <v>3351</v>
      </c>
      <c r="I39" t="s">
        <v>3352</v>
      </c>
      <c r="J39">
        <v>19.46</v>
      </c>
      <c r="K39">
        <f t="shared" si="1"/>
        <v>0.1946</v>
      </c>
    </row>
    <row r="40" spans="1:11" x14ac:dyDescent="0.2">
      <c r="A40" s="496">
        <v>60</v>
      </c>
      <c r="B40" t="s">
        <v>3112</v>
      </c>
      <c r="C40" t="s">
        <v>3151</v>
      </c>
      <c r="D40">
        <v>11.89</v>
      </c>
      <c r="E40">
        <f t="shared" si="0"/>
        <v>0.11890000000000001</v>
      </c>
      <c r="F40" s="496">
        <v>60</v>
      </c>
      <c r="G40" t="s">
        <v>3353</v>
      </c>
      <c r="H40" t="s">
        <v>3354</v>
      </c>
      <c r="I40" t="s">
        <v>3355</v>
      </c>
      <c r="J40">
        <v>19.309999999999999</v>
      </c>
      <c r="K40">
        <f t="shared" si="1"/>
        <v>0.19309999999999999</v>
      </c>
    </row>
    <row r="41" spans="1:11" x14ac:dyDescent="0.2">
      <c r="A41" s="496">
        <v>61</v>
      </c>
      <c r="B41" t="s">
        <v>3112</v>
      </c>
      <c r="C41" t="s">
        <v>3152</v>
      </c>
      <c r="D41">
        <v>11.54</v>
      </c>
      <c r="E41">
        <f t="shared" si="0"/>
        <v>0.11539999999999999</v>
      </c>
      <c r="F41" s="496">
        <v>61</v>
      </c>
      <c r="G41" t="s">
        <v>3356</v>
      </c>
      <c r="H41" t="s">
        <v>3357</v>
      </c>
      <c r="I41" t="s">
        <v>3358</v>
      </c>
      <c r="J41">
        <v>19.28</v>
      </c>
      <c r="K41">
        <f t="shared" si="1"/>
        <v>0.1928</v>
      </c>
    </row>
    <row r="42" spans="1:11" x14ac:dyDescent="0.2">
      <c r="A42" s="496">
        <v>62</v>
      </c>
      <c r="B42" t="s">
        <v>3112</v>
      </c>
      <c r="C42" t="s">
        <v>3153</v>
      </c>
      <c r="D42">
        <v>11.81</v>
      </c>
      <c r="E42">
        <f t="shared" si="0"/>
        <v>0.11810000000000001</v>
      </c>
      <c r="F42" s="496">
        <v>62</v>
      </c>
      <c r="G42" t="s">
        <v>3359</v>
      </c>
      <c r="H42" t="s">
        <v>3360</v>
      </c>
      <c r="I42" t="s">
        <v>3361</v>
      </c>
      <c r="J42">
        <v>18.87</v>
      </c>
      <c r="K42">
        <f t="shared" si="1"/>
        <v>0.18870000000000001</v>
      </c>
    </row>
    <row r="43" spans="1:11" x14ac:dyDescent="0.2">
      <c r="A43" s="496">
        <v>63</v>
      </c>
      <c r="B43" t="s">
        <v>3112</v>
      </c>
      <c r="C43" t="s">
        <v>3154</v>
      </c>
      <c r="D43">
        <v>11.62</v>
      </c>
      <c r="E43">
        <f t="shared" si="0"/>
        <v>0.1162</v>
      </c>
      <c r="F43" s="496">
        <v>63</v>
      </c>
      <c r="G43" t="s">
        <v>3362</v>
      </c>
      <c r="H43" t="s">
        <v>3363</v>
      </c>
      <c r="I43" t="s">
        <v>3364</v>
      </c>
      <c r="J43">
        <v>18.47</v>
      </c>
      <c r="K43">
        <f t="shared" si="1"/>
        <v>0.18469999999999998</v>
      </c>
    </row>
    <row r="44" spans="1:11" x14ac:dyDescent="0.2">
      <c r="A44" s="496">
        <v>64</v>
      </c>
      <c r="B44" t="s">
        <v>3112</v>
      </c>
      <c r="C44" t="s">
        <v>3155</v>
      </c>
      <c r="D44">
        <v>12.58</v>
      </c>
      <c r="E44">
        <f t="shared" si="0"/>
        <v>0.1258</v>
      </c>
      <c r="F44" s="496">
        <v>64</v>
      </c>
      <c r="G44" t="s">
        <v>3365</v>
      </c>
      <c r="H44" t="s">
        <v>3366</v>
      </c>
      <c r="I44" t="s">
        <v>3367</v>
      </c>
      <c r="J44">
        <v>18.34</v>
      </c>
      <c r="K44">
        <f t="shared" si="1"/>
        <v>0.18340000000000001</v>
      </c>
    </row>
    <row r="45" spans="1:11" x14ac:dyDescent="0.2">
      <c r="A45" s="496">
        <v>65</v>
      </c>
      <c r="B45" t="s">
        <v>3112</v>
      </c>
      <c r="C45" t="s">
        <v>3156</v>
      </c>
      <c r="D45">
        <v>12.65</v>
      </c>
      <c r="E45">
        <f t="shared" si="0"/>
        <v>0.1265</v>
      </c>
      <c r="F45" s="496">
        <v>65</v>
      </c>
      <c r="G45" t="s">
        <v>3368</v>
      </c>
      <c r="H45" t="s">
        <v>3369</v>
      </c>
      <c r="I45" t="s">
        <v>3370</v>
      </c>
      <c r="J45">
        <v>18.46</v>
      </c>
      <c r="K45">
        <f t="shared" si="1"/>
        <v>0.18460000000000001</v>
      </c>
    </row>
    <row r="46" spans="1:11" x14ac:dyDescent="0.2">
      <c r="A46" s="496">
        <v>66</v>
      </c>
      <c r="B46" t="s">
        <v>3112</v>
      </c>
      <c r="C46" t="s">
        <v>3157</v>
      </c>
      <c r="D46">
        <v>12.13</v>
      </c>
      <c r="E46">
        <f t="shared" si="0"/>
        <v>0.12130000000000001</v>
      </c>
      <c r="F46" s="496">
        <v>66</v>
      </c>
      <c r="G46" t="s">
        <v>3371</v>
      </c>
      <c r="H46" t="s">
        <v>3372</v>
      </c>
      <c r="I46" t="s">
        <v>3373</v>
      </c>
      <c r="J46">
        <v>18.5</v>
      </c>
      <c r="K46">
        <f t="shared" si="1"/>
        <v>0.185</v>
      </c>
    </row>
    <row r="47" spans="1:11" x14ac:dyDescent="0.2">
      <c r="A47" s="496">
        <v>67</v>
      </c>
      <c r="B47" t="s">
        <v>3112</v>
      </c>
      <c r="C47" t="s">
        <v>3158</v>
      </c>
      <c r="D47">
        <v>11.99</v>
      </c>
      <c r="E47">
        <f t="shared" si="0"/>
        <v>0.11990000000000001</v>
      </c>
      <c r="F47" s="496">
        <v>67</v>
      </c>
      <c r="G47" t="s">
        <v>3374</v>
      </c>
      <c r="H47" t="s">
        <v>3375</v>
      </c>
      <c r="I47" t="s">
        <v>3376</v>
      </c>
      <c r="J47">
        <v>18.61</v>
      </c>
      <c r="K47">
        <f t="shared" si="1"/>
        <v>0.18609999999999999</v>
      </c>
    </row>
    <row r="48" spans="1:11" x14ac:dyDescent="0.2">
      <c r="A48" s="496">
        <v>68</v>
      </c>
      <c r="B48" t="s">
        <v>3112</v>
      </c>
      <c r="C48" t="s">
        <v>3159</v>
      </c>
      <c r="D48">
        <v>11.36</v>
      </c>
      <c r="E48">
        <f t="shared" si="0"/>
        <v>0.11359999999999999</v>
      </c>
      <c r="F48" s="496">
        <v>68</v>
      </c>
      <c r="G48" t="s">
        <v>3377</v>
      </c>
      <c r="H48" t="s">
        <v>3378</v>
      </c>
      <c r="I48" t="s">
        <v>3379</v>
      </c>
      <c r="J48">
        <v>18.48</v>
      </c>
      <c r="K48">
        <f t="shared" si="1"/>
        <v>0.18479999999999999</v>
      </c>
    </row>
    <row r="49" spans="1:11" x14ac:dyDescent="0.2">
      <c r="A49" s="496">
        <v>69</v>
      </c>
      <c r="B49" t="s">
        <v>3112</v>
      </c>
      <c r="C49" t="s">
        <v>3160</v>
      </c>
      <c r="D49">
        <v>11.19</v>
      </c>
      <c r="E49">
        <f t="shared" si="0"/>
        <v>0.1119</v>
      </c>
      <c r="F49" s="496">
        <v>69</v>
      </c>
      <c r="G49" t="s">
        <v>3380</v>
      </c>
      <c r="H49" t="s">
        <v>3381</v>
      </c>
      <c r="I49" t="s">
        <v>3382</v>
      </c>
      <c r="J49">
        <v>18.13</v>
      </c>
      <c r="K49">
        <f t="shared" si="1"/>
        <v>0.18129999999999999</v>
      </c>
    </row>
    <row r="50" spans="1:11" x14ac:dyDescent="0.2">
      <c r="A50" s="496">
        <v>70</v>
      </c>
      <c r="B50" t="s">
        <v>3112</v>
      </c>
      <c r="C50" t="s">
        <v>3161</v>
      </c>
      <c r="D50">
        <v>12.88</v>
      </c>
      <c r="E50">
        <f t="shared" si="0"/>
        <v>0.1288</v>
      </c>
      <c r="F50" s="496">
        <v>70</v>
      </c>
      <c r="G50" t="s">
        <v>3383</v>
      </c>
      <c r="H50" t="s">
        <v>3384</v>
      </c>
      <c r="I50" t="s">
        <v>3385</v>
      </c>
      <c r="J50">
        <v>17.39</v>
      </c>
      <c r="K50">
        <f t="shared" si="1"/>
        <v>0.1739</v>
      </c>
    </row>
    <row r="51" spans="1:11" x14ac:dyDescent="0.2">
      <c r="A51" s="496">
        <v>71</v>
      </c>
      <c r="B51" t="s">
        <v>3112</v>
      </c>
      <c r="C51" t="s">
        <v>3162</v>
      </c>
      <c r="D51">
        <v>10.95</v>
      </c>
      <c r="E51">
        <f t="shared" si="0"/>
        <v>0.10949999999999999</v>
      </c>
      <c r="F51" s="496">
        <v>71</v>
      </c>
      <c r="G51" t="s">
        <v>3386</v>
      </c>
      <c r="H51" t="s">
        <v>3387</v>
      </c>
      <c r="I51" t="s">
        <v>3388</v>
      </c>
      <c r="J51">
        <v>16.77</v>
      </c>
      <c r="K51">
        <f t="shared" si="1"/>
        <v>0.16769999999999999</v>
      </c>
    </row>
    <row r="52" spans="1:11" x14ac:dyDescent="0.2">
      <c r="A52" s="496">
        <v>72</v>
      </c>
      <c r="B52" t="s">
        <v>3112</v>
      </c>
      <c r="C52" t="s">
        <v>3163</v>
      </c>
      <c r="D52">
        <v>12.17</v>
      </c>
      <c r="E52">
        <f t="shared" si="0"/>
        <v>0.1217</v>
      </c>
      <c r="F52" s="496">
        <v>72</v>
      </c>
      <c r="G52" t="s">
        <v>3389</v>
      </c>
      <c r="H52" t="s">
        <v>3390</v>
      </c>
      <c r="I52" t="s">
        <v>3391</v>
      </c>
      <c r="J52">
        <v>16</v>
      </c>
      <c r="K52">
        <f t="shared" si="1"/>
        <v>0.16</v>
      </c>
    </row>
    <row r="53" spans="1:11" x14ac:dyDescent="0.2">
      <c r="A53" s="496">
        <v>73</v>
      </c>
      <c r="B53" t="s">
        <v>3112</v>
      </c>
      <c r="C53" t="s">
        <v>3164</v>
      </c>
      <c r="D53">
        <v>11.41</v>
      </c>
      <c r="E53">
        <f t="shared" si="0"/>
        <v>0.11410000000000001</v>
      </c>
      <c r="F53" s="496">
        <v>73</v>
      </c>
      <c r="G53" t="s">
        <v>3392</v>
      </c>
      <c r="H53" t="s">
        <v>3393</v>
      </c>
      <c r="I53" t="s">
        <v>3394</v>
      </c>
      <c r="J53">
        <v>15.93</v>
      </c>
      <c r="K53">
        <f t="shared" si="1"/>
        <v>0.1593</v>
      </c>
    </row>
    <row r="54" spans="1:11" x14ac:dyDescent="0.2">
      <c r="A54" s="496">
        <v>74</v>
      </c>
      <c r="B54" t="s">
        <v>3112</v>
      </c>
      <c r="C54" t="s">
        <v>3165</v>
      </c>
      <c r="D54">
        <v>11.53</v>
      </c>
      <c r="E54">
        <f t="shared" si="0"/>
        <v>0.1153</v>
      </c>
      <c r="F54" s="496">
        <v>74</v>
      </c>
      <c r="G54" t="s">
        <v>3395</v>
      </c>
      <c r="H54" t="s">
        <v>3396</v>
      </c>
      <c r="I54" t="s">
        <v>3397</v>
      </c>
      <c r="J54">
        <v>15.46</v>
      </c>
      <c r="K54">
        <f t="shared" si="1"/>
        <v>0.15460000000000002</v>
      </c>
    </row>
    <row r="55" spans="1:11" x14ac:dyDescent="0.2">
      <c r="A55" s="496">
        <v>75</v>
      </c>
      <c r="B55" t="s">
        <v>3112</v>
      </c>
      <c r="C55" t="s">
        <v>3166</v>
      </c>
      <c r="D55">
        <v>11.92</v>
      </c>
      <c r="E55">
        <f t="shared" si="0"/>
        <v>0.1192</v>
      </c>
      <c r="F55" s="496">
        <v>75</v>
      </c>
      <c r="G55" t="s">
        <v>3398</v>
      </c>
      <c r="H55" t="s">
        <v>3291</v>
      </c>
      <c r="I55" t="s">
        <v>3399</v>
      </c>
      <c r="J55">
        <v>15.6</v>
      </c>
      <c r="K55">
        <f t="shared" si="1"/>
        <v>0.156</v>
      </c>
    </row>
    <row r="56" spans="1:11" x14ac:dyDescent="0.2">
      <c r="A56" s="496">
        <v>76</v>
      </c>
      <c r="B56" t="s">
        <v>3112</v>
      </c>
      <c r="C56" t="s">
        <v>3167</v>
      </c>
      <c r="D56">
        <v>11.7</v>
      </c>
      <c r="E56">
        <f t="shared" si="0"/>
        <v>0.11699999999999999</v>
      </c>
      <c r="F56" s="496">
        <v>76</v>
      </c>
      <c r="G56" t="s">
        <v>3400</v>
      </c>
      <c r="H56" t="s">
        <v>3401</v>
      </c>
      <c r="I56" t="s">
        <v>3402</v>
      </c>
      <c r="J56">
        <v>15.28</v>
      </c>
      <c r="K56">
        <f t="shared" si="1"/>
        <v>0.15279999999999999</v>
      </c>
    </row>
    <row r="57" spans="1:11" x14ac:dyDescent="0.2">
      <c r="A57" s="496">
        <v>77</v>
      </c>
      <c r="B57" t="s">
        <v>3112</v>
      </c>
      <c r="C57" t="s">
        <v>3168</v>
      </c>
      <c r="D57">
        <v>12.39</v>
      </c>
      <c r="E57">
        <f t="shared" si="0"/>
        <v>0.12390000000000001</v>
      </c>
      <c r="F57" s="496">
        <v>77</v>
      </c>
      <c r="G57" t="s">
        <v>3403</v>
      </c>
      <c r="H57" t="s">
        <v>3404</v>
      </c>
      <c r="I57" t="s">
        <v>3405</v>
      </c>
      <c r="J57">
        <v>14.81</v>
      </c>
      <c r="K57">
        <f t="shared" si="1"/>
        <v>0.14810000000000001</v>
      </c>
    </row>
    <row r="58" spans="1:11" x14ac:dyDescent="0.2">
      <c r="A58" s="496">
        <v>78</v>
      </c>
      <c r="B58" t="s">
        <v>3112</v>
      </c>
      <c r="C58" t="s">
        <v>3169</v>
      </c>
      <c r="D58">
        <v>10.96</v>
      </c>
      <c r="E58">
        <f t="shared" si="0"/>
        <v>0.1096</v>
      </c>
      <c r="F58" s="496">
        <v>78</v>
      </c>
      <c r="G58" t="s">
        <v>3406</v>
      </c>
      <c r="H58" t="s">
        <v>3407</v>
      </c>
      <c r="I58" t="s">
        <v>3408</v>
      </c>
      <c r="J58">
        <v>12.6</v>
      </c>
      <c r="K58">
        <f t="shared" si="1"/>
        <v>0.126</v>
      </c>
    </row>
    <row r="59" spans="1:11" x14ac:dyDescent="0.2">
      <c r="A59" s="496">
        <v>79</v>
      </c>
      <c r="B59" t="s">
        <v>3112</v>
      </c>
      <c r="C59" t="s">
        <v>3170</v>
      </c>
      <c r="D59">
        <v>12.38</v>
      </c>
      <c r="E59">
        <f t="shared" si="0"/>
        <v>0.12380000000000001</v>
      </c>
      <c r="F59" s="496">
        <v>79</v>
      </c>
      <c r="G59" t="s">
        <v>3409</v>
      </c>
      <c r="H59" t="s">
        <v>3410</v>
      </c>
      <c r="I59" t="s">
        <v>3411</v>
      </c>
      <c r="J59">
        <v>12.14</v>
      </c>
      <c r="K59">
        <f t="shared" si="1"/>
        <v>0.12140000000000001</v>
      </c>
    </row>
    <row r="60" spans="1:11" x14ac:dyDescent="0.2">
      <c r="A60" s="496">
        <v>80</v>
      </c>
      <c r="B60" t="s">
        <v>3112</v>
      </c>
      <c r="C60" t="s">
        <v>3171</v>
      </c>
      <c r="D60">
        <v>11.68</v>
      </c>
      <c r="E60">
        <f t="shared" si="0"/>
        <v>0.1168</v>
      </c>
      <c r="F60" s="496">
        <v>80</v>
      </c>
      <c r="G60" t="s">
        <v>3412</v>
      </c>
      <c r="H60" t="s">
        <v>3413</v>
      </c>
      <c r="I60" t="s">
        <v>3414</v>
      </c>
      <c r="J60">
        <v>12.1</v>
      </c>
      <c r="K60">
        <f t="shared" si="1"/>
        <v>0.121</v>
      </c>
    </row>
    <row r="61" spans="1:11" x14ac:dyDescent="0.2">
      <c r="A61" s="496">
        <v>81</v>
      </c>
      <c r="B61" t="s">
        <v>3112</v>
      </c>
      <c r="C61" t="s">
        <v>3172</v>
      </c>
      <c r="D61">
        <v>11.02</v>
      </c>
      <c r="E61">
        <f t="shared" si="0"/>
        <v>0.11019999999999999</v>
      </c>
      <c r="F61" s="496">
        <v>81</v>
      </c>
      <c r="G61" t="s">
        <v>3415</v>
      </c>
      <c r="H61" t="s">
        <v>3416</v>
      </c>
      <c r="I61" t="s">
        <v>3417</v>
      </c>
      <c r="J61">
        <v>12.13</v>
      </c>
      <c r="K61">
        <f t="shared" si="1"/>
        <v>0.12130000000000001</v>
      </c>
    </row>
    <row r="62" spans="1:11" x14ac:dyDescent="0.2">
      <c r="A62" s="496">
        <v>82</v>
      </c>
      <c r="B62" t="s">
        <v>3112</v>
      </c>
      <c r="C62" t="s">
        <v>3173</v>
      </c>
      <c r="D62">
        <v>12.15</v>
      </c>
      <c r="E62">
        <f t="shared" si="0"/>
        <v>0.1215</v>
      </c>
      <c r="F62" s="496">
        <v>82</v>
      </c>
      <c r="G62" t="s">
        <v>3418</v>
      </c>
      <c r="H62" t="s">
        <v>3419</v>
      </c>
      <c r="I62" t="s">
        <v>3420</v>
      </c>
      <c r="J62">
        <v>12.01</v>
      </c>
      <c r="K62">
        <f t="shared" si="1"/>
        <v>0.1201</v>
      </c>
    </row>
    <row r="63" spans="1:11" x14ac:dyDescent="0.2">
      <c r="A63" s="496">
        <v>83</v>
      </c>
      <c r="B63" t="s">
        <v>3112</v>
      </c>
      <c r="C63" t="s">
        <v>3174</v>
      </c>
      <c r="D63">
        <v>12.59</v>
      </c>
      <c r="E63">
        <f t="shared" si="0"/>
        <v>0.12590000000000001</v>
      </c>
      <c r="F63" s="496">
        <v>83</v>
      </c>
      <c r="G63" t="s">
        <v>3421</v>
      </c>
      <c r="H63" t="s">
        <v>3422</v>
      </c>
      <c r="I63" t="s">
        <v>3423</v>
      </c>
      <c r="J63">
        <v>11.79</v>
      </c>
      <c r="K63">
        <f t="shared" si="1"/>
        <v>0.11789999999999999</v>
      </c>
    </row>
    <row r="64" spans="1:11" x14ac:dyDescent="0.2">
      <c r="A64" s="496">
        <v>84</v>
      </c>
      <c r="B64" t="s">
        <v>3112</v>
      </c>
      <c r="C64" t="s">
        <v>3175</v>
      </c>
      <c r="D64">
        <v>10.8</v>
      </c>
      <c r="E64">
        <f t="shared" si="0"/>
        <v>0.10800000000000001</v>
      </c>
      <c r="F64" s="496">
        <v>84</v>
      </c>
      <c r="G64" t="s">
        <v>3424</v>
      </c>
      <c r="H64" t="s">
        <v>3425</v>
      </c>
      <c r="I64" t="s">
        <v>3426</v>
      </c>
      <c r="J64">
        <v>11.06</v>
      </c>
      <c r="K64">
        <f t="shared" si="1"/>
        <v>0.1106</v>
      </c>
    </row>
    <row r="65" spans="1:11" x14ac:dyDescent="0.2">
      <c r="A65" s="496">
        <v>85</v>
      </c>
      <c r="B65" t="s">
        <v>3112</v>
      </c>
      <c r="C65" t="s">
        <v>3176</v>
      </c>
      <c r="D65">
        <v>9.75</v>
      </c>
      <c r="E65">
        <f t="shared" si="0"/>
        <v>9.7500000000000003E-2</v>
      </c>
      <c r="F65" s="496">
        <v>85</v>
      </c>
      <c r="G65" t="s">
        <v>3427</v>
      </c>
      <c r="H65" t="s">
        <v>3428</v>
      </c>
      <c r="I65" t="s">
        <v>3429</v>
      </c>
      <c r="J65">
        <v>10.23</v>
      </c>
      <c r="K65">
        <f t="shared" si="1"/>
        <v>0.1023</v>
      </c>
    </row>
    <row r="66" spans="1:11" x14ac:dyDescent="0.2">
      <c r="A66" s="496">
        <v>86</v>
      </c>
      <c r="B66" t="s">
        <v>3112</v>
      </c>
      <c r="C66" t="s">
        <v>3177</v>
      </c>
      <c r="D66">
        <v>9.52</v>
      </c>
      <c r="E66">
        <f t="shared" si="0"/>
        <v>9.5199999999999993E-2</v>
      </c>
      <c r="F66" s="496">
        <v>86</v>
      </c>
      <c r="G66" t="s">
        <v>3430</v>
      </c>
      <c r="H66" t="s">
        <v>3431</v>
      </c>
      <c r="I66" t="s">
        <v>3432</v>
      </c>
      <c r="J66">
        <v>9.75</v>
      </c>
      <c r="K66">
        <f t="shared" si="1"/>
        <v>9.7500000000000003E-2</v>
      </c>
    </row>
    <row r="67" spans="1:11" x14ac:dyDescent="0.2">
      <c r="A67" s="496">
        <v>87</v>
      </c>
      <c r="B67" t="s">
        <v>3112</v>
      </c>
      <c r="C67" t="s">
        <v>3178</v>
      </c>
      <c r="D67">
        <v>9.27</v>
      </c>
      <c r="E67">
        <f t="shared" ref="E67:E121" si="2">D67/100</f>
        <v>9.2699999999999991E-2</v>
      </c>
      <c r="F67" s="496">
        <v>87</v>
      </c>
      <c r="G67" t="s">
        <v>3433</v>
      </c>
      <c r="H67" t="s">
        <v>3434</v>
      </c>
      <c r="I67" t="s">
        <v>3435</v>
      </c>
      <c r="J67">
        <v>9.89</v>
      </c>
      <c r="K67">
        <f t="shared" ref="K67:K121" si="3">J67/100</f>
        <v>9.8900000000000002E-2</v>
      </c>
    </row>
    <row r="68" spans="1:11" x14ac:dyDescent="0.2">
      <c r="A68" s="496">
        <v>88</v>
      </c>
      <c r="B68" t="s">
        <v>3112</v>
      </c>
      <c r="C68" t="s">
        <v>3179</v>
      </c>
      <c r="D68">
        <v>9.3800000000000008</v>
      </c>
      <c r="E68">
        <f t="shared" si="2"/>
        <v>9.3800000000000008E-2</v>
      </c>
      <c r="F68" s="496">
        <v>88</v>
      </c>
      <c r="G68" t="s">
        <v>3436</v>
      </c>
      <c r="H68" t="s">
        <v>3437</v>
      </c>
      <c r="I68" t="s">
        <v>3438</v>
      </c>
      <c r="J68">
        <v>10.28</v>
      </c>
      <c r="K68">
        <f t="shared" si="3"/>
        <v>0.10279999999999999</v>
      </c>
    </row>
    <row r="69" spans="1:11" x14ac:dyDescent="0.2">
      <c r="A69" s="496">
        <v>89</v>
      </c>
      <c r="B69" t="s">
        <v>3112</v>
      </c>
      <c r="C69" t="s">
        <v>3180</v>
      </c>
      <c r="D69">
        <v>9.6300000000000008</v>
      </c>
      <c r="E69">
        <f t="shared" si="2"/>
        <v>9.6300000000000011E-2</v>
      </c>
      <c r="F69" s="496">
        <v>89</v>
      </c>
      <c r="G69" t="s">
        <v>3439</v>
      </c>
      <c r="H69" t="s">
        <v>3440</v>
      </c>
      <c r="I69" t="s">
        <v>3441</v>
      </c>
      <c r="J69">
        <v>10.37</v>
      </c>
      <c r="K69">
        <f t="shared" si="3"/>
        <v>0.10369999999999999</v>
      </c>
    </row>
    <row r="70" spans="1:11" x14ac:dyDescent="0.2">
      <c r="A70" s="496">
        <v>90</v>
      </c>
      <c r="B70" t="s">
        <v>3112</v>
      </c>
      <c r="C70" t="s">
        <v>3181</v>
      </c>
      <c r="D70">
        <v>9.15</v>
      </c>
      <c r="E70">
        <f t="shared" si="2"/>
        <v>9.1499999999999998E-2</v>
      </c>
      <c r="F70" s="496">
        <v>90</v>
      </c>
      <c r="G70" t="s">
        <v>3442</v>
      </c>
      <c r="H70" t="s">
        <v>3443</v>
      </c>
      <c r="I70" t="s">
        <v>3444</v>
      </c>
      <c r="J70">
        <v>10.3</v>
      </c>
      <c r="K70">
        <f t="shared" si="3"/>
        <v>0.10300000000000001</v>
      </c>
    </row>
    <row r="71" spans="1:11" x14ac:dyDescent="0.2">
      <c r="A71" s="496">
        <v>91</v>
      </c>
      <c r="B71" t="s">
        <v>3112</v>
      </c>
      <c r="C71" t="s">
        <v>3182</v>
      </c>
      <c r="D71">
        <v>9.84</v>
      </c>
      <c r="E71">
        <f t="shared" si="2"/>
        <v>9.8400000000000001E-2</v>
      </c>
      <c r="F71" s="496">
        <v>91</v>
      </c>
      <c r="G71" t="s">
        <v>3445</v>
      </c>
      <c r="H71" t="s">
        <v>3446</v>
      </c>
      <c r="I71" t="s">
        <v>3447</v>
      </c>
      <c r="J71">
        <v>10.17</v>
      </c>
      <c r="K71">
        <f t="shared" si="3"/>
        <v>0.1017</v>
      </c>
    </row>
    <row r="72" spans="1:11" x14ac:dyDescent="0.2">
      <c r="A72" s="496">
        <v>92</v>
      </c>
      <c r="B72" t="s">
        <v>3112</v>
      </c>
      <c r="C72" t="s">
        <v>3183</v>
      </c>
      <c r="D72">
        <v>9.42</v>
      </c>
      <c r="E72">
        <f t="shared" si="2"/>
        <v>9.4200000000000006E-2</v>
      </c>
      <c r="F72" s="496">
        <v>92</v>
      </c>
      <c r="G72" t="s">
        <v>3448</v>
      </c>
      <c r="H72" t="s">
        <v>3449</v>
      </c>
      <c r="I72" t="s">
        <v>3450</v>
      </c>
      <c r="J72">
        <v>9.93</v>
      </c>
      <c r="K72">
        <f t="shared" si="3"/>
        <v>9.9299999999999999E-2</v>
      </c>
    </row>
    <row r="73" spans="1:11" x14ac:dyDescent="0.2">
      <c r="A73" s="496">
        <v>93</v>
      </c>
      <c r="B73" t="s">
        <v>3112</v>
      </c>
      <c r="C73" t="s">
        <v>3184</v>
      </c>
      <c r="D73">
        <v>8.76</v>
      </c>
      <c r="E73">
        <f t="shared" si="2"/>
        <v>8.7599999999999997E-2</v>
      </c>
      <c r="F73" s="496">
        <v>93</v>
      </c>
      <c r="G73" t="s">
        <v>3451</v>
      </c>
      <c r="H73" t="s">
        <v>3452</v>
      </c>
      <c r="I73" t="s">
        <v>3453</v>
      </c>
      <c r="J73">
        <v>9.68</v>
      </c>
      <c r="K73">
        <f t="shared" si="3"/>
        <v>9.6799999999999997E-2</v>
      </c>
    </row>
    <row r="74" spans="1:11" x14ac:dyDescent="0.2">
      <c r="A74" s="496">
        <v>94</v>
      </c>
      <c r="B74" t="s">
        <v>3112</v>
      </c>
      <c r="C74" t="s">
        <v>3185</v>
      </c>
      <c r="D74">
        <v>10.17</v>
      </c>
      <c r="E74">
        <f t="shared" si="2"/>
        <v>0.1017</v>
      </c>
      <c r="F74" s="496">
        <v>94</v>
      </c>
      <c r="G74" t="s">
        <v>3454</v>
      </c>
      <c r="H74" t="s">
        <v>3455</v>
      </c>
      <c r="I74" t="s">
        <v>3456</v>
      </c>
      <c r="J74">
        <v>9.61</v>
      </c>
      <c r="K74">
        <f t="shared" si="3"/>
        <v>9.6099999999999991E-2</v>
      </c>
    </row>
    <row r="75" spans="1:11" x14ac:dyDescent="0.2">
      <c r="A75" s="496">
        <v>95</v>
      </c>
      <c r="B75" t="s">
        <v>3112</v>
      </c>
      <c r="C75" t="s">
        <v>3186</v>
      </c>
      <c r="D75">
        <v>10.17</v>
      </c>
      <c r="E75">
        <f t="shared" si="2"/>
        <v>0.1017</v>
      </c>
      <c r="F75" s="496">
        <v>95</v>
      </c>
      <c r="G75" t="s">
        <v>3457</v>
      </c>
      <c r="H75" t="s">
        <v>3458</v>
      </c>
      <c r="I75" t="s">
        <v>3459</v>
      </c>
      <c r="J75">
        <v>9.3800000000000008</v>
      </c>
      <c r="K75">
        <f t="shared" si="3"/>
        <v>9.3800000000000008E-2</v>
      </c>
    </row>
    <row r="76" spans="1:11" x14ac:dyDescent="0.2">
      <c r="A76" s="496">
        <v>96</v>
      </c>
      <c r="B76" t="s">
        <v>3112</v>
      </c>
      <c r="C76" t="s">
        <v>3187</v>
      </c>
      <c r="D76">
        <v>10.24</v>
      </c>
      <c r="E76">
        <f t="shared" si="2"/>
        <v>0.1024</v>
      </c>
      <c r="F76" s="496">
        <v>96</v>
      </c>
      <c r="G76" t="s">
        <v>3460</v>
      </c>
      <c r="H76" t="s">
        <v>3461</v>
      </c>
      <c r="I76" t="s">
        <v>3462</v>
      </c>
      <c r="J76">
        <v>9.33</v>
      </c>
      <c r="K76">
        <f t="shared" si="3"/>
        <v>9.3299999999999994E-2</v>
      </c>
    </row>
    <row r="77" spans="1:11" x14ac:dyDescent="0.2">
      <c r="A77" s="496">
        <v>97</v>
      </c>
      <c r="B77" t="s">
        <v>3112</v>
      </c>
      <c r="C77" t="s">
        <v>3188</v>
      </c>
      <c r="D77">
        <v>9.7799999999999994</v>
      </c>
      <c r="E77">
        <f t="shared" si="2"/>
        <v>9.7799999999999998E-2</v>
      </c>
      <c r="F77" s="496">
        <v>97</v>
      </c>
      <c r="G77" t="s">
        <v>3463</v>
      </c>
      <c r="H77" t="s">
        <v>3461</v>
      </c>
      <c r="I77" t="s">
        <v>3464</v>
      </c>
      <c r="J77">
        <v>9.33</v>
      </c>
      <c r="K77">
        <f t="shared" si="3"/>
        <v>9.3299999999999994E-2</v>
      </c>
    </row>
    <row r="78" spans="1:11" x14ac:dyDescent="0.2">
      <c r="A78" s="496">
        <v>98</v>
      </c>
      <c r="B78" t="s">
        <v>3112</v>
      </c>
      <c r="C78" t="s">
        <v>3189</v>
      </c>
      <c r="D78">
        <v>9.8699999999999992</v>
      </c>
      <c r="E78">
        <f t="shared" si="2"/>
        <v>9.8699999999999996E-2</v>
      </c>
      <c r="F78" s="496">
        <v>98</v>
      </c>
      <c r="G78" t="s">
        <v>3465</v>
      </c>
      <c r="H78" t="s">
        <v>3466</v>
      </c>
      <c r="I78" t="s">
        <v>3467</v>
      </c>
      <c r="J78">
        <v>9.81</v>
      </c>
      <c r="K78">
        <f t="shared" si="3"/>
        <v>9.8100000000000007E-2</v>
      </c>
    </row>
    <row r="79" spans="1:11" x14ac:dyDescent="0.2">
      <c r="A79" s="496">
        <v>99</v>
      </c>
      <c r="B79" t="s">
        <v>3112</v>
      </c>
      <c r="C79" t="s">
        <v>3190</v>
      </c>
      <c r="D79">
        <v>9.25</v>
      </c>
      <c r="E79">
        <f t="shared" si="2"/>
        <v>9.2499999999999999E-2</v>
      </c>
      <c r="F79" s="496">
        <v>99</v>
      </c>
      <c r="G79" t="s">
        <v>3468</v>
      </c>
      <c r="H79" t="s">
        <v>3469</v>
      </c>
      <c r="I79" t="s">
        <v>3470</v>
      </c>
      <c r="J79">
        <v>10.06</v>
      </c>
      <c r="K79">
        <f t="shared" si="3"/>
        <v>0.10060000000000001</v>
      </c>
    </row>
    <row r="80" spans="1:11" x14ac:dyDescent="0.2">
      <c r="A80" s="496">
        <v>100</v>
      </c>
      <c r="B80" t="s">
        <v>3112</v>
      </c>
      <c r="C80" t="s">
        <v>3191</v>
      </c>
      <c r="D80">
        <v>8.59</v>
      </c>
      <c r="E80">
        <f t="shared" si="2"/>
        <v>8.5900000000000004E-2</v>
      </c>
      <c r="F80" s="496">
        <v>100</v>
      </c>
      <c r="G80" t="s">
        <v>3471</v>
      </c>
      <c r="H80" t="s">
        <v>3472</v>
      </c>
      <c r="I80" t="s">
        <v>3473</v>
      </c>
      <c r="J80">
        <v>10.1</v>
      </c>
      <c r="K80">
        <f t="shared" si="3"/>
        <v>0.10099999999999999</v>
      </c>
    </row>
    <row r="81" spans="1:11" x14ac:dyDescent="0.2">
      <c r="A81" s="496">
        <v>101</v>
      </c>
      <c r="B81" t="s">
        <v>3112</v>
      </c>
      <c r="C81" t="s">
        <v>3192</v>
      </c>
      <c r="D81">
        <v>8.75</v>
      </c>
      <c r="E81">
        <f t="shared" si="2"/>
        <v>8.7499999999999994E-2</v>
      </c>
      <c r="F81" s="496">
        <v>101</v>
      </c>
      <c r="G81" t="s">
        <v>3474</v>
      </c>
      <c r="H81" t="s">
        <v>3461</v>
      </c>
      <c r="I81" t="s">
        <v>3475</v>
      </c>
      <c r="J81">
        <v>9.33</v>
      </c>
      <c r="K81">
        <f t="shared" si="3"/>
        <v>9.3299999999999994E-2</v>
      </c>
    </row>
    <row r="82" spans="1:11" x14ac:dyDescent="0.2">
      <c r="A82" s="496">
        <v>102</v>
      </c>
      <c r="B82" t="s">
        <v>3112</v>
      </c>
      <c r="C82" t="s">
        <v>3193</v>
      </c>
      <c r="D82">
        <v>8.52</v>
      </c>
      <c r="E82">
        <f t="shared" si="2"/>
        <v>8.5199999999999998E-2</v>
      </c>
      <c r="F82" s="496">
        <v>102</v>
      </c>
      <c r="G82" t="s">
        <v>3476</v>
      </c>
      <c r="H82" t="s">
        <v>3477</v>
      </c>
      <c r="I82" t="s">
        <v>3478</v>
      </c>
      <c r="J82">
        <v>8.5399999999999991</v>
      </c>
      <c r="K82">
        <f t="shared" si="3"/>
        <v>8.539999999999999E-2</v>
      </c>
    </row>
    <row r="83" spans="1:11" x14ac:dyDescent="0.2">
      <c r="A83" s="496">
        <v>103</v>
      </c>
      <c r="B83" t="s">
        <v>3112</v>
      </c>
      <c r="C83" t="s">
        <v>3194</v>
      </c>
      <c r="D83">
        <v>8.09</v>
      </c>
      <c r="E83">
        <f t="shared" si="2"/>
        <v>8.09E-2</v>
      </c>
      <c r="F83" s="496">
        <v>103</v>
      </c>
      <c r="G83" t="s">
        <v>3479</v>
      </c>
      <c r="H83" t="s">
        <v>3480</v>
      </c>
      <c r="I83" t="s">
        <v>3481</v>
      </c>
      <c r="J83">
        <v>8.2899999999999991</v>
      </c>
      <c r="K83">
        <f t="shared" si="3"/>
        <v>8.2899999999999988E-2</v>
      </c>
    </row>
    <row r="84" spans="1:11" x14ac:dyDescent="0.2">
      <c r="A84" s="496">
        <v>104</v>
      </c>
      <c r="B84" t="s">
        <v>3112</v>
      </c>
      <c r="C84" t="s">
        <v>3195</v>
      </c>
      <c r="D84">
        <v>7.68</v>
      </c>
      <c r="E84">
        <f t="shared" si="2"/>
        <v>7.6799999999999993E-2</v>
      </c>
      <c r="F84" s="496">
        <v>104</v>
      </c>
      <c r="G84" t="s">
        <v>3482</v>
      </c>
      <c r="H84" t="s">
        <v>3483</v>
      </c>
      <c r="I84" t="s">
        <v>3484</v>
      </c>
      <c r="J84">
        <v>8.0399999999999991</v>
      </c>
      <c r="K84">
        <f t="shared" si="3"/>
        <v>8.0399999999999985E-2</v>
      </c>
    </row>
    <row r="85" spans="1:11" x14ac:dyDescent="0.2">
      <c r="A85" s="496">
        <v>105</v>
      </c>
      <c r="B85" t="s">
        <v>3112</v>
      </c>
      <c r="C85" t="s">
        <v>3196</v>
      </c>
      <c r="D85">
        <v>8.49</v>
      </c>
      <c r="E85">
        <f t="shared" si="2"/>
        <v>8.4900000000000003E-2</v>
      </c>
      <c r="F85" s="496">
        <v>105</v>
      </c>
      <c r="G85" t="s">
        <v>3485</v>
      </c>
      <c r="H85" t="s">
        <v>3486</v>
      </c>
      <c r="I85" t="s">
        <v>3487</v>
      </c>
      <c r="J85">
        <v>8.14</v>
      </c>
      <c r="K85">
        <f t="shared" si="3"/>
        <v>8.14E-2</v>
      </c>
    </row>
    <row r="86" spans="1:11" x14ac:dyDescent="0.2">
      <c r="A86" s="496">
        <v>106</v>
      </c>
      <c r="B86" t="s">
        <v>3112</v>
      </c>
      <c r="C86" t="s">
        <v>3197</v>
      </c>
      <c r="D86">
        <v>9.89</v>
      </c>
      <c r="E86">
        <f t="shared" si="2"/>
        <v>9.8900000000000002E-2</v>
      </c>
      <c r="F86" s="496">
        <v>106</v>
      </c>
      <c r="G86" t="s">
        <v>3488</v>
      </c>
      <c r="H86" t="s">
        <v>3489</v>
      </c>
      <c r="I86" t="s">
        <v>3490</v>
      </c>
      <c r="J86">
        <v>8.24</v>
      </c>
      <c r="K86">
        <f t="shared" si="3"/>
        <v>8.2400000000000001E-2</v>
      </c>
    </row>
    <row r="87" spans="1:11" x14ac:dyDescent="0.2">
      <c r="A87" s="496">
        <v>107</v>
      </c>
      <c r="B87" t="s">
        <v>3112</v>
      </c>
      <c r="C87" t="s">
        <v>3198</v>
      </c>
      <c r="D87">
        <v>8.15</v>
      </c>
      <c r="E87">
        <f t="shared" si="2"/>
        <v>8.1500000000000003E-2</v>
      </c>
      <c r="F87" s="496">
        <v>107</v>
      </c>
      <c r="G87" t="s">
        <v>3491</v>
      </c>
      <c r="H87" t="s">
        <v>3492</v>
      </c>
      <c r="I87" t="s">
        <v>3493</v>
      </c>
      <c r="J87">
        <v>8.18</v>
      </c>
      <c r="K87">
        <f t="shared" si="3"/>
        <v>8.1799999999999998E-2</v>
      </c>
    </row>
    <row r="88" spans="1:11" x14ac:dyDescent="0.2">
      <c r="A88" s="496">
        <v>108</v>
      </c>
      <c r="B88" t="s">
        <v>3112</v>
      </c>
      <c r="C88" t="s">
        <v>3199</v>
      </c>
      <c r="D88">
        <v>8.16</v>
      </c>
      <c r="E88">
        <f t="shared" si="2"/>
        <v>8.1600000000000006E-2</v>
      </c>
      <c r="F88" s="496">
        <v>108</v>
      </c>
      <c r="G88" t="s">
        <v>3494</v>
      </c>
      <c r="H88" t="s">
        <v>3495</v>
      </c>
      <c r="I88" t="s">
        <v>3496</v>
      </c>
      <c r="J88">
        <v>7.96</v>
      </c>
      <c r="K88">
        <f t="shared" si="3"/>
        <v>7.9600000000000004E-2</v>
      </c>
    </row>
    <row r="89" spans="1:11" x14ac:dyDescent="0.2">
      <c r="A89" s="496">
        <v>109</v>
      </c>
      <c r="B89" t="s">
        <v>3112</v>
      </c>
      <c r="C89" t="s">
        <v>3200</v>
      </c>
      <c r="D89">
        <v>7.3</v>
      </c>
      <c r="E89">
        <f t="shared" si="2"/>
        <v>7.2999999999999995E-2</v>
      </c>
      <c r="F89" s="496">
        <v>109</v>
      </c>
      <c r="G89" t="s">
        <v>3497</v>
      </c>
      <c r="H89" t="s">
        <v>3498</v>
      </c>
      <c r="I89" t="s">
        <v>3499</v>
      </c>
      <c r="J89">
        <v>8.2799999999999994</v>
      </c>
      <c r="K89">
        <f t="shared" si="3"/>
        <v>8.2799999999999999E-2</v>
      </c>
    </row>
    <row r="90" spans="1:11" x14ac:dyDescent="0.2">
      <c r="A90" s="496">
        <v>110</v>
      </c>
      <c r="B90" t="s">
        <v>3112</v>
      </c>
      <c r="C90" t="s">
        <v>3201</v>
      </c>
      <c r="D90">
        <v>8.06</v>
      </c>
      <c r="E90">
        <f t="shared" si="2"/>
        <v>8.0600000000000005E-2</v>
      </c>
      <c r="F90" s="496">
        <v>110</v>
      </c>
      <c r="G90" t="s">
        <v>3500</v>
      </c>
      <c r="H90" t="s">
        <v>3501</v>
      </c>
      <c r="I90" t="s">
        <v>3502</v>
      </c>
      <c r="J90">
        <v>8.1</v>
      </c>
      <c r="K90">
        <f t="shared" si="3"/>
        <v>8.1000000000000003E-2</v>
      </c>
    </row>
    <row r="91" spans="1:11" x14ac:dyDescent="0.2">
      <c r="A91" s="496">
        <v>111</v>
      </c>
      <c r="B91" t="s">
        <v>3112</v>
      </c>
      <c r="C91" t="s">
        <v>3202</v>
      </c>
      <c r="D91">
        <v>6.63</v>
      </c>
      <c r="E91">
        <f t="shared" si="2"/>
        <v>6.6299999999999998E-2</v>
      </c>
      <c r="F91" s="496">
        <v>111</v>
      </c>
      <c r="G91" t="s">
        <v>3503</v>
      </c>
      <c r="H91" t="s">
        <v>3504</v>
      </c>
      <c r="I91" t="s">
        <v>3505</v>
      </c>
      <c r="J91">
        <v>7.89</v>
      </c>
      <c r="K91">
        <f t="shared" si="3"/>
        <v>7.8899999999999998E-2</v>
      </c>
    </row>
    <row r="92" spans="1:11" x14ac:dyDescent="0.2">
      <c r="A92" s="496">
        <v>112</v>
      </c>
      <c r="B92" t="s">
        <v>3112</v>
      </c>
      <c r="C92" t="s">
        <v>3203</v>
      </c>
      <c r="D92">
        <v>7.22</v>
      </c>
      <c r="E92">
        <f t="shared" si="2"/>
        <v>7.22E-2</v>
      </c>
      <c r="F92" s="496">
        <v>112</v>
      </c>
      <c r="G92" t="s">
        <v>3506</v>
      </c>
      <c r="H92" t="s">
        <v>3507</v>
      </c>
      <c r="I92" t="s">
        <v>3508</v>
      </c>
      <c r="J92">
        <v>7.1</v>
      </c>
      <c r="K92">
        <f t="shared" si="3"/>
        <v>7.0999999999999994E-2</v>
      </c>
    </row>
    <row r="93" spans="1:11" x14ac:dyDescent="0.2">
      <c r="A93" s="496">
        <v>113</v>
      </c>
      <c r="B93" t="s">
        <v>3112</v>
      </c>
      <c r="C93" t="s">
        <v>3204</v>
      </c>
      <c r="D93">
        <v>7.67</v>
      </c>
      <c r="E93">
        <f t="shared" si="2"/>
        <v>7.6700000000000004E-2</v>
      </c>
      <c r="F93" s="496">
        <v>113</v>
      </c>
      <c r="G93" t="s">
        <v>3509</v>
      </c>
      <c r="H93" t="s">
        <v>3510</v>
      </c>
      <c r="I93" t="s">
        <v>3511</v>
      </c>
      <c r="J93">
        <v>6.68</v>
      </c>
      <c r="K93">
        <f t="shared" si="3"/>
        <v>6.6799999999999998E-2</v>
      </c>
    </row>
    <row r="94" spans="1:11" x14ac:dyDescent="0.2">
      <c r="A94" s="496">
        <v>114</v>
      </c>
      <c r="B94" t="s">
        <v>3112</v>
      </c>
      <c r="C94" t="s">
        <v>3205</v>
      </c>
      <c r="D94">
        <v>6.9</v>
      </c>
      <c r="E94">
        <f t="shared" si="2"/>
        <v>6.9000000000000006E-2</v>
      </c>
      <c r="F94" s="496">
        <v>114</v>
      </c>
      <c r="G94" t="s">
        <v>3512</v>
      </c>
      <c r="H94" t="s">
        <v>3513</v>
      </c>
      <c r="I94" t="s">
        <v>3514</v>
      </c>
      <c r="J94">
        <v>6.23</v>
      </c>
      <c r="K94">
        <f t="shared" si="3"/>
        <v>6.2300000000000001E-2</v>
      </c>
    </row>
    <row r="95" spans="1:11" x14ac:dyDescent="0.2">
      <c r="A95" s="496">
        <v>115</v>
      </c>
      <c r="B95" t="s">
        <v>3112</v>
      </c>
      <c r="C95" t="s">
        <v>3206</v>
      </c>
      <c r="D95">
        <v>7.95</v>
      </c>
      <c r="E95">
        <f t="shared" si="2"/>
        <v>7.9500000000000001E-2</v>
      </c>
      <c r="F95" s="496">
        <v>115</v>
      </c>
      <c r="G95" t="s">
        <v>3515</v>
      </c>
      <c r="H95" t="s">
        <v>3516</v>
      </c>
      <c r="I95" t="s">
        <v>3517</v>
      </c>
      <c r="J95">
        <v>6.3</v>
      </c>
      <c r="K95">
        <f t="shared" si="3"/>
        <v>6.3E-2</v>
      </c>
    </row>
    <row r="96" spans="1:11" x14ac:dyDescent="0.2">
      <c r="A96" s="496">
        <v>116</v>
      </c>
      <c r="B96" t="s">
        <v>3112</v>
      </c>
      <c r="C96" t="s">
        <v>3207</v>
      </c>
      <c r="D96">
        <v>8.14</v>
      </c>
      <c r="E96">
        <f t="shared" si="2"/>
        <v>8.14E-2</v>
      </c>
      <c r="F96" s="496">
        <v>116</v>
      </c>
      <c r="G96" t="s">
        <v>3518</v>
      </c>
      <c r="H96" t="s">
        <v>3519</v>
      </c>
      <c r="I96" t="s">
        <v>3520</v>
      </c>
      <c r="J96">
        <v>6.39</v>
      </c>
      <c r="K96">
        <f t="shared" si="3"/>
        <v>6.3899999999999998E-2</v>
      </c>
    </row>
    <row r="97" spans="1:11" x14ac:dyDescent="0.2">
      <c r="A97" s="496">
        <v>117</v>
      </c>
      <c r="B97" t="s">
        <v>3112</v>
      </c>
      <c r="C97" t="s">
        <v>3208</v>
      </c>
      <c r="D97">
        <v>10.41</v>
      </c>
      <c r="E97">
        <f t="shared" si="2"/>
        <v>0.1041</v>
      </c>
      <c r="F97" s="496">
        <v>117</v>
      </c>
      <c r="G97" t="s">
        <v>3521</v>
      </c>
      <c r="H97" t="s">
        <v>3522</v>
      </c>
      <c r="I97" t="s">
        <v>3523</v>
      </c>
      <c r="J97">
        <v>6.41</v>
      </c>
      <c r="K97">
        <f t="shared" si="3"/>
        <v>6.4100000000000004E-2</v>
      </c>
    </row>
    <row r="98" spans="1:11" x14ac:dyDescent="0.2">
      <c r="A98" s="496">
        <v>118</v>
      </c>
      <c r="B98" t="s">
        <v>3112</v>
      </c>
      <c r="C98" t="s">
        <v>3209</v>
      </c>
      <c r="D98">
        <v>9.86</v>
      </c>
      <c r="E98">
        <f t="shared" si="2"/>
        <v>9.8599999999999993E-2</v>
      </c>
      <c r="F98" s="496">
        <v>118</v>
      </c>
      <c r="G98" t="s">
        <v>3524</v>
      </c>
      <c r="H98" t="s">
        <v>3525</v>
      </c>
      <c r="I98" t="s">
        <v>3526</v>
      </c>
      <c r="J98">
        <v>6.54</v>
      </c>
      <c r="K98">
        <f t="shared" si="3"/>
        <v>6.54E-2</v>
      </c>
    </row>
    <row r="99" spans="1:11" x14ac:dyDescent="0.2">
      <c r="A99" s="496">
        <v>119</v>
      </c>
      <c r="B99" t="s">
        <v>3112</v>
      </c>
      <c r="C99" t="s">
        <v>3210</v>
      </c>
      <c r="D99">
        <v>8.65</v>
      </c>
      <c r="E99">
        <f t="shared" si="2"/>
        <v>8.6500000000000007E-2</v>
      </c>
      <c r="F99" s="496">
        <v>119</v>
      </c>
      <c r="G99" t="s">
        <v>3527</v>
      </c>
      <c r="H99" t="s">
        <v>3519</v>
      </c>
      <c r="I99" t="s">
        <v>3528</v>
      </c>
      <c r="J99">
        <v>6.39</v>
      </c>
      <c r="K99">
        <f t="shared" si="3"/>
        <v>6.3899999999999998E-2</v>
      </c>
    </row>
    <row r="100" spans="1:11" x14ac:dyDescent="0.2">
      <c r="A100" s="496">
        <v>120</v>
      </c>
      <c r="B100" t="s">
        <v>3112</v>
      </c>
      <c r="C100" t="s">
        <v>3211</v>
      </c>
      <c r="D100">
        <v>8.48</v>
      </c>
      <c r="E100">
        <f t="shared" si="2"/>
        <v>8.48E-2</v>
      </c>
      <c r="F100" s="496">
        <v>120</v>
      </c>
      <c r="G100" t="s">
        <v>3529</v>
      </c>
      <c r="H100" t="s">
        <v>3530</v>
      </c>
      <c r="I100" t="s">
        <v>3531</v>
      </c>
      <c r="J100">
        <v>7.05</v>
      </c>
      <c r="K100">
        <f t="shared" si="3"/>
        <v>7.0499999999999993E-2</v>
      </c>
    </row>
    <row r="101" spans="1:11" x14ac:dyDescent="0.2">
      <c r="A101" s="496">
        <v>121</v>
      </c>
      <c r="B101" t="s">
        <v>3112</v>
      </c>
      <c r="C101" t="s">
        <v>3212</v>
      </c>
      <c r="D101">
        <v>8.83</v>
      </c>
      <c r="E101">
        <f t="shared" si="2"/>
        <v>8.8300000000000003E-2</v>
      </c>
      <c r="F101" s="496">
        <v>121</v>
      </c>
      <c r="G101" t="s">
        <v>3532</v>
      </c>
      <c r="H101" t="s">
        <v>3533</v>
      </c>
      <c r="I101" t="s">
        <v>3534</v>
      </c>
      <c r="J101">
        <v>7.02</v>
      </c>
      <c r="K101">
        <f t="shared" si="3"/>
        <v>7.0199999999999999E-2</v>
      </c>
    </row>
    <row r="102" spans="1:11" x14ac:dyDescent="0.2">
      <c r="A102" s="496">
        <v>122</v>
      </c>
      <c r="B102" t="s">
        <v>3112</v>
      </c>
      <c r="C102" t="s">
        <v>3213</v>
      </c>
      <c r="D102">
        <v>7.85</v>
      </c>
      <c r="E102">
        <f t="shared" si="2"/>
        <v>7.85E-2</v>
      </c>
      <c r="F102" s="496">
        <v>122</v>
      </c>
      <c r="G102" t="s">
        <v>3535</v>
      </c>
      <c r="H102" t="s">
        <v>3536</v>
      </c>
      <c r="I102" t="s">
        <v>3537</v>
      </c>
      <c r="J102">
        <v>7.07</v>
      </c>
      <c r="K102">
        <f t="shared" si="3"/>
        <v>7.0699999999999999E-2</v>
      </c>
    </row>
    <row r="103" spans="1:11" x14ac:dyDescent="0.2">
      <c r="A103" s="496">
        <v>123</v>
      </c>
      <c r="B103" t="s">
        <v>3112</v>
      </c>
      <c r="C103" t="s">
        <v>3214</v>
      </c>
      <c r="D103">
        <v>8.89</v>
      </c>
      <c r="E103">
        <f t="shared" si="2"/>
        <v>8.8900000000000007E-2</v>
      </c>
      <c r="F103" s="496">
        <v>123</v>
      </c>
      <c r="G103" t="s">
        <v>3538</v>
      </c>
      <c r="H103" t="s">
        <v>3539</v>
      </c>
      <c r="I103" t="s">
        <v>3540</v>
      </c>
      <c r="J103">
        <v>7.36</v>
      </c>
      <c r="K103">
        <f t="shared" si="3"/>
        <v>7.3599999999999999E-2</v>
      </c>
    </row>
    <row r="104" spans="1:11" x14ac:dyDescent="0.2">
      <c r="A104" s="496">
        <v>124</v>
      </c>
      <c r="B104" t="s">
        <v>3112</v>
      </c>
      <c r="C104" t="s">
        <v>3215</v>
      </c>
      <c r="D104">
        <v>9.6</v>
      </c>
      <c r="E104">
        <f t="shared" si="2"/>
        <v>9.6000000000000002E-2</v>
      </c>
      <c r="F104" s="496">
        <v>124</v>
      </c>
      <c r="G104" t="s">
        <v>3541</v>
      </c>
      <c r="H104" t="s">
        <v>3542</v>
      </c>
      <c r="I104" t="s">
        <v>3543</v>
      </c>
      <c r="J104">
        <v>7.8</v>
      </c>
      <c r="K104">
        <f t="shared" si="3"/>
        <v>7.8E-2</v>
      </c>
    </row>
    <row r="105" spans="1:11" x14ac:dyDescent="0.2">
      <c r="A105" s="496">
        <v>125</v>
      </c>
      <c r="B105" t="s">
        <v>3112</v>
      </c>
      <c r="C105" t="s">
        <v>3216</v>
      </c>
      <c r="D105">
        <v>10.6</v>
      </c>
      <c r="E105">
        <f t="shared" si="2"/>
        <v>0.106</v>
      </c>
      <c r="F105" s="496">
        <v>125</v>
      </c>
      <c r="G105" t="s">
        <v>3544</v>
      </c>
      <c r="H105" t="s">
        <v>3545</v>
      </c>
      <c r="I105" t="s">
        <v>3546</v>
      </c>
      <c r="J105">
        <v>8.3000000000000007</v>
      </c>
      <c r="K105">
        <f t="shared" si="3"/>
        <v>8.3000000000000004E-2</v>
      </c>
    </row>
    <row r="106" spans="1:11" x14ac:dyDescent="0.2">
      <c r="A106" s="496">
        <v>126</v>
      </c>
      <c r="B106" t="s">
        <v>3112</v>
      </c>
      <c r="C106" t="s">
        <v>3217</v>
      </c>
      <c r="D106">
        <v>9.94</v>
      </c>
      <c r="E106">
        <f t="shared" si="2"/>
        <v>9.9399999999999988E-2</v>
      </c>
      <c r="F106" s="496">
        <v>126</v>
      </c>
      <c r="G106" t="s">
        <v>3547</v>
      </c>
      <c r="H106" t="s">
        <v>3548</v>
      </c>
      <c r="I106" t="s">
        <v>3549</v>
      </c>
      <c r="J106">
        <v>9.02</v>
      </c>
      <c r="K106">
        <f t="shared" si="3"/>
        <v>9.0200000000000002E-2</v>
      </c>
    </row>
    <row r="107" spans="1:11" x14ac:dyDescent="0.2">
      <c r="A107" s="496">
        <v>127</v>
      </c>
      <c r="B107" t="s">
        <v>3112</v>
      </c>
      <c r="C107" t="s">
        <v>3218</v>
      </c>
      <c r="D107">
        <v>11.32</v>
      </c>
      <c r="E107">
        <f t="shared" si="2"/>
        <v>0.11320000000000001</v>
      </c>
      <c r="F107" s="496">
        <v>127</v>
      </c>
      <c r="G107" t="s">
        <v>3550</v>
      </c>
      <c r="H107" t="s">
        <v>3551</v>
      </c>
      <c r="I107" t="s">
        <v>3552</v>
      </c>
      <c r="J107">
        <v>9.86</v>
      </c>
      <c r="K107">
        <f t="shared" si="3"/>
        <v>9.8599999999999993E-2</v>
      </c>
    </row>
    <row r="108" spans="1:11" x14ac:dyDescent="0.2">
      <c r="A108" s="496">
        <v>128</v>
      </c>
      <c r="B108" t="s">
        <v>3112</v>
      </c>
      <c r="C108" t="s">
        <v>3219</v>
      </c>
      <c r="D108">
        <v>12.13</v>
      </c>
      <c r="E108">
        <f t="shared" si="2"/>
        <v>0.12130000000000001</v>
      </c>
      <c r="F108" s="496">
        <v>128</v>
      </c>
      <c r="G108" t="s">
        <v>3553</v>
      </c>
      <c r="H108" t="s">
        <v>3554</v>
      </c>
      <c r="I108" t="s">
        <v>3555</v>
      </c>
      <c r="J108">
        <v>10.91</v>
      </c>
      <c r="K108">
        <f t="shared" si="3"/>
        <v>0.1091</v>
      </c>
    </row>
    <row r="109" spans="1:11" x14ac:dyDescent="0.2">
      <c r="A109" s="496">
        <v>129</v>
      </c>
      <c r="B109" t="s">
        <v>3112</v>
      </c>
      <c r="C109" t="s">
        <v>3220</v>
      </c>
      <c r="D109">
        <v>11.4</v>
      </c>
      <c r="E109">
        <f t="shared" si="2"/>
        <v>0.114</v>
      </c>
      <c r="F109" s="496">
        <v>129</v>
      </c>
      <c r="G109" t="s">
        <v>3556</v>
      </c>
      <c r="H109" t="s">
        <v>3422</v>
      </c>
      <c r="I109" t="s">
        <v>3557</v>
      </c>
      <c r="J109">
        <v>11.79</v>
      </c>
      <c r="K109">
        <f t="shared" si="3"/>
        <v>0.11789999999999999</v>
      </c>
    </row>
    <row r="110" spans="1:11" x14ac:dyDescent="0.2">
      <c r="A110" s="496">
        <v>130</v>
      </c>
      <c r="B110" t="s">
        <v>3112</v>
      </c>
      <c r="C110" t="s">
        <v>3221</v>
      </c>
      <c r="D110">
        <v>10.98</v>
      </c>
      <c r="E110">
        <f t="shared" si="2"/>
        <v>0.10980000000000001</v>
      </c>
      <c r="F110" s="496">
        <v>130</v>
      </c>
      <c r="G110" t="s">
        <v>3558</v>
      </c>
      <c r="H110" t="s">
        <v>3559</v>
      </c>
      <c r="I110" t="s">
        <v>3560</v>
      </c>
      <c r="J110">
        <v>13.05</v>
      </c>
      <c r="K110">
        <f t="shared" si="3"/>
        <v>0.1305</v>
      </c>
    </row>
    <row r="111" spans="1:11" x14ac:dyDescent="0.2">
      <c r="A111" s="496">
        <v>131</v>
      </c>
      <c r="B111" t="s">
        <v>3112</v>
      </c>
      <c r="C111" t="s">
        <v>3222</v>
      </c>
      <c r="D111">
        <v>11.16</v>
      </c>
      <c r="E111">
        <f t="shared" si="2"/>
        <v>0.1116</v>
      </c>
      <c r="F111" s="496">
        <v>131</v>
      </c>
      <c r="G111" t="s">
        <v>3561</v>
      </c>
      <c r="H111" t="s">
        <v>3562</v>
      </c>
      <c r="I111" t="s">
        <v>3563</v>
      </c>
      <c r="J111">
        <v>13.68</v>
      </c>
      <c r="K111">
        <f t="shared" si="3"/>
        <v>0.1368</v>
      </c>
    </row>
    <row r="112" spans="1:11" x14ac:dyDescent="0.2">
      <c r="A112" s="496">
        <v>132</v>
      </c>
      <c r="B112" t="s">
        <v>3112</v>
      </c>
      <c r="C112" t="s">
        <v>3223</v>
      </c>
      <c r="D112">
        <v>12</v>
      </c>
      <c r="E112">
        <f t="shared" si="2"/>
        <v>0.12</v>
      </c>
      <c r="F112" s="496">
        <v>132</v>
      </c>
      <c r="G112" t="s">
        <v>3564</v>
      </c>
      <c r="H112" t="s">
        <v>3565</v>
      </c>
      <c r="I112" t="s">
        <v>3566</v>
      </c>
      <c r="J112">
        <v>14.57</v>
      </c>
      <c r="K112">
        <f t="shared" si="3"/>
        <v>0.1457</v>
      </c>
    </row>
    <row r="113" spans="1:11" x14ac:dyDescent="0.2">
      <c r="A113" s="496">
        <v>133</v>
      </c>
      <c r="B113" t="s">
        <v>3112</v>
      </c>
      <c r="C113" t="s">
        <v>3224</v>
      </c>
      <c r="D113">
        <v>15.8</v>
      </c>
      <c r="E113">
        <f t="shared" si="2"/>
        <v>0.158</v>
      </c>
      <c r="F113" s="496">
        <v>133</v>
      </c>
      <c r="G113" t="s">
        <v>3567</v>
      </c>
      <c r="H113" t="s">
        <v>3568</v>
      </c>
      <c r="I113" t="s">
        <v>3569</v>
      </c>
      <c r="J113">
        <v>14.78</v>
      </c>
      <c r="K113">
        <f t="shared" si="3"/>
        <v>0.14779999999999999</v>
      </c>
    </row>
    <row r="114" spans="1:11" x14ac:dyDescent="0.2">
      <c r="A114" s="496">
        <v>134</v>
      </c>
      <c r="B114" t="s">
        <v>3112</v>
      </c>
      <c r="C114" t="s">
        <v>3225</v>
      </c>
      <c r="D114">
        <v>12.63</v>
      </c>
      <c r="E114">
        <f t="shared" si="2"/>
        <v>0.1263</v>
      </c>
      <c r="F114" s="496">
        <v>134</v>
      </c>
      <c r="G114" t="s">
        <v>3570</v>
      </c>
      <c r="H114" t="s">
        <v>3571</v>
      </c>
      <c r="I114" t="s">
        <v>3572</v>
      </c>
      <c r="J114">
        <v>15.36</v>
      </c>
      <c r="K114">
        <f t="shared" si="3"/>
        <v>0.15359999999999999</v>
      </c>
    </row>
    <row r="115" spans="1:11" x14ac:dyDescent="0.2">
      <c r="A115" s="496">
        <v>135</v>
      </c>
      <c r="B115" t="s">
        <v>3112</v>
      </c>
      <c r="C115" t="s">
        <v>3226</v>
      </c>
      <c r="D115">
        <v>11.82</v>
      </c>
      <c r="E115">
        <f t="shared" si="2"/>
        <v>0.1182</v>
      </c>
      <c r="F115" s="496">
        <v>135</v>
      </c>
      <c r="G115" t="s">
        <v>3573</v>
      </c>
      <c r="H115" t="s">
        <v>3574</v>
      </c>
      <c r="I115" t="s">
        <v>3575</v>
      </c>
      <c r="J115">
        <v>15.97</v>
      </c>
      <c r="K115">
        <f t="shared" si="3"/>
        <v>0.15970000000000001</v>
      </c>
    </row>
    <row r="116" spans="1:11" x14ac:dyDescent="0.2">
      <c r="A116" s="496">
        <v>136</v>
      </c>
      <c r="B116" t="s">
        <v>3112</v>
      </c>
      <c r="C116" t="s">
        <v>3227</v>
      </c>
      <c r="D116">
        <v>16.649999999999999</v>
      </c>
      <c r="E116">
        <f t="shared" si="2"/>
        <v>0.16649999999999998</v>
      </c>
      <c r="F116" s="496">
        <v>136</v>
      </c>
      <c r="G116" t="s">
        <v>3576</v>
      </c>
      <c r="H116" t="s">
        <v>3577</v>
      </c>
      <c r="I116" t="s">
        <v>3578</v>
      </c>
      <c r="J116">
        <v>16.47</v>
      </c>
      <c r="K116">
        <f t="shared" si="3"/>
        <v>0.16469999999999999</v>
      </c>
    </row>
    <row r="117" spans="1:11" x14ac:dyDescent="0.2">
      <c r="A117" s="496">
        <v>137</v>
      </c>
      <c r="B117" t="s">
        <v>3112</v>
      </c>
      <c r="C117" t="s">
        <v>3228</v>
      </c>
      <c r="D117">
        <v>9.08</v>
      </c>
      <c r="E117">
        <f t="shared" si="2"/>
        <v>9.0800000000000006E-2</v>
      </c>
      <c r="F117" s="496">
        <v>137</v>
      </c>
      <c r="G117" t="s">
        <v>3579</v>
      </c>
      <c r="H117" t="s">
        <v>3580</v>
      </c>
      <c r="I117" t="s">
        <v>3581</v>
      </c>
      <c r="J117">
        <v>16.809999999999999</v>
      </c>
      <c r="K117">
        <f t="shared" si="3"/>
        <v>0.1681</v>
      </c>
    </row>
    <row r="118" spans="1:11" x14ac:dyDescent="0.2">
      <c r="A118" s="496">
        <v>138</v>
      </c>
      <c r="B118" t="s">
        <v>3112</v>
      </c>
      <c r="C118" t="s">
        <v>3229</v>
      </c>
      <c r="D118">
        <v>9.5</v>
      </c>
      <c r="E118">
        <f t="shared" si="2"/>
        <v>9.5000000000000001E-2</v>
      </c>
      <c r="F118" s="496">
        <v>138</v>
      </c>
      <c r="G118" t="s">
        <v>3582</v>
      </c>
      <c r="H118" t="s">
        <v>3583</v>
      </c>
      <c r="I118" t="s">
        <v>3584</v>
      </c>
      <c r="J118">
        <v>16.91</v>
      </c>
      <c r="K118">
        <f t="shared" si="3"/>
        <v>0.1691</v>
      </c>
    </row>
    <row r="119" spans="1:11" x14ac:dyDescent="0.2">
      <c r="A119" s="496">
        <v>139</v>
      </c>
      <c r="B119" t="s">
        <v>3112</v>
      </c>
      <c r="C119" t="s">
        <v>3230</v>
      </c>
      <c r="D119">
        <v>9.81</v>
      </c>
      <c r="E119">
        <f t="shared" si="2"/>
        <v>9.8100000000000007E-2</v>
      </c>
      <c r="F119" s="496">
        <v>139</v>
      </c>
      <c r="G119" t="s">
        <v>3585</v>
      </c>
      <c r="H119" t="s">
        <v>3586</v>
      </c>
      <c r="I119" t="s">
        <v>3587</v>
      </c>
      <c r="J119">
        <v>16.93</v>
      </c>
      <c r="K119">
        <f t="shared" si="3"/>
        <v>0.16930000000000001</v>
      </c>
    </row>
    <row r="120" spans="1:11" x14ac:dyDescent="0.2">
      <c r="A120" s="496">
        <v>140</v>
      </c>
      <c r="B120" t="s">
        <v>3112</v>
      </c>
      <c r="C120" t="s">
        <v>3231</v>
      </c>
      <c r="D120">
        <v>12</v>
      </c>
      <c r="E120">
        <f t="shared" si="2"/>
        <v>0.12</v>
      </c>
      <c r="F120" s="496">
        <v>140</v>
      </c>
      <c r="G120" t="s">
        <v>3588</v>
      </c>
      <c r="H120" t="s">
        <v>3318</v>
      </c>
      <c r="I120" t="s">
        <v>3589</v>
      </c>
      <c r="J120">
        <v>16.989999999999998</v>
      </c>
      <c r="K120">
        <f t="shared" si="3"/>
        <v>0.1699</v>
      </c>
    </row>
    <row r="121" spans="1:11" x14ac:dyDescent="0.2">
      <c r="A121" s="496">
        <v>141</v>
      </c>
      <c r="B121" t="s">
        <v>3112</v>
      </c>
      <c r="C121" t="s">
        <v>3232</v>
      </c>
      <c r="D121">
        <v>12.04</v>
      </c>
      <c r="E121">
        <f t="shared" si="2"/>
        <v>0.12039999999999999</v>
      </c>
      <c r="F121" s="496">
        <v>141</v>
      </c>
      <c r="G121" t="s">
        <v>3590</v>
      </c>
      <c r="H121" t="s">
        <v>3591</v>
      </c>
      <c r="I121" t="s">
        <v>3592</v>
      </c>
      <c r="J121">
        <v>17.13</v>
      </c>
      <c r="K121">
        <f t="shared" si="3"/>
        <v>0.17129999999999998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49285-2DE5-41FF-95A3-E17F9858AAF0}">
  <sheetPr>
    <tabColor theme="1"/>
  </sheetPr>
  <dimension ref="A1:O173"/>
  <sheetViews>
    <sheetView showGridLines="0" zoomScale="106" zoomScaleNormal="106" workbookViewId="0">
      <selection activeCell="G26" sqref="G26"/>
    </sheetView>
  </sheetViews>
  <sheetFormatPr baseColWidth="10" defaultColWidth="8.83203125" defaultRowHeight="15" x14ac:dyDescent="0.2"/>
  <cols>
    <col min="1" max="1" width="9.1640625" style="315"/>
    <col min="2" max="2" width="53.1640625" style="315" bestFit="1" customWidth="1"/>
    <col min="3" max="3" width="24.1640625" style="315" bestFit="1" customWidth="1"/>
    <col min="4" max="4" width="21.1640625" style="315" bestFit="1" customWidth="1"/>
    <col min="5" max="5" width="21" style="358" bestFit="1" customWidth="1"/>
    <col min="6" max="6" width="21" style="358" customWidth="1"/>
    <col min="7" max="7" width="21.1640625" style="358" bestFit="1" customWidth="1"/>
    <col min="8" max="8" width="16.83203125" style="358" customWidth="1"/>
    <col min="9" max="9" width="16" style="315" customWidth="1"/>
    <col min="10" max="10" width="14.1640625" style="315" customWidth="1"/>
    <col min="11" max="11" width="15" style="315" customWidth="1"/>
    <col min="12" max="12" width="14.83203125" style="315" customWidth="1"/>
    <col min="13" max="13" width="17" style="315" customWidth="1"/>
    <col min="14" max="14" width="9.1640625" style="315"/>
  </cols>
  <sheetData>
    <row r="1" spans="2:13" s="315" customFormat="1" ht="33" thickBot="1" x14ac:dyDescent="0.25">
      <c r="B1" s="380" t="s">
        <v>2844</v>
      </c>
      <c r="C1" s="381" t="s">
        <v>57</v>
      </c>
      <c r="D1" s="381" t="s">
        <v>58</v>
      </c>
      <c r="E1" s="382" t="s">
        <v>59</v>
      </c>
      <c r="F1" s="382" t="s">
        <v>62</v>
      </c>
      <c r="G1" s="382" t="s">
        <v>60</v>
      </c>
      <c r="H1" s="437" t="s">
        <v>758</v>
      </c>
      <c r="I1" s="383" t="s">
        <v>2845</v>
      </c>
      <c r="J1" s="384" t="s">
        <v>2846</v>
      </c>
      <c r="K1" s="385" t="s">
        <v>2847</v>
      </c>
      <c r="L1" s="386" t="s">
        <v>2848</v>
      </c>
      <c r="M1" s="387" t="s">
        <v>2849</v>
      </c>
    </row>
    <row r="2" spans="2:13" s="315" customFormat="1" x14ac:dyDescent="0.2">
      <c r="B2" s="357" t="s">
        <v>2863</v>
      </c>
      <c r="C2" s="438">
        <f>E24</f>
        <v>0</v>
      </c>
      <c r="D2" s="438">
        <f>E23</f>
        <v>0</v>
      </c>
      <c r="E2" s="438">
        <f>E25</f>
        <v>0</v>
      </c>
      <c r="F2" s="438">
        <f>E27</f>
        <v>291054402.92000002</v>
      </c>
      <c r="G2" s="438">
        <f t="shared" ref="G2:G17" si="0">SUM(C2:F2)</f>
        <v>291054402.92000002</v>
      </c>
      <c r="H2" s="439">
        <f>G2/(SUM($G$2:$G$17))</f>
        <v>4.9387982771271531E-3</v>
      </c>
      <c r="I2" s="388">
        <f>E26/E28</f>
        <v>0</v>
      </c>
      <c r="J2" s="389">
        <f>E27/E28</f>
        <v>1</v>
      </c>
      <c r="K2" s="361">
        <f>IFERROR(C2/(SUM($C2:$E2)),0)</f>
        <v>0</v>
      </c>
      <c r="L2" s="362">
        <f t="shared" ref="L2:M17" si="1">IFERROR(D2/(SUM($C2:$E2)),0)</f>
        <v>0</v>
      </c>
      <c r="M2" s="363">
        <f t="shared" si="1"/>
        <v>0</v>
      </c>
    </row>
    <row r="3" spans="2:13" s="315" customFormat="1" x14ac:dyDescent="0.2">
      <c r="B3" s="357" t="s">
        <v>2864</v>
      </c>
      <c r="C3" s="438">
        <f>E33</f>
        <v>0</v>
      </c>
      <c r="D3" s="438">
        <f>E32</f>
        <v>0</v>
      </c>
      <c r="E3" s="438">
        <f>E34</f>
        <v>0</v>
      </c>
      <c r="F3" s="438">
        <f>E36</f>
        <v>4524424000</v>
      </c>
      <c r="G3" s="438">
        <f t="shared" si="0"/>
        <v>4524424000</v>
      </c>
      <c r="H3" s="439">
        <f t="shared" ref="H3:H17" si="2">G3/(SUM($G$2:$G$17))</f>
        <v>7.6773335953741306E-2</v>
      </c>
      <c r="I3" s="388">
        <f>E35/E37</f>
        <v>0</v>
      </c>
      <c r="J3" s="389">
        <f>E36/E37</f>
        <v>1</v>
      </c>
      <c r="K3" s="361">
        <f t="shared" ref="K3:K17" si="3">IFERROR(C3/(SUM($C3:$E3)),0)</f>
        <v>0</v>
      </c>
      <c r="L3" s="362">
        <f t="shared" si="1"/>
        <v>0</v>
      </c>
      <c r="M3" s="363">
        <f t="shared" si="1"/>
        <v>0</v>
      </c>
    </row>
    <row r="4" spans="2:13" s="315" customFormat="1" x14ac:dyDescent="0.2">
      <c r="B4" s="357" t="s">
        <v>2865</v>
      </c>
      <c r="C4" s="438">
        <v>0</v>
      </c>
      <c r="D4" s="438">
        <f>E41</f>
        <v>327397000</v>
      </c>
      <c r="E4" s="438">
        <f>SUM(E42:E44)</f>
        <v>175222000</v>
      </c>
      <c r="F4" s="438">
        <f>E46</f>
        <v>2769797000</v>
      </c>
      <c r="G4" s="438">
        <f t="shared" si="0"/>
        <v>3272416000</v>
      </c>
      <c r="H4" s="439">
        <f t="shared" si="2"/>
        <v>5.5528459080846158E-2</v>
      </c>
      <c r="I4" s="388">
        <f>E45/E47</f>
        <v>0.15359263614405994</v>
      </c>
      <c r="J4" s="389">
        <f>E46/E47</f>
        <v>0.84640736385594006</v>
      </c>
      <c r="K4" s="361">
        <f t="shared" si="3"/>
        <v>0</v>
      </c>
      <c r="L4" s="362">
        <f t="shared" si="1"/>
        <v>0.65138206076570926</v>
      </c>
      <c r="M4" s="363">
        <f t="shared" si="1"/>
        <v>0.3486179392342908</v>
      </c>
    </row>
    <row r="5" spans="2:13" s="315" customFormat="1" x14ac:dyDescent="0.2">
      <c r="B5" s="390" t="s">
        <v>2866</v>
      </c>
      <c r="C5" s="440" t="s">
        <v>607</v>
      </c>
      <c r="D5" s="440" t="s">
        <v>607</v>
      </c>
      <c r="E5" s="440" t="s">
        <v>607</v>
      </c>
      <c r="F5" s="440">
        <f>E56</f>
        <v>0</v>
      </c>
      <c r="G5" s="440">
        <f t="shared" si="0"/>
        <v>0</v>
      </c>
      <c r="H5" s="441">
        <f t="shared" si="2"/>
        <v>0</v>
      </c>
      <c r="I5" s="391" t="s">
        <v>607</v>
      </c>
      <c r="J5" s="392" t="s">
        <v>607</v>
      </c>
      <c r="K5" s="393">
        <f t="shared" si="3"/>
        <v>0</v>
      </c>
      <c r="L5" s="394">
        <f t="shared" si="1"/>
        <v>0</v>
      </c>
      <c r="M5" s="395">
        <f t="shared" si="1"/>
        <v>0</v>
      </c>
    </row>
    <row r="6" spans="2:13" s="315" customFormat="1" x14ac:dyDescent="0.2">
      <c r="B6" s="357" t="s">
        <v>2867</v>
      </c>
      <c r="C6" s="438">
        <f>E71</f>
        <v>0</v>
      </c>
      <c r="D6" s="438">
        <f>E70</f>
        <v>0</v>
      </c>
      <c r="E6" s="438">
        <f>E72</f>
        <v>0</v>
      </c>
      <c r="F6" s="438">
        <f>E65</f>
        <v>0</v>
      </c>
      <c r="G6" s="438">
        <f t="shared" si="0"/>
        <v>0</v>
      </c>
      <c r="H6" s="439">
        <f t="shared" si="2"/>
        <v>0</v>
      </c>
      <c r="I6" s="388">
        <f>E73/E75</f>
        <v>0</v>
      </c>
      <c r="J6" s="389">
        <f>E74/E75</f>
        <v>1</v>
      </c>
      <c r="K6" s="361">
        <f t="shared" si="3"/>
        <v>0</v>
      </c>
      <c r="L6" s="362">
        <f t="shared" si="1"/>
        <v>0</v>
      </c>
      <c r="M6" s="363">
        <f t="shared" si="1"/>
        <v>0</v>
      </c>
    </row>
    <row r="7" spans="2:13" s="315" customFormat="1" x14ac:dyDescent="0.2">
      <c r="B7" s="357" t="s">
        <v>2868</v>
      </c>
      <c r="C7" s="438">
        <f>E80</f>
        <v>388745000</v>
      </c>
      <c r="D7" s="438">
        <f>E79</f>
        <v>3015124000</v>
      </c>
      <c r="E7" s="438">
        <f>SUM(E81:E82)</f>
        <v>917529000</v>
      </c>
      <c r="F7" s="438">
        <f>E84</f>
        <v>4847467000</v>
      </c>
      <c r="G7" s="438">
        <f t="shared" si="0"/>
        <v>9168865000</v>
      </c>
      <c r="H7" s="439">
        <f t="shared" si="2"/>
        <v>0.1555831975428254</v>
      </c>
      <c r="I7" s="388">
        <f>E83/E85</f>
        <v>0.47131220712705446</v>
      </c>
      <c r="J7" s="389">
        <f>E84/E85</f>
        <v>0.52868779287294554</v>
      </c>
      <c r="K7" s="361">
        <f t="shared" si="3"/>
        <v>8.9958157059359029E-2</v>
      </c>
      <c r="L7" s="362">
        <f t="shared" si="1"/>
        <v>0.69771958056166083</v>
      </c>
      <c r="M7" s="363">
        <f t="shared" si="1"/>
        <v>0.21232226237898014</v>
      </c>
    </row>
    <row r="8" spans="2:13" s="315" customFormat="1" x14ac:dyDescent="0.2">
      <c r="B8" s="390" t="s">
        <v>2869</v>
      </c>
      <c r="C8" s="440" t="s">
        <v>607</v>
      </c>
      <c r="D8" s="440" t="s">
        <v>607</v>
      </c>
      <c r="E8" s="440" t="s">
        <v>607</v>
      </c>
      <c r="F8" s="440">
        <f>E65</f>
        <v>0</v>
      </c>
      <c r="G8" s="440">
        <f t="shared" si="0"/>
        <v>0</v>
      </c>
      <c r="H8" s="441">
        <f t="shared" si="2"/>
        <v>0</v>
      </c>
      <c r="I8" s="391" t="s">
        <v>607</v>
      </c>
      <c r="J8" s="392" t="s">
        <v>607</v>
      </c>
      <c r="K8" s="393">
        <f t="shared" si="3"/>
        <v>0</v>
      </c>
      <c r="L8" s="394">
        <f t="shared" si="1"/>
        <v>0</v>
      </c>
      <c r="M8" s="395">
        <f t="shared" si="1"/>
        <v>0</v>
      </c>
    </row>
    <row r="9" spans="2:13" s="315" customFormat="1" x14ac:dyDescent="0.2">
      <c r="B9" s="357" t="s">
        <v>2870</v>
      </c>
      <c r="C9" s="438">
        <f>SUM(E90:E91)</f>
        <v>1219470000</v>
      </c>
      <c r="D9" s="438">
        <f>E89</f>
        <v>543752000</v>
      </c>
      <c r="E9" s="438">
        <f>E92</f>
        <v>515928000</v>
      </c>
      <c r="F9" s="438">
        <f>E94</f>
        <v>4170094000</v>
      </c>
      <c r="G9" s="438">
        <f t="shared" si="0"/>
        <v>6449244000</v>
      </c>
      <c r="H9" s="439">
        <f t="shared" si="2"/>
        <v>0.10943491950790871</v>
      </c>
      <c r="I9" s="388">
        <f>E93/E95</f>
        <v>0.35339801068156207</v>
      </c>
      <c r="J9" s="389">
        <f>E94/E95</f>
        <v>0.64660198931843793</v>
      </c>
      <c r="K9" s="361">
        <f t="shared" si="3"/>
        <v>0.5350547353179913</v>
      </c>
      <c r="L9" s="362">
        <f t="shared" si="1"/>
        <v>0.23857666235219271</v>
      </c>
      <c r="M9" s="363">
        <f t="shared" si="1"/>
        <v>0.22636860232981593</v>
      </c>
    </row>
    <row r="10" spans="2:13" s="315" customFormat="1" x14ac:dyDescent="0.2">
      <c r="B10" s="357" t="s">
        <v>2871</v>
      </c>
      <c r="C10" s="438">
        <f>E100</f>
        <v>0</v>
      </c>
      <c r="D10" s="438">
        <f>E99</f>
        <v>0</v>
      </c>
      <c r="E10" s="438">
        <f>E101</f>
        <v>0</v>
      </c>
      <c r="F10" s="438">
        <v>0</v>
      </c>
      <c r="G10" s="438">
        <f t="shared" si="0"/>
        <v>0</v>
      </c>
      <c r="H10" s="439">
        <f t="shared" si="2"/>
        <v>0</v>
      </c>
      <c r="I10" s="388">
        <f>E102/E104</f>
        <v>0</v>
      </c>
      <c r="J10" s="389">
        <f>E103/E104</f>
        <v>1</v>
      </c>
      <c r="K10" s="361">
        <f t="shared" si="3"/>
        <v>0</v>
      </c>
      <c r="L10" s="362">
        <f t="shared" si="1"/>
        <v>0</v>
      </c>
      <c r="M10" s="363">
        <f t="shared" si="1"/>
        <v>0</v>
      </c>
    </row>
    <row r="11" spans="2:13" s="315" customFormat="1" x14ac:dyDescent="0.2">
      <c r="B11" s="357" t="s">
        <v>2872</v>
      </c>
      <c r="C11" s="438">
        <f>E112</f>
        <v>924340000</v>
      </c>
      <c r="D11" s="438">
        <f>SUM(E108:E111)</f>
        <v>2700977000</v>
      </c>
      <c r="E11" s="438">
        <f>SUM(E113:E114)</f>
        <v>1163734000</v>
      </c>
      <c r="F11" s="438">
        <f>E116</f>
        <v>4339138000</v>
      </c>
      <c r="G11" s="438">
        <f t="shared" si="0"/>
        <v>9128189000</v>
      </c>
      <c r="H11" s="439">
        <f t="shared" si="2"/>
        <v>0.15489298101730647</v>
      </c>
      <c r="I11" s="388">
        <f>E115/E117</f>
        <v>0.52464415449767743</v>
      </c>
      <c r="J11" s="389">
        <f>E116/E117</f>
        <v>0.47535584550232252</v>
      </c>
      <c r="K11" s="361">
        <f t="shared" si="3"/>
        <v>0.19301109969386418</v>
      </c>
      <c r="L11" s="362">
        <f t="shared" si="1"/>
        <v>0.5639900264165072</v>
      </c>
      <c r="M11" s="363">
        <f t="shared" si="1"/>
        <v>0.24299887388962865</v>
      </c>
    </row>
    <row r="12" spans="2:13" s="315" customFormat="1" x14ac:dyDescent="0.2">
      <c r="B12" s="357" t="s">
        <v>2873</v>
      </c>
      <c r="C12" s="438">
        <f>SUM(E122:E123)</f>
        <v>668342000</v>
      </c>
      <c r="D12" s="438">
        <f>0</f>
        <v>0</v>
      </c>
      <c r="E12" s="438">
        <f>SUM(E121,E124)</f>
        <v>1417145000</v>
      </c>
      <c r="F12" s="438">
        <f>E126</f>
        <v>2584095000</v>
      </c>
      <c r="G12" s="438">
        <f t="shared" si="0"/>
        <v>4669582000</v>
      </c>
      <c r="H12" s="439">
        <f t="shared" si="2"/>
        <v>7.923647024450918E-2</v>
      </c>
      <c r="I12" s="388">
        <f>E125/E127</f>
        <v>0.44661106711478671</v>
      </c>
      <c r="J12" s="389">
        <f>E126/E127</f>
        <v>0.55338893288521329</v>
      </c>
      <c r="K12" s="361">
        <f t="shared" si="3"/>
        <v>0.32047286796800939</v>
      </c>
      <c r="L12" s="362">
        <f t="shared" si="1"/>
        <v>0</v>
      </c>
      <c r="M12" s="363">
        <f t="shared" si="1"/>
        <v>0.67952713203199056</v>
      </c>
    </row>
    <row r="13" spans="2:13" s="315" customFormat="1" x14ac:dyDescent="0.2">
      <c r="B13" s="357" t="s">
        <v>2874</v>
      </c>
      <c r="C13" s="438">
        <f>E131</f>
        <v>264070000</v>
      </c>
      <c r="D13" s="438">
        <f>0</f>
        <v>0</v>
      </c>
      <c r="E13" s="438">
        <f>SUM(E132:E133)</f>
        <v>278420000</v>
      </c>
      <c r="F13" s="438">
        <f>E135</f>
        <v>2357609000</v>
      </c>
      <c r="G13" s="438">
        <f t="shared" si="0"/>
        <v>2900099000</v>
      </c>
      <c r="H13" s="439">
        <f t="shared" si="2"/>
        <v>4.9210744798920084E-2</v>
      </c>
      <c r="I13" s="388">
        <f>E134/E136</f>
        <v>0.18705913142965119</v>
      </c>
      <c r="J13" s="389">
        <f>E135/E136</f>
        <v>0.81294086857034875</v>
      </c>
      <c r="K13" s="361">
        <f t="shared" si="3"/>
        <v>0.48677394975022581</v>
      </c>
      <c r="L13" s="362">
        <f t="shared" si="1"/>
        <v>0</v>
      </c>
      <c r="M13" s="363">
        <f t="shared" si="1"/>
        <v>0.51322605024977419</v>
      </c>
    </row>
    <row r="14" spans="2:13" s="315" customFormat="1" x14ac:dyDescent="0.2">
      <c r="B14" s="357" t="s">
        <v>2875</v>
      </c>
      <c r="C14" s="438">
        <f>E141</f>
        <v>0</v>
      </c>
      <c r="D14" s="438">
        <f>E140</f>
        <v>0</v>
      </c>
      <c r="E14" s="438">
        <f>E142</f>
        <v>0</v>
      </c>
      <c r="F14" s="438">
        <f>E144</f>
        <v>8737842000</v>
      </c>
      <c r="G14" s="438">
        <f t="shared" si="0"/>
        <v>8737842000</v>
      </c>
      <c r="H14" s="439">
        <f t="shared" si="2"/>
        <v>0.14826932210082672</v>
      </c>
      <c r="I14" s="388">
        <f>E143/E145</f>
        <v>0</v>
      </c>
      <c r="J14" s="389">
        <f>E144/E145</f>
        <v>1</v>
      </c>
      <c r="K14" s="361">
        <f t="shared" si="3"/>
        <v>0</v>
      </c>
      <c r="L14" s="362">
        <f t="shared" si="1"/>
        <v>0</v>
      </c>
      <c r="M14" s="363">
        <f t="shared" si="1"/>
        <v>0</v>
      </c>
    </row>
    <row r="15" spans="2:13" s="315" customFormat="1" x14ac:dyDescent="0.2">
      <c r="B15" s="357" t="s">
        <v>2876</v>
      </c>
      <c r="C15" s="438">
        <f>E150</f>
        <v>0</v>
      </c>
      <c r="D15" s="438">
        <f>E149</f>
        <v>0</v>
      </c>
      <c r="E15" s="438">
        <f>E151</f>
        <v>0</v>
      </c>
      <c r="F15" s="438">
        <f>E153</f>
        <v>9790516000</v>
      </c>
      <c r="G15" s="438">
        <f t="shared" si="0"/>
        <v>9790516000</v>
      </c>
      <c r="H15" s="439">
        <f t="shared" si="2"/>
        <v>0.16613177147598887</v>
      </c>
      <c r="I15" s="388">
        <f>E152/E154</f>
        <v>0</v>
      </c>
      <c r="J15" s="389">
        <f>E153/E154</f>
        <v>1</v>
      </c>
      <c r="K15" s="361">
        <f t="shared" si="3"/>
        <v>0</v>
      </c>
      <c r="L15" s="362">
        <f t="shared" si="1"/>
        <v>0</v>
      </c>
      <c r="M15" s="363">
        <f t="shared" si="1"/>
        <v>0</v>
      </c>
    </row>
    <row r="16" spans="2:13" s="315" customFormat="1" x14ac:dyDescent="0.2">
      <c r="B16" s="390" t="s">
        <v>2877</v>
      </c>
      <c r="C16" s="440" t="s">
        <v>607</v>
      </c>
      <c r="D16" s="440" t="s">
        <v>607</v>
      </c>
      <c r="E16" s="440" t="s">
        <v>607</v>
      </c>
      <c r="F16" s="440">
        <f>E162</f>
        <v>0</v>
      </c>
      <c r="G16" s="440">
        <f t="shared" si="0"/>
        <v>0</v>
      </c>
      <c r="H16" s="441">
        <f t="shared" si="2"/>
        <v>0</v>
      </c>
      <c r="I16" s="391" t="s">
        <v>607</v>
      </c>
      <c r="J16" s="392" t="s">
        <v>607</v>
      </c>
      <c r="K16" s="393">
        <f t="shared" si="3"/>
        <v>0</v>
      </c>
      <c r="L16" s="394">
        <f t="shared" si="1"/>
        <v>0</v>
      </c>
      <c r="M16" s="395">
        <f t="shared" si="1"/>
        <v>0</v>
      </c>
    </row>
    <row r="17" spans="2:15" s="315" customFormat="1" ht="16" thickBot="1" x14ac:dyDescent="0.25">
      <c r="B17" s="396" t="s">
        <v>2878</v>
      </c>
      <c r="C17" s="397" t="s">
        <v>607</v>
      </c>
      <c r="D17" s="397" t="s">
        <v>607</v>
      </c>
      <c r="E17" s="397" t="s">
        <v>607</v>
      </c>
      <c r="F17" s="397">
        <f>E171</f>
        <v>0</v>
      </c>
      <c r="G17" s="397">
        <f t="shared" si="0"/>
        <v>0</v>
      </c>
      <c r="H17" s="442">
        <f t="shared" si="2"/>
        <v>0</v>
      </c>
      <c r="I17" s="398" t="s">
        <v>607</v>
      </c>
      <c r="J17" s="399" t="s">
        <v>607</v>
      </c>
      <c r="K17" s="400">
        <f t="shared" si="3"/>
        <v>0</v>
      </c>
      <c r="L17" s="401">
        <f t="shared" si="1"/>
        <v>0</v>
      </c>
      <c r="M17" s="402">
        <f t="shared" si="1"/>
        <v>0</v>
      </c>
    </row>
    <row r="18" spans="2:15" s="315" customFormat="1" x14ac:dyDescent="0.2">
      <c r="B18" s="403"/>
      <c r="C18" s="359"/>
      <c r="D18" s="359"/>
      <c r="E18" s="359"/>
      <c r="F18" s="359"/>
      <c r="G18" s="364">
        <f>SUM(G2:G13)</f>
        <v>40403873402.919998</v>
      </c>
      <c r="H18" s="359">
        <f t="shared" ref="H18" si="4">G18/(SUM($G$3:$G$18))</f>
        <v>0.40793430099288264</v>
      </c>
      <c r="I18" s="360"/>
      <c r="J18" s="360"/>
    </row>
    <row r="19" spans="2:15" s="315" customFormat="1" ht="16" thickBot="1" x14ac:dyDescent="0.25">
      <c r="B19" s="403"/>
      <c r="E19" s="358"/>
      <c r="F19" s="358"/>
      <c r="G19" s="358"/>
      <c r="H19" s="358"/>
    </row>
    <row r="20" spans="2:15" s="315" customFormat="1" ht="16" thickBot="1" x14ac:dyDescent="0.25">
      <c r="B20" s="505" t="s">
        <v>2852</v>
      </c>
      <c r="C20" s="506"/>
      <c r="D20" s="506"/>
      <c r="E20" s="507"/>
      <c r="F20" s="404"/>
      <c r="G20" s="508" t="s">
        <v>2850</v>
      </c>
      <c r="H20" s="508"/>
      <c r="J20" s="509" t="s">
        <v>2851</v>
      </c>
      <c r="K20" s="509"/>
      <c r="L20" s="509"/>
    </row>
    <row r="21" spans="2:15" s="315" customFormat="1" ht="17" thickBot="1" x14ac:dyDescent="0.25">
      <c r="E21" s="358"/>
      <c r="F21" s="358"/>
      <c r="G21" s="405" t="s">
        <v>2845</v>
      </c>
      <c r="H21" s="365" t="s">
        <v>2846</v>
      </c>
      <c r="J21" s="366" t="s">
        <v>57</v>
      </c>
      <c r="K21" s="366" t="s">
        <v>58</v>
      </c>
      <c r="L21" s="367" t="s">
        <v>59</v>
      </c>
    </row>
    <row r="22" spans="2:15" s="315" customFormat="1" ht="16" thickBot="1" x14ac:dyDescent="0.25">
      <c r="B22" s="369" t="s">
        <v>2863</v>
      </c>
      <c r="C22" s="370" t="s">
        <v>2853</v>
      </c>
      <c r="D22" s="370" t="s">
        <v>2854</v>
      </c>
      <c r="E22" s="371" t="s">
        <v>2855</v>
      </c>
      <c r="F22" s="406"/>
      <c r="G22" s="356">
        <f>SUMPRODUCT(I2:I17,H2:H17)</f>
        <v>0.24638800626308113</v>
      </c>
      <c r="H22" s="356">
        <f>SUMPRODUCT(J2:J17,H2:H17)</f>
        <v>0.75361199373691901</v>
      </c>
      <c r="J22" s="368">
        <f>SUMPRODUCT(K2:K17,$H$2:$H$17,$I$2:$I$17)/$G$22</f>
        <v>0.23863088615545452</v>
      </c>
      <c r="K22" s="368">
        <f>SUMPRODUCT(L2:L17,$H$2:$H$17,$I$2:$I$17)/$G$22</f>
        <v>0.45366126281361924</v>
      </c>
      <c r="L22" s="368">
        <f>SUMPRODUCT(M2:M17,$H$2:$H$17,$I$2:$I$17)/$G$22</f>
        <v>0.30770785103092624</v>
      </c>
    </row>
    <row r="23" spans="2:15" s="315" customFormat="1" x14ac:dyDescent="0.2">
      <c r="B23" s="503" t="s">
        <v>2856</v>
      </c>
      <c r="C23" s="315" t="s">
        <v>58</v>
      </c>
      <c r="E23" s="372">
        <v>0</v>
      </c>
      <c r="F23" s="358"/>
      <c r="G23" s="358"/>
      <c r="H23" s="358"/>
    </row>
    <row r="24" spans="2:15" s="315" customFormat="1" x14ac:dyDescent="0.2">
      <c r="B24" s="503"/>
      <c r="C24" s="315" t="s">
        <v>57</v>
      </c>
      <c r="E24" s="372">
        <v>0</v>
      </c>
      <c r="F24" s="358"/>
      <c r="G24" s="358"/>
      <c r="H24" s="358"/>
    </row>
    <row r="25" spans="2:15" s="315" customFormat="1" x14ac:dyDescent="0.2">
      <c r="B25" s="503"/>
      <c r="C25" s="315" t="s">
        <v>59</v>
      </c>
      <c r="E25" s="372">
        <v>0</v>
      </c>
      <c r="F25" s="358"/>
      <c r="G25" s="358"/>
      <c r="H25" s="358"/>
    </row>
    <row r="26" spans="2:15" s="315" customFormat="1" ht="16" x14ac:dyDescent="0.2">
      <c r="B26" s="373"/>
      <c r="D26" s="374" t="s">
        <v>2858</v>
      </c>
      <c r="E26" s="375">
        <v>0</v>
      </c>
      <c r="F26" s="407"/>
      <c r="G26" s="358"/>
      <c r="H26" s="358"/>
    </row>
    <row r="27" spans="2:15" s="315" customFormat="1" ht="16" thickBot="1" x14ac:dyDescent="0.25">
      <c r="B27" s="376" t="s">
        <v>2859</v>
      </c>
      <c r="C27" s="315" t="s">
        <v>62</v>
      </c>
      <c r="E27" s="372">
        <v>291054402.92000002</v>
      </c>
      <c r="F27" s="358"/>
      <c r="G27" s="358"/>
      <c r="H27" s="358"/>
      <c r="O27" s="337"/>
    </row>
    <row r="28" spans="2:15" s="315" customFormat="1" ht="17" thickBot="1" x14ac:dyDescent="0.25">
      <c r="B28" s="377"/>
      <c r="C28" s="378"/>
      <c r="D28" s="379" t="s">
        <v>608</v>
      </c>
      <c r="E28" s="371">
        <f>E27+E26</f>
        <v>291054402.92000002</v>
      </c>
      <c r="F28" s="406"/>
      <c r="G28" s="406"/>
      <c r="H28" s="406"/>
      <c r="O28" s="337"/>
    </row>
    <row r="29" spans="2:15" s="315" customFormat="1" x14ac:dyDescent="0.2">
      <c r="E29" s="358"/>
      <c r="F29" s="358"/>
      <c r="G29" s="358"/>
      <c r="H29" s="358"/>
    </row>
    <row r="30" spans="2:15" s="315" customFormat="1" ht="16" thickBot="1" x14ac:dyDescent="0.25">
      <c r="E30" s="358"/>
      <c r="F30" s="358"/>
      <c r="G30" s="358"/>
      <c r="H30" s="358"/>
    </row>
    <row r="31" spans="2:15" s="315" customFormat="1" ht="16" thickBot="1" x14ac:dyDescent="0.25">
      <c r="B31" s="369" t="str">
        <f>B3</f>
        <v>Ferrovia Centro-Atlântica S.A.</v>
      </c>
      <c r="C31" s="370" t="s">
        <v>2853</v>
      </c>
      <c r="D31" s="370" t="s">
        <v>2854</v>
      </c>
      <c r="E31" s="371" t="s">
        <v>2855</v>
      </c>
      <c r="F31" s="406"/>
      <c r="G31" s="406"/>
      <c r="H31" s="406"/>
    </row>
    <row r="32" spans="2:15" s="315" customFormat="1" x14ac:dyDescent="0.2">
      <c r="B32" s="503" t="s">
        <v>2856</v>
      </c>
      <c r="C32" s="315" t="s">
        <v>58</v>
      </c>
      <c r="E32" s="372">
        <v>0</v>
      </c>
      <c r="F32" s="358"/>
      <c r="G32" s="358"/>
      <c r="H32" s="358"/>
    </row>
    <row r="33" spans="2:10" s="315" customFormat="1" x14ac:dyDescent="0.2">
      <c r="B33" s="503"/>
      <c r="C33" s="315" t="s">
        <v>57</v>
      </c>
      <c r="E33" s="372">
        <v>0</v>
      </c>
      <c r="F33" s="358"/>
      <c r="G33" s="358"/>
      <c r="H33" s="358"/>
      <c r="J33" s="408"/>
    </row>
    <row r="34" spans="2:10" s="315" customFormat="1" x14ac:dyDescent="0.2">
      <c r="B34" s="503"/>
      <c r="C34" s="315" t="s">
        <v>59</v>
      </c>
      <c r="E34" s="372">
        <v>0</v>
      </c>
      <c r="F34" s="358"/>
      <c r="G34" s="358"/>
      <c r="H34" s="358"/>
      <c r="J34" s="408"/>
    </row>
    <row r="35" spans="2:10" s="315" customFormat="1" ht="16" x14ac:dyDescent="0.2">
      <c r="B35" s="373"/>
      <c r="D35" s="374" t="s">
        <v>2858</v>
      </c>
      <c r="E35" s="375">
        <v>0</v>
      </c>
      <c r="F35" s="407"/>
      <c r="G35" s="407"/>
      <c r="H35" s="407"/>
      <c r="J35" s="408"/>
    </row>
    <row r="36" spans="2:10" s="315" customFormat="1" ht="16" thickBot="1" x14ac:dyDescent="0.25">
      <c r="B36" s="376" t="s">
        <v>2859</v>
      </c>
      <c r="C36" s="315" t="s">
        <v>62</v>
      </c>
      <c r="E36" s="372">
        <v>4524424000</v>
      </c>
      <c r="F36" s="358"/>
      <c r="G36" s="358"/>
      <c r="H36" s="358"/>
    </row>
    <row r="37" spans="2:10" s="315" customFormat="1" ht="17" thickBot="1" x14ac:dyDescent="0.25">
      <c r="B37" s="377"/>
      <c r="C37" s="378"/>
      <c r="D37" s="379" t="s">
        <v>608</v>
      </c>
      <c r="E37" s="371">
        <f>E36+E35</f>
        <v>4524424000</v>
      </c>
      <c r="F37" s="406"/>
      <c r="G37" s="406"/>
      <c r="H37" s="406"/>
    </row>
    <row r="38" spans="2:10" s="315" customFormat="1" x14ac:dyDescent="0.2">
      <c r="E38" s="358"/>
      <c r="F38" s="358"/>
      <c r="G38" s="358"/>
      <c r="H38" s="358"/>
    </row>
    <row r="39" spans="2:10" s="315" customFormat="1" ht="16" thickBot="1" x14ac:dyDescent="0.25">
      <c r="E39" s="358"/>
      <c r="F39" s="358"/>
      <c r="G39" s="358"/>
      <c r="H39" s="358"/>
    </row>
    <row r="40" spans="2:10" s="315" customFormat="1" ht="16" thickBot="1" x14ac:dyDescent="0.25">
      <c r="B40" s="369" t="str">
        <f>B4</f>
        <v>Ferrovia Norte Sul Tramo Norte (FNSTN)</v>
      </c>
      <c r="C40" s="370" t="s">
        <v>2853</v>
      </c>
      <c r="D40" s="370" t="s">
        <v>2854</v>
      </c>
      <c r="E40" s="371" t="s">
        <v>2855</v>
      </c>
      <c r="F40" s="406"/>
      <c r="G40" s="406"/>
      <c r="H40" s="406"/>
    </row>
    <row r="41" spans="2:10" s="315" customFormat="1" x14ac:dyDescent="0.2">
      <c r="B41" s="503" t="s">
        <v>2856</v>
      </c>
      <c r="C41" s="315" t="s">
        <v>58</v>
      </c>
      <c r="D41" s="315" t="s">
        <v>2879</v>
      </c>
      <c r="E41" s="372">
        <v>327397000</v>
      </c>
      <c r="F41" s="358"/>
      <c r="G41" s="358"/>
      <c r="H41" s="358"/>
    </row>
    <row r="42" spans="2:10" s="315" customFormat="1" x14ac:dyDescent="0.2">
      <c r="B42" s="503"/>
      <c r="C42" s="315" t="s">
        <v>2880</v>
      </c>
      <c r="D42" s="315" t="s">
        <v>2881</v>
      </c>
      <c r="E42" s="372">
        <v>466000</v>
      </c>
      <c r="F42" s="358"/>
      <c r="G42" s="358"/>
      <c r="H42" s="358"/>
    </row>
    <row r="43" spans="2:10" s="315" customFormat="1" x14ac:dyDescent="0.2">
      <c r="B43" s="503"/>
      <c r="C43" s="315" t="s">
        <v>2882</v>
      </c>
      <c r="D43" s="315" t="s">
        <v>2881</v>
      </c>
      <c r="E43" s="372">
        <v>86299000</v>
      </c>
      <c r="F43" s="358"/>
      <c r="G43" s="358"/>
      <c r="H43" s="358"/>
    </row>
    <row r="44" spans="2:10" s="315" customFormat="1" x14ac:dyDescent="0.2">
      <c r="B44" s="503"/>
      <c r="C44" s="315" t="s">
        <v>2857</v>
      </c>
      <c r="D44" s="315" t="s">
        <v>2883</v>
      </c>
      <c r="E44" s="372">
        <v>88457000</v>
      </c>
      <c r="F44" s="358"/>
      <c r="G44" s="358"/>
      <c r="H44" s="358"/>
    </row>
    <row r="45" spans="2:10" s="315" customFormat="1" ht="16" x14ac:dyDescent="0.2">
      <c r="B45" s="409"/>
      <c r="D45" s="374" t="s">
        <v>2858</v>
      </c>
      <c r="E45" s="375">
        <f>SUM(E41:E44)</f>
        <v>502619000</v>
      </c>
      <c r="F45" s="407"/>
      <c r="G45" s="407"/>
      <c r="H45" s="407"/>
    </row>
    <row r="46" spans="2:10" s="315" customFormat="1" ht="16" thickBot="1" x14ac:dyDescent="0.25">
      <c r="B46" s="376" t="s">
        <v>2859</v>
      </c>
      <c r="C46" s="315" t="s">
        <v>62</v>
      </c>
      <c r="E46" s="372">
        <v>2769797000</v>
      </c>
      <c r="F46" s="358"/>
      <c r="G46" s="358"/>
      <c r="H46" s="358"/>
    </row>
    <row r="47" spans="2:10" s="315" customFormat="1" ht="17" thickBot="1" x14ac:dyDescent="0.25">
      <c r="B47" s="410"/>
      <c r="C47" s="378"/>
      <c r="D47" s="379" t="s">
        <v>608</v>
      </c>
      <c r="E47" s="371">
        <f>E46+E45</f>
        <v>3272416000</v>
      </c>
      <c r="F47" s="406"/>
      <c r="G47" s="406"/>
      <c r="H47" s="406"/>
    </row>
    <row r="48" spans="2:10" s="315" customFormat="1" x14ac:dyDescent="0.2">
      <c r="D48" s="374"/>
      <c r="E48" s="406"/>
      <c r="F48" s="406"/>
      <c r="G48" s="406"/>
      <c r="H48" s="406"/>
    </row>
    <row r="49" spans="2:13" s="315" customFormat="1" ht="16" thickBot="1" x14ac:dyDescent="0.25">
      <c r="D49" s="374"/>
      <c r="E49" s="406"/>
      <c r="F49" s="406"/>
      <c r="G49" s="406"/>
      <c r="H49" s="406"/>
      <c r="L49" s="411"/>
      <c r="M49" s="406"/>
    </row>
    <row r="50" spans="2:13" s="315" customFormat="1" ht="16" thickBot="1" x14ac:dyDescent="0.25">
      <c r="B50" s="412" t="str">
        <f>B8</f>
        <v>Ferrovia Norte Sul Tramo Central (FNSTC)</v>
      </c>
      <c r="C50" s="413" t="s">
        <v>2853</v>
      </c>
      <c r="D50" s="413" t="s">
        <v>2854</v>
      </c>
      <c r="E50" s="414" t="s">
        <v>2855</v>
      </c>
      <c r="F50" s="315" t="s">
        <v>2884</v>
      </c>
    </row>
    <row r="51" spans="2:13" s="315" customFormat="1" x14ac:dyDescent="0.2">
      <c r="B51" s="504" t="s">
        <v>2856</v>
      </c>
      <c r="C51" s="415" t="s">
        <v>58</v>
      </c>
      <c r="D51" s="415"/>
      <c r="E51" s="416">
        <v>0</v>
      </c>
    </row>
    <row r="52" spans="2:13" s="315" customFormat="1" x14ac:dyDescent="0.2">
      <c r="B52" s="504"/>
      <c r="C52" s="415" t="s">
        <v>57</v>
      </c>
      <c r="D52" s="415"/>
      <c r="E52" s="417">
        <v>0</v>
      </c>
    </row>
    <row r="53" spans="2:13" s="315" customFormat="1" x14ac:dyDescent="0.2">
      <c r="B53" s="504"/>
      <c r="C53" s="415" t="s">
        <v>59</v>
      </c>
      <c r="D53" s="415"/>
      <c r="E53" s="417">
        <v>0</v>
      </c>
    </row>
    <row r="54" spans="2:13" s="315" customFormat="1" x14ac:dyDescent="0.2">
      <c r="B54" s="504"/>
      <c r="C54" s="415"/>
      <c r="D54" s="415"/>
      <c r="E54" s="417"/>
    </row>
    <row r="55" spans="2:13" s="315" customFormat="1" ht="16" x14ac:dyDescent="0.2">
      <c r="B55" s="418"/>
      <c r="C55" s="415"/>
      <c r="D55" s="419" t="s">
        <v>2858</v>
      </c>
      <c r="E55" s="420">
        <f>SUM(E51:E54)</f>
        <v>0</v>
      </c>
    </row>
    <row r="56" spans="2:13" s="315" customFormat="1" ht="16" thickBot="1" x14ac:dyDescent="0.25">
      <c r="B56" s="421" t="s">
        <v>2859</v>
      </c>
      <c r="C56" s="415" t="s">
        <v>62</v>
      </c>
      <c r="D56" s="422"/>
      <c r="E56" s="417">
        <v>0</v>
      </c>
    </row>
    <row r="57" spans="2:13" s="315" customFormat="1" ht="17" thickBot="1" x14ac:dyDescent="0.25">
      <c r="B57" s="423"/>
      <c r="C57" s="424"/>
      <c r="D57" s="425" t="s">
        <v>608</v>
      </c>
      <c r="E57" s="414">
        <f>E56+E55</f>
        <v>0</v>
      </c>
    </row>
    <row r="58" spans="2:13" s="315" customFormat="1" x14ac:dyDescent="0.2">
      <c r="E58" s="358"/>
    </row>
    <row r="59" spans="2:13" s="315" customFormat="1" ht="16" thickBot="1" x14ac:dyDescent="0.25">
      <c r="E59" s="358"/>
    </row>
    <row r="60" spans="2:13" s="315" customFormat="1" ht="16" thickBot="1" x14ac:dyDescent="0.25">
      <c r="B60" s="412" t="str">
        <f>B5</f>
        <v>Ferrovia Tereza Cristina S.A.</v>
      </c>
      <c r="C60" s="413" t="s">
        <v>2853</v>
      </c>
      <c r="D60" s="413" t="s">
        <v>2854</v>
      </c>
      <c r="E60" s="414" t="s">
        <v>2855</v>
      </c>
      <c r="F60" s="315" t="s">
        <v>2885</v>
      </c>
    </row>
    <row r="61" spans="2:13" s="315" customFormat="1" x14ac:dyDescent="0.2">
      <c r="B61" s="504" t="s">
        <v>2856</v>
      </c>
      <c r="C61" s="415" t="s">
        <v>58</v>
      </c>
      <c r="D61" s="415"/>
      <c r="E61" s="417">
        <v>0</v>
      </c>
    </row>
    <row r="62" spans="2:13" s="315" customFormat="1" x14ac:dyDescent="0.2">
      <c r="B62" s="504"/>
      <c r="C62" s="415" t="s">
        <v>57</v>
      </c>
      <c r="D62" s="415"/>
      <c r="E62" s="417">
        <v>0</v>
      </c>
    </row>
    <row r="63" spans="2:13" s="315" customFormat="1" x14ac:dyDescent="0.2">
      <c r="B63" s="504"/>
      <c r="C63" s="415" t="s">
        <v>59</v>
      </c>
      <c r="D63" s="415"/>
      <c r="E63" s="417">
        <v>0</v>
      </c>
    </row>
    <row r="64" spans="2:13" s="315" customFormat="1" ht="16" x14ac:dyDescent="0.2">
      <c r="B64" s="418"/>
      <c r="C64" s="415"/>
      <c r="D64" s="426" t="s">
        <v>2858</v>
      </c>
      <c r="E64" s="420">
        <f>SUM(E61:E63)</f>
        <v>0</v>
      </c>
    </row>
    <row r="65" spans="2:10" s="315" customFormat="1" ht="16" thickBot="1" x14ac:dyDescent="0.25">
      <c r="B65" s="421" t="s">
        <v>2859</v>
      </c>
      <c r="C65" s="415" t="s">
        <v>62</v>
      </c>
      <c r="D65" s="415"/>
      <c r="E65" s="417">
        <v>0</v>
      </c>
    </row>
    <row r="66" spans="2:10" s="315" customFormat="1" ht="17" thickBot="1" x14ac:dyDescent="0.25">
      <c r="B66" s="423"/>
      <c r="C66" s="424"/>
      <c r="D66" s="427" t="s">
        <v>608</v>
      </c>
      <c r="E66" s="414">
        <v>0</v>
      </c>
    </row>
    <row r="67" spans="2:10" s="315" customFormat="1" x14ac:dyDescent="0.2">
      <c r="E67" s="358"/>
      <c r="F67" s="358"/>
      <c r="G67" s="358"/>
      <c r="H67" s="358"/>
    </row>
    <row r="68" spans="2:10" s="315" customFormat="1" ht="16" thickBot="1" x14ac:dyDescent="0.25">
      <c r="E68" s="358"/>
      <c r="F68" s="358"/>
      <c r="G68" s="358"/>
      <c r="H68" s="358"/>
    </row>
    <row r="69" spans="2:10" s="315" customFormat="1" ht="16" thickBot="1" x14ac:dyDescent="0.25">
      <c r="B69" s="369" t="str">
        <f>B6</f>
        <v>Ferrovia Transnordestina Logística S.A.</v>
      </c>
      <c r="C69" s="370" t="s">
        <v>2853</v>
      </c>
      <c r="D69" s="370" t="s">
        <v>2854</v>
      </c>
      <c r="E69" s="371" t="s">
        <v>2855</v>
      </c>
      <c r="F69" s="406"/>
      <c r="G69" s="406"/>
      <c r="H69" s="406"/>
    </row>
    <row r="70" spans="2:10" s="315" customFormat="1" x14ac:dyDescent="0.2">
      <c r="B70" s="503" t="s">
        <v>2856</v>
      </c>
      <c r="C70" s="315" t="s">
        <v>58</v>
      </c>
      <c r="E70" s="372">
        <v>0</v>
      </c>
      <c r="F70" s="358"/>
      <c r="G70" s="358"/>
      <c r="H70" s="358"/>
    </row>
    <row r="71" spans="2:10" s="315" customFormat="1" x14ac:dyDescent="0.2">
      <c r="B71" s="503"/>
      <c r="C71" s="315" t="s">
        <v>57</v>
      </c>
      <c r="E71" s="372">
        <v>0</v>
      </c>
      <c r="F71" s="358"/>
      <c r="G71" s="358"/>
      <c r="H71" s="358"/>
      <c r="J71" s="408"/>
    </row>
    <row r="72" spans="2:10" s="315" customFormat="1" x14ac:dyDescent="0.2">
      <c r="B72" s="503"/>
      <c r="C72" s="315" t="s">
        <v>59</v>
      </c>
      <c r="E72" s="372">
        <v>0</v>
      </c>
      <c r="F72" s="358"/>
      <c r="G72" s="358"/>
      <c r="H72" s="358"/>
      <c r="J72" s="408"/>
    </row>
    <row r="73" spans="2:10" s="315" customFormat="1" ht="16" x14ac:dyDescent="0.2">
      <c r="B73" s="409"/>
      <c r="D73" s="374" t="s">
        <v>2858</v>
      </c>
      <c r="E73" s="375">
        <f>SUM(E70:E72)</f>
        <v>0</v>
      </c>
      <c r="F73" s="407"/>
      <c r="G73" s="407"/>
      <c r="H73" s="407"/>
    </row>
    <row r="74" spans="2:10" s="315" customFormat="1" ht="16" thickBot="1" x14ac:dyDescent="0.25">
      <c r="B74" s="376" t="s">
        <v>2859</v>
      </c>
      <c r="C74" s="315" t="s">
        <v>62</v>
      </c>
      <c r="E74" s="372">
        <v>212995000</v>
      </c>
      <c r="F74" s="358"/>
      <c r="G74" s="358"/>
      <c r="H74" s="358"/>
    </row>
    <row r="75" spans="2:10" s="315" customFormat="1" ht="17" thickBot="1" x14ac:dyDescent="0.25">
      <c r="B75" s="410"/>
      <c r="C75" s="378"/>
      <c r="D75" s="379" t="s">
        <v>608</v>
      </c>
      <c r="E75" s="371">
        <f>E74+E73</f>
        <v>212995000</v>
      </c>
      <c r="F75" s="406"/>
      <c r="G75" s="406"/>
      <c r="H75" s="406"/>
    </row>
    <row r="76" spans="2:10" s="315" customFormat="1" x14ac:dyDescent="0.2">
      <c r="E76" s="358"/>
      <c r="F76" s="358"/>
      <c r="G76" s="358"/>
      <c r="H76" s="358"/>
    </row>
    <row r="77" spans="2:10" s="315" customFormat="1" ht="16" thickBot="1" x14ac:dyDescent="0.25">
      <c r="E77" s="358"/>
      <c r="F77" s="358"/>
      <c r="G77" s="358"/>
      <c r="H77" s="358"/>
    </row>
    <row r="78" spans="2:10" s="315" customFormat="1" ht="16" thickBot="1" x14ac:dyDescent="0.25">
      <c r="B78" s="369" t="str">
        <f>B7</f>
        <v>MRS Logística S.A.</v>
      </c>
      <c r="C78" s="370" t="s">
        <v>2853</v>
      </c>
      <c r="D78" s="370" t="s">
        <v>2854</v>
      </c>
      <c r="E78" s="371" t="s">
        <v>2855</v>
      </c>
      <c r="F78" s="406"/>
      <c r="G78" s="406"/>
      <c r="H78" s="406"/>
    </row>
    <row r="79" spans="2:10" s="315" customFormat="1" x14ac:dyDescent="0.2">
      <c r="B79" s="503" t="s">
        <v>2856</v>
      </c>
      <c r="C79" s="315" t="s">
        <v>58</v>
      </c>
      <c r="E79" s="428">
        <v>3015124000</v>
      </c>
      <c r="F79" s="429"/>
      <c r="G79" s="429"/>
      <c r="H79" s="429"/>
    </row>
    <row r="80" spans="2:10" s="315" customFormat="1" x14ac:dyDescent="0.2">
      <c r="B80" s="503"/>
      <c r="C80" s="315" t="s">
        <v>57</v>
      </c>
      <c r="E80" s="372">
        <v>388745000</v>
      </c>
      <c r="F80" s="358"/>
      <c r="G80" s="358"/>
      <c r="H80" s="358"/>
    </row>
    <row r="81" spans="2:8" s="315" customFormat="1" x14ac:dyDescent="0.2">
      <c r="B81" s="503"/>
      <c r="C81" s="315" t="s">
        <v>2861</v>
      </c>
      <c r="E81" s="372">
        <v>409682000</v>
      </c>
      <c r="F81" s="358"/>
      <c r="G81" s="358"/>
      <c r="H81" s="358"/>
    </row>
    <row r="82" spans="2:8" s="315" customFormat="1" x14ac:dyDescent="0.2">
      <c r="B82" s="503"/>
      <c r="C82" s="315" t="s">
        <v>2862</v>
      </c>
      <c r="E82" s="372">
        <v>507847000</v>
      </c>
      <c r="F82" s="358"/>
      <c r="G82" s="358"/>
      <c r="H82" s="358"/>
    </row>
    <row r="83" spans="2:8" s="315" customFormat="1" ht="16" x14ac:dyDescent="0.2">
      <c r="B83" s="409"/>
      <c r="D83" s="374" t="s">
        <v>2858</v>
      </c>
      <c r="E83" s="375">
        <f>SUM(E79:E82)</f>
        <v>4321398000</v>
      </c>
      <c r="F83" s="407"/>
      <c r="G83" s="407"/>
      <c r="H83" s="407"/>
    </row>
    <row r="84" spans="2:8" s="315" customFormat="1" ht="16" thickBot="1" x14ac:dyDescent="0.25">
      <c r="B84" s="376" t="s">
        <v>2859</v>
      </c>
      <c r="C84" s="315" t="s">
        <v>62</v>
      </c>
      <c r="E84" s="372">
        <v>4847467000</v>
      </c>
      <c r="F84" s="358"/>
      <c r="G84" s="358"/>
      <c r="H84" s="358"/>
    </row>
    <row r="85" spans="2:8" s="315" customFormat="1" ht="17" thickBot="1" x14ac:dyDescent="0.25">
      <c r="B85" s="410"/>
      <c r="C85" s="378"/>
      <c r="D85" s="379" t="s">
        <v>608</v>
      </c>
      <c r="E85" s="371">
        <f>E84+E83</f>
        <v>9168865000</v>
      </c>
      <c r="F85" s="406"/>
      <c r="G85" s="406"/>
      <c r="H85" s="406"/>
    </row>
    <row r="86" spans="2:8" s="315" customFormat="1" x14ac:dyDescent="0.2">
      <c r="E86" s="358"/>
      <c r="F86" s="358"/>
      <c r="G86" s="358"/>
      <c r="H86" s="358"/>
    </row>
    <row r="87" spans="2:8" s="315" customFormat="1" ht="16" thickBot="1" x14ac:dyDescent="0.25">
      <c r="E87" s="358"/>
      <c r="F87" s="358"/>
      <c r="G87" s="358"/>
      <c r="H87" s="358"/>
    </row>
    <row r="88" spans="2:8" s="315" customFormat="1" ht="16" thickBot="1" x14ac:dyDescent="0.25">
      <c r="B88" s="369" t="str">
        <f>B9</f>
        <v>Rumo Malha Norte S.A.</v>
      </c>
      <c r="C88" s="370" t="s">
        <v>2853</v>
      </c>
      <c r="D88" s="370" t="s">
        <v>2854</v>
      </c>
      <c r="E88" s="371" t="s">
        <v>2855</v>
      </c>
      <c r="F88" s="406"/>
      <c r="G88" s="406"/>
      <c r="H88" s="406"/>
    </row>
    <row r="89" spans="2:8" s="315" customFormat="1" x14ac:dyDescent="0.2">
      <c r="B89" s="503" t="s">
        <v>2856</v>
      </c>
      <c r="C89" s="315" t="s">
        <v>58</v>
      </c>
      <c r="D89" s="315" t="s">
        <v>2886</v>
      </c>
      <c r="E89" s="428">
        <v>543752000</v>
      </c>
      <c r="F89" s="429"/>
      <c r="G89" s="429"/>
      <c r="H89" s="429"/>
    </row>
    <row r="90" spans="2:8" s="315" customFormat="1" x14ac:dyDescent="0.2">
      <c r="B90" s="503"/>
      <c r="C90" s="315" t="s">
        <v>57</v>
      </c>
      <c r="D90" s="315" t="s">
        <v>2887</v>
      </c>
      <c r="E90" s="430">
        <v>24803000</v>
      </c>
      <c r="F90" s="408"/>
      <c r="G90" s="408"/>
      <c r="H90" s="408"/>
    </row>
    <row r="91" spans="2:8" s="315" customFormat="1" x14ac:dyDescent="0.2">
      <c r="B91" s="503"/>
      <c r="C91" s="315" t="s">
        <v>57</v>
      </c>
      <c r="D91" s="315" t="s">
        <v>662</v>
      </c>
      <c r="E91" s="430">
        <v>1194667000</v>
      </c>
      <c r="F91" s="408"/>
      <c r="G91" s="408"/>
      <c r="H91" s="408"/>
    </row>
    <row r="92" spans="2:8" s="315" customFormat="1" x14ac:dyDescent="0.2">
      <c r="B92" s="503"/>
      <c r="C92" s="315" t="s">
        <v>2857</v>
      </c>
      <c r="D92" s="315" t="s">
        <v>2888</v>
      </c>
      <c r="E92" s="372">
        <v>515928000</v>
      </c>
      <c r="F92" s="358"/>
      <c r="G92" s="358"/>
      <c r="H92" s="358"/>
    </row>
    <row r="93" spans="2:8" s="315" customFormat="1" ht="16" x14ac:dyDescent="0.2">
      <c r="B93" s="409"/>
      <c r="D93" s="411" t="s">
        <v>2858</v>
      </c>
      <c r="E93" s="375">
        <f>SUM(E89:E92)</f>
        <v>2279150000</v>
      </c>
      <c r="F93" s="407"/>
      <c r="G93" s="407"/>
      <c r="H93" s="407"/>
    </row>
    <row r="94" spans="2:8" s="315" customFormat="1" ht="16" thickBot="1" x14ac:dyDescent="0.25">
      <c r="B94" s="376" t="s">
        <v>2859</v>
      </c>
      <c r="C94" s="315" t="s">
        <v>62</v>
      </c>
      <c r="D94" s="431"/>
      <c r="E94" s="372">
        <v>4170094000</v>
      </c>
      <c r="F94" s="358"/>
      <c r="G94" s="358"/>
      <c r="H94" s="358"/>
    </row>
    <row r="95" spans="2:8" s="315" customFormat="1" ht="17" thickBot="1" x14ac:dyDescent="0.25">
      <c r="B95" s="410"/>
      <c r="C95" s="378"/>
      <c r="D95" s="432" t="s">
        <v>608</v>
      </c>
      <c r="E95" s="371">
        <f>E94+E93</f>
        <v>6449244000</v>
      </c>
      <c r="F95" s="406"/>
      <c r="G95" s="406"/>
      <c r="H95" s="406"/>
    </row>
    <row r="96" spans="2:8" s="315" customFormat="1" x14ac:dyDescent="0.2">
      <c r="E96" s="358"/>
      <c r="F96" s="358"/>
      <c r="G96" s="358"/>
      <c r="H96" s="358"/>
    </row>
    <row r="97" spans="2:8" s="315" customFormat="1" ht="16" thickBot="1" x14ac:dyDescent="0.25">
      <c r="E97" s="358"/>
      <c r="F97" s="358"/>
      <c r="G97" s="358"/>
      <c r="H97" s="358"/>
    </row>
    <row r="98" spans="2:8" s="315" customFormat="1" ht="16" thickBot="1" x14ac:dyDescent="0.25">
      <c r="B98" s="369" t="str">
        <f>B10</f>
        <v>Rumo Malha Oeste S.A.</v>
      </c>
      <c r="C98" s="370" t="s">
        <v>2853</v>
      </c>
      <c r="D98" s="370" t="s">
        <v>2854</v>
      </c>
      <c r="E98" s="371" t="s">
        <v>2855</v>
      </c>
      <c r="F98" s="406"/>
      <c r="G98" s="406"/>
      <c r="H98" s="406"/>
    </row>
    <row r="99" spans="2:8" s="315" customFormat="1" x14ac:dyDescent="0.2">
      <c r="B99" s="503" t="s">
        <v>2856</v>
      </c>
      <c r="C99" s="315" t="s">
        <v>58</v>
      </c>
      <c r="E99" s="428">
        <v>0</v>
      </c>
      <c r="F99" s="429"/>
      <c r="G99" s="429"/>
      <c r="H99" s="429"/>
    </row>
    <row r="100" spans="2:8" s="315" customFormat="1" x14ac:dyDescent="0.2">
      <c r="B100" s="503"/>
      <c r="C100" s="315" t="s">
        <v>57</v>
      </c>
      <c r="E100" s="372">
        <v>0</v>
      </c>
      <c r="F100" s="358"/>
      <c r="G100" s="358"/>
      <c r="H100" s="358"/>
    </row>
    <row r="101" spans="2:8" s="315" customFormat="1" x14ac:dyDescent="0.2">
      <c r="B101" s="503"/>
      <c r="C101" s="315" t="s">
        <v>59</v>
      </c>
      <c r="E101" s="372">
        <v>0</v>
      </c>
      <c r="F101" s="358"/>
      <c r="G101" s="358"/>
      <c r="H101" s="358"/>
    </row>
    <row r="102" spans="2:8" s="315" customFormat="1" ht="16" x14ac:dyDescent="0.2">
      <c r="B102" s="409"/>
      <c r="D102" s="411" t="s">
        <v>2858</v>
      </c>
      <c r="E102" s="375">
        <f>SUM(E99:E101)</f>
        <v>0</v>
      </c>
      <c r="F102" s="407"/>
      <c r="G102" s="407"/>
      <c r="H102" s="407"/>
    </row>
    <row r="103" spans="2:8" s="315" customFormat="1" ht="16" thickBot="1" x14ac:dyDescent="0.25">
      <c r="B103" s="376" t="s">
        <v>2859</v>
      </c>
      <c r="C103" s="315" t="s">
        <v>62</v>
      </c>
      <c r="D103" s="431"/>
      <c r="E103" s="372">
        <v>-1924059</v>
      </c>
      <c r="F103" s="358"/>
      <c r="G103" s="358"/>
      <c r="H103" s="358"/>
    </row>
    <row r="104" spans="2:8" s="315" customFormat="1" ht="17" thickBot="1" x14ac:dyDescent="0.25">
      <c r="B104" s="410"/>
      <c r="C104" s="378"/>
      <c r="D104" s="432" t="s">
        <v>608</v>
      </c>
      <c r="E104" s="371">
        <f>E103+E102</f>
        <v>-1924059</v>
      </c>
      <c r="F104" s="406"/>
      <c r="G104" s="406"/>
      <c r="H104" s="406"/>
    </row>
    <row r="105" spans="2:8" s="315" customFormat="1" x14ac:dyDescent="0.2">
      <c r="E105" s="358"/>
      <c r="F105" s="358"/>
      <c r="G105" s="358"/>
      <c r="H105" s="358"/>
    </row>
    <row r="106" spans="2:8" s="315" customFormat="1" ht="16" thickBot="1" x14ac:dyDescent="0.25">
      <c r="E106" s="358"/>
      <c r="F106" s="358"/>
      <c r="G106" s="358"/>
      <c r="H106" s="358"/>
    </row>
    <row r="107" spans="2:8" s="315" customFormat="1" ht="16" thickBot="1" x14ac:dyDescent="0.25">
      <c r="B107" s="369" t="str">
        <f>B11</f>
        <v>Rumo Malha Paulista S.A.</v>
      </c>
      <c r="C107" s="370" t="s">
        <v>2853</v>
      </c>
      <c r="D107" s="370" t="s">
        <v>2854</v>
      </c>
      <c r="E107" s="371" t="s">
        <v>2855</v>
      </c>
      <c r="F107" s="406"/>
      <c r="G107" s="406"/>
      <c r="H107" s="406"/>
    </row>
    <row r="108" spans="2:8" s="315" customFormat="1" x14ac:dyDescent="0.2">
      <c r="B108" s="503" t="s">
        <v>2856</v>
      </c>
      <c r="C108" s="315" t="s">
        <v>58</v>
      </c>
      <c r="D108" s="315" t="s">
        <v>2889</v>
      </c>
      <c r="E108" s="428">
        <v>694898000</v>
      </c>
      <c r="F108" s="429"/>
      <c r="G108" s="429"/>
      <c r="H108" s="429"/>
    </row>
    <row r="109" spans="2:8" s="315" customFormat="1" x14ac:dyDescent="0.2">
      <c r="B109" s="503"/>
      <c r="C109" s="315" t="s">
        <v>58</v>
      </c>
      <c r="D109" s="315" t="s">
        <v>2890</v>
      </c>
      <c r="E109" s="428">
        <v>753770000</v>
      </c>
      <c r="F109" s="429"/>
      <c r="G109" s="429"/>
      <c r="H109" s="429"/>
    </row>
    <row r="110" spans="2:8" s="315" customFormat="1" x14ac:dyDescent="0.2">
      <c r="B110" s="503"/>
      <c r="C110" s="315" t="s">
        <v>58</v>
      </c>
      <c r="D110" s="315" t="s">
        <v>2891</v>
      </c>
      <c r="E110" s="428">
        <v>505584000</v>
      </c>
      <c r="F110" s="429"/>
      <c r="G110" s="429"/>
      <c r="H110" s="429"/>
    </row>
    <row r="111" spans="2:8" s="315" customFormat="1" x14ac:dyDescent="0.2">
      <c r="B111" s="503"/>
      <c r="C111" s="315" t="s">
        <v>58</v>
      </c>
      <c r="D111" s="315" t="s">
        <v>2892</v>
      </c>
      <c r="E111" s="428">
        <v>746725000</v>
      </c>
      <c r="F111" s="429"/>
      <c r="G111" s="429"/>
      <c r="H111" s="429"/>
    </row>
    <row r="112" spans="2:8" s="315" customFormat="1" x14ac:dyDescent="0.2">
      <c r="B112" s="503"/>
      <c r="C112" s="315" t="s">
        <v>57</v>
      </c>
      <c r="D112" s="315" t="s">
        <v>662</v>
      </c>
      <c r="E112" s="372">
        <v>924340000</v>
      </c>
      <c r="F112" s="358"/>
      <c r="G112" s="358"/>
      <c r="H112" s="358"/>
    </row>
    <row r="113" spans="2:8" s="315" customFormat="1" x14ac:dyDescent="0.2">
      <c r="B113" s="503"/>
      <c r="C113" s="315" t="s">
        <v>2860</v>
      </c>
      <c r="D113" s="315" t="s">
        <v>2893</v>
      </c>
      <c r="E113" s="372">
        <v>70368000</v>
      </c>
      <c r="F113" s="358"/>
      <c r="G113" s="358"/>
      <c r="H113" s="358"/>
    </row>
    <row r="114" spans="2:8" s="315" customFormat="1" x14ac:dyDescent="0.2">
      <c r="B114" s="503"/>
      <c r="C114" s="315" t="s">
        <v>2857</v>
      </c>
      <c r="D114" s="315" t="s">
        <v>2894</v>
      </c>
      <c r="E114" s="372">
        <v>1093366000</v>
      </c>
      <c r="F114" s="358"/>
      <c r="G114" s="358"/>
      <c r="H114" s="358"/>
    </row>
    <row r="115" spans="2:8" s="315" customFormat="1" ht="16" x14ac:dyDescent="0.2">
      <c r="B115" s="409"/>
      <c r="D115" s="411" t="s">
        <v>2858</v>
      </c>
      <c r="E115" s="375">
        <f>SUM(E108:E114)</f>
        <v>4789051000</v>
      </c>
      <c r="F115" s="407"/>
      <c r="G115" s="407"/>
      <c r="H115" s="407"/>
    </row>
    <row r="116" spans="2:8" s="315" customFormat="1" ht="16" thickBot="1" x14ac:dyDescent="0.25">
      <c r="B116" s="376" t="s">
        <v>2859</v>
      </c>
      <c r="C116" s="315" t="s">
        <v>62</v>
      </c>
      <c r="D116" s="431"/>
      <c r="E116" s="372">
        <v>4339138000</v>
      </c>
      <c r="F116" s="358"/>
      <c r="G116" s="358"/>
      <c r="H116" s="358"/>
    </row>
    <row r="117" spans="2:8" s="315" customFormat="1" ht="17" thickBot="1" x14ac:dyDescent="0.25">
      <c r="B117" s="410"/>
      <c r="C117" s="378"/>
      <c r="D117" s="432" t="s">
        <v>608</v>
      </c>
      <c r="E117" s="371">
        <f>E116+E115</f>
        <v>9128189000</v>
      </c>
      <c r="F117" s="406"/>
      <c r="G117" s="406"/>
      <c r="H117" s="406"/>
    </row>
    <row r="118" spans="2:8" s="315" customFormat="1" x14ac:dyDescent="0.2">
      <c r="D118" s="411"/>
      <c r="E118" s="406"/>
      <c r="F118" s="406"/>
      <c r="G118" s="406"/>
      <c r="H118" s="406"/>
    </row>
    <row r="119" spans="2:8" s="315" customFormat="1" ht="16" thickBot="1" x14ac:dyDescent="0.25">
      <c r="E119" s="358"/>
      <c r="F119" s="358"/>
      <c r="G119" s="358"/>
      <c r="H119" s="358"/>
    </row>
    <row r="120" spans="2:8" s="315" customFormat="1" ht="16" thickBot="1" x14ac:dyDescent="0.25">
      <c r="B120" s="369" t="str">
        <f>B12</f>
        <v>Rumo Malha Sul S.A.</v>
      </c>
      <c r="C120" s="370" t="s">
        <v>2853</v>
      </c>
      <c r="D120" s="370" t="s">
        <v>2854</v>
      </c>
      <c r="E120" s="371" t="s">
        <v>2855</v>
      </c>
      <c r="F120" s="406"/>
      <c r="G120" s="406"/>
      <c r="H120" s="406"/>
    </row>
    <row r="121" spans="2:8" s="315" customFormat="1" x14ac:dyDescent="0.2">
      <c r="B121" s="503" t="s">
        <v>2856</v>
      </c>
      <c r="C121" s="315" t="s">
        <v>2860</v>
      </c>
      <c r="D121" s="315" t="s">
        <v>2893</v>
      </c>
      <c r="E121" s="372">
        <v>25092000</v>
      </c>
      <c r="F121" s="358"/>
      <c r="G121" s="358"/>
      <c r="H121" s="358"/>
    </row>
    <row r="122" spans="2:8" s="315" customFormat="1" x14ac:dyDescent="0.2">
      <c r="B122" s="503"/>
      <c r="C122" s="315" t="s">
        <v>57</v>
      </c>
      <c r="D122" s="315" t="s">
        <v>2887</v>
      </c>
      <c r="E122" s="372">
        <v>191628000</v>
      </c>
      <c r="F122" s="358"/>
      <c r="G122" s="358"/>
      <c r="H122" s="358"/>
    </row>
    <row r="123" spans="2:8" s="315" customFormat="1" x14ac:dyDescent="0.2">
      <c r="B123" s="503"/>
      <c r="C123" s="315" t="s">
        <v>57</v>
      </c>
      <c r="D123" s="315" t="s">
        <v>662</v>
      </c>
      <c r="E123" s="372">
        <v>476714000</v>
      </c>
      <c r="F123" s="358"/>
      <c r="G123" s="358"/>
      <c r="H123" s="358"/>
    </row>
    <row r="124" spans="2:8" s="315" customFormat="1" x14ac:dyDescent="0.2">
      <c r="B124" s="503"/>
      <c r="C124" s="315" t="s">
        <v>2857</v>
      </c>
      <c r="D124" s="315" t="s">
        <v>2895</v>
      </c>
      <c r="E124" s="372">
        <v>1392053000</v>
      </c>
      <c r="F124" s="358"/>
      <c r="G124" s="358"/>
      <c r="H124" s="358"/>
    </row>
    <row r="125" spans="2:8" s="315" customFormat="1" ht="16" x14ac:dyDescent="0.2">
      <c r="B125" s="373"/>
      <c r="D125" s="374" t="s">
        <v>2858</v>
      </c>
      <c r="E125" s="375">
        <f>SUM(E121:E124)</f>
        <v>2085487000</v>
      </c>
      <c r="F125" s="407"/>
      <c r="G125" s="407"/>
      <c r="H125" s="407"/>
    </row>
    <row r="126" spans="2:8" s="315" customFormat="1" ht="16" thickBot="1" x14ac:dyDescent="0.25">
      <c r="B126" s="376" t="s">
        <v>2859</v>
      </c>
      <c r="C126" s="315" t="s">
        <v>62</v>
      </c>
      <c r="E126" s="372">
        <v>2584095000</v>
      </c>
      <c r="F126" s="358"/>
      <c r="G126" s="358"/>
      <c r="H126" s="358"/>
    </row>
    <row r="127" spans="2:8" s="315" customFormat="1" ht="17" thickBot="1" x14ac:dyDescent="0.25">
      <c r="B127" s="377"/>
      <c r="C127" s="378"/>
      <c r="D127" s="379" t="s">
        <v>608</v>
      </c>
      <c r="E127" s="371">
        <f>E126+E125</f>
        <v>4669582000</v>
      </c>
      <c r="F127" s="406"/>
      <c r="G127" s="406"/>
      <c r="H127" s="406"/>
    </row>
    <row r="128" spans="2:8" s="315" customFormat="1" x14ac:dyDescent="0.2">
      <c r="E128" s="358"/>
      <c r="F128" s="358"/>
      <c r="G128" s="358"/>
      <c r="H128" s="358"/>
    </row>
    <row r="129" spans="2:8" s="315" customFormat="1" ht="16" thickBot="1" x14ac:dyDescent="0.25">
      <c r="E129" s="358"/>
      <c r="F129" s="358"/>
      <c r="G129" s="358"/>
      <c r="H129" s="358"/>
    </row>
    <row r="130" spans="2:8" s="315" customFormat="1" ht="16" thickBot="1" x14ac:dyDescent="0.25">
      <c r="B130" s="369" t="str">
        <f>B13</f>
        <v>Transnordestina Logistica S.A.</v>
      </c>
      <c r="C130" s="370" t="s">
        <v>2853</v>
      </c>
      <c r="D130" s="370" t="s">
        <v>2854</v>
      </c>
      <c r="E130" s="371" t="s">
        <v>2855</v>
      </c>
      <c r="F130" s="406"/>
      <c r="G130" s="406"/>
      <c r="H130" s="406"/>
    </row>
    <row r="131" spans="2:8" s="315" customFormat="1" x14ac:dyDescent="0.2">
      <c r="B131" s="503" t="s">
        <v>2856</v>
      </c>
      <c r="C131" s="315" t="s">
        <v>57</v>
      </c>
      <c r="D131" s="315" t="s">
        <v>2896</v>
      </c>
      <c r="E131" s="372">
        <v>264070000</v>
      </c>
      <c r="F131" s="358"/>
      <c r="G131" s="358"/>
      <c r="H131" s="358"/>
    </row>
    <row r="132" spans="2:8" s="315" customFormat="1" x14ac:dyDescent="0.2">
      <c r="B132" s="503"/>
      <c r="C132" s="315" t="s">
        <v>2897</v>
      </c>
      <c r="D132" s="315" t="s">
        <v>2898</v>
      </c>
      <c r="E132" s="372">
        <v>277012000</v>
      </c>
      <c r="F132" s="358"/>
      <c r="G132" s="358"/>
      <c r="H132" s="358"/>
    </row>
    <row r="133" spans="2:8" s="315" customFormat="1" x14ac:dyDescent="0.2">
      <c r="B133" s="503"/>
      <c r="C133" s="315" t="s">
        <v>2899</v>
      </c>
      <c r="D133" s="337" t="s">
        <v>2900</v>
      </c>
      <c r="E133" s="372">
        <v>1408000</v>
      </c>
      <c r="F133" s="358"/>
      <c r="G133" s="358"/>
      <c r="H133" s="358"/>
    </row>
    <row r="134" spans="2:8" s="315" customFormat="1" ht="16" x14ac:dyDescent="0.2">
      <c r="B134" s="373"/>
      <c r="D134" s="374" t="s">
        <v>2858</v>
      </c>
      <c r="E134" s="375">
        <f>SUM(E131:E133)</f>
        <v>542490000</v>
      </c>
      <c r="F134" s="407"/>
      <c r="G134" s="407"/>
      <c r="H134" s="407"/>
    </row>
    <row r="135" spans="2:8" s="315" customFormat="1" ht="16" thickBot="1" x14ac:dyDescent="0.25">
      <c r="B135" s="376" t="s">
        <v>2859</v>
      </c>
      <c r="C135" s="315" t="s">
        <v>62</v>
      </c>
      <c r="E135" s="372">
        <v>2357609000</v>
      </c>
      <c r="F135" s="358"/>
      <c r="G135" s="358"/>
      <c r="H135" s="358"/>
    </row>
    <row r="136" spans="2:8" s="315" customFormat="1" ht="17" thickBot="1" x14ac:dyDescent="0.25">
      <c r="B136" s="377"/>
      <c r="C136" s="378"/>
      <c r="D136" s="379" t="s">
        <v>608</v>
      </c>
      <c r="E136" s="371">
        <f>E135+E134</f>
        <v>2900099000</v>
      </c>
      <c r="F136" s="406"/>
      <c r="G136" s="406"/>
      <c r="H136" s="406"/>
    </row>
    <row r="137" spans="2:8" s="315" customFormat="1" x14ac:dyDescent="0.2">
      <c r="E137" s="358"/>
      <c r="F137" s="358"/>
      <c r="G137" s="358"/>
      <c r="H137" s="358"/>
    </row>
    <row r="138" spans="2:8" s="315" customFormat="1" ht="16" thickBot="1" x14ac:dyDescent="0.25">
      <c r="E138" s="358"/>
      <c r="F138" s="358"/>
      <c r="G138" s="358"/>
      <c r="H138" s="358"/>
    </row>
    <row r="139" spans="2:8" s="315" customFormat="1" ht="16" thickBot="1" x14ac:dyDescent="0.25">
      <c r="B139" s="369" t="str">
        <f>B14</f>
        <v>VALE - Estrada de Ferro Carajás</v>
      </c>
      <c r="C139" s="370" t="s">
        <v>2853</v>
      </c>
      <c r="D139" s="370" t="s">
        <v>2854</v>
      </c>
      <c r="E139" s="371" t="s">
        <v>2855</v>
      </c>
      <c r="F139" s="406"/>
      <c r="G139" s="406"/>
      <c r="H139" s="406"/>
    </row>
    <row r="140" spans="2:8" s="315" customFormat="1" x14ac:dyDescent="0.2">
      <c r="B140" s="503" t="s">
        <v>2856</v>
      </c>
      <c r="C140" s="315" t="s">
        <v>58</v>
      </c>
      <c r="E140" s="428">
        <v>0</v>
      </c>
      <c r="F140" s="429"/>
      <c r="G140" s="429"/>
      <c r="H140" s="429"/>
    </row>
    <row r="141" spans="2:8" s="315" customFormat="1" x14ac:dyDescent="0.2">
      <c r="B141" s="503"/>
      <c r="C141" s="315" t="s">
        <v>57</v>
      </c>
      <c r="E141" s="372">
        <v>0</v>
      </c>
      <c r="F141" s="358"/>
      <c r="G141" s="358"/>
      <c r="H141" s="358"/>
    </row>
    <row r="142" spans="2:8" s="315" customFormat="1" x14ac:dyDescent="0.2">
      <c r="B142" s="503"/>
      <c r="C142" s="315" t="s">
        <v>59</v>
      </c>
      <c r="E142" s="372">
        <v>0</v>
      </c>
      <c r="F142" s="358"/>
      <c r="G142" s="358"/>
      <c r="H142" s="358"/>
    </row>
    <row r="143" spans="2:8" s="315" customFormat="1" ht="16" x14ac:dyDescent="0.2">
      <c r="B143" s="373"/>
      <c r="D143" s="374" t="s">
        <v>2858</v>
      </c>
      <c r="E143" s="375">
        <f>SUM(E140:E142)</f>
        <v>0</v>
      </c>
      <c r="F143" s="407"/>
      <c r="G143" s="407"/>
      <c r="H143" s="407"/>
    </row>
    <row r="144" spans="2:8" s="315" customFormat="1" ht="16" thickBot="1" x14ac:dyDescent="0.25">
      <c r="B144" s="376" t="s">
        <v>2859</v>
      </c>
      <c r="C144" s="315" t="s">
        <v>62</v>
      </c>
      <c r="E144" s="372">
        <v>8737842000</v>
      </c>
      <c r="F144" s="358"/>
      <c r="G144" s="358"/>
      <c r="H144" s="358"/>
    </row>
    <row r="145" spans="2:8" s="315" customFormat="1" ht="17" thickBot="1" x14ac:dyDescent="0.25">
      <c r="B145" s="377"/>
      <c r="C145" s="378"/>
      <c r="D145" s="379" t="s">
        <v>608</v>
      </c>
      <c r="E145" s="371">
        <f>E144+E143</f>
        <v>8737842000</v>
      </c>
      <c r="F145" s="406"/>
      <c r="G145" s="406"/>
      <c r="H145" s="406"/>
    </row>
    <row r="146" spans="2:8" s="315" customFormat="1" x14ac:dyDescent="0.2">
      <c r="E146" s="358"/>
      <c r="F146" s="358"/>
      <c r="G146" s="358"/>
      <c r="H146" s="358"/>
    </row>
    <row r="147" spans="2:8" s="315" customFormat="1" ht="16" thickBot="1" x14ac:dyDescent="0.25">
      <c r="E147" s="358"/>
      <c r="F147" s="358"/>
      <c r="G147" s="358"/>
      <c r="H147" s="358"/>
    </row>
    <row r="148" spans="2:8" s="315" customFormat="1" ht="16" thickBot="1" x14ac:dyDescent="0.25">
      <c r="B148" s="369" t="str">
        <f>B15</f>
        <v>VALE - Estrada de Ferro Vitória a Minas</v>
      </c>
      <c r="C148" s="370" t="s">
        <v>2853</v>
      </c>
      <c r="D148" s="370" t="s">
        <v>2854</v>
      </c>
      <c r="E148" s="371" t="s">
        <v>2855</v>
      </c>
      <c r="F148" s="406"/>
      <c r="G148" s="406"/>
      <c r="H148" s="406"/>
    </row>
    <row r="149" spans="2:8" s="315" customFormat="1" x14ac:dyDescent="0.2">
      <c r="B149" s="503" t="s">
        <v>2856</v>
      </c>
      <c r="C149" s="315" t="s">
        <v>58</v>
      </c>
      <c r="E149" s="428">
        <v>0</v>
      </c>
      <c r="F149" s="429"/>
      <c r="G149" s="429"/>
      <c r="H149" s="429"/>
    </row>
    <row r="150" spans="2:8" s="315" customFormat="1" x14ac:dyDescent="0.2">
      <c r="B150" s="503"/>
      <c r="C150" s="315" t="s">
        <v>57</v>
      </c>
      <c r="E150" s="372">
        <v>0</v>
      </c>
      <c r="F150" s="358"/>
      <c r="G150" s="358"/>
      <c r="H150" s="358"/>
    </row>
    <row r="151" spans="2:8" s="315" customFormat="1" x14ac:dyDescent="0.2">
      <c r="B151" s="503"/>
      <c r="C151" s="315" t="s">
        <v>59</v>
      </c>
      <c r="E151" s="372">
        <v>0</v>
      </c>
      <c r="F151" s="358"/>
      <c r="G151" s="358"/>
      <c r="H151" s="358"/>
    </row>
    <row r="152" spans="2:8" s="315" customFormat="1" ht="16" x14ac:dyDescent="0.2">
      <c r="B152" s="373"/>
      <c r="D152" s="374" t="s">
        <v>2858</v>
      </c>
      <c r="E152" s="375">
        <f>SUM(E149:E151)</f>
        <v>0</v>
      </c>
      <c r="F152" s="407"/>
      <c r="G152" s="407"/>
      <c r="H152" s="407"/>
    </row>
    <row r="153" spans="2:8" s="315" customFormat="1" ht="16" thickBot="1" x14ac:dyDescent="0.25">
      <c r="B153" s="376" t="s">
        <v>2859</v>
      </c>
      <c r="C153" s="315" t="s">
        <v>62</v>
      </c>
      <c r="E153" s="372">
        <v>9790516000</v>
      </c>
      <c r="F153" s="358"/>
      <c r="G153" s="358"/>
      <c r="H153" s="358"/>
    </row>
    <row r="154" spans="2:8" s="315" customFormat="1" ht="17" thickBot="1" x14ac:dyDescent="0.25">
      <c r="B154" s="377"/>
      <c r="C154" s="378"/>
      <c r="D154" s="379" t="s">
        <v>608</v>
      </c>
      <c r="E154" s="371">
        <f>E153+E152</f>
        <v>9790516000</v>
      </c>
      <c r="F154" s="406"/>
      <c r="G154" s="406"/>
      <c r="H154" s="406"/>
    </row>
    <row r="155" spans="2:8" s="315" customFormat="1" x14ac:dyDescent="0.2">
      <c r="E155" s="358"/>
      <c r="F155" s="358"/>
      <c r="G155" s="358"/>
      <c r="H155" s="358"/>
    </row>
    <row r="156" spans="2:8" s="315" customFormat="1" ht="16" thickBot="1" x14ac:dyDescent="0.25">
      <c r="E156" s="358"/>
      <c r="F156" s="358"/>
      <c r="G156" s="358"/>
      <c r="H156" s="358"/>
    </row>
    <row r="157" spans="2:8" s="315" customFormat="1" ht="16" thickBot="1" x14ac:dyDescent="0.25">
      <c r="B157" s="412" t="str">
        <f>B16</f>
        <v>Ferrovia de Integração Oeste-Leste FIOL – Trecho 1</v>
      </c>
      <c r="C157" s="413" t="s">
        <v>2853</v>
      </c>
      <c r="D157" s="413" t="s">
        <v>2854</v>
      </c>
      <c r="E157" s="414" t="s">
        <v>2855</v>
      </c>
      <c r="F157" s="315" t="s">
        <v>2885</v>
      </c>
    </row>
    <row r="158" spans="2:8" s="315" customFormat="1" x14ac:dyDescent="0.2">
      <c r="B158" s="504" t="s">
        <v>2856</v>
      </c>
      <c r="C158" s="415" t="s">
        <v>58</v>
      </c>
      <c r="D158" s="415"/>
      <c r="E158" s="416">
        <v>0</v>
      </c>
    </row>
    <row r="159" spans="2:8" s="315" customFormat="1" x14ac:dyDescent="0.2">
      <c r="B159" s="504"/>
      <c r="C159" s="415" t="s">
        <v>57</v>
      </c>
      <c r="D159" s="415"/>
      <c r="E159" s="417">
        <v>0</v>
      </c>
    </row>
    <row r="160" spans="2:8" s="315" customFormat="1" x14ac:dyDescent="0.2">
      <c r="B160" s="504"/>
      <c r="C160" s="415" t="s">
        <v>59</v>
      </c>
      <c r="D160" s="415"/>
      <c r="E160" s="417">
        <v>0</v>
      </c>
    </row>
    <row r="161" spans="2:8" s="315" customFormat="1" ht="16" x14ac:dyDescent="0.2">
      <c r="B161" s="433"/>
      <c r="C161" s="415"/>
      <c r="D161" s="426" t="s">
        <v>2858</v>
      </c>
      <c r="E161" s="420">
        <f>SUM(E158:E160)</f>
        <v>0</v>
      </c>
    </row>
    <row r="162" spans="2:8" s="315" customFormat="1" ht="16" thickBot="1" x14ac:dyDescent="0.25">
      <c r="B162" s="421" t="s">
        <v>2859</v>
      </c>
      <c r="C162" s="415" t="s">
        <v>62</v>
      </c>
      <c r="D162" s="415"/>
      <c r="E162" s="417">
        <v>0</v>
      </c>
    </row>
    <row r="163" spans="2:8" s="315" customFormat="1" ht="17" thickBot="1" x14ac:dyDescent="0.25">
      <c r="B163" s="434"/>
      <c r="C163" s="424"/>
      <c r="D163" s="427" t="s">
        <v>608</v>
      </c>
      <c r="E163" s="414">
        <f>E162+E161</f>
        <v>0</v>
      </c>
    </row>
    <row r="164" spans="2:8" s="315" customFormat="1" x14ac:dyDescent="0.2">
      <c r="E164" s="358"/>
    </row>
    <row r="165" spans="2:8" s="315" customFormat="1" ht="16" thickBot="1" x14ac:dyDescent="0.25">
      <c r="E165" s="358"/>
    </row>
    <row r="166" spans="2:8" s="315" customFormat="1" ht="16" thickBot="1" x14ac:dyDescent="0.25">
      <c r="B166" s="412" t="str">
        <f>B17</f>
        <v>VALEC S.A. – FNS/FIOL</v>
      </c>
      <c r="C166" s="413" t="s">
        <v>2853</v>
      </c>
      <c r="D166" s="413" t="s">
        <v>2854</v>
      </c>
      <c r="E166" s="414" t="s">
        <v>2855</v>
      </c>
      <c r="F166" s="315" t="s">
        <v>2885</v>
      </c>
    </row>
    <row r="167" spans="2:8" s="315" customFormat="1" x14ac:dyDescent="0.2">
      <c r="B167" s="504" t="s">
        <v>2856</v>
      </c>
      <c r="C167" s="415" t="s">
        <v>58</v>
      </c>
      <c r="D167" s="415"/>
      <c r="E167" s="416">
        <v>0</v>
      </c>
    </row>
    <row r="168" spans="2:8" s="315" customFormat="1" x14ac:dyDescent="0.2">
      <c r="B168" s="504"/>
      <c r="C168" s="415" t="s">
        <v>57</v>
      </c>
      <c r="D168" s="415"/>
      <c r="E168" s="417">
        <v>0</v>
      </c>
    </row>
    <row r="169" spans="2:8" s="315" customFormat="1" x14ac:dyDescent="0.2">
      <c r="B169" s="504"/>
      <c r="C169" s="415" t="s">
        <v>59</v>
      </c>
      <c r="D169" s="415"/>
      <c r="E169" s="417">
        <v>0</v>
      </c>
    </row>
    <row r="170" spans="2:8" s="315" customFormat="1" ht="16" x14ac:dyDescent="0.2">
      <c r="B170" s="433"/>
      <c r="C170" s="415"/>
      <c r="D170" s="426" t="s">
        <v>2858</v>
      </c>
      <c r="E170" s="420">
        <f>SUM(E167:E169)</f>
        <v>0</v>
      </c>
    </row>
    <row r="171" spans="2:8" s="315" customFormat="1" ht="16" thickBot="1" x14ac:dyDescent="0.25">
      <c r="B171" s="421" t="s">
        <v>2859</v>
      </c>
      <c r="C171" s="415" t="s">
        <v>62</v>
      </c>
      <c r="D171" s="415"/>
      <c r="E171" s="417">
        <v>0</v>
      </c>
    </row>
    <row r="172" spans="2:8" s="315" customFormat="1" ht="17" thickBot="1" x14ac:dyDescent="0.25">
      <c r="B172" s="434"/>
      <c r="C172" s="424"/>
      <c r="D172" s="427" t="s">
        <v>608</v>
      </c>
      <c r="E172" s="414">
        <f>E171+E170</f>
        <v>0</v>
      </c>
    </row>
    <row r="173" spans="2:8" s="315" customFormat="1" x14ac:dyDescent="0.2">
      <c r="E173" s="358"/>
      <c r="F173" s="358"/>
      <c r="G173" s="358"/>
      <c r="H173" s="358"/>
    </row>
  </sheetData>
  <mergeCells count="19">
    <mergeCell ref="B89:B92"/>
    <mergeCell ref="B99:B101"/>
    <mergeCell ref="B108:B114"/>
    <mergeCell ref="B121:B124"/>
    <mergeCell ref="B41:B44"/>
    <mergeCell ref="B51:B54"/>
    <mergeCell ref="B61:B63"/>
    <mergeCell ref="B70:B72"/>
    <mergeCell ref="B79:B82"/>
    <mergeCell ref="B20:E20"/>
    <mergeCell ref="G20:H20"/>
    <mergeCell ref="J20:L20"/>
    <mergeCell ref="B23:B25"/>
    <mergeCell ref="B32:B34"/>
    <mergeCell ref="B131:B133"/>
    <mergeCell ref="B140:B142"/>
    <mergeCell ref="B149:B151"/>
    <mergeCell ref="B158:B160"/>
    <mergeCell ref="B167:B169"/>
  </mergeCells>
  <hyperlinks>
    <hyperlink ref="B2" r:id="rId1" xr:uid="{7F9398ED-281D-4C8A-BB98-7646A4E47823}"/>
    <hyperlink ref="B3" r:id="rId2" xr:uid="{C686B491-CE33-4D82-AAE8-B0AC5ADBCA35}"/>
    <hyperlink ref="B4" r:id="rId3" xr:uid="{7207C47B-A6A6-414F-91E3-913FA5864101}"/>
    <hyperlink ref="B5" r:id="rId4" xr:uid="{3E6CC37B-65F3-4DEB-A6A3-5F481F7DAE57}"/>
    <hyperlink ref="B6" r:id="rId5" xr:uid="{99892B22-EDAC-4187-9E3E-B29C8A1DC4B3}"/>
    <hyperlink ref="B7" r:id="rId6" xr:uid="{2DFE8AD5-8937-4D4D-B05B-21A9CAD70AAA}"/>
    <hyperlink ref="B8" r:id="rId7" xr:uid="{B291A347-41AF-4E7A-B3B5-F68A756355D3}"/>
    <hyperlink ref="B9" r:id="rId8" xr:uid="{E352BBD2-ECF2-4224-B47B-2F5B3A79BBE1}"/>
    <hyperlink ref="B10" r:id="rId9" xr:uid="{E66FF41F-6247-405E-B04E-89F54D89AAE1}"/>
    <hyperlink ref="B11" r:id="rId10" xr:uid="{A441C022-F8FF-45B5-91AE-734F13CA768A}"/>
    <hyperlink ref="B12" r:id="rId11" xr:uid="{95B90F2F-C39B-4B39-92CB-DE073E50A3CF}"/>
    <hyperlink ref="B13" r:id="rId12" xr:uid="{5F1CEA65-0F71-4E1D-9E0D-679254F23A09}"/>
    <hyperlink ref="B14" r:id="rId13" xr:uid="{C675A039-0FA0-4698-B576-CCC508F30321}"/>
    <hyperlink ref="B15" r:id="rId14" xr:uid="{801F4982-B6A7-4015-8200-AE2EE4C0DAE6}"/>
    <hyperlink ref="B16" r:id="rId15" xr:uid="{7EBA0855-02F3-4331-BFD9-69EA995C447E}"/>
    <hyperlink ref="B17" r:id="rId16" xr:uid="{F6972953-2E9A-46D0-988B-BD6A5F1BAA28}"/>
  </hyperlink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D1000"/>
  <sheetViews>
    <sheetView workbookViewId="0">
      <selection activeCell="B2" sqref="B2"/>
    </sheetView>
  </sheetViews>
  <sheetFormatPr baseColWidth="10" defaultColWidth="14.5" defaultRowHeight="15" customHeight="1" x14ac:dyDescent="0.2"/>
  <cols>
    <col min="1" max="1" width="8.6640625" customWidth="1"/>
    <col min="2" max="2" width="11.5" customWidth="1"/>
    <col min="3" max="3" width="8.6640625" customWidth="1"/>
    <col min="4" max="4" width="13.1640625" customWidth="1"/>
    <col min="5" max="12" width="8.6640625" customWidth="1"/>
  </cols>
  <sheetData>
    <row r="1" spans="1:4" ht="16.5" customHeight="1" x14ac:dyDescent="0.2">
      <c r="A1" s="25" t="s">
        <v>63</v>
      </c>
      <c r="B1" s="25" t="s">
        <v>64</v>
      </c>
      <c r="C1" s="25" t="s">
        <v>65</v>
      </c>
      <c r="D1" s="25" t="s">
        <v>66</v>
      </c>
    </row>
    <row r="2" spans="1:4" x14ac:dyDescent="0.2">
      <c r="A2" s="33">
        <f>'1. Est. de capital e financiame'!J22</f>
        <v>0.23863088615545452</v>
      </c>
      <c r="B2" s="33">
        <f>'1. Est. de capital e financiame'!K22</f>
        <v>0.45366126281361924</v>
      </c>
      <c r="C2" s="33">
        <f>'1. Est. de capital e financiame'!L22</f>
        <v>0.30770785103092624</v>
      </c>
      <c r="D2" s="33">
        <f>SUM(A2:C2)</f>
        <v>1</v>
      </c>
    </row>
    <row r="8" spans="1:4" x14ac:dyDescent="0.2">
      <c r="C8" s="40"/>
    </row>
    <row r="11" spans="1:4" x14ac:dyDescent="0.2">
      <c r="A11" s="1"/>
      <c r="B11" s="1"/>
      <c r="C11" s="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CA466-E3A2-4479-9598-A288B3DEFC66}">
  <sheetPr>
    <tabColor theme="1"/>
  </sheetPr>
  <dimension ref="A1:J75"/>
  <sheetViews>
    <sheetView workbookViewId="0">
      <selection activeCell="J10" sqref="J10"/>
    </sheetView>
  </sheetViews>
  <sheetFormatPr baseColWidth="10" defaultColWidth="8.83203125" defaultRowHeight="15" x14ac:dyDescent="0.2"/>
  <cols>
    <col min="1" max="1" width="31.5" bestFit="1" customWidth="1"/>
    <col min="2" max="2" width="31" bestFit="1" customWidth="1"/>
    <col min="3" max="3" width="19.33203125" bestFit="1" customWidth="1"/>
    <col min="4" max="4" width="23" bestFit="1" customWidth="1"/>
    <col min="5" max="5" width="19" bestFit="1" customWidth="1"/>
    <col min="6" max="6" width="15.6640625" bestFit="1" customWidth="1"/>
    <col min="7" max="7" width="18" bestFit="1" customWidth="1"/>
    <col min="8" max="8" width="21" bestFit="1" customWidth="1"/>
  </cols>
  <sheetData>
    <row r="1" spans="1:10" x14ac:dyDescent="0.2">
      <c r="A1" s="32" t="s">
        <v>61</v>
      </c>
      <c r="B1" s="313" t="s">
        <v>749</v>
      </c>
    </row>
    <row r="2" spans="1:10" x14ac:dyDescent="0.2">
      <c r="A2" s="310" t="s">
        <v>646</v>
      </c>
      <c r="B2" s="310" t="s">
        <v>647</v>
      </c>
      <c r="C2" s="310" t="s">
        <v>648</v>
      </c>
      <c r="D2" s="310" t="s">
        <v>649</v>
      </c>
      <c r="E2" s="310" t="s">
        <v>650</v>
      </c>
      <c r="F2" s="310" t="s">
        <v>651</v>
      </c>
      <c r="G2" s="311" t="s">
        <v>652</v>
      </c>
      <c r="H2" s="311" t="s">
        <v>653</v>
      </c>
      <c r="J2" s="311" t="s">
        <v>748</v>
      </c>
    </row>
    <row r="3" spans="1:10" x14ac:dyDescent="0.2">
      <c r="A3" t="s">
        <v>654</v>
      </c>
      <c r="B3" t="s">
        <v>655</v>
      </c>
      <c r="C3" t="s">
        <v>656</v>
      </c>
      <c r="D3">
        <v>18069784</v>
      </c>
      <c r="E3" t="s">
        <v>33</v>
      </c>
      <c r="F3">
        <v>1.59</v>
      </c>
      <c r="G3">
        <v>1.4327923986660719E-3</v>
      </c>
      <c r="H3">
        <v>1.5900000000000001E-2</v>
      </c>
      <c r="J3" s="273">
        <f>SUMPRODUCT(G3:G69,H3:H69)</f>
        <v>1.5097041248249985E-2</v>
      </c>
    </row>
    <row r="4" spans="1:10" x14ac:dyDescent="0.2">
      <c r="A4" t="s">
        <v>654</v>
      </c>
      <c r="B4" t="s">
        <v>657</v>
      </c>
      <c r="C4" t="s">
        <v>658</v>
      </c>
      <c r="D4">
        <v>61930216</v>
      </c>
      <c r="E4" t="s">
        <v>33</v>
      </c>
      <c r="F4">
        <v>1.59</v>
      </c>
      <c r="G4">
        <v>4.9105812627615215E-3</v>
      </c>
      <c r="H4">
        <v>1.5900000000000001E-2</v>
      </c>
    </row>
    <row r="5" spans="1:10" x14ac:dyDescent="0.2">
      <c r="A5" t="s">
        <v>659</v>
      </c>
      <c r="B5" t="s">
        <v>660</v>
      </c>
      <c r="C5" t="s">
        <v>661</v>
      </c>
      <c r="D5">
        <v>15727022</v>
      </c>
      <c r="E5" t="s">
        <v>662</v>
      </c>
      <c r="F5">
        <v>2.1</v>
      </c>
      <c r="G5">
        <v>1.247029714093654E-3</v>
      </c>
      <c r="H5">
        <v>2.1000000000000001E-2</v>
      </c>
    </row>
    <row r="6" spans="1:10" x14ac:dyDescent="0.2">
      <c r="A6" t="s">
        <v>659</v>
      </c>
      <c r="B6" t="s">
        <v>660</v>
      </c>
      <c r="C6" t="s">
        <v>663</v>
      </c>
      <c r="D6">
        <v>241858931</v>
      </c>
      <c r="E6" t="s">
        <v>662</v>
      </c>
      <c r="F6">
        <v>2.1</v>
      </c>
      <c r="G6">
        <v>1.9177519658580423E-2</v>
      </c>
      <c r="H6">
        <v>2.1000000000000001E-2</v>
      </c>
    </row>
    <row r="7" spans="1:10" x14ac:dyDescent="0.2">
      <c r="A7" t="s">
        <v>659</v>
      </c>
      <c r="B7" t="s">
        <v>660</v>
      </c>
      <c r="C7" t="s">
        <v>664</v>
      </c>
      <c r="D7">
        <v>183022254</v>
      </c>
      <c r="E7" t="s">
        <v>662</v>
      </c>
      <c r="F7">
        <v>2.1</v>
      </c>
      <c r="G7">
        <v>1.4512231818483889E-2</v>
      </c>
      <c r="H7">
        <v>2.1000000000000001E-2</v>
      </c>
    </row>
    <row r="8" spans="1:10" x14ac:dyDescent="0.2">
      <c r="A8" t="s">
        <v>659</v>
      </c>
      <c r="B8" t="s">
        <v>660</v>
      </c>
      <c r="C8" t="s">
        <v>665</v>
      </c>
      <c r="D8">
        <v>229093216</v>
      </c>
      <c r="E8" t="s">
        <v>662</v>
      </c>
      <c r="F8">
        <v>2.1</v>
      </c>
      <c r="G8">
        <v>1.8165298404826783E-2</v>
      </c>
      <c r="H8">
        <v>2.1000000000000001E-2</v>
      </c>
    </row>
    <row r="9" spans="1:10" x14ac:dyDescent="0.2">
      <c r="A9" t="s">
        <v>659</v>
      </c>
      <c r="B9" t="s">
        <v>660</v>
      </c>
      <c r="C9" t="s">
        <v>666</v>
      </c>
      <c r="D9">
        <v>73152301</v>
      </c>
      <c r="E9" t="s">
        <v>662</v>
      </c>
      <c r="F9">
        <v>2.1</v>
      </c>
      <c r="G9">
        <v>5.8004047429527925E-3</v>
      </c>
      <c r="H9">
        <v>2.1000000000000001E-2</v>
      </c>
    </row>
    <row r="10" spans="1:10" x14ac:dyDescent="0.2">
      <c r="A10" t="s">
        <v>659</v>
      </c>
      <c r="B10" t="s">
        <v>660</v>
      </c>
      <c r="C10" t="s">
        <v>667</v>
      </c>
      <c r="D10">
        <v>80689826</v>
      </c>
      <c r="E10" t="s">
        <v>662</v>
      </c>
      <c r="F10">
        <v>2.1</v>
      </c>
      <c r="G10">
        <v>6.3980714624196928E-3</v>
      </c>
      <c r="H10">
        <v>2.1000000000000001E-2</v>
      </c>
    </row>
    <row r="11" spans="1:10" x14ac:dyDescent="0.2">
      <c r="A11" t="s">
        <v>654</v>
      </c>
      <c r="B11" t="s">
        <v>668</v>
      </c>
      <c r="C11" t="s">
        <v>669</v>
      </c>
      <c r="D11">
        <v>177221248</v>
      </c>
      <c r="E11" t="s">
        <v>33</v>
      </c>
      <c r="F11">
        <v>1.55</v>
      </c>
      <c r="G11">
        <v>1.4052257460106595E-2</v>
      </c>
      <c r="H11">
        <v>1.55E-2</v>
      </c>
    </row>
    <row r="12" spans="1:10" x14ac:dyDescent="0.2">
      <c r="A12" t="s">
        <v>654</v>
      </c>
      <c r="B12" t="s">
        <v>668</v>
      </c>
      <c r="C12" t="s">
        <v>670</v>
      </c>
      <c r="D12">
        <v>74472000</v>
      </c>
      <c r="E12" t="s">
        <v>33</v>
      </c>
      <c r="F12">
        <v>1.55</v>
      </c>
      <c r="G12">
        <v>5.905046541422947E-3</v>
      </c>
      <c r="H12">
        <v>1.55E-2</v>
      </c>
    </row>
    <row r="13" spans="1:10" x14ac:dyDescent="0.2">
      <c r="A13" t="s">
        <v>671</v>
      </c>
      <c r="B13" t="s">
        <v>672</v>
      </c>
      <c r="C13" t="s">
        <v>673</v>
      </c>
      <c r="D13">
        <v>63790578</v>
      </c>
      <c r="E13" t="s">
        <v>662</v>
      </c>
      <c r="F13">
        <v>2.0299999999999998</v>
      </c>
      <c r="G13">
        <v>5.0580934041555316E-3</v>
      </c>
      <c r="H13">
        <v>2.0299999999999999E-2</v>
      </c>
    </row>
    <row r="14" spans="1:10" x14ac:dyDescent="0.2">
      <c r="A14" t="s">
        <v>659</v>
      </c>
      <c r="B14" t="s">
        <v>674</v>
      </c>
      <c r="C14" t="s">
        <v>675</v>
      </c>
      <c r="D14">
        <v>153571000</v>
      </c>
      <c r="E14" t="s">
        <v>662</v>
      </c>
      <c r="F14">
        <v>2</v>
      </c>
      <c r="G14">
        <v>1.2176977956988713E-2</v>
      </c>
      <c r="H14">
        <v>0.02</v>
      </c>
    </row>
    <row r="15" spans="1:10" x14ac:dyDescent="0.2">
      <c r="A15" t="s">
        <v>659</v>
      </c>
      <c r="B15" t="s">
        <v>674</v>
      </c>
      <c r="C15" t="s">
        <v>676</v>
      </c>
      <c r="D15">
        <v>0</v>
      </c>
      <c r="E15" t="s">
        <v>662</v>
      </c>
      <c r="F15">
        <v>0</v>
      </c>
      <c r="G15">
        <v>0</v>
      </c>
      <c r="H15">
        <v>0</v>
      </c>
    </row>
    <row r="16" spans="1:10" x14ac:dyDescent="0.2">
      <c r="A16" t="s">
        <v>671</v>
      </c>
      <c r="B16" t="s">
        <v>677</v>
      </c>
      <c r="C16" t="s">
        <v>678</v>
      </c>
      <c r="D16">
        <v>126202000</v>
      </c>
      <c r="E16" t="s">
        <v>662</v>
      </c>
      <c r="F16">
        <v>2.48</v>
      </c>
      <c r="G16">
        <v>1.0006830535243564E-2</v>
      </c>
      <c r="H16">
        <v>2.4799999999999999E-2</v>
      </c>
    </row>
    <row r="17" spans="1:8" x14ac:dyDescent="0.2">
      <c r="A17" t="s">
        <v>671</v>
      </c>
      <c r="B17" t="s">
        <v>677</v>
      </c>
      <c r="C17" t="s">
        <v>679</v>
      </c>
      <c r="D17">
        <v>0</v>
      </c>
      <c r="E17" t="s">
        <v>662</v>
      </c>
      <c r="F17">
        <v>2.48</v>
      </c>
      <c r="G17">
        <v>0</v>
      </c>
      <c r="H17">
        <v>2.4799999999999999E-2</v>
      </c>
    </row>
    <row r="18" spans="1:8" x14ac:dyDescent="0.2">
      <c r="A18" t="s">
        <v>671</v>
      </c>
      <c r="B18" t="s">
        <v>677</v>
      </c>
      <c r="C18" t="s">
        <v>680</v>
      </c>
      <c r="D18">
        <v>80000000</v>
      </c>
      <c r="E18" t="s">
        <v>662</v>
      </c>
      <c r="F18">
        <v>2.48</v>
      </c>
      <c r="G18">
        <v>6.3433736614275935E-3</v>
      </c>
      <c r="H18">
        <v>2.4799999999999999E-2</v>
      </c>
    </row>
    <row r="19" spans="1:8" x14ac:dyDescent="0.2">
      <c r="A19" t="s">
        <v>671</v>
      </c>
      <c r="B19" t="s">
        <v>677</v>
      </c>
      <c r="C19" t="s">
        <v>681</v>
      </c>
      <c r="D19">
        <v>30394392</v>
      </c>
      <c r="E19" t="s">
        <v>662</v>
      </c>
      <c r="F19">
        <v>2.48</v>
      </c>
      <c r="G19">
        <v>2.4100373208488196E-3</v>
      </c>
      <c r="H19">
        <v>2.4799999999999999E-2</v>
      </c>
    </row>
    <row r="20" spans="1:8" x14ac:dyDescent="0.2">
      <c r="A20" t="s">
        <v>671</v>
      </c>
      <c r="B20" t="s">
        <v>677</v>
      </c>
      <c r="C20" t="s">
        <v>682</v>
      </c>
      <c r="D20">
        <v>32715000</v>
      </c>
      <c r="E20" t="s">
        <v>662</v>
      </c>
      <c r="F20">
        <v>2.48</v>
      </c>
      <c r="G20">
        <v>2.5940433666700466E-3</v>
      </c>
      <c r="H20">
        <v>2.4799999999999999E-2</v>
      </c>
    </row>
    <row r="21" spans="1:8" x14ac:dyDescent="0.2">
      <c r="A21" t="s">
        <v>671</v>
      </c>
      <c r="B21" t="s">
        <v>677</v>
      </c>
      <c r="C21" t="s">
        <v>683</v>
      </c>
      <c r="D21">
        <v>2897344</v>
      </c>
      <c r="E21" t="s">
        <v>662</v>
      </c>
      <c r="F21">
        <v>0</v>
      </c>
      <c r="G21">
        <v>2.2973669522119086E-4</v>
      </c>
      <c r="H21">
        <v>0</v>
      </c>
    </row>
    <row r="22" spans="1:8" x14ac:dyDescent="0.2">
      <c r="A22" t="s">
        <v>671</v>
      </c>
      <c r="B22" t="s">
        <v>677</v>
      </c>
      <c r="C22" t="s">
        <v>684</v>
      </c>
      <c r="D22">
        <v>100468674</v>
      </c>
      <c r="E22" t="s">
        <v>662</v>
      </c>
      <c r="F22">
        <v>5.15</v>
      </c>
      <c r="G22">
        <v>7.9663792556269406E-3</v>
      </c>
      <c r="H22">
        <v>5.1500000000000004E-2</v>
      </c>
    </row>
    <row r="23" spans="1:8" x14ac:dyDescent="0.2">
      <c r="A23" t="s">
        <v>671</v>
      </c>
      <c r="B23" t="s">
        <v>677</v>
      </c>
      <c r="C23" t="s">
        <v>685</v>
      </c>
      <c r="D23">
        <v>116267822</v>
      </c>
      <c r="E23" t="s">
        <v>662</v>
      </c>
      <c r="F23">
        <v>5</v>
      </c>
      <c r="G23">
        <v>9.2191279968293974E-3</v>
      </c>
      <c r="H23">
        <v>0.05</v>
      </c>
    </row>
    <row r="24" spans="1:8" x14ac:dyDescent="0.2">
      <c r="A24" t="s">
        <v>671</v>
      </c>
      <c r="B24" t="s">
        <v>677</v>
      </c>
      <c r="C24" t="s">
        <v>686</v>
      </c>
      <c r="D24">
        <v>70325000</v>
      </c>
      <c r="E24" t="s">
        <v>662</v>
      </c>
      <c r="F24">
        <v>5</v>
      </c>
      <c r="G24">
        <v>5.5762219092486938E-3</v>
      </c>
      <c r="H24">
        <v>0.05</v>
      </c>
    </row>
    <row r="25" spans="1:8" x14ac:dyDescent="0.2">
      <c r="A25" t="s">
        <v>654</v>
      </c>
      <c r="B25" t="s">
        <v>687</v>
      </c>
      <c r="C25" t="s">
        <v>688</v>
      </c>
      <c r="D25">
        <v>0</v>
      </c>
      <c r="E25" t="s">
        <v>662</v>
      </c>
      <c r="F25">
        <v>0</v>
      </c>
      <c r="G25">
        <v>0</v>
      </c>
      <c r="H25">
        <v>0</v>
      </c>
    </row>
    <row r="26" spans="1:8" x14ac:dyDescent="0.2">
      <c r="A26" t="s">
        <v>654</v>
      </c>
      <c r="B26" t="s">
        <v>687</v>
      </c>
      <c r="C26" t="s">
        <v>689</v>
      </c>
      <c r="D26">
        <v>51361395</v>
      </c>
      <c r="E26" t="s">
        <v>662</v>
      </c>
      <c r="F26">
        <v>2.06</v>
      </c>
      <c r="G26">
        <v>4.0725565032147361E-3</v>
      </c>
      <c r="H26">
        <v>2.06E-2</v>
      </c>
    </row>
    <row r="27" spans="1:8" x14ac:dyDescent="0.2">
      <c r="A27" t="s">
        <v>671</v>
      </c>
      <c r="B27" t="s">
        <v>690</v>
      </c>
      <c r="C27" t="s">
        <v>691</v>
      </c>
      <c r="D27">
        <v>1748922</v>
      </c>
      <c r="E27" t="s">
        <v>662</v>
      </c>
      <c r="F27">
        <v>0</v>
      </c>
      <c r="G27">
        <v>1.3867582188364087E-4</v>
      </c>
      <c r="H27">
        <v>0</v>
      </c>
    </row>
    <row r="28" spans="1:8" x14ac:dyDescent="0.2">
      <c r="A28" t="s">
        <v>671</v>
      </c>
      <c r="B28" t="s">
        <v>690</v>
      </c>
      <c r="C28" t="s">
        <v>692</v>
      </c>
      <c r="D28">
        <v>386265014</v>
      </c>
      <c r="E28" t="s">
        <v>662</v>
      </c>
      <c r="F28">
        <v>2.1800000000000002</v>
      </c>
      <c r="G28">
        <v>3.0627791451732011E-2</v>
      </c>
      <c r="H28">
        <v>2.18E-2</v>
      </c>
    </row>
    <row r="29" spans="1:8" x14ac:dyDescent="0.2">
      <c r="A29" t="s">
        <v>671</v>
      </c>
      <c r="B29" t="s">
        <v>693</v>
      </c>
      <c r="C29" t="s">
        <v>694</v>
      </c>
      <c r="D29">
        <v>192103500</v>
      </c>
      <c r="E29" t="s">
        <v>662</v>
      </c>
      <c r="F29">
        <v>3.45</v>
      </c>
      <c r="G29">
        <v>1.5232303527100697E-2</v>
      </c>
      <c r="H29">
        <v>3.4500000000000003E-2</v>
      </c>
    </row>
    <row r="30" spans="1:8" x14ac:dyDescent="0.2">
      <c r="A30" t="s">
        <v>654</v>
      </c>
      <c r="B30" t="s">
        <v>695</v>
      </c>
      <c r="C30" t="s">
        <v>696</v>
      </c>
      <c r="D30">
        <v>80779206</v>
      </c>
      <c r="E30" t="s">
        <v>662</v>
      </c>
      <c r="F30">
        <v>1.86</v>
      </c>
      <c r="G30">
        <v>6.4051585966429228E-3</v>
      </c>
      <c r="H30">
        <v>1.8600000000000002E-2</v>
      </c>
    </row>
    <row r="31" spans="1:8" x14ac:dyDescent="0.2">
      <c r="A31" t="s">
        <v>654</v>
      </c>
      <c r="B31" t="s">
        <v>695</v>
      </c>
      <c r="C31" t="s">
        <v>697</v>
      </c>
      <c r="D31">
        <v>541000</v>
      </c>
      <c r="E31" t="s">
        <v>662</v>
      </c>
      <c r="F31">
        <v>0</v>
      </c>
      <c r="G31">
        <v>4.2897064385404105E-5</v>
      </c>
      <c r="H31">
        <v>0</v>
      </c>
    </row>
    <row r="32" spans="1:8" x14ac:dyDescent="0.2">
      <c r="A32" t="s">
        <v>698</v>
      </c>
      <c r="B32" t="s">
        <v>699</v>
      </c>
      <c r="C32" t="s">
        <v>700</v>
      </c>
      <c r="D32">
        <v>2019000000</v>
      </c>
      <c r="E32" t="s">
        <v>662</v>
      </c>
      <c r="F32">
        <v>1.46</v>
      </c>
      <c r="G32">
        <v>0.16009089278027891</v>
      </c>
      <c r="H32">
        <v>1.46E-2</v>
      </c>
    </row>
    <row r="33" spans="1:8" x14ac:dyDescent="0.2">
      <c r="A33" t="s">
        <v>698</v>
      </c>
      <c r="B33" t="s">
        <v>699</v>
      </c>
      <c r="C33" t="s">
        <v>701</v>
      </c>
      <c r="D33">
        <v>809618148</v>
      </c>
      <c r="E33" t="s">
        <v>662</v>
      </c>
      <c r="F33">
        <v>1.46</v>
      </c>
      <c r="G33">
        <v>6.4196380447962345E-2</v>
      </c>
      <c r="H33">
        <v>1.46E-2</v>
      </c>
    </row>
    <row r="34" spans="1:8" x14ac:dyDescent="0.2">
      <c r="A34" t="s">
        <v>654</v>
      </c>
      <c r="B34" t="s">
        <v>702</v>
      </c>
      <c r="C34" t="s">
        <v>703</v>
      </c>
      <c r="D34">
        <v>55770000</v>
      </c>
      <c r="E34" t="s">
        <v>662</v>
      </c>
      <c r="F34">
        <v>1.66</v>
      </c>
      <c r="G34">
        <v>4.4221243637227112E-3</v>
      </c>
      <c r="H34">
        <v>1.66E-2</v>
      </c>
    </row>
    <row r="35" spans="1:8" x14ac:dyDescent="0.2">
      <c r="A35" t="s">
        <v>654</v>
      </c>
      <c r="B35" t="s">
        <v>702</v>
      </c>
      <c r="C35" t="s">
        <v>704</v>
      </c>
      <c r="D35">
        <v>572653</v>
      </c>
      <c r="E35" t="s">
        <v>662</v>
      </c>
      <c r="F35">
        <v>0</v>
      </c>
      <c r="G35">
        <v>4.5406899466718696E-5</v>
      </c>
      <c r="H35">
        <v>0</v>
      </c>
    </row>
    <row r="36" spans="1:8" x14ac:dyDescent="0.2">
      <c r="A36" t="s">
        <v>654</v>
      </c>
      <c r="B36" t="s">
        <v>702</v>
      </c>
      <c r="C36" t="s">
        <v>705</v>
      </c>
      <c r="D36">
        <v>58220000</v>
      </c>
      <c r="E36" t="s">
        <v>662</v>
      </c>
      <c r="F36">
        <v>1.66</v>
      </c>
      <c r="G36">
        <v>4.6163901821039315E-3</v>
      </c>
      <c r="H36">
        <v>1.66E-2</v>
      </c>
    </row>
    <row r="37" spans="1:8" x14ac:dyDescent="0.2">
      <c r="A37" t="s">
        <v>659</v>
      </c>
      <c r="B37" t="s">
        <v>706</v>
      </c>
      <c r="C37" t="s">
        <v>707</v>
      </c>
      <c r="D37">
        <v>109014790</v>
      </c>
      <c r="E37" t="s">
        <v>662</v>
      </c>
      <c r="F37">
        <v>1.4</v>
      </c>
      <c r="G37">
        <v>8.6440193449007531E-3</v>
      </c>
      <c r="H37">
        <v>1.3999999999999999E-2</v>
      </c>
    </row>
    <row r="38" spans="1:8" x14ac:dyDescent="0.2">
      <c r="A38" t="s">
        <v>659</v>
      </c>
      <c r="B38" t="s">
        <v>706</v>
      </c>
      <c r="C38" t="s">
        <v>708</v>
      </c>
      <c r="D38">
        <v>187017000</v>
      </c>
      <c r="E38" t="s">
        <v>662</v>
      </c>
      <c r="F38">
        <v>1.4</v>
      </c>
      <c r="G38">
        <v>1.4828983900490053E-2</v>
      </c>
      <c r="H38">
        <v>1.3999999999999999E-2</v>
      </c>
    </row>
    <row r="39" spans="1:8" x14ac:dyDescent="0.2">
      <c r="A39" t="s">
        <v>659</v>
      </c>
      <c r="B39" t="s">
        <v>706</v>
      </c>
      <c r="C39" t="s">
        <v>709</v>
      </c>
      <c r="D39">
        <v>0</v>
      </c>
      <c r="E39" t="s">
        <v>662</v>
      </c>
      <c r="F39">
        <v>0</v>
      </c>
      <c r="G39">
        <v>0</v>
      </c>
      <c r="H39">
        <v>0</v>
      </c>
    </row>
    <row r="40" spans="1:8" x14ac:dyDescent="0.2">
      <c r="A40" t="s">
        <v>659</v>
      </c>
      <c r="B40" t="s">
        <v>706</v>
      </c>
      <c r="C40" t="s">
        <v>710</v>
      </c>
      <c r="D40">
        <v>51429686</v>
      </c>
      <c r="E40" t="s">
        <v>662</v>
      </c>
      <c r="F40">
        <v>1.4</v>
      </c>
      <c r="G40">
        <v>4.0779714448486428E-3</v>
      </c>
      <c r="H40">
        <v>1.3999999999999999E-2</v>
      </c>
    </row>
    <row r="41" spans="1:8" x14ac:dyDescent="0.2">
      <c r="A41" t="s">
        <v>659</v>
      </c>
      <c r="B41" t="s">
        <v>706</v>
      </c>
      <c r="C41" t="s">
        <v>711</v>
      </c>
      <c r="D41">
        <v>6649518</v>
      </c>
      <c r="E41" t="s">
        <v>662</v>
      </c>
      <c r="F41">
        <v>1.4</v>
      </c>
      <c r="G41">
        <v>5.2725471677985867E-4</v>
      </c>
      <c r="H41">
        <v>1.3999999999999999E-2</v>
      </c>
    </row>
    <row r="42" spans="1:8" x14ac:dyDescent="0.2">
      <c r="A42" t="s">
        <v>654</v>
      </c>
      <c r="B42" t="s">
        <v>712</v>
      </c>
      <c r="C42" t="s">
        <v>713</v>
      </c>
      <c r="D42">
        <v>146056000</v>
      </c>
      <c r="E42" t="s">
        <v>662</v>
      </c>
      <c r="F42">
        <v>0.52</v>
      </c>
      <c r="G42">
        <v>1.1581097293668357E-2</v>
      </c>
      <c r="H42">
        <v>5.1999999999999998E-3</v>
      </c>
    </row>
    <row r="43" spans="1:8" x14ac:dyDescent="0.2">
      <c r="A43" t="s">
        <v>654</v>
      </c>
      <c r="B43" t="s">
        <v>712</v>
      </c>
      <c r="C43" t="s">
        <v>714</v>
      </c>
      <c r="D43">
        <v>2597549</v>
      </c>
      <c r="E43" t="s">
        <v>662</v>
      </c>
      <c r="F43">
        <v>0</v>
      </c>
      <c r="G43">
        <v>2.059652988858448E-4</v>
      </c>
      <c r="H43">
        <v>0</v>
      </c>
    </row>
    <row r="44" spans="1:8" x14ac:dyDescent="0.2">
      <c r="A44" t="s">
        <v>698</v>
      </c>
      <c r="B44" t="s">
        <v>715</v>
      </c>
      <c r="C44" t="s">
        <v>716</v>
      </c>
      <c r="D44">
        <v>1222558</v>
      </c>
      <c r="E44" t="s">
        <v>662</v>
      </c>
      <c r="F44">
        <v>0</v>
      </c>
      <c r="G44">
        <v>9.6939277709594946E-5</v>
      </c>
      <c r="H44">
        <v>0</v>
      </c>
    </row>
    <row r="45" spans="1:8" x14ac:dyDescent="0.2">
      <c r="A45" t="s">
        <v>698</v>
      </c>
      <c r="B45" t="s">
        <v>715</v>
      </c>
      <c r="C45" t="s">
        <v>717</v>
      </c>
      <c r="D45">
        <v>548233585</v>
      </c>
      <c r="E45" t="s">
        <v>662</v>
      </c>
      <c r="F45">
        <v>1.3</v>
      </c>
      <c r="G45">
        <v>4.3470631042487821E-2</v>
      </c>
      <c r="H45">
        <v>1.3000000000000001E-2</v>
      </c>
    </row>
    <row r="46" spans="1:8" x14ac:dyDescent="0.2">
      <c r="A46" t="s">
        <v>698</v>
      </c>
      <c r="B46" t="s">
        <v>715</v>
      </c>
      <c r="C46" t="s">
        <v>718</v>
      </c>
      <c r="D46">
        <v>620083416</v>
      </c>
      <c r="E46" t="s">
        <v>662</v>
      </c>
      <c r="F46">
        <v>1.3</v>
      </c>
      <c r="G46">
        <v>4.9167760111780624E-2</v>
      </c>
      <c r="H46">
        <v>1.3000000000000001E-2</v>
      </c>
    </row>
    <row r="47" spans="1:8" x14ac:dyDescent="0.2">
      <c r="A47" t="s">
        <v>698</v>
      </c>
      <c r="B47" t="s">
        <v>715</v>
      </c>
      <c r="C47" t="s">
        <v>719</v>
      </c>
      <c r="D47">
        <v>641199652</v>
      </c>
      <c r="E47" t="s">
        <v>662</v>
      </c>
      <c r="F47">
        <v>1.3</v>
      </c>
      <c r="G47">
        <v>5.0842112302666734E-2</v>
      </c>
      <c r="H47">
        <v>1.3000000000000001E-2</v>
      </c>
    </row>
    <row r="48" spans="1:8" x14ac:dyDescent="0.2">
      <c r="A48" t="s">
        <v>698</v>
      </c>
      <c r="B48" t="s">
        <v>715</v>
      </c>
      <c r="C48" t="s">
        <v>720</v>
      </c>
      <c r="D48">
        <v>677113096</v>
      </c>
      <c r="E48" t="s">
        <v>662</v>
      </c>
      <c r="F48">
        <v>1.3</v>
      </c>
      <c r="G48">
        <v>5.3689767237176174E-2</v>
      </c>
      <c r="H48">
        <v>1.3000000000000001E-2</v>
      </c>
    </row>
    <row r="49" spans="1:8" x14ac:dyDescent="0.2">
      <c r="A49" t="s">
        <v>698</v>
      </c>
      <c r="B49" t="s">
        <v>715</v>
      </c>
      <c r="C49" t="s">
        <v>721</v>
      </c>
      <c r="D49">
        <v>680713165</v>
      </c>
      <c r="E49" t="s">
        <v>662</v>
      </c>
      <c r="F49">
        <v>1.3</v>
      </c>
      <c r="G49">
        <v>5.3975224523100197E-2</v>
      </c>
      <c r="H49">
        <v>1.3000000000000001E-2</v>
      </c>
    </row>
    <row r="50" spans="1:8" x14ac:dyDescent="0.2">
      <c r="A50" t="s">
        <v>654</v>
      </c>
      <c r="B50" t="s">
        <v>722</v>
      </c>
      <c r="C50" t="s">
        <v>723</v>
      </c>
      <c r="D50">
        <v>1232143</v>
      </c>
      <c r="E50" t="s">
        <v>662</v>
      </c>
      <c r="F50">
        <v>0.57999999999999996</v>
      </c>
      <c r="G50">
        <v>9.7699293166404741E-5</v>
      </c>
      <c r="H50">
        <v>5.7999999999999996E-3</v>
      </c>
    </row>
    <row r="51" spans="1:8" x14ac:dyDescent="0.2">
      <c r="A51" t="s">
        <v>654</v>
      </c>
      <c r="B51" t="s">
        <v>722</v>
      </c>
      <c r="C51" t="s">
        <v>724</v>
      </c>
      <c r="D51">
        <v>263171228</v>
      </c>
      <c r="E51" t="s">
        <v>662</v>
      </c>
      <c r="F51">
        <v>1.48</v>
      </c>
      <c r="G51">
        <v>2.0867417951759452E-2</v>
      </c>
      <c r="H51">
        <v>1.4800000000000001E-2</v>
      </c>
    </row>
    <row r="52" spans="1:8" x14ac:dyDescent="0.2">
      <c r="A52" t="s">
        <v>654</v>
      </c>
      <c r="B52" t="s">
        <v>722</v>
      </c>
      <c r="C52" t="s">
        <v>725</v>
      </c>
      <c r="D52">
        <v>58315776</v>
      </c>
      <c r="E52" t="s">
        <v>662</v>
      </c>
      <c r="F52">
        <v>1.48</v>
      </c>
      <c r="G52">
        <v>4.6239844690513926E-3</v>
      </c>
      <c r="H52">
        <v>1.4800000000000001E-2</v>
      </c>
    </row>
    <row r="53" spans="1:8" x14ac:dyDescent="0.2">
      <c r="A53" t="s">
        <v>659</v>
      </c>
      <c r="B53" t="s">
        <v>726</v>
      </c>
      <c r="C53" t="s">
        <v>727</v>
      </c>
      <c r="D53">
        <v>34223070</v>
      </c>
      <c r="E53" t="s">
        <v>662</v>
      </c>
      <c r="F53">
        <v>1.4</v>
      </c>
      <c r="G53">
        <v>2.7136215106399104E-3</v>
      </c>
      <c r="H53">
        <v>1.3999999999999999E-2</v>
      </c>
    </row>
    <row r="54" spans="1:8" x14ac:dyDescent="0.2">
      <c r="A54" t="s">
        <v>659</v>
      </c>
      <c r="B54" t="s">
        <v>726</v>
      </c>
      <c r="C54" t="s">
        <v>728</v>
      </c>
      <c r="D54">
        <v>42466622</v>
      </c>
      <c r="E54" t="s">
        <v>662</v>
      </c>
      <c r="F54">
        <v>1.4</v>
      </c>
      <c r="G54">
        <v>3.3672706435575201E-3</v>
      </c>
      <c r="H54">
        <v>1.3999999999999999E-2</v>
      </c>
    </row>
    <row r="55" spans="1:8" x14ac:dyDescent="0.2">
      <c r="A55" t="s">
        <v>659</v>
      </c>
      <c r="B55" t="s">
        <v>726</v>
      </c>
      <c r="C55" t="s">
        <v>729</v>
      </c>
      <c r="D55">
        <v>4860815</v>
      </c>
      <c r="E55" t="s">
        <v>662</v>
      </c>
      <c r="F55">
        <v>1.4</v>
      </c>
      <c r="G55">
        <v>3.8542457305090213E-4</v>
      </c>
      <c r="H55">
        <v>1.3999999999999999E-2</v>
      </c>
    </row>
    <row r="56" spans="1:8" x14ac:dyDescent="0.2">
      <c r="A56" t="s">
        <v>659</v>
      </c>
      <c r="B56" t="s">
        <v>726</v>
      </c>
      <c r="C56" t="s">
        <v>730</v>
      </c>
      <c r="D56">
        <v>5875036</v>
      </c>
      <c r="E56" t="s">
        <v>662</v>
      </c>
      <c r="F56">
        <v>1.4</v>
      </c>
      <c r="G56">
        <v>4.6584435777923656E-4</v>
      </c>
      <c r="H56">
        <v>1.3999999999999999E-2</v>
      </c>
    </row>
    <row r="57" spans="1:8" x14ac:dyDescent="0.2">
      <c r="A57" t="s">
        <v>659</v>
      </c>
      <c r="B57" t="s">
        <v>731</v>
      </c>
      <c r="C57" t="s">
        <v>732</v>
      </c>
      <c r="D57">
        <v>85071442</v>
      </c>
      <c r="E57" t="s">
        <v>662</v>
      </c>
      <c r="F57">
        <v>1.3</v>
      </c>
      <c r="G57">
        <v>6.7454993065308149E-3</v>
      </c>
      <c r="H57">
        <v>1.3000000000000001E-2</v>
      </c>
    </row>
    <row r="58" spans="1:8" x14ac:dyDescent="0.2">
      <c r="A58" t="s">
        <v>659</v>
      </c>
      <c r="B58" t="s">
        <v>731</v>
      </c>
      <c r="C58" t="s">
        <v>733</v>
      </c>
      <c r="D58">
        <v>120464974</v>
      </c>
      <c r="E58" t="s">
        <v>662</v>
      </c>
      <c r="F58">
        <v>1.3</v>
      </c>
      <c r="G58">
        <v>9.5519292899519988E-3</v>
      </c>
      <c r="H58">
        <v>1.3000000000000001E-2</v>
      </c>
    </row>
    <row r="59" spans="1:8" x14ac:dyDescent="0.2">
      <c r="A59" t="s">
        <v>659</v>
      </c>
      <c r="B59" t="s">
        <v>731</v>
      </c>
      <c r="C59" t="s">
        <v>734</v>
      </c>
      <c r="D59">
        <v>167014052</v>
      </c>
      <c r="E59" t="s">
        <v>662</v>
      </c>
      <c r="F59">
        <v>1.3</v>
      </c>
      <c r="G59">
        <v>1.3242906731813732E-2</v>
      </c>
      <c r="H59">
        <v>1.3000000000000001E-2</v>
      </c>
    </row>
    <row r="60" spans="1:8" x14ac:dyDescent="0.2">
      <c r="A60" t="s">
        <v>659</v>
      </c>
      <c r="B60" t="s">
        <v>731</v>
      </c>
      <c r="C60" t="s">
        <v>735</v>
      </c>
      <c r="D60">
        <v>14917861</v>
      </c>
      <c r="E60" t="s">
        <v>662</v>
      </c>
      <c r="F60">
        <v>1.3</v>
      </c>
      <c r="G60">
        <v>1.1828695819029737E-3</v>
      </c>
      <c r="H60">
        <v>1.3000000000000001E-2</v>
      </c>
    </row>
    <row r="61" spans="1:8" x14ac:dyDescent="0.2">
      <c r="A61" t="s">
        <v>659</v>
      </c>
      <c r="B61" t="s">
        <v>731</v>
      </c>
      <c r="C61" t="s">
        <v>736</v>
      </c>
      <c r="D61">
        <v>3984210</v>
      </c>
      <c r="E61" t="s">
        <v>662</v>
      </c>
      <c r="F61">
        <v>1.3</v>
      </c>
      <c r="G61">
        <v>3.1591665969495542E-4</v>
      </c>
      <c r="H61">
        <v>1.3000000000000001E-2</v>
      </c>
    </row>
    <row r="62" spans="1:8" x14ac:dyDescent="0.2">
      <c r="A62" t="s">
        <v>659</v>
      </c>
      <c r="B62" t="s">
        <v>731</v>
      </c>
      <c r="C62" t="s">
        <v>737</v>
      </c>
      <c r="D62">
        <v>56562134</v>
      </c>
      <c r="E62" t="s">
        <v>662</v>
      </c>
      <c r="F62">
        <v>1.3</v>
      </c>
      <c r="G62">
        <v>4.4849343881217269E-3</v>
      </c>
      <c r="H62">
        <v>1.3000000000000001E-2</v>
      </c>
    </row>
    <row r="63" spans="1:8" x14ac:dyDescent="0.2">
      <c r="A63" t="s">
        <v>659</v>
      </c>
      <c r="B63" t="s">
        <v>731</v>
      </c>
      <c r="C63" t="s">
        <v>738</v>
      </c>
      <c r="D63">
        <v>80000000</v>
      </c>
      <c r="E63" t="s">
        <v>662</v>
      </c>
      <c r="F63">
        <v>1.3</v>
      </c>
      <c r="G63">
        <v>6.3433736614275935E-3</v>
      </c>
      <c r="H63">
        <v>1.3000000000000001E-2</v>
      </c>
    </row>
    <row r="64" spans="1:8" x14ac:dyDescent="0.2">
      <c r="A64" t="s">
        <v>698</v>
      </c>
      <c r="B64" t="s">
        <v>739</v>
      </c>
      <c r="C64" t="s">
        <v>740</v>
      </c>
      <c r="D64">
        <v>257018001</v>
      </c>
      <c r="E64" t="s">
        <v>662</v>
      </c>
      <c r="F64">
        <v>1.8</v>
      </c>
      <c r="G64">
        <v>2.0379515225702138E-2</v>
      </c>
      <c r="H64">
        <v>1.8000000000000002E-2</v>
      </c>
    </row>
    <row r="65" spans="1:8" x14ac:dyDescent="0.2">
      <c r="A65" t="s">
        <v>698</v>
      </c>
      <c r="B65" t="s">
        <v>739</v>
      </c>
      <c r="C65" t="s">
        <v>741</v>
      </c>
      <c r="D65">
        <v>29277685</v>
      </c>
      <c r="E65" t="s">
        <v>662</v>
      </c>
      <c r="F65">
        <v>1.8</v>
      </c>
      <c r="G65">
        <v>2.3214911987071716E-3</v>
      </c>
      <c r="H65">
        <v>1.8000000000000002E-2</v>
      </c>
    </row>
    <row r="66" spans="1:8" x14ac:dyDescent="0.2">
      <c r="A66" t="s">
        <v>698</v>
      </c>
      <c r="B66" t="s">
        <v>739</v>
      </c>
      <c r="C66" t="s">
        <v>742</v>
      </c>
      <c r="D66">
        <v>489760916</v>
      </c>
      <c r="E66" t="s">
        <v>662</v>
      </c>
      <c r="F66">
        <v>1.8</v>
      </c>
      <c r="G66">
        <v>3.8834206186888154E-2</v>
      </c>
      <c r="H66">
        <v>1.8000000000000002E-2</v>
      </c>
    </row>
    <row r="67" spans="1:8" x14ac:dyDescent="0.2">
      <c r="A67" t="s">
        <v>654</v>
      </c>
      <c r="B67" t="s">
        <v>743</v>
      </c>
      <c r="C67" t="s">
        <v>744</v>
      </c>
      <c r="D67">
        <v>50209998</v>
      </c>
      <c r="E67" t="s">
        <v>662</v>
      </c>
      <c r="F67">
        <v>1.4</v>
      </c>
      <c r="G67">
        <v>3.9812597356691523E-3</v>
      </c>
      <c r="H67">
        <v>1.3999999999999999E-2</v>
      </c>
    </row>
    <row r="68" spans="1:8" x14ac:dyDescent="0.2">
      <c r="A68" t="s">
        <v>659</v>
      </c>
      <c r="B68" t="s">
        <v>745</v>
      </c>
      <c r="C68" t="s">
        <v>746</v>
      </c>
      <c r="D68">
        <v>232334000</v>
      </c>
      <c r="E68" t="s">
        <v>662</v>
      </c>
      <c r="F68">
        <v>3</v>
      </c>
      <c r="G68">
        <v>1.8422267203176482E-2</v>
      </c>
      <c r="H68">
        <v>0.03</v>
      </c>
    </row>
    <row r="69" spans="1:8" x14ac:dyDescent="0.2">
      <c r="A69" t="s">
        <v>659</v>
      </c>
      <c r="B69" t="s">
        <v>745</v>
      </c>
      <c r="C69" t="s">
        <v>747</v>
      </c>
      <c r="D69">
        <v>6479000</v>
      </c>
      <c r="E69" t="s">
        <v>662</v>
      </c>
      <c r="F69">
        <v>3</v>
      </c>
      <c r="G69">
        <v>5.1373397440486728E-4</v>
      </c>
      <c r="H69">
        <v>0.03</v>
      </c>
    </row>
    <row r="70" spans="1:8" x14ac:dyDescent="0.2">
      <c r="D70" s="312">
        <v>12611585612</v>
      </c>
    </row>
    <row r="73" spans="1:8" x14ac:dyDescent="0.2">
      <c r="F73" s="38"/>
    </row>
    <row r="75" spans="1:8" x14ac:dyDescent="0.2">
      <c r="F75" s="38"/>
    </row>
  </sheetData>
  <hyperlinks>
    <hyperlink ref="B1" r:id="rId1" xr:uid="{5AB888CC-6D6F-4AE8-83B7-E27728B447F2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:E1000"/>
  <sheetViews>
    <sheetView workbookViewId="0">
      <selection activeCell="B13" sqref="B13"/>
    </sheetView>
  </sheetViews>
  <sheetFormatPr baseColWidth="10" defaultColWidth="14.5" defaultRowHeight="15" customHeight="1" x14ac:dyDescent="0.2"/>
  <cols>
    <col min="1" max="1" width="35.5" customWidth="1"/>
    <col min="2" max="2" width="35" customWidth="1"/>
    <col min="3" max="26" width="8.6640625" customWidth="1"/>
  </cols>
  <sheetData>
    <row r="1" spans="1:5" ht="15" customHeight="1" x14ac:dyDescent="0.2">
      <c r="A1" s="36" t="s">
        <v>67</v>
      </c>
      <c r="B1" s="36" t="s">
        <v>68</v>
      </c>
      <c r="C1" s="4"/>
      <c r="D1" s="4"/>
      <c r="E1" s="4"/>
    </row>
    <row r="2" spans="1:5" x14ac:dyDescent="0.2">
      <c r="A2" s="314">
        <v>6.6E-3</v>
      </c>
      <c r="B2" s="314">
        <f>'2. Custo BNDES'!J3</f>
        <v>1.5097041248249985E-2</v>
      </c>
      <c r="C2" s="4"/>
      <c r="D2" s="4"/>
      <c r="E2" s="4"/>
    </row>
    <row r="3" spans="1:5" x14ac:dyDescent="0.2">
      <c r="A3" s="5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A1000"/>
  <sheetViews>
    <sheetView workbookViewId="0"/>
  </sheetViews>
  <sheetFormatPr baseColWidth="10" defaultColWidth="14.5" defaultRowHeight="15" customHeight="1" x14ac:dyDescent="0.2"/>
  <cols>
    <col min="1" max="1" width="16.1640625" customWidth="1"/>
    <col min="2" max="26" width="8.6640625" customWidth="1"/>
  </cols>
  <sheetData>
    <row r="1" spans="1:1" x14ac:dyDescent="0.2">
      <c r="A1" s="25" t="s">
        <v>69</v>
      </c>
    </row>
    <row r="2" spans="1:1" x14ac:dyDescent="0.2">
      <c r="A2" s="1">
        <v>0.34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B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9.1640625" customWidth="1"/>
    <col min="2" max="17" width="8.6640625" customWidth="1"/>
  </cols>
  <sheetData>
    <row r="1" spans="1:2" ht="30" x14ac:dyDescent="0.2">
      <c r="A1" s="22" t="s">
        <v>70</v>
      </c>
      <c r="B1" s="22" t="s">
        <v>71</v>
      </c>
    </row>
    <row r="2" spans="1:2" x14ac:dyDescent="0.2">
      <c r="A2" s="34">
        <f>'6. BETA'!I58</f>
        <v>0.79960233134892855</v>
      </c>
      <c r="B2" s="34">
        <f>'6. BETA'!I59</f>
        <v>0.20039766865107153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7691-3559-4680-A5F2-9C34C449D685}">
  <sheetPr>
    <tabColor theme="1"/>
  </sheetPr>
  <dimension ref="A1:AA77"/>
  <sheetViews>
    <sheetView workbookViewId="0">
      <selection activeCell="G42" sqref="G42"/>
    </sheetView>
  </sheetViews>
  <sheetFormatPr baseColWidth="10" defaultColWidth="9.1640625" defaultRowHeight="15" x14ac:dyDescent="0.2"/>
  <cols>
    <col min="1" max="1" width="58.33203125" style="24" bestFit="1" customWidth="1"/>
    <col min="2" max="2" width="37.5" style="24" bestFit="1" customWidth="1"/>
    <col min="3" max="3" width="13.33203125" style="39" bestFit="1" customWidth="1"/>
    <col min="4" max="4" width="11.83203125" style="39" bestFit="1" customWidth="1"/>
    <col min="5" max="5" width="11.83203125" style="39" customWidth="1"/>
    <col min="6" max="6" width="15.5" style="39" bestFit="1" customWidth="1"/>
    <col min="7" max="7" width="19.33203125" style="39" bestFit="1" customWidth="1"/>
    <col min="8" max="8" width="19.33203125" style="39" customWidth="1"/>
    <col min="9" max="9" width="26.1640625" style="39" customWidth="1"/>
    <col min="10" max="10" width="37.33203125" style="39" bestFit="1" customWidth="1"/>
    <col min="11" max="11" width="34.5" style="39" bestFit="1" customWidth="1"/>
    <col min="12" max="12" width="20" style="24" bestFit="1" customWidth="1"/>
    <col min="13" max="13" width="31.5" style="24" customWidth="1"/>
    <col min="14" max="14" width="22.5" style="24" bestFit="1" customWidth="1"/>
    <col min="15" max="15" width="7.83203125" style="24" customWidth="1"/>
    <col min="16" max="16" width="28.6640625" style="24" customWidth="1"/>
    <col min="17" max="17" width="19.1640625" style="24" bestFit="1" customWidth="1"/>
    <col min="18" max="18" width="62.1640625" style="24" customWidth="1"/>
    <col min="19" max="19" width="9.1640625" style="24"/>
    <col min="20" max="20" width="28.6640625" style="24" customWidth="1"/>
    <col min="21" max="21" width="18.1640625" style="24" bestFit="1" customWidth="1"/>
    <col min="22" max="22" width="58.33203125" style="24" customWidth="1"/>
    <col min="23" max="16384" width="9.1640625" style="24"/>
  </cols>
  <sheetData>
    <row r="1" spans="1:27" x14ac:dyDescent="0.2">
      <c r="A1" s="148" t="s">
        <v>61</v>
      </c>
      <c r="B1" s="24" t="s">
        <v>72</v>
      </c>
    </row>
    <row r="2" spans="1:27" x14ac:dyDescent="0.2">
      <c r="A2" s="315"/>
      <c r="B2" s="315"/>
      <c r="C2" s="316"/>
      <c r="D2" s="315"/>
      <c r="E2" s="315"/>
      <c r="F2" s="316"/>
      <c r="G2" s="316"/>
      <c r="H2" s="316"/>
      <c r="I2" s="315"/>
      <c r="J2" s="512" t="s">
        <v>750</v>
      </c>
      <c r="K2" s="315"/>
      <c r="L2" s="513" t="s">
        <v>751</v>
      </c>
      <c r="M2" s="514"/>
      <c r="N2" s="515"/>
      <c r="O2"/>
      <c r="P2" s="510" t="s">
        <v>35</v>
      </c>
      <c r="Q2" s="511"/>
      <c r="R2" s="71" t="s">
        <v>76</v>
      </c>
      <c r="T2" s="510" t="s">
        <v>38</v>
      </c>
      <c r="U2" s="511"/>
      <c r="V2" s="71" t="s">
        <v>76</v>
      </c>
    </row>
    <row r="3" spans="1:27" ht="32" x14ac:dyDescent="0.2">
      <c r="A3" s="317" t="s">
        <v>610</v>
      </c>
      <c r="B3" s="317" t="s">
        <v>752</v>
      </c>
      <c r="C3" s="317" t="s">
        <v>753</v>
      </c>
      <c r="D3" s="317" t="s">
        <v>754</v>
      </c>
      <c r="E3" s="317" t="s">
        <v>74</v>
      </c>
      <c r="F3" s="317" t="s">
        <v>755</v>
      </c>
      <c r="G3" s="317" t="s">
        <v>756</v>
      </c>
      <c r="H3" s="317" t="s">
        <v>757</v>
      </c>
      <c r="I3" s="317" t="s">
        <v>758</v>
      </c>
      <c r="J3" s="512"/>
      <c r="K3" s="315"/>
      <c r="L3" s="516"/>
      <c r="M3" s="517"/>
      <c r="N3" s="518"/>
      <c r="O3"/>
      <c r="P3" s="69" t="s">
        <v>77</v>
      </c>
      <c r="Q3" s="67">
        <v>0</v>
      </c>
      <c r="R3" s="149" t="s">
        <v>78</v>
      </c>
      <c r="T3" s="69" t="s">
        <v>77</v>
      </c>
      <c r="U3" s="67">
        <f>M52</f>
        <v>1.559124087591241E-2</v>
      </c>
      <c r="V3" s="149" t="s">
        <v>78</v>
      </c>
    </row>
    <row r="4" spans="1:27" x14ac:dyDescent="0.2">
      <c r="A4" s="318" t="s">
        <v>759</v>
      </c>
      <c r="B4" s="316" t="s">
        <v>760</v>
      </c>
      <c r="C4" s="319">
        <v>1.7000000000000001E-2</v>
      </c>
      <c r="D4" s="319">
        <f>VLOOKUP(WORKDAY(DATE(YEAR(F4),MONTH(F4),1),-1),'22. IDKA 5 anos'!A3:E4074,5)/100</f>
        <v>3.4877999999999999E-2</v>
      </c>
      <c r="E4" s="319"/>
      <c r="F4" s="320">
        <v>44354</v>
      </c>
      <c r="G4" s="320">
        <v>46180</v>
      </c>
      <c r="H4" s="321">
        <v>325000000</v>
      </c>
      <c r="I4" s="322">
        <f>H4/(SUM($H$4:$H$12))</f>
        <v>6.6204929720920763E-2</v>
      </c>
      <c r="J4" s="322">
        <f>C4*(H4/SUMIF($B$4:$B$12,B4,$H$4:$H$12))</f>
        <v>2.2783505154639178E-3</v>
      </c>
      <c r="K4" s="315"/>
      <c r="L4" s="323" t="s">
        <v>760</v>
      </c>
      <c r="M4" s="317" t="s">
        <v>761</v>
      </c>
      <c r="N4" s="324" t="s">
        <v>762</v>
      </c>
      <c r="O4"/>
      <c r="P4" s="72" t="s">
        <v>79</v>
      </c>
      <c r="Q4" s="73">
        <f>N54</f>
        <v>9.8787698275487681E-3</v>
      </c>
      <c r="R4" s="150" t="s">
        <v>80</v>
      </c>
      <c r="T4" s="70" t="s">
        <v>81</v>
      </c>
      <c r="U4" s="68">
        <f>M46*H77</f>
        <v>3425000000.0000005</v>
      </c>
      <c r="V4" s="151" t="s">
        <v>82</v>
      </c>
    </row>
    <row r="5" spans="1:27" x14ac:dyDescent="0.2">
      <c r="A5" s="344" t="s">
        <v>763</v>
      </c>
      <c r="B5" s="345" t="s">
        <v>761</v>
      </c>
      <c r="C5" s="342">
        <v>7.4999999999999997E-2</v>
      </c>
      <c r="D5" s="342">
        <f>VLOOKUP(WORKDAY(DATE(YEAR(F5),MONTH(F5),1),-1),'22. IDKA 5 anos'!A4:E4075,5)/100</f>
        <v>5.8766999999999993E-2</v>
      </c>
      <c r="E5" s="342">
        <f t="shared" ref="E5" si="0">C5-D5</f>
        <v>1.6233000000000004E-2</v>
      </c>
      <c r="F5" s="346">
        <v>41958</v>
      </c>
      <c r="G5" s="346">
        <v>46341</v>
      </c>
      <c r="H5" s="347">
        <v>300000000</v>
      </c>
      <c r="I5" s="348">
        <f t="shared" ref="I5:I12" si="1">H5/(SUM($H$4:$H$12))</f>
        <v>6.111224281931147E-2</v>
      </c>
      <c r="J5" s="348">
        <f t="shared" ref="J5:J12" si="2">C5*(H5/SUMIF($B$4:$B$12,B5,$H$4:$H$12))</f>
        <v>9.0579710144927522E-3</v>
      </c>
      <c r="K5" s="315"/>
      <c r="L5" s="326">
        <f>SUMIF($B$4:$B$12,L4,$I$4:$I$12)</f>
        <v>0.49399062945610106</v>
      </c>
      <c r="M5" s="327">
        <f>SUMIF($B$4:$B$12,M4,$I$4:$I$12)</f>
        <v>0.50600937054389894</v>
      </c>
      <c r="N5" s="328">
        <f>SUMIF($B$4:$B$12,N4,$I$4:$I$12)</f>
        <v>0</v>
      </c>
      <c r="O5"/>
      <c r="P5" s="70" t="s">
        <v>81</v>
      </c>
      <c r="Q5" s="68">
        <f>N46*H77</f>
        <v>11790464000.000002</v>
      </c>
      <c r="R5" s="151" t="s">
        <v>82</v>
      </c>
    </row>
    <row r="6" spans="1:27" s="26" customFormat="1" x14ac:dyDescent="0.2">
      <c r="A6" s="329" t="s">
        <v>764</v>
      </c>
      <c r="B6" s="330" t="s">
        <v>760</v>
      </c>
      <c r="C6" s="331">
        <v>1.15E-2</v>
      </c>
      <c r="D6" s="342">
        <f>VLOOKUP(WORKDAY(DATE(YEAR(F6),MONTH(F6),1),-1),'22. IDKA 5 anos'!A5:E4075,5)/100</f>
        <v>5.6351999999999999E-2</v>
      </c>
      <c r="E6" s="319"/>
      <c r="F6" s="325">
        <v>44732</v>
      </c>
      <c r="G6" s="325">
        <v>46193</v>
      </c>
      <c r="H6" s="321">
        <v>600000000</v>
      </c>
      <c r="I6" s="322">
        <f t="shared" si="1"/>
        <v>0.12222448563862294</v>
      </c>
      <c r="J6" s="322">
        <f t="shared" si="2"/>
        <v>2.8453608247422683E-3</v>
      </c>
      <c r="K6" s="315"/>
      <c r="L6" s="316"/>
      <c r="M6" s="316"/>
      <c r="N6" s="316"/>
      <c r="O6"/>
      <c r="S6" s="24"/>
      <c r="T6" s="24"/>
      <c r="U6" s="24"/>
      <c r="V6" s="24"/>
      <c r="W6" s="24"/>
      <c r="X6" s="24"/>
      <c r="Y6" s="24"/>
      <c r="Z6" s="24"/>
      <c r="AA6" s="24"/>
    </row>
    <row r="7" spans="1:27" s="26" customFormat="1" ht="16" x14ac:dyDescent="0.2">
      <c r="A7" s="332" t="s">
        <v>765</v>
      </c>
      <c r="B7" s="330" t="s">
        <v>760</v>
      </c>
      <c r="C7" s="331">
        <v>1.7899999999999999E-2</v>
      </c>
      <c r="D7" s="319">
        <f>VLOOKUP(WORKDAY(DATE(YEAR(F7),MONTH(F7),1),-1),'22. IDKA 5 anos'!A6:E4076,5)/100</f>
        <v>3.5626999999999999E-2</v>
      </c>
      <c r="E7" s="319"/>
      <c r="F7" s="333">
        <v>44301</v>
      </c>
      <c r="G7" s="333">
        <v>46553</v>
      </c>
      <c r="H7" s="321">
        <v>750000000</v>
      </c>
      <c r="I7" s="322">
        <f t="shared" si="1"/>
        <v>0.15278060704827867</v>
      </c>
      <c r="J7" s="322">
        <f t="shared" si="2"/>
        <v>5.536082474226804E-3</v>
      </c>
      <c r="K7" s="315"/>
      <c r="L7" s="316"/>
      <c r="M7" s="316"/>
      <c r="N7" s="316"/>
      <c r="O7"/>
      <c r="S7" s="24"/>
      <c r="T7" s="24"/>
      <c r="U7" s="24"/>
      <c r="V7" s="24"/>
      <c r="W7" s="24"/>
      <c r="X7" s="24"/>
      <c r="Y7" s="24"/>
      <c r="Z7" s="24"/>
      <c r="AA7" s="24"/>
    </row>
    <row r="8" spans="1:27" ht="16" x14ac:dyDescent="0.2">
      <c r="A8" s="332" t="s">
        <v>765</v>
      </c>
      <c r="B8" s="330" t="s">
        <v>760</v>
      </c>
      <c r="C8" s="331">
        <v>1.2999999999999999E-2</v>
      </c>
      <c r="D8" s="319">
        <f>VLOOKUP(WORKDAY(DATE(YEAR(F8),MONTH(F8),1),-1),'22. IDKA 5 anos'!A7:E4077,5)/100</f>
        <v>4.6948999999999998E-2</v>
      </c>
      <c r="E8" s="319"/>
      <c r="F8" s="333">
        <v>44484</v>
      </c>
      <c r="G8" s="333">
        <v>46675</v>
      </c>
      <c r="H8" s="321">
        <v>750000000</v>
      </c>
      <c r="I8" s="322">
        <f t="shared" si="1"/>
        <v>0.15278060704827867</v>
      </c>
      <c r="J8" s="322">
        <f t="shared" si="2"/>
        <v>4.0206185567010309E-3</v>
      </c>
      <c r="K8" s="315"/>
      <c r="L8" s="513" t="s">
        <v>766</v>
      </c>
      <c r="M8" s="514"/>
      <c r="N8" s="515"/>
      <c r="O8"/>
    </row>
    <row r="9" spans="1:27" s="26" customFormat="1" ht="16" x14ac:dyDescent="0.2">
      <c r="A9" s="332" t="s">
        <v>765</v>
      </c>
      <c r="B9" s="330" t="s">
        <v>761</v>
      </c>
      <c r="C9" s="331">
        <v>5.9900000000000002E-2</v>
      </c>
      <c r="D9" s="342">
        <f>VLOOKUP(WORKDAY(DATE(YEAR(F9),MONTH(F9),1),-1),'22. IDKA 5 anos'!A8:E4077,5)/100</f>
        <v>5.4848000000000001E-2</v>
      </c>
      <c r="E9" s="319">
        <f>C9-D9</f>
        <v>5.0520000000000009E-3</v>
      </c>
      <c r="F9" s="333">
        <v>44910</v>
      </c>
      <c r="G9" s="333">
        <v>48380</v>
      </c>
      <c r="H9" s="321">
        <v>434000000</v>
      </c>
      <c r="I9" s="322">
        <f t="shared" si="1"/>
        <v>8.8409044611937257E-2</v>
      </c>
      <c r="J9" s="322">
        <f t="shared" si="2"/>
        <v>1.046561996779388E-2</v>
      </c>
      <c r="K9" s="315"/>
      <c r="L9" s="516"/>
      <c r="M9" s="517"/>
      <c r="N9" s="518"/>
      <c r="O9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 ht="16" x14ac:dyDescent="0.2">
      <c r="A10" s="332" t="s">
        <v>765</v>
      </c>
      <c r="B10" s="330" t="s">
        <v>761</v>
      </c>
      <c r="C10" s="331">
        <v>4.7699999999999999E-2</v>
      </c>
      <c r="D10" s="319">
        <f>VLOOKUP(WORKDAY(DATE(YEAR(F10),MONTH(F10),1),-1),'22. IDKA 5 anos'!A9:E4078,5)/100</f>
        <v>3.5626999999999999E-2</v>
      </c>
      <c r="E10" s="319">
        <f>C10-D10</f>
        <v>1.2073E-2</v>
      </c>
      <c r="F10" s="333">
        <v>44301</v>
      </c>
      <c r="G10" s="333">
        <v>48014</v>
      </c>
      <c r="H10" s="321">
        <v>750000000</v>
      </c>
      <c r="I10" s="322">
        <f t="shared" si="1"/>
        <v>0.15278060704827867</v>
      </c>
      <c r="J10" s="322">
        <f t="shared" si="2"/>
        <v>1.4402173913043478E-2</v>
      </c>
      <c r="K10" s="315"/>
      <c r="L10" s="323" t="s">
        <v>760</v>
      </c>
      <c r="M10" s="317" t="s">
        <v>761</v>
      </c>
      <c r="N10" s="324" t="s">
        <v>762</v>
      </c>
      <c r="O10"/>
    </row>
    <row r="11" spans="1:27" s="26" customFormat="1" ht="16" x14ac:dyDescent="0.2">
      <c r="A11" s="332" t="s">
        <v>765</v>
      </c>
      <c r="B11" s="330" t="s">
        <v>761</v>
      </c>
      <c r="C11" s="331">
        <v>5.7283000000000001E-2</v>
      </c>
      <c r="D11" s="319">
        <f>VLOOKUP(WORKDAY(DATE(YEAR(F11),MONTH(F11),1),-1),'22. IDKA 5 anos'!A10:E4078,5)/100</f>
        <v>4.6948999999999998E-2</v>
      </c>
      <c r="E11" s="319">
        <f>C11-D11</f>
        <v>1.0334000000000003E-2</v>
      </c>
      <c r="F11" s="333">
        <v>44484</v>
      </c>
      <c r="G11" s="333">
        <v>48867</v>
      </c>
      <c r="H11" s="321">
        <v>500000000</v>
      </c>
      <c r="I11" s="322">
        <f t="shared" si="1"/>
        <v>0.10185373803218578</v>
      </c>
      <c r="J11" s="322">
        <f t="shared" si="2"/>
        <v>1.1530394524959743E-2</v>
      </c>
      <c r="K11" s="315"/>
      <c r="L11" s="326">
        <f>SUMIF($B$4:$B$12,L10,$J$4:$J$12)</f>
        <v>1.4680412371134021E-2</v>
      </c>
      <c r="M11" s="327">
        <f>SUMIF($B$4:$B$12,M10,$J$4:$J$12)</f>
        <v>5.4866384863123993E-2</v>
      </c>
      <c r="N11" s="328">
        <f>SUMIF($B$4:$B$12,N10,$J$4:$J$12)</f>
        <v>0</v>
      </c>
      <c r="O11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 ht="16" x14ac:dyDescent="0.2">
      <c r="A12" s="332" t="s">
        <v>767</v>
      </c>
      <c r="B12" s="330" t="s">
        <v>761</v>
      </c>
      <c r="C12" s="331">
        <v>4.675E-2</v>
      </c>
      <c r="D12" s="319">
        <f>VLOOKUP(WORKDAY(DATE(YEAR(F12),MONTH(F12),1),-1),'22. IDKA 5 anos'!A11:E4079,5)/100</f>
        <v>4.1264000000000002E-2</v>
      </c>
      <c r="E12" s="319">
        <f>C12-D12</f>
        <v>5.4859999999999978E-3</v>
      </c>
      <c r="F12" s="333">
        <v>43511</v>
      </c>
      <c r="G12" s="333">
        <v>46068</v>
      </c>
      <c r="H12" s="321">
        <v>500000000</v>
      </c>
      <c r="I12" s="322">
        <f t="shared" si="1"/>
        <v>0.10185373803218578</v>
      </c>
      <c r="J12" s="322">
        <f t="shared" si="2"/>
        <v>9.4102254428341386E-3</v>
      </c>
      <c r="K12" s="315"/>
      <c r="L12" s="315"/>
      <c r="M12" s="315"/>
      <c r="N12" s="315"/>
      <c r="O12"/>
    </row>
    <row r="13" spans="1:27" x14ac:dyDescent="0.2">
      <c r="A13" s="332"/>
      <c r="B13" s="330"/>
      <c r="C13" s="331"/>
      <c r="D13" s="319"/>
      <c r="E13" s="319"/>
      <c r="F13" s="333"/>
      <c r="G13" s="333"/>
      <c r="H13" s="334">
        <f>SUM(H4:H12)</f>
        <v>4909000000</v>
      </c>
      <c r="I13" s="322"/>
      <c r="J13" s="322"/>
      <c r="K13" s="315"/>
      <c r="L13" s="315"/>
      <c r="M13" s="315"/>
      <c r="N13" s="315"/>
      <c r="O13"/>
    </row>
    <row r="14" spans="1:27" s="26" customFormat="1" x14ac:dyDescent="0.2">
      <c r="A14" s="332"/>
      <c r="B14" s="330"/>
      <c r="C14" s="331"/>
      <c r="D14" s="319"/>
      <c r="E14" s="319"/>
      <c r="F14" s="333"/>
      <c r="G14" s="333"/>
      <c r="H14" s="321"/>
      <c r="I14" s="322"/>
      <c r="J14" s="322"/>
      <c r="K14" s="315"/>
      <c r="L14" s="315"/>
      <c r="M14" s="315"/>
      <c r="N14" s="315"/>
      <c r="O1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s="26" customFormat="1" x14ac:dyDescent="0.2">
      <c r="A15" s="332"/>
      <c r="B15" s="315"/>
      <c r="C15" s="316"/>
      <c r="D15" s="319"/>
      <c r="E15" s="315"/>
      <c r="F15" s="316"/>
      <c r="G15" s="316"/>
      <c r="H15" s="316"/>
      <c r="I15" s="315"/>
      <c r="J15" s="512" t="s">
        <v>750</v>
      </c>
      <c r="K15" s="315"/>
      <c r="L15" s="513" t="s">
        <v>751</v>
      </c>
      <c r="M15" s="514"/>
      <c r="N15" s="515"/>
      <c r="O15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s="26" customFormat="1" x14ac:dyDescent="0.2">
      <c r="A16" s="317" t="s">
        <v>609</v>
      </c>
      <c r="B16" s="317" t="s">
        <v>752</v>
      </c>
      <c r="C16" s="317" t="s">
        <v>753</v>
      </c>
      <c r="D16" s="317" t="s">
        <v>754</v>
      </c>
      <c r="E16" s="317" t="s">
        <v>74</v>
      </c>
      <c r="F16" s="317" t="s">
        <v>755</v>
      </c>
      <c r="G16" s="317" t="s">
        <v>756</v>
      </c>
      <c r="H16" s="317" t="s">
        <v>757</v>
      </c>
      <c r="I16" s="317" t="s">
        <v>758</v>
      </c>
      <c r="J16" s="512"/>
      <c r="K16" s="335"/>
      <c r="L16" s="516"/>
      <c r="M16" s="517"/>
      <c r="N16" s="518"/>
      <c r="O16" s="335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x14ac:dyDescent="0.2">
      <c r="A17" s="315" t="s">
        <v>768</v>
      </c>
      <c r="B17" s="316" t="s">
        <v>761</v>
      </c>
      <c r="C17" s="319">
        <v>4.4999999999999998E-2</v>
      </c>
      <c r="D17" s="319">
        <f>VLOOKUP(WORKDAY(DATE(YEAR(F17),MONTH(F17),1),-1),'22. IDKA 5 anos'!A16:E4081,5)/100</f>
        <v>4.1264000000000002E-2</v>
      </c>
      <c r="E17" s="319">
        <f t="shared" ref="E17:E39" si="3">C17-D17</f>
        <v>3.7359999999999963E-3</v>
      </c>
      <c r="F17" s="320">
        <v>43511</v>
      </c>
      <c r="G17" s="320">
        <v>47164</v>
      </c>
      <c r="H17" s="336">
        <v>600000000</v>
      </c>
      <c r="I17" s="322">
        <f>H17/(SUM($H$17:$H$39))</f>
        <v>5.666089418068064E-2</v>
      </c>
      <c r="J17" s="322">
        <f>C17*(H17/SUMIF($B$17:$B$39,B17,$H$17:$H$39))</f>
        <v>2.9012093100021664E-3</v>
      </c>
      <c r="K17" s="315"/>
      <c r="L17" s="323" t="s">
        <v>760</v>
      </c>
      <c r="M17" s="317" t="s">
        <v>761</v>
      </c>
      <c r="N17" s="324" t="s">
        <v>762</v>
      </c>
      <c r="O17" s="315"/>
    </row>
    <row r="18" spans="1:27" x14ac:dyDescent="0.2">
      <c r="A18" s="315" t="s">
        <v>768</v>
      </c>
      <c r="B18" s="316" t="s">
        <v>761</v>
      </c>
      <c r="C18" s="319">
        <v>3.9E-2</v>
      </c>
      <c r="D18" s="319">
        <f>VLOOKUP(WORKDAY(DATE(YEAR(F18),MONTH(F18),1),-1),'22. IDKA 5 anos'!A17:E4081,5)/100</f>
        <v>2.6121999999999999E-2</v>
      </c>
      <c r="E18" s="319">
        <f t="shared" si="3"/>
        <v>1.2878000000000001E-2</v>
      </c>
      <c r="F18" s="320">
        <v>43753</v>
      </c>
      <c r="G18" s="320">
        <v>47406</v>
      </c>
      <c r="H18" s="336">
        <v>906856000</v>
      </c>
      <c r="I18" s="322">
        <f t="shared" ref="I18:I39" si="4">H18/(SUM($H$17:$H$39))</f>
        <v>8.5638786421858862E-2</v>
      </c>
      <c r="J18" s="322">
        <f t="shared" ref="J18:J39" si="5">C18*(H18/SUMIF($B$17:$B$39,B18,$H$17:$H$39))</f>
        <v>3.8003031011563573E-3</v>
      </c>
      <c r="K18" s="315"/>
      <c r="L18" s="326">
        <f>SUMIF($B$17:$B$39,L17,$I$17:$I$39)</f>
        <v>9.4434823634467729E-2</v>
      </c>
      <c r="M18" s="327">
        <f>SUMIF($B$17:$B$39,M17,$I$17:$I$39)</f>
        <v>0.878854286500523</v>
      </c>
      <c r="N18" s="328">
        <f>SUMIF($B$17:$B$39,N17,$I$17:$I$39)</f>
        <v>2.6710889865009198E-2</v>
      </c>
      <c r="O18" s="315"/>
    </row>
    <row r="19" spans="1:27" x14ac:dyDescent="0.2">
      <c r="A19" s="315" t="s">
        <v>768</v>
      </c>
      <c r="B19" s="316" t="s">
        <v>761</v>
      </c>
      <c r="C19" s="319">
        <v>6.7960999999999994E-2</v>
      </c>
      <c r="D19" s="319">
        <f>VLOOKUP(WORKDAY(DATE(YEAR(F19),MONTH(F19),1),-1),'22. IDKA 5 anos'!A18:E4082,5)/100</f>
        <v>3.32E-2</v>
      </c>
      <c r="E19" s="319">
        <f t="shared" si="3"/>
        <v>3.4760999999999993E-2</v>
      </c>
      <c r="F19" s="320">
        <v>43936</v>
      </c>
      <c r="G19" s="320">
        <v>47588</v>
      </c>
      <c r="H19" s="336">
        <v>800000000</v>
      </c>
      <c r="I19" s="322">
        <f t="shared" si="4"/>
        <v>7.5547858907574178E-2</v>
      </c>
      <c r="J19" s="322">
        <f t="shared" si="5"/>
        <v>5.8420469901350278E-3</v>
      </c>
      <c r="K19" s="315"/>
      <c r="L19" s="316"/>
      <c r="M19" s="316"/>
      <c r="N19" s="316"/>
      <c r="O19" s="315"/>
    </row>
    <row r="20" spans="1:27" x14ac:dyDescent="0.2">
      <c r="A20" s="315" t="s">
        <v>768</v>
      </c>
      <c r="B20" s="316" t="s">
        <v>761</v>
      </c>
      <c r="C20" s="319">
        <v>3.5999999999999997E-2</v>
      </c>
      <c r="D20" s="319">
        <f>VLOOKUP(WORKDAY(DATE(YEAR(F20),MONTH(F20),1),-1),'22. IDKA 5 anos'!A19:E4083,5)/100</f>
        <v>2.6544999999999999E-2</v>
      </c>
      <c r="E20" s="319">
        <f t="shared" si="3"/>
        <v>9.4549999999999981E-3</v>
      </c>
      <c r="F20" s="320">
        <v>44180</v>
      </c>
      <c r="G20" s="320">
        <v>47832</v>
      </c>
      <c r="H20" s="336">
        <v>376523000</v>
      </c>
      <c r="I20" s="322">
        <f t="shared" si="4"/>
        <v>3.5556883099320695E-2</v>
      </c>
      <c r="J20" s="322">
        <f t="shared" si="5"/>
        <v>1.4564960440399274E-3</v>
      </c>
      <c r="K20" s="315"/>
      <c r="L20" s="316"/>
      <c r="M20" s="316"/>
      <c r="N20" s="316"/>
      <c r="O20" s="315"/>
    </row>
    <row r="21" spans="1:27" x14ac:dyDescent="0.2">
      <c r="A21" s="315" t="s">
        <v>768</v>
      </c>
      <c r="B21" s="316" t="s">
        <v>761</v>
      </c>
      <c r="C21" s="319">
        <v>4.4998000000000003E-2</v>
      </c>
      <c r="D21" s="319">
        <f>VLOOKUP(WORKDAY(DATE(YEAR(F21),MONTH(F21),1),-1),'22. IDKA 5 anos'!A20:E4084,5)/100</f>
        <v>3.4877999999999999E-2</v>
      </c>
      <c r="E21" s="319">
        <f t="shared" si="3"/>
        <v>1.0120000000000004E-2</v>
      </c>
      <c r="F21" s="320">
        <v>44362</v>
      </c>
      <c r="G21" s="320">
        <v>48014</v>
      </c>
      <c r="H21" s="336">
        <v>784619000</v>
      </c>
      <c r="I21" s="322">
        <f t="shared" si="4"/>
        <v>7.4095356885252428E-2</v>
      </c>
      <c r="J21" s="322">
        <f t="shared" si="5"/>
        <v>3.7937379612707901E-3</v>
      </c>
      <c r="K21" s="315"/>
      <c r="L21" s="513" t="s">
        <v>766</v>
      </c>
      <c r="M21" s="514"/>
      <c r="N21" s="515"/>
      <c r="O21" s="315"/>
    </row>
    <row r="22" spans="1:27" s="26" customFormat="1" x14ac:dyDescent="0.2">
      <c r="A22" s="315" t="s">
        <v>768</v>
      </c>
      <c r="B22" s="316" t="s">
        <v>761</v>
      </c>
      <c r="C22" s="319">
        <v>0.04</v>
      </c>
      <c r="D22" s="319">
        <f>VLOOKUP(WORKDAY(DATE(YEAR(F22),MONTH(F22),1),-1),'22. IDKA 5 anos'!A21:E4085,5)/100</f>
        <v>2.6121999999999999E-2</v>
      </c>
      <c r="E22" s="319">
        <f t="shared" si="3"/>
        <v>1.3878000000000001E-2</v>
      </c>
      <c r="F22" s="320">
        <v>43753</v>
      </c>
      <c r="G22" s="320">
        <v>47406</v>
      </c>
      <c r="H22" s="336">
        <v>222280000</v>
      </c>
      <c r="I22" s="322">
        <f t="shared" si="4"/>
        <v>2.0990972597469487E-2</v>
      </c>
      <c r="J22" s="322">
        <f t="shared" si="5"/>
        <v>9.5537897100338002E-4</v>
      </c>
      <c r="K22" s="315"/>
      <c r="L22" s="516"/>
      <c r="M22" s="517"/>
      <c r="N22" s="518"/>
      <c r="O22" s="316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x14ac:dyDescent="0.2">
      <c r="A23" s="315" t="s">
        <v>768</v>
      </c>
      <c r="B23" s="316" t="s">
        <v>761</v>
      </c>
      <c r="C23" s="319">
        <v>0.04</v>
      </c>
      <c r="D23" s="319">
        <f>VLOOKUP(WORKDAY(DATE(YEAR(F23),MONTH(F23),1),-1),'22. IDKA 5 anos'!A22:E4086,5)/100</f>
        <v>2.6544999999999999E-2</v>
      </c>
      <c r="E23" s="319">
        <f t="shared" si="3"/>
        <v>1.3455000000000002E-2</v>
      </c>
      <c r="F23" s="320">
        <v>44180</v>
      </c>
      <c r="G23" s="320">
        <v>49658</v>
      </c>
      <c r="H23" s="336">
        <v>823477000</v>
      </c>
      <c r="I23" s="322">
        <f t="shared" si="4"/>
        <v>7.7764905262040579E-2</v>
      </c>
      <c r="J23" s="322">
        <f t="shared" si="5"/>
        <v>3.5393765021817093E-3</v>
      </c>
      <c r="K23" s="315"/>
      <c r="L23" s="323" t="s">
        <v>760</v>
      </c>
      <c r="M23" s="317" t="s">
        <v>761</v>
      </c>
      <c r="N23" s="324" t="s">
        <v>762</v>
      </c>
      <c r="O23" s="319"/>
    </row>
    <row r="24" spans="1:27" x14ac:dyDescent="0.2">
      <c r="A24" s="315" t="s">
        <v>768</v>
      </c>
      <c r="B24" s="316" t="s">
        <v>761</v>
      </c>
      <c r="C24" s="319">
        <v>4.5404E-2</v>
      </c>
      <c r="D24" s="319">
        <f>VLOOKUP(WORKDAY(DATE(YEAR(F24),MONTH(F24),1),-1),'22. IDKA 5 anos'!A23:E4087,5)/100</f>
        <v>3.4877999999999999E-2</v>
      </c>
      <c r="E24" s="319">
        <f t="shared" si="3"/>
        <v>1.0526000000000001E-2</v>
      </c>
      <c r="F24" s="320">
        <v>44362</v>
      </c>
      <c r="G24" s="320">
        <v>49841</v>
      </c>
      <c r="H24" s="336">
        <v>258815000</v>
      </c>
      <c r="I24" s="322">
        <f t="shared" si="4"/>
        <v>2.4441148878954766E-2</v>
      </c>
      <c r="J24" s="322">
        <f t="shared" si="5"/>
        <v>1.2626961496869274E-3</v>
      </c>
      <c r="K24" s="315"/>
      <c r="L24" s="326">
        <f>SUMIF($B$17:$B$39,L23,$J$17:$J$39)</f>
        <v>1.7799999999999996E-2</v>
      </c>
      <c r="M24" s="327">
        <f>SUMIF($B$17:$B$39,M23,$J$17:$J$39)</f>
        <v>5.2023422408983708E-2</v>
      </c>
      <c r="N24" s="328">
        <f>SUMIF($B$17:$B$39,N23,$J$17:$J$39)</f>
        <v>1.0640000000000001</v>
      </c>
      <c r="O24" s="315"/>
    </row>
    <row r="25" spans="1:27" s="26" customFormat="1" x14ac:dyDescent="0.2">
      <c r="A25" s="349" t="s">
        <v>671</v>
      </c>
      <c r="B25" s="345" t="s">
        <v>761</v>
      </c>
      <c r="C25" s="342">
        <v>6.8838999999999997E-2</v>
      </c>
      <c r="D25" s="342">
        <f>VLOOKUP(WORKDAY(DATE(YEAR(F25),MONTH(F25),1),-1),'22. IDKA 5 anos'!A24:E4088,5)/100</f>
        <v>6.2590000000000007E-2</v>
      </c>
      <c r="E25" s="342">
        <f t="shared" si="3"/>
        <v>6.2489999999999907E-3</v>
      </c>
      <c r="F25" s="346">
        <v>42170</v>
      </c>
      <c r="G25" s="346">
        <v>43997</v>
      </c>
      <c r="H25" s="347">
        <v>232358000</v>
      </c>
      <c r="I25" s="348">
        <f t="shared" si="4"/>
        <v>2.1942686750057651E-2</v>
      </c>
      <c r="J25" s="348">
        <f t="shared" si="5"/>
        <v>1.7187293006237384E-3</v>
      </c>
      <c r="K25" s="315"/>
      <c r="L25" s="315"/>
      <c r="M25" s="315"/>
      <c r="N25" s="315"/>
      <c r="O25" s="315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s="26" customFormat="1" x14ac:dyDescent="0.2">
      <c r="A26" s="315" t="s">
        <v>671</v>
      </c>
      <c r="B26" s="316" t="s">
        <v>761</v>
      </c>
      <c r="C26" s="319">
        <v>3.3120999999999998E-2</v>
      </c>
      <c r="D26" s="319">
        <f>VLOOKUP(WORKDAY(DATE(YEAR(F26),MONTH(F26),1),-1),'22. IDKA 5 anos'!A25:E4089,5)/100</f>
        <v>2.9224999999999998E-2</v>
      </c>
      <c r="E26" s="319">
        <f t="shared" si="3"/>
        <v>3.8960000000000002E-3</v>
      </c>
      <c r="F26" s="320">
        <v>43692</v>
      </c>
      <c r="G26" s="320">
        <v>45884</v>
      </c>
      <c r="H26" s="336">
        <v>120000000</v>
      </c>
      <c r="I26" s="322">
        <f t="shared" si="4"/>
        <v>1.1332178836136127E-2</v>
      </c>
      <c r="J26" s="322">
        <f t="shared" si="5"/>
        <v>4.2707090469591886E-4</v>
      </c>
      <c r="K26" s="315"/>
      <c r="L26" s="315"/>
      <c r="M26" s="315"/>
      <c r="N26" s="337"/>
      <c r="O26" s="315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s="26" customFormat="1" x14ac:dyDescent="0.2">
      <c r="A27" s="315" t="s">
        <v>671</v>
      </c>
      <c r="B27" s="316" t="s">
        <v>761</v>
      </c>
      <c r="C27" s="319">
        <v>5.7500000000000002E-2</v>
      </c>
      <c r="D27" s="319">
        <f>VLOOKUP(WORKDAY(DATE(YEAR(F27),MONTH(F27),1),-1),'22. IDKA 5 anos'!A26:E4090,5)/100</f>
        <v>5.135E-2</v>
      </c>
      <c r="E27" s="319">
        <f t="shared" si="3"/>
        <v>6.1500000000000027E-3</v>
      </c>
      <c r="F27" s="320">
        <v>44545</v>
      </c>
      <c r="G27" s="320">
        <v>47102</v>
      </c>
      <c r="H27" s="336">
        <v>1000000000</v>
      </c>
      <c r="I27" s="322">
        <f t="shared" si="4"/>
        <v>9.4434823634467729E-2</v>
      </c>
      <c r="J27" s="322">
        <f t="shared" si="5"/>
        <v>6.1785013083379466E-3</v>
      </c>
      <c r="K27" s="315"/>
      <c r="L27" s="315"/>
      <c r="M27" s="315"/>
      <c r="N27" s="315"/>
      <c r="O27" s="315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s="26" customFormat="1" x14ac:dyDescent="0.2">
      <c r="A28" s="349" t="s">
        <v>654</v>
      </c>
      <c r="B28" s="345" t="s">
        <v>760</v>
      </c>
      <c r="C28" s="342">
        <v>2.9000000000000001E-2</v>
      </c>
      <c r="D28" s="342">
        <f>VLOOKUP(WORKDAY(DATE(YEAR(F28),MONTH(F28),1),-1),'22. IDKA 5 anos'!A27:E4091,5)/100</f>
        <v>5.9794E-2</v>
      </c>
      <c r="E28" s="342"/>
      <c r="F28" s="346">
        <v>41618</v>
      </c>
      <c r="G28" s="346">
        <v>43809</v>
      </c>
      <c r="H28" s="347">
        <v>300000000</v>
      </c>
      <c r="I28" s="348">
        <f t="shared" si="4"/>
        <v>2.833044709034032E-2</v>
      </c>
      <c r="J28" s="348">
        <f t="shared" si="5"/>
        <v>8.6999999999999994E-3</v>
      </c>
      <c r="K28" s="315"/>
      <c r="L28" s="315"/>
      <c r="M28" s="315"/>
      <c r="N28" s="337"/>
      <c r="O28" s="315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x14ac:dyDescent="0.2">
      <c r="A29" s="315" t="s">
        <v>654</v>
      </c>
      <c r="B29" s="316" t="s">
        <v>761</v>
      </c>
      <c r="C29" s="319">
        <v>4.095E-2</v>
      </c>
      <c r="D29" s="319">
        <f>VLOOKUP(WORKDAY(DATE(YEAR(F29),MONTH(F29),1),-1),'22. IDKA 5 anos'!A28:E4092,5)/100</f>
        <v>4.0529000000000003E-2</v>
      </c>
      <c r="E29" s="319">
        <f t="shared" si="3"/>
        <v>4.2099999999999776E-4</v>
      </c>
      <c r="F29" s="320">
        <v>43570</v>
      </c>
      <c r="G29" s="320">
        <v>45397</v>
      </c>
      <c r="H29" s="336">
        <v>367150000</v>
      </c>
      <c r="I29" s="322">
        <f t="shared" si="4"/>
        <v>3.4671745497394824E-2</v>
      </c>
      <c r="J29" s="322">
        <f t="shared" si="5"/>
        <v>1.6155214805537313E-3</v>
      </c>
      <c r="K29" s="315"/>
      <c r="L29" s="315"/>
      <c r="M29" s="315"/>
      <c r="N29" s="315"/>
      <c r="O29" s="315"/>
    </row>
    <row r="30" spans="1:27" s="26" customFormat="1" x14ac:dyDescent="0.2">
      <c r="A30" s="315" t="s">
        <v>654</v>
      </c>
      <c r="B30" s="316" t="s">
        <v>760</v>
      </c>
      <c r="C30" s="319">
        <v>1.2999999999999999E-2</v>
      </c>
      <c r="D30" s="319">
        <f>VLOOKUP(WORKDAY(DATE(YEAR(F30),MONTH(F30),1),-1),'22. IDKA 5 anos'!A29:E4093,5)/100</f>
        <v>3.9466000000000001E-2</v>
      </c>
      <c r="E30" s="319"/>
      <c r="F30" s="320">
        <v>44423</v>
      </c>
      <c r="G30" s="320">
        <v>46249</v>
      </c>
      <c r="H30" s="336">
        <v>700000000</v>
      </c>
      <c r="I30" s="322">
        <f t="shared" si="4"/>
        <v>6.6104376544127416E-2</v>
      </c>
      <c r="J30" s="322">
        <f t="shared" si="5"/>
        <v>9.0999999999999987E-3</v>
      </c>
      <c r="K30" s="315"/>
      <c r="L30" s="315"/>
      <c r="M30" s="315"/>
      <c r="N30" s="315"/>
      <c r="O30" s="315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s="26" customFormat="1" x14ac:dyDescent="0.2">
      <c r="A31" s="315" t="s">
        <v>654</v>
      </c>
      <c r="B31" s="316" t="s">
        <v>761</v>
      </c>
      <c r="C31" s="319">
        <v>6.4277000000000001E-2</v>
      </c>
      <c r="D31" s="319">
        <f>VLOOKUP(WORKDAY(DATE(YEAR(F31),MONTH(F31),1),-1),'22. IDKA 5 anos'!A30:E4094,5)/100</f>
        <v>5.7416000000000002E-2</v>
      </c>
      <c r="E31" s="319">
        <f t="shared" si="3"/>
        <v>6.860999999999999E-3</v>
      </c>
      <c r="F31" s="320">
        <v>42050</v>
      </c>
      <c r="G31" s="320">
        <v>45703</v>
      </c>
      <c r="H31" s="336">
        <v>214386000</v>
      </c>
      <c r="I31" s="322">
        <f t="shared" si="4"/>
        <v>2.0245504099699E-2</v>
      </c>
      <c r="J31" s="322">
        <f t="shared" si="5"/>
        <v>1.4807008249320044E-3</v>
      </c>
      <c r="K31" s="315"/>
      <c r="L31" s="315"/>
      <c r="M31" s="315"/>
      <c r="N31" s="315"/>
      <c r="O31" s="315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s="26" customFormat="1" x14ac:dyDescent="0.2">
      <c r="A32" s="315" t="s">
        <v>654</v>
      </c>
      <c r="B32" s="330" t="s">
        <v>762</v>
      </c>
      <c r="C32" s="319">
        <v>1.0640000000000001</v>
      </c>
      <c r="D32" s="319">
        <f>VLOOKUP(WORKDAY(DATE(YEAR(F32),MONTH(F32),1),-1),'22. IDKA 5 anos'!A31:E4095,5)/100</f>
        <v>4.0529000000000003E-2</v>
      </c>
      <c r="E32" s="319"/>
      <c r="F32" s="320">
        <v>43570</v>
      </c>
      <c r="G32" s="320">
        <v>45397</v>
      </c>
      <c r="H32" s="336">
        <v>282850000</v>
      </c>
      <c r="I32" s="322">
        <f t="shared" si="4"/>
        <v>2.6710889865009198E-2</v>
      </c>
      <c r="J32" s="322">
        <f t="shared" si="5"/>
        <v>1.0640000000000001</v>
      </c>
      <c r="K32" s="315"/>
      <c r="L32" s="315"/>
      <c r="M32" s="315"/>
      <c r="N32" s="315"/>
      <c r="O32" s="315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 s="26" customFormat="1" x14ac:dyDescent="0.2">
      <c r="A33" s="315" t="s">
        <v>654</v>
      </c>
      <c r="B33" s="316" t="s">
        <v>761</v>
      </c>
      <c r="C33" s="319">
        <v>4.9700000000000001E-2</v>
      </c>
      <c r="D33" s="319">
        <f>VLOOKUP(WORKDAY(DATE(YEAR(F33),MONTH(F33),1),-1),'22. IDKA 5 anos'!A32:E4096,5)/100</f>
        <v>3.9466000000000001E-2</v>
      </c>
      <c r="E33" s="319">
        <f t="shared" si="3"/>
        <v>1.0234E-2</v>
      </c>
      <c r="F33" s="320">
        <v>44423</v>
      </c>
      <c r="G33" s="320">
        <v>48075</v>
      </c>
      <c r="H33" s="336">
        <v>300000000</v>
      </c>
      <c r="I33" s="322">
        <f t="shared" si="4"/>
        <v>2.833044709034032E-2</v>
      </c>
      <c r="J33" s="322">
        <f t="shared" si="5"/>
        <v>1.6021122523011964E-3</v>
      </c>
      <c r="K33" s="315"/>
      <c r="L33" s="315"/>
      <c r="M33" s="315"/>
      <c r="N33" s="315"/>
      <c r="O33" s="315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s="26" customFormat="1" x14ac:dyDescent="0.2">
      <c r="A34" s="315" t="s">
        <v>654</v>
      </c>
      <c r="B34" s="316" t="s">
        <v>761</v>
      </c>
      <c r="C34" s="319">
        <v>5.0599999999999999E-2</v>
      </c>
      <c r="D34" s="319">
        <f>VLOOKUP(WORKDAY(DATE(YEAR(F34),MONTH(F34),1),-1),'22. IDKA 5 anos'!A33:E4097,5)/100</f>
        <v>3.9466000000000001E-2</v>
      </c>
      <c r="E34" s="319">
        <f t="shared" si="3"/>
        <v>1.1133999999999998E-2</v>
      </c>
      <c r="F34" s="320">
        <v>44423</v>
      </c>
      <c r="G34" s="320">
        <v>49902</v>
      </c>
      <c r="H34" s="336">
        <v>500000000</v>
      </c>
      <c r="I34" s="322">
        <f t="shared" si="4"/>
        <v>4.7217411817233865E-2</v>
      </c>
      <c r="J34" s="322">
        <f t="shared" si="5"/>
        <v>2.7185405756686965E-3</v>
      </c>
      <c r="K34" s="315"/>
      <c r="L34" s="315"/>
      <c r="M34" s="315"/>
      <c r="N34" s="315"/>
      <c r="O34" s="315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 s="26" customFormat="1" x14ac:dyDescent="0.2">
      <c r="A35" s="349" t="s">
        <v>769</v>
      </c>
      <c r="B35" s="345" t="s">
        <v>761</v>
      </c>
      <c r="C35" s="342">
        <v>6.4600000000000005E-2</v>
      </c>
      <c r="D35" s="342">
        <f>VLOOKUP(WORKDAY(DATE(YEAR(F35),MONTH(F35),1),-1),'22. IDKA 5 anos'!A34:E4098,5)/100</f>
        <v>6.1623000000000004E-2</v>
      </c>
      <c r="E35" s="342">
        <f t="shared" si="3"/>
        <v>2.9770000000000005E-3</v>
      </c>
      <c r="F35" s="346">
        <v>41654</v>
      </c>
      <c r="G35" s="346">
        <v>44211</v>
      </c>
      <c r="H35" s="347">
        <v>600000000</v>
      </c>
      <c r="I35" s="348">
        <f t="shared" si="4"/>
        <v>5.666089418068064E-2</v>
      </c>
      <c r="J35" s="348">
        <f t="shared" si="5"/>
        <v>4.1648471428031106E-3</v>
      </c>
      <c r="K35" s="315"/>
      <c r="L35" s="315"/>
      <c r="M35" s="315"/>
      <c r="N35" s="315"/>
      <c r="O35" s="315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 s="26" customFormat="1" x14ac:dyDescent="0.2">
      <c r="A36" s="349" t="s">
        <v>769</v>
      </c>
      <c r="B36" s="345" t="s">
        <v>761</v>
      </c>
      <c r="C36" s="342">
        <v>6.6231999999999999E-2</v>
      </c>
      <c r="D36" s="342">
        <f>VLOOKUP(WORKDAY(DATE(YEAR(F36),MONTH(F36),1),-1),'22. IDKA 5 anos'!A35:E4099,5)/100</f>
        <v>6.6318000000000002E-2</v>
      </c>
      <c r="E36" s="342">
        <f t="shared" si="3"/>
        <v>-8.6000000000002741E-5</v>
      </c>
      <c r="F36" s="346">
        <v>42231</v>
      </c>
      <c r="G36" s="346">
        <v>44060</v>
      </c>
      <c r="H36" s="347">
        <v>800000000</v>
      </c>
      <c r="I36" s="348">
        <f t="shared" si="4"/>
        <v>7.5547858907574178E-2</v>
      </c>
      <c r="J36" s="348">
        <f t="shared" si="5"/>
        <v>5.6934191117055839E-3</v>
      </c>
      <c r="K36" s="315"/>
      <c r="L36" s="315"/>
      <c r="M36" s="315"/>
      <c r="N36" s="315"/>
      <c r="O36" s="315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x14ac:dyDescent="0.2">
      <c r="A37" s="349" t="s">
        <v>769</v>
      </c>
      <c r="B37" s="345" t="s">
        <v>761</v>
      </c>
      <c r="C37" s="342">
        <v>6.5699999999999995E-2</v>
      </c>
      <c r="D37" s="342">
        <f>VLOOKUP(WORKDAY(DATE(YEAR(F37),MONTH(F37),1),-1),'22. IDKA 5 anos'!A36:E4100,5)/100</f>
        <v>6.1623000000000004E-2</v>
      </c>
      <c r="E37" s="342">
        <f t="shared" si="3"/>
        <v>4.0769999999999904E-3</v>
      </c>
      <c r="F37" s="346">
        <v>41654</v>
      </c>
      <c r="G37" s="346">
        <v>45306</v>
      </c>
      <c r="H37" s="347">
        <v>150000000</v>
      </c>
      <c r="I37" s="348">
        <f t="shared" si="4"/>
        <v>1.416522354517016E-2</v>
      </c>
      <c r="J37" s="348">
        <f t="shared" si="5"/>
        <v>1.0589413981507906E-3</v>
      </c>
      <c r="K37" s="315"/>
      <c r="L37" s="315"/>
      <c r="M37" s="315"/>
      <c r="N37" s="315"/>
      <c r="O37" s="315"/>
    </row>
    <row r="38" spans="1:27" s="26" customFormat="1" x14ac:dyDescent="0.2">
      <c r="A38" s="349" t="s">
        <v>769</v>
      </c>
      <c r="B38" s="345" t="s">
        <v>761</v>
      </c>
      <c r="C38" s="342">
        <v>6.7100000000000007E-2</v>
      </c>
      <c r="D38" s="342">
        <f>VLOOKUP(WORKDAY(DATE(YEAR(F38),MONTH(F38),1),-1),'22. IDKA 5 anos'!A37:E4101,5)/100</f>
        <v>6.1623000000000004E-2</v>
      </c>
      <c r="E38" s="342">
        <f t="shared" si="3"/>
        <v>5.4770000000000027E-3</v>
      </c>
      <c r="F38" s="346">
        <v>41654</v>
      </c>
      <c r="G38" s="346">
        <v>46037</v>
      </c>
      <c r="H38" s="347">
        <v>100000000</v>
      </c>
      <c r="I38" s="348">
        <f t="shared" si="4"/>
        <v>9.4434823634467722E-3</v>
      </c>
      <c r="J38" s="348">
        <f t="shared" si="5"/>
        <v>7.210042396338718E-4</v>
      </c>
      <c r="K38" s="315"/>
      <c r="L38" s="315"/>
      <c r="M38" s="315"/>
      <c r="N38" s="315"/>
      <c r="O38" s="315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 x14ac:dyDescent="0.2">
      <c r="A39" s="349" t="s">
        <v>769</v>
      </c>
      <c r="B39" s="345" t="s">
        <v>761</v>
      </c>
      <c r="C39" s="342">
        <v>6.7799999999999999E-2</v>
      </c>
      <c r="D39" s="342">
        <f>VLOOKUP(WORKDAY(DATE(YEAR(F39),MONTH(F39),1),-1),'22. IDKA 5 anos'!A38:E4102,5)/100</f>
        <v>6.1623000000000004E-2</v>
      </c>
      <c r="E39" s="342">
        <f t="shared" si="3"/>
        <v>6.176999999999995E-3</v>
      </c>
      <c r="F39" s="346">
        <v>41654</v>
      </c>
      <c r="G39" s="346">
        <v>47133</v>
      </c>
      <c r="H39" s="347">
        <v>150000000</v>
      </c>
      <c r="I39" s="348">
        <f t="shared" si="4"/>
        <v>1.416522354517016E-2</v>
      </c>
      <c r="J39" s="348">
        <f t="shared" si="5"/>
        <v>1.0927888401008161E-3</v>
      </c>
      <c r="K39" s="315"/>
      <c r="L39" s="315"/>
      <c r="M39" s="315"/>
      <c r="N39" s="315"/>
      <c r="O39" s="315"/>
    </row>
    <row r="40" spans="1:27" x14ac:dyDescent="0.2">
      <c r="A40"/>
      <c r="B40"/>
      <c r="C40" s="159"/>
      <c r="D40" s="319"/>
      <c r="E40"/>
      <c r="F40" s="159"/>
      <c r="G40" s="159"/>
      <c r="H40" s="338">
        <f>SUM(H17:H39)</f>
        <v>10589314000</v>
      </c>
      <c r="I40"/>
      <c r="J40"/>
      <c r="K40"/>
      <c r="L40"/>
      <c r="M40"/>
      <c r="N40"/>
      <c r="O40"/>
    </row>
    <row r="41" spans="1:27" x14ac:dyDescent="0.2">
      <c r="A41"/>
      <c r="B41"/>
      <c r="C41" s="159"/>
      <c r="D41" s="319"/>
      <c r="E41"/>
      <c r="F41" s="159"/>
      <c r="G41" s="159"/>
      <c r="H41" s="159"/>
      <c r="I41"/>
      <c r="J41"/>
      <c r="K41"/>
      <c r="L41"/>
      <c r="M41"/>
      <c r="N41"/>
      <c r="O41"/>
    </row>
    <row r="42" spans="1:27" s="26" customFormat="1" x14ac:dyDescent="0.2">
      <c r="A42"/>
      <c r="B42"/>
      <c r="C42" s="159"/>
      <c r="D42" s="319"/>
      <c r="E42"/>
      <c r="F42" s="159"/>
      <c r="G42" s="159"/>
      <c r="H42" s="159"/>
      <c r="I42"/>
      <c r="J42"/>
      <c r="K42"/>
      <c r="L42"/>
      <c r="M42"/>
      <c r="N42"/>
      <c r="O42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s="26" customFormat="1" x14ac:dyDescent="0.2">
      <c r="A43" s="315"/>
      <c r="B43" s="315"/>
      <c r="C43" s="316"/>
      <c r="D43" s="319"/>
      <c r="E43" s="315"/>
      <c r="F43" s="316"/>
      <c r="G43" s="316"/>
      <c r="H43" s="316"/>
      <c r="I43" s="315"/>
      <c r="J43" s="512" t="s">
        <v>750</v>
      </c>
      <c r="K43" s="519" t="s">
        <v>770</v>
      </c>
      <c r="L43"/>
      <c r="M43" s="513" t="s">
        <v>751</v>
      </c>
      <c r="N43" s="514"/>
      <c r="O43" s="515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 x14ac:dyDescent="0.2">
      <c r="A44" s="317" t="s">
        <v>771</v>
      </c>
      <c r="B44" s="317" t="s">
        <v>752</v>
      </c>
      <c r="C44" s="317" t="s">
        <v>753</v>
      </c>
      <c r="D44" s="317" t="s">
        <v>754</v>
      </c>
      <c r="E44" s="317" t="s">
        <v>74</v>
      </c>
      <c r="F44" s="317" t="s">
        <v>755</v>
      </c>
      <c r="G44" s="317" t="s">
        <v>756</v>
      </c>
      <c r="H44" s="317" t="s">
        <v>757</v>
      </c>
      <c r="I44" s="317" t="s">
        <v>758</v>
      </c>
      <c r="J44" s="512"/>
      <c r="K44" s="519"/>
      <c r="L44"/>
      <c r="M44" s="516"/>
      <c r="N44" s="517"/>
      <c r="O44" s="518"/>
    </row>
    <row r="45" spans="1:27" x14ac:dyDescent="0.2">
      <c r="A45" s="318" t="s">
        <v>759</v>
      </c>
      <c r="B45" s="316" t="s">
        <v>760</v>
      </c>
      <c r="C45" s="319">
        <v>1.7000000000000001E-2</v>
      </c>
      <c r="D45" s="319">
        <f>VLOOKUP(WORKDAY(DATE(YEAR(F45),MONTH(F45),1),-1),'22. IDKA 5 anos'!A44:E4108,5)/100</f>
        <v>3.4877999999999999E-2</v>
      </c>
      <c r="E45" s="319"/>
      <c r="F45" s="320">
        <v>44354</v>
      </c>
      <c r="G45" s="320">
        <v>46180</v>
      </c>
      <c r="H45" s="321">
        <v>325000000</v>
      </c>
      <c r="I45" s="322">
        <f>H45/(SUM($H$45:$H$76))</f>
        <v>2.0970022932817078E-2</v>
      </c>
      <c r="J45" s="322">
        <f>C45*(H45/SUMIF($B$45:$B$76,B45,$H$45:$H$76))</f>
        <v>1.6131386861313868E-3</v>
      </c>
      <c r="K45" s="322">
        <f>E45*(H45/SUMIF($B$45:$B$76,B45,$H$45:$H$76))</f>
        <v>0</v>
      </c>
      <c r="L45"/>
      <c r="M45" s="323" t="s">
        <v>760</v>
      </c>
      <c r="N45" s="317" t="s">
        <v>761</v>
      </c>
      <c r="O45" s="324" t="s">
        <v>762</v>
      </c>
    </row>
    <row r="46" spans="1:27" x14ac:dyDescent="0.2">
      <c r="A46" s="318" t="s">
        <v>763</v>
      </c>
      <c r="B46" s="316" t="s">
        <v>761</v>
      </c>
      <c r="C46" s="319">
        <v>7.4999999999999997E-2</v>
      </c>
      <c r="D46" s="319">
        <f>VLOOKUP(WORKDAY(DATE(YEAR(F46),MONTH(F46),1),-1),'22. IDKA 5 anos'!A45:E4109,5)/100</f>
        <v>5.8766999999999993E-2</v>
      </c>
      <c r="E46" s="319">
        <f t="shared" ref="E46" si="6">C46-D46</f>
        <v>1.6233000000000004E-2</v>
      </c>
      <c r="F46" s="325">
        <v>41958</v>
      </c>
      <c r="G46" s="325">
        <v>46341</v>
      </c>
      <c r="H46" s="321">
        <v>300000000</v>
      </c>
      <c r="I46" s="322">
        <f t="shared" ref="I46:I76" si="7">H46/(SUM($H$45:$H$76))</f>
        <v>1.9356944245677302E-2</v>
      </c>
      <c r="J46" s="322">
        <f t="shared" ref="J46:J76" si="8">C46*(H46/SUMIF($B$45:$B$76,B46,$H$45:$H$76))</f>
        <v>1.9083218438222618E-3</v>
      </c>
      <c r="K46" s="322">
        <f t="shared" ref="K46:K76" si="9">E46*(H46/SUMIF($B$45:$B$76,B46,$H$45:$H$76))</f>
        <v>4.1303717987689045E-4</v>
      </c>
      <c r="L46"/>
      <c r="M46" s="339">
        <f>SUMIF($B$45:$B$76,M45,$I$45:$I$76)</f>
        <v>0.22099178013814924</v>
      </c>
      <c r="N46" s="339">
        <f>SUMIF($B$45:$B$76,N45,$I$45:$I$76)</f>
        <v>0.76075784759555143</v>
      </c>
      <c r="O46" s="339">
        <f>SUMIF($B$45:$B$76,O45,$I$45:$I$76)</f>
        <v>1.8250372266299417E-2</v>
      </c>
    </row>
    <row r="47" spans="1:27" x14ac:dyDescent="0.2">
      <c r="A47" s="329" t="s">
        <v>764</v>
      </c>
      <c r="B47" s="330" t="s">
        <v>760</v>
      </c>
      <c r="C47" s="331">
        <v>1.15E-2</v>
      </c>
      <c r="D47" s="342">
        <f>VLOOKUP(WORKDAY(DATE(YEAR(F47),MONTH(F47),1),-1),'22. IDKA 5 anos'!A46:E4110,5)/100</f>
        <v>5.4275999999999998E-2</v>
      </c>
      <c r="E47" s="319"/>
      <c r="F47" s="325">
        <v>44732</v>
      </c>
      <c r="G47" s="325">
        <v>46193</v>
      </c>
      <c r="H47" s="321">
        <v>600000000</v>
      </c>
      <c r="I47" s="322">
        <f t="shared" si="7"/>
        <v>3.8713888491354605E-2</v>
      </c>
      <c r="J47" s="322">
        <f t="shared" si="8"/>
        <v>2.0145985401459855E-3</v>
      </c>
      <c r="K47" s="322">
        <f t="shared" si="9"/>
        <v>0</v>
      </c>
      <c r="L47"/>
      <c r="M47" s="316"/>
      <c r="N47" s="316"/>
      <c r="O47" s="316"/>
    </row>
    <row r="48" spans="1:27" ht="16" x14ac:dyDescent="0.2">
      <c r="A48" s="332" t="s">
        <v>765</v>
      </c>
      <c r="B48" s="330" t="s">
        <v>760</v>
      </c>
      <c r="C48" s="331">
        <v>1.7899999999999999E-2</v>
      </c>
      <c r="D48" s="319">
        <f>VLOOKUP(WORKDAY(DATE(YEAR(F48),MONTH(F48),1),-1),'22. IDKA 5 anos'!A47:E4111,5)/100</f>
        <v>3.5626999999999999E-2</v>
      </c>
      <c r="E48" s="319"/>
      <c r="F48" s="333">
        <v>44301</v>
      </c>
      <c r="G48" s="333">
        <v>46553</v>
      </c>
      <c r="H48" s="321">
        <v>750000000</v>
      </c>
      <c r="I48" s="322">
        <f t="shared" si="7"/>
        <v>4.8392360614193261E-2</v>
      </c>
      <c r="J48" s="322">
        <f t="shared" si="8"/>
        <v>3.9197080291970806E-3</v>
      </c>
      <c r="K48" s="322">
        <f t="shared" si="9"/>
        <v>0</v>
      </c>
      <c r="L48"/>
      <c r="M48" s="316"/>
      <c r="N48" s="316"/>
      <c r="O48" s="316"/>
    </row>
    <row r="49" spans="1:15" ht="16" x14ac:dyDescent="0.2">
      <c r="A49" s="332" t="s">
        <v>765</v>
      </c>
      <c r="B49" s="330" t="s">
        <v>760</v>
      </c>
      <c r="C49" s="331">
        <v>1.2999999999999999E-2</v>
      </c>
      <c r="D49" s="319">
        <f>VLOOKUP(WORKDAY(DATE(YEAR(F49),MONTH(F49),1),-1),'22. IDKA 5 anos'!A48:E4112,5)/100</f>
        <v>4.6948999999999998E-2</v>
      </c>
      <c r="E49" s="319"/>
      <c r="F49" s="333">
        <v>44484</v>
      </c>
      <c r="G49" s="333">
        <v>46675</v>
      </c>
      <c r="H49" s="321">
        <v>750000000</v>
      </c>
      <c r="I49" s="322">
        <f t="shared" si="7"/>
        <v>4.8392360614193261E-2</v>
      </c>
      <c r="J49" s="322">
        <f t="shared" si="8"/>
        <v>2.8467153284671533E-3</v>
      </c>
      <c r="K49" s="322">
        <f t="shared" si="9"/>
        <v>0</v>
      </c>
      <c r="L49"/>
      <c r="M49" s="513" t="s">
        <v>766</v>
      </c>
      <c r="N49" s="514"/>
      <c r="O49" s="515"/>
    </row>
    <row r="50" spans="1:15" ht="16" x14ac:dyDescent="0.2">
      <c r="A50" s="332" t="s">
        <v>765</v>
      </c>
      <c r="B50" s="330" t="s">
        <v>761</v>
      </c>
      <c r="C50" s="331">
        <v>5.9900000000000002E-2</v>
      </c>
      <c r="D50" s="319">
        <f>VLOOKUP(WORKDAY(DATE(YEAR(F50),MONTH(F50),1),-1),'22. IDKA 5 anos'!A49:E4113,5)/100</f>
        <v>5.4400000000000004E-2</v>
      </c>
      <c r="E50" s="319">
        <f>C50-D50</f>
        <v>5.4999999999999979E-3</v>
      </c>
      <c r="F50" s="333">
        <v>44910</v>
      </c>
      <c r="G50" s="333">
        <v>48380</v>
      </c>
      <c r="H50" s="321">
        <v>434000000</v>
      </c>
      <c r="I50" s="322">
        <f t="shared" si="7"/>
        <v>2.80030460087465E-2</v>
      </c>
      <c r="J50" s="322">
        <f t="shared" si="8"/>
        <v>2.2048835397826586E-3</v>
      </c>
      <c r="K50" s="322">
        <f t="shared" si="9"/>
        <v>2.0245174405349945E-4</v>
      </c>
      <c r="L50"/>
      <c r="M50" s="516"/>
      <c r="N50" s="517"/>
      <c r="O50" s="518"/>
    </row>
    <row r="51" spans="1:15" ht="16" x14ac:dyDescent="0.2">
      <c r="A51" s="332" t="s">
        <v>765</v>
      </c>
      <c r="B51" s="330" t="s">
        <v>761</v>
      </c>
      <c r="C51" s="331">
        <v>4.7699999999999999E-2</v>
      </c>
      <c r="D51" s="319">
        <f>VLOOKUP(WORKDAY(DATE(YEAR(F51),MONTH(F51),1),-1),'22. IDKA 5 anos'!A50:E4114,5)/100</f>
        <v>3.5626999999999999E-2</v>
      </c>
      <c r="E51" s="319">
        <f>C51-D51</f>
        <v>1.2073E-2</v>
      </c>
      <c r="F51" s="333">
        <v>44301</v>
      </c>
      <c r="G51" s="333">
        <v>48014</v>
      </c>
      <c r="H51" s="321">
        <v>750000000</v>
      </c>
      <c r="I51" s="322">
        <f t="shared" si="7"/>
        <v>4.8392360614193261E-2</v>
      </c>
      <c r="J51" s="322">
        <f t="shared" si="8"/>
        <v>3.0342317316773963E-3</v>
      </c>
      <c r="K51" s="322">
        <f t="shared" si="9"/>
        <v>7.6797232068220563E-4</v>
      </c>
      <c r="L51"/>
      <c r="M51" s="323" t="s">
        <v>760</v>
      </c>
      <c r="N51" s="317" t="s">
        <v>761</v>
      </c>
      <c r="O51" s="324" t="s">
        <v>762</v>
      </c>
    </row>
    <row r="52" spans="1:15" ht="16" x14ac:dyDescent="0.2">
      <c r="A52" s="332" t="s">
        <v>765</v>
      </c>
      <c r="B52" s="330" t="s">
        <v>761</v>
      </c>
      <c r="C52" s="331">
        <v>5.7283000000000001E-2</v>
      </c>
      <c r="D52" s="319">
        <f>VLOOKUP(WORKDAY(DATE(YEAR(F52),MONTH(F52),1),-1),'22. IDKA 5 anos'!A51:E4115,5)/100</f>
        <v>4.6948999999999998E-2</v>
      </c>
      <c r="E52" s="319">
        <f>C52-D52</f>
        <v>1.0334000000000003E-2</v>
      </c>
      <c r="F52" s="333">
        <v>44484</v>
      </c>
      <c r="G52" s="333">
        <v>48867</v>
      </c>
      <c r="H52" s="321">
        <v>500000000</v>
      </c>
      <c r="I52" s="322">
        <f t="shared" si="7"/>
        <v>3.2261573742795507E-2</v>
      </c>
      <c r="J52" s="322">
        <f t="shared" si="8"/>
        <v>2.4292088928815694E-3</v>
      </c>
      <c r="K52" s="322">
        <f t="shared" si="9"/>
        <v>4.3823550964576128E-4</v>
      </c>
      <c r="L52"/>
      <c r="M52" s="339">
        <f>SUMIF($B$45:$B$76,M51,$J$45:$J$76)</f>
        <v>1.559124087591241E-2</v>
      </c>
      <c r="N52" s="339">
        <f>SUMIF($B$45:$B$76,N51,$J$45:$J$76)</f>
        <v>5.2622374132688929E-2</v>
      </c>
      <c r="O52" s="339">
        <f>SUMIF($B$45:$B$76,O51,$J$45:$J$76)</f>
        <v>1.0640000000000001</v>
      </c>
    </row>
    <row r="53" spans="1:15" ht="16" x14ac:dyDescent="0.2">
      <c r="A53" s="332" t="s">
        <v>767</v>
      </c>
      <c r="B53" s="330" t="s">
        <v>761</v>
      </c>
      <c r="C53" s="331">
        <v>4.675E-2</v>
      </c>
      <c r="D53" s="319">
        <f>VLOOKUP(WORKDAY(DATE(YEAR(F53),MONTH(F53),1),-1),'22. IDKA 5 anos'!A52:E4116,5)/100</f>
        <v>4.1264000000000002E-2</v>
      </c>
      <c r="E53" s="319">
        <f>C53-D53</f>
        <v>5.4859999999999978E-3</v>
      </c>
      <c r="F53" s="333">
        <v>43511</v>
      </c>
      <c r="G53" s="333">
        <v>46068</v>
      </c>
      <c r="H53" s="321">
        <v>500000000</v>
      </c>
      <c r="I53" s="322">
        <f t="shared" si="7"/>
        <v>3.2261573742795507E-2</v>
      </c>
      <c r="J53" s="322">
        <f t="shared" si="8"/>
        <v>1.9825343599709053E-3</v>
      </c>
      <c r="K53" s="322">
        <f t="shared" si="9"/>
        <v>2.3264563633797609E-4</v>
      </c>
      <c r="L53"/>
      <c r="M53"/>
      <c r="N53" s="340" t="s">
        <v>74</v>
      </c>
      <c r="O53"/>
    </row>
    <row r="54" spans="1:15" x14ac:dyDescent="0.2">
      <c r="A54" s="315" t="s">
        <v>768</v>
      </c>
      <c r="B54" s="316" t="s">
        <v>761</v>
      </c>
      <c r="C54" s="319">
        <v>4.4999999999999998E-2</v>
      </c>
      <c r="D54" s="319">
        <f>VLOOKUP(WORKDAY(DATE(YEAR(F54),MONTH(F54),1),-1),'22. IDKA 5 anos'!A53:E4117,5)/100</f>
        <v>4.1264000000000002E-2</v>
      </c>
      <c r="E54" s="319">
        <f t="shared" ref="E54:E64" si="10">C54-D54</f>
        <v>3.7359999999999963E-3</v>
      </c>
      <c r="F54" s="320">
        <v>43511</v>
      </c>
      <c r="G54" s="320">
        <v>47164</v>
      </c>
      <c r="H54" s="336">
        <v>600000000</v>
      </c>
      <c r="I54" s="322">
        <f t="shared" si="7"/>
        <v>3.8713888491354605E-2</v>
      </c>
      <c r="J54" s="322">
        <f t="shared" si="8"/>
        <v>2.2899862125867142E-3</v>
      </c>
      <c r="K54" s="322">
        <f t="shared" si="9"/>
        <v>1.9011974422719901E-4</v>
      </c>
      <c r="L54"/>
      <c r="M54"/>
      <c r="N54" s="341">
        <f>SUM(K45:K76)</f>
        <v>9.8787698275487681E-3</v>
      </c>
      <c r="O54"/>
    </row>
    <row r="55" spans="1:15" x14ac:dyDescent="0.2">
      <c r="A55" s="315" t="s">
        <v>768</v>
      </c>
      <c r="B55" s="316" t="s">
        <v>761</v>
      </c>
      <c r="C55" s="319">
        <v>3.9E-2</v>
      </c>
      <c r="D55" s="319">
        <f>VLOOKUP(WORKDAY(DATE(YEAR(F55),MONTH(F55),1),-1),'22. IDKA 5 anos'!A54:E4118,5)/100</f>
        <v>2.6121999999999999E-2</v>
      </c>
      <c r="E55" s="319">
        <f t="shared" si="10"/>
        <v>1.2878000000000001E-2</v>
      </c>
      <c r="F55" s="320">
        <v>43753</v>
      </c>
      <c r="G55" s="320">
        <v>47406</v>
      </c>
      <c r="H55" s="336">
        <v>906856000</v>
      </c>
      <c r="I55" s="322">
        <f t="shared" si="7"/>
        <v>5.8513203436193123E-2</v>
      </c>
      <c r="J55" s="322">
        <f t="shared" si="8"/>
        <v>2.9996600642688874E-3</v>
      </c>
      <c r="K55" s="322">
        <f t="shared" si="9"/>
        <v>9.9050313609371117E-4</v>
      </c>
      <c r="L55"/>
      <c r="M55"/>
      <c r="N55"/>
      <c r="O55"/>
    </row>
    <row r="56" spans="1:15" x14ac:dyDescent="0.2">
      <c r="A56" s="315" t="s">
        <v>768</v>
      </c>
      <c r="B56" s="316" t="s">
        <v>761</v>
      </c>
      <c r="C56" s="319">
        <v>6.7960999999999994E-2</v>
      </c>
      <c r="D56" s="319">
        <f>VLOOKUP(WORKDAY(DATE(YEAR(F56),MONTH(F56),1),-1),'22. IDKA 5 anos'!A55:E4119,5)/100</f>
        <v>3.32E-2</v>
      </c>
      <c r="E56" s="319">
        <f t="shared" si="10"/>
        <v>3.4760999999999993E-2</v>
      </c>
      <c r="F56" s="320">
        <v>43936</v>
      </c>
      <c r="G56" s="320">
        <v>47588</v>
      </c>
      <c r="H56" s="336">
        <v>800000000</v>
      </c>
      <c r="I56" s="322">
        <f t="shared" si="7"/>
        <v>5.1618517988472813E-2</v>
      </c>
      <c r="J56" s="322">
        <f t="shared" si="8"/>
        <v>4.6112519405512786E-3</v>
      </c>
      <c r="K56" s="322">
        <f t="shared" si="9"/>
        <v>2.358584021799311E-3</v>
      </c>
      <c r="L56"/>
      <c r="M56"/>
      <c r="N56"/>
      <c r="O56"/>
    </row>
    <row r="57" spans="1:15" x14ac:dyDescent="0.2">
      <c r="A57" s="315" t="s">
        <v>768</v>
      </c>
      <c r="B57" s="316" t="s">
        <v>761</v>
      </c>
      <c r="C57" s="319">
        <v>3.5999999999999997E-2</v>
      </c>
      <c r="D57" s="319">
        <f>VLOOKUP(WORKDAY(DATE(YEAR(F57),MONTH(F57),1),-1),'22. IDKA 5 anos'!A56:E4120,5)/100</f>
        <v>2.6544999999999999E-2</v>
      </c>
      <c r="E57" s="319">
        <f t="shared" si="10"/>
        <v>9.4549999999999981E-3</v>
      </c>
      <c r="F57" s="320">
        <v>44180</v>
      </c>
      <c r="G57" s="320">
        <v>47832</v>
      </c>
      <c r="H57" s="336">
        <v>376523000</v>
      </c>
      <c r="I57" s="322">
        <f t="shared" si="7"/>
        <v>2.4294449060717184E-2</v>
      </c>
      <c r="J57" s="322">
        <f t="shared" si="8"/>
        <v>1.1496433049623829E-3</v>
      </c>
      <c r="K57" s="322">
        <f t="shared" si="9"/>
        <v>3.0194104023387029E-4</v>
      </c>
      <c r="L57"/>
      <c r="M57"/>
      <c r="N57"/>
      <c r="O57"/>
    </row>
    <row r="58" spans="1:15" x14ac:dyDescent="0.2">
      <c r="A58" s="315" t="s">
        <v>768</v>
      </c>
      <c r="B58" s="316" t="s">
        <v>761</v>
      </c>
      <c r="C58" s="319">
        <v>4.4998000000000003E-2</v>
      </c>
      <c r="D58" s="319">
        <f>VLOOKUP(WORKDAY(DATE(YEAR(F58),MONTH(F58),1),-1),'22. IDKA 5 anos'!A57:E4121,5)/100</f>
        <v>3.4877999999999999E-2</v>
      </c>
      <c r="E58" s="319">
        <f t="shared" si="10"/>
        <v>1.0120000000000004E-2</v>
      </c>
      <c r="F58" s="320">
        <v>44362</v>
      </c>
      <c r="G58" s="320">
        <v>48014</v>
      </c>
      <c r="H58" s="336">
        <v>784619000</v>
      </c>
      <c r="I58" s="322">
        <f t="shared" si="7"/>
        <v>5.0626087456996934E-2</v>
      </c>
      <c r="J58" s="322">
        <f t="shared" si="8"/>
        <v>2.9944780597269119E-3</v>
      </c>
      <c r="K58" s="322">
        <f t="shared" si="9"/>
        <v>6.7345477497747356E-4</v>
      </c>
      <c r="L58"/>
      <c r="M58"/>
      <c r="N58"/>
      <c r="O58"/>
    </row>
    <row r="59" spans="1:15" x14ac:dyDescent="0.2">
      <c r="A59" s="315" t="s">
        <v>768</v>
      </c>
      <c r="B59" s="316" t="s">
        <v>761</v>
      </c>
      <c r="C59" s="319">
        <v>0.04</v>
      </c>
      <c r="D59" s="319">
        <f>VLOOKUP(WORKDAY(DATE(YEAR(F59),MONTH(F59),1),-1),'22. IDKA 5 anos'!A58:E4122,5)/100</f>
        <v>2.6121999999999999E-2</v>
      </c>
      <c r="E59" s="319">
        <f t="shared" si="10"/>
        <v>1.3878000000000001E-2</v>
      </c>
      <c r="F59" s="320">
        <v>43753</v>
      </c>
      <c r="G59" s="320">
        <v>47406</v>
      </c>
      <c r="H59" s="336">
        <v>222280000</v>
      </c>
      <c r="I59" s="322">
        <f t="shared" si="7"/>
        <v>1.4342205223097171E-2</v>
      </c>
      <c r="J59" s="322">
        <f t="shared" si="8"/>
        <v>7.5410094123522188E-4</v>
      </c>
      <c r="K59" s="322">
        <f t="shared" si="9"/>
        <v>2.6163532156156028E-4</v>
      </c>
      <c r="L59"/>
      <c r="M59"/>
      <c r="N59"/>
      <c r="O59"/>
    </row>
    <row r="60" spans="1:15" x14ac:dyDescent="0.2">
      <c r="A60" s="315" t="s">
        <v>768</v>
      </c>
      <c r="B60" s="316" t="s">
        <v>761</v>
      </c>
      <c r="C60" s="319">
        <v>0.04</v>
      </c>
      <c r="D60" s="319">
        <f>VLOOKUP(WORKDAY(DATE(YEAR(F60),MONTH(F60),1),-1),'22. IDKA 5 anos'!A59:E4123,5)/100</f>
        <v>2.6544999999999999E-2</v>
      </c>
      <c r="E60" s="319">
        <f t="shared" si="10"/>
        <v>1.3455000000000002E-2</v>
      </c>
      <c r="F60" s="320">
        <v>44180</v>
      </c>
      <c r="G60" s="320">
        <v>49658</v>
      </c>
      <c r="H60" s="336">
        <v>823477000</v>
      </c>
      <c r="I60" s="322">
        <f t="shared" si="7"/>
        <v>5.3133327921992032E-2</v>
      </c>
      <c r="J60" s="322">
        <f t="shared" si="8"/>
        <v>2.7937051501959547E-3</v>
      </c>
      <c r="K60" s="322">
        <f t="shared" si="9"/>
        <v>9.3973256989716438E-4</v>
      </c>
      <c r="L60"/>
      <c r="M60"/>
      <c r="N60"/>
      <c r="O60"/>
    </row>
    <row r="61" spans="1:15" x14ac:dyDescent="0.2">
      <c r="A61" s="315" t="s">
        <v>768</v>
      </c>
      <c r="B61" s="316" t="s">
        <v>761</v>
      </c>
      <c r="C61" s="319">
        <v>4.5404E-2</v>
      </c>
      <c r="D61" s="319">
        <f>VLOOKUP(WORKDAY(DATE(YEAR(F61),MONTH(F61),1),-1),'22. IDKA 5 anos'!A60:E4124,5)/100</f>
        <v>3.4877999999999999E-2</v>
      </c>
      <c r="E61" s="319">
        <f t="shared" si="10"/>
        <v>1.0526000000000001E-2</v>
      </c>
      <c r="F61" s="320">
        <v>44362</v>
      </c>
      <c r="G61" s="320">
        <v>49841</v>
      </c>
      <c r="H61" s="336">
        <v>258815000</v>
      </c>
      <c r="I61" s="322">
        <f t="shared" si="7"/>
        <v>1.6699558416483237E-2</v>
      </c>
      <c r="J61" s="322">
        <f t="shared" si="8"/>
        <v>9.9667292652774308E-4</v>
      </c>
      <c r="K61" s="322">
        <f t="shared" si="9"/>
        <v>2.3105847997161098E-4</v>
      </c>
      <c r="L61"/>
      <c r="M61"/>
      <c r="N61"/>
      <c r="O61"/>
    </row>
    <row r="62" spans="1:15" x14ac:dyDescent="0.2">
      <c r="A62" s="315" t="s">
        <v>671</v>
      </c>
      <c r="B62" s="316" t="s">
        <v>761</v>
      </c>
      <c r="C62" s="319">
        <v>6.8838999999999997E-2</v>
      </c>
      <c r="D62" s="319">
        <f>VLOOKUP(WORKDAY(DATE(YEAR(F62),MONTH(F62),1),-1),'22. IDKA 5 anos'!A61:E4125,5)/100</f>
        <v>6.2590000000000007E-2</v>
      </c>
      <c r="E62" s="319">
        <f t="shared" si="10"/>
        <v>6.2489999999999907E-3</v>
      </c>
      <c r="F62" s="320">
        <v>42170</v>
      </c>
      <c r="G62" s="320">
        <v>43997</v>
      </c>
      <c r="H62" s="336">
        <v>232358000</v>
      </c>
      <c r="I62" s="322">
        <f t="shared" si="7"/>
        <v>1.4992469503456956E-2</v>
      </c>
      <c r="J62" s="322">
        <f t="shared" si="8"/>
        <v>1.3566295916767992E-3</v>
      </c>
      <c r="K62" s="322">
        <f t="shared" si="9"/>
        <v>1.2315080576981514E-4</v>
      </c>
      <c r="L62"/>
      <c r="M62"/>
      <c r="N62"/>
      <c r="O62"/>
    </row>
    <row r="63" spans="1:15" x14ac:dyDescent="0.2">
      <c r="A63" s="315" t="s">
        <v>671</v>
      </c>
      <c r="B63" s="316" t="s">
        <v>761</v>
      </c>
      <c r="C63" s="319">
        <v>3.3120999999999998E-2</v>
      </c>
      <c r="D63" s="319">
        <f>VLOOKUP(WORKDAY(DATE(YEAR(F63),MONTH(F63),1),-1),'22. IDKA 5 anos'!A62:E4126,5)/100</f>
        <v>2.9224999999999998E-2</v>
      </c>
      <c r="E63" s="319">
        <f t="shared" si="10"/>
        <v>3.8960000000000002E-3</v>
      </c>
      <c r="F63" s="320">
        <v>43692</v>
      </c>
      <c r="G63" s="320">
        <v>45884</v>
      </c>
      <c r="H63" s="336">
        <v>120000000</v>
      </c>
      <c r="I63" s="322">
        <f t="shared" si="7"/>
        <v>7.7427776982709213E-3</v>
      </c>
      <c r="J63" s="322">
        <f t="shared" si="8"/>
        <v>3.3709614820926468E-4</v>
      </c>
      <c r="K63" s="322">
        <f t="shared" si="9"/>
        <v>3.9652383485501505E-5</v>
      </c>
      <c r="L63"/>
      <c r="M63"/>
      <c r="N63"/>
      <c r="O63"/>
    </row>
    <row r="64" spans="1:15" x14ac:dyDescent="0.2">
      <c r="A64" s="315" t="s">
        <v>671</v>
      </c>
      <c r="B64" s="316" t="s">
        <v>761</v>
      </c>
      <c r="C64" s="319">
        <v>5.7500000000000002E-2</v>
      </c>
      <c r="D64" s="319">
        <f>VLOOKUP(WORKDAY(DATE(YEAR(F64),MONTH(F64),1),-1),'22. IDKA 5 anos'!A63:E4127,5)/100</f>
        <v>5.135E-2</v>
      </c>
      <c r="E64" s="319">
        <f t="shared" si="10"/>
        <v>6.1500000000000027E-3</v>
      </c>
      <c r="F64" s="320">
        <v>44545</v>
      </c>
      <c r="G64" s="320">
        <v>47102</v>
      </c>
      <c r="H64" s="336">
        <v>1000000000</v>
      </c>
      <c r="I64" s="322">
        <f t="shared" si="7"/>
        <v>6.4523147485591015E-2</v>
      </c>
      <c r="J64" s="322">
        <f t="shared" si="8"/>
        <v>4.8768224897680025E-3</v>
      </c>
      <c r="K64" s="322">
        <f t="shared" si="9"/>
        <v>5.2160797064475174E-4</v>
      </c>
      <c r="L64"/>
      <c r="M64"/>
      <c r="N64"/>
      <c r="O64"/>
    </row>
    <row r="65" spans="1:15" x14ac:dyDescent="0.2">
      <c r="A65" s="315" t="s">
        <v>654</v>
      </c>
      <c r="B65" s="316" t="s">
        <v>760</v>
      </c>
      <c r="C65" s="319">
        <v>2.9000000000000001E-2</v>
      </c>
      <c r="D65" s="319">
        <f>VLOOKUP(WORKDAY(DATE(YEAR(F65),MONTH(F65),1),-1),'22. IDKA 5 anos'!A64:E4128,5)/100</f>
        <v>5.9794E-2</v>
      </c>
      <c r="E65" s="319"/>
      <c r="F65" s="320">
        <v>41618</v>
      </c>
      <c r="G65" s="320">
        <v>43809</v>
      </c>
      <c r="H65" s="336">
        <v>300000000</v>
      </c>
      <c r="I65" s="322">
        <f t="shared" si="7"/>
        <v>1.9356944245677302E-2</v>
      </c>
      <c r="J65" s="322">
        <f t="shared" si="8"/>
        <v>2.5401459854014602E-3</v>
      </c>
      <c r="K65" s="322">
        <f t="shared" si="9"/>
        <v>0</v>
      </c>
      <c r="L65"/>
      <c r="M65"/>
      <c r="N65"/>
      <c r="O65"/>
    </row>
    <row r="66" spans="1:15" x14ac:dyDescent="0.2">
      <c r="A66" s="315" t="s">
        <v>654</v>
      </c>
      <c r="B66" s="316" t="s">
        <v>761</v>
      </c>
      <c r="C66" s="319">
        <v>4.095E-2</v>
      </c>
      <c r="D66" s="319">
        <f>VLOOKUP(WORKDAY(DATE(YEAR(F66),MONTH(F66),1),-1),'22. IDKA 5 anos'!A65:E4129,5)/100</f>
        <v>4.0529000000000003E-2</v>
      </c>
      <c r="E66" s="319">
        <f t="shared" ref="E66" si="11">C66-D66</f>
        <v>4.2099999999999776E-4</v>
      </c>
      <c r="F66" s="320">
        <v>43570</v>
      </c>
      <c r="G66" s="320">
        <v>45397</v>
      </c>
      <c r="H66" s="336">
        <v>367150000</v>
      </c>
      <c r="I66" s="322">
        <f t="shared" si="7"/>
        <v>2.3689673599334739E-2</v>
      </c>
      <c r="J66" s="322">
        <f t="shared" si="8"/>
        <v>1.2751654642260051E-3</v>
      </c>
      <c r="K66" s="322">
        <f t="shared" si="9"/>
        <v>1.3109759717683646E-5</v>
      </c>
      <c r="L66"/>
      <c r="M66"/>
      <c r="N66"/>
      <c r="O66"/>
    </row>
    <row r="67" spans="1:15" x14ac:dyDescent="0.2">
      <c r="A67" s="315" t="s">
        <v>654</v>
      </c>
      <c r="B67" s="316" t="s">
        <v>760</v>
      </c>
      <c r="C67" s="319">
        <v>1.2999999999999999E-2</v>
      </c>
      <c r="D67" s="319">
        <f>VLOOKUP(WORKDAY(DATE(YEAR(F67),MONTH(F67),1),-1),'22. IDKA 5 anos'!A66:E4130,5)/100</f>
        <v>3.9466000000000001E-2</v>
      </c>
      <c r="E67" s="319"/>
      <c r="F67" s="320">
        <v>44423</v>
      </c>
      <c r="G67" s="320">
        <v>46249</v>
      </c>
      <c r="H67" s="336">
        <v>700000000</v>
      </c>
      <c r="I67" s="322">
        <f t="shared" si="7"/>
        <v>4.5166203239913709E-2</v>
      </c>
      <c r="J67" s="322">
        <f t="shared" si="8"/>
        <v>2.6569343065693429E-3</v>
      </c>
      <c r="K67" s="322">
        <f t="shared" si="9"/>
        <v>0</v>
      </c>
      <c r="L67"/>
      <c r="M67"/>
      <c r="N67"/>
      <c r="O67"/>
    </row>
    <row r="68" spans="1:15" x14ac:dyDescent="0.2">
      <c r="A68" s="315" t="s">
        <v>654</v>
      </c>
      <c r="B68" s="316" t="s">
        <v>761</v>
      </c>
      <c r="C68" s="319">
        <v>6.4277000000000001E-2</v>
      </c>
      <c r="D68" s="319">
        <f>VLOOKUP(WORKDAY(DATE(YEAR(F68),MONTH(F68),1),-1),'22. IDKA 5 anos'!A67:E4131,5)/100</f>
        <v>5.7416000000000002E-2</v>
      </c>
      <c r="E68" s="319">
        <f t="shared" ref="E68" si="12">C68-D68</f>
        <v>6.860999999999999E-3</v>
      </c>
      <c r="F68" s="320">
        <v>42050</v>
      </c>
      <c r="G68" s="320">
        <v>45703</v>
      </c>
      <c r="H68" s="336">
        <v>214386000</v>
      </c>
      <c r="I68" s="322">
        <f t="shared" si="7"/>
        <v>1.3832859496845915E-2</v>
      </c>
      <c r="J68" s="322">
        <f t="shared" si="8"/>
        <v>1.1687486533184784E-3</v>
      </c>
      <c r="K68" s="322">
        <f t="shared" si="9"/>
        <v>1.2475355897783154E-4</v>
      </c>
      <c r="L68"/>
      <c r="M68"/>
      <c r="N68"/>
      <c r="O68"/>
    </row>
    <row r="69" spans="1:15" x14ac:dyDescent="0.2">
      <c r="A69" s="315" t="s">
        <v>654</v>
      </c>
      <c r="B69" s="330" t="s">
        <v>762</v>
      </c>
      <c r="C69" s="319">
        <v>1.0640000000000001</v>
      </c>
      <c r="D69" s="319">
        <f>VLOOKUP(WORKDAY(DATE(YEAR(F69),MONTH(F69),1),-1),'22. IDKA 5 anos'!A68:E4132,5)/100</f>
        <v>4.0529000000000003E-2</v>
      </c>
      <c r="E69" s="319"/>
      <c r="F69" s="320">
        <v>43570</v>
      </c>
      <c r="G69" s="320">
        <v>45397</v>
      </c>
      <c r="H69" s="336">
        <v>282850000</v>
      </c>
      <c r="I69" s="322">
        <f t="shared" si="7"/>
        <v>1.8250372266299417E-2</v>
      </c>
      <c r="J69" s="322">
        <f t="shared" si="8"/>
        <v>1.0640000000000001</v>
      </c>
      <c r="K69" s="322">
        <f t="shared" si="9"/>
        <v>0</v>
      </c>
      <c r="L69"/>
      <c r="M69"/>
      <c r="N69"/>
      <c r="O69"/>
    </row>
    <row r="70" spans="1:15" x14ac:dyDescent="0.2">
      <c r="A70" s="315" t="s">
        <v>654</v>
      </c>
      <c r="B70" s="316" t="s">
        <v>761</v>
      </c>
      <c r="C70" s="319">
        <v>4.9700000000000001E-2</v>
      </c>
      <c r="D70" s="319">
        <f>VLOOKUP(WORKDAY(DATE(YEAR(F70),MONTH(F70),1),-1),'22. IDKA 5 anos'!A69:E4133,5)/100</f>
        <v>3.9466000000000001E-2</v>
      </c>
      <c r="E70" s="319">
        <f t="shared" ref="E70:E76" si="13">C70-D70</f>
        <v>1.0234E-2</v>
      </c>
      <c r="F70" s="320">
        <v>44423</v>
      </c>
      <c r="G70" s="320">
        <v>48075</v>
      </c>
      <c r="H70" s="336">
        <v>300000000</v>
      </c>
      <c r="I70" s="322">
        <f t="shared" si="7"/>
        <v>1.9356944245677302E-2</v>
      </c>
      <c r="J70" s="322">
        <f t="shared" si="8"/>
        <v>1.2645812751728854E-3</v>
      </c>
      <c r="K70" s="322">
        <f t="shared" si="9"/>
        <v>2.6039687666236036E-4</v>
      </c>
      <c r="L70"/>
      <c r="M70"/>
      <c r="N70"/>
      <c r="O70"/>
    </row>
    <row r="71" spans="1:15" x14ac:dyDescent="0.2">
      <c r="A71" s="315" t="s">
        <v>654</v>
      </c>
      <c r="B71" s="316" t="s">
        <v>761</v>
      </c>
      <c r="C71" s="319">
        <v>5.0599999999999999E-2</v>
      </c>
      <c r="D71" s="319">
        <f>VLOOKUP(WORKDAY(DATE(YEAR(F71),MONTH(F71),1),-1),'22. IDKA 5 anos'!A70:E4134,5)/100</f>
        <v>3.9466000000000001E-2</v>
      </c>
      <c r="E71" s="319">
        <f t="shared" si="13"/>
        <v>1.1133999999999998E-2</v>
      </c>
      <c r="F71" s="320">
        <v>44423</v>
      </c>
      <c r="G71" s="320">
        <v>49902</v>
      </c>
      <c r="H71" s="336">
        <v>500000000</v>
      </c>
      <c r="I71" s="322">
        <f t="shared" si="7"/>
        <v>3.2261573742795507E-2</v>
      </c>
      <c r="J71" s="322">
        <f t="shared" si="8"/>
        <v>2.1458018954979207E-3</v>
      </c>
      <c r="K71" s="322">
        <f t="shared" si="9"/>
        <v>4.721612313137124E-4</v>
      </c>
      <c r="L71"/>
      <c r="M71"/>
      <c r="N71"/>
      <c r="O71"/>
    </row>
    <row r="72" spans="1:15" x14ac:dyDescent="0.2">
      <c r="A72" s="315" t="s">
        <v>769</v>
      </c>
      <c r="B72" s="316" t="s">
        <v>761</v>
      </c>
      <c r="C72" s="319">
        <v>6.4600000000000005E-2</v>
      </c>
      <c r="D72" s="319">
        <f>VLOOKUP(WORKDAY(DATE(YEAR(F72),MONTH(F72),1),-1),'22. IDKA 5 anos'!A71:E4135,5)/100</f>
        <v>6.1623000000000004E-2</v>
      </c>
      <c r="E72" s="319">
        <f t="shared" si="13"/>
        <v>2.9770000000000005E-3</v>
      </c>
      <c r="F72" s="320">
        <v>41654</v>
      </c>
      <c r="G72" s="320">
        <v>44211</v>
      </c>
      <c r="H72" s="336">
        <v>600000000</v>
      </c>
      <c r="I72" s="322">
        <f t="shared" si="7"/>
        <v>3.8713888491354605E-2</v>
      </c>
      <c r="J72" s="322">
        <f t="shared" si="8"/>
        <v>3.2874024296244832E-3</v>
      </c>
      <c r="K72" s="322">
        <f t="shared" si="9"/>
        <v>1.5149531010823664E-4</v>
      </c>
      <c r="L72"/>
      <c r="M72"/>
      <c r="N72"/>
      <c r="O72"/>
    </row>
    <row r="73" spans="1:15" x14ac:dyDescent="0.2">
      <c r="A73" s="315" t="s">
        <v>769</v>
      </c>
      <c r="B73" s="316" t="s">
        <v>761</v>
      </c>
      <c r="C73" s="319">
        <v>6.6231999999999999E-2</v>
      </c>
      <c r="D73" s="319">
        <f>VLOOKUP(WORKDAY(DATE(YEAR(F73),MONTH(F73),1),-1),'22. IDKA 5 anos'!A72:E4136,5)/100</f>
        <v>6.6318000000000002E-2</v>
      </c>
      <c r="E73" s="319">
        <f t="shared" si="13"/>
        <v>-8.6000000000002741E-5</v>
      </c>
      <c r="F73" s="320">
        <v>42231</v>
      </c>
      <c r="G73" s="320">
        <v>44060</v>
      </c>
      <c r="H73" s="336">
        <v>800000000</v>
      </c>
      <c r="I73" s="322">
        <f t="shared" si="7"/>
        <v>5.1618517988472813E-2</v>
      </c>
      <c r="J73" s="322">
        <f t="shared" si="8"/>
        <v>4.4939367950235032E-3</v>
      </c>
      <c r="K73" s="322">
        <f t="shared" si="9"/>
        <v>-5.8352241268878126E-6</v>
      </c>
      <c r="L73"/>
      <c r="M73"/>
      <c r="N73"/>
      <c r="O73"/>
    </row>
    <row r="74" spans="1:15" x14ac:dyDescent="0.2">
      <c r="A74" s="315" t="s">
        <v>769</v>
      </c>
      <c r="B74" s="316" t="s">
        <v>761</v>
      </c>
      <c r="C74" s="319">
        <v>6.5699999999999995E-2</v>
      </c>
      <c r="D74" s="319">
        <f>VLOOKUP(WORKDAY(DATE(YEAR(F74),MONTH(F74),1),-1),'22. IDKA 5 anos'!A73:E4137,5)/100</f>
        <v>6.1623000000000004E-2</v>
      </c>
      <c r="E74" s="319">
        <f t="shared" si="13"/>
        <v>4.0769999999999904E-3</v>
      </c>
      <c r="F74" s="320">
        <v>41654</v>
      </c>
      <c r="G74" s="320">
        <v>45306</v>
      </c>
      <c r="H74" s="336">
        <v>150000000</v>
      </c>
      <c r="I74" s="322">
        <f t="shared" si="7"/>
        <v>9.6784721228386512E-3</v>
      </c>
      <c r="J74" s="322">
        <f t="shared" si="8"/>
        <v>8.3584496759415061E-4</v>
      </c>
      <c r="K74" s="322">
        <f t="shared" si="9"/>
        <v>5.1868187715088955E-5</v>
      </c>
      <c r="L74"/>
      <c r="M74"/>
      <c r="N74"/>
      <c r="O74"/>
    </row>
    <row r="75" spans="1:15" x14ac:dyDescent="0.2">
      <c r="A75" s="315" t="s">
        <v>769</v>
      </c>
      <c r="B75" s="316" t="s">
        <v>761</v>
      </c>
      <c r="C75" s="319">
        <v>6.7100000000000007E-2</v>
      </c>
      <c r="D75" s="319">
        <f>VLOOKUP(WORKDAY(DATE(YEAR(F75),MONTH(F75),1),-1),'22. IDKA 5 anos'!A74:E4138,5)/100</f>
        <v>6.1623000000000004E-2</v>
      </c>
      <c r="E75" s="319">
        <f t="shared" si="13"/>
        <v>5.4770000000000027E-3</v>
      </c>
      <c r="F75" s="320">
        <v>41654</v>
      </c>
      <c r="G75" s="320">
        <v>46037</v>
      </c>
      <c r="H75" s="336">
        <v>100000000</v>
      </c>
      <c r="I75" s="322">
        <f t="shared" si="7"/>
        <v>6.4523147485591016E-3</v>
      </c>
      <c r="J75" s="322">
        <f t="shared" si="8"/>
        <v>5.6910398097988343E-4</v>
      </c>
      <c r="K75" s="322">
        <f t="shared" si="9"/>
        <v>4.6452794393842362E-5</v>
      </c>
      <c r="L75"/>
      <c r="M75"/>
      <c r="N75"/>
      <c r="O75"/>
    </row>
    <row r="76" spans="1:15" x14ac:dyDescent="0.2">
      <c r="A76" s="315" t="s">
        <v>769</v>
      </c>
      <c r="B76" s="316" t="s">
        <v>761</v>
      </c>
      <c r="C76" s="319">
        <v>6.7799999999999999E-2</v>
      </c>
      <c r="D76" s="319">
        <f>VLOOKUP(WORKDAY(DATE(YEAR(F76),MONTH(F76),1),-1),'22. IDKA 5 anos'!A75:E4139,5)/100</f>
        <v>6.1623000000000004E-2</v>
      </c>
      <c r="E76" s="319">
        <f t="shared" si="13"/>
        <v>6.176999999999995E-3</v>
      </c>
      <c r="F76" s="320">
        <v>41654</v>
      </c>
      <c r="G76" s="320">
        <v>47133</v>
      </c>
      <c r="H76" s="336">
        <v>150000000</v>
      </c>
      <c r="I76" s="322">
        <f t="shared" si="7"/>
        <v>9.6784721228386512E-3</v>
      </c>
      <c r="J76" s="322">
        <f t="shared" si="8"/>
        <v>8.6256147340766233E-4</v>
      </c>
      <c r="K76" s="322">
        <f t="shared" si="9"/>
        <v>7.8584693528600683E-5</v>
      </c>
      <c r="L76"/>
      <c r="M76"/>
      <c r="N76"/>
      <c r="O76"/>
    </row>
    <row r="77" spans="1:15" x14ac:dyDescent="0.2">
      <c r="H77" s="343">
        <f>SUM(H45:H76)</f>
        <v>15498314000</v>
      </c>
    </row>
  </sheetData>
  <autoFilter ref="A2:N2" xr:uid="{8C1D7691-3559-4680-A5F2-9C34C449D685}">
    <sortState xmlns:xlrd2="http://schemas.microsoft.com/office/spreadsheetml/2017/richdata2" ref="A3:N68">
      <sortCondition descending="1" ref="C2"/>
    </sortState>
  </autoFilter>
  <mergeCells count="12">
    <mergeCell ref="J43:J44"/>
    <mergeCell ref="K43:K44"/>
    <mergeCell ref="M43:O44"/>
    <mergeCell ref="M49:O50"/>
    <mergeCell ref="P2:Q2"/>
    <mergeCell ref="L21:N22"/>
    <mergeCell ref="T2:U2"/>
    <mergeCell ref="J2:J3"/>
    <mergeCell ref="L2:N3"/>
    <mergeCell ref="L8:N9"/>
    <mergeCell ref="J15:J16"/>
    <mergeCell ref="L15:N16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J1000"/>
  <sheetViews>
    <sheetView workbookViewId="0">
      <selection activeCell="F28" sqref="F28"/>
    </sheetView>
  </sheetViews>
  <sheetFormatPr baseColWidth="10" defaultColWidth="14.5" defaultRowHeight="15" customHeight="1" x14ac:dyDescent="0.2"/>
  <cols>
    <col min="1" max="1" width="16.6640625" customWidth="1"/>
    <col min="2" max="2" width="12.33203125" bestFit="1" customWidth="1"/>
    <col min="3" max="3" width="19.1640625" bestFit="1" customWidth="1"/>
    <col min="4" max="4" width="8.6640625" customWidth="1"/>
    <col min="5" max="5" width="14" bestFit="1" customWidth="1"/>
    <col min="6" max="7" width="8.6640625" customWidth="1"/>
    <col min="8" max="8" width="12.5" bestFit="1" customWidth="1"/>
    <col min="9" max="19" width="8.6640625" customWidth="1"/>
  </cols>
  <sheetData>
    <row r="1" spans="1:10" x14ac:dyDescent="0.2">
      <c r="A1" s="37" t="s">
        <v>83</v>
      </c>
      <c r="B1" s="37" t="s">
        <v>84</v>
      </c>
      <c r="C1" s="37" t="s">
        <v>85</v>
      </c>
      <c r="D1" s="3"/>
    </row>
    <row r="2" spans="1:10" x14ac:dyDescent="0.2">
      <c r="A2" s="152">
        <f>'5. Debêntures '!U3</f>
        <v>1.559124087591241E-2</v>
      </c>
      <c r="B2" s="302">
        <f>'5. Debêntures '!Q3</f>
        <v>0</v>
      </c>
      <c r="C2">
        <f>'5. Debêntures '!U4</f>
        <v>3425000000.0000005</v>
      </c>
    </row>
    <row r="3" spans="1:10" x14ac:dyDescent="0.2">
      <c r="A3" s="1"/>
      <c r="B3" s="1"/>
      <c r="F3" s="443"/>
      <c r="G3" s="443"/>
      <c r="H3" s="443"/>
      <c r="I3" s="443"/>
      <c r="J3" s="443"/>
    </row>
    <row r="4" spans="1:10" x14ac:dyDescent="0.2">
      <c r="A4" s="152"/>
      <c r="B4" s="153"/>
      <c r="C4" s="35"/>
      <c r="G4" s="443"/>
    </row>
    <row r="7" spans="1:10" ht="15" customHeight="1" x14ac:dyDescent="0.2">
      <c r="F7" s="443"/>
      <c r="G7" s="443"/>
      <c r="H7" s="443"/>
      <c r="I7" s="443"/>
      <c r="J7" s="443"/>
    </row>
    <row r="9" spans="1:10" ht="15" customHeight="1" x14ac:dyDescent="0.2">
      <c r="F9" s="443"/>
      <c r="G9" s="443"/>
      <c r="H9" s="443"/>
      <c r="I9" s="443"/>
      <c r="J9" s="443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C1000"/>
  <sheetViews>
    <sheetView workbookViewId="0">
      <selection activeCell="H12" sqref="H12"/>
    </sheetView>
  </sheetViews>
  <sheetFormatPr baseColWidth="10" defaultColWidth="14.5" defaultRowHeight="15" customHeight="1" x14ac:dyDescent="0.2"/>
  <cols>
    <col min="1" max="1" width="18.5" customWidth="1"/>
    <col min="2" max="2" width="17.5" customWidth="1"/>
    <col min="3" max="3" width="19.1640625" bestFit="1" customWidth="1"/>
    <col min="4" max="19" width="8.6640625" customWidth="1"/>
  </cols>
  <sheetData>
    <row r="1" spans="1:3" x14ac:dyDescent="0.2">
      <c r="A1" s="37" t="s">
        <v>86</v>
      </c>
      <c r="B1" s="37" t="s">
        <v>87</v>
      </c>
      <c r="C1" s="37" t="s">
        <v>88</v>
      </c>
    </row>
    <row r="2" spans="1:3" x14ac:dyDescent="0.2">
      <c r="A2" s="1">
        <v>9.7000000000000003E-3</v>
      </c>
      <c r="B2" s="302">
        <f>'5. Debêntures '!Q3</f>
        <v>0</v>
      </c>
      <c r="C2">
        <v>11790464000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A4C8-8BD8-4414-9164-5A137FDD8989}">
  <sheetPr>
    <tabColor theme="1"/>
  </sheetPr>
  <dimension ref="B1:O87"/>
  <sheetViews>
    <sheetView topLeftCell="A32" zoomScale="85" zoomScaleNormal="85" workbookViewId="0">
      <selection activeCell="D68" sqref="D68"/>
    </sheetView>
  </sheetViews>
  <sheetFormatPr baseColWidth="10" defaultColWidth="9.1640625" defaultRowHeight="15" x14ac:dyDescent="0.2"/>
  <cols>
    <col min="1" max="1" width="2.5" style="172" customWidth="1"/>
    <col min="2" max="2" width="30.6640625" style="172" customWidth="1"/>
    <col min="3" max="4" width="22.5" style="172" customWidth="1"/>
    <col min="5" max="5" width="25.83203125" style="172" customWidth="1"/>
    <col min="6" max="6" width="42.1640625" style="172" bestFit="1" customWidth="1"/>
    <col min="7" max="7" width="30.83203125" style="172" bestFit="1" customWidth="1"/>
    <col min="8" max="8" width="21.6640625" style="172" bestFit="1" customWidth="1"/>
    <col min="9" max="9" width="19.6640625" style="172" customWidth="1"/>
    <col min="10" max="10" width="13" style="172" customWidth="1"/>
    <col min="11" max="11" width="15.5" style="172" customWidth="1"/>
    <col min="12" max="12" width="12" style="172" bestFit="1" customWidth="1"/>
    <col min="13" max="13" width="7.83203125" style="172" bestFit="1" customWidth="1"/>
    <col min="14" max="14" width="15" style="172" bestFit="1" customWidth="1"/>
    <col min="15" max="20" width="9.1640625" style="172"/>
    <col min="21" max="21" width="26.83203125" style="172" bestFit="1" customWidth="1"/>
    <col min="22" max="16384" width="9.1640625" style="172"/>
  </cols>
  <sheetData>
    <row r="1" spans="2:9" ht="9" customHeight="1" x14ac:dyDescent="0.2"/>
    <row r="2" spans="2:9" ht="12" customHeight="1" x14ac:dyDescent="0.2">
      <c r="B2" s="524" t="s">
        <v>603</v>
      </c>
      <c r="C2" s="525"/>
      <c r="D2" s="201"/>
    </row>
    <row r="3" spans="2:9" ht="12" customHeight="1" x14ac:dyDescent="0.2">
      <c r="B3" s="526" t="s">
        <v>89</v>
      </c>
      <c r="C3" s="527"/>
      <c r="D3" s="201"/>
      <c r="E3" s="520" t="s">
        <v>3107</v>
      </c>
      <c r="F3" s="521"/>
    </row>
    <row r="4" spans="2:9" x14ac:dyDescent="0.2">
      <c r="B4" s="203"/>
      <c r="C4" s="202">
        <v>44531</v>
      </c>
      <c r="D4" s="201"/>
      <c r="E4" s="486"/>
      <c r="F4" s="492" t="s">
        <v>3108</v>
      </c>
      <c r="G4" s="495" t="s">
        <v>3109</v>
      </c>
    </row>
    <row r="5" spans="2:9" x14ac:dyDescent="0.2">
      <c r="B5" s="353" t="s">
        <v>774</v>
      </c>
      <c r="C5" s="200">
        <f>'7. B. Vale'!$C$63/1000000</f>
        <v>59102.765999999996</v>
      </c>
      <c r="D5" s="193"/>
      <c r="E5" s="493" t="s">
        <v>774</v>
      </c>
      <c r="F5" s="222">
        <f>C16/(C16+C27)</f>
        <v>0.94096455420687741</v>
      </c>
      <c r="G5" s="206">
        <f>1-F5</f>
        <v>5.9035445793122587E-2</v>
      </c>
      <c r="H5" s="206"/>
    </row>
    <row r="6" spans="2:9" x14ac:dyDescent="0.2">
      <c r="B6" s="353" t="s">
        <v>775</v>
      </c>
      <c r="C6" s="200">
        <f>'8. B. Rumo'!C49/1000000</f>
        <v>17417</v>
      </c>
      <c r="D6" s="193"/>
      <c r="E6" s="353" t="s">
        <v>775</v>
      </c>
      <c r="F6" s="222">
        <f t="shared" ref="F6:F10" si="0">C17/(C17+C28)</f>
        <v>0.7313321787968079</v>
      </c>
      <c r="G6" s="206">
        <f t="shared" ref="G6:G10" si="1">1-F6</f>
        <v>0.2686678212031921</v>
      </c>
    </row>
    <row r="7" spans="2:9" x14ac:dyDescent="0.2">
      <c r="B7" s="353" t="s">
        <v>776</v>
      </c>
      <c r="C7" s="200">
        <f>'9. B. Cosan'!C63/1000000</f>
        <v>57748.302000000003</v>
      </c>
      <c r="D7" s="193"/>
      <c r="E7" s="353" t="s">
        <v>776</v>
      </c>
      <c r="F7" s="222">
        <f t="shared" si="0"/>
        <v>0.60115186491410588</v>
      </c>
      <c r="G7" s="206">
        <f t="shared" si="1"/>
        <v>0.39884813508589412</v>
      </c>
    </row>
    <row r="8" spans="2:9" x14ac:dyDescent="0.2">
      <c r="B8" s="353" t="s">
        <v>777</v>
      </c>
      <c r="C8" s="200">
        <f>'12. B. CSN'!C27/1000000</f>
        <v>40918.741999999998</v>
      </c>
      <c r="D8" s="193"/>
      <c r="E8" s="353" t="s">
        <v>777</v>
      </c>
      <c r="F8" s="222">
        <f t="shared" si="0"/>
        <v>0.4170866407931374</v>
      </c>
      <c r="G8" s="206">
        <f t="shared" si="1"/>
        <v>0.5829133592068626</v>
      </c>
    </row>
    <row r="9" spans="2:9" x14ac:dyDescent="0.2">
      <c r="B9" s="353" t="s">
        <v>778</v>
      </c>
      <c r="C9" s="200">
        <f>'10. B. Usiminas'!N38/1000000</f>
        <v>6200</v>
      </c>
      <c r="D9" s="193"/>
      <c r="E9" s="353" t="s">
        <v>778</v>
      </c>
      <c r="F9" s="222">
        <f t="shared" si="0"/>
        <v>0.48696767556347198</v>
      </c>
      <c r="G9" s="206">
        <f t="shared" si="1"/>
        <v>0.51303232443652802</v>
      </c>
    </row>
    <row r="10" spans="2:9" x14ac:dyDescent="0.2">
      <c r="B10" s="353" t="s">
        <v>779</v>
      </c>
      <c r="C10" s="200">
        <f>'11. B. Gerdau'!C39/1000000</f>
        <v>12607</v>
      </c>
      <c r="D10" s="193"/>
      <c r="E10" s="353" t="s">
        <v>779</v>
      </c>
      <c r="F10" s="222">
        <f t="shared" si="0"/>
        <v>0.85681465328766704</v>
      </c>
      <c r="G10" s="206">
        <f t="shared" si="1"/>
        <v>0.14318534671233296</v>
      </c>
    </row>
    <row r="11" spans="2:9" x14ac:dyDescent="0.2">
      <c r="B11" s="199"/>
      <c r="C11" s="481">
        <f>SUM(C5:C10)</f>
        <v>193993.81</v>
      </c>
      <c r="D11" s="178"/>
      <c r="E11" s="494"/>
      <c r="I11" s="208"/>
    </row>
    <row r="12" spans="2:9" x14ac:dyDescent="0.2">
      <c r="C12" s="207"/>
      <c r="E12" s="486"/>
      <c r="F12" s="487"/>
    </row>
    <row r="13" spans="2:9" x14ac:dyDescent="0.2">
      <c r="B13" s="524" t="s">
        <v>602</v>
      </c>
      <c r="C13" s="525"/>
      <c r="D13" s="201"/>
      <c r="E13" s="486"/>
      <c r="F13" s="487"/>
    </row>
    <row r="14" spans="2:9" x14ac:dyDescent="0.2">
      <c r="B14" s="526" t="s">
        <v>90</v>
      </c>
      <c r="C14" s="527"/>
    </row>
    <row r="15" spans="2:9" x14ac:dyDescent="0.2">
      <c r="B15" s="203"/>
      <c r="C15" s="202">
        <v>44531</v>
      </c>
      <c r="D15" s="201"/>
      <c r="E15" s="463" t="s">
        <v>2925</v>
      </c>
      <c r="F15" s="463" t="s">
        <v>606</v>
      </c>
      <c r="G15" s="464" t="s">
        <v>2913</v>
      </c>
    </row>
    <row r="16" spans="2:9" x14ac:dyDescent="0.2">
      <c r="B16" s="493" t="s">
        <v>774</v>
      </c>
      <c r="C16" s="200">
        <f t="shared" ref="C16:C21" si="2">F16*G16/10^6</f>
        <v>404163.6902123508</v>
      </c>
      <c r="E16" s="460" t="s">
        <v>2919</v>
      </c>
      <c r="F16" s="226">
        <v>4547296398</v>
      </c>
      <c r="G16" s="224">
        <f>'13. VALE3'!O998</f>
        <v>88.879997000000003</v>
      </c>
      <c r="H16" s="205"/>
      <c r="I16" s="206"/>
    </row>
    <row r="17" spans="2:13" x14ac:dyDescent="0.2">
      <c r="B17" s="353" t="s">
        <v>775</v>
      </c>
      <c r="C17" s="200">
        <f t="shared" si="2"/>
        <v>22623.110243572613</v>
      </c>
      <c r="E17" s="460" t="s">
        <v>2920</v>
      </c>
      <c r="F17" s="226">
        <v>1215642613</v>
      </c>
      <c r="G17" s="224">
        <f>'14. RAIL3'!O407</f>
        <v>18.610001</v>
      </c>
      <c r="H17" s="205"/>
      <c r="I17" s="206"/>
    </row>
    <row r="18" spans="2:13" x14ac:dyDescent="0.2">
      <c r="B18" s="353" t="s">
        <v>776</v>
      </c>
      <c r="C18" s="200">
        <f t="shared" si="2"/>
        <v>20048.611680823695</v>
      </c>
      <c r="E18" s="461" t="s">
        <v>2921</v>
      </c>
      <c r="F18" s="458">
        <v>1171063698</v>
      </c>
      <c r="G18" s="459">
        <f>'15. CSAN3'!N896</f>
        <v>17.120000999999998</v>
      </c>
    </row>
    <row r="19" spans="2:13" x14ac:dyDescent="0.2">
      <c r="B19" s="353" t="s">
        <v>777</v>
      </c>
      <c r="C19" s="200">
        <f t="shared" si="2"/>
        <v>8580.0647962500007</v>
      </c>
      <c r="E19" s="461" t="s">
        <v>2922</v>
      </c>
      <c r="F19" s="458">
        <v>589695175</v>
      </c>
      <c r="G19" s="459">
        <f>'18. CSNA3'!N1202</f>
        <v>14.55</v>
      </c>
    </row>
    <row r="20" spans="2:13" x14ac:dyDescent="0.2">
      <c r="B20" s="353" t="s">
        <v>778</v>
      </c>
      <c r="C20" s="200">
        <f t="shared" si="2"/>
        <v>4840.8940861599995</v>
      </c>
      <c r="E20" s="461" t="s">
        <v>2923</v>
      </c>
      <c r="F20" s="458">
        <v>676102526</v>
      </c>
      <c r="G20" s="459">
        <f>'16.USIM5'!N1202</f>
        <v>7.16</v>
      </c>
    </row>
    <row r="21" spans="2:13" x14ac:dyDescent="0.2">
      <c r="B21" s="353" t="s">
        <v>779</v>
      </c>
      <c r="C21" s="200">
        <f t="shared" si="2"/>
        <v>32516.810783153673</v>
      </c>
      <c r="E21" s="461" t="s">
        <v>2924</v>
      </c>
      <c r="F21" s="458">
        <v>1107143673</v>
      </c>
      <c r="G21" s="459">
        <f>'17. GGBR4'!N1184</f>
        <v>29.370000999999998</v>
      </c>
    </row>
    <row r="22" spans="2:13" x14ac:dyDescent="0.2">
      <c r="B22" s="199"/>
      <c r="C22" s="481">
        <f>SUM(C16:C21)</f>
        <v>492773.18180231081</v>
      </c>
      <c r="D22" s="178"/>
      <c r="E22" s="462"/>
      <c r="F22" s="227"/>
      <c r="G22" s="225"/>
    </row>
    <row r="23" spans="2:13" x14ac:dyDescent="0.2">
      <c r="E23" s="222"/>
      <c r="F23" s="222"/>
      <c r="M23" s="191"/>
    </row>
    <row r="24" spans="2:13" x14ac:dyDescent="0.2">
      <c r="B24" s="524" t="s">
        <v>601</v>
      </c>
      <c r="C24" s="525"/>
      <c r="D24" s="201"/>
      <c r="M24" s="191"/>
    </row>
    <row r="25" spans="2:13" x14ac:dyDescent="0.2">
      <c r="B25" s="526" t="s">
        <v>90</v>
      </c>
      <c r="C25" s="527"/>
      <c r="D25" s="201"/>
      <c r="E25" s="183"/>
      <c r="F25" s="472" t="s">
        <v>3093</v>
      </c>
      <c r="G25" s="489" t="s">
        <v>3104</v>
      </c>
      <c r="M25" s="191"/>
    </row>
    <row r="26" spans="2:13" x14ac:dyDescent="0.2">
      <c r="B26" s="203"/>
      <c r="C26" s="202">
        <v>44531</v>
      </c>
      <c r="D26" s="201"/>
      <c r="E26" s="456" t="s">
        <v>2907</v>
      </c>
      <c r="F26" s="473">
        <v>0.56769999999999998</v>
      </c>
      <c r="G26" s="490">
        <f t="shared" ref="G26:G31" si="3">C16/$C$22</f>
        <v>0.82018199272559422</v>
      </c>
      <c r="M26" s="191"/>
    </row>
    <row r="27" spans="2:13" x14ac:dyDescent="0.2">
      <c r="B27" s="353" t="s">
        <v>774</v>
      </c>
      <c r="C27" s="200">
        <f>'7. B. Vale'!C66/1000000</f>
        <v>25356.941999999995</v>
      </c>
      <c r="D27" s="193"/>
      <c r="E27" s="456" t="s">
        <v>2908</v>
      </c>
      <c r="F27" s="473">
        <v>0.20200000000000001</v>
      </c>
      <c r="G27" s="490">
        <f t="shared" si="3"/>
        <v>4.5909783809315506E-2</v>
      </c>
      <c r="M27" s="191"/>
    </row>
    <row r="28" spans="2:13" x14ac:dyDescent="0.2">
      <c r="B28" s="353" t="s">
        <v>775</v>
      </c>
      <c r="C28" s="200">
        <f>'8. B. Rumo'!C50/1000000</f>
        <v>8311</v>
      </c>
      <c r="D28" s="193"/>
      <c r="E28" s="456" t="s">
        <v>2909</v>
      </c>
      <c r="F28" s="473">
        <v>0.10100000000000001</v>
      </c>
      <c r="G28" s="490">
        <f t="shared" si="3"/>
        <v>4.0685273511631023E-2</v>
      </c>
      <c r="M28" s="191"/>
    </row>
    <row r="29" spans="2:13" x14ac:dyDescent="0.2">
      <c r="B29" s="353" t="s">
        <v>776</v>
      </c>
      <c r="C29" s="200">
        <f>'9. B. Cosan'!C64/1000000</f>
        <v>13301.716</v>
      </c>
      <c r="D29" s="193"/>
      <c r="E29" s="456" t="s">
        <v>2910</v>
      </c>
      <c r="F29" s="473">
        <v>9.9000000000000005E-2</v>
      </c>
      <c r="G29" s="490">
        <f t="shared" si="3"/>
        <v>1.7411793322170126E-2</v>
      </c>
    </row>
    <row r="30" spans="2:13" x14ac:dyDescent="0.2">
      <c r="B30" s="353" t="s">
        <v>777</v>
      </c>
      <c r="C30" s="200">
        <f>'12. B. CSN'!$L$34/1000000</f>
        <v>11991.356</v>
      </c>
      <c r="D30" s="193"/>
      <c r="E30" s="456" t="s">
        <v>3094</v>
      </c>
      <c r="F30" s="473">
        <v>2.7799999999999998E-2</v>
      </c>
      <c r="G30" s="490">
        <f t="shared" si="3"/>
        <v>9.823777480045686E-3</v>
      </c>
    </row>
    <row r="31" spans="2:13" x14ac:dyDescent="0.2">
      <c r="B31" s="353" t="s">
        <v>778</v>
      </c>
      <c r="C31" s="200">
        <f>'10. B. Usiminas'!N39/1000000</f>
        <v>5100</v>
      </c>
      <c r="D31" s="193"/>
      <c r="E31" s="474" t="s">
        <v>3095</v>
      </c>
      <c r="F31" s="475">
        <v>2.5000000000000001E-3</v>
      </c>
      <c r="G31" s="491">
        <f t="shared" si="3"/>
        <v>6.5987379151243392E-2</v>
      </c>
    </row>
    <row r="32" spans="2:13" x14ac:dyDescent="0.2">
      <c r="B32" s="353" t="s">
        <v>779</v>
      </c>
      <c r="C32" s="200">
        <f>'11. B. Gerdau'!C40/1000000</f>
        <v>5434</v>
      </c>
      <c r="D32" s="193"/>
      <c r="F32" s="174"/>
      <c r="G32" s="206"/>
    </row>
    <row r="33" spans="2:15" x14ac:dyDescent="0.2">
      <c r="B33" s="199"/>
      <c r="C33" s="204"/>
      <c r="D33" s="178"/>
      <c r="M33" s="191"/>
    </row>
    <row r="34" spans="2:15" x14ac:dyDescent="0.2">
      <c r="M34" s="191"/>
    </row>
    <row r="35" spans="2:15" x14ac:dyDescent="0.2">
      <c r="B35" s="524" t="s">
        <v>636</v>
      </c>
      <c r="C35" s="525"/>
      <c r="D35" s="352"/>
      <c r="M35" s="191"/>
    </row>
    <row r="36" spans="2:15" x14ac:dyDescent="0.2">
      <c r="B36" s="526" t="s">
        <v>90</v>
      </c>
      <c r="C36" s="527"/>
      <c r="M36" s="191"/>
    </row>
    <row r="37" spans="2:15" x14ac:dyDescent="0.2">
      <c r="B37" s="203"/>
      <c r="C37" s="202">
        <v>44531</v>
      </c>
      <c r="M37" s="191"/>
    </row>
    <row r="38" spans="2:15" x14ac:dyDescent="0.2">
      <c r="B38" s="353" t="s">
        <v>774</v>
      </c>
      <c r="C38" s="200">
        <f>C16+C5-C27</f>
        <v>437909.51421235083</v>
      </c>
      <c r="M38" s="191"/>
    </row>
    <row r="39" spans="2:15" x14ac:dyDescent="0.2">
      <c r="B39" s="353" t="s">
        <v>775</v>
      </c>
      <c r="C39" s="200">
        <f>C17+C6-C28</f>
        <v>31729.110243572613</v>
      </c>
      <c r="M39" s="191"/>
    </row>
    <row r="40" spans="2:15" x14ac:dyDescent="0.2">
      <c r="B40" s="353" t="s">
        <v>776</v>
      </c>
      <c r="C40" s="200">
        <f t="shared" ref="C40:C43" si="4">C18+C7-C29</f>
        <v>64495.197680823694</v>
      </c>
      <c r="D40" s="193"/>
      <c r="G40" s="206"/>
    </row>
    <row r="41" spans="2:15" x14ac:dyDescent="0.2">
      <c r="B41" s="353" t="s">
        <v>777</v>
      </c>
      <c r="C41" s="200">
        <f t="shared" si="4"/>
        <v>37507.450796249999</v>
      </c>
      <c r="D41" s="193"/>
      <c r="G41" s="206"/>
    </row>
    <row r="42" spans="2:15" x14ac:dyDescent="0.2">
      <c r="B42" s="353" t="s">
        <v>778</v>
      </c>
      <c r="C42" s="200">
        <f t="shared" si="4"/>
        <v>5940.8940861599986</v>
      </c>
      <c r="D42" s="193"/>
      <c r="G42" s="206"/>
    </row>
    <row r="43" spans="2:15" x14ac:dyDescent="0.2">
      <c r="B43" s="353" t="s">
        <v>779</v>
      </c>
      <c r="C43" s="200">
        <f t="shared" si="4"/>
        <v>39689.810783153676</v>
      </c>
      <c r="D43" s="193"/>
      <c r="G43" s="206"/>
    </row>
    <row r="44" spans="2:15" x14ac:dyDescent="0.2">
      <c r="B44" s="199"/>
      <c r="C44" s="204"/>
      <c r="M44" s="191"/>
    </row>
    <row r="45" spans="2:15" x14ac:dyDescent="0.2">
      <c r="M45" s="191"/>
    </row>
    <row r="46" spans="2:15" x14ac:dyDescent="0.2">
      <c r="B46" s="522" t="s">
        <v>91</v>
      </c>
      <c r="C46" s="523"/>
      <c r="D46" s="215"/>
      <c r="E46" s="215"/>
      <c r="F46" s="215"/>
      <c r="G46" s="215"/>
      <c r="H46" s="215"/>
      <c r="I46" s="215"/>
      <c r="J46" s="215"/>
      <c r="K46" s="215"/>
      <c r="L46" s="215"/>
      <c r="M46" s="216"/>
    </row>
    <row r="47" spans="2:15" x14ac:dyDescent="0.2">
      <c r="B47" s="41" t="s">
        <v>92</v>
      </c>
      <c r="C47" s="41">
        <v>2022</v>
      </c>
      <c r="D47" s="42">
        <v>2021</v>
      </c>
      <c r="E47" s="41">
        <v>2020</v>
      </c>
      <c r="F47" s="42">
        <v>2019</v>
      </c>
      <c r="G47" s="41">
        <v>2018</v>
      </c>
      <c r="H47" s="42">
        <v>2017</v>
      </c>
      <c r="I47" s="41">
        <v>2016</v>
      </c>
      <c r="J47" s="42">
        <v>2015</v>
      </c>
      <c r="K47" s="41">
        <v>2014</v>
      </c>
      <c r="L47" s="42">
        <v>2013</v>
      </c>
      <c r="M47" s="43" t="s">
        <v>571</v>
      </c>
    </row>
    <row r="48" spans="2:15" x14ac:dyDescent="0.2">
      <c r="B48" s="449" t="s">
        <v>2907</v>
      </c>
      <c r="C48" s="198">
        <f>'7. B. Vale'!C37</f>
        <v>0.10087115551010777</v>
      </c>
      <c r="D48" s="198">
        <f>'7. B. Vale'!D37</f>
        <v>0.18900136351926206</v>
      </c>
      <c r="E48" s="198">
        <f>'7. B. Vale'!E37</f>
        <v>0.63835577198510451</v>
      </c>
      <c r="F48" s="198">
        <f>'7. B. Vale'!F37</f>
        <v>-0.53408888095663043</v>
      </c>
      <c r="G48" s="198">
        <f>'7. B. Vale'!G37</f>
        <v>0.11032863849765258</v>
      </c>
      <c r="H48" s="198">
        <f>'7. B. Vale'!H37</f>
        <v>0.10844296845063227</v>
      </c>
      <c r="I48" s="198">
        <f>'7. B. Vale'!I37</f>
        <v>0.12238176300791948</v>
      </c>
      <c r="J48" s="198">
        <f>'7. B. Vale'!J37</f>
        <v>-1.7750015461685944E-2</v>
      </c>
      <c r="K48" s="198">
        <f>'7. B. Vale'!K37</f>
        <v>0.67675466838377329</v>
      </c>
      <c r="L48" s="198">
        <f>'7. B. Vale'!L37</f>
        <v>1.075265847258666</v>
      </c>
      <c r="M48" s="197">
        <f>MEDIAN(C48,D48,G48,H48,E48,K48,L48,I48)</f>
        <v>0.15569156326359077</v>
      </c>
      <c r="N48" s="193"/>
      <c r="O48" s="174"/>
    </row>
    <row r="49" spans="2:15" x14ac:dyDescent="0.2">
      <c r="B49" s="450" t="s">
        <v>2908</v>
      </c>
      <c r="C49" s="196">
        <f>'8. B. Rumo'!C20</f>
        <v>0.58132956152758131</v>
      </c>
      <c r="D49" s="196">
        <f>'8. B. Rumo'!D20</f>
        <v>3.4437500000000001</v>
      </c>
      <c r="E49" s="196">
        <f>'8. B. Rumo'!E20</f>
        <v>0.5094736842105263</v>
      </c>
      <c r="F49" s="196">
        <f>'8. B. Rumo'!F20</f>
        <v>0.17595628415300546</v>
      </c>
      <c r="G49" s="196">
        <f>'8. B. Rumo'!G20</f>
        <v>0.12346141911460488</v>
      </c>
      <c r="H49" s="196">
        <f>'8. B. Rumo'!H20</f>
        <v>-0.17329742424424593</v>
      </c>
      <c r="I49" s="196">
        <f>'8. B. Rumo'!I20</f>
        <v>-9.984354703090792E-2</v>
      </c>
      <c r="J49" s="196">
        <f>'8. B. Rumo'!J20</f>
        <v>-0.1533761166982425</v>
      </c>
      <c r="K49" s="196">
        <f>'8. B. Rumo'!K20</f>
        <v>-4.6005995241723649E-2</v>
      </c>
      <c r="L49" s="196">
        <f>'8. B. Rumo'!L20</f>
        <v>0.30606816586752539</v>
      </c>
      <c r="M49" s="197">
        <f>MEDIAN(C49,D49,E49,F49,G49,L49)</f>
        <v>0.40777092503902584</v>
      </c>
      <c r="N49" s="193"/>
      <c r="O49" s="174"/>
    </row>
    <row r="50" spans="2:15" x14ac:dyDescent="0.2">
      <c r="B50" s="451" t="s">
        <v>2909</v>
      </c>
      <c r="C50" s="465">
        <f>'9. B. Cosan'!C33</f>
        <v>0.46142585803880964</v>
      </c>
      <c r="D50" s="465">
        <f>'9. B. Cosan'!D33</f>
        <v>3.2932972852004208E-2</v>
      </c>
      <c r="E50" s="465">
        <f>'9. B. Cosan'!E33</f>
        <v>0.5964282806118294</v>
      </c>
      <c r="F50" s="465">
        <f>'9. B. Cosan'!F33</f>
        <v>0.26107096488805637</v>
      </c>
      <c r="G50" s="465">
        <f>'9. B. Cosan'!G33</f>
        <v>0.16355952437012417</v>
      </c>
      <c r="H50" s="465">
        <f>'9. B. Cosan'!H33</f>
        <v>4.4948444180251033E-2</v>
      </c>
      <c r="I50" s="465">
        <f>'9. B. Cosan'!I33</f>
        <v>7.5818444467480997E-2</v>
      </c>
      <c r="J50" s="465">
        <f>'9. B. Cosan'!J33</f>
        <v>0.20327680805891241</v>
      </c>
      <c r="K50" s="465">
        <f>'9. B. Cosan'!K33</f>
        <v>0.22554716340566666</v>
      </c>
      <c r="L50" s="465">
        <f>'9. B. Cosan'!L33</f>
        <v>0.3900853821494219</v>
      </c>
      <c r="M50" s="197">
        <f>MEDIAN(C50:L50)</f>
        <v>0.21441198573228953</v>
      </c>
    </row>
    <row r="51" spans="2:15" x14ac:dyDescent="0.2">
      <c r="B51" s="451" t="s">
        <v>2910</v>
      </c>
      <c r="C51" s="465">
        <f>'12. B. CSN'!C19</f>
        <v>0.39</v>
      </c>
      <c r="D51" s="465">
        <f>'12. B. CSN'!D19</f>
        <v>0.13</v>
      </c>
      <c r="E51" s="465">
        <f>'12. B. CSN'!E19</f>
        <v>-0.42</v>
      </c>
      <c r="F51" s="465">
        <f>'12. B. CSN'!F19</f>
        <v>3.6</v>
      </c>
      <c r="G51" s="465">
        <f>'12. B. CSN'!G19</f>
        <v>-0.06</v>
      </c>
      <c r="H51" s="465">
        <f>'12. B. CSN'!H19</f>
        <v>1.18</v>
      </c>
      <c r="I51" s="465">
        <f>'12. B. CSN'!I19</f>
        <v>0.09</v>
      </c>
      <c r="J51" s="465">
        <f>'12. B. CSN'!J19</f>
        <v>1.76</v>
      </c>
      <c r="K51" s="465">
        <f>'12. B. CSN'!K19</f>
        <v>0.85</v>
      </c>
      <c r="L51" s="465">
        <f>'12. B. CSN'!L19</f>
        <v>0.28999999999999998</v>
      </c>
      <c r="M51" s="197">
        <f>MEDIAN(C51,D51,I51,L51)</f>
        <v>0.21</v>
      </c>
    </row>
    <row r="52" spans="2:15" x14ac:dyDescent="0.2">
      <c r="B52" s="451" t="s">
        <v>2911</v>
      </c>
      <c r="C52" s="465">
        <f>'10. B. Usiminas'!C34</f>
        <v>0.36</v>
      </c>
      <c r="D52" s="465">
        <f>'10. B. Usiminas'!D34</f>
        <v>0.18</v>
      </c>
      <c r="E52" s="465">
        <f>'10. B. Usiminas'!E34</f>
        <v>0.3</v>
      </c>
      <c r="F52" s="465">
        <f>'10. B. Usiminas'!F34</f>
        <v>0.15</v>
      </c>
      <c r="G52" s="465">
        <f>'10. B. Usiminas'!G34</f>
        <v>0.33</v>
      </c>
      <c r="H52" s="465">
        <f>'10. B. Usiminas'!H34</f>
        <v>0.25</v>
      </c>
      <c r="I52" s="465">
        <f>'10. B. Usiminas'!I34</f>
        <v>0</v>
      </c>
      <c r="J52" s="465">
        <f>'10. B. Usiminas'!J34</f>
        <v>0.24</v>
      </c>
      <c r="K52" s="465">
        <f>'10. B. Usiminas'!K34</f>
        <v>0.13354937281491108</v>
      </c>
      <c r="L52" s="465">
        <f>'10. B. Usiminas'!L34</f>
        <v>3.1953020946845867</v>
      </c>
      <c r="M52" s="197">
        <f>MEDIAN(C52,D52,E52,F52,G52,H52,J52,K52)</f>
        <v>0.245</v>
      </c>
    </row>
    <row r="53" spans="2:15" x14ac:dyDescent="0.2">
      <c r="B53" s="451" t="s">
        <v>2912</v>
      </c>
      <c r="C53" s="465">
        <f>'11. B. Gerdau'!C23</f>
        <v>0.23389921714617171</v>
      </c>
      <c r="D53" s="465">
        <f>'11. B. Gerdau'!D23</f>
        <v>0.23251272359772082</v>
      </c>
      <c r="E53" s="465">
        <f>'11. B. Gerdau'!E23</f>
        <v>0.31685527099463967</v>
      </c>
      <c r="F53" s="465">
        <f>'11. B. Gerdau'!F23</f>
        <v>0.27337883347664088</v>
      </c>
      <c r="G53" s="465">
        <f>'11. B. Gerdau'!G23</f>
        <v>7.8311195120492852E-2</v>
      </c>
      <c r="H53" s="465">
        <f>'11. B. Gerdau'!H23</f>
        <v>-6.8257463721231169</v>
      </c>
      <c r="I53" s="465">
        <f>'11. B. Gerdau'!I23</f>
        <v>-0.1178773752089293</v>
      </c>
      <c r="J53" s="465">
        <f>'11. B. Gerdau'!J23</f>
        <v>0.24586834357003995</v>
      </c>
      <c r="K53" s="465">
        <f>'11. B. Gerdau'!K23</f>
        <v>-0.11239969984693389</v>
      </c>
      <c r="L53" s="465">
        <f>'11. B. Gerdau'!L23</f>
        <v>-0.1659427004239161</v>
      </c>
      <c r="M53" s="197">
        <f>MEDIAN(C53,D53,E53,F53,J53,G53)</f>
        <v>0.23988378035810581</v>
      </c>
    </row>
    <row r="54" spans="2:15" x14ac:dyDescent="0.2">
      <c r="B54" s="195"/>
      <c r="C54" s="217"/>
      <c r="D54" s="218"/>
      <c r="E54" s="219"/>
      <c r="F54" s="218"/>
      <c r="G54" s="219"/>
      <c r="H54" s="220"/>
      <c r="I54" s="221"/>
      <c r="J54" s="220"/>
      <c r="K54" s="221"/>
      <c r="L54" s="220"/>
      <c r="M54" s="194"/>
      <c r="N54" s="178"/>
      <c r="O54" s="174"/>
    </row>
    <row r="55" spans="2:15" x14ac:dyDescent="0.2">
      <c r="C55" s="192"/>
      <c r="D55" s="174"/>
      <c r="J55" s="192"/>
      <c r="K55" s="192"/>
      <c r="L55" s="192"/>
      <c r="M55" s="191"/>
      <c r="N55" s="174"/>
    </row>
    <row r="56" spans="2:15" x14ac:dyDescent="0.2">
      <c r="G56" s="190"/>
    </row>
    <row r="57" spans="2:15" s="184" customFormat="1" ht="30" x14ac:dyDescent="0.2">
      <c r="B57" s="223" t="s">
        <v>73</v>
      </c>
      <c r="C57" s="228" t="s">
        <v>93</v>
      </c>
      <c r="D57" s="228" t="s">
        <v>94</v>
      </c>
      <c r="E57" s="228" t="s">
        <v>95</v>
      </c>
      <c r="F57" s="228" t="s">
        <v>96</v>
      </c>
      <c r="G57" s="229" t="s">
        <v>3105</v>
      </c>
      <c r="H57" s="229" t="s">
        <v>97</v>
      </c>
      <c r="I57" s="229" t="s">
        <v>98</v>
      </c>
      <c r="J57" s="230" t="s">
        <v>99</v>
      </c>
      <c r="K57" s="477"/>
    </row>
    <row r="58" spans="2:15" x14ac:dyDescent="0.2">
      <c r="B58" s="454" t="s">
        <v>3096</v>
      </c>
      <c r="C58" s="245">
        <f>_xlfn.COVARIANCE.S('13. VALE3'!S738:S998,'15. S&amp;P500'!P919:P1179)/VAR('15. S&amp;P500'!P919:P1179)</f>
        <v>0.98188670188967131</v>
      </c>
      <c r="D58" s="250">
        <f>C5/C16</f>
        <v>0.14623472476942928</v>
      </c>
      <c r="E58" s="251">
        <f>M48</f>
        <v>0.15569156326359077</v>
      </c>
      <c r="F58" s="250">
        <f>C58/(1+D58*(-E58+1))</f>
        <v>0.87397895685647409</v>
      </c>
      <c r="G58" s="244">
        <f>G26</f>
        <v>0.82018199272559422</v>
      </c>
      <c r="H58" s="250">
        <f>(F58*G58)+(F59*G59)+(F60*G60)+(F61*G61)+(F62*G62)+(F63*G63)</f>
        <v>0.83171236988068153</v>
      </c>
      <c r="I58" s="248">
        <f>SUMPRODUCT(F5:F10,F26:F31)</f>
        <v>0.79960233134892855</v>
      </c>
      <c r="J58" s="243">
        <f>H58*((I58+I59*(1-0.34))/I58)</f>
        <v>0.96928616228892928</v>
      </c>
    </row>
    <row r="59" spans="2:15" x14ac:dyDescent="0.2">
      <c r="B59" s="455" t="s">
        <v>2920</v>
      </c>
      <c r="C59" s="245">
        <f>_xlfn.COVARIANCE.S('14. RAIL3'!S147:S407,'15. S&amp;P500'!P919:P1179)/VAR('15. S&amp;P500'!P919:P1179)</f>
        <v>0.66660978716979091</v>
      </c>
      <c r="D59" s="231">
        <f>C6/C17</f>
        <v>0.76987645873972144</v>
      </c>
      <c r="E59" s="232">
        <f>M49</f>
        <v>0.40777092503902584</v>
      </c>
      <c r="F59" s="250">
        <f t="shared" ref="F59:F63" si="5">C59/(1+D59*(-E59+1))</f>
        <v>0.45785424640332667</v>
      </c>
      <c r="G59" s="244">
        <f t="shared" ref="G59:G63" si="6">G27</f>
        <v>4.5909783809315506E-2</v>
      </c>
      <c r="H59" s="187"/>
      <c r="I59" s="248">
        <f>SUMPRODUCT(G5:G10,F26:F31)</f>
        <v>0.20039766865107153</v>
      </c>
      <c r="J59" s="233"/>
    </row>
    <row r="60" spans="2:15" x14ac:dyDescent="0.2">
      <c r="B60" s="488" t="s">
        <v>3106</v>
      </c>
      <c r="C60" s="245">
        <f>_xlfn.COVARIANCE.S('15. CSAN3'!R636:R896,'15. S&amp;P500'!P919:P1179)/VAR('15. S&amp;P500'!P919:P1179)</f>
        <v>1.0695736932274296</v>
      </c>
      <c r="D60" s="231">
        <f t="shared" ref="D60:D63" si="7">C7/C18</f>
        <v>2.8804140116712271</v>
      </c>
      <c r="E60" s="232">
        <f t="shared" ref="E60:E63" si="8">M50</f>
        <v>0.21441198573228953</v>
      </c>
      <c r="F60" s="250">
        <f t="shared" si="5"/>
        <v>0.3278066554722055</v>
      </c>
      <c r="G60" s="244">
        <f t="shared" si="6"/>
        <v>4.0685273511631023E-2</v>
      </c>
    </row>
    <row r="61" spans="2:15" x14ac:dyDescent="0.2">
      <c r="B61" s="457" t="s">
        <v>2922</v>
      </c>
      <c r="C61" s="245">
        <f>_xlfn.COVARIANCE.S('18. CSNA3'!R942:R1202,'15. S&amp;P500'!P919:P1179)/VAR('15. S&amp;P500'!P919:P1179)</f>
        <v>1.4294076338328736</v>
      </c>
      <c r="D61" s="231">
        <f t="shared" si="7"/>
        <v>4.7690481332826211</v>
      </c>
      <c r="E61" s="232">
        <f t="shared" si="8"/>
        <v>0.21</v>
      </c>
      <c r="F61" s="250">
        <f t="shared" si="5"/>
        <v>0.29982029048253689</v>
      </c>
      <c r="G61" s="244">
        <f t="shared" si="6"/>
        <v>1.7411793322170126E-2</v>
      </c>
    </row>
    <row r="62" spans="2:15" x14ac:dyDescent="0.2">
      <c r="B62" s="457" t="s">
        <v>2923</v>
      </c>
      <c r="C62" s="245">
        <f>_xlfn.COVARIANCE.S('16.USIM5'!R942:R1202,'15. S&amp;P500'!P919:P1179)/VAR('15. S&amp;P500'!P919:P1179)</f>
        <v>1.3255662569329667</v>
      </c>
      <c r="D62" s="231">
        <f t="shared" si="7"/>
        <v>1.2807551435024476</v>
      </c>
      <c r="E62" s="232">
        <f t="shared" si="8"/>
        <v>0.245</v>
      </c>
      <c r="F62" s="250">
        <f t="shared" si="5"/>
        <v>0.67391275264519035</v>
      </c>
      <c r="G62" s="244">
        <f t="shared" si="6"/>
        <v>9.823777480045686E-3</v>
      </c>
    </row>
    <row r="63" spans="2:15" x14ac:dyDescent="0.2">
      <c r="B63" s="457" t="s">
        <v>2924</v>
      </c>
      <c r="C63" s="245">
        <f>_xlfn.COVARIANCE.S('17. GGBR4'!R924:R1184,'15. S&amp;P500'!P919:P1179)/VAR('15. S&amp;P500'!P919:P1179)</f>
        <v>1.3477859810440984</v>
      </c>
      <c r="D63" s="231">
        <f t="shared" si="7"/>
        <v>0.38770714889823826</v>
      </c>
      <c r="E63" s="232">
        <f t="shared" si="8"/>
        <v>0.23988378035810581</v>
      </c>
      <c r="F63" s="250">
        <f t="shared" si="5"/>
        <v>1.0410005302447021</v>
      </c>
      <c r="G63" s="244">
        <f t="shared" si="6"/>
        <v>6.5987379151243392E-2</v>
      </c>
    </row>
    <row r="64" spans="2:15" x14ac:dyDescent="0.2">
      <c r="B64" s="195"/>
      <c r="C64" s="234"/>
      <c r="D64" s="235"/>
      <c r="E64" s="236"/>
      <c r="F64" s="235"/>
      <c r="G64" s="237"/>
      <c r="H64" s="238"/>
      <c r="I64" s="239"/>
      <c r="J64" s="240"/>
    </row>
    <row r="65" spans="2:13" x14ac:dyDescent="0.2">
      <c r="B65" s="184"/>
      <c r="C65" s="189" t="s">
        <v>600</v>
      </c>
      <c r="D65" s="184"/>
      <c r="E65" s="184"/>
      <c r="F65" s="184"/>
      <c r="G65" s="188"/>
      <c r="I65" s="187"/>
      <c r="J65" s="186"/>
      <c r="K65" s="184"/>
    </row>
    <row r="66" spans="2:13" x14ac:dyDescent="0.2">
      <c r="B66" s="184"/>
      <c r="C66" s="185"/>
      <c r="D66" s="184"/>
      <c r="E66" s="184"/>
      <c r="G66" s="184"/>
      <c r="H66" s="184"/>
      <c r="M66" s="174"/>
    </row>
    <row r="67" spans="2:13" x14ac:dyDescent="0.2">
      <c r="B67" s="44" t="s">
        <v>100</v>
      </c>
      <c r="C67" s="44"/>
      <c r="D67" s="44"/>
      <c r="E67" s="293"/>
      <c r="M67" s="174"/>
    </row>
    <row r="68" spans="2:13" x14ac:dyDescent="0.2">
      <c r="B68" s="183"/>
      <c r="C68" s="482" t="s">
        <v>101</v>
      </c>
      <c r="D68" s="181">
        <f>284011.7967/1608832.34</f>
        <v>0.17653287396000505</v>
      </c>
      <c r="E68" s="178"/>
      <c r="I68" s="174"/>
      <c r="M68" s="174"/>
    </row>
    <row r="69" spans="2:13" x14ac:dyDescent="0.2">
      <c r="B69" s="182"/>
      <c r="C69" s="351" t="s">
        <v>773</v>
      </c>
      <c r="D69" s="181">
        <v>0.82</v>
      </c>
      <c r="I69" s="350"/>
      <c r="J69" s="174"/>
    </row>
    <row r="70" spans="2:13" x14ac:dyDescent="0.2">
      <c r="B70" s="180"/>
      <c r="C70" s="179"/>
      <c r="D70" s="241"/>
      <c r="E70" s="178"/>
      <c r="I70" s="192"/>
    </row>
    <row r="71" spans="2:13" x14ac:dyDescent="0.2">
      <c r="B71" s="180"/>
      <c r="C71" s="179"/>
      <c r="D71" s="242"/>
      <c r="I71" s="174"/>
    </row>
    <row r="72" spans="2:13" x14ac:dyDescent="0.2">
      <c r="B72" s="180"/>
      <c r="C72" s="179"/>
      <c r="D72" s="242"/>
      <c r="E72" s="178"/>
      <c r="I72" s="192"/>
    </row>
    <row r="73" spans="2:13" x14ac:dyDescent="0.2">
      <c r="B73" s="177"/>
      <c r="C73" s="176" t="s">
        <v>772</v>
      </c>
      <c r="D73" s="175">
        <f>(1-D69)/(1-D68)</f>
        <v>0.21858796096161054</v>
      </c>
      <c r="I73" s="350"/>
      <c r="J73" s="174"/>
    </row>
    <row r="77" spans="2:13" x14ac:dyDescent="0.2">
      <c r="B77" s="173"/>
      <c r="C77" s="54"/>
    </row>
    <row r="78" spans="2:13" x14ac:dyDescent="0.2">
      <c r="B78" s="173"/>
      <c r="C78" s="54"/>
    </row>
    <row r="79" spans="2:13" x14ac:dyDescent="0.2">
      <c r="B79" s="173"/>
      <c r="C79" s="54"/>
    </row>
    <row r="80" spans="2:13" x14ac:dyDescent="0.2">
      <c r="B80" s="173"/>
      <c r="C80" s="54"/>
    </row>
    <row r="81" spans="2:3" x14ac:dyDescent="0.2">
      <c r="B81" s="173"/>
      <c r="C81" s="54"/>
    </row>
    <row r="82" spans="2:3" x14ac:dyDescent="0.2">
      <c r="B82" s="173"/>
      <c r="C82" s="54"/>
    </row>
    <row r="83" spans="2:3" x14ac:dyDescent="0.2">
      <c r="B83" s="173"/>
      <c r="C83" s="54"/>
    </row>
    <row r="84" spans="2:3" x14ac:dyDescent="0.2">
      <c r="B84" s="173"/>
      <c r="C84" s="15"/>
    </row>
    <row r="85" spans="2:3" x14ac:dyDescent="0.2">
      <c r="B85" s="173"/>
      <c r="C85" s="54"/>
    </row>
    <row r="86" spans="2:3" x14ac:dyDescent="0.2">
      <c r="B86" s="173"/>
      <c r="C86" s="15"/>
    </row>
    <row r="87" spans="2:3" x14ac:dyDescent="0.2">
      <c r="B87" s="173"/>
      <c r="C87" s="154"/>
    </row>
  </sheetData>
  <mergeCells count="10">
    <mergeCell ref="E3:F3"/>
    <mergeCell ref="B46:C46"/>
    <mergeCell ref="B2:C2"/>
    <mergeCell ref="B3:C3"/>
    <mergeCell ref="B13:C13"/>
    <mergeCell ref="B14:C14"/>
    <mergeCell ref="B24:C24"/>
    <mergeCell ref="B25:C25"/>
    <mergeCell ref="B35:C35"/>
    <mergeCell ref="B36:C3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A0CD-6D7B-4E09-A5B6-05AC81A5EB9B}">
  <sheetPr>
    <tabColor theme="7" tint="0.79998168889431442"/>
  </sheetPr>
  <dimension ref="A1:BI66"/>
  <sheetViews>
    <sheetView topLeftCell="C4" zoomScaleNormal="100" workbookViewId="0">
      <selection activeCell="F37" sqref="F37"/>
    </sheetView>
  </sheetViews>
  <sheetFormatPr baseColWidth="10" defaultColWidth="9.1640625" defaultRowHeight="15" x14ac:dyDescent="0.2"/>
  <cols>
    <col min="1" max="1" width="9.33203125" style="172" bestFit="1" customWidth="1"/>
    <col min="2" max="2" width="20.1640625" style="172" customWidth="1"/>
    <col min="3" max="3" width="12" style="172" bestFit="1" customWidth="1"/>
    <col min="4" max="4" width="9.1640625" style="172"/>
    <col min="5" max="5" width="17.5" style="172" customWidth="1"/>
    <col min="6" max="8" width="9.1640625" style="172"/>
    <col min="9" max="9" width="9" style="172" customWidth="1"/>
    <col min="10" max="10" width="9.33203125" style="172" bestFit="1" customWidth="1"/>
    <col min="11" max="16384" width="9.1640625" style="172"/>
  </cols>
  <sheetData>
    <row r="1" spans="1:61" x14ac:dyDescent="0.2">
      <c r="A1" s="29" t="s">
        <v>61</v>
      </c>
      <c r="B1" s="290" t="s">
        <v>2843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pans="1:61" x14ac:dyDescent="0.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</row>
    <row r="3" spans="1:61" x14ac:dyDescent="0.2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</row>
    <row r="4" spans="1:61" x14ac:dyDescent="0.2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</row>
    <row r="5" spans="1:61" x14ac:dyDescent="0.2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</row>
    <row r="6" spans="1:61" x14ac:dyDescent="0.2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</row>
    <row r="7" spans="1:61" x14ac:dyDescent="0.2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</row>
    <row r="8" spans="1:61" x14ac:dyDescent="0.2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</row>
    <row r="9" spans="1:61" x14ac:dyDescent="0.2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</row>
    <row r="10" spans="1:61" x14ac:dyDescent="0.2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</row>
    <row r="11" spans="1:61" x14ac:dyDescent="0.2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</row>
    <row r="12" spans="1:6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</row>
    <row r="13" spans="1:61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</row>
    <row r="14" spans="1:61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</row>
    <row r="15" spans="1:61" x14ac:dyDescent="0.2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</row>
    <row r="16" spans="1:61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</row>
    <row r="17" spans="1:61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</row>
    <row r="18" spans="1:61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</row>
    <row r="19" spans="1:61" x14ac:dyDescent="0.2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</row>
    <row r="20" spans="1:61" x14ac:dyDescent="0.2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</row>
    <row r="21" spans="1:6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</row>
    <row r="36" spans="2:12" x14ac:dyDescent="0.2">
      <c r="B36"/>
      <c r="C36">
        <v>2022</v>
      </c>
      <c r="D36">
        <v>2021</v>
      </c>
      <c r="E36">
        <v>2020</v>
      </c>
      <c r="F36">
        <v>2019</v>
      </c>
      <c r="G36">
        <v>2018</v>
      </c>
      <c r="H36">
        <v>2017</v>
      </c>
      <c r="I36">
        <v>2016</v>
      </c>
      <c r="J36">
        <v>2015</v>
      </c>
      <c r="K36">
        <v>2014</v>
      </c>
      <c r="L36">
        <v>2013</v>
      </c>
    </row>
    <row r="37" spans="2:12" x14ac:dyDescent="0.2">
      <c r="B37" t="s">
        <v>2902</v>
      </c>
      <c r="C37" s="273">
        <f>10259/101704</f>
        <v>0.10087115551010777</v>
      </c>
      <c r="D37" s="273">
        <f>30079/159147</f>
        <v>0.18900136351926206</v>
      </c>
      <c r="E37" s="273">
        <f>(17828)/27928</f>
        <v>0.63835577198510451</v>
      </c>
      <c r="F37" s="273">
        <f>(5985)/-11206</f>
        <v>-0.53408888095663043</v>
      </c>
      <c r="G37" s="174">
        <f>(752)/6816</f>
        <v>0.11032863849765258</v>
      </c>
      <c r="H37" s="174">
        <f>(849)/7829</f>
        <v>0.10844296845063227</v>
      </c>
      <c r="I37" s="350">
        <f>(3307)/27022</f>
        <v>0.12238176300791948</v>
      </c>
      <c r="J37" s="350">
        <f>(1148)/-64676</f>
        <v>-1.7750015461685944E-2</v>
      </c>
      <c r="K37" s="350">
        <f>1051/1553</f>
        <v>0.67675466838377329</v>
      </c>
      <c r="L37" s="350">
        <f>7786/7241</f>
        <v>1.075265847258666</v>
      </c>
    </row>
    <row r="40" spans="2:12" x14ac:dyDescent="0.2">
      <c r="B40" s="54"/>
    </row>
    <row r="62" spans="2:6" x14ac:dyDescent="0.2">
      <c r="B62" s="448" t="s">
        <v>2905</v>
      </c>
      <c r="C62" s="448">
        <v>11181000000</v>
      </c>
      <c r="E62" s="448" t="s">
        <v>2904</v>
      </c>
      <c r="F62" s="172">
        <v>5.2859999999999996</v>
      </c>
    </row>
    <row r="63" spans="2:6" x14ac:dyDescent="0.2">
      <c r="B63" s="448" t="s">
        <v>2906</v>
      </c>
      <c r="C63" s="172">
        <f>C62*F62</f>
        <v>59102765999.999992</v>
      </c>
    </row>
    <row r="65" spans="2:3" x14ac:dyDescent="0.2">
      <c r="B65" s="452" t="s">
        <v>2915</v>
      </c>
      <c r="C65" s="172">
        <v>4797000000</v>
      </c>
    </row>
    <row r="66" spans="2:3" x14ac:dyDescent="0.2">
      <c r="B66" s="452" t="s">
        <v>2916</v>
      </c>
      <c r="C66" s="172">
        <f>C65*F62</f>
        <v>25356941999.999996</v>
      </c>
    </row>
  </sheetData>
  <hyperlinks>
    <hyperlink ref="B1" r:id="rId1" location="Relat%C3%B3rioTrimestral" display="https://vale.com/pt/comunicados-resultados-apresentacoes-e-relatorios?_gl=1*1blh9hw*_ga*MTg4NzQzMzAyNC4xNjc2NDY0NjE2*_ga_BNK5C1QYMC*MTY3NjQ2NDYxNi4xLjEuMTY3NjQ2NjE4Ni4zMi4wLjA. - Relat%C3%B3rioTrimestral" xr:uid="{72AC3A15-D0FE-4BD4-AFFC-1B1B53B44630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96E1-B226-4DD7-AAA9-AEFB3FC1A579}">
  <sheetPr>
    <tabColor theme="7" tint="0.79998168889431442"/>
  </sheetPr>
  <dimension ref="A1:L50"/>
  <sheetViews>
    <sheetView zoomScaleNormal="100" workbookViewId="0">
      <selection activeCell="K28" sqref="K28"/>
    </sheetView>
  </sheetViews>
  <sheetFormatPr baseColWidth="10" defaultColWidth="9.1640625" defaultRowHeight="15" x14ac:dyDescent="0.2"/>
  <cols>
    <col min="1" max="1" width="9.1640625" style="172"/>
    <col min="2" max="2" width="15.33203125" style="172" bestFit="1" customWidth="1"/>
    <col min="3" max="3" width="12" style="172" bestFit="1" customWidth="1"/>
    <col min="4" max="7" width="9.1640625" style="172"/>
    <col min="8" max="8" width="9.83203125" style="172" bestFit="1" customWidth="1"/>
    <col min="9" max="16384" width="9.1640625" style="172"/>
  </cols>
  <sheetData>
    <row r="1" spans="1:5" x14ac:dyDescent="0.2">
      <c r="A1" s="29"/>
      <c r="B1" s="29"/>
      <c r="C1" s="29"/>
      <c r="D1" s="29"/>
      <c r="E1" s="29"/>
    </row>
    <row r="2" spans="1:5" x14ac:dyDescent="0.2">
      <c r="A2" s="29"/>
      <c r="B2" s="29"/>
      <c r="C2" s="29"/>
      <c r="D2" s="29"/>
      <c r="E2" s="29"/>
    </row>
    <row r="3" spans="1:5" x14ac:dyDescent="0.2">
      <c r="A3" s="29"/>
      <c r="B3" s="29"/>
      <c r="C3" s="29"/>
      <c r="D3" s="29"/>
      <c r="E3" s="29"/>
    </row>
    <row r="4" spans="1:5" x14ac:dyDescent="0.2">
      <c r="A4" s="29"/>
      <c r="B4" s="29"/>
      <c r="C4" s="29"/>
      <c r="D4" s="29"/>
      <c r="E4" s="29"/>
    </row>
    <row r="5" spans="1:5" x14ac:dyDescent="0.2">
      <c r="A5" s="29"/>
      <c r="B5" s="29"/>
      <c r="C5" s="29"/>
      <c r="D5" s="29"/>
      <c r="E5" s="29"/>
    </row>
    <row r="6" spans="1:5" x14ac:dyDescent="0.2">
      <c r="A6" s="29"/>
      <c r="B6" s="29"/>
      <c r="C6" s="29"/>
      <c r="D6" s="29"/>
      <c r="E6" s="29"/>
    </row>
    <row r="7" spans="1:5" x14ac:dyDescent="0.2">
      <c r="A7" s="29"/>
      <c r="B7" s="29"/>
      <c r="C7" s="29"/>
      <c r="D7" s="29"/>
      <c r="E7" s="29"/>
    </row>
    <row r="8" spans="1:5" x14ac:dyDescent="0.2">
      <c r="A8" s="29"/>
      <c r="B8" s="29"/>
      <c r="C8" s="29"/>
      <c r="D8" s="29"/>
      <c r="E8" s="29"/>
    </row>
    <row r="9" spans="1:5" x14ac:dyDescent="0.2">
      <c r="A9" s="29"/>
      <c r="B9" s="29"/>
      <c r="C9" s="29"/>
      <c r="D9" s="29"/>
      <c r="E9" s="29"/>
    </row>
    <row r="10" spans="1:5" x14ac:dyDescent="0.2">
      <c r="A10" s="29"/>
      <c r="B10" s="29"/>
      <c r="C10" s="29"/>
      <c r="D10" s="29"/>
      <c r="E10" s="29"/>
    </row>
    <row r="11" spans="1:5" x14ac:dyDescent="0.2">
      <c r="A11" s="29"/>
      <c r="B11" s="29"/>
      <c r="C11" s="29"/>
      <c r="D11" s="29"/>
      <c r="E11" s="29"/>
    </row>
    <row r="12" spans="1:5" x14ac:dyDescent="0.2">
      <c r="A12" s="29"/>
      <c r="B12" s="29"/>
      <c r="C12" s="29"/>
      <c r="D12" s="29"/>
      <c r="E12" s="29"/>
    </row>
    <row r="13" spans="1:5" x14ac:dyDescent="0.2">
      <c r="A13" s="29"/>
      <c r="B13" s="29"/>
      <c r="C13" s="29"/>
      <c r="D13" s="29"/>
      <c r="E13" s="29"/>
    </row>
    <row r="14" spans="1:5" x14ac:dyDescent="0.2">
      <c r="A14" s="29"/>
      <c r="B14" s="29"/>
      <c r="C14" s="29"/>
      <c r="D14" s="29"/>
      <c r="E14" s="29"/>
    </row>
    <row r="15" spans="1:5" x14ac:dyDescent="0.2">
      <c r="A15" s="29"/>
      <c r="B15" s="29"/>
      <c r="C15" s="29"/>
      <c r="D15" s="29"/>
      <c r="E15" s="29"/>
    </row>
    <row r="16" spans="1:5" x14ac:dyDescent="0.2">
      <c r="A16" s="29"/>
      <c r="B16" s="29"/>
      <c r="C16" s="29"/>
      <c r="D16" s="29"/>
      <c r="E16" s="29"/>
    </row>
    <row r="17" spans="1:12" x14ac:dyDescent="0.2">
      <c r="A17" s="29"/>
      <c r="B17" s="29"/>
      <c r="C17" s="29"/>
      <c r="D17" s="29"/>
      <c r="E17" s="29"/>
    </row>
    <row r="18" spans="1:12" x14ac:dyDescent="0.2">
      <c r="A18" s="29"/>
      <c r="B18" s="29"/>
      <c r="C18" s="29"/>
      <c r="D18" s="29"/>
      <c r="E18" s="29"/>
    </row>
    <row r="19" spans="1:12" x14ac:dyDescent="0.2">
      <c r="A19" s="29"/>
      <c r="B19"/>
      <c r="C19">
        <v>2022</v>
      </c>
      <c r="D19">
        <v>2021</v>
      </c>
      <c r="E19">
        <v>2020</v>
      </c>
      <c r="F19">
        <v>2019</v>
      </c>
      <c r="G19">
        <v>2018</v>
      </c>
      <c r="H19">
        <v>2017</v>
      </c>
      <c r="I19">
        <v>2016</v>
      </c>
      <c r="J19">
        <v>2015</v>
      </c>
      <c r="K19">
        <v>2014</v>
      </c>
      <c r="L19">
        <v>2013</v>
      </c>
    </row>
    <row r="20" spans="1:12" x14ac:dyDescent="0.2">
      <c r="A20" s="29"/>
      <c r="B20" t="s">
        <v>2902</v>
      </c>
      <c r="C20" s="273">
        <f>411/707</f>
        <v>0.58132956152758131</v>
      </c>
      <c r="D20" s="273">
        <f>551/160</f>
        <v>3.4437500000000001</v>
      </c>
      <c r="E20" s="273">
        <f>242/475</f>
        <v>0.5094736842105263</v>
      </c>
      <c r="F20" s="273">
        <f>161/915</f>
        <v>0.17595628415300546</v>
      </c>
      <c r="G20" s="174">
        <f>66843/541408</f>
        <v>0.12346141911460488</v>
      </c>
      <c r="H20" s="483">
        <f>43241/-249519</f>
        <v>-0.17329742424424593</v>
      </c>
      <c r="I20" s="174">
        <f>76708/-768282</f>
        <v>-9.984354703090792E-2</v>
      </c>
      <c r="J20" s="174">
        <f>20482/-133541</f>
        <v>-0.1533761166982425</v>
      </c>
      <c r="K20" s="447">
        <f>88816/-1930531</f>
        <v>-4.6005995241723649E-2</v>
      </c>
      <c r="L20" s="174">
        <f>51896/169557</f>
        <v>0.30606816586752539</v>
      </c>
    </row>
    <row r="21" spans="1:12" x14ac:dyDescent="0.2">
      <c r="A21" s="29"/>
      <c r="B21" s="29"/>
      <c r="C21" s="29"/>
      <c r="D21" s="29"/>
      <c r="E21" s="29"/>
    </row>
    <row r="22" spans="1:12" x14ac:dyDescent="0.2">
      <c r="A22" s="29"/>
      <c r="B22" s="29"/>
      <c r="C22" s="29"/>
      <c r="D22" s="29"/>
      <c r="E22" s="29"/>
    </row>
    <row r="23" spans="1:12" x14ac:dyDescent="0.2">
      <c r="A23" s="29"/>
      <c r="B23" s="29"/>
      <c r="C23" s="29"/>
      <c r="D23" s="29"/>
      <c r="E23" s="29"/>
    </row>
    <row r="24" spans="1:12" x14ac:dyDescent="0.2">
      <c r="A24" s="29"/>
      <c r="B24" s="29"/>
      <c r="C24" s="29"/>
      <c r="D24" s="29"/>
      <c r="E24" s="29"/>
    </row>
    <row r="25" spans="1:12" x14ac:dyDescent="0.2">
      <c r="A25" s="29"/>
      <c r="B25" s="29"/>
      <c r="C25" s="29"/>
      <c r="D25" s="29"/>
      <c r="E25" s="29"/>
    </row>
    <row r="26" spans="1:12" x14ac:dyDescent="0.2">
      <c r="A26" s="29"/>
      <c r="B26" s="29"/>
      <c r="C26" s="29"/>
      <c r="D26" s="29"/>
      <c r="E26" s="29"/>
    </row>
    <row r="27" spans="1:12" x14ac:dyDescent="0.2">
      <c r="A27" s="29"/>
      <c r="B27" s="29"/>
      <c r="C27" s="29"/>
      <c r="D27" s="29"/>
      <c r="E27" s="29"/>
    </row>
    <row r="28" spans="1:12" x14ac:dyDescent="0.2">
      <c r="A28" s="29"/>
      <c r="B28" s="29"/>
      <c r="C28" s="29"/>
      <c r="D28" s="29"/>
      <c r="E28" s="29"/>
    </row>
    <row r="29" spans="1:12" x14ac:dyDescent="0.2">
      <c r="A29" s="29"/>
      <c r="B29" s="29"/>
      <c r="C29" s="29"/>
      <c r="D29" s="29"/>
      <c r="E29" s="29"/>
    </row>
    <row r="30" spans="1:12" x14ac:dyDescent="0.2">
      <c r="A30" s="29"/>
      <c r="B30" s="29"/>
      <c r="C30" s="29"/>
      <c r="D30" s="29"/>
      <c r="E30" s="29"/>
    </row>
    <row r="49" spans="2:3" x14ac:dyDescent="0.2">
      <c r="B49" s="448" t="s">
        <v>2903</v>
      </c>
      <c r="C49" s="172">
        <v>17417000000</v>
      </c>
    </row>
    <row r="50" spans="2:3" x14ac:dyDescent="0.2">
      <c r="B50" s="452" t="s">
        <v>2914</v>
      </c>
      <c r="C50" s="172">
        <f>8226000000+85000000</f>
        <v>8311000000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2A011-66C5-4180-BAE7-D195F4E2ED1D}">
  <sheetPr>
    <tabColor theme="7" tint="0.79998168889431442"/>
  </sheetPr>
  <dimension ref="B32:L104"/>
  <sheetViews>
    <sheetView showGridLines="0" topLeftCell="A10" workbookViewId="0">
      <selection activeCell="K33" sqref="K33"/>
    </sheetView>
  </sheetViews>
  <sheetFormatPr baseColWidth="10" defaultColWidth="8.83203125" defaultRowHeight="15" x14ac:dyDescent="0.2"/>
  <cols>
    <col min="1" max="1" width="8.83203125" style="209"/>
    <col min="2" max="2" width="15.33203125" style="209" bestFit="1" customWidth="1"/>
    <col min="3" max="3" width="12" style="209" bestFit="1" customWidth="1"/>
    <col min="4" max="16384" width="8.83203125" style="209"/>
  </cols>
  <sheetData>
    <row r="32" spans="2:12" x14ac:dyDescent="0.2">
      <c r="B32"/>
      <c r="C32">
        <v>2022</v>
      </c>
      <c r="D32">
        <v>2021</v>
      </c>
      <c r="E32">
        <v>2020</v>
      </c>
      <c r="F32">
        <v>2019</v>
      </c>
      <c r="G32">
        <v>2018</v>
      </c>
      <c r="H32">
        <v>2017</v>
      </c>
      <c r="I32">
        <v>2016</v>
      </c>
      <c r="J32">
        <v>2015</v>
      </c>
      <c r="K32">
        <v>2014</v>
      </c>
      <c r="L32">
        <v>2013</v>
      </c>
    </row>
    <row r="33" spans="2:12" x14ac:dyDescent="0.2">
      <c r="B33" t="s">
        <v>2902</v>
      </c>
      <c r="C33" s="273">
        <f>1246990/2702471</f>
        <v>0.46142585803880964</v>
      </c>
      <c r="D33" s="273">
        <f>191012/5800023</f>
        <v>3.2932972852004208E-2</v>
      </c>
      <c r="E33" s="273">
        <f>695832/1166665</f>
        <v>0.5964282806118294</v>
      </c>
      <c r="F33" s="273">
        <f>835708/3201076</f>
        <v>0.26107096488805637</v>
      </c>
      <c r="G33" s="273">
        <f>395957/2420874</f>
        <v>0.16355952437012417</v>
      </c>
      <c r="H33" s="273">
        <f>88470/1968255</f>
        <v>4.4948444180251033E-2</v>
      </c>
      <c r="I33" s="444">
        <f>112633/1485562</f>
        <v>7.5818444467480997E-2</v>
      </c>
      <c r="J33" s="444">
        <f>141415/695677</f>
        <v>0.20327680805891241</v>
      </c>
      <c r="K33" s="444">
        <f>120912/536083</f>
        <v>0.22554716340566666</v>
      </c>
      <c r="L33" s="445">
        <f>124360/318802</f>
        <v>0.3900853821494219</v>
      </c>
    </row>
    <row r="63" spans="2:3" x14ac:dyDescent="0.2">
      <c r="B63" s="446" t="s">
        <v>2903</v>
      </c>
      <c r="C63" s="209">
        <v>57748302000</v>
      </c>
    </row>
    <row r="64" spans="2:3" x14ac:dyDescent="0.2">
      <c r="B64" s="453" t="s">
        <v>2914</v>
      </c>
      <c r="C64" s="209">
        <v>13301716000</v>
      </c>
    </row>
    <row r="104" ht="15" customHeight="1" x14ac:dyDescent="0.2"/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C745-2C04-4E99-9961-53465064305A}">
  <sheetPr>
    <tabColor theme="7" tint="0.79998168889431442"/>
  </sheetPr>
  <dimension ref="A1:N39"/>
  <sheetViews>
    <sheetView topLeftCell="A13" workbookViewId="0">
      <selection activeCell="P39" sqref="P39"/>
    </sheetView>
  </sheetViews>
  <sheetFormatPr baseColWidth="10" defaultColWidth="8.83203125" defaultRowHeight="15" x14ac:dyDescent="0.2"/>
  <cols>
    <col min="2" max="2" width="15.33203125" bestFit="1" customWidth="1"/>
    <col min="13" max="13" width="11.5" bestFit="1" customWidth="1"/>
    <col min="14" max="14" width="11" bestFit="1" customWidth="1"/>
  </cols>
  <sheetData>
    <row r="1" spans="1:2" x14ac:dyDescent="0.2">
      <c r="A1" t="s">
        <v>61</v>
      </c>
      <c r="B1" s="313" t="s">
        <v>2918</v>
      </c>
    </row>
    <row r="33" spans="2:14" x14ac:dyDescent="0.2">
      <c r="C33">
        <v>2022</v>
      </c>
      <c r="D33">
        <v>2021</v>
      </c>
      <c r="E33">
        <v>2020</v>
      </c>
      <c r="F33">
        <v>2019</v>
      </c>
      <c r="G33">
        <v>2018</v>
      </c>
      <c r="H33">
        <v>2017</v>
      </c>
      <c r="I33">
        <v>2016</v>
      </c>
      <c r="J33">
        <v>2015</v>
      </c>
      <c r="K33">
        <v>2014</v>
      </c>
      <c r="L33">
        <v>2013</v>
      </c>
    </row>
    <row r="34" spans="2:14" x14ac:dyDescent="0.2">
      <c r="B34" t="s">
        <v>2902</v>
      </c>
      <c r="C34" s="273">
        <v>0.36</v>
      </c>
      <c r="D34" s="273">
        <v>0.18</v>
      </c>
      <c r="E34" s="273">
        <v>0.3</v>
      </c>
      <c r="F34" s="273">
        <v>0.15</v>
      </c>
      <c r="G34" s="273">
        <v>0.33</v>
      </c>
      <c r="H34" s="273">
        <v>0.25</v>
      </c>
      <c r="I34" s="273">
        <v>0</v>
      </c>
      <c r="J34" s="273">
        <v>0.24</v>
      </c>
      <c r="K34" s="273">
        <f>24562/183917</f>
        <v>0.13354937281491108</v>
      </c>
      <c r="L34" s="273">
        <f>211120/66072</f>
        <v>3.1953020946845867</v>
      </c>
    </row>
    <row r="38" spans="2:14" x14ac:dyDescent="0.2">
      <c r="M38" t="s">
        <v>2903</v>
      </c>
      <c r="N38">
        <v>6200000000</v>
      </c>
    </row>
    <row r="39" spans="2:14" x14ac:dyDescent="0.2">
      <c r="M39" t="s">
        <v>2914</v>
      </c>
      <c r="N39">
        <v>5100000000</v>
      </c>
    </row>
  </sheetData>
  <hyperlinks>
    <hyperlink ref="B1" r:id="rId1" display="https://ri.usiminas.com/resultados-e-divulgacoes/central-de-resultados/" xr:uid="{DBC0B44D-7A5B-4CC2-8BF2-0BAFB91EE806}"/>
  </hyperlinks>
  <pageMargins left="0.511811024" right="0.511811024" top="0.78740157499999996" bottom="0.78740157499999996" header="0.31496062000000002" footer="0.31496062000000002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9C1B-8826-4F4F-BBAF-F32C7A5DC243}">
  <sheetPr>
    <tabColor theme="7" tint="0.79998168889431442"/>
  </sheetPr>
  <dimension ref="B22:L40"/>
  <sheetViews>
    <sheetView workbookViewId="0">
      <selection activeCell="C40" sqref="C40"/>
    </sheetView>
  </sheetViews>
  <sheetFormatPr baseColWidth="10" defaultColWidth="8.83203125" defaultRowHeight="15" x14ac:dyDescent="0.2"/>
  <cols>
    <col min="2" max="2" width="15.33203125" bestFit="1" customWidth="1"/>
    <col min="3" max="3" width="12" bestFit="1" customWidth="1"/>
  </cols>
  <sheetData>
    <row r="22" spans="2:12" x14ac:dyDescent="0.2">
      <c r="C22">
        <v>2022</v>
      </c>
      <c r="D22">
        <v>2021</v>
      </c>
      <c r="E22">
        <v>2020</v>
      </c>
      <c r="F22">
        <v>2019</v>
      </c>
      <c r="G22">
        <v>2018</v>
      </c>
      <c r="H22">
        <v>2017</v>
      </c>
      <c r="I22">
        <v>2016</v>
      </c>
      <c r="J22">
        <v>2015</v>
      </c>
      <c r="K22">
        <v>2014</v>
      </c>
      <c r="L22">
        <v>2013</v>
      </c>
    </row>
    <row r="23" spans="2:12" x14ac:dyDescent="0.2">
      <c r="B23" t="s">
        <v>2902</v>
      </c>
      <c r="C23" s="273">
        <f>3709414/15859027</f>
        <v>0.23389921714617171</v>
      </c>
      <c r="D23" s="273">
        <f>4713630/20272568</f>
        <v>0.23251272359772082</v>
      </c>
      <c r="E23" s="273">
        <f>1107624/3495678</f>
        <v>0.31685527099463967</v>
      </c>
      <c r="F23" s="273">
        <f>457833/1674720</f>
        <v>0.27337883347664088</v>
      </c>
      <c r="G23" s="273">
        <f>168951/2157431</f>
        <v>7.8311195120492852E-2</v>
      </c>
      <c r="H23" s="273">
        <f>295391/-43276</f>
        <v>-6.8257463721231169</v>
      </c>
      <c r="I23" s="273">
        <f>304314/-2581615</f>
        <v>-0.1178773752089293</v>
      </c>
      <c r="J23" s="273">
        <f>-1498422/-6094408</f>
        <v>0.24586834357003995</v>
      </c>
      <c r="K23" s="273">
        <f>-150389/1337984</f>
        <v>-0.11239969984693389</v>
      </c>
      <c r="L23" s="273">
        <f>-241056/1452646</f>
        <v>-0.1659427004239161</v>
      </c>
    </row>
    <row r="39" spans="2:3" x14ac:dyDescent="0.2">
      <c r="B39" t="s">
        <v>2903</v>
      </c>
      <c r="C39">
        <v>12607000000</v>
      </c>
    </row>
    <row r="40" spans="2:3" x14ac:dyDescent="0.2">
      <c r="B40" t="s">
        <v>2914</v>
      </c>
      <c r="C40">
        <v>5434000000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EE7C-35F7-4DD1-8038-C62AD10BB915}">
  <sheetPr>
    <tabColor theme="7" tint="0.79998168889431442"/>
  </sheetPr>
  <dimension ref="A1:L34"/>
  <sheetViews>
    <sheetView workbookViewId="0">
      <selection activeCell="C19" sqref="C19"/>
    </sheetView>
  </sheetViews>
  <sheetFormatPr baseColWidth="10" defaultColWidth="8.83203125" defaultRowHeight="15" x14ac:dyDescent="0.2"/>
  <cols>
    <col min="2" max="2" width="15.33203125" bestFit="1" customWidth="1"/>
    <col min="3" max="3" width="12" bestFit="1" customWidth="1"/>
    <col min="12" max="12" width="12" bestFit="1" customWidth="1"/>
  </cols>
  <sheetData>
    <row r="1" spans="1:2" x14ac:dyDescent="0.2">
      <c r="A1" t="s">
        <v>61</v>
      </c>
      <c r="B1" s="313" t="s">
        <v>2917</v>
      </c>
    </row>
    <row r="18" spans="2:12" x14ac:dyDescent="0.2">
      <c r="C18">
        <v>2022</v>
      </c>
      <c r="D18">
        <v>2021</v>
      </c>
      <c r="E18">
        <v>2020</v>
      </c>
      <c r="F18">
        <v>2019</v>
      </c>
      <c r="G18">
        <v>2018</v>
      </c>
      <c r="H18">
        <v>2017</v>
      </c>
      <c r="I18">
        <v>2016</v>
      </c>
      <c r="J18">
        <v>2015</v>
      </c>
      <c r="K18">
        <v>2014</v>
      </c>
      <c r="L18">
        <v>2013</v>
      </c>
    </row>
    <row r="19" spans="2:12" x14ac:dyDescent="0.2">
      <c r="B19" t="s">
        <v>2902</v>
      </c>
      <c r="C19" s="443">
        <v>0.39</v>
      </c>
      <c r="D19" s="443">
        <v>0.13</v>
      </c>
      <c r="E19" s="443">
        <v>-0.42</v>
      </c>
      <c r="F19" s="443">
        <v>3.6</v>
      </c>
      <c r="G19" s="443">
        <v>-0.06</v>
      </c>
      <c r="H19" s="443">
        <v>1.18</v>
      </c>
      <c r="I19" s="443">
        <v>0.09</v>
      </c>
      <c r="J19" s="443">
        <v>1.76</v>
      </c>
      <c r="K19" s="443">
        <v>0.85</v>
      </c>
      <c r="L19" s="443">
        <v>0.28999999999999998</v>
      </c>
    </row>
    <row r="27" spans="2:12" x14ac:dyDescent="0.2">
      <c r="B27" t="s">
        <v>2901</v>
      </c>
      <c r="C27">
        <v>40918742000</v>
      </c>
    </row>
    <row r="34" spans="11:12" x14ac:dyDescent="0.2">
      <c r="K34" t="s">
        <v>2914</v>
      </c>
      <c r="L34">
        <v>11991356000</v>
      </c>
    </row>
  </sheetData>
  <hyperlinks>
    <hyperlink ref="B1" r:id="rId1" display="https://ri.csn.com.br/informacoes-financeiras/central-de-resultados/" xr:uid="{AA781C36-0B38-46AA-AC0E-6D90431FC811}"/>
  </hyperlinks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00D0-7069-49E2-B5DD-976536815FB2}">
  <sheetPr>
    <tabColor theme="7" tint="0.79998168889431442"/>
  </sheetPr>
  <dimension ref="A1:U1008"/>
  <sheetViews>
    <sheetView topLeftCell="A970" workbookViewId="0">
      <selection activeCell="S999" sqref="S999"/>
    </sheetView>
  </sheetViews>
  <sheetFormatPr baseColWidth="10" defaultColWidth="9.1640625" defaultRowHeight="15" x14ac:dyDescent="0.2"/>
  <cols>
    <col min="1" max="1" width="10.6640625" style="50" bestFit="1" customWidth="1"/>
    <col min="2" max="7" width="9.1640625" style="50"/>
    <col min="8" max="8" width="15.5" style="50" bestFit="1" customWidth="1"/>
    <col min="9" max="9" width="14" style="50" bestFit="1" customWidth="1"/>
    <col min="10" max="10" width="9.1640625" style="50"/>
    <col min="11" max="11" width="10.6640625" style="272" bestFit="1" customWidth="1"/>
    <col min="12" max="17" width="9.1640625" style="272"/>
    <col min="18" max="18" width="9.1640625" style="50"/>
    <col min="19" max="19" width="17" style="50" bestFit="1" customWidth="1"/>
    <col min="20" max="20" width="9.1640625" style="50"/>
    <col min="21" max="16384" width="9.1640625" style="29"/>
  </cols>
  <sheetData>
    <row r="1" spans="1:21" x14ac:dyDescent="0.2">
      <c r="A1" s="528" t="s">
        <v>102</v>
      </c>
      <c r="B1" s="528"/>
      <c r="C1" s="528"/>
      <c r="D1" s="528"/>
      <c r="E1" s="528"/>
      <c r="F1" s="528"/>
      <c r="G1" s="528"/>
      <c r="J1" s="49"/>
      <c r="K1" s="528" t="s">
        <v>103</v>
      </c>
      <c r="L1" s="528"/>
      <c r="M1" s="528"/>
      <c r="N1" s="528"/>
      <c r="O1" s="528"/>
      <c r="P1" s="528"/>
      <c r="Q1" s="528"/>
      <c r="R1" s="49"/>
      <c r="T1" s="48" t="s">
        <v>61</v>
      </c>
      <c r="U1" s="313" t="s">
        <v>780</v>
      </c>
    </row>
    <row r="2" spans="1:21" x14ac:dyDescent="0.2">
      <c r="A2" s="169" t="s">
        <v>104</v>
      </c>
      <c r="B2" s="169" t="s">
        <v>105</v>
      </c>
      <c r="C2" s="169" t="s">
        <v>106</v>
      </c>
      <c r="D2" s="169" t="s">
        <v>107</v>
      </c>
      <c r="E2" s="169" t="s">
        <v>108</v>
      </c>
      <c r="F2" s="169" t="s">
        <v>109</v>
      </c>
      <c r="G2" s="169" t="s">
        <v>75</v>
      </c>
      <c r="H2" s="48" t="s">
        <v>598</v>
      </c>
      <c r="I2" s="48" t="s">
        <v>3100</v>
      </c>
      <c r="K2" s="169" t="s">
        <v>104</v>
      </c>
      <c r="L2" s="169" t="s">
        <v>105</v>
      </c>
      <c r="M2" s="169" t="s">
        <v>106</v>
      </c>
      <c r="N2" s="169" t="s">
        <v>107</v>
      </c>
      <c r="O2" s="169" t="s">
        <v>108</v>
      </c>
      <c r="P2" s="169" t="s">
        <v>109</v>
      </c>
      <c r="Q2" s="169" t="s">
        <v>75</v>
      </c>
      <c r="R2" s="48" t="s">
        <v>110</v>
      </c>
      <c r="S2" s="50" t="s">
        <v>111</v>
      </c>
    </row>
    <row r="3" spans="1:21" x14ac:dyDescent="0.2">
      <c r="A3" s="355">
        <v>42767</v>
      </c>
      <c r="B3" s="169">
        <v>32.700001</v>
      </c>
      <c r="C3" s="169">
        <v>37.279998999999997</v>
      </c>
      <c r="D3" s="169">
        <v>29.870000999999998</v>
      </c>
      <c r="E3" s="169">
        <v>32.720001000000003</v>
      </c>
      <c r="F3" s="169">
        <v>21.837371999999998</v>
      </c>
      <c r="G3" s="169">
        <v>113067800</v>
      </c>
      <c r="H3" s="53" t="e">
        <f>F3/#REF!-1</f>
        <v>#REF!</v>
      </c>
      <c r="I3" s="53"/>
      <c r="K3" s="355">
        <v>37956</v>
      </c>
      <c r="L3" s="169">
        <v>10.709166</v>
      </c>
      <c r="M3" s="169">
        <v>12.049166</v>
      </c>
      <c r="N3" s="169">
        <v>10.709166</v>
      </c>
      <c r="O3" s="169">
        <v>11.858333</v>
      </c>
      <c r="P3" s="169">
        <v>5.76553</v>
      </c>
      <c r="Q3" s="169">
        <v>20107200</v>
      </c>
      <c r="R3" s="53"/>
      <c r="S3" s="146"/>
    </row>
    <row r="4" spans="1:21" x14ac:dyDescent="0.2">
      <c r="A4" s="355">
        <v>42795</v>
      </c>
      <c r="B4" s="169">
        <v>33.049999</v>
      </c>
      <c r="C4" s="169">
        <v>33.840000000000003</v>
      </c>
      <c r="D4" s="169">
        <v>27.25</v>
      </c>
      <c r="E4" s="169">
        <v>29.790001</v>
      </c>
      <c r="F4" s="169">
        <v>19.881886999999999</v>
      </c>
      <c r="G4" s="169">
        <v>135197400</v>
      </c>
      <c r="H4" s="53">
        <f t="shared" ref="H4:H56" si="0">F4/F3-1</f>
        <v>-8.9547634211662452E-2</v>
      </c>
      <c r="I4" s="53"/>
      <c r="K4" s="355">
        <v>37963</v>
      </c>
      <c r="L4" s="169">
        <v>11.858333</v>
      </c>
      <c r="M4" s="169">
        <v>13.346666000000001</v>
      </c>
      <c r="N4" s="169">
        <v>11.71</v>
      </c>
      <c r="O4" s="169">
        <v>13.166665999999999</v>
      </c>
      <c r="P4" s="169">
        <v>6.401643</v>
      </c>
      <c r="Q4" s="169">
        <v>22876800</v>
      </c>
      <c r="R4" s="53">
        <f t="shared" ref="R4:R56" si="1">P4/P3-1</f>
        <v>0.11033035991487328</v>
      </c>
      <c r="S4" s="146">
        <f>(P4/P3)*('16. câmbio USD-BRL'!O4/'16. câmbio USD-BRL'!O3)^-1 -1</f>
        <v>0.10995205314829248</v>
      </c>
    </row>
    <row r="5" spans="1:21" x14ac:dyDescent="0.2">
      <c r="A5" s="355">
        <v>42826</v>
      </c>
      <c r="B5" s="169">
        <v>29.809999000000001</v>
      </c>
      <c r="C5" s="169">
        <v>31.48</v>
      </c>
      <c r="D5" s="169">
        <v>26.15</v>
      </c>
      <c r="E5" s="169">
        <v>27.469999000000001</v>
      </c>
      <c r="F5" s="169">
        <v>18.333514999999998</v>
      </c>
      <c r="G5" s="169">
        <v>97308500</v>
      </c>
      <c r="H5" s="53">
        <f t="shared" si="0"/>
        <v>-7.7878523301133318E-2</v>
      </c>
      <c r="I5" s="53"/>
      <c r="K5" s="355">
        <v>37970</v>
      </c>
      <c r="L5" s="169">
        <v>13.112500000000001</v>
      </c>
      <c r="M5" s="169">
        <v>13.833333</v>
      </c>
      <c r="N5" s="169">
        <v>13.112500000000001</v>
      </c>
      <c r="O5" s="169">
        <v>13.52</v>
      </c>
      <c r="P5" s="169">
        <v>6.5734339999999998</v>
      </c>
      <c r="Q5" s="169">
        <v>33897600</v>
      </c>
      <c r="R5" s="53">
        <f t="shared" si="1"/>
        <v>2.683545458564307E-2</v>
      </c>
      <c r="S5" s="146">
        <f>(P5/P4)*('16. câmbio USD-BRL'!O5/'16. câmbio USD-BRL'!O4)^-1 -1</f>
        <v>3.1050995281855176E-2</v>
      </c>
    </row>
    <row r="6" spans="1:21" x14ac:dyDescent="0.2">
      <c r="A6" s="355">
        <v>42856</v>
      </c>
      <c r="B6" s="169">
        <v>27.469999000000001</v>
      </c>
      <c r="C6" s="169">
        <v>28.9</v>
      </c>
      <c r="D6" s="169">
        <v>25</v>
      </c>
      <c r="E6" s="169">
        <v>27.17</v>
      </c>
      <c r="F6" s="169">
        <v>18.738243000000001</v>
      </c>
      <c r="G6" s="169">
        <v>131903700</v>
      </c>
      <c r="H6" s="53">
        <f t="shared" si="0"/>
        <v>2.2075853975628945E-2</v>
      </c>
      <c r="I6" s="53"/>
      <c r="K6" s="355">
        <v>37977</v>
      </c>
      <c r="L6" s="169">
        <v>13.625</v>
      </c>
      <c r="M6" s="169">
        <v>14.375</v>
      </c>
      <c r="N6" s="169">
        <v>13.583333</v>
      </c>
      <c r="O6" s="169">
        <v>14.15</v>
      </c>
      <c r="P6" s="169">
        <v>6.8797410000000001</v>
      </c>
      <c r="Q6" s="169">
        <v>9820800</v>
      </c>
      <c r="R6" s="53">
        <f t="shared" si="1"/>
        <v>4.6597714375773869E-2</v>
      </c>
      <c r="S6" s="146">
        <f>(P6/P5)*('16. câmbio USD-BRL'!O6/'16. câmbio USD-BRL'!O5)^-1 -1</f>
        <v>5.4534684288310098E-2</v>
      </c>
    </row>
    <row r="7" spans="1:21" x14ac:dyDescent="0.2">
      <c r="A7" s="355">
        <v>42887</v>
      </c>
      <c r="B7" s="169">
        <v>27.15</v>
      </c>
      <c r="C7" s="169">
        <v>29.370000999999998</v>
      </c>
      <c r="D7" s="169">
        <v>25.4</v>
      </c>
      <c r="E7" s="169">
        <v>29</v>
      </c>
      <c r="F7" s="169">
        <v>20.000333999999999</v>
      </c>
      <c r="G7" s="169">
        <v>117214200</v>
      </c>
      <c r="H7" s="53">
        <f t="shared" si="0"/>
        <v>6.7353753497592983E-2</v>
      </c>
      <c r="I7" s="53"/>
      <c r="K7" s="355">
        <v>37984</v>
      </c>
      <c r="L7" s="169">
        <v>14.0425</v>
      </c>
      <c r="M7" s="169">
        <v>14.625</v>
      </c>
      <c r="N7" s="169">
        <v>13.916665999999999</v>
      </c>
      <c r="O7" s="169">
        <v>14.541665999999999</v>
      </c>
      <c r="P7" s="169">
        <v>7.0701679999999998</v>
      </c>
      <c r="Q7" s="169">
        <v>6235200</v>
      </c>
      <c r="R7" s="53">
        <f t="shared" si="1"/>
        <v>2.7679385023360537E-2</v>
      </c>
      <c r="S7" s="146">
        <f>(P7/P6)*('16. câmbio USD-BRL'!O7/'16. câmbio USD-BRL'!O6)^-1 -1</f>
        <v>3.6612620289558029E-2</v>
      </c>
    </row>
    <row r="8" spans="1:21" x14ac:dyDescent="0.2">
      <c r="A8" s="355">
        <v>42917</v>
      </c>
      <c r="B8" s="169">
        <v>29.26</v>
      </c>
      <c r="C8" s="169">
        <v>31.52</v>
      </c>
      <c r="D8" s="169">
        <v>28.32</v>
      </c>
      <c r="E8" s="169">
        <v>31.299999</v>
      </c>
      <c r="F8" s="169">
        <v>21.586566999999999</v>
      </c>
      <c r="G8" s="169">
        <v>117301500</v>
      </c>
      <c r="H8" s="53">
        <f t="shared" si="0"/>
        <v>7.9310325517563784E-2</v>
      </c>
      <c r="I8" s="53"/>
      <c r="K8" s="355">
        <v>37991</v>
      </c>
      <c r="L8" s="169">
        <v>14.583333</v>
      </c>
      <c r="M8" s="169">
        <v>15.416665999999999</v>
      </c>
      <c r="N8" s="169">
        <v>14.25</v>
      </c>
      <c r="O8" s="169">
        <v>14.499166000000001</v>
      </c>
      <c r="P8" s="169">
        <v>7.0495070000000002</v>
      </c>
      <c r="Q8" s="169">
        <v>19814400</v>
      </c>
      <c r="R8" s="53">
        <f t="shared" si="1"/>
        <v>-2.9222785087991143E-3</v>
      </c>
      <c r="S8" s="146">
        <f>(P8/P7)*('16. câmbio USD-BRL'!O8/'16. câmbio USD-BRL'!O7)^-1 -1</f>
        <v>1.3284638518973102E-2</v>
      </c>
    </row>
    <row r="9" spans="1:21" x14ac:dyDescent="0.2">
      <c r="A9" s="355">
        <v>42948</v>
      </c>
      <c r="B9" s="169">
        <v>31.25</v>
      </c>
      <c r="C9" s="169">
        <v>35.18</v>
      </c>
      <c r="D9" s="169">
        <v>30.540001</v>
      </c>
      <c r="E9" s="169">
        <v>35.080002</v>
      </c>
      <c r="F9" s="169">
        <v>24.193508000000001</v>
      </c>
      <c r="G9" s="169">
        <v>358502500</v>
      </c>
      <c r="H9" s="53">
        <f t="shared" si="0"/>
        <v>0.12076681762320063</v>
      </c>
      <c r="I9" s="53"/>
      <c r="K9" s="355">
        <v>37998</v>
      </c>
      <c r="L9" s="169">
        <v>14.483333</v>
      </c>
      <c r="M9" s="169">
        <v>15</v>
      </c>
      <c r="N9" s="169">
        <v>13.625</v>
      </c>
      <c r="O9" s="169">
        <v>13.816666</v>
      </c>
      <c r="P9" s="169">
        <v>6.7176749999999998</v>
      </c>
      <c r="Q9" s="169">
        <v>21254400</v>
      </c>
      <c r="R9" s="53">
        <f t="shared" si="1"/>
        <v>-4.7071660472143728E-2</v>
      </c>
      <c r="S9" s="146">
        <f>(P9/P8)*('16. câmbio USD-BRL'!O9/'16. câmbio USD-BRL'!O8)^-1 -1</f>
        <v>-4.6060417098042761E-2</v>
      </c>
    </row>
    <row r="10" spans="1:21" x14ac:dyDescent="0.2">
      <c r="A10" s="355">
        <v>42979</v>
      </c>
      <c r="B10" s="169">
        <v>35.5</v>
      </c>
      <c r="C10" s="169">
        <v>36.689999</v>
      </c>
      <c r="D10" s="169">
        <v>31</v>
      </c>
      <c r="E10" s="169">
        <v>31.870000999999998</v>
      </c>
      <c r="F10" s="169">
        <v>21.979676999999999</v>
      </c>
      <c r="G10" s="169">
        <v>419677100</v>
      </c>
      <c r="H10" s="53">
        <f t="shared" si="0"/>
        <v>-9.1505167419292932E-2</v>
      </c>
      <c r="I10" s="53"/>
      <c r="K10" s="355">
        <v>38005</v>
      </c>
      <c r="L10" s="169">
        <v>13.841666</v>
      </c>
      <c r="M10" s="169">
        <v>14.241666</v>
      </c>
      <c r="N10" s="169">
        <v>13.46</v>
      </c>
      <c r="O10" s="169">
        <v>13.4625</v>
      </c>
      <c r="P10" s="169">
        <v>6.5454780000000001</v>
      </c>
      <c r="Q10" s="169">
        <v>15609600</v>
      </c>
      <c r="R10" s="53">
        <f t="shared" si="1"/>
        <v>-2.5633422277796969E-2</v>
      </c>
      <c r="S10" s="146">
        <f>(P10/P9)*('16. câmbio USD-BRL'!O10/'16. câmbio USD-BRL'!O9)^-1 -1</f>
        <v>-3.0093550978637973E-2</v>
      </c>
    </row>
    <row r="11" spans="1:21" x14ac:dyDescent="0.2">
      <c r="A11" s="355">
        <v>43009</v>
      </c>
      <c r="B11" s="169">
        <v>32.25</v>
      </c>
      <c r="C11" s="169">
        <v>33.900002000000001</v>
      </c>
      <c r="D11" s="169">
        <v>30.73</v>
      </c>
      <c r="E11" s="169">
        <v>32.099997999999999</v>
      </c>
      <c r="F11" s="169">
        <v>22.138300000000001</v>
      </c>
      <c r="G11" s="169">
        <v>417623000</v>
      </c>
      <c r="H11" s="53">
        <f t="shared" si="0"/>
        <v>7.2168030494716984E-3</v>
      </c>
      <c r="I11" s="53"/>
      <c r="K11" s="355">
        <v>38012</v>
      </c>
      <c r="L11" s="169">
        <v>13.5</v>
      </c>
      <c r="M11" s="169">
        <v>14.123333000000001</v>
      </c>
      <c r="N11" s="169">
        <v>12.875</v>
      </c>
      <c r="O11" s="169">
        <v>13</v>
      </c>
      <c r="P11" s="169">
        <v>6.3206100000000003</v>
      </c>
      <c r="Q11" s="169">
        <v>26376000</v>
      </c>
      <c r="R11" s="53">
        <f t="shared" si="1"/>
        <v>-3.4354710228954977E-2</v>
      </c>
      <c r="S11" s="146">
        <f>(P11/P10)*('16. câmbio USD-BRL'!O11/'16. câmbio USD-BRL'!O10)^-1 -1</f>
        <v>-6.4654630644690347E-2</v>
      </c>
    </row>
    <row r="12" spans="1:21" x14ac:dyDescent="0.2">
      <c r="A12" s="355">
        <v>43040</v>
      </c>
      <c r="B12" s="169">
        <v>32.799999</v>
      </c>
      <c r="C12" s="169">
        <v>36.650002000000001</v>
      </c>
      <c r="D12" s="169">
        <v>31.940000999999999</v>
      </c>
      <c r="E12" s="169">
        <v>35.139999000000003</v>
      </c>
      <c r="F12" s="169">
        <v>24.23489</v>
      </c>
      <c r="G12" s="169">
        <v>390328600</v>
      </c>
      <c r="H12" s="53">
        <f t="shared" si="0"/>
        <v>9.4704200412859096E-2</v>
      </c>
      <c r="I12" s="53"/>
      <c r="K12" s="355">
        <v>38019</v>
      </c>
      <c r="L12" s="169">
        <v>12.9</v>
      </c>
      <c r="M12" s="169">
        <v>14.532500000000001</v>
      </c>
      <c r="N12" s="169">
        <v>12.883333</v>
      </c>
      <c r="O12" s="169">
        <v>13.63</v>
      </c>
      <c r="P12" s="169">
        <v>6.6269159999999996</v>
      </c>
      <c r="Q12" s="169">
        <v>32832000</v>
      </c>
      <c r="R12" s="53">
        <f t="shared" si="1"/>
        <v>4.8461461789289118E-2</v>
      </c>
      <c r="S12" s="146">
        <f>(P12/P11)*('16. câmbio USD-BRL'!O12/'16. câmbio USD-BRL'!O11)^-1 -1</f>
        <v>4.8461461789289118E-2</v>
      </c>
    </row>
    <row r="13" spans="1:21" x14ac:dyDescent="0.2">
      <c r="A13" s="355">
        <v>43070</v>
      </c>
      <c r="B13" s="169">
        <v>35.200001</v>
      </c>
      <c r="C13" s="169">
        <v>40.259998000000003</v>
      </c>
      <c r="D13" s="169">
        <v>34.889999000000003</v>
      </c>
      <c r="E13" s="169">
        <v>40.259998000000003</v>
      </c>
      <c r="F13" s="169">
        <v>27.765984</v>
      </c>
      <c r="G13" s="169">
        <v>341103100</v>
      </c>
      <c r="H13" s="53">
        <f t="shared" si="0"/>
        <v>0.14570291014318615</v>
      </c>
      <c r="I13" s="53"/>
      <c r="K13" s="355">
        <v>38026</v>
      </c>
      <c r="L13" s="169">
        <v>13.741666</v>
      </c>
      <c r="M13" s="169">
        <v>14.875</v>
      </c>
      <c r="N13" s="169">
        <v>13.741666</v>
      </c>
      <c r="O13" s="169">
        <v>14.375</v>
      </c>
      <c r="P13" s="169">
        <v>6.9891350000000001</v>
      </c>
      <c r="Q13" s="169">
        <v>25713600</v>
      </c>
      <c r="R13" s="53">
        <f t="shared" si="1"/>
        <v>5.4658758312313038E-2</v>
      </c>
      <c r="S13" s="146">
        <f>(P13/P12)*('16. câmbio USD-BRL'!O13/'16. câmbio USD-BRL'!O12)^-1 -1</f>
        <v>6.4827644411743046E-2</v>
      </c>
    </row>
    <row r="14" spans="1:21" x14ac:dyDescent="0.2">
      <c r="A14" s="355">
        <v>43101</v>
      </c>
      <c r="B14" s="169">
        <v>40.259998000000003</v>
      </c>
      <c r="C14" s="169">
        <v>43.75</v>
      </c>
      <c r="D14" s="169">
        <v>40.259998000000003</v>
      </c>
      <c r="E14" s="169">
        <v>41.450001</v>
      </c>
      <c r="F14" s="169">
        <v>28.892052</v>
      </c>
      <c r="G14" s="169">
        <v>322130800</v>
      </c>
      <c r="H14" s="53">
        <f t="shared" si="0"/>
        <v>4.0555666962856396E-2</v>
      </c>
      <c r="I14" s="53"/>
      <c r="K14" s="355">
        <v>38033</v>
      </c>
      <c r="L14" s="169">
        <v>14.25</v>
      </c>
      <c r="M14" s="169">
        <v>14.75</v>
      </c>
      <c r="N14" s="169">
        <v>13.583333</v>
      </c>
      <c r="O14" s="169">
        <v>14.058332999999999</v>
      </c>
      <c r="P14" s="169">
        <v>6.835172</v>
      </c>
      <c r="Q14" s="169">
        <v>26366400</v>
      </c>
      <c r="R14" s="53">
        <f t="shared" si="1"/>
        <v>-2.2028906295271211E-2</v>
      </c>
      <c r="S14" s="146">
        <f>(P14/P13)*('16. câmbio USD-BRL'!O14/'16. câmbio USD-BRL'!O13)^-1 -1</f>
        <v>-3.9557640812129535E-2</v>
      </c>
    </row>
    <row r="15" spans="1:21" x14ac:dyDescent="0.2">
      <c r="A15" s="355">
        <v>43132</v>
      </c>
      <c r="B15" s="169">
        <v>41.599997999999999</v>
      </c>
      <c r="C15" s="169">
        <v>47.599997999999999</v>
      </c>
      <c r="D15" s="169">
        <v>39.93</v>
      </c>
      <c r="E15" s="169">
        <v>45.049999</v>
      </c>
      <c r="F15" s="169">
        <v>31.401363</v>
      </c>
      <c r="G15" s="169">
        <v>390593000</v>
      </c>
      <c r="H15" s="53">
        <f t="shared" si="0"/>
        <v>8.6851255840187491E-2</v>
      </c>
      <c r="I15" s="53">
        <f>F15/F3-1</f>
        <v>0.43796437593314819</v>
      </c>
      <c r="K15" s="355">
        <v>38040</v>
      </c>
      <c r="L15" s="169">
        <v>14.058332999999999</v>
      </c>
      <c r="M15" s="169">
        <v>14.165832999999999</v>
      </c>
      <c r="N15" s="169">
        <v>13.708333</v>
      </c>
      <c r="O15" s="169">
        <v>14.041665999999999</v>
      </c>
      <c r="P15" s="169">
        <v>6.8270679999999997</v>
      </c>
      <c r="Q15" s="169">
        <v>8947200</v>
      </c>
      <c r="R15" s="53">
        <f t="shared" si="1"/>
        <v>-1.185632197697517E-3</v>
      </c>
      <c r="S15" s="146">
        <f>(P15/P14)*('16. câmbio USD-BRL'!O15/'16. câmbio USD-BRL'!O14)^-1 -1</f>
        <v>1.6693316898935828E-2</v>
      </c>
    </row>
    <row r="16" spans="1:21" x14ac:dyDescent="0.2">
      <c r="A16" s="355">
        <v>43160</v>
      </c>
      <c r="B16" s="169">
        <v>45.209999000000003</v>
      </c>
      <c r="C16" s="169">
        <v>45.630001</v>
      </c>
      <c r="D16" s="169">
        <v>40.060001</v>
      </c>
      <c r="E16" s="169">
        <v>42.209999000000003</v>
      </c>
      <c r="F16" s="169">
        <v>29.421789</v>
      </c>
      <c r="G16" s="169">
        <v>378396100</v>
      </c>
      <c r="H16" s="53">
        <f t="shared" si="0"/>
        <v>-6.3041021499608108E-2</v>
      </c>
      <c r="I16" s="53">
        <f t="shared" ref="I16:I75" si="2">F16/F4-1</f>
        <v>0.47982880095837999</v>
      </c>
      <c r="K16" s="355">
        <v>38047</v>
      </c>
      <c r="L16" s="169">
        <v>14.125</v>
      </c>
      <c r="M16" s="169">
        <v>14.658333000000001</v>
      </c>
      <c r="N16" s="169">
        <v>13.874166000000001</v>
      </c>
      <c r="O16" s="169">
        <v>13.875</v>
      </c>
      <c r="P16" s="169">
        <v>6.7460360000000001</v>
      </c>
      <c r="Q16" s="169">
        <v>23438400</v>
      </c>
      <c r="R16" s="53">
        <f t="shared" si="1"/>
        <v>-1.1869224094442798E-2</v>
      </c>
      <c r="S16" s="146">
        <f>(P16/P15)*('16. câmbio USD-BRL'!O16/'16. câmbio USD-BRL'!O15)^-1 -1</f>
        <v>1.5770774618435457E-3</v>
      </c>
    </row>
    <row r="17" spans="1:19" x14ac:dyDescent="0.2">
      <c r="A17" s="355">
        <v>43191</v>
      </c>
      <c r="B17" s="169">
        <v>42.32</v>
      </c>
      <c r="C17" s="169">
        <v>49.150002000000001</v>
      </c>
      <c r="D17" s="169">
        <v>41.59</v>
      </c>
      <c r="E17" s="169">
        <v>48.669998</v>
      </c>
      <c r="F17" s="169">
        <v>34.310023999999999</v>
      </c>
      <c r="G17" s="169">
        <v>305955700</v>
      </c>
      <c r="H17" s="53">
        <f t="shared" si="0"/>
        <v>0.16614336402181373</v>
      </c>
      <c r="I17" s="53">
        <f t="shared" si="2"/>
        <v>0.87143731030301619</v>
      </c>
      <c r="K17" s="355">
        <v>38054</v>
      </c>
      <c r="L17" s="169">
        <v>14</v>
      </c>
      <c r="M17" s="169">
        <v>14.1625</v>
      </c>
      <c r="N17" s="169">
        <v>12.280832999999999</v>
      </c>
      <c r="O17" s="169">
        <v>12.684165999999999</v>
      </c>
      <c r="P17" s="169">
        <v>6.1670509999999998</v>
      </c>
      <c r="Q17" s="169">
        <v>22406400</v>
      </c>
      <c r="R17" s="53">
        <f t="shared" si="1"/>
        <v>-8.5825957643866801E-2</v>
      </c>
      <c r="S17" s="146">
        <f>(P17/P16)*('16. câmbio USD-BRL'!O17/'16. câmbio USD-BRL'!O16)^-1 -1</f>
        <v>-9.6232216146023619E-2</v>
      </c>
    </row>
    <row r="18" spans="1:19" x14ac:dyDescent="0.2">
      <c r="A18" s="355">
        <v>43221</v>
      </c>
      <c r="B18" s="169">
        <v>48.669998</v>
      </c>
      <c r="C18" s="169">
        <v>56</v>
      </c>
      <c r="D18" s="169">
        <v>48.419998</v>
      </c>
      <c r="E18" s="169">
        <v>50.630001</v>
      </c>
      <c r="F18" s="169">
        <v>35.69173</v>
      </c>
      <c r="G18" s="169">
        <v>375976400</v>
      </c>
      <c r="H18" s="53">
        <f t="shared" si="0"/>
        <v>4.0271204706822772E-2</v>
      </c>
      <c r="I18" s="53">
        <f t="shared" si="2"/>
        <v>0.90475328983619208</v>
      </c>
      <c r="K18" s="355">
        <v>38061</v>
      </c>
      <c r="L18" s="169">
        <v>12.688333</v>
      </c>
      <c r="M18" s="169">
        <v>13.25</v>
      </c>
      <c r="N18" s="169">
        <v>12.416665999999999</v>
      </c>
      <c r="O18" s="169">
        <v>13</v>
      </c>
      <c r="P18" s="169">
        <v>6.3206100000000003</v>
      </c>
      <c r="Q18" s="169">
        <v>19420800</v>
      </c>
      <c r="R18" s="53">
        <f t="shared" si="1"/>
        <v>2.4899907589543302E-2</v>
      </c>
      <c r="S18" s="146">
        <f>(P18/P17)*('16. câmbio USD-BRL'!O18/'16. câmbio USD-BRL'!O17)^-1 -1</f>
        <v>2.4546493828305538E-2</v>
      </c>
    </row>
    <row r="19" spans="1:19" x14ac:dyDescent="0.2">
      <c r="A19" s="355">
        <v>43252</v>
      </c>
      <c r="B19" s="169">
        <v>50.900002000000001</v>
      </c>
      <c r="C19" s="169">
        <v>56.75</v>
      </c>
      <c r="D19" s="169">
        <v>46.259998000000003</v>
      </c>
      <c r="E19" s="169">
        <v>49.59</v>
      </c>
      <c r="F19" s="169">
        <v>34.958579999999998</v>
      </c>
      <c r="G19" s="169">
        <v>402393000</v>
      </c>
      <c r="H19" s="53">
        <f t="shared" si="0"/>
        <v>-2.0541172983209344E-2</v>
      </c>
      <c r="I19" s="53">
        <f t="shared" si="2"/>
        <v>0.74789981007317174</v>
      </c>
      <c r="K19" s="355">
        <v>38068</v>
      </c>
      <c r="L19" s="169">
        <v>13</v>
      </c>
      <c r="M19" s="169">
        <v>13</v>
      </c>
      <c r="N19" s="169">
        <v>12.083333</v>
      </c>
      <c r="O19" s="169">
        <v>12.758333</v>
      </c>
      <c r="P19" s="169">
        <v>6.2031109999999998</v>
      </c>
      <c r="Q19" s="169">
        <v>18868800</v>
      </c>
      <c r="R19" s="53">
        <f t="shared" si="1"/>
        <v>-1.8589819653482831E-2</v>
      </c>
      <c r="S19" s="146">
        <f>(P19/P18)*('16. câmbio USD-BRL'!O19/'16. câmbio USD-BRL'!O18)^-1 -1</f>
        <v>-3.0953516171297157E-2</v>
      </c>
    </row>
    <row r="20" spans="1:19" x14ac:dyDescent="0.2">
      <c r="A20" s="355">
        <v>43282</v>
      </c>
      <c r="B20" s="169">
        <v>48.889999000000003</v>
      </c>
      <c r="C20" s="169">
        <v>54.98</v>
      </c>
      <c r="D20" s="169">
        <v>47.599997999999999</v>
      </c>
      <c r="E20" s="169">
        <v>54.84</v>
      </c>
      <c r="F20" s="169">
        <v>38.659579999999998</v>
      </c>
      <c r="G20" s="169">
        <v>330439500</v>
      </c>
      <c r="H20" s="53">
        <f t="shared" si="0"/>
        <v>0.1058681445298979</v>
      </c>
      <c r="I20" s="53">
        <f t="shared" si="2"/>
        <v>0.79090913344396085</v>
      </c>
      <c r="K20" s="355">
        <v>38075</v>
      </c>
      <c r="L20" s="169">
        <v>12.75</v>
      </c>
      <c r="M20" s="169">
        <v>13.744166</v>
      </c>
      <c r="N20" s="169">
        <v>12.75</v>
      </c>
      <c r="O20" s="169">
        <v>13.744166</v>
      </c>
      <c r="P20" s="169">
        <v>6.6824240000000001</v>
      </c>
      <c r="Q20" s="169">
        <v>18393600</v>
      </c>
      <c r="R20" s="53">
        <f t="shared" si="1"/>
        <v>7.726977640735444E-2</v>
      </c>
      <c r="S20" s="146">
        <f>(P20/P19)*('16. câmbio USD-BRL'!O20/'16. câmbio USD-BRL'!O19)^-1 -1</f>
        <v>9.3654107607466397E-2</v>
      </c>
    </row>
    <row r="21" spans="1:19" x14ac:dyDescent="0.2">
      <c r="A21" s="355">
        <v>43313</v>
      </c>
      <c r="B21" s="169">
        <v>53.400002000000001</v>
      </c>
      <c r="C21" s="169">
        <v>56.41</v>
      </c>
      <c r="D21" s="169">
        <v>49.23</v>
      </c>
      <c r="E21" s="169">
        <v>53.619999</v>
      </c>
      <c r="F21" s="169">
        <v>37.799537999999998</v>
      </c>
      <c r="G21" s="169">
        <v>373306600</v>
      </c>
      <c r="H21" s="53">
        <f t="shared" si="0"/>
        <v>-2.2246542771545919E-2</v>
      </c>
      <c r="I21" s="53">
        <f t="shared" si="2"/>
        <v>0.56238351213887605</v>
      </c>
      <c r="K21" s="355">
        <v>38082</v>
      </c>
      <c r="L21" s="169">
        <v>13.648332999999999</v>
      </c>
      <c r="M21" s="169">
        <v>13.729165999999999</v>
      </c>
      <c r="N21" s="169">
        <v>13.084166</v>
      </c>
      <c r="O21" s="169">
        <v>13.250833</v>
      </c>
      <c r="P21" s="169">
        <v>6.4425660000000002</v>
      </c>
      <c r="Q21" s="169">
        <v>15216000</v>
      </c>
      <c r="R21" s="53">
        <f t="shared" si="1"/>
        <v>-3.5893861269503335E-2</v>
      </c>
      <c r="S21" s="146">
        <f>(P21/P20)*('16. câmbio USD-BRL'!O21/'16. câmbio USD-BRL'!O20)^-1 -1</f>
        <v>-3.2885208270691191E-2</v>
      </c>
    </row>
    <row r="22" spans="1:19" x14ac:dyDescent="0.2">
      <c r="A22" s="355">
        <v>43344</v>
      </c>
      <c r="B22" s="169">
        <v>53.299999</v>
      </c>
      <c r="C22" s="169">
        <v>62.419998</v>
      </c>
      <c r="D22" s="169">
        <v>51.75</v>
      </c>
      <c r="E22" s="169">
        <v>59.82</v>
      </c>
      <c r="F22" s="169">
        <v>43.385734999999997</v>
      </c>
      <c r="G22" s="169">
        <v>265105200</v>
      </c>
      <c r="H22" s="53">
        <f t="shared" si="0"/>
        <v>0.14778479567660319</v>
      </c>
      <c r="I22" s="53">
        <f t="shared" si="2"/>
        <v>0.97390230074809558</v>
      </c>
      <c r="K22" s="355">
        <v>38089</v>
      </c>
      <c r="L22" s="169">
        <v>13.424166</v>
      </c>
      <c r="M22" s="169">
        <v>13.495832999999999</v>
      </c>
      <c r="N22" s="169">
        <v>12.175000000000001</v>
      </c>
      <c r="O22" s="169">
        <v>12.666665999999999</v>
      </c>
      <c r="P22" s="169">
        <v>6.1585429999999999</v>
      </c>
      <c r="Q22" s="169">
        <v>19814400</v>
      </c>
      <c r="R22" s="53">
        <f t="shared" si="1"/>
        <v>-4.4085384612280287E-2</v>
      </c>
      <c r="S22" s="146">
        <f>(P22/P21)*('16. câmbio USD-BRL'!O22/'16. câmbio USD-BRL'!O21)^-1 -1</f>
        <v>-5.1974638659496697E-2</v>
      </c>
    </row>
    <row r="23" spans="1:19" x14ac:dyDescent="0.2">
      <c r="A23" s="355">
        <v>43374</v>
      </c>
      <c r="B23" s="169">
        <v>59.68</v>
      </c>
      <c r="C23" s="169">
        <v>62.189999</v>
      </c>
      <c r="D23" s="169">
        <v>52.599997999999999</v>
      </c>
      <c r="E23" s="169">
        <v>56.709999000000003</v>
      </c>
      <c r="F23" s="169">
        <v>41.130146000000003</v>
      </c>
      <c r="G23" s="169">
        <v>435274500</v>
      </c>
      <c r="H23" s="53">
        <f t="shared" si="0"/>
        <v>-5.1989184924491783E-2</v>
      </c>
      <c r="I23" s="53">
        <f t="shared" si="2"/>
        <v>0.85787282673014653</v>
      </c>
      <c r="K23" s="355">
        <v>38096</v>
      </c>
      <c r="L23" s="169">
        <v>12.782500000000001</v>
      </c>
      <c r="M23" s="169">
        <v>12.916665999999999</v>
      </c>
      <c r="N23" s="169">
        <v>11.75</v>
      </c>
      <c r="O23" s="169">
        <v>11.85</v>
      </c>
      <c r="P23" s="169">
        <v>5.7614799999999997</v>
      </c>
      <c r="Q23" s="169">
        <v>12100800</v>
      </c>
      <c r="R23" s="53">
        <f t="shared" si="1"/>
        <v>-6.4473528884997688E-2</v>
      </c>
      <c r="S23" s="146">
        <f>(P23/P22)*('16. câmbio USD-BRL'!O23/'16. câmbio USD-BRL'!O22)^-1 -1</f>
        <v>-6.4473528884997688E-2</v>
      </c>
    </row>
    <row r="24" spans="1:19" x14ac:dyDescent="0.2">
      <c r="A24" s="355">
        <v>43405</v>
      </c>
      <c r="B24" s="169">
        <v>56.75</v>
      </c>
      <c r="C24" s="169">
        <v>58.77</v>
      </c>
      <c r="D24" s="169">
        <v>49</v>
      </c>
      <c r="E24" s="169">
        <v>52.799999</v>
      </c>
      <c r="F24" s="169">
        <v>38.294331</v>
      </c>
      <c r="G24" s="169">
        <v>400998200</v>
      </c>
      <c r="H24" s="53">
        <f t="shared" si="0"/>
        <v>-6.8947360410536951E-2</v>
      </c>
      <c r="I24" s="53">
        <f t="shared" si="2"/>
        <v>0.58013223909825884</v>
      </c>
      <c r="K24" s="355">
        <v>38103</v>
      </c>
      <c r="L24" s="169">
        <v>12.164999999999999</v>
      </c>
      <c r="M24" s="169">
        <v>12.166665999999999</v>
      </c>
      <c r="N24" s="169">
        <v>10.859166</v>
      </c>
      <c r="O24" s="169">
        <v>10.859166</v>
      </c>
      <c r="P24" s="169">
        <v>5.2797349999999996</v>
      </c>
      <c r="Q24" s="169">
        <v>21864000</v>
      </c>
      <c r="R24" s="53">
        <f t="shared" si="1"/>
        <v>-8.3614800363795427E-2</v>
      </c>
      <c r="S24" s="146">
        <f>(P24/P23)*('16. câmbio USD-BRL'!O24/'16. câmbio USD-BRL'!O23)^-1 -1</f>
        <v>-9.0495508347411935E-2</v>
      </c>
    </row>
    <row r="25" spans="1:19" x14ac:dyDescent="0.2">
      <c r="A25" s="355">
        <v>43435</v>
      </c>
      <c r="B25" s="169">
        <v>55.599997999999999</v>
      </c>
      <c r="C25" s="169">
        <v>55.68</v>
      </c>
      <c r="D25" s="169">
        <v>49.279998999999997</v>
      </c>
      <c r="E25" s="169">
        <v>51</v>
      </c>
      <c r="F25" s="169">
        <v>36.988846000000002</v>
      </c>
      <c r="G25" s="169">
        <v>349413700</v>
      </c>
      <c r="H25" s="53">
        <f t="shared" si="0"/>
        <v>-3.4090816209845665E-2</v>
      </c>
      <c r="I25" s="53">
        <f t="shared" si="2"/>
        <v>0.33216406088831585</v>
      </c>
      <c r="K25" s="355">
        <v>38110</v>
      </c>
      <c r="L25" s="169">
        <v>10.916665999999999</v>
      </c>
      <c r="M25" s="169">
        <v>11.504166</v>
      </c>
      <c r="N25" s="169">
        <v>10.758333</v>
      </c>
      <c r="O25" s="169">
        <v>10.834166</v>
      </c>
      <c r="P25" s="169">
        <v>5.2675789999999996</v>
      </c>
      <c r="Q25" s="169">
        <v>18134400</v>
      </c>
      <c r="R25" s="53">
        <f t="shared" si="1"/>
        <v>-2.3023882827453157E-3</v>
      </c>
      <c r="S25" s="146">
        <f>(P25/P24)*('16. câmbio USD-BRL'!O25/'16. câmbio USD-BRL'!O24)^-1 -1</f>
        <v>-4.5000325928926443E-2</v>
      </c>
    </row>
    <row r="26" spans="1:19" x14ac:dyDescent="0.2">
      <c r="A26" s="355">
        <v>43466</v>
      </c>
      <c r="B26" s="169">
        <v>51</v>
      </c>
      <c r="C26" s="169">
        <v>56.200001</v>
      </c>
      <c r="D26" s="169">
        <v>42.360000999999997</v>
      </c>
      <c r="E26" s="169">
        <v>45.5</v>
      </c>
      <c r="F26" s="169">
        <v>32.999847000000003</v>
      </c>
      <c r="G26" s="169">
        <v>700713800</v>
      </c>
      <c r="H26" s="53">
        <f t="shared" si="0"/>
        <v>-0.10784329416494909</v>
      </c>
      <c r="I26" s="53">
        <f t="shared" si="2"/>
        <v>0.14217733652147668</v>
      </c>
      <c r="K26" s="355">
        <v>38117</v>
      </c>
      <c r="L26" s="169">
        <v>10.633333</v>
      </c>
      <c r="M26" s="169">
        <v>12.283333000000001</v>
      </c>
      <c r="N26" s="169">
        <v>10.600833</v>
      </c>
      <c r="O26" s="169">
        <v>11.616666</v>
      </c>
      <c r="P26" s="169">
        <v>5.6480329999999999</v>
      </c>
      <c r="Q26" s="169">
        <v>25996800</v>
      </c>
      <c r="R26" s="53">
        <f t="shared" si="1"/>
        <v>7.222558978232696E-2</v>
      </c>
      <c r="S26" s="146">
        <f>(P26/P25)*('16. câmbio USD-BRL'!O26/'16. câmbio USD-BRL'!O25)^-1 -1</f>
        <v>6.2850560337986749E-2</v>
      </c>
    </row>
    <row r="27" spans="1:19" x14ac:dyDescent="0.2">
      <c r="A27" s="355">
        <v>43497</v>
      </c>
      <c r="B27" s="169">
        <v>45.720001000000003</v>
      </c>
      <c r="C27" s="169">
        <v>47.75</v>
      </c>
      <c r="D27" s="169">
        <v>40.509998000000003</v>
      </c>
      <c r="E27" s="169">
        <v>47.099997999999999</v>
      </c>
      <c r="F27" s="169">
        <v>34.160282000000002</v>
      </c>
      <c r="G27" s="169">
        <v>509025800</v>
      </c>
      <c r="H27" s="53">
        <f t="shared" si="0"/>
        <v>3.51648600067751E-2</v>
      </c>
      <c r="I27" s="53">
        <f t="shared" si="2"/>
        <v>8.7859848631411497E-2</v>
      </c>
      <c r="K27" s="355">
        <v>38124</v>
      </c>
      <c r="L27" s="169">
        <v>11.416665999999999</v>
      </c>
      <c r="M27" s="169">
        <v>12.803333</v>
      </c>
      <c r="N27" s="169">
        <v>11.144166</v>
      </c>
      <c r="O27" s="169">
        <v>12.591666</v>
      </c>
      <c r="P27" s="169">
        <v>6.1220780000000001</v>
      </c>
      <c r="Q27" s="169">
        <v>21307200</v>
      </c>
      <c r="R27" s="53">
        <f t="shared" si="1"/>
        <v>8.3930989779981813E-2</v>
      </c>
      <c r="S27" s="146">
        <f>(P27/P26)*('16. câmbio USD-BRL'!O27/'16. câmbio USD-BRL'!O26)^-1 -1</f>
        <v>4.8286531926271303E-2</v>
      </c>
    </row>
    <row r="28" spans="1:19" x14ac:dyDescent="0.2">
      <c r="A28" s="355">
        <v>43525</v>
      </c>
      <c r="B28" s="169">
        <v>47.290000999999997</v>
      </c>
      <c r="C28" s="169">
        <v>52.389999000000003</v>
      </c>
      <c r="D28" s="169">
        <v>44.549999</v>
      </c>
      <c r="E28" s="169">
        <v>50.93</v>
      </c>
      <c r="F28" s="169">
        <v>36.938076000000002</v>
      </c>
      <c r="G28" s="169">
        <v>422600700</v>
      </c>
      <c r="H28" s="53">
        <f t="shared" si="0"/>
        <v>8.1316483277275031E-2</v>
      </c>
      <c r="I28" s="53">
        <f t="shared" si="2"/>
        <v>0.25546668831048991</v>
      </c>
      <c r="K28" s="355">
        <v>38131</v>
      </c>
      <c r="L28" s="169">
        <v>12.75</v>
      </c>
      <c r="M28" s="169">
        <v>13.691666</v>
      </c>
      <c r="N28" s="169">
        <v>12.583333</v>
      </c>
      <c r="O28" s="169">
        <v>13.083333</v>
      </c>
      <c r="P28" s="169">
        <v>6.3611259999999996</v>
      </c>
      <c r="Q28" s="169">
        <v>26817600</v>
      </c>
      <c r="R28" s="53">
        <f t="shared" si="1"/>
        <v>3.9046872646836484E-2</v>
      </c>
      <c r="S28" s="146">
        <f>(P28/P27)*('16. câmbio USD-BRL'!O28/'16. câmbio USD-BRL'!O27)^-1 -1</f>
        <v>7.4377158148105194E-2</v>
      </c>
    </row>
    <row r="29" spans="1:19" x14ac:dyDescent="0.2">
      <c r="A29" s="355">
        <v>43556</v>
      </c>
      <c r="B29" s="169">
        <v>52.349997999999999</v>
      </c>
      <c r="C29" s="169">
        <v>53.799999</v>
      </c>
      <c r="D29" s="169">
        <v>49.380001</v>
      </c>
      <c r="E29" s="169">
        <v>50.099997999999999</v>
      </c>
      <c r="F29" s="169">
        <v>36.336094000000003</v>
      </c>
      <c r="G29" s="169">
        <v>327521600</v>
      </c>
      <c r="H29" s="53">
        <f t="shared" si="0"/>
        <v>-1.6297058893917526E-2</v>
      </c>
      <c r="I29" s="53">
        <f t="shared" si="2"/>
        <v>5.9051838611363427E-2</v>
      </c>
      <c r="K29" s="355">
        <v>38138</v>
      </c>
      <c r="L29" s="169">
        <v>13.083333</v>
      </c>
      <c r="M29" s="169">
        <v>13.307499999999999</v>
      </c>
      <c r="N29" s="169">
        <v>12.458333</v>
      </c>
      <c r="O29" s="169">
        <v>12.7925</v>
      </c>
      <c r="P29" s="169">
        <v>6.2197230000000001</v>
      </c>
      <c r="Q29" s="169">
        <v>13780800</v>
      </c>
      <c r="R29" s="53">
        <f t="shared" si="1"/>
        <v>-2.2229240546406293E-2</v>
      </c>
      <c r="S29" s="146">
        <f>(P29/P28)*('16. câmbio USD-BRL'!O29/'16. câmbio USD-BRL'!O28)^-1 -1</f>
        <v>-3.4424014968756689E-2</v>
      </c>
    </row>
    <row r="30" spans="1:19" x14ac:dyDescent="0.2">
      <c r="A30" s="355">
        <v>43586</v>
      </c>
      <c r="B30" s="169">
        <v>50.099997999999999</v>
      </c>
      <c r="C30" s="169">
        <v>51</v>
      </c>
      <c r="D30" s="169">
        <v>45.82</v>
      </c>
      <c r="E30" s="169">
        <v>49</v>
      </c>
      <c r="F30" s="169">
        <v>35.5383</v>
      </c>
      <c r="G30" s="169">
        <v>474970400</v>
      </c>
      <c r="H30" s="53">
        <f t="shared" si="0"/>
        <v>-2.1955964777061743E-2</v>
      </c>
      <c r="I30" s="53">
        <f t="shared" si="2"/>
        <v>-4.298754921658321E-3</v>
      </c>
      <c r="K30" s="355">
        <v>38145</v>
      </c>
      <c r="L30" s="169">
        <v>13.041665999999999</v>
      </c>
      <c r="M30" s="169">
        <v>13.491666</v>
      </c>
      <c r="N30" s="169">
        <v>12.625</v>
      </c>
      <c r="O30" s="169">
        <v>12.675000000000001</v>
      </c>
      <c r="P30" s="169">
        <v>6.1625949999999996</v>
      </c>
      <c r="Q30" s="169">
        <v>7353600</v>
      </c>
      <c r="R30" s="53">
        <f t="shared" si="1"/>
        <v>-9.1849749578880591E-3</v>
      </c>
      <c r="S30" s="146">
        <f>(P30/P29)*('16. câmbio USD-BRL'!O30/'16. câmbio USD-BRL'!O29)^-1 -1</f>
        <v>-1.265819524962275E-2</v>
      </c>
    </row>
    <row r="31" spans="1:19" x14ac:dyDescent="0.2">
      <c r="A31" s="355">
        <v>43617</v>
      </c>
      <c r="B31" s="169">
        <v>49.349997999999999</v>
      </c>
      <c r="C31" s="169">
        <v>53.099997999999999</v>
      </c>
      <c r="D31" s="169">
        <v>47.860000999999997</v>
      </c>
      <c r="E31" s="169">
        <v>51.82</v>
      </c>
      <c r="F31" s="169">
        <v>37.583568999999997</v>
      </c>
      <c r="G31" s="169">
        <v>351314100</v>
      </c>
      <c r="H31" s="53">
        <f t="shared" si="0"/>
        <v>5.7551120903363451E-2</v>
      </c>
      <c r="I31" s="53">
        <f t="shared" si="2"/>
        <v>7.508854764695827E-2</v>
      </c>
      <c r="K31" s="355">
        <v>38152</v>
      </c>
      <c r="L31" s="169">
        <v>12.425000000000001</v>
      </c>
      <c r="M31" s="169">
        <v>12.708333</v>
      </c>
      <c r="N31" s="169">
        <v>11.25</v>
      </c>
      <c r="O31" s="169">
        <v>11.883333</v>
      </c>
      <c r="P31" s="169">
        <v>5.7776860000000001</v>
      </c>
      <c r="Q31" s="169">
        <v>25646400</v>
      </c>
      <c r="R31" s="53">
        <f t="shared" si="1"/>
        <v>-6.2458915440654406E-2</v>
      </c>
      <c r="S31" s="146">
        <f>(P31/P30)*('16. câmbio USD-BRL'!O31/'16. câmbio USD-BRL'!O30)^-1 -1</f>
        <v>-6.2757590523342954E-2</v>
      </c>
    </row>
    <row r="32" spans="1:19" x14ac:dyDescent="0.2">
      <c r="A32" s="355">
        <v>43647</v>
      </c>
      <c r="B32" s="169">
        <v>53.099997999999999</v>
      </c>
      <c r="C32" s="169">
        <v>54.16</v>
      </c>
      <c r="D32" s="169">
        <v>49.220001000000003</v>
      </c>
      <c r="E32" s="169">
        <v>49.810001</v>
      </c>
      <c r="F32" s="169">
        <v>36.125767000000003</v>
      </c>
      <c r="G32" s="169">
        <v>406957900</v>
      </c>
      <c r="H32" s="53">
        <f t="shared" si="0"/>
        <v>-3.8788280059299129E-2</v>
      </c>
      <c r="I32" s="53">
        <f t="shared" si="2"/>
        <v>-6.5541658755733923E-2</v>
      </c>
      <c r="K32" s="355">
        <v>38159</v>
      </c>
      <c r="L32" s="169">
        <v>11.999166000000001</v>
      </c>
      <c r="M32" s="169">
        <v>12.708333</v>
      </c>
      <c r="N32" s="169">
        <v>11.666665999999999</v>
      </c>
      <c r="O32" s="169">
        <v>12.683332999999999</v>
      </c>
      <c r="P32" s="169">
        <v>6.1666470000000002</v>
      </c>
      <c r="Q32" s="169">
        <v>20251200</v>
      </c>
      <c r="R32" s="53">
        <f t="shared" si="1"/>
        <v>6.7321242448966645E-2</v>
      </c>
      <c r="S32" s="146">
        <f>(P32/P31)*('16. câmbio USD-BRL'!O32/'16. câmbio USD-BRL'!O31)^-1 -1</f>
        <v>7.7620257332681186E-2</v>
      </c>
    </row>
    <row r="33" spans="1:19" x14ac:dyDescent="0.2">
      <c r="A33" s="355">
        <v>43678</v>
      </c>
      <c r="B33" s="169">
        <v>49.240001999999997</v>
      </c>
      <c r="C33" s="169">
        <v>49.34</v>
      </c>
      <c r="D33" s="169">
        <v>42.439999</v>
      </c>
      <c r="E33" s="169">
        <v>45.57</v>
      </c>
      <c r="F33" s="169">
        <v>33.050617000000003</v>
      </c>
      <c r="G33" s="169">
        <v>503424900</v>
      </c>
      <c r="H33" s="53">
        <f t="shared" si="0"/>
        <v>-8.5123452188572202E-2</v>
      </c>
      <c r="I33" s="53">
        <f t="shared" si="2"/>
        <v>-0.12563436621897328</v>
      </c>
      <c r="K33" s="355">
        <v>38166</v>
      </c>
      <c r="L33" s="169">
        <v>12.433332999999999</v>
      </c>
      <c r="M33" s="169">
        <v>12.628333</v>
      </c>
      <c r="N33" s="169">
        <v>11.795</v>
      </c>
      <c r="O33" s="169">
        <v>11.887499999999999</v>
      </c>
      <c r="P33" s="169">
        <v>5.7797109999999998</v>
      </c>
      <c r="Q33" s="169">
        <v>25886400</v>
      </c>
      <c r="R33" s="53">
        <f t="shared" si="1"/>
        <v>-6.2746578489088267E-2</v>
      </c>
      <c r="S33" s="146">
        <f>(P33/P32)*('16. câmbio USD-BRL'!O33/'16. câmbio USD-BRL'!O32)^-1 -1</f>
        <v>-4.1157983719176006E-2</v>
      </c>
    </row>
    <row r="34" spans="1:19" x14ac:dyDescent="0.2">
      <c r="A34" s="355">
        <v>43709</v>
      </c>
      <c r="B34" s="169">
        <v>46.549999</v>
      </c>
      <c r="C34" s="169">
        <v>50.299999</v>
      </c>
      <c r="D34" s="169">
        <v>45.34</v>
      </c>
      <c r="E34" s="169">
        <v>47.75</v>
      </c>
      <c r="F34" s="169">
        <v>34.631709999999998</v>
      </c>
      <c r="G34" s="169">
        <v>368656500</v>
      </c>
      <c r="H34" s="53">
        <f t="shared" si="0"/>
        <v>4.7838532031035719E-2</v>
      </c>
      <c r="I34" s="53">
        <f t="shared" si="2"/>
        <v>-0.20177196490966443</v>
      </c>
      <c r="K34" s="355">
        <v>38173</v>
      </c>
      <c r="L34" s="169">
        <v>11.858333</v>
      </c>
      <c r="M34" s="169">
        <v>12.466666</v>
      </c>
      <c r="N34" s="169">
        <v>11.692500000000001</v>
      </c>
      <c r="O34" s="169">
        <v>12.125833</v>
      </c>
      <c r="P34" s="169">
        <v>5.8955890000000002</v>
      </c>
      <c r="Q34" s="169">
        <v>18000000</v>
      </c>
      <c r="R34" s="53">
        <f t="shared" si="1"/>
        <v>2.0049099340780252E-2</v>
      </c>
      <c r="S34" s="146">
        <f>(P34/P33)*('16. câmbio USD-BRL'!O34/'16. câmbio USD-BRL'!O33)^-1 -1</f>
        <v>1.9378235086034756E-2</v>
      </c>
    </row>
    <row r="35" spans="1:19" x14ac:dyDescent="0.2">
      <c r="A35" s="355">
        <v>43739</v>
      </c>
      <c r="B35" s="169">
        <v>47.849997999999999</v>
      </c>
      <c r="C35" s="169">
        <v>48.919998</v>
      </c>
      <c r="D35" s="169">
        <v>44.220001000000003</v>
      </c>
      <c r="E35" s="169">
        <v>47.200001</v>
      </c>
      <c r="F35" s="169">
        <v>34.232810999999998</v>
      </c>
      <c r="G35" s="169">
        <v>380088500</v>
      </c>
      <c r="H35" s="53">
        <f t="shared" si="0"/>
        <v>-1.1518316594820166E-2</v>
      </c>
      <c r="I35" s="53">
        <f t="shared" si="2"/>
        <v>-0.16769536874486191</v>
      </c>
      <c r="K35" s="355">
        <v>38180</v>
      </c>
      <c r="L35" s="169">
        <v>12.128333</v>
      </c>
      <c r="M35" s="169">
        <v>13.554166</v>
      </c>
      <c r="N35" s="169">
        <v>11.983333</v>
      </c>
      <c r="O35" s="169">
        <v>13.25</v>
      </c>
      <c r="P35" s="169">
        <v>6.4421619999999997</v>
      </c>
      <c r="Q35" s="169">
        <v>54787200</v>
      </c>
      <c r="R35" s="53">
        <f t="shared" si="1"/>
        <v>9.2708803140788776E-2</v>
      </c>
      <c r="S35" s="146">
        <f>(P35/P34)*('16. câmbio USD-BRL'!O35/'16. câmbio USD-BRL'!O34)^-1 -1</f>
        <v>0.10727339898405153</v>
      </c>
    </row>
    <row r="36" spans="1:19" x14ac:dyDescent="0.2">
      <c r="A36" s="355">
        <v>43770</v>
      </c>
      <c r="B36" s="169">
        <v>47.799999</v>
      </c>
      <c r="C36" s="169">
        <v>51.5</v>
      </c>
      <c r="D36" s="169">
        <v>46.959999000000003</v>
      </c>
      <c r="E36" s="169">
        <v>49.98</v>
      </c>
      <c r="F36" s="169">
        <v>36.249068999999999</v>
      </c>
      <c r="G36" s="169">
        <v>347246900</v>
      </c>
      <c r="H36" s="53">
        <f t="shared" si="0"/>
        <v>5.8898405976651969E-2</v>
      </c>
      <c r="I36" s="53">
        <f t="shared" si="2"/>
        <v>-5.3409001974730974E-2</v>
      </c>
      <c r="K36" s="355">
        <v>38187</v>
      </c>
      <c r="L36" s="169">
        <v>13.308332999999999</v>
      </c>
      <c r="M36" s="169">
        <v>13.958333</v>
      </c>
      <c r="N36" s="169">
        <v>12.691666</v>
      </c>
      <c r="O36" s="169">
        <v>12.691666</v>
      </c>
      <c r="P36" s="169">
        <v>6.1706979999999998</v>
      </c>
      <c r="Q36" s="169">
        <v>26644800</v>
      </c>
      <c r="R36" s="53">
        <f t="shared" si="1"/>
        <v>-4.2138648484778884E-2</v>
      </c>
      <c r="S36" s="146">
        <f>(P36/P35)*('16. câmbio USD-BRL'!O36/'16. câmbio USD-BRL'!O35)^-1 -1</f>
        <v>-5.8453352146354942E-2</v>
      </c>
    </row>
    <row r="37" spans="1:19" x14ac:dyDescent="0.2">
      <c r="A37" s="355">
        <v>43800</v>
      </c>
      <c r="B37" s="169">
        <v>50.150002000000001</v>
      </c>
      <c r="C37" s="169">
        <v>55</v>
      </c>
      <c r="D37" s="169">
        <v>50.110000999999997</v>
      </c>
      <c r="E37" s="169">
        <v>53.299999</v>
      </c>
      <c r="F37" s="169">
        <v>38.656962999999998</v>
      </c>
      <c r="G37" s="169">
        <v>346679400</v>
      </c>
      <c r="H37" s="53">
        <f t="shared" si="0"/>
        <v>6.6426368081343057E-2</v>
      </c>
      <c r="I37" s="53">
        <f t="shared" si="2"/>
        <v>4.5097838413233893E-2</v>
      </c>
      <c r="K37" s="355">
        <v>38194</v>
      </c>
      <c r="L37" s="169">
        <v>12.887499999999999</v>
      </c>
      <c r="M37" s="169">
        <v>13.666665999999999</v>
      </c>
      <c r="N37" s="169">
        <v>12.583333</v>
      </c>
      <c r="O37" s="169">
        <v>13.658333000000001</v>
      </c>
      <c r="P37" s="169">
        <v>6.6406919999999996</v>
      </c>
      <c r="Q37" s="169">
        <v>15532800</v>
      </c>
      <c r="R37" s="53">
        <f t="shared" si="1"/>
        <v>7.6165451623138924E-2</v>
      </c>
      <c r="S37" s="146">
        <f>(P37/P36)*('16. câmbio USD-BRL'!O37/'16. câmbio USD-BRL'!O36)^-1 -1</f>
        <v>8.2191411003110337E-2</v>
      </c>
    </row>
    <row r="38" spans="1:19" x14ac:dyDescent="0.2">
      <c r="A38" s="355">
        <v>43831</v>
      </c>
      <c r="B38" s="169">
        <v>53.299999</v>
      </c>
      <c r="C38" s="169">
        <v>57.360000999999997</v>
      </c>
      <c r="D38" s="169">
        <v>49.799999</v>
      </c>
      <c r="E38" s="169">
        <v>50.27</v>
      </c>
      <c r="F38" s="169">
        <v>37.425507000000003</v>
      </c>
      <c r="G38" s="169">
        <v>489834000</v>
      </c>
      <c r="H38" s="53">
        <f t="shared" si="0"/>
        <v>-3.1855994481511551E-2</v>
      </c>
      <c r="I38" s="53">
        <f t="shared" si="2"/>
        <v>0.13411153088073413</v>
      </c>
      <c r="K38" s="355">
        <v>38201</v>
      </c>
      <c r="L38" s="169">
        <v>13.545833</v>
      </c>
      <c r="M38" s="169">
        <v>13.75</v>
      </c>
      <c r="N38" s="169">
        <v>12.939166</v>
      </c>
      <c r="O38" s="169">
        <v>13.151666000000001</v>
      </c>
      <c r="P38" s="169">
        <v>6.3943500000000002</v>
      </c>
      <c r="Q38" s="169">
        <v>13814400</v>
      </c>
      <c r="R38" s="53">
        <f t="shared" si="1"/>
        <v>-3.7095832783691773E-2</v>
      </c>
      <c r="S38" s="146">
        <f>(P38/P37)*('16. câmbio USD-BRL'!O38/'16. câmbio USD-BRL'!O37)^-1 -1</f>
        <v>-3.5507406245888551E-2</v>
      </c>
    </row>
    <row r="39" spans="1:19" x14ac:dyDescent="0.2">
      <c r="A39" s="355">
        <v>43862</v>
      </c>
      <c r="B39" s="169">
        <v>50.5</v>
      </c>
      <c r="C39" s="169">
        <v>53.919998</v>
      </c>
      <c r="D39" s="169">
        <v>43.200001</v>
      </c>
      <c r="E39" s="169">
        <v>44.310001</v>
      </c>
      <c r="F39" s="169">
        <v>32.988349999999997</v>
      </c>
      <c r="G39" s="169">
        <v>462436700</v>
      </c>
      <c r="H39" s="53">
        <f t="shared" si="0"/>
        <v>-0.1185597031457718</v>
      </c>
      <c r="I39" s="53">
        <f t="shared" si="2"/>
        <v>-3.4306859644777088E-2</v>
      </c>
      <c r="K39" s="355">
        <v>38208</v>
      </c>
      <c r="L39" s="169">
        <v>13.209166</v>
      </c>
      <c r="M39" s="169">
        <v>13.7125</v>
      </c>
      <c r="N39" s="169">
        <v>13.084166</v>
      </c>
      <c r="O39" s="169">
        <v>13.649165999999999</v>
      </c>
      <c r="P39" s="169">
        <v>6.6362350000000001</v>
      </c>
      <c r="Q39" s="169">
        <v>19708800</v>
      </c>
      <c r="R39" s="53">
        <f t="shared" si="1"/>
        <v>3.7827926216112751E-2</v>
      </c>
      <c r="S39" s="146">
        <f>(P39/P38)*('16. câmbio USD-BRL'!O39/'16. câmbio USD-BRL'!O38)^-1 -1</f>
        <v>4.1953111745954841E-2</v>
      </c>
    </row>
    <row r="40" spans="1:19" x14ac:dyDescent="0.2">
      <c r="A40" s="355">
        <v>43891</v>
      </c>
      <c r="B40" s="169">
        <v>44.880001</v>
      </c>
      <c r="C40" s="169">
        <v>49.09</v>
      </c>
      <c r="D40" s="169">
        <v>32.450001</v>
      </c>
      <c r="E40" s="169">
        <v>43.220001000000003</v>
      </c>
      <c r="F40" s="169">
        <v>32.176853000000001</v>
      </c>
      <c r="G40" s="169">
        <v>1034076000</v>
      </c>
      <c r="H40" s="53">
        <f t="shared" si="0"/>
        <v>-2.4599502551658214E-2</v>
      </c>
      <c r="I40" s="53">
        <f t="shared" si="2"/>
        <v>-0.12889742822555239</v>
      </c>
      <c r="K40" s="355">
        <v>38215</v>
      </c>
      <c r="L40" s="169">
        <v>13.416665999999999</v>
      </c>
      <c r="M40" s="169">
        <v>14.75</v>
      </c>
      <c r="N40" s="169">
        <v>13.416665999999999</v>
      </c>
      <c r="O40" s="169">
        <v>14.324999999999999</v>
      </c>
      <c r="P40" s="169">
        <v>6.9648269999999997</v>
      </c>
      <c r="Q40" s="169">
        <v>18155200</v>
      </c>
      <c r="R40" s="53">
        <f t="shared" si="1"/>
        <v>4.9514822787318336E-2</v>
      </c>
      <c r="S40" s="146">
        <f>(P40/P39)*('16. câmbio USD-BRL'!O40/'16. câmbio USD-BRL'!O39)^-1 -1</f>
        <v>6.8989625504356944E-2</v>
      </c>
    </row>
    <row r="41" spans="1:19" x14ac:dyDescent="0.2">
      <c r="A41" s="355">
        <v>43922</v>
      </c>
      <c r="B41" s="169">
        <v>41.810001</v>
      </c>
      <c r="C41" s="169">
        <v>47.380001</v>
      </c>
      <c r="D41" s="169">
        <v>39.759998000000003</v>
      </c>
      <c r="E41" s="169">
        <v>44.860000999999997</v>
      </c>
      <c r="F41" s="169">
        <v>33.397815999999999</v>
      </c>
      <c r="G41" s="169">
        <v>596524500</v>
      </c>
      <c r="H41" s="53">
        <f t="shared" si="0"/>
        <v>3.794538266374281E-2</v>
      </c>
      <c r="I41" s="53">
        <f t="shared" si="2"/>
        <v>-8.0863892525157022E-2</v>
      </c>
      <c r="K41" s="355">
        <v>38222</v>
      </c>
      <c r="L41" s="169">
        <v>14.75</v>
      </c>
      <c r="M41" s="169">
        <v>14.75</v>
      </c>
      <c r="N41" s="169">
        <v>13.425000000000001</v>
      </c>
      <c r="O41" s="169">
        <v>14.02</v>
      </c>
      <c r="P41" s="169">
        <v>6.8165339999999999</v>
      </c>
      <c r="Q41" s="169">
        <v>11803200</v>
      </c>
      <c r="R41" s="53">
        <f t="shared" si="1"/>
        <v>-2.1291698989795438E-2</v>
      </c>
      <c r="S41" s="146">
        <f>(P41/P40)*('16. câmbio USD-BRL'!O41/'16. câmbio USD-BRL'!O40)^-1 -1</f>
        <v>-1.7313209961298592E-2</v>
      </c>
    </row>
    <row r="42" spans="1:19" x14ac:dyDescent="0.2">
      <c r="A42" s="355">
        <v>43952</v>
      </c>
      <c r="B42" s="169">
        <v>44.860000999999997</v>
      </c>
      <c r="C42" s="169">
        <v>53.669998</v>
      </c>
      <c r="D42" s="169">
        <v>43.400002000000001</v>
      </c>
      <c r="E42" s="169">
        <v>53</v>
      </c>
      <c r="F42" s="169">
        <v>39.457965999999999</v>
      </c>
      <c r="G42" s="169">
        <v>650823800</v>
      </c>
      <c r="H42" s="53">
        <f t="shared" si="0"/>
        <v>0.18145348186839527</v>
      </c>
      <c r="I42" s="53">
        <f t="shared" si="2"/>
        <v>0.11029413337160188</v>
      </c>
      <c r="K42" s="355">
        <v>38229</v>
      </c>
      <c r="L42" s="169">
        <v>14.025</v>
      </c>
      <c r="M42" s="169">
        <v>14.225</v>
      </c>
      <c r="N42" s="169">
        <v>13.7675</v>
      </c>
      <c r="O42" s="169">
        <v>14</v>
      </c>
      <c r="P42" s="169">
        <v>6.8068109999999997</v>
      </c>
      <c r="Q42" s="169">
        <v>11315200</v>
      </c>
      <c r="R42" s="53">
        <f t="shared" si="1"/>
        <v>-1.4263847286611897E-3</v>
      </c>
      <c r="S42" s="146" t="e">
        <f>(P42/P41)*('16. câmbio USD-BRL'!O42/'16. câmbio USD-BRL'!O41)^-1 -1</f>
        <v>#VALUE!</v>
      </c>
    </row>
    <row r="43" spans="1:19" x14ac:dyDescent="0.2">
      <c r="A43" s="355">
        <v>43983</v>
      </c>
      <c r="B43" s="169">
        <v>52.82</v>
      </c>
      <c r="C43" s="169">
        <v>56.950001</v>
      </c>
      <c r="D43" s="169">
        <v>51.98</v>
      </c>
      <c r="E43" s="169">
        <v>55.919998</v>
      </c>
      <c r="F43" s="169">
        <v>41.631874000000003</v>
      </c>
      <c r="G43" s="169">
        <v>546027800</v>
      </c>
      <c r="H43" s="53">
        <f t="shared" si="0"/>
        <v>5.5094274246168862E-2</v>
      </c>
      <c r="I43" s="53">
        <f t="shared" si="2"/>
        <v>0.10771475694604749</v>
      </c>
      <c r="K43" s="355">
        <v>38236</v>
      </c>
      <c r="L43" s="169">
        <v>14.125</v>
      </c>
      <c r="M43" s="169">
        <v>14.574999999999999</v>
      </c>
      <c r="N43" s="169">
        <v>14.125</v>
      </c>
      <c r="O43" s="169">
        <v>14.225</v>
      </c>
      <c r="P43" s="169">
        <v>6.916207</v>
      </c>
      <c r="Q43" s="169">
        <v>16059200</v>
      </c>
      <c r="R43" s="53">
        <f t="shared" si="1"/>
        <v>1.6071549511217587E-2</v>
      </c>
      <c r="S43" s="146" t="e">
        <f>(P43/P42)*('16. câmbio USD-BRL'!O43/'16. câmbio USD-BRL'!O42)^-1 -1</f>
        <v>#VALUE!</v>
      </c>
    </row>
    <row r="44" spans="1:19" x14ac:dyDescent="0.2">
      <c r="A44" s="355">
        <v>44013</v>
      </c>
      <c r="B44" s="169">
        <v>56.080002</v>
      </c>
      <c r="C44" s="169">
        <v>62.950001</v>
      </c>
      <c r="D44" s="169">
        <v>54.049999</v>
      </c>
      <c r="E44" s="169">
        <v>60.709999000000003</v>
      </c>
      <c r="F44" s="169">
        <v>45.197983000000001</v>
      </c>
      <c r="G44" s="169">
        <v>567689100</v>
      </c>
      <c r="H44" s="53">
        <f t="shared" si="0"/>
        <v>8.5658142604870369E-2</v>
      </c>
      <c r="I44" s="53">
        <f t="shared" si="2"/>
        <v>0.25112867499809743</v>
      </c>
      <c r="K44" s="355">
        <v>38243</v>
      </c>
      <c r="L44" s="169">
        <v>14.25</v>
      </c>
      <c r="M44" s="169">
        <v>15.125</v>
      </c>
      <c r="N44" s="169">
        <v>14.25</v>
      </c>
      <c r="O44" s="169">
        <v>14.824999999999999</v>
      </c>
      <c r="P44" s="169">
        <v>7.2079259999999996</v>
      </c>
      <c r="Q44" s="169">
        <v>20731200</v>
      </c>
      <c r="R44" s="53">
        <f t="shared" si="1"/>
        <v>4.2179044091652962E-2</v>
      </c>
      <c r="S44" s="146" t="e">
        <f>(P44/P43)*('16. câmbio USD-BRL'!O44/'16. câmbio USD-BRL'!O43)^-1 -1</f>
        <v>#VALUE!</v>
      </c>
    </row>
    <row r="45" spans="1:19" x14ac:dyDescent="0.2">
      <c r="A45" s="355">
        <v>44044</v>
      </c>
      <c r="B45" s="169">
        <v>61.860000999999997</v>
      </c>
      <c r="C45" s="169">
        <v>63.880001</v>
      </c>
      <c r="D45" s="169">
        <v>59.360000999999997</v>
      </c>
      <c r="E45" s="169">
        <v>59.68</v>
      </c>
      <c r="F45" s="169">
        <v>44.431156000000001</v>
      </c>
      <c r="G45" s="169">
        <v>713262400</v>
      </c>
      <c r="H45" s="53">
        <f t="shared" si="0"/>
        <v>-1.6965956202072086E-2</v>
      </c>
      <c r="I45" s="53">
        <f t="shared" si="2"/>
        <v>0.34433665792078849</v>
      </c>
      <c r="K45" s="355">
        <v>38250</v>
      </c>
      <c r="L45" s="169">
        <v>15</v>
      </c>
      <c r="M45" s="169">
        <v>15.147500000000001</v>
      </c>
      <c r="N45" s="169">
        <v>14.475</v>
      </c>
      <c r="O45" s="169">
        <v>14.8725</v>
      </c>
      <c r="P45" s="169">
        <v>7.2310189999999999</v>
      </c>
      <c r="Q45" s="169">
        <v>12027200</v>
      </c>
      <c r="R45" s="53">
        <f t="shared" si="1"/>
        <v>3.2038342236033746E-3</v>
      </c>
      <c r="S45" s="146" t="e">
        <f>(P45/P44)*('16. câmbio USD-BRL'!O45/'16. câmbio USD-BRL'!O44)^-1 -1</f>
        <v>#VALUE!</v>
      </c>
    </row>
    <row r="46" spans="1:19" x14ac:dyDescent="0.2">
      <c r="A46" s="355">
        <v>44075</v>
      </c>
      <c r="B46" s="169">
        <v>60.290000999999997</v>
      </c>
      <c r="C46" s="169">
        <v>63.650002000000001</v>
      </c>
      <c r="D46" s="169">
        <v>57.060001</v>
      </c>
      <c r="E46" s="169">
        <v>59.110000999999997</v>
      </c>
      <c r="F46" s="169">
        <v>44.006802</v>
      </c>
      <c r="G46" s="169">
        <v>623135300</v>
      </c>
      <c r="H46" s="53">
        <f t="shared" si="0"/>
        <v>-9.5508205998511286E-3</v>
      </c>
      <c r="I46" s="53">
        <f t="shared" si="2"/>
        <v>0.27070831905210579</v>
      </c>
      <c r="K46" s="355">
        <v>38257</v>
      </c>
      <c r="L46" s="169">
        <v>14.9025</v>
      </c>
      <c r="M46" s="169">
        <v>16.375</v>
      </c>
      <c r="N46" s="169">
        <v>14.37</v>
      </c>
      <c r="O46" s="169">
        <v>16.225000000000001</v>
      </c>
      <c r="P46" s="169">
        <v>7.8886079999999996</v>
      </c>
      <c r="Q46" s="169">
        <v>16668800</v>
      </c>
      <c r="R46" s="53">
        <f t="shared" si="1"/>
        <v>9.0940018274049628E-2</v>
      </c>
      <c r="S46" s="146" t="e">
        <f>(P46/P45)*('16. câmbio USD-BRL'!O46/'16. câmbio USD-BRL'!O45)^-1 -1</f>
        <v>#VALUE!</v>
      </c>
    </row>
    <row r="47" spans="1:19" x14ac:dyDescent="0.2">
      <c r="A47" s="355">
        <v>44105</v>
      </c>
      <c r="B47" s="169">
        <v>59.529998999999997</v>
      </c>
      <c r="C47" s="169">
        <v>63.889999000000003</v>
      </c>
      <c r="D47" s="169">
        <v>58.02</v>
      </c>
      <c r="E47" s="169">
        <v>60.549999</v>
      </c>
      <c r="F47" s="169">
        <v>46.963272000000003</v>
      </c>
      <c r="G47" s="169">
        <v>487801100</v>
      </c>
      <c r="H47" s="53">
        <f t="shared" si="0"/>
        <v>6.7182114255882608E-2</v>
      </c>
      <c r="I47" s="53">
        <f t="shared" si="2"/>
        <v>0.37187892633181674</v>
      </c>
      <c r="K47" s="355">
        <v>38264</v>
      </c>
      <c r="L47" s="169">
        <v>16.375</v>
      </c>
      <c r="M47" s="169">
        <v>16.875</v>
      </c>
      <c r="N47" s="169">
        <v>15.7525</v>
      </c>
      <c r="O47" s="169">
        <v>15.9375</v>
      </c>
      <c r="P47" s="169">
        <v>7.7488239999999999</v>
      </c>
      <c r="Q47" s="169">
        <v>9952000</v>
      </c>
      <c r="R47" s="53">
        <f t="shared" si="1"/>
        <v>-1.7719729513749449E-2</v>
      </c>
      <c r="S47" s="146" t="e">
        <f>(P47/P46)*('16. câmbio USD-BRL'!O47/'16. câmbio USD-BRL'!O46)^-1 -1</f>
        <v>#VALUE!</v>
      </c>
    </row>
    <row r="48" spans="1:19" x14ac:dyDescent="0.2">
      <c r="A48" s="355">
        <v>44136</v>
      </c>
      <c r="B48" s="169">
        <v>60.549999</v>
      </c>
      <c r="C48" s="169">
        <v>79.360000999999997</v>
      </c>
      <c r="D48" s="169">
        <v>60.549999</v>
      </c>
      <c r="E48" s="169">
        <v>78</v>
      </c>
      <c r="F48" s="169">
        <v>60.497700000000002</v>
      </c>
      <c r="G48" s="169">
        <v>747752000</v>
      </c>
      <c r="H48" s="53">
        <f t="shared" si="0"/>
        <v>0.28819175972236333</v>
      </c>
      <c r="I48" s="53">
        <f t="shared" si="2"/>
        <v>0.6689449320753591</v>
      </c>
      <c r="K48" s="355">
        <v>38271</v>
      </c>
      <c r="L48" s="169">
        <v>16.024999999999999</v>
      </c>
      <c r="M48" s="169">
        <v>16.055</v>
      </c>
      <c r="N48" s="169">
        <v>14.25</v>
      </c>
      <c r="O48" s="169">
        <v>15.45</v>
      </c>
      <c r="P48" s="169">
        <v>7.5118020000000003</v>
      </c>
      <c r="Q48" s="169">
        <v>16491200</v>
      </c>
      <c r="R48" s="53">
        <f t="shared" si="1"/>
        <v>-3.0588125372314479E-2</v>
      </c>
      <c r="S48" s="146" t="e">
        <f>(P48/P47)*('16. câmbio USD-BRL'!O48/'16. câmbio USD-BRL'!O47)^-1 -1</f>
        <v>#VALUE!</v>
      </c>
    </row>
    <row r="49" spans="1:19" x14ac:dyDescent="0.2">
      <c r="A49" s="355">
        <v>44166</v>
      </c>
      <c r="B49" s="169">
        <v>79.830001999999993</v>
      </c>
      <c r="C49" s="169">
        <v>88.580001999999993</v>
      </c>
      <c r="D49" s="169">
        <v>77.309997999999993</v>
      </c>
      <c r="E49" s="169">
        <v>87.449996999999996</v>
      </c>
      <c r="F49" s="169">
        <v>67.827224999999999</v>
      </c>
      <c r="G49" s="169">
        <v>604783000</v>
      </c>
      <c r="H49" s="53">
        <f t="shared" si="0"/>
        <v>0.12115377939987804</v>
      </c>
      <c r="I49" s="53">
        <f t="shared" si="2"/>
        <v>0.75459269782781435</v>
      </c>
      <c r="K49" s="355">
        <v>38278</v>
      </c>
      <c r="L49" s="169">
        <v>15.532500000000001</v>
      </c>
      <c r="M49" s="169">
        <v>15.675000000000001</v>
      </c>
      <c r="N49" s="169">
        <v>14.55</v>
      </c>
      <c r="O49" s="169">
        <v>15.4</v>
      </c>
      <c r="P49" s="169">
        <v>7.4874939999999999</v>
      </c>
      <c r="Q49" s="169">
        <v>11827200</v>
      </c>
      <c r="R49" s="53">
        <f t="shared" si="1"/>
        <v>-3.235974537135089E-3</v>
      </c>
      <c r="S49" s="146" t="e">
        <f>(P49/P48)*('16. câmbio USD-BRL'!O49/'16. câmbio USD-BRL'!O48)^-1 -1</f>
        <v>#VALUE!</v>
      </c>
    </row>
    <row r="50" spans="1:19" x14ac:dyDescent="0.2">
      <c r="A50" s="355">
        <v>44197</v>
      </c>
      <c r="B50" s="169">
        <v>87.449996999999996</v>
      </c>
      <c r="C50" s="169">
        <v>103.349998</v>
      </c>
      <c r="D50" s="169">
        <v>87.449996999999996</v>
      </c>
      <c r="E50" s="169">
        <v>87.949996999999996</v>
      </c>
      <c r="F50" s="169">
        <v>68.215027000000006</v>
      </c>
      <c r="G50" s="169">
        <v>647863400</v>
      </c>
      <c r="H50" s="53">
        <f t="shared" si="0"/>
        <v>5.7174976567302416E-3</v>
      </c>
      <c r="I50" s="53">
        <f t="shared" si="2"/>
        <v>0.82268812016360937</v>
      </c>
      <c r="K50" s="355">
        <v>38285</v>
      </c>
      <c r="L50" s="169">
        <v>15.25</v>
      </c>
      <c r="M50" s="169">
        <v>15.797499999999999</v>
      </c>
      <c r="N50" s="169">
        <v>14.775</v>
      </c>
      <c r="O50" s="169">
        <v>15.25</v>
      </c>
      <c r="P50" s="169">
        <v>7.4145640000000004</v>
      </c>
      <c r="Q50" s="169">
        <v>24441600</v>
      </c>
      <c r="R50" s="53">
        <f t="shared" si="1"/>
        <v>-9.7402415280732901E-3</v>
      </c>
      <c r="S50" s="146" t="e">
        <f>(P50/P49)*('16. câmbio USD-BRL'!O50/'16. câmbio USD-BRL'!O49)^-1 -1</f>
        <v>#VALUE!</v>
      </c>
    </row>
    <row r="51" spans="1:19" x14ac:dyDescent="0.2">
      <c r="A51" s="355">
        <v>44228</v>
      </c>
      <c r="B51" s="169">
        <v>90.010002</v>
      </c>
      <c r="C51" s="169">
        <v>98.949996999999996</v>
      </c>
      <c r="D51" s="169">
        <v>87.510002</v>
      </c>
      <c r="E51" s="169">
        <v>94.519997000000004</v>
      </c>
      <c r="F51" s="169">
        <v>73.310790999999995</v>
      </c>
      <c r="G51" s="169">
        <v>550703700</v>
      </c>
      <c r="H51" s="53">
        <f t="shared" si="0"/>
        <v>7.4701487694199598E-2</v>
      </c>
      <c r="I51" s="53">
        <f t="shared" si="2"/>
        <v>1.2223236688103527</v>
      </c>
      <c r="K51" s="355">
        <v>38292</v>
      </c>
      <c r="L51" s="169">
        <v>15.125</v>
      </c>
      <c r="M51" s="169">
        <v>15.8925</v>
      </c>
      <c r="N51" s="169">
        <v>15.074999999999999</v>
      </c>
      <c r="O51" s="169">
        <v>15.8725</v>
      </c>
      <c r="P51" s="169">
        <v>7.7172210000000003</v>
      </c>
      <c r="Q51" s="169">
        <v>19049600</v>
      </c>
      <c r="R51" s="53">
        <f t="shared" si="1"/>
        <v>4.0819257882189763E-2</v>
      </c>
      <c r="S51" s="146" t="e">
        <f>(P51/P50)*('16. câmbio USD-BRL'!O51/'16. câmbio USD-BRL'!O50)^-1 -1</f>
        <v>#VALUE!</v>
      </c>
    </row>
    <row r="52" spans="1:19" x14ac:dyDescent="0.2">
      <c r="A52" s="355">
        <v>44256</v>
      </c>
      <c r="B52" s="169">
        <v>96</v>
      </c>
      <c r="C52" s="169">
        <v>104</v>
      </c>
      <c r="D52" s="169">
        <v>90.610000999999997</v>
      </c>
      <c r="E52" s="169">
        <v>97.970000999999996</v>
      </c>
      <c r="F52" s="169">
        <v>75.986655999999996</v>
      </c>
      <c r="G52" s="169">
        <v>673728000</v>
      </c>
      <c r="H52" s="53">
        <f t="shared" si="0"/>
        <v>3.6500288204501796E-2</v>
      </c>
      <c r="I52" s="53">
        <f t="shared" si="2"/>
        <v>1.3615316264769581</v>
      </c>
      <c r="K52" s="355">
        <v>38299</v>
      </c>
      <c r="L52" s="169">
        <v>15.8475</v>
      </c>
      <c r="M52" s="169">
        <v>16.805</v>
      </c>
      <c r="N52" s="169">
        <v>15.605</v>
      </c>
      <c r="O52" s="169">
        <v>16.805</v>
      </c>
      <c r="P52" s="169">
        <v>8.1706040000000009</v>
      </c>
      <c r="Q52" s="169">
        <v>30132800</v>
      </c>
      <c r="R52" s="53">
        <f t="shared" si="1"/>
        <v>5.8749516179464223E-2</v>
      </c>
      <c r="S52" s="146" t="e">
        <f>(P52/P51)*('16. câmbio USD-BRL'!O52/'16. câmbio USD-BRL'!O51)^-1 -1</f>
        <v>#VALUE!</v>
      </c>
    </row>
    <row r="53" spans="1:19" x14ac:dyDescent="0.2">
      <c r="A53" s="355">
        <v>44287</v>
      </c>
      <c r="B53" s="169">
        <v>98.5</v>
      </c>
      <c r="C53" s="169">
        <v>112.949997</v>
      </c>
      <c r="D53" s="169">
        <v>96.129997000000003</v>
      </c>
      <c r="E53" s="169">
        <v>109.019997</v>
      </c>
      <c r="F53" s="169">
        <v>88.366446999999994</v>
      </c>
      <c r="G53" s="169">
        <v>455038400</v>
      </c>
      <c r="H53" s="53">
        <f t="shared" si="0"/>
        <v>0.16292059226820022</v>
      </c>
      <c r="I53" s="53">
        <f t="shared" si="2"/>
        <v>1.6458750176957677</v>
      </c>
      <c r="K53" s="355">
        <v>38306</v>
      </c>
      <c r="L53" s="169">
        <v>16.805</v>
      </c>
      <c r="M53" s="169">
        <v>16.805</v>
      </c>
      <c r="N53" s="169">
        <v>16</v>
      </c>
      <c r="O53" s="169">
        <v>16.674999</v>
      </c>
      <c r="P53" s="169">
        <v>8.1073979999999999</v>
      </c>
      <c r="Q53" s="169">
        <v>18558400</v>
      </c>
      <c r="R53" s="53">
        <f t="shared" si="1"/>
        <v>-7.7357806105889937E-3</v>
      </c>
      <c r="S53" s="146" t="e">
        <f>(P53/P52)*('16. câmbio USD-BRL'!O53/'16. câmbio USD-BRL'!O52)^-1 -1</f>
        <v>#VALUE!</v>
      </c>
    </row>
    <row r="54" spans="1:19" x14ac:dyDescent="0.2">
      <c r="A54" s="355">
        <v>44317</v>
      </c>
      <c r="B54" s="169">
        <v>109.699997</v>
      </c>
      <c r="C54" s="169">
        <v>120.449997</v>
      </c>
      <c r="D54" s="169">
        <v>106.029999</v>
      </c>
      <c r="E54" s="169">
        <v>114.779999</v>
      </c>
      <c r="F54" s="169">
        <v>93.035233000000005</v>
      </c>
      <c r="G54" s="169">
        <v>589702400</v>
      </c>
      <c r="H54" s="53">
        <f t="shared" si="0"/>
        <v>5.2834375020192947E-2</v>
      </c>
      <c r="I54" s="53">
        <f t="shared" si="2"/>
        <v>1.3578314452397269</v>
      </c>
      <c r="K54" s="355">
        <v>38313</v>
      </c>
      <c r="L54" s="169">
        <v>16.600000000000001</v>
      </c>
      <c r="M54" s="169">
        <v>17.052499999999998</v>
      </c>
      <c r="N54" s="169">
        <v>16.125</v>
      </c>
      <c r="O54" s="169">
        <v>16.774999999999999</v>
      </c>
      <c r="P54" s="169">
        <v>8.1560170000000003</v>
      </c>
      <c r="Q54" s="169">
        <v>18684800</v>
      </c>
      <c r="R54" s="53">
        <f t="shared" si="1"/>
        <v>5.9968685390801024E-3</v>
      </c>
      <c r="S54" s="146" t="e">
        <f>(P54/P53)*('16. câmbio USD-BRL'!O54/'16. câmbio USD-BRL'!O53)^-1 -1</f>
        <v>#VALUE!</v>
      </c>
    </row>
    <row r="55" spans="1:19" x14ac:dyDescent="0.2">
      <c r="A55" s="355">
        <v>44348</v>
      </c>
      <c r="B55" s="169">
        <v>117</v>
      </c>
      <c r="C55" s="169">
        <v>118</v>
      </c>
      <c r="D55" s="169">
        <v>104.900002</v>
      </c>
      <c r="E55" s="169">
        <v>113.25</v>
      </c>
      <c r="F55" s="169">
        <v>91.795090000000002</v>
      </c>
      <c r="G55" s="169">
        <v>536206400</v>
      </c>
      <c r="H55" s="53">
        <f t="shared" si="0"/>
        <v>-1.3329820972233231E-2</v>
      </c>
      <c r="I55" s="53">
        <f t="shared" si="2"/>
        <v>1.204923323893611</v>
      </c>
      <c r="K55" s="355">
        <v>38320</v>
      </c>
      <c r="L55" s="169">
        <v>16.774999999999999</v>
      </c>
      <c r="M55" s="169">
        <v>17.052499999999998</v>
      </c>
      <c r="N55" s="169">
        <v>16.3125</v>
      </c>
      <c r="O55" s="169">
        <v>16.524999999999999</v>
      </c>
      <c r="P55" s="169">
        <v>8.0344680000000004</v>
      </c>
      <c r="Q55" s="169">
        <v>24560000</v>
      </c>
      <c r="R55" s="53">
        <f t="shared" si="1"/>
        <v>-1.4902985121291401E-2</v>
      </c>
      <c r="S55" s="146" t="e">
        <f>(P55/P54)*('16. câmbio USD-BRL'!O55/'16. câmbio USD-BRL'!O54)^-1 -1</f>
        <v>#VALUE!</v>
      </c>
    </row>
    <row r="56" spans="1:19" x14ac:dyDescent="0.2">
      <c r="A56" s="355">
        <v>44378</v>
      </c>
      <c r="B56" s="169">
        <v>113.410004</v>
      </c>
      <c r="C56" s="169">
        <v>117.599998</v>
      </c>
      <c r="D56" s="169">
        <v>108.760002</v>
      </c>
      <c r="E56" s="169">
        <v>108.760002</v>
      </c>
      <c r="F56" s="169">
        <v>89.896614</v>
      </c>
      <c r="G56" s="169">
        <v>423025900</v>
      </c>
      <c r="H56" s="53">
        <f t="shared" si="0"/>
        <v>-2.0681672625409542E-2</v>
      </c>
      <c r="I56" s="53">
        <f t="shared" si="2"/>
        <v>0.9889518963711279</v>
      </c>
      <c r="K56" s="355">
        <v>38327</v>
      </c>
      <c r="L56" s="169">
        <v>16.537500000000001</v>
      </c>
      <c r="M56" s="169">
        <v>17.25</v>
      </c>
      <c r="N56" s="169">
        <v>16.125</v>
      </c>
      <c r="O56" s="169">
        <v>17.0625</v>
      </c>
      <c r="P56" s="169">
        <v>8.2958020000000001</v>
      </c>
      <c r="Q56" s="169">
        <v>24131200</v>
      </c>
      <c r="R56" s="53">
        <f t="shared" si="1"/>
        <v>3.2526609104672533E-2</v>
      </c>
      <c r="S56" s="146" t="e">
        <f>(P56/P55)*('16. câmbio USD-BRL'!O56/'16. câmbio USD-BRL'!O55)^-1 -1</f>
        <v>#VALUE!</v>
      </c>
    </row>
    <row r="57" spans="1:19" x14ac:dyDescent="0.2">
      <c r="A57" s="355">
        <v>44409</v>
      </c>
      <c r="B57" s="169">
        <v>110.900002</v>
      </c>
      <c r="C57" s="169">
        <v>113.25</v>
      </c>
      <c r="D57" s="169">
        <v>96.160004000000001</v>
      </c>
      <c r="E57" s="169">
        <v>98.68</v>
      </c>
      <c r="F57" s="169">
        <v>81.564887999999996</v>
      </c>
      <c r="G57" s="169">
        <v>518553500</v>
      </c>
      <c r="H57" s="53">
        <f t="shared" ref="H57:H76" si="3">F57/F56-1</f>
        <v>-9.2681199316361429E-2</v>
      </c>
      <c r="I57" s="53">
        <f t="shared" si="2"/>
        <v>0.83575885353961965</v>
      </c>
      <c r="K57" s="355">
        <v>38334</v>
      </c>
      <c r="L57" s="169">
        <v>17.0625</v>
      </c>
      <c r="M57" s="169">
        <v>18.125</v>
      </c>
      <c r="N57" s="169">
        <v>17.0625</v>
      </c>
      <c r="O57" s="169">
        <v>17.737499</v>
      </c>
      <c r="P57" s="169">
        <v>8.6239860000000004</v>
      </c>
      <c r="Q57" s="169">
        <v>25803200</v>
      </c>
      <c r="R57" s="53">
        <f t="shared" ref="R57:R120" si="4">P57/P56-1</f>
        <v>3.9560249870958852E-2</v>
      </c>
      <c r="S57" s="146" t="e">
        <f>(P57/P56)*('16. câmbio USD-BRL'!O57/'16. câmbio USD-BRL'!O56)^-1 -1</f>
        <v>#VALUE!</v>
      </c>
    </row>
    <row r="58" spans="1:19" x14ac:dyDescent="0.2">
      <c r="A58" s="355">
        <v>44440</v>
      </c>
      <c r="B58" s="169">
        <v>97.360000999999997</v>
      </c>
      <c r="C58" s="169">
        <v>100.879997</v>
      </c>
      <c r="D58" s="169">
        <v>74.559997999999993</v>
      </c>
      <c r="E58" s="169">
        <v>76.239998</v>
      </c>
      <c r="F58" s="169">
        <v>63.016894999999998</v>
      </c>
      <c r="G58" s="169">
        <v>730880200</v>
      </c>
      <c r="H58" s="53">
        <f t="shared" si="3"/>
        <v>-0.22740168539188088</v>
      </c>
      <c r="I58" s="53">
        <f t="shared" si="2"/>
        <v>0.43198078787910998</v>
      </c>
      <c r="K58" s="355">
        <v>38341</v>
      </c>
      <c r="L58" s="169">
        <v>17.75</v>
      </c>
      <c r="M58" s="169">
        <v>19.045000000000002</v>
      </c>
      <c r="N58" s="169">
        <v>17.674999</v>
      </c>
      <c r="O58" s="169">
        <v>18.75</v>
      </c>
      <c r="P58" s="169">
        <v>9.1162639999999993</v>
      </c>
      <c r="Q58" s="169">
        <v>18774400</v>
      </c>
      <c r="R58" s="53">
        <f t="shared" si="4"/>
        <v>5.7082421052167653E-2</v>
      </c>
      <c r="S58" s="146" t="e">
        <f>(P58/P57)*('16. câmbio USD-BRL'!O58/'16. câmbio USD-BRL'!O57)^-1 -1</f>
        <v>#VALUE!</v>
      </c>
    </row>
    <row r="59" spans="1:19" x14ac:dyDescent="0.2">
      <c r="A59" s="355">
        <v>44470</v>
      </c>
      <c r="B59" s="169">
        <v>76.75</v>
      </c>
      <c r="C59" s="169">
        <v>83.099997999999999</v>
      </c>
      <c r="D59" s="169">
        <v>71.019997000000004</v>
      </c>
      <c r="E59" s="169">
        <v>71.610000999999997</v>
      </c>
      <c r="F59" s="169">
        <v>65.338408999999999</v>
      </c>
      <c r="G59" s="169">
        <v>528807200</v>
      </c>
      <c r="H59" s="53">
        <f t="shared" si="3"/>
        <v>3.6839549139956906E-2</v>
      </c>
      <c r="I59" s="53">
        <f t="shared" si="2"/>
        <v>0.39126611535925337</v>
      </c>
      <c r="K59" s="355">
        <v>38348</v>
      </c>
      <c r="L59" s="169">
        <v>18.875</v>
      </c>
      <c r="M59" s="169">
        <v>19.5</v>
      </c>
      <c r="N59" s="169">
        <v>18.700001</v>
      </c>
      <c r="O59" s="169">
        <v>18.875</v>
      </c>
      <c r="P59" s="169">
        <v>9.1770399999999999</v>
      </c>
      <c r="Q59" s="169">
        <v>8968000</v>
      </c>
      <c r="R59" s="53">
        <f t="shared" si="4"/>
        <v>6.6667661226134101E-3</v>
      </c>
      <c r="S59" s="146" t="e">
        <f>(P59/P58)*('16. câmbio USD-BRL'!O59/'16. câmbio USD-BRL'!O58)^-1 -1</f>
        <v>#VALUE!</v>
      </c>
    </row>
    <row r="60" spans="1:19" x14ac:dyDescent="0.2">
      <c r="A60" s="355">
        <v>44501</v>
      </c>
      <c r="B60" s="169">
        <v>72</v>
      </c>
      <c r="C60" s="169">
        <v>72.860000999999997</v>
      </c>
      <c r="D60" s="169">
        <v>61.849997999999999</v>
      </c>
      <c r="E60" s="169">
        <v>69.949996999999996</v>
      </c>
      <c r="F60" s="169">
        <v>63.823791999999997</v>
      </c>
      <c r="G60" s="169">
        <v>604991100</v>
      </c>
      <c r="H60" s="53">
        <f t="shared" si="3"/>
        <v>-2.3181112353072519E-2</v>
      </c>
      <c r="I60" s="53">
        <f t="shared" si="2"/>
        <v>5.4978817376528211E-2</v>
      </c>
      <c r="K60" s="355">
        <v>38355</v>
      </c>
      <c r="L60" s="169">
        <v>19.125</v>
      </c>
      <c r="M60" s="169">
        <v>19.375</v>
      </c>
      <c r="N60" s="169">
        <v>17.25</v>
      </c>
      <c r="O60" s="169">
        <v>18.225000000000001</v>
      </c>
      <c r="P60" s="169">
        <v>8.8610100000000003</v>
      </c>
      <c r="Q60" s="169">
        <v>23988800</v>
      </c>
      <c r="R60" s="53">
        <f t="shared" si="4"/>
        <v>-3.4437029804817221E-2</v>
      </c>
      <c r="S60" s="146" t="e">
        <f>(P60/P59)*('16. câmbio USD-BRL'!O60/'16. câmbio USD-BRL'!O59)^-1 -1</f>
        <v>#VALUE!</v>
      </c>
    </row>
    <row r="61" spans="1:19" x14ac:dyDescent="0.2">
      <c r="A61" s="355">
        <v>44531</v>
      </c>
      <c r="B61" s="169">
        <v>71.300003000000004</v>
      </c>
      <c r="C61" s="169">
        <v>80.669998000000007</v>
      </c>
      <c r="D61" s="169">
        <v>69.970000999999996</v>
      </c>
      <c r="E61" s="169">
        <v>78.75</v>
      </c>
      <c r="F61" s="169">
        <v>71.853088</v>
      </c>
      <c r="G61" s="169">
        <v>494826400</v>
      </c>
      <c r="H61" s="53">
        <f t="shared" si="3"/>
        <v>0.12580412019392395</v>
      </c>
      <c r="I61" s="53">
        <f t="shared" si="2"/>
        <v>5.9354676532911377E-2</v>
      </c>
      <c r="K61" s="355">
        <v>38362</v>
      </c>
      <c r="L61" s="169">
        <v>18.125</v>
      </c>
      <c r="M61" s="169">
        <v>19.825001</v>
      </c>
      <c r="N61" s="169">
        <v>17.447500000000002</v>
      </c>
      <c r="O61" s="169">
        <v>19.625</v>
      </c>
      <c r="P61" s="169">
        <v>9.5416899999999991</v>
      </c>
      <c r="Q61" s="169">
        <v>27483200</v>
      </c>
      <c r="R61" s="53">
        <f t="shared" si="4"/>
        <v>7.6817428261563681E-2</v>
      </c>
      <c r="S61" s="146" t="e">
        <f>(P61/P60)*('16. câmbio USD-BRL'!O61/'16. câmbio USD-BRL'!O60)^-1 -1</f>
        <v>#VALUE!</v>
      </c>
    </row>
    <row r="62" spans="1:19" x14ac:dyDescent="0.2">
      <c r="A62" s="355">
        <v>44562</v>
      </c>
      <c r="B62" s="169">
        <v>79</v>
      </c>
      <c r="C62" s="169">
        <v>89</v>
      </c>
      <c r="D62" s="169">
        <v>76.900002000000001</v>
      </c>
      <c r="E62" s="169">
        <v>80.870002999999997</v>
      </c>
      <c r="F62" s="169">
        <v>73.787422000000007</v>
      </c>
      <c r="G62" s="169">
        <v>517965900</v>
      </c>
      <c r="H62" s="53">
        <f t="shared" si="3"/>
        <v>2.6920680152257459E-2</v>
      </c>
      <c r="I62" s="53">
        <f t="shared" si="2"/>
        <v>8.1688672497336912E-2</v>
      </c>
      <c r="K62" s="355">
        <v>38369</v>
      </c>
      <c r="L62" s="169">
        <v>19.649999999999999</v>
      </c>
      <c r="M62" s="169">
        <v>20.5</v>
      </c>
      <c r="N62" s="169">
        <v>18.665001</v>
      </c>
      <c r="O62" s="169">
        <v>20.024999999999999</v>
      </c>
      <c r="P62" s="169">
        <v>9.7361719999999998</v>
      </c>
      <c r="Q62" s="169">
        <v>27516800</v>
      </c>
      <c r="R62" s="53">
        <f t="shared" si="4"/>
        <v>2.0382343169815798E-2</v>
      </c>
      <c r="S62" s="146" t="e">
        <f>(P62/P61)*('16. câmbio USD-BRL'!O62/'16. câmbio USD-BRL'!O61)^-1 -1</f>
        <v>#VALUE!</v>
      </c>
    </row>
    <row r="63" spans="1:19" x14ac:dyDescent="0.2">
      <c r="A63" s="355">
        <v>44593</v>
      </c>
      <c r="B63" s="169">
        <v>81.5</v>
      </c>
      <c r="C63" s="169">
        <v>94.480002999999996</v>
      </c>
      <c r="D63" s="169">
        <v>81.370002999999997</v>
      </c>
      <c r="E63" s="169">
        <v>92.279999000000004</v>
      </c>
      <c r="F63" s="169">
        <v>84.198127999999997</v>
      </c>
      <c r="G63" s="169">
        <v>527069700</v>
      </c>
      <c r="H63" s="53">
        <f t="shared" si="3"/>
        <v>0.14109052353123253</v>
      </c>
      <c r="I63" s="53">
        <f t="shared" si="2"/>
        <v>0.1485093374589288</v>
      </c>
      <c r="K63" s="355">
        <v>38376</v>
      </c>
      <c r="L63" s="169">
        <v>20.002500999999999</v>
      </c>
      <c r="M63" s="169">
        <v>20.764999</v>
      </c>
      <c r="N63" s="169">
        <v>19.700001</v>
      </c>
      <c r="O63" s="169">
        <v>19.825001</v>
      </c>
      <c r="P63" s="169">
        <v>9.6389300000000002</v>
      </c>
      <c r="Q63" s="169">
        <v>14217600</v>
      </c>
      <c r="R63" s="53">
        <f t="shared" si="4"/>
        <v>-9.987703586173291E-3</v>
      </c>
      <c r="S63" s="146" t="e">
        <f>(P63/P62)*('16. câmbio USD-BRL'!O63/'16. câmbio USD-BRL'!O62)^-1 -1</f>
        <v>#VALUE!</v>
      </c>
    </row>
    <row r="64" spans="1:19" x14ac:dyDescent="0.2">
      <c r="A64" s="355">
        <v>44621</v>
      </c>
      <c r="B64" s="169">
        <v>92.279999000000004</v>
      </c>
      <c r="C64" s="169">
        <v>107.110001</v>
      </c>
      <c r="D64" s="169">
        <v>87.279999000000004</v>
      </c>
      <c r="E64" s="169">
        <v>95.599997999999999</v>
      </c>
      <c r="F64" s="169">
        <v>87.227371000000005</v>
      </c>
      <c r="G64" s="169">
        <v>748437300</v>
      </c>
      <c r="H64" s="53">
        <f t="shared" si="3"/>
        <v>3.5977557600805676E-2</v>
      </c>
      <c r="I64" s="53">
        <f t="shared" si="2"/>
        <v>0.14793011815127133</v>
      </c>
      <c r="K64" s="355">
        <v>38383</v>
      </c>
      <c r="L64" s="169">
        <v>20</v>
      </c>
      <c r="M64" s="169">
        <v>20.170000000000002</v>
      </c>
      <c r="N64" s="169">
        <v>19</v>
      </c>
      <c r="O64" s="169">
        <v>19.422501</v>
      </c>
      <c r="P64" s="169">
        <v>9.4432329999999993</v>
      </c>
      <c r="Q64" s="169">
        <v>13844800</v>
      </c>
      <c r="R64" s="53">
        <f t="shared" si="4"/>
        <v>-2.0302772195669117E-2</v>
      </c>
      <c r="S64" s="146" t="e">
        <f>(P64/P63)*('16. câmbio USD-BRL'!O64/'16. câmbio USD-BRL'!O63)^-1 -1</f>
        <v>#VALUE!</v>
      </c>
    </row>
    <row r="65" spans="1:19" x14ac:dyDescent="0.2">
      <c r="A65" s="355">
        <v>44652</v>
      </c>
      <c r="B65" s="169">
        <v>96.779999000000004</v>
      </c>
      <c r="C65" s="169">
        <v>98.25</v>
      </c>
      <c r="D65" s="169">
        <v>77.540001000000004</v>
      </c>
      <c r="E65" s="169">
        <v>83.290001000000004</v>
      </c>
      <c r="F65" s="169">
        <v>78.917159999999996</v>
      </c>
      <c r="G65" s="169">
        <v>563584000</v>
      </c>
      <c r="H65" s="53">
        <f t="shared" si="3"/>
        <v>-9.5270680575710642E-2</v>
      </c>
      <c r="I65" s="53">
        <f t="shared" si="2"/>
        <v>-0.10693297423172399</v>
      </c>
      <c r="K65" s="355">
        <v>38390</v>
      </c>
      <c r="L65" s="169">
        <v>19.422501</v>
      </c>
      <c r="M65" s="169">
        <v>19.477501</v>
      </c>
      <c r="N65" s="169">
        <v>18.825001</v>
      </c>
      <c r="O65" s="169">
        <v>18.950001</v>
      </c>
      <c r="P65" s="169">
        <v>9.2135049999999996</v>
      </c>
      <c r="Q65" s="169">
        <v>10998400</v>
      </c>
      <c r="R65" s="53">
        <f t="shared" si="4"/>
        <v>-2.4327261648632414E-2</v>
      </c>
      <c r="S65" s="146" t="e">
        <f>(P65/P64)*('16. câmbio USD-BRL'!O65/'16. câmbio USD-BRL'!O64)^-1 -1</f>
        <v>#VALUE!</v>
      </c>
    </row>
    <row r="66" spans="1:19" x14ac:dyDescent="0.2">
      <c r="A66" s="355">
        <v>44682</v>
      </c>
      <c r="B66" s="169">
        <v>83.160004000000001</v>
      </c>
      <c r="C66" s="169">
        <v>87.43</v>
      </c>
      <c r="D66" s="169">
        <v>74.870002999999997</v>
      </c>
      <c r="E66" s="169">
        <v>86.209998999999996</v>
      </c>
      <c r="F66" s="169">
        <v>81.683860999999993</v>
      </c>
      <c r="G66" s="169">
        <v>650035900</v>
      </c>
      <c r="H66" s="53">
        <f t="shared" si="3"/>
        <v>3.5058294038964322E-2</v>
      </c>
      <c r="I66" s="53">
        <f t="shared" si="2"/>
        <v>-0.12201153943474308</v>
      </c>
      <c r="K66" s="355">
        <v>38397</v>
      </c>
      <c r="L66" s="169">
        <v>18.950001</v>
      </c>
      <c r="M66" s="169">
        <v>20.575001</v>
      </c>
      <c r="N66" s="169">
        <v>18.875</v>
      </c>
      <c r="O66" s="169">
        <v>20.325001</v>
      </c>
      <c r="P66" s="169">
        <v>9.8820320000000006</v>
      </c>
      <c r="Q66" s="169">
        <v>26468800</v>
      </c>
      <c r="R66" s="53">
        <f t="shared" si="4"/>
        <v>7.2559465697364933E-2</v>
      </c>
      <c r="S66" s="146" t="e">
        <f>(P66/P65)*('16. câmbio USD-BRL'!O66/'16. câmbio USD-BRL'!O65)^-1 -1</f>
        <v>#VALUE!</v>
      </c>
    </row>
    <row r="67" spans="1:19" x14ac:dyDescent="0.2">
      <c r="A67" s="355">
        <v>44713</v>
      </c>
      <c r="B67" s="169">
        <v>86.190002000000007</v>
      </c>
      <c r="C67" s="169">
        <v>90.889999000000003</v>
      </c>
      <c r="D67" s="169">
        <v>72.430000000000007</v>
      </c>
      <c r="E67" s="169">
        <v>76.559997999999993</v>
      </c>
      <c r="F67" s="169">
        <v>72.540503999999999</v>
      </c>
      <c r="G67" s="169">
        <v>583178600</v>
      </c>
      <c r="H67" s="53">
        <f t="shared" si="3"/>
        <v>-0.11193590616388704</v>
      </c>
      <c r="I67" s="53">
        <f t="shared" si="2"/>
        <v>-0.20975616451816759</v>
      </c>
      <c r="K67" s="355">
        <v>38404</v>
      </c>
      <c r="L67" s="169">
        <v>20.475000000000001</v>
      </c>
      <c r="M67" s="169">
        <v>24.125</v>
      </c>
      <c r="N67" s="169">
        <v>20.305</v>
      </c>
      <c r="O67" s="169">
        <v>23.125</v>
      </c>
      <c r="P67" s="169">
        <v>11.243391000000001</v>
      </c>
      <c r="Q67" s="169">
        <v>60225600</v>
      </c>
      <c r="R67" s="53">
        <f t="shared" si="4"/>
        <v>0.13776103942994711</v>
      </c>
      <c r="S67" s="146" t="e">
        <f>(P67/P66)*('16. câmbio USD-BRL'!O67/'16. câmbio USD-BRL'!O66)^-1 -1</f>
        <v>#VALUE!</v>
      </c>
    </row>
    <row r="68" spans="1:19" x14ac:dyDescent="0.2">
      <c r="A68" s="355">
        <v>44743</v>
      </c>
      <c r="B68" s="169">
        <v>75.519997000000004</v>
      </c>
      <c r="C68" s="169">
        <v>78.220000999999996</v>
      </c>
      <c r="D68" s="169">
        <v>66.180000000000007</v>
      </c>
      <c r="E68" s="169">
        <v>69.75</v>
      </c>
      <c r="F68" s="169">
        <v>66.088036000000002</v>
      </c>
      <c r="G68" s="169">
        <v>608321400</v>
      </c>
      <c r="H68" s="53">
        <f t="shared" si="3"/>
        <v>-8.8949864478471197E-2</v>
      </c>
      <c r="I68" s="53">
        <f t="shared" si="2"/>
        <v>-0.2648439906757778</v>
      </c>
      <c r="K68" s="355">
        <v>38411</v>
      </c>
      <c r="L68" s="169">
        <v>23.497499000000001</v>
      </c>
      <c r="M68" s="169">
        <v>23.875</v>
      </c>
      <c r="N68" s="169">
        <v>21.549999</v>
      </c>
      <c r="O68" s="169">
        <v>23.875</v>
      </c>
      <c r="P68" s="169">
        <v>11.608045000000001</v>
      </c>
      <c r="Q68" s="169">
        <v>48172800</v>
      </c>
      <c r="R68" s="53">
        <f t="shared" si="4"/>
        <v>3.2432742043748242E-2</v>
      </c>
      <c r="S68" s="146" t="e">
        <f>(P68/P67)*('16. câmbio USD-BRL'!O68/'16. câmbio USD-BRL'!O67)^-1 -1</f>
        <v>#VALUE!</v>
      </c>
    </row>
    <row r="69" spans="1:19" x14ac:dyDescent="0.2">
      <c r="A69" s="355">
        <v>44774</v>
      </c>
      <c r="B69" s="169">
        <v>68.940002000000007</v>
      </c>
      <c r="C69" s="169">
        <v>73.650002000000001</v>
      </c>
      <c r="D69" s="169">
        <v>64.400002000000001</v>
      </c>
      <c r="E69" s="169">
        <v>64.5</v>
      </c>
      <c r="F69" s="169">
        <v>61.113663000000003</v>
      </c>
      <c r="G69" s="169">
        <v>748138300</v>
      </c>
      <c r="H69" s="53">
        <f t="shared" si="3"/>
        <v>-7.5268888305290216E-2</v>
      </c>
      <c r="I69" s="53">
        <f t="shared" si="2"/>
        <v>-0.25073564742711341</v>
      </c>
      <c r="K69" s="355">
        <v>38418</v>
      </c>
      <c r="L69" s="169">
        <v>24</v>
      </c>
      <c r="M69" s="169">
        <v>24.25</v>
      </c>
      <c r="N69" s="169">
        <v>22.212499999999999</v>
      </c>
      <c r="O69" s="169">
        <v>22.575001</v>
      </c>
      <c r="P69" s="169">
        <v>10.975985</v>
      </c>
      <c r="Q69" s="169">
        <v>29088000</v>
      </c>
      <c r="R69" s="53">
        <f t="shared" si="4"/>
        <v>-5.4450167965406804E-2</v>
      </c>
      <c r="S69" s="146" t="e">
        <f>(P69/P68)*('16. câmbio USD-BRL'!O69/'16. câmbio USD-BRL'!O68)^-1 -1</f>
        <v>#VALUE!</v>
      </c>
    </row>
    <row r="70" spans="1:19" x14ac:dyDescent="0.2">
      <c r="A70" s="355">
        <v>44805</v>
      </c>
      <c r="B70" s="169">
        <v>63.98</v>
      </c>
      <c r="C70" s="169">
        <v>72.900002000000001</v>
      </c>
      <c r="D70" s="169">
        <v>61.900002000000001</v>
      </c>
      <c r="E70" s="169">
        <v>72.040001000000004</v>
      </c>
      <c r="F70" s="169">
        <v>71.795647000000002</v>
      </c>
      <c r="G70" s="169">
        <v>758090000</v>
      </c>
      <c r="H70" s="53">
        <f t="shared" si="3"/>
        <v>0.1747888029555682</v>
      </c>
      <c r="I70" s="53">
        <f t="shared" si="2"/>
        <v>0.13930791099751905</v>
      </c>
      <c r="K70" s="355">
        <v>38425</v>
      </c>
      <c r="L70" s="169">
        <v>22.575001</v>
      </c>
      <c r="M70" s="169">
        <v>22.9375</v>
      </c>
      <c r="N70" s="169">
        <v>21.5</v>
      </c>
      <c r="O70" s="169">
        <v>22.532499000000001</v>
      </c>
      <c r="P70" s="169">
        <v>10.955317000000001</v>
      </c>
      <c r="Q70" s="169">
        <v>36012800</v>
      </c>
      <c r="R70" s="53">
        <f t="shared" si="4"/>
        <v>-1.883020066080543E-3</v>
      </c>
      <c r="S70" s="146" t="e">
        <f>(P70/P69)*('16. câmbio USD-BRL'!O70/'16. câmbio USD-BRL'!O69)^-1 -1</f>
        <v>#VALUE!</v>
      </c>
    </row>
    <row r="71" spans="1:19" x14ac:dyDescent="0.2">
      <c r="A71" s="355">
        <v>44835</v>
      </c>
      <c r="B71" s="169">
        <v>73.239998</v>
      </c>
      <c r="C71" s="169">
        <v>79.440002000000007</v>
      </c>
      <c r="D71" s="169">
        <v>65.519997000000004</v>
      </c>
      <c r="E71" s="169">
        <v>67.129997000000003</v>
      </c>
      <c r="F71" s="169">
        <v>66.902298000000002</v>
      </c>
      <c r="G71" s="169">
        <v>829629000</v>
      </c>
      <c r="H71" s="53">
        <f t="shared" si="3"/>
        <v>-6.8156625150268546E-2</v>
      </c>
      <c r="I71" s="53">
        <f t="shared" si="2"/>
        <v>2.3935217032909462E-2</v>
      </c>
      <c r="K71" s="355">
        <v>38432</v>
      </c>
      <c r="L71" s="169">
        <v>22.92</v>
      </c>
      <c r="M71" s="169">
        <v>23.075001</v>
      </c>
      <c r="N71" s="169">
        <v>20.825001</v>
      </c>
      <c r="O71" s="169">
        <v>21.575001</v>
      </c>
      <c r="P71" s="169">
        <v>10.489784</v>
      </c>
      <c r="Q71" s="169">
        <v>20204800</v>
      </c>
      <c r="R71" s="53">
        <f t="shared" si="4"/>
        <v>-4.2493795478487861E-2</v>
      </c>
      <c r="S71" s="146" t="e">
        <f>(P71/P70)*('16. câmbio USD-BRL'!O71/'16. câmbio USD-BRL'!O70)^-1 -1</f>
        <v>#VALUE!</v>
      </c>
    </row>
    <row r="72" spans="1:19" x14ac:dyDescent="0.2">
      <c r="A72" s="355">
        <v>44866</v>
      </c>
      <c r="B72" s="169">
        <v>69.449996999999996</v>
      </c>
      <c r="C72" s="169">
        <v>86.620002999999997</v>
      </c>
      <c r="D72" s="169">
        <v>66.580001999999993</v>
      </c>
      <c r="E72" s="169">
        <v>85.709998999999996</v>
      </c>
      <c r="F72" s="169">
        <v>85.419280999999998</v>
      </c>
      <c r="G72" s="169">
        <v>759204900</v>
      </c>
      <c r="H72" s="53">
        <f t="shared" si="3"/>
        <v>0.27677648681066236</v>
      </c>
      <c r="I72" s="53">
        <f t="shared" si="2"/>
        <v>0.33836110834655519</v>
      </c>
      <c r="K72" s="355">
        <v>38439</v>
      </c>
      <c r="L72" s="169">
        <v>21.75</v>
      </c>
      <c r="M72" s="169">
        <v>21.870000999999998</v>
      </c>
      <c r="N72" s="169">
        <v>20.002500999999999</v>
      </c>
      <c r="O72" s="169">
        <v>21.125</v>
      </c>
      <c r="P72" s="169">
        <v>10.270992</v>
      </c>
      <c r="Q72" s="169">
        <v>28180800</v>
      </c>
      <c r="R72" s="53">
        <f t="shared" si="4"/>
        <v>-2.0857626811000118E-2</v>
      </c>
      <c r="S72" s="146" t="e">
        <f>(P72/P71)*('16. câmbio USD-BRL'!O72/'16. câmbio USD-BRL'!O71)^-1 -1</f>
        <v>#VALUE!</v>
      </c>
    </row>
    <row r="73" spans="1:19" x14ac:dyDescent="0.2">
      <c r="A73" s="355">
        <v>44896</v>
      </c>
      <c r="B73" s="169">
        <v>86.419998000000007</v>
      </c>
      <c r="C73" s="169">
        <v>90.209998999999996</v>
      </c>
      <c r="D73" s="169">
        <v>83.860000999999997</v>
      </c>
      <c r="E73" s="169">
        <v>88.879997000000003</v>
      </c>
      <c r="F73" s="169">
        <v>88.578522000000007</v>
      </c>
      <c r="G73" s="169">
        <v>620397900</v>
      </c>
      <c r="H73" s="53">
        <f t="shared" si="3"/>
        <v>3.6985104100794475E-2</v>
      </c>
      <c r="I73" s="53">
        <f t="shared" si="2"/>
        <v>0.2327726541133488</v>
      </c>
      <c r="K73" s="355">
        <v>38446</v>
      </c>
      <c r="L73" s="169">
        <v>20.950001</v>
      </c>
      <c r="M73" s="169">
        <v>20.950001</v>
      </c>
      <c r="N73" s="169">
        <v>19.924999</v>
      </c>
      <c r="O73" s="169">
        <v>20.375</v>
      </c>
      <c r="P73" s="169">
        <v>9.9063409999999994</v>
      </c>
      <c r="Q73" s="169">
        <v>25027200</v>
      </c>
      <c r="R73" s="53">
        <f t="shared" si="4"/>
        <v>-3.5502997178850859E-2</v>
      </c>
      <c r="S73" s="146" t="e">
        <f>(P73/P72)*('16. câmbio USD-BRL'!O73/'16. câmbio USD-BRL'!O72)^-1 -1</f>
        <v>#VALUE!</v>
      </c>
    </row>
    <row r="74" spans="1:19" x14ac:dyDescent="0.2">
      <c r="A74" s="355">
        <v>44927</v>
      </c>
      <c r="B74" s="169">
        <v>88.68</v>
      </c>
      <c r="C74" s="169">
        <v>98.290001000000004</v>
      </c>
      <c r="D74" s="169">
        <v>87.949996999999996</v>
      </c>
      <c r="E74" s="169">
        <v>94.510002</v>
      </c>
      <c r="F74" s="169">
        <v>94.510002</v>
      </c>
      <c r="G74" s="169">
        <v>482054400</v>
      </c>
      <c r="H74" s="53">
        <f t="shared" si="3"/>
        <v>6.696295971161037E-2</v>
      </c>
      <c r="I74" s="53">
        <f t="shared" si="2"/>
        <v>0.28084163178922261</v>
      </c>
      <c r="K74" s="355">
        <v>38453</v>
      </c>
      <c r="L74" s="169">
        <v>20.399999999999999</v>
      </c>
      <c r="M74" s="169">
        <v>20.41</v>
      </c>
      <c r="N74" s="169">
        <v>17.475000000000001</v>
      </c>
      <c r="O74" s="169">
        <v>17.875</v>
      </c>
      <c r="P74" s="169">
        <v>8.690842</v>
      </c>
      <c r="Q74" s="169">
        <v>55944000</v>
      </c>
      <c r="R74" s="53">
        <f t="shared" si="4"/>
        <v>-0.12269908738251589</v>
      </c>
      <c r="S74" s="146" t="e">
        <f>(P74/P73)*('16. câmbio USD-BRL'!O74/'16. câmbio USD-BRL'!O73)^-1 -1</f>
        <v>#VALUE!</v>
      </c>
    </row>
    <row r="75" spans="1:19" x14ac:dyDescent="0.2">
      <c r="A75" s="355">
        <v>44958</v>
      </c>
      <c r="B75" s="169">
        <v>95.199996999999996</v>
      </c>
      <c r="C75" s="169">
        <v>95.199996999999996</v>
      </c>
      <c r="D75" s="169">
        <v>83.650002000000001</v>
      </c>
      <c r="E75" s="169">
        <v>85.32</v>
      </c>
      <c r="F75" s="169">
        <v>85.32</v>
      </c>
      <c r="G75" s="169">
        <v>384190600</v>
      </c>
      <c r="H75" s="53">
        <f t="shared" si="3"/>
        <v>-9.7238406576269143E-2</v>
      </c>
      <c r="I75" s="53">
        <f t="shared" si="2"/>
        <v>1.3324191720746947E-2</v>
      </c>
      <c r="K75" s="355">
        <v>38460</v>
      </c>
      <c r="L75" s="169">
        <v>17.774999999999999</v>
      </c>
      <c r="M75" s="169">
        <v>18.75</v>
      </c>
      <c r="N75" s="169">
        <v>17.549999</v>
      </c>
      <c r="O75" s="169">
        <v>18.075001</v>
      </c>
      <c r="P75" s="169">
        <v>8.7880769999999995</v>
      </c>
      <c r="Q75" s="169">
        <v>39937600</v>
      </c>
      <c r="R75" s="53">
        <f t="shared" si="4"/>
        <v>1.1188213984329565E-2</v>
      </c>
      <c r="S75" s="146" t="e">
        <f>(P75/P74)*('16. câmbio USD-BRL'!O75/'16. câmbio USD-BRL'!O74)^-1 -1</f>
        <v>#VALUE!</v>
      </c>
    </row>
    <row r="76" spans="1:19" x14ac:dyDescent="0.2">
      <c r="A76" s="355">
        <v>44986</v>
      </c>
      <c r="B76" s="169">
        <v>87.769997000000004</v>
      </c>
      <c r="C76" s="169">
        <v>90.300003000000004</v>
      </c>
      <c r="D76" s="169">
        <v>84.800003000000004</v>
      </c>
      <c r="E76" s="169">
        <v>86.110000999999997</v>
      </c>
      <c r="F76" s="169">
        <v>86.110000999999997</v>
      </c>
      <c r="G76" s="169">
        <v>142912500</v>
      </c>
      <c r="H76" s="53">
        <f t="shared" si="3"/>
        <v>9.2592709798406947E-3</v>
      </c>
      <c r="I76" s="53">
        <f>F76/F64-1</f>
        <v>-1.2809855291867178E-2</v>
      </c>
      <c r="K76" s="355">
        <v>38467</v>
      </c>
      <c r="L76" s="169">
        <v>18.049999</v>
      </c>
      <c r="M76" s="169">
        <v>18.717500999999999</v>
      </c>
      <c r="N76" s="169">
        <v>16.674999</v>
      </c>
      <c r="O76" s="169">
        <v>17.125</v>
      </c>
      <c r="P76" s="169">
        <v>8.3261869999999991</v>
      </c>
      <c r="Q76" s="169">
        <v>46353600</v>
      </c>
      <c r="R76" s="53">
        <f t="shared" si="4"/>
        <v>-5.2558711080933906E-2</v>
      </c>
      <c r="S76" s="146" t="e">
        <f>(P76/P75)*('16. câmbio USD-BRL'!O76/'16. câmbio USD-BRL'!O75)^-1 -1</f>
        <v>#VALUE!</v>
      </c>
    </row>
    <row r="77" spans="1:19" x14ac:dyDescent="0.2">
      <c r="K77" s="355">
        <v>38474</v>
      </c>
      <c r="L77" s="169">
        <v>17.299999</v>
      </c>
      <c r="M77" s="169">
        <v>17.649999999999999</v>
      </c>
      <c r="N77" s="169">
        <v>16.662500000000001</v>
      </c>
      <c r="O77" s="169">
        <v>17.350000000000001</v>
      </c>
      <c r="P77" s="169">
        <v>8.4355820000000001</v>
      </c>
      <c r="Q77" s="169">
        <v>26515200</v>
      </c>
      <c r="R77" s="53">
        <f t="shared" si="4"/>
        <v>1.3138667195440323E-2</v>
      </c>
      <c r="S77" s="146" t="e">
        <f>(P77/P76)*('16. câmbio USD-BRL'!O77/'16. câmbio USD-BRL'!O76)^-1 -1</f>
        <v>#VALUE!</v>
      </c>
    </row>
    <row r="78" spans="1:19" x14ac:dyDescent="0.2">
      <c r="K78" s="355">
        <v>38481</v>
      </c>
      <c r="L78" s="169">
        <v>17.549999</v>
      </c>
      <c r="M78" s="169">
        <v>17.75</v>
      </c>
      <c r="N78" s="169">
        <v>15.547499999999999</v>
      </c>
      <c r="O78" s="169">
        <v>16</v>
      </c>
      <c r="P78" s="169">
        <v>7.7792120000000002</v>
      </c>
      <c r="Q78" s="169">
        <v>39910400</v>
      </c>
      <c r="R78" s="53">
        <f t="shared" si="4"/>
        <v>-7.7809687582907738E-2</v>
      </c>
      <c r="S78" s="146" t="e">
        <f>(P78/P77)*('16. câmbio USD-BRL'!O78/'16. câmbio USD-BRL'!O77)^-1 -1</f>
        <v>#VALUE!</v>
      </c>
    </row>
    <row r="79" spans="1:19" x14ac:dyDescent="0.2">
      <c r="K79" s="355">
        <v>38488</v>
      </c>
      <c r="L79" s="169">
        <v>16</v>
      </c>
      <c r="M79" s="169">
        <v>17.924999</v>
      </c>
      <c r="N79" s="169">
        <v>15.75</v>
      </c>
      <c r="O79" s="169">
        <v>17.350000000000001</v>
      </c>
      <c r="P79" s="169">
        <v>8.4355820000000001</v>
      </c>
      <c r="Q79" s="169">
        <v>22920000</v>
      </c>
      <c r="R79" s="53">
        <f t="shared" si="4"/>
        <v>8.4374869845428968E-2</v>
      </c>
      <c r="S79" s="146" t="e">
        <f>(P79/P78)*('16. câmbio USD-BRL'!O79/'16. câmbio USD-BRL'!O78)^-1 -1</f>
        <v>#VALUE!</v>
      </c>
    </row>
    <row r="80" spans="1:19" x14ac:dyDescent="0.2">
      <c r="K80" s="355">
        <v>38495</v>
      </c>
      <c r="L80" s="169">
        <v>17.212499999999999</v>
      </c>
      <c r="M80" s="169">
        <v>17.912500000000001</v>
      </c>
      <c r="N80" s="169">
        <v>17.1875</v>
      </c>
      <c r="O80" s="169">
        <v>17.66</v>
      </c>
      <c r="P80" s="169">
        <v>8.5863060000000004</v>
      </c>
      <c r="Q80" s="169">
        <v>14008000</v>
      </c>
      <c r="R80" s="53">
        <f t="shared" si="4"/>
        <v>1.7867646832192552E-2</v>
      </c>
      <c r="S80" s="146" t="e">
        <f>(P80/P79)*('16. câmbio USD-BRL'!O80/'16. câmbio USD-BRL'!O79)^-1 -1</f>
        <v>#VALUE!</v>
      </c>
    </row>
    <row r="81" spans="11:19" x14ac:dyDescent="0.2">
      <c r="K81" s="355">
        <v>38502</v>
      </c>
      <c r="L81" s="169">
        <v>17.662500000000001</v>
      </c>
      <c r="M81" s="169">
        <v>18.3325</v>
      </c>
      <c r="N81" s="169">
        <v>17.375</v>
      </c>
      <c r="O81" s="169">
        <v>18.237499</v>
      </c>
      <c r="P81" s="169">
        <v>8.8670860000000005</v>
      </c>
      <c r="Q81" s="169">
        <v>27881600</v>
      </c>
      <c r="R81" s="53">
        <f t="shared" si="4"/>
        <v>3.2700907701169735E-2</v>
      </c>
      <c r="S81" s="146" t="e">
        <f>(P81/P80)*('16. câmbio USD-BRL'!O81/'16. câmbio USD-BRL'!O80)^-1 -1</f>
        <v>#VALUE!</v>
      </c>
    </row>
    <row r="82" spans="11:19" x14ac:dyDescent="0.2">
      <c r="K82" s="355">
        <v>38509</v>
      </c>
      <c r="L82" s="169">
        <v>17.899999999999999</v>
      </c>
      <c r="M82" s="169">
        <v>18.024999999999999</v>
      </c>
      <c r="N82" s="169">
        <v>16.924999</v>
      </c>
      <c r="O82" s="169">
        <v>17.399999999999999</v>
      </c>
      <c r="P82" s="169">
        <v>8.4598940000000002</v>
      </c>
      <c r="Q82" s="169">
        <v>23556800</v>
      </c>
      <c r="R82" s="53">
        <f t="shared" si="4"/>
        <v>-4.5921737986977962E-2</v>
      </c>
      <c r="S82" s="146" t="e">
        <f>(P82/P81)*('16. câmbio USD-BRL'!O82/'16. câmbio USD-BRL'!O81)^-1 -1</f>
        <v>#VALUE!</v>
      </c>
    </row>
    <row r="83" spans="11:19" x14ac:dyDescent="0.2">
      <c r="K83" s="355">
        <v>38516</v>
      </c>
      <c r="L83" s="169">
        <v>17.5</v>
      </c>
      <c r="M83" s="169">
        <v>18.575001</v>
      </c>
      <c r="N83" s="169">
        <v>16.850000000000001</v>
      </c>
      <c r="O83" s="169">
        <v>18.447500000000002</v>
      </c>
      <c r="P83" s="169">
        <v>8.9691899999999993</v>
      </c>
      <c r="Q83" s="169">
        <v>27724800</v>
      </c>
      <c r="R83" s="53">
        <f t="shared" si="4"/>
        <v>6.0201227107573585E-2</v>
      </c>
      <c r="S83" s="146" t="e">
        <f>(P83/P82)*('16. câmbio USD-BRL'!O83/'16. câmbio USD-BRL'!O82)^-1 -1</f>
        <v>#VALUE!</v>
      </c>
    </row>
    <row r="84" spans="11:19" x14ac:dyDescent="0.2">
      <c r="K84" s="355">
        <v>38523</v>
      </c>
      <c r="L84" s="169">
        <v>18.25</v>
      </c>
      <c r="M84" s="169">
        <v>18.362499</v>
      </c>
      <c r="N84" s="169">
        <v>16.637501</v>
      </c>
      <c r="O84" s="169">
        <v>16.75</v>
      </c>
      <c r="P84" s="169">
        <v>8.1438649999999999</v>
      </c>
      <c r="Q84" s="169">
        <v>27185600</v>
      </c>
      <c r="R84" s="53">
        <f t="shared" si="4"/>
        <v>-9.2017785329555846E-2</v>
      </c>
      <c r="S84" s="146" t="e">
        <f>(P84/P83)*('16. câmbio USD-BRL'!O84/'16. câmbio USD-BRL'!O83)^-1 -1</f>
        <v>#VALUE!</v>
      </c>
    </row>
    <row r="85" spans="11:19" x14ac:dyDescent="0.2">
      <c r="K85" s="355">
        <v>38530</v>
      </c>
      <c r="L85" s="169">
        <v>16.752500999999999</v>
      </c>
      <c r="M85" s="169">
        <v>17.799999</v>
      </c>
      <c r="N85" s="169">
        <v>16.549999</v>
      </c>
      <c r="O85" s="169">
        <v>17.622499000000001</v>
      </c>
      <c r="P85" s="169">
        <v>8.5680730000000001</v>
      </c>
      <c r="Q85" s="169">
        <v>24574400</v>
      </c>
      <c r="R85" s="53">
        <f t="shared" si="4"/>
        <v>5.2089272108513551E-2</v>
      </c>
      <c r="S85" s="146" t="e">
        <f>(P85/P84)*('16. câmbio USD-BRL'!O85/'16. câmbio USD-BRL'!O84)^-1 -1</f>
        <v>#VALUE!</v>
      </c>
    </row>
    <row r="86" spans="11:19" x14ac:dyDescent="0.2">
      <c r="K86" s="355">
        <v>38537</v>
      </c>
      <c r="L86" s="169">
        <v>17.25</v>
      </c>
      <c r="M86" s="169">
        <v>18.625</v>
      </c>
      <c r="N86" s="169">
        <v>17.25</v>
      </c>
      <c r="O86" s="169">
        <v>18.450001</v>
      </c>
      <c r="P86" s="169">
        <v>8.9704060000000005</v>
      </c>
      <c r="Q86" s="169">
        <v>30304000</v>
      </c>
      <c r="R86" s="53">
        <f t="shared" si="4"/>
        <v>4.6957232974088825E-2</v>
      </c>
      <c r="S86" s="146" t="e">
        <f>(P86/P85)*('16. câmbio USD-BRL'!O86/'16. câmbio USD-BRL'!O85)^-1 -1</f>
        <v>#VALUE!</v>
      </c>
    </row>
    <row r="87" spans="11:19" x14ac:dyDescent="0.2">
      <c r="K87" s="355">
        <v>38544</v>
      </c>
      <c r="L87" s="169">
        <v>18.625</v>
      </c>
      <c r="M87" s="169">
        <v>18.864999999999998</v>
      </c>
      <c r="N87" s="169">
        <v>18.075001</v>
      </c>
      <c r="O87" s="169">
        <v>18.125</v>
      </c>
      <c r="P87" s="169">
        <v>8.8123919999999991</v>
      </c>
      <c r="Q87" s="169">
        <v>30478400</v>
      </c>
      <c r="R87" s="53">
        <f t="shared" si="4"/>
        <v>-1.761503325490521E-2</v>
      </c>
      <c r="S87" s="146" t="e">
        <f>(P87/P86)*('16. câmbio USD-BRL'!O87/'16. câmbio USD-BRL'!O86)^-1 -1</f>
        <v>#VALUE!</v>
      </c>
    </row>
    <row r="88" spans="11:19" x14ac:dyDescent="0.2">
      <c r="K88" s="355">
        <v>38551</v>
      </c>
      <c r="L88" s="169">
        <v>18.125</v>
      </c>
      <c r="M88" s="169">
        <v>19.799999</v>
      </c>
      <c r="N88" s="169">
        <v>17.799999</v>
      </c>
      <c r="O88" s="169">
        <v>19.774999999999999</v>
      </c>
      <c r="P88" s="169">
        <v>9.6146200000000004</v>
      </c>
      <c r="Q88" s="169">
        <v>40595200</v>
      </c>
      <c r="R88" s="53">
        <f t="shared" si="4"/>
        <v>9.1034080190713462E-2</v>
      </c>
      <c r="S88" s="146" t="e">
        <f>(P88/P87)*('16. câmbio USD-BRL'!O88/'16. câmbio USD-BRL'!O87)^-1 -1</f>
        <v>#VALUE!</v>
      </c>
    </row>
    <row r="89" spans="11:19" x14ac:dyDescent="0.2">
      <c r="K89" s="355">
        <v>38558</v>
      </c>
      <c r="L89" s="169">
        <v>19.477501</v>
      </c>
      <c r="M89" s="169">
        <v>19.9175</v>
      </c>
      <c r="N89" s="169">
        <v>19.25</v>
      </c>
      <c r="O89" s="169">
        <v>19.622499000000001</v>
      </c>
      <c r="P89" s="169">
        <v>9.5404730000000004</v>
      </c>
      <c r="Q89" s="169">
        <v>23307200</v>
      </c>
      <c r="R89" s="53">
        <f t="shared" si="4"/>
        <v>-7.711901250387454E-3</v>
      </c>
      <c r="S89" s="146" t="e">
        <f>(P89/P88)*('16. câmbio USD-BRL'!O89/'16. câmbio USD-BRL'!O88)^-1 -1</f>
        <v>#VALUE!</v>
      </c>
    </row>
    <row r="90" spans="11:19" x14ac:dyDescent="0.2">
      <c r="K90" s="355">
        <v>38565</v>
      </c>
      <c r="L90" s="169">
        <v>19.375</v>
      </c>
      <c r="M90" s="169">
        <v>20.3125</v>
      </c>
      <c r="N90" s="169">
        <v>19.305</v>
      </c>
      <c r="O90" s="169">
        <v>19.625</v>
      </c>
      <c r="P90" s="169">
        <v>9.5416899999999991</v>
      </c>
      <c r="Q90" s="169">
        <v>26572800</v>
      </c>
      <c r="R90" s="53">
        <f t="shared" si="4"/>
        <v>1.2756180956641217E-4</v>
      </c>
      <c r="S90" s="146" t="e">
        <f>(P90/P89)*('16. câmbio USD-BRL'!O90/'16. câmbio USD-BRL'!O89)^-1 -1</f>
        <v>#VALUE!</v>
      </c>
    </row>
    <row r="91" spans="11:19" x14ac:dyDescent="0.2">
      <c r="K91" s="355">
        <v>38572</v>
      </c>
      <c r="L91" s="169">
        <v>19.75</v>
      </c>
      <c r="M91" s="169">
        <v>21.172501</v>
      </c>
      <c r="N91" s="169">
        <v>19.625</v>
      </c>
      <c r="O91" s="169">
        <v>20.549999</v>
      </c>
      <c r="P91" s="169">
        <v>9.9914249999999996</v>
      </c>
      <c r="Q91" s="169">
        <v>37792000</v>
      </c>
      <c r="R91" s="53">
        <f t="shared" si="4"/>
        <v>4.7133683865227205E-2</v>
      </c>
      <c r="S91" s="146" t="e">
        <f>(P91/P90)*('16. câmbio USD-BRL'!O91/'16. câmbio USD-BRL'!O90)^-1 -1</f>
        <v>#VALUE!</v>
      </c>
    </row>
    <row r="92" spans="11:19" x14ac:dyDescent="0.2">
      <c r="K92" s="355">
        <v>38579</v>
      </c>
      <c r="L92" s="169">
        <v>20.75</v>
      </c>
      <c r="M92" s="169">
        <v>20.75</v>
      </c>
      <c r="N92" s="169">
        <v>19.677499999999998</v>
      </c>
      <c r="O92" s="169">
        <v>20.297501</v>
      </c>
      <c r="P92" s="169">
        <v>9.8686600000000002</v>
      </c>
      <c r="Q92" s="169">
        <v>41432000</v>
      </c>
      <c r="R92" s="53">
        <f t="shared" si="4"/>
        <v>-1.2287036133484364E-2</v>
      </c>
      <c r="S92" s="146" t="e">
        <f>(P92/P91)*('16. câmbio USD-BRL'!O92/'16. câmbio USD-BRL'!O91)^-1 -1</f>
        <v>#VALUE!</v>
      </c>
    </row>
    <row r="93" spans="11:19" x14ac:dyDescent="0.2">
      <c r="K93" s="355">
        <v>38586</v>
      </c>
      <c r="L93" s="169">
        <v>20.497499000000001</v>
      </c>
      <c r="M93" s="169">
        <v>20.75</v>
      </c>
      <c r="N93" s="169">
        <v>19.712499999999999</v>
      </c>
      <c r="O93" s="169">
        <v>20.125</v>
      </c>
      <c r="P93" s="169">
        <v>9.7847899999999992</v>
      </c>
      <c r="Q93" s="169">
        <v>29614400</v>
      </c>
      <c r="R93" s="53">
        <f t="shared" si="4"/>
        <v>-8.4986208867263713E-3</v>
      </c>
      <c r="S93" s="146" t="e">
        <f>(P93/P92)*('16. câmbio USD-BRL'!O93/'16. câmbio USD-BRL'!O92)^-1 -1</f>
        <v>#VALUE!</v>
      </c>
    </row>
    <row r="94" spans="11:19" x14ac:dyDescent="0.2">
      <c r="K94" s="355">
        <v>38593</v>
      </c>
      <c r="L94" s="169">
        <v>20</v>
      </c>
      <c r="M94" s="169">
        <v>21</v>
      </c>
      <c r="N94" s="169">
        <v>19.9175</v>
      </c>
      <c r="O94" s="169">
        <v>20.9375</v>
      </c>
      <c r="P94" s="169">
        <v>10.179828000000001</v>
      </c>
      <c r="Q94" s="169">
        <v>26105600</v>
      </c>
      <c r="R94" s="53">
        <f t="shared" si="4"/>
        <v>4.0372660016208872E-2</v>
      </c>
      <c r="S94" s="146" t="e">
        <f>(P94/P93)*('16. câmbio USD-BRL'!O94/'16. câmbio USD-BRL'!O93)^-1 -1</f>
        <v>#VALUE!</v>
      </c>
    </row>
    <row r="95" spans="11:19" x14ac:dyDescent="0.2">
      <c r="K95" s="355">
        <v>38600</v>
      </c>
      <c r="L95" s="169">
        <v>21</v>
      </c>
      <c r="M95" s="169">
        <v>21.537500000000001</v>
      </c>
      <c r="N95" s="169">
        <v>20.912500000000001</v>
      </c>
      <c r="O95" s="169">
        <v>21.487499</v>
      </c>
      <c r="P95" s="169">
        <v>10.447236999999999</v>
      </c>
      <c r="Q95" s="169">
        <v>26976000</v>
      </c>
      <c r="R95" s="53">
        <f t="shared" si="4"/>
        <v>2.6268518485773829E-2</v>
      </c>
      <c r="S95" s="146" t="e">
        <f>(P95/P94)*('16. câmbio USD-BRL'!O95/'16. câmbio USD-BRL'!O94)^-1 -1</f>
        <v>#VALUE!</v>
      </c>
    </row>
    <row r="96" spans="11:19" x14ac:dyDescent="0.2">
      <c r="K96" s="355">
        <v>38607</v>
      </c>
      <c r="L96" s="169">
        <v>21.377500999999999</v>
      </c>
      <c r="M96" s="169">
        <v>22.9</v>
      </c>
      <c r="N96" s="169">
        <v>21.174999</v>
      </c>
      <c r="O96" s="169">
        <v>22.875</v>
      </c>
      <c r="P96" s="169">
        <v>11.121843</v>
      </c>
      <c r="Q96" s="169">
        <v>45168000</v>
      </c>
      <c r="R96" s="53">
        <f t="shared" si="4"/>
        <v>6.4572671223980249E-2</v>
      </c>
      <c r="S96" s="146" t="e">
        <f>(P96/P95)*('16. câmbio USD-BRL'!O96/'16. câmbio USD-BRL'!O95)^-1 -1</f>
        <v>#VALUE!</v>
      </c>
    </row>
    <row r="97" spans="11:19" x14ac:dyDescent="0.2">
      <c r="K97" s="355">
        <v>38614</v>
      </c>
      <c r="L97" s="169">
        <v>22.875</v>
      </c>
      <c r="M97" s="169">
        <v>24.450001</v>
      </c>
      <c r="N97" s="169">
        <v>22.450001</v>
      </c>
      <c r="O97" s="169">
        <v>24.387501</v>
      </c>
      <c r="P97" s="169">
        <v>11.857222999999999</v>
      </c>
      <c r="Q97" s="169">
        <v>45249600</v>
      </c>
      <c r="R97" s="53">
        <f t="shared" si="4"/>
        <v>6.6120336350728781E-2</v>
      </c>
      <c r="S97" s="146" t="e">
        <f>(P97/P96)*('16. câmbio USD-BRL'!O97/'16. câmbio USD-BRL'!O96)^-1 -1</f>
        <v>#VALUE!</v>
      </c>
    </row>
    <row r="98" spans="11:19" x14ac:dyDescent="0.2">
      <c r="K98" s="355">
        <v>38621</v>
      </c>
      <c r="L98" s="169">
        <v>24.475000000000001</v>
      </c>
      <c r="M98" s="169">
        <v>25.1</v>
      </c>
      <c r="N98" s="169">
        <v>23.887501</v>
      </c>
      <c r="O98" s="169">
        <v>24.75</v>
      </c>
      <c r="P98" s="169">
        <v>12.033467999999999</v>
      </c>
      <c r="Q98" s="169">
        <v>50760000</v>
      </c>
      <c r="R98" s="53">
        <f t="shared" si="4"/>
        <v>1.4863935678699702E-2</v>
      </c>
      <c r="S98" s="146" t="e">
        <f>(P98/P97)*('16. câmbio USD-BRL'!O98/'16. câmbio USD-BRL'!O97)^-1 -1</f>
        <v>#VALUE!</v>
      </c>
    </row>
    <row r="99" spans="11:19" x14ac:dyDescent="0.2">
      <c r="K99" s="355">
        <v>38628</v>
      </c>
      <c r="L99" s="169">
        <v>24.625</v>
      </c>
      <c r="M99" s="169">
        <v>24.674999</v>
      </c>
      <c r="N99" s="169">
        <v>21.4925</v>
      </c>
      <c r="O99" s="169">
        <v>22.125</v>
      </c>
      <c r="P99" s="169">
        <v>10.757191000000001</v>
      </c>
      <c r="Q99" s="169">
        <v>53420800</v>
      </c>
      <c r="R99" s="53">
        <f t="shared" si="4"/>
        <v>-0.10606061361529351</v>
      </c>
      <c r="S99" s="146" t="e">
        <f>(P99/P98)*('16. câmbio USD-BRL'!O99/'16. câmbio USD-BRL'!O98)^-1 -1</f>
        <v>#VALUE!</v>
      </c>
    </row>
    <row r="100" spans="11:19" x14ac:dyDescent="0.2">
      <c r="K100" s="355">
        <v>38635</v>
      </c>
      <c r="L100" s="169">
        <v>22.299999</v>
      </c>
      <c r="M100" s="169">
        <v>23.75</v>
      </c>
      <c r="N100" s="169">
        <v>21.375</v>
      </c>
      <c r="O100" s="169">
        <v>22.497499000000001</v>
      </c>
      <c r="P100" s="169">
        <v>10.938302</v>
      </c>
      <c r="Q100" s="169">
        <v>30744000</v>
      </c>
      <c r="R100" s="53">
        <f t="shared" si="4"/>
        <v>1.6836272591980617E-2</v>
      </c>
      <c r="S100" s="146" t="e">
        <f>(P100/P99)*('16. câmbio USD-BRL'!O100/'16. câmbio USD-BRL'!O99)^-1 -1</f>
        <v>#VALUE!</v>
      </c>
    </row>
    <row r="101" spans="11:19" x14ac:dyDescent="0.2">
      <c r="K101" s="355">
        <v>38642</v>
      </c>
      <c r="L101" s="169">
        <v>22.15</v>
      </c>
      <c r="M101" s="169">
        <v>22.5625</v>
      </c>
      <c r="N101" s="169">
        <v>20.772499</v>
      </c>
      <c r="O101" s="169">
        <v>21.799999</v>
      </c>
      <c r="P101" s="169">
        <v>10.599176999999999</v>
      </c>
      <c r="Q101" s="169">
        <v>44665600</v>
      </c>
      <c r="R101" s="53">
        <f t="shared" si="4"/>
        <v>-3.1003440936262394E-2</v>
      </c>
      <c r="S101" s="146" t="e">
        <f>(P101/P100)*('16. câmbio USD-BRL'!O101/'16. câmbio USD-BRL'!O100)^-1 -1</f>
        <v>#VALUE!</v>
      </c>
    </row>
    <row r="102" spans="11:19" x14ac:dyDescent="0.2">
      <c r="K102" s="355">
        <v>38649</v>
      </c>
      <c r="L102" s="169">
        <v>21.799999</v>
      </c>
      <c r="M102" s="169">
        <v>23.112499</v>
      </c>
      <c r="N102" s="169">
        <v>21.787500000000001</v>
      </c>
      <c r="O102" s="169">
        <v>22.462499999999999</v>
      </c>
      <c r="P102" s="169">
        <v>10.921284999999999</v>
      </c>
      <c r="Q102" s="169">
        <v>42374400</v>
      </c>
      <c r="R102" s="53">
        <f t="shared" si="4"/>
        <v>3.0389906688038204E-2</v>
      </c>
      <c r="S102" s="146" t="e">
        <f>(P102/P101)*('16. câmbio USD-BRL'!O102/'16. câmbio USD-BRL'!O101)^-1 -1</f>
        <v>#VALUE!</v>
      </c>
    </row>
    <row r="103" spans="11:19" x14ac:dyDescent="0.2">
      <c r="K103" s="355">
        <v>38656</v>
      </c>
      <c r="L103" s="169">
        <v>22.5</v>
      </c>
      <c r="M103" s="169">
        <v>24.547501</v>
      </c>
      <c r="N103" s="169">
        <v>22.5</v>
      </c>
      <c r="O103" s="169">
        <v>23.622499000000001</v>
      </c>
      <c r="P103" s="169">
        <v>11.485277</v>
      </c>
      <c r="Q103" s="169">
        <v>33710400</v>
      </c>
      <c r="R103" s="53">
        <f t="shared" si="4"/>
        <v>5.1641542181162903E-2</v>
      </c>
      <c r="S103" s="146" t="e">
        <f>(P103/P102)*('16. câmbio USD-BRL'!O103/'16. câmbio USD-BRL'!O102)^-1 -1</f>
        <v>#VALUE!</v>
      </c>
    </row>
    <row r="104" spans="11:19" x14ac:dyDescent="0.2">
      <c r="K104" s="355">
        <v>38663</v>
      </c>
      <c r="L104" s="169">
        <v>23.700001</v>
      </c>
      <c r="M104" s="169">
        <v>24.049999</v>
      </c>
      <c r="N104" s="169">
        <v>21.9375</v>
      </c>
      <c r="O104" s="169">
        <v>22.825001</v>
      </c>
      <c r="P104" s="169">
        <v>11.097530000000001</v>
      </c>
      <c r="Q104" s="169">
        <v>49027200</v>
      </c>
      <c r="R104" s="53">
        <f t="shared" si="4"/>
        <v>-3.3760352493022117E-2</v>
      </c>
      <c r="S104" s="146" t="e">
        <f>(P104/P103)*('16. câmbio USD-BRL'!O104/'16. câmbio USD-BRL'!O103)^-1 -1</f>
        <v>#VALUE!</v>
      </c>
    </row>
    <row r="105" spans="11:19" x14ac:dyDescent="0.2">
      <c r="K105" s="355">
        <v>38670</v>
      </c>
      <c r="L105" s="169">
        <v>22.75</v>
      </c>
      <c r="M105" s="169">
        <v>23.9</v>
      </c>
      <c r="N105" s="169">
        <v>22.200001</v>
      </c>
      <c r="O105" s="169">
        <v>23.825001</v>
      </c>
      <c r="P105" s="169">
        <v>11.583735000000001</v>
      </c>
      <c r="Q105" s="169">
        <v>15603200</v>
      </c>
      <c r="R105" s="53">
        <f t="shared" si="4"/>
        <v>4.3812001409322621E-2</v>
      </c>
      <c r="S105" s="146" t="e">
        <f>(P105/P104)*('16. câmbio USD-BRL'!O105/'16. câmbio USD-BRL'!O104)^-1 -1</f>
        <v>#VALUE!</v>
      </c>
    </row>
    <row r="106" spans="11:19" x14ac:dyDescent="0.2">
      <c r="K106" s="355">
        <v>38677</v>
      </c>
      <c r="L106" s="169">
        <v>23.75</v>
      </c>
      <c r="M106" s="169">
        <v>25.035</v>
      </c>
      <c r="N106" s="169">
        <v>23.502500999999999</v>
      </c>
      <c r="O106" s="169">
        <v>24.7225</v>
      </c>
      <c r="P106" s="169">
        <v>12.020097</v>
      </c>
      <c r="Q106" s="169">
        <v>23000000</v>
      </c>
      <c r="R106" s="53">
        <f t="shared" si="4"/>
        <v>3.7670233305578726E-2</v>
      </c>
      <c r="S106" s="146" t="e">
        <f>(P106/P105)*('16. câmbio USD-BRL'!O106/'16. câmbio USD-BRL'!O105)^-1 -1</f>
        <v>#VALUE!</v>
      </c>
    </row>
    <row r="107" spans="11:19" x14ac:dyDescent="0.2">
      <c r="K107" s="355">
        <v>38684</v>
      </c>
      <c r="L107" s="169">
        <v>24.7225</v>
      </c>
      <c r="M107" s="169">
        <v>25.225000000000001</v>
      </c>
      <c r="N107" s="169">
        <v>23.674999</v>
      </c>
      <c r="O107" s="169">
        <v>24.712499999999999</v>
      </c>
      <c r="P107" s="169">
        <v>12.015237000000001</v>
      </c>
      <c r="Q107" s="169">
        <v>25838400</v>
      </c>
      <c r="R107" s="53">
        <f t="shared" si="4"/>
        <v>-4.0432286028968534E-4</v>
      </c>
      <c r="S107" s="146" t="e">
        <f>(P107/P106)*('16. câmbio USD-BRL'!O107/'16. câmbio USD-BRL'!O106)^-1 -1</f>
        <v>#VALUE!</v>
      </c>
    </row>
    <row r="108" spans="11:19" x14ac:dyDescent="0.2">
      <c r="K108" s="355">
        <v>38691</v>
      </c>
      <c r="L108" s="169">
        <v>24.274999999999999</v>
      </c>
      <c r="M108" s="169">
        <v>24.712499999999999</v>
      </c>
      <c r="N108" s="169">
        <v>22.799999</v>
      </c>
      <c r="O108" s="169">
        <v>23.697500000000002</v>
      </c>
      <c r="P108" s="169">
        <v>11.521744</v>
      </c>
      <c r="Q108" s="169">
        <v>21856000</v>
      </c>
      <c r="R108" s="53">
        <f t="shared" si="4"/>
        <v>-4.1072265157982346E-2</v>
      </c>
      <c r="S108" s="146" t="e">
        <f>(P108/P107)*('16. câmbio USD-BRL'!O108/'16. câmbio USD-BRL'!O107)^-1 -1</f>
        <v>#VALUE!</v>
      </c>
    </row>
    <row r="109" spans="11:19" x14ac:dyDescent="0.2">
      <c r="K109" s="355">
        <v>38698</v>
      </c>
      <c r="L109" s="169">
        <v>23.700001</v>
      </c>
      <c r="M109" s="169">
        <v>24.200001</v>
      </c>
      <c r="N109" s="169">
        <v>23.247499000000001</v>
      </c>
      <c r="O109" s="169">
        <v>24</v>
      </c>
      <c r="P109" s="169">
        <v>11.668818</v>
      </c>
      <c r="Q109" s="169">
        <v>21268800</v>
      </c>
      <c r="R109" s="53">
        <f t="shared" si="4"/>
        <v>1.2764907812567339E-2</v>
      </c>
      <c r="S109" s="146" t="e">
        <f>(P109/P108)*('16. câmbio USD-BRL'!O109/'16. câmbio USD-BRL'!O108)^-1 -1</f>
        <v>#VALUE!</v>
      </c>
    </row>
    <row r="110" spans="11:19" x14ac:dyDescent="0.2">
      <c r="K110" s="355">
        <v>38705</v>
      </c>
      <c r="L110" s="169">
        <v>23.975000000000001</v>
      </c>
      <c r="M110" s="169">
        <v>24.25</v>
      </c>
      <c r="N110" s="169">
        <v>23.477501</v>
      </c>
      <c r="O110" s="169">
        <v>23.9</v>
      </c>
      <c r="P110" s="169">
        <v>11.620195000000001</v>
      </c>
      <c r="Q110" s="169">
        <v>23459200</v>
      </c>
      <c r="R110" s="53">
        <f t="shared" si="4"/>
        <v>-4.16691733472907E-3</v>
      </c>
      <c r="S110" s="146" t="e">
        <f>(P110/P109)*('16. câmbio USD-BRL'!O110/'16. câmbio USD-BRL'!O109)^-1 -1</f>
        <v>#VALUE!</v>
      </c>
    </row>
    <row r="111" spans="11:19" x14ac:dyDescent="0.2">
      <c r="K111" s="355">
        <v>38712</v>
      </c>
      <c r="L111" s="169">
        <v>23.712499999999999</v>
      </c>
      <c r="M111" s="169">
        <v>24.360001</v>
      </c>
      <c r="N111" s="169">
        <v>23.48</v>
      </c>
      <c r="O111" s="169">
        <v>23.875</v>
      </c>
      <c r="P111" s="169">
        <v>11.608045000000001</v>
      </c>
      <c r="Q111" s="169">
        <v>11886400</v>
      </c>
      <c r="R111" s="53">
        <f t="shared" si="4"/>
        <v>-1.0455934689563851E-3</v>
      </c>
      <c r="S111" s="146" t="e">
        <f>(P111/P110)*('16. câmbio USD-BRL'!O111/'16. câmbio USD-BRL'!O110)^-1 -1</f>
        <v>#VALUE!</v>
      </c>
    </row>
    <row r="112" spans="11:19" x14ac:dyDescent="0.2">
      <c r="K112" s="355">
        <v>38719</v>
      </c>
      <c r="L112" s="169">
        <v>23.950001</v>
      </c>
      <c r="M112" s="169">
        <v>25.712499999999999</v>
      </c>
      <c r="N112" s="169">
        <v>23.375</v>
      </c>
      <c r="O112" s="169">
        <v>25.552499999999998</v>
      </c>
      <c r="P112" s="169">
        <v>12.423646</v>
      </c>
      <c r="Q112" s="169">
        <v>21132800</v>
      </c>
      <c r="R112" s="53">
        <f t="shared" si="4"/>
        <v>7.0261702121244385E-2</v>
      </c>
      <c r="S112" s="146" t="e">
        <f>(P112/P111)*('16. câmbio USD-BRL'!O112/'16. câmbio USD-BRL'!O111)^-1 -1</f>
        <v>#VALUE!</v>
      </c>
    </row>
    <row r="113" spans="11:19" x14ac:dyDescent="0.2">
      <c r="K113" s="355">
        <v>38726</v>
      </c>
      <c r="L113" s="169">
        <v>25.552499999999998</v>
      </c>
      <c r="M113" s="169">
        <v>27.25</v>
      </c>
      <c r="N113" s="169">
        <v>25.075001</v>
      </c>
      <c r="O113" s="169">
        <v>26.802499999999998</v>
      </c>
      <c r="P113" s="169">
        <v>13.031395</v>
      </c>
      <c r="Q113" s="169">
        <v>30968000</v>
      </c>
      <c r="R113" s="53">
        <f t="shared" si="4"/>
        <v>4.8918731264558035E-2</v>
      </c>
      <c r="S113" s="146" t="e">
        <f>(P113/P112)*('16. câmbio USD-BRL'!O113/'16. câmbio USD-BRL'!O112)^-1 -1</f>
        <v>#VALUE!</v>
      </c>
    </row>
    <row r="114" spans="11:19" x14ac:dyDescent="0.2">
      <c r="K114" s="355">
        <v>38733</v>
      </c>
      <c r="L114" s="169">
        <v>26.774999999999999</v>
      </c>
      <c r="M114" s="169">
        <v>27.6875</v>
      </c>
      <c r="N114" s="169">
        <v>26.5</v>
      </c>
      <c r="O114" s="169">
        <v>26.787500000000001</v>
      </c>
      <c r="P114" s="169">
        <v>13.024101999999999</v>
      </c>
      <c r="Q114" s="169">
        <v>25488000</v>
      </c>
      <c r="R114" s="53">
        <f t="shared" si="4"/>
        <v>-5.5964844899569766E-4</v>
      </c>
      <c r="S114" s="146" t="e">
        <f>(P114/P113)*('16. câmbio USD-BRL'!O114/'16. câmbio USD-BRL'!O113)^-1 -1</f>
        <v>#VALUE!</v>
      </c>
    </row>
    <row r="115" spans="11:19" x14ac:dyDescent="0.2">
      <c r="K115" s="355">
        <v>38740</v>
      </c>
      <c r="L115" s="169">
        <v>26.625</v>
      </c>
      <c r="M115" s="169">
        <v>27.875</v>
      </c>
      <c r="N115" s="169">
        <v>26.262501</v>
      </c>
      <c r="O115" s="169">
        <v>27.625</v>
      </c>
      <c r="P115" s="169">
        <v>13.431293999999999</v>
      </c>
      <c r="Q115" s="169">
        <v>26480000</v>
      </c>
      <c r="R115" s="53">
        <f t="shared" si="4"/>
        <v>3.1264497160725657E-2</v>
      </c>
      <c r="S115" s="146" t="e">
        <f>(P115/P114)*('16. câmbio USD-BRL'!O115/'16. câmbio USD-BRL'!O114)^-1 -1</f>
        <v>#VALUE!</v>
      </c>
    </row>
    <row r="116" spans="11:19" x14ac:dyDescent="0.2">
      <c r="K116" s="355">
        <v>38747</v>
      </c>
      <c r="L116" s="169">
        <v>27.5</v>
      </c>
      <c r="M116" s="169">
        <v>28.297501</v>
      </c>
      <c r="N116" s="169">
        <v>26.262501</v>
      </c>
      <c r="O116" s="169">
        <v>26.924999</v>
      </c>
      <c r="P116" s="169">
        <v>13.090956</v>
      </c>
      <c r="Q116" s="169">
        <v>37964800</v>
      </c>
      <c r="R116" s="53">
        <f t="shared" si="4"/>
        <v>-2.5339181764616248E-2</v>
      </c>
      <c r="S116" s="146" t="e">
        <f>(P116/P115)*('16. câmbio USD-BRL'!O116/'16. câmbio USD-BRL'!O115)^-1 -1</f>
        <v>#VALUE!</v>
      </c>
    </row>
    <row r="117" spans="11:19" x14ac:dyDescent="0.2">
      <c r="K117" s="355">
        <v>38754</v>
      </c>
      <c r="L117" s="169">
        <v>27</v>
      </c>
      <c r="M117" s="169">
        <v>27.127500999999999</v>
      </c>
      <c r="N117" s="169">
        <v>24.987499</v>
      </c>
      <c r="O117" s="169">
        <v>25.174999</v>
      </c>
      <c r="P117" s="169">
        <v>12.240100999999999</v>
      </c>
      <c r="Q117" s="169">
        <v>40940800</v>
      </c>
      <c r="R117" s="53">
        <f t="shared" si="4"/>
        <v>-6.4995635154529663E-2</v>
      </c>
      <c r="S117" s="146" t="e">
        <f>(P117/P116)*('16. câmbio USD-BRL'!O117/'16. câmbio USD-BRL'!O116)^-1 -1</f>
        <v>#VALUE!</v>
      </c>
    </row>
    <row r="118" spans="11:19" x14ac:dyDescent="0.2">
      <c r="K118" s="355">
        <v>38761</v>
      </c>
      <c r="L118" s="169">
        <v>25</v>
      </c>
      <c r="M118" s="169">
        <v>25.787500000000001</v>
      </c>
      <c r="N118" s="169">
        <v>24.375</v>
      </c>
      <c r="O118" s="169">
        <v>25.075001</v>
      </c>
      <c r="P118" s="169">
        <v>12.191485</v>
      </c>
      <c r="Q118" s="169">
        <v>56148800</v>
      </c>
      <c r="R118" s="53">
        <f t="shared" si="4"/>
        <v>-3.9718626504796628E-3</v>
      </c>
      <c r="S118" s="146" t="e">
        <f>(P118/P117)*('16. câmbio USD-BRL'!O118/'16. câmbio USD-BRL'!O117)^-1 -1</f>
        <v>#VALUE!</v>
      </c>
    </row>
    <row r="119" spans="11:19" x14ac:dyDescent="0.2">
      <c r="K119" s="355">
        <v>38768</v>
      </c>
      <c r="L119" s="169">
        <v>25</v>
      </c>
      <c r="M119" s="169">
        <v>26.2075</v>
      </c>
      <c r="N119" s="169">
        <v>24.65</v>
      </c>
      <c r="O119" s="169">
        <v>25.975000000000001</v>
      </c>
      <c r="P119" s="169">
        <v>12.629066</v>
      </c>
      <c r="Q119" s="169">
        <v>22392000</v>
      </c>
      <c r="R119" s="53">
        <f t="shared" si="4"/>
        <v>3.5892346174399625E-2</v>
      </c>
      <c r="S119" s="146" t="e">
        <f>(P119/P118)*('16. câmbio USD-BRL'!O119/'16. câmbio USD-BRL'!O118)^-1 -1</f>
        <v>#VALUE!</v>
      </c>
    </row>
    <row r="120" spans="11:19" x14ac:dyDescent="0.2">
      <c r="K120" s="355">
        <v>38775</v>
      </c>
      <c r="L120" s="169">
        <v>25.975000000000001</v>
      </c>
      <c r="M120" s="169">
        <v>25.975000000000001</v>
      </c>
      <c r="N120" s="169">
        <v>24.962499999999999</v>
      </c>
      <c r="O120" s="169">
        <v>25.2225</v>
      </c>
      <c r="P120" s="169">
        <v>12.263199</v>
      </c>
      <c r="Q120" s="169">
        <v>27747200</v>
      </c>
      <c r="R120" s="53">
        <f t="shared" si="4"/>
        <v>-2.8970234220012769E-2</v>
      </c>
      <c r="S120" s="146" t="e">
        <f>(P120/P119)*('16. câmbio USD-BRL'!O120/'16. câmbio USD-BRL'!O119)^-1 -1</f>
        <v>#VALUE!</v>
      </c>
    </row>
    <row r="121" spans="11:19" x14ac:dyDescent="0.2">
      <c r="K121" s="355">
        <v>38782</v>
      </c>
      <c r="L121" s="169">
        <v>25.299999</v>
      </c>
      <c r="M121" s="169">
        <v>25.424999</v>
      </c>
      <c r="N121" s="169">
        <v>22.625</v>
      </c>
      <c r="O121" s="169">
        <v>23.0075</v>
      </c>
      <c r="P121" s="169">
        <v>11.186261</v>
      </c>
      <c r="Q121" s="169">
        <v>55339200</v>
      </c>
      <c r="R121" s="53">
        <f t="shared" ref="R121:R184" si="5">P121/P120-1</f>
        <v>-8.7818684178573636E-2</v>
      </c>
      <c r="S121" s="146" t="e">
        <f>(P121/P120)*('16. câmbio USD-BRL'!O121/'16. câmbio USD-BRL'!O120)^-1 -1</f>
        <v>#VALUE!</v>
      </c>
    </row>
    <row r="122" spans="11:19" x14ac:dyDescent="0.2">
      <c r="K122" s="355">
        <v>38789</v>
      </c>
      <c r="L122" s="169">
        <v>23.184999000000001</v>
      </c>
      <c r="M122" s="169">
        <v>24.174999</v>
      </c>
      <c r="N122" s="169">
        <v>22.887501</v>
      </c>
      <c r="O122" s="169">
        <v>23.875</v>
      </c>
      <c r="P122" s="169">
        <v>11.608045000000001</v>
      </c>
      <c r="Q122" s="169">
        <v>38278400</v>
      </c>
      <c r="R122" s="53">
        <f t="shared" si="5"/>
        <v>3.7705538964270646E-2</v>
      </c>
      <c r="S122" s="146" t="e">
        <f>(P122/P121)*('16. câmbio USD-BRL'!O122/'16. câmbio USD-BRL'!O121)^-1 -1</f>
        <v>#VALUE!</v>
      </c>
    </row>
    <row r="123" spans="11:19" x14ac:dyDescent="0.2">
      <c r="K123" s="355">
        <v>38796</v>
      </c>
      <c r="L123" s="169">
        <v>24</v>
      </c>
      <c r="M123" s="169">
        <v>24.512501</v>
      </c>
      <c r="N123" s="169">
        <v>23.627500999999999</v>
      </c>
      <c r="O123" s="169">
        <v>24.375</v>
      </c>
      <c r="P123" s="169">
        <v>11.851143</v>
      </c>
      <c r="Q123" s="169">
        <v>30376000</v>
      </c>
      <c r="R123" s="53">
        <f t="shared" si="5"/>
        <v>2.0942200000086064E-2</v>
      </c>
      <c r="S123" s="146" t="e">
        <f>(P123/P122)*('16. câmbio USD-BRL'!O123/'16. câmbio USD-BRL'!O122)^-1 -1</f>
        <v>#VALUE!</v>
      </c>
    </row>
    <row r="124" spans="11:19" x14ac:dyDescent="0.2">
      <c r="K124" s="355">
        <v>38803</v>
      </c>
      <c r="L124" s="169">
        <v>24.4</v>
      </c>
      <c r="M124" s="169">
        <v>26.799999</v>
      </c>
      <c r="N124" s="169">
        <v>24.299999</v>
      </c>
      <c r="O124" s="169">
        <v>26.4</v>
      </c>
      <c r="P124" s="169">
        <v>12.835703000000001</v>
      </c>
      <c r="Q124" s="169">
        <v>39926400</v>
      </c>
      <c r="R124" s="53">
        <f t="shared" si="5"/>
        <v>8.3077218796532959E-2</v>
      </c>
      <c r="S124" s="146">
        <f>(P124/P123)*('16. câmbio USD-BRL'!O124/'16. câmbio USD-BRL'!O123)^-1 -1</f>
        <v>7.3981609077957478E-2</v>
      </c>
    </row>
    <row r="125" spans="11:19" x14ac:dyDescent="0.2">
      <c r="K125" s="355">
        <v>38810</v>
      </c>
      <c r="L125" s="169">
        <v>26.4025</v>
      </c>
      <c r="M125" s="169">
        <v>27.067499000000002</v>
      </c>
      <c r="N125" s="169">
        <v>25.85</v>
      </c>
      <c r="O125" s="169">
        <v>26.322500000000002</v>
      </c>
      <c r="P125" s="169">
        <v>12.798022</v>
      </c>
      <c r="Q125" s="169">
        <v>25963200</v>
      </c>
      <c r="R125" s="53">
        <f t="shared" si="5"/>
        <v>-2.9356397542075197E-3</v>
      </c>
      <c r="S125" s="146">
        <f>(P125/P124)*('16. câmbio USD-BRL'!O125/'16. câmbio USD-BRL'!O124)^-1 -1</f>
        <v>1.2007250620401422E-2</v>
      </c>
    </row>
    <row r="126" spans="11:19" x14ac:dyDescent="0.2">
      <c r="K126" s="355">
        <v>38817</v>
      </c>
      <c r="L126" s="169">
        <v>26.002500999999999</v>
      </c>
      <c r="M126" s="169">
        <v>26.274999999999999</v>
      </c>
      <c r="N126" s="169">
        <v>25.127500999999999</v>
      </c>
      <c r="O126" s="169">
        <v>25.700001</v>
      </c>
      <c r="P126" s="169">
        <v>12.495361000000001</v>
      </c>
      <c r="Q126" s="169">
        <v>17073600</v>
      </c>
      <c r="R126" s="53">
        <f t="shared" si="5"/>
        <v>-2.3649045141506897E-2</v>
      </c>
      <c r="S126" s="146">
        <f>(P126/P125)*('16. câmbio USD-BRL'!O126/'16. câmbio USD-BRL'!O125)^-1 -1</f>
        <v>-2.6157537808261355E-2</v>
      </c>
    </row>
    <row r="127" spans="11:19" x14ac:dyDescent="0.2">
      <c r="K127" s="355">
        <v>38824</v>
      </c>
      <c r="L127" s="169">
        <v>25.752500999999999</v>
      </c>
      <c r="M127" s="169">
        <v>26.877500999999999</v>
      </c>
      <c r="N127" s="169">
        <v>25.75</v>
      </c>
      <c r="O127" s="169">
        <v>26.362499</v>
      </c>
      <c r="P127" s="169">
        <v>12.81747</v>
      </c>
      <c r="Q127" s="169">
        <v>31280000</v>
      </c>
      <c r="R127" s="53">
        <f t="shared" si="5"/>
        <v>2.5778286837811137E-2</v>
      </c>
      <c r="S127" s="146">
        <f>(P127/P126)*('16. câmbio USD-BRL'!O127/'16. câmbio USD-BRL'!O126)^-1 -1</f>
        <v>3.6478607870151114E-2</v>
      </c>
    </row>
    <row r="128" spans="11:19" x14ac:dyDescent="0.2">
      <c r="K128" s="355">
        <v>38831</v>
      </c>
      <c r="L128" s="169">
        <v>26.75</v>
      </c>
      <c r="M128" s="169">
        <v>28.137501</v>
      </c>
      <c r="N128" s="169">
        <v>26.375</v>
      </c>
      <c r="O128" s="169">
        <v>26.754999000000002</v>
      </c>
      <c r="P128" s="169">
        <v>13.008298999999999</v>
      </c>
      <c r="Q128" s="169">
        <v>90556800</v>
      </c>
      <c r="R128" s="53">
        <f t="shared" si="5"/>
        <v>1.4888195564335183E-2</v>
      </c>
      <c r="S128" s="146">
        <f>(P128/P127)*('16. câmbio USD-BRL'!O128/'16. câmbio USD-BRL'!O127)^-1 -1</f>
        <v>2.6958079535081447E-2</v>
      </c>
    </row>
    <row r="129" spans="11:19" x14ac:dyDescent="0.2">
      <c r="K129" s="355">
        <v>38838</v>
      </c>
      <c r="L129" s="169">
        <v>26.754999000000002</v>
      </c>
      <c r="M129" s="169">
        <v>28.9575</v>
      </c>
      <c r="N129" s="169">
        <v>26.754999000000002</v>
      </c>
      <c r="O129" s="169">
        <v>28.799999</v>
      </c>
      <c r="P129" s="169">
        <v>14.00258</v>
      </c>
      <c r="Q129" s="169">
        <v>45555200</v>
      </c>
      <c r="R129" s="53">
        <f t="shared" si="5"/>
        <v>7.6434359327072654E-2</v>
      </c>
      <c r="S129" s="146">
        <f>(P129/P128)*('16. câmbio USD-BRL'!O129/'16. câmbio USD-BRL'!O128)^-1 -1</f>
        <v>9.5639581002961549E-2</v>
      </c>
    </row>
    <row r="130" spans="11:19" x14ac:dyDescent="0.2">
      <c r="K130" s="355">
        <v>38845</v>
      </c>
      <c r="L130" s="169">
        <v>28.7775</v>
      </c>
      <c r="M130" s="169">
        <v>30.0625</v>
      </c>
      <c r="N130" s="169">
        <v>28.290001</v>
      </c>
      <c r="O130" s="169">
        <v>28.995000999999998</v>
      </c>
      <c r="P130" s="169">
        <v>14.097394</v>
      </c>
      <c r="Q130" s="169">
        <v>1185667648</v>
      </c>
      <c r="R130" s="53">
        <f t="shared" si="5"/>
        <v>6.7711807395494095E-3</v>
      </c>
      <c r="S130" s="146">
        <f>(P130/P129)*('16. câmbio USD-BRL'!O130/'16. câmbio USD-BRL'!O129)^-1 -1</f>
        <v>-2.6590684474146586E-2</v>
      </c>
    </row>
    <row r="131" spans="11:19" x14ac:dyDescent="0.2">
      <c r="K131" s="355">
        <v>38852</v>
      </c>
      <c r="L131" s="169">
        <v>28.377500999999999</v>
      </c>
      <c r="M131" s="169">
        <v>28.637501</v>
      </c>
      <c r="N131" s="169">
        <v>25.282499000000001</v>
      </c>
      <c r="O131" s="169">
        <v>26.452499</v>
      </c>
      <c r="P131" s="169">
        <v>12.861231</v>
      </c>
      <c r="Q131" s="169">
        <v>1037366352</v>
      </c>
      <c r="R131" s="53">
        <f t="shared" si="5"/>
        <v>-8.7687341362524096E-2</v>
      </c>
      <c r="S131" s="146">
        <f>(P131/P130)*('16. câmbio USD-BRL'!O131/'16. câmbio USD-BRL'!O130)^-1 -1</f>
        <v>-0.1165474823617525</v>
      </c>
    </row>
    <row r="132" spans="11:19" x14ac:dyDescent="0.2">
      <c r="K132" s="355">
        <v>38859</v>
      </c>
      <c r="L132" s="169">
        <v>25.725000000000001</v>
      </c>
      <c r="M132" s="169">
        <v>28.35</v>
      </c>
      <c r="N132" s="169">
        <v>25.15</v>
      </c>
      <c r="O132" s="169">
        <v>27.809999000000001</v>
      </c>
      <c r="P132" s="169">
        <v>13.521242000000001</v>
      </c>
      <c r="Q132" s="169">
        <v>454950920</v>
      </c>
      <c r="R132" s="53">
        <f t="shared" si="5"/>
        <v>5.1317871516342484E-2</v>
      </c>
      <c r="S132" s="146">
        <f>(P132/P131)*('16. câmbio USD-BRL'!O132/'16. câmbio USD-BRL'!O131)^-1 -1</f>
        <v>2.4050261015918561E-2</v>
      </c>
    </row>
    <row r="133" spans="11:19" x14ac:dyDescent="0.2">
      <c r="K133" s="355">
        <v>38866</v>
      </c>
      <c r="L133" s="169">
        <v>27.75</v>
      </c>
      <c r="M133" s="169">
        <v>27.75</v>
      </c>
      <c r="N133" s="169">
        <v>26.200001</v>
      </c>
      <c r="O133" s="169">
        <v>26.93</v>
      </c>
      <c r="P133" s="169">
        <v>13.093389999999999</v>
      </c>
      <c r="Q133" s="169">
        <v>502153056</v>
      </c>
      <c r="R133" s="53">
        <f t="shared" si="5"/>
        <v>-3.1642951143097786E-2</v>
      </c>
      <c r="S133" s="146">
        <f>(P133/P132)*('16. câmbio USD-BRL'!O133/'16. câmbio USD-BRL'!O132)^-1 -1</f>
        <v>-4.3013922930051685E-2</v>
      </c>
    </row>
    <row r="134" spans="11:19" x14ac:dyDescent="0.2">
      <c r="K134" s="355">
        <v>38873</v>
      </c>
      <c r="L134" s="169">
        <v>26.93</v>
      </c>
      <c r="M134" s="169">
        <v>26.93</v>
      </c>
      <c r="N134" s="169">
        <v>23</v>
      </c>
      <c r="O134" s="169">
        <v>24.445</v>
      </c>
      <c r="P134" s="169">
        <v>11.885178</v>
      </c>
      <c r="Q134" s="169">
        <v>514923144</v>
      </c>
      <c r="R134" s="53">
        <f t="shared" si="5"/>
        <v>-9.2276484546782722E-2</v>
      </c>
      <c r="S134" s="146">
        <f>(P134/P133)*('16. câmbio USD-BRL'!O134/'16. câmbio USD-BRL'!O133)^-1 -1</f>
        <v>-8.3319743664213242E-2</v>
      </c>
    </row>
    <row r="135" spans="11:19" x14ac:dyDescent="0.2">
      <c r="K135" s="355">
        <v>38880</v>
      </c>
      <c r="L135" s="169">
        <v>24.65</v>
      </c>
      <c r="M135" s="169">
        <v>24.65</v>
      </c>
      <c r="N135" s="169">
        <v>22.594999000000001</v>
      </c>
      <c r="O135" s="169">
        <v>24.395</v>
      </c>
      <c r="P135" s="169">
        <v>11.860868</v>
      </c>
      <c r="Q135" s="169">
        <v>536797704</v>
      </c>
      <c r="R135" s="53">
        <f t="shared" si="5"/>
        <v>-2.0454047890574589E-3</v>
      </c>
      <c r="S135" s="146">
        <f>(P135/P134)*('16. câmbio USD-BRL'!O135/'16. câmbio USD-BRL'!O134)^-1 -1</f>
        <v>3.8176006661607698E-3</v>
      </c>
    </row>
    <row r="136" spans="11:19" x14ac:dyDescent="0.2">
      <c r="K136" s="355">
        <v>38887</v>
      </c>
      <c r="L136" s="169">
        <v>24.405000999999999</v>
      </c>
      <c r="M136" s="169">
        <v>25.25</v>
      </c>
      <c r="N136" s="169">
        <v>23.34</v>
      </c>
      <c r="O136" s="169">
        <v>24.6</v>
      </c>
      <c r="P136" s="169">
        <v>11.960542</v>
      </c>
      <c r="Q136" s="169">
        <v>634773784</v>
      </c>
      <c r="R136" s="53">
        <f t="shared" si="5"/>
        <v>8.4036008157244435E-3</v>
      </c>
      <c r="S136" s="146">
        <f>(P136/P135)*('16. câmbio USD-BRL'!O136/'16. câmbio USD-BRL'!O135)^-1 -1</f>
        <v>9.4369393240230082E-3</v>
      </c>
    </row>
    <row r="137" spans="11:19" x14ac:dyDescent="0.2">
      <c r="K137" s="355">
        <v>38894</v>
      </c>
      <c r="L137" s="169">
        <v>24.75</v>
      </c>
      <c r="M137" s="169">
        <v>26.200001</v>
      </c>
      <c r="N137" s="169">
        <v>24.215</v>
      </c>
      <c r="O137" s="169">
        <v>26.139999</v>
      </c>
      <c r="P137" s="169">
        <v>12.709291</v>
      </c>
      <c r="Q137" s="169">
        <v>326625060</v>
      </c>
      <c r="R137" s="53">
        <f t="shared" si="5"/>
        <v>6.2601594476237032E-2</v>
      </c>
      <c r="S137" s="146">
        <f>(P137/P136)*('16. câmbio USD-BRL'!O137/'16. câmbio USD-BRL'!O136)^-1 -1</f>
        <v>0.10340470913805855</v>
      </c>
    </row>
    <row r="138" spans="11:19" x14ac:dyDescent="0.2">
      <c r="K138" s="355">
        <v>38901</v>
      </c>
      <c r="L138" s="169">
        <v>26.045000000000002</v>
      </c>
      <c r="M138" s="169">
        <v>26.815000999999999</v>
      </c>
      <c r="N138" s="169">
        <v>25.299999</v>
      </c>
      <c r="O138" s="169">
        <v>25.625</v>
      </c>
      <c r="P138" s="169">
        <v>12.458894000000001</v>
      </c>
      <c r="Q138" s="169">
        <v>293962548</v>
      </c>
      <c r="R138" s="53">
        <f t="shared" si="5"/>
        <v>-1.9701885809365716E-2</v>
      </c>
      <c r="S138" s="146">
        <f>(P138/P137)*('16. câmbio USD-BRL'!O138/'16. câmbio USD-BRL'!O137)^-1 -1</f>
        <v>-2.2325301608888459E-2</v>
      </c>
    </row>
    <row r="139" spans="11:19" x14ac:dyDescent="0.2">
      <c r="K139" s="355">
        <v>38908</v>
      </c>
      <c r="L139" s="169">
        <v>25.725000000000001</v>
      </c>
      <c r="M139" s="169">
        <v>25.895</v>
      </c>
      <c r="N139" s="169">
        <v>24.325001</v>
      </c>
      <c r="O139" s="169">
        <v>24.75</v>
      </c>
      <c r="P139" s="169">
        <v>12.033467999999999</v>
      </c>
      <c r="Q139" s="169">
        <v>383041280</v>
      </c>
      <c r="R139" s="53">
        <f t="shared" si="5"/>
        <v>-3.4146369653678899E-2</v>
      </c>
      <c r="S139" s="146">
        <f>(P139/P138)*('16. câmbio USD-BRL'!O139/'16. câmbio USD-BRL'!O138)^-1 -1</f>
        <v>-1.6717984311418466E-3</v>
      </c>
    </row>
    <row r="140" spans="11:19" x14ac:dyDescent="0.2">
      <c r="K140" s="355">
        <v>38915</v>
      </c>
      <c r="L140" s="169">
        <v>24.549999</v>
      </c>
      <c r="M140" s="169">
        <v>25.690000999999999</v>
      </c>
      <c r="N140" s="169">
        <v>23.4</v>
      </c>
      <c r="O140" s="169">
        <v>23.774999999999999</v>
      </c>
      <c r="P140" s="169">
        <v>11.559422</v>
      </c>
      <c r="Q140" s="169">
        <v>377090336</v>
      </c>
      <c r="R140" s="53">
        <f t="shared" si="5"/>
        <v>-3.9393963568939538E-2</v>
      </c>
      <c r="S140" s="146">
        <f>(P140/P139)*('16. câmbio USD-BRL'!O140/'16. câmbio USD-BRL'!O139)^-1 -1</f>
        <v>-7.9602112416081394E-2</v>
      </c>
    </row>
    <row r="141" spans="11:19" x14ac:dyDescent="0.2">
      <c r="K141" s="355">
        <v>38922</v>
      </c>
      <c r="L141" s="169">
        <v>24</v>
      </c>
      <c r="M141" s="169">
        <v>25.875</v>
      </c>
      <c r="N141" s="169">
        <v>23.665001</v>
      </c>
      <c r="O141" s="169">
        <v>25.75</v>
      </c>
      <c r="P141" s="169">
        <v>12.519667999999999</v>
      </c>
      <c r="Q141" s="169">
        <v>186570824</v>
      </c>
      <c r="R141" s="53">
        <f t="shared" si="5"/>
        <v>8.3070416496603405E-2</v>
      </c>
      <c r="S141" s="146">
        <f>(P141/P140)*('16. câmbio USD-BRL'!O141/'16. câmbio USD-BRL'!O140)^-1 -1</f>
        <v>8.9442590302062364E-2</v>
      </c>
    </row>
    <row r="142" spans="11:19" x14ac:dyDescent="0.2">
      <c r="K142" s="355">
        <v>38929</v>
      </c>
      <c r="L142" s="169">
        <v>25.15</v>
      </c>
      <c r="M142" s="169">
        <v>26.5</v>
      </c>
      <c r="N142" s="169">
        <v>24.799999</v>
      </c>
      <c r="O142" s="169">
        <v>26.299999</v>
      </c>
      <c r="P142" s="169">
        <v>12.787081000000001</v>
      </c>
      <c r="Q142" s="169">
        <v>459036292</v>
      </c>
      <c r="R142" s="53">
        <f t="shared" si="5"/>
        <v>2.1359432214975715E-2</v>
      </c>
      <c r="S142" s="146">
        <f>(P142/P141)*('16. câmbio USD-BRL'!O142/'16. câmbio USD-BRL'!O141)^-1 -1</f>
        <v>2.4467303239696259E-2</v>
      </c>
    </row>
    <row r="143" spans="11:19" x14ac:dyDescent="0.2">
      <c r="K143" s="355">
        <v>38936</v>
      </c>
      <c r="L143" s="169">
        <v>26.299999</v>
      </c>
      <c r="M143" s="169">
        <v>26.299999</v>
      </c>
      <c r="N143" s="169">
        <v>24.094999000000001</v>
      </c>
      <c r="O143" s="169">
        <v>24.200001</v>
      </c>
      <c r="P143" s="169">
        <v>11.766062</v>
      </c>
      <c r="Q143" s="169">
        <v>363272528</v>
      </c>
      <c r="R143" s="53">
        <f t="shared" si="5"/>
        <v>-7.9847699408489015E-2</v>
      </c>
      <c r="S143" s="146">
        <f>(P143/P142)*('16. câmbio USD-BRL'!O143/'16. câmbio USD-BRL'!O142)^-1 -1</f>
        <v>-2.6623907538535163E-2</v>
      </c>
    </row>
    <row r="144" spans="11:19" x14ac:dyDescent="0.2">
      <c r="K144" s="355">
        <v>38943</v>
      </c>
      <c r="L144" s="169">
        <v>24.5</v>
      </c>
      <c r="M144" s="169">
        <v>24.52</v>
      </c>
      <c r="N144" s="169">
        <v>23.280000999999999</v>
      </c>
      <c r="O144" s="169">
        <v>24.174999</v>
      </c>
      <c r="P144" s="169">
        <v>11.753902</v>
      </c>
      <c r="Q144" s="169">
        <v>516044884</v>
      </c>
      <c r="R144" s="53">
        <f t="shared" si="5"/>
        <v>-1.0334808706600196E-3</v>
      </c>
      <c r="S144" s="146">
        <f>(P144/P143)*('16. câmbio USD-BRL'!O144/'16. câmbio USD-BRL'!O143)^-1 -1</f>
        <v>-4.5313003578280941E-2</v>
      </c>
    </row>
    <row r="145" spans="11:19" x14ac:dyDescent="0.2">
      <c r="K145" s="355">
        <v>38950</v>
      </c>
      <c r="L145" s="169">
        <v>24.15</v>
      </c>
      <c r="M145" s="169">
        <v>24.15</v>
      </c>
      <c r="N145" s="169">
        <v>22</v>
      </c>
      <c r="O145" s="169">
        <v>22.67</v>
      </c>
      <c r="P145" s="169">
        <v>11.022171999999999</v>
      </c>
      <c r="Q145" s="169">
        <v>460052824</v>
      </c>
      <c r="R145" s="53">
        <f t="shared" si="5"/>
        <v>-6.2254219917777132E-2</v>
      </c>
      <c r="S145" s="146">
        <f>(P145/P144)*('16. câmbio USD-BRL'!O145/'16. câmbio USD-BRL'!O144)^-1 -1</f>
        <v>-6.6734589866217164E-2</v>
      </c>
    </row>
    <row r="146" spans="11:19" x14ac:dyDescent="0.2">
      <c r="K146" s="355">
        <v>38957</v>
      </c>
      <c r="L146" s="169">
        <v>22.75</v>
      </c>
      <c r="M146" s="169">
        <v>23.895</v>
      </c>
      <c r="N146" s="169">
        <v>22.450001</v>
      </c>
      <c r="O146" s="169">
        <v>23.895</v>
      </c>
      <c r="P146" s="169">
        <v>11.617767000000001</v>
      </c>
      <c r="Q146" s="169">
        <v>412723104</v>
      </c>
      <c r="R146" s="53">
        <f t="shared" si="5"/>
        <v>5.4036082906345539E-2</v>
      </c>
      <c r="S146" s="146">
        <f>(P146/P145)*('16. câmbio USD-BRL'!O146/'16. câmbio USD-BRL'!O145)^-1 -1</f>
        <v>5.8997524131751744E-2</v>
      </c>
    </row>
    <row r="147" spans="11:19" x14ac:dyDescent="0.2">
      <c r="K147" s="355">
        <v>38964</v>
      </c>
      <c r="L147" s="169">
        <v>23.754999000000002</v>
      </c>
      <c r="M147" s="169">
        <v>24.360001</v>
      </c>
      <c r="N147" s="169">
        <v>23.25</v>
      </c>
      <c r="O147" s="169">
        <v>23.305</v>
      </c>
      <c r="P147" s="169">
        <v>11.330909</v>
      </c>
      <c r="Q147" s="169">
        <v>246365910</v>
      </c>
      <c r="R147" s="53">
        <f t="shared" si="5"/>
        <v>-2.4691319769108877E-2</v>
      </c>
      <c r="S147" s="146">
        <f>(P147/P146)*('16. câmbio USD-BRL'!O147/'16. câmbio USD-BRL'!O146)^-1 -1</f>
        <v>-2.754654499469178E-2</v>
      </c>
    </row>
    <row r="148" spans="11:19" x14ac:dyDescent="0.2">
      <c r="K148" s="355">
        <v>38971</v>
      </c>
      <c r="L148" s="169">
        <v>22.355</v>
      </c>
      <c r="M148" s="169">
        <v>23.1</v>
      </c>
      <c r="N148" s="169">
        <v>21.825001</v>
      </c>
      <c r="O148" s="169">
        <v>22.5</v>
      </c>
      <c r="P148" s="169">
        <v>10.939518</v>
      </c>
      <c r="Q148" s="169">
        <v>8346600</v>
      </c>
      <c r="R148" s="53">
        <f t="shared" si="5"/>
        <v>-3.4541888916414409E-2</v>
      </c>
      <c r="S148" s="146">
        <f>(P148/P147)*('16. câmbio USD-BRL'!O148/'16. câmbio USD-BRL'!O147)^-1 -1</f>
        <v>-3.4093047395687304E-2</v>
      </c>
    </row>
    <row r="149" spans="11:19" x14ac:dyDescent="0.2">
      <c r="K149" s="355">
        <v>38978</v>
      </c>
      <c r="L149" s="169">
        <v>22.75</v>
      </c>
      <c r="M149" s="169">
        <v>22.75</v>
      </c>
      <c r="N149" s="169">
        <v>21.67</v>
      </c>
      <c r="O149" s="169">
        <v>22.024999999999999</v>
      </c>
      <c r="P149" s="169">
        <v>10.70857</v>
      </c>
      <c r="Q149" s="169">
        <v>8306800</v>
      </c>
      <c r="R149" s="53">
        <f t="shared" si="5"/>
        <v>-2.1111350609780088E-2</v>
      </c>
      <c r="S149" s="146">
        <f>(P149/P148)*('16. câmbio USD-BRL'!O149/'16. câmbio USD-BRL'!O148)^-1 -1</f>
        <v>-4.7287686150688679E-2</v>
      </c>
    </row>
    <row r="150" spans="11:19" x14ac:dyDescent="0.2">
      <c r="K150" s="355">
        <v>38985</v>
      </c>
      <c r="L150" s="169">
        <v>22.049999</v>
      </c>
      <c r="M150" s="169">
        <v>23.629999000000002</v>
      </c>
      <c r="N150" s="169">
        <v>21.360001</v>
      </c>
      <c r="O150" s="169">
        <v>23.424999</v>
      </c>
      <c r="P150" s="169">
        <v>11.389253999999999</v>
      </c>
      <c r="Q150" s="169">
        <v>10401800</v>
      </c>
      <c r="R150" s="53">
        <f t="shared" si="5"/>
        <v>6.3564416163876203E-2</v>
      </c>
      <c r="S150" s="146">
        <f>(P150/P149)*('16. câmbio USD-BRL'!O150/'16. câmbio USD-BRL'!O149)^-1 -1</f>
        <v>8.6774107061714734E-2</v>
      </c>
    </row>
    <row r="151" spans="11:19" x14ac:dyDescent="0.2">
      <c r="K151" s="355">
        <v>38992</v>
      </c>
      <c r="L151" s="169">
        <v>23.575001</v>
      </c>
      <c r="M151" s="169">
        <v>24.25</v>
      </c>
      <c r="N151" s="169">
        <v>22.535</v>
      </c>
      <c r="O151" s="169">
        <v>24.055</v>
      </c>
      <c r="P151" s="169">
        <v>11.695558999999999</v>
      </c>
      <c r="Q151" s="169">
        <v>9259600</v>
      </c>
      <c r="R151" s="53">
        <f t="shared" si="5"/>
        <v>2.6894210981684985E-2</v>
      </c>
      <c r="S151" s="146">
        <f>(P151/P150)*('16. câmbio USD-BRL'!O151/'16. câmbio USD-BRL'!O150)^-1 -1</f>
        <v>2.7084156731693287E-2</v>
      </c>
    </row>
    <row r="152" spans="11:19" x14ac:dyDescent="0.2">
      <c r="K152" s="355">
        <v>38999</v>
      </c>
      <c r="L152" s="169">
        <v>23.995000999999998</v>
      </c>
      <c r="M152" s="169">
        <v>25.885000000000002</v>
      </c>
      <c r="N152" s="169">
        <v>23.950001</v>
      </c>
      <c r="O152" s="169">
        <v>25.375</v>
      </c>
      <c r="P152" s="169">
        <v>12.337348</v>
      </c>
      <c r="Q152" s="169">
        <v>6909200</v>
      </c>
      <c r="R152" s="53">
        <f t="shared" si="5"/>
        <v>5.4874589577120769E-2</v>
      </c>
      <c r="S152" s="146">
        <f>(P152/P151)*('16. câmbio USD-BRL'!O152/'16. câmbio USD-BRL'!O151)^-1 -1</f>
        <v>6.7212304075098706E-2</v>
      </c>
    </row>
    <row r="153" spans="11:19" x14ac:dyDescent="0.2">
      <c r="K153" s="355">
        <v>39006</v>
      </c>
      <c r="L153" s="169">
        <v>25.4</v>
      </c>
      <c r="M153" s="169">
        <v>26.190000999999999</v>
      </c>
      <c r="N153" s="169">
        <v>25.25</v>
      </c>
      <c r="O153" s="169">
        <v>25.719999000000001</v>
      </c>
      <c r="P153" s="169">
        <v>12.505084</v>
      </c>
      <c r="Q153" s="169">
        <v>10000800</v>
      </c>
      <c r="R153" s="53">
        <f t="shared" si="5"/>
        <v>1.3595790602648039E-2</v>
      </c>
      <c r="S153" s="146">
        <f>(P153/P152)*('16. câmbio USD-BRL'!O153/'16. câmbio USD-BRL'!O152)^-1 -1</f>
        <v>1.5020380610522466E-2</v>
      </c>
    </row>
    <row r="154" spans="11:19" x14ac:dyDescent="0.2">
      <c r="K154" s="355">
        <v>39013</v>
      </c>
      <c r="L154" s="169">
        <v>25.75</v>
      </c>
      <c r="M154" s="169">
        <v>27.790001</v>
      </c>
      <c r="N154" s="169">
        <v>25.305</v>
      </c>
      <c r="O154" s="169">
        <v>27.25</v>
      </c>
      <c r="P154" s="169">
        <v>13.248972</v>
      </c>
      <c r="Q154" s="169">
        <v>12002800</v>
      </c>
      <c r="R154" s="53">
        <f t="shared" si="5"/>
        <v>5.9486845510194009E-2</v>
      </c>
      <c r="S154" s="146">
        <f>(P154/P153)*('16. câmbio USD-BRL'!O154/'16. câmbio USD-BRL'!O153)^-1 -1</f>
        <v>6.0978030373684877E-2</v>
      </c>
    </row>
    <row r="155" spans="11:19" x14ac:dyDescent="0.2">
      <c r="K155" s="355">
        <v>39020</v>
      </c>
      <c r="L155" s="169">
        <v>27.125</v>
      </c>
      <c r="M155" s="169">
        <v>28.450001</v>
      </c>
      <c r="N155" s="169">
        <v>26.700001</v>
      </c>
      <c r="O155" s="169">
        <v>28.200001</v>
      </c>
      <c r="P155" s="169">
        <v>13.710865</v>
      </c>
      <c r="Q155" s="169">
        <v>7999800</v>
      </c>
      <c r="R155" s="53">
        <f t="shared" si="5"/>
        <v>3.4862553864556389E-2</v>
      </c>
      <c r="S155" s="146">
        <f>(P155/P154)*('16. câmbio USD-BRL'!O155/'16. câmbio USD-BRL'!O154)^-1 -1</f>
        <v>3.0174450570848999E-2</v>
      </c>
    </row>
    <row r="156" spans="11:19" x14ac:dyDescent="0.2">
      <c r="K156" s="355">
        <v>39027</v>
      </c>
      <c r="L156" s="169">
        <v>28.254999000000002</v>
      </c>
      <c r="M156" s="169">
        <v>30.195</v>
      </c>
      <c r="N156" s="169">
        <v>28.245000999999998</v>
      </c>
      <c r="O156" s="169">
        <v>29</v>
      </c>
      <c r="P156" s="169">
        <v>14.099823000000001</v>
      </c>
      <c r="Q156" s="169">
        <v>9758400</v>
      </c>
      <c r="R156" s="53">
        <f t="shared" si="5"/>
        <v>2.8368596729673845E-2</v>
      </c>
      <c r="S156" s="146">
        <f>(P156/P155)*('16. câmbio USD-BRL'!O156/'16. câmbio USD-BRL'!O155)^-1 -1</f>
        <v>2.6068424658703293E-2</v>
      </c>
    </row>
    <row r="157" spans="11:19" x14ac:dyDescent="0.2">
      <c r="K157" s="355">
        <v>39034</v>
      </c>
      <c r="L157" s="169">
        <v>28.605</v>
      </c>
      <c r="M157" s="169">
        <v>29.120000999999998</v>
      </c>
      <c r="N157" s="169">
        <v>27.549999</v>
      </c>
      <c r="O157" s="169">
        <v>28.495000999999998</v>
      </c>
      <c r="P157" s="169">
        <v>13.854291999999999</v>
      </c>
      <c r="Q157" s="169">
        <v>8505000</v>
      </c>
      <c r="R157" s="53">
        <f t="shared" si="5"/>
        <v>-1.7413764697613687E-2</v>
      </c>
      <c r="S157" s="146">
        <f>(P157/P156)*('16. câmbio USD-BRL'!O157/'16. câmbio USD-BRL'!O156)^-1 -1</f>
        <v>-2.3782379185684821E-2</v>
      </c>
    </row>
    <row r="158" spans="11:19" x14ac:dyDescent="0.2">
      <c r="K158" s="355">
        <v>39041</v>
      </c>
      <c r="L158" s="169">
        <v>28.495000999999998</v>
      </c>
      <c r="M158" s="169">
        <v>29.5</v>
      </c>
      <c r="N158" s="169">
        <v>28.155000999999999</v>
      </c>
      <c r="O158" s="169">
        <v>29.450001</v>
      </c>
      <c r="P158" s="169">
        <v>14.318612</v>
      </c>
      <c r="Q158" s="169">
        <v>6247600</v>
      </c>
      <c r="R158" s="53">
        <f t="shared" si="5"/>
        <v>3.3514523874623059E-2</v>
      </c>
      <c r="S158" s="146">
        <f>(P158/P157)*('16. câmbio USD-BRL'!O158/'16. câmbio USD-BRL'!O157)^-1 -1</f>
        <v>3.2081077933049595E-2</v>
      </c>
    </row>
    <row r="159" spans="11:19" x14ac:dyDescent="0.2">
      <c r="K159" s="355">
        <v>39048</v>
      </c>
      <c r="L159" s="169">
        <v>29.25</v>
      </c>
      <c r="M159" s="169">
        <v>30.25</v>
      </c>
      <c r="N159" s="169">
        <v>28.6</v>
      </c>
      <c r="O159" s="169">
        <v>29.35</v>
      </c>
      <c r="P159" s="169">
        <v>14.269990999999999</v>
      </c>
      <c r="Q159" s="169">
        <v>6407000</v>
      </c>
      <c r="R159" s="53">
        <f t="shared" si="5"/>
        <v>-3.3956503605238053E-3</v>
      </c>
      <c r="S159" s="146">
        <f>(P159/P158)*('16. câmbio USD-BRL'!O159/'16. câmbio USD-BRL'!O158)^-1 -1</f>
        <v>-1.0865577988012909E-3</v>
      </c>
    </row>
    <row r="160" spans="11:19" x14ac:dyDescent="0.2">
      <c r="K160" s="355">
        <v>39055</v>
      </c>
      <c r="L160" s="169">
        <v>29.725000000000001</v>
      </c>
      <c r="M160" s="169">
        <v>31.799999</v>
      </c>
      <c r="N160" s="169">
        <v>29.450001</v>
      </c>
      <c r="O160" s="169">
        <v>31.1</v>
      </c>
      <c r="P160" s="169">
        <v>15.120844999999999</v>
      </c>
      <c r="Q160" s="169">
        <v>9817400</v>
      </c>
      <c r="R160" s="53">
        <f t="shared" si="5"/>
        <v>5.9625405510066454E-2</v>
      </c>
      <c r="S160" s="146">
        <f>(P160/P159)*('16. câmbio USD-BRL'!O160/'16. câmbio USD-BRL'!O159)^-1 -1</f>
        <v>7.0438921959893097E-2</v>
      </c>
    </row>
    <row r="161" spans="11:19" x14ac:dyDescent="0.2">
      <c r="K161" s="355">
        <v>39062</v>
      </c>
      <c r="L161" s="169">
        <v>31.254999000000002</v>
      </c>
      <c r="M161" s="169">
        <v>32.5</v>
      </c>
      <c r="N161" s="169">
        <v>30.83</v>
      </c>
      <c r="O161" s="169">
        <v>31.950001</v>
      </c>
      <c r="P161" s="169">
        <v>15.534113</v>
      </c>
      <c r="Q161" s="169">
        <v>9764800</v>
      </c>
      <c r="R161" s="53">
        <f t="shared" si="5"/>
        <v>2.7331012254936837E-2</v>
      </c>
      <c r="S161" s="146">
        <f>(P161/P160)*('16. câmbio USD-BRL'!O161/'16. câmbio USD-BRL'!O160)^-1 -1</f>
        <v>2.4788469941160907E-2</v>
      </c>
    </row>
    <row r="162" spans="11:19" x14ac:dyDescent="0.2">
      <c r="K162" s="355">
        <v>39069</v>
      </c>
      <c r="L162" s="169">
        <v>31.6</v>
      </c>
      <c r="M162" s="169">
        <v>32.599997999999999</v>
      </c>
      <c r="N162" s="169">
        <v>30.754999000000002</v>
      </c>
      <c r="O162" s="169">
        <v>31.35</v>
      </c>
      <c r="P162" s="169">
        <v>15.242393</v>
      </c>
      <c r="Q162" s="169">
        <v>6556000</v>
      </c>
      <c r="R162" s="53">
        <f t="shared" si="5"/>
        <v>-1.8779314918077383E-2</v>
      </c>
      <c r="S162" s="146">
        <f>(P162/P161)*('16. câmbio USD-BRL'!O162/'16. câmbio USD-BRL'!O161)^-1 -1</f>
        <v>-2.1520792967200109E-2</v>
      </c>
    </row>
    <row r="163" spans="11:19" x14ac:dyDescent="0.2">
      <c r="K163" s="355">
        <v>39076</v>
      </c>
      <c r="L163" s="169">
        <v>31.35</v>
      </c>
      <c r="M163" s="169">
        <v>32.470001000000003</v>
      </c>
      <c r="N163" s="169">
        <v>31.209999</v>
      </c>
      <c r="O163" s="169">
        <v>31.85</v>
      </c>
      <c r="P163" s="169">
        <v>15.485495999999999</v>
      </c>
      <c r="Q163" s="169">
        <v>4149000</v>
      </c>
      <c r="R163" s="53">
        <f t="shared" si="5"/>
        <v>1.5949136070694481E-2</v>
      </c>
      <c r="S163" s="146">
        <f>(P163/P162)*('16. câmbio USD-BRL'!O163/'16. câmbio USD-BRL'!O162)^-1 -1</f>
        <v>2.3815471474339045E-2</v>
      </c>
    </row>
    <row r="164" spans="11:19" x14ac:dyDescent="0.2">
      <c r="K164" s="355">
        <v>39083</v>
      </c>
      <c r="L164" s="169">
        <v>31.85</v>
      </c>
      <c r="M164" s="169">
        <v>32.700001</v>
      </c>
      <c r="N164" s="169">
        <v>29.1</v>
      </c>
      <c r="O164" s="169">
        <v>29.299999</v>
      </c>
      <c r="P164" s="169">
        <v>14.245680999999999</v>
      </c>
      <c r="Q164" s="169">
        <v>11537400</v>
      </c>
      <c r="R164" s="53">
        <f t="shared" si="5"/>
        <v>-8.0062982806621164E-2</v>
      </c>
      <c r="S164" s="146">
        <f>(P164/P163)*('16. câmbio USD-BRL'!O164/'16. câmbio USD-BRL'!O163)^-1 -1</f>
        <v>-8.6918591691155012E-2</v>
      </c>
    </row>
    <row r="165" spans="11:19" x14ac:dyDescent="0.2">
      <c r="K165" s="355">
        <v>39090</v>
      </c>
      <c r="L165" s="169">
        <v>29.5</v>
      </c>
      <c r="M165" s="169">
        <v>31.870000999999998</v>
      </c>
      <c r="N165" s="169">
        <v>29.004999000000002</v>
      </c>
      <c r="O165" s="169">
        <v>31.799999</v>
      </c>
      <c r="P165" s="169">
        <v>15.461187000000001</v>
      </c>
      <c r="Q165" s="169">
        <v>10284800</v>
      </c>
      <c r="R165" s="53">
        <f t="shared" si="5"/>
        <v>8.532452748310182E-2</v>
      </c>
      <c r="S165" s="146">
        <f>(P165/P164)*('16. câmbio USD-BRL'!O165/'16. câmbio USD-BRL'!O164)^-1 -1</f>
        <v>9.0403257139082482E-2</v>
      </c>
    </row>
    <row r="166" spans="11:19" x14ac:dyDescent="0.2">
      <c r="K166" s="355">
        <v>39097</v>
      </c>
      <c r="L166" s="169">
        <v>31.9</v>
      </c>
      <c r="M166" s="169">
        <v>32.369999</v>
      </c>
      <c r="N166" s="169">
        <v>30.85</v>
      </c>
      <c r="O166" s="169">
        <v>32.360000999999997</v>
      </c>
      <c r="P166" s="169">
        <v>15.733459</v>
      </c>
      <c r="Q166" s="169">
        <v>9608800</v>
      </c>
      <c r="R166" s="53">
        <f t="shared" si="5"/>
        <v>1.7610032140481735E-2</v>
      </c>
      <c r="S166" s="146">
        <f>(P166/P165)*('16. câmbio USD-BRL'!O166/'16. câmbio USD-BRL'!O165)^-1 -1</f>
        <v>2.3597382294285429E-2</v>
      </c>
    </row>
    <row r="167" spans="11:19" x14ac:dyDescent="0.2">
      <c r="K167" s="355">
        <v>39104</v>
      </c>
      <c r="L167" s="169">
        <v>32.450001</v>
      </c>
      <c r="M167" s="169">
        <v>35.799999</v>
      </c>
      <c r="N167" s="169">
        <v>32.375</v>
      </c>
      <c r="O167" s="169">
        <v>35.200001</v>
      </c>
      <c r="P167" s="169">
        <v>17.114265</v>
      </c>
      <c r="Q167" s="169">
        <v>9828600</v>
      </c>
      <c r="R167" s="53">
        <f t="shared" si="5"/>
        <v>8.7762392236824693E-2</v>
      </c>
      <c r="S167" s="146">
        <f>(P167/P166)*('16. câmbio USD-BRL'!O167/'16. câmbio USD-BRL'!O166)^-1 -1</f>
        <v>8.4190101950332386E-2</v>
      </c>
    </row>
    <row r="168" spans="11:19" x14ac:dyDescent="0.2">
      <c r="K168" s="355">
        <v>39111</v>
      </c>
      <c r="L168" s="169">
        <v>35.375</v>
      </c>
      <c r="M168" s="169">
        <v>36.404998999999997</v>
      </c>
      <c r="N168" s="169">
        <v>34.275002000000001</v>
      </c>
      <c r="O168" s="169">
        <v>35.599997999999999</v>
      </c>
      <c r="P168" s="169">
        <v>17.308745999999999</v>
      </c>
      <c r="Q168" s="169">
        <v>9328800</v>
      </c>
      <c r="R168" s="53">
        <f t="shared" si="5"/>
        <v>1.1363678194769022E-2</v>
      </c>
      <c r="S168" s="146">
        <f>(P168/P167)*('16. câmbio USD-BRL'!O168/'16. câmbio USD-BRL'!O167)^-1 -1</f>
        <v>3.0213467179044384E-2</v>
      </c>
    </row>
    <row r="169" spans="11:19" x14ac:dyDescent="0.2">
      <c r="K169" s="355">
        <v>39118</v>
      </c>
      <c r="L169" s="169">
        <v>35.445</v>
      </c>
      <c r="M169" s="169">
        <v>36.349997999999999</v>
      </c>
      <c r="N169" s="169">
        <v>34.724997999999999</v>
      </c>
      <c r="O169" s="169">
        <v>35</v>
      </c>
      <c r="P169" s="169">
        <v>17.017029000000001</v>
      </c>
      <c r="Q169" s="169">
        <v>7085800</v>
      </c>
      <c r="R169" s="53">
        <f t="shared" si="5"/>
        <v>-1.6853733944677374E-2</v>
      </c>
      <c r="S169" s="146">
        <f>(P169/P168)*('16. câmbio USD-BRL'!O169/'16. câmbio USD-BRL'!O168)^-1 -1</f>
        <v>-1.9197348404880854E-2</v>
      </c>
    </row>
    <row r="170" spans="11:19" x14ac:dyDescent="0.2">
      <c r="K170" s="355">
        <v>39125</v>
      </c>
      <c r="L170" s="169">
        <v>35.095001000000003</v>
      </c>
      <c r="M170" s="169">
        <v>38.459999000000003</v>
      </c>
      <c r="N170" s="169">
        <v>34.669998</v>
      </c>
      <c r="O170" s="169">
        <v>37.650002000000001</v>
      </c>
      <c r="P170" s="169">
        <v>18.305458000000002</v>
      </c>
      <c r="Q170" s="169">
        <v>11717600</v>
      </c>
      <c r="R170" s="53">
        <f t="shared" si="5"/>
        <v>7.5714097919207912E-2</v>
      </c>
      <c r="S170" s="146">
        <f>(P170/P169)*('16. câmbio USD-BRL'!O170/'16. câmbio USD-BRL'!O169)^-1 -1</f>
        <v>8.0763673126186042E-2</v>
      </c>
    </row>
    <row r="171" spans="11:19" x14ac:dyDescent="0.2">
      <c r="K171" s="355">
        <v>39132</v>
      </c>
      <c r="L171" s="169">
        <v>37.650002000000001</v>
      </c>
      <c r="M171" s="169">
        <v>39.505001</v>
      </c>
      <c r="N171" s="169">
        <v>37.270000000000003</v>
      </c>
      <c r="O171" s="169">
        <v>38.32</v>
      </c>
      <c r="P171" s="169">
        <v>18.631212000000001</v>
      </c>
      <c r="Q171" s="169">
        <v>6183200</v>
      </c>
      <c r="R171" s="53">
        <f t="shared" si="5"/>
        <v>1.7795457507809864E-2</v>
      </c>
      <c r="S171" s="146">
        <f>(P171/P170)*('16. câmbio USD-BRL'!O171/'16. câmbio USD-BRL'!O170)^-1 -1</f>
        <v>1.9357916353588411E-2</v>
      </c>
    </row>
    <row r="172" spans="11:19" x14ac:dyDescent="0.2">
      <c r="K172" s="355">
        <v>39139</v>
      </c>
      <c r="L172" s="169">
        <v>38.400002000000001</v>
      </c>
      <c r="M172" s="169">
        <v>38.700001</v>
      </c>
      <c r="N172" s="169">
        <v>34.369999</v>
      </c>
      <c r="O172" s="169">
        <v>34.724997999999999</v>
      </c>
      <c r="P172" s="169">
        <v>16.883320000000001</v>
      </c>
      <c r="Q172" s="169">
        <v>15058200</v>
      </c>
      <c r="R172" s="53">
        <f t="shared" si="5"/>
        <v>-9.3815260112976029E-2</v>
      </c>
      <c r="S172" s="146">
        <f>(P172/P171)*('16. câmbio USD-BRL'!O172/'16. câmbio USD-BRL'!O171)^-1 -1</f>
        <v>-0.1079376196956312</v>
      </c>
    </row>
    <row r="173" spans="11:19" x14ac:dyDescent="0.2">
      <c r="K173" s="355">
        <v>39146</v>
      </c>
      <c r="L173" s="169">
        <v>33.904998999999997</v>
      </c>
      <c r="M173" s="169">
        <v>37.18</v>
      </c>
      <c r="N173" s="169">
        <v>33.424999</v>
      </c>
      <c r="O173" s="169">
        <v>36.700001</v>
      </c>
      <c r="P173" s="169">
        <v>17.843572999999999</v>
      </c>
      <c r="Q173" s="169">
        <v>15067600</v>
      </c>
      <c r="R173" s="53">
        <f t="shared" si="5"/>
        <v>5.6875839586052912E-2</v>
      </c>
      <c r="S173" s="146">
        <f>(P173/P172)*('16. câmbio USD-BRL'!O173/'16. câmbio USD-BRL'!O172)^-1 -1</f>
        <v>6.9758408376418446E-2</v>
      </c>
    </row>
    <row r="174" spans="11:19" x14ac:dyDescent="0.2">
      <c r="K174" s="355">
        <v>39153</v>
      </c>
      <c r="L174" s="169">
        <v>36.549999</v>
      </c>
      <c r="M174" s="169">
        <v>37.849997999999999</v>
      </c>
      <c r="N174" s="169">
        <v>35.305</v>
      </c>
      <c r="O174" s="169">
        <v>36.950001</v>
      </c>
      <c r="P174" s="169">
        <v>17.965118</v>
      </c>
      <c r="Q174" s="169">
        <v>12179600</v>
      </c>
      <c r="R174" s="53">
        <f t="shared" si="5"/>
        <v>6.8116962897510902E-3</v>
      </c>
      <c r="S174" s="146">
        <f>(P174/P173)*('16. câmbio USD-BRL'!O174/'16. câmbio USD-BRL'!O173)^-1 -1</f>
        <v>8.2575723495257325E-3</v>
      </c>
    </row>
    <row r="175" spans="11:19" x14ac:dyDescent="0.2">
      <c r="K175" s="355">
        <v>39160</v>
      </c>
      <c r="L175" s="169">
        <v>37.294998</v>
      </c>
      <c r="M175" s="169">
        <v>38.450001</v>
      </c>
      <c r="N175" s="169">
        <v>37.049999</v>
      </c>
      <c r="O175" s="169">
        <v>37.924999</v>
      </c>
      <c r="P175" s="169">
        <v>18.439160999999999</v>
      </c>
      <c r="Q175" s="169">
        <v>10824600</v>
      </c>
      <c r="R175" s="53">
        <f t="shared" si="5"/>
        <v>2.6386857019252474E-2</v>
      </c>
      <c r="S175" s="146">
        <f>(P175/P174)*('16. câmbio USD-BRL'!O175/'16. câmbio USD-BRL'!O174)^-1 -1</f>
        <v>3.9826452140261148E-2</v>
      </c>
    </row>
    <row r="176" spans="11:19" x14ac:dyDescent="0.2">
      <c r="K176" s="355">
        <v>39167</v>
      </c>
      <c r="L176" s="169">
        <v>38.174999</v>
      </c>
      <c r="M176" s="169">
        <v>38.674999</v>
      </c>
      <c r="N176" s="169">
        <v>37</v>
      </c>
      <c r="O176" s="169">
        <v>38.150002000000001</v>
      </c>
      <c r="P176" s="169">
        <v>18.548555</v>
      </c>
      <c r="Q176" s="169">
        <v>8876200</v>
      </c>
      <c r="R176" s="53">
        <f t="shared" si="5"/>
        <v>5.9326994324742088E-3</v>
      </c>
      <c r="S176" s="146">
        <f>(P176/P175)*('16. câmbio USD-BRL'!O176/'16. câmbio USD-BRL'!O175)^-1 -1</f>
        <v>9.3592341750663444E-3</v>
      </c>
    </row>
    <row r="177" spans="11:19" x14ac:dyDescent="0.2">
      <c r="K177" s="355">
        <v>39174</v>
      </c>
      <c r="L177" s="169">
        <v>38.150002000000001</v>
      </c>
      <c r="M177" s="169">
        <v>40.720001000000003</v>
      </c>
      <c r="N177" s="169">
        <v>37.799999</v>
      </c>
      <c r="O177" s="169">
        <v>40.450001</v>
      </c>
      <c r="P177" s="169">
        <v>19.666822</v>
      </c>
      <c r="Q177" s="169">
        <v>8483000</v>
      </c>
      <c r="R177" s="53">
        <f t="shared" si="5"/>
        <v>6.0288631648125701E-2</v>
      </c>
      <c r="S177" s="146">
        <f>(P177/P176)*('16. câmbio USD-BRL'!O177/'16. câmbio USD-BRL'!O176)^-1 -1</f>
        <v>7.4722865757570478E-2</v>
      </c>
    </row>
    <row r="178" spans="11:19" x14ac:dyDescent="0.2">
      <c r="K178" s="355">
        <v>39181</v>
      </c>
      <c r="L178" s="169">
        <v>40.75</v>
      </c>
      <c r="M178" s="169">
        <v>41.900002000000001</v>
      </c>
      <c r="N178" s="169">
        <v>40.450001</v>
      </c>
      <c r="O178" s="169">
        <v>41.540000999999997</v>
      </c>
      <c r="P178" s="169">
        <v>20.196784999999998</v>
      </c>
      <c r="Q178" s="169">
        <v>10265400</v>
      </c>
      <c r="R178" s="53">
        <f t="shared" si="5"/>
        <v>2.6947058350352604E-2</v>
      </c>
      <c r="S178" s="146">
        <f>(P178/P177)*('16. câmbio USD-BRL'!O178/'16. câmbio USD-BRL'!O177)^-1 -1</f>
        <v>3.2498123530624756E-2</v>
      </c>
    </row>
    <row r="179" spans="11:19" x14ac:dyDescent="0.2">
      <c r="K179" s="355">
        <v>39188</v>
      </c>
      <c r="L179" s="169">
        <v>41.945</v>
      </c>
      <c r="M179" s="169">
        <v>43.299999</v>
      </c>
      <c r="N179" s="169">
        <v>41.014999000000003</v>
      </c>
      <c r="O179" s="169">
        <v>42.5</v>
      </c>
      <c r="P179" s="169">
        <v>20.663530000000002</v>
      </c>
      <c r="Q179" s="169">
        <v>13246400</v>
      </c>
      <c r="R179" s="53">
        <f t="shared" si="5"/>
        <v>2.3109866248514521E-2</v>
      </c>
      <c r="S179" s="146">
        <f>(P179/P178)*('16. câmbio USD-BRL'!O179/'16. câmbio USD-BRL'!O178)^-1 -1</f>
        <v>2.0276467677231347E-2</v>
      </c>
    </row>
    <row r="180" spans="11:19" x14ac:dyDescent="0.2">
      <c r="K180" s="355">
        <v>39195</v>
      </c>
      <c r="L180" s="169">
        <v>42.445</v>
      </c>
      <c r="M180" s="169">
        <v>43.284999999999997</v>
      </c>
      <c r="N180" s="169">
        <v>40.599997999999999</v>
      </c>
      <c r="O180" s="169">
        <v>41.919998</v>
      </c>
      <c r="P180" s="169">
        <v>20.381536000000001</v>
      </c>
      <c r="Q180" s="169">
        <v>10150800</v>
      </c>
      <c r="R180" s="53">
        <f t="shared" si="5"/>
        <v>-1.3646942221392067E-2</v>
      </c>
      <c r="S180" s="146">
        <f>(P180/P179)*('16. câmbio USD-BRL'!O180/'16. câmbio USD-BRL'!O179)^-1 -1</f>
        <v>-1.6273973793280661E-2</v>
      </c>
    </row>
    <row r="181" spans="11:19" x14ac:dyDescent="0.2">
      <c r="K181" s="355">
        <v>39202</v>
      </c>
      <c r="L181" s="169">
        <v>41.970001000000003</v>
      </c>
      <c r="M181" s="169">
        <v>44.945</v>
      </c>
      <c r="N181" s="169">
        <v>41.435001</v>
      </c>
      <c r="O181" s="169">
        <v>44.720001000000003</v>
      </c>
      <c r="P181" s="169">
        <v>21.742902999999998</v>
      </c>
      <c r="Q181" s="169">
        <v>9748000</v>
      </c>
      <c r="R181" s="53">
        <f t="shared" si="5"/>
        <v>6.6794131708228344E-2</v>
      </c>
      <c r="S181" s="146">
        <f>(P181/P180)*('16. câmbio USD-BRL'!O181/'16. câmbio USD-BRL'!O180)^-1 -1</f>
        <v>6.795294624916437E-2</v>
      </c>
    </row>
    <row r="182" spans="11:19" x14ac:dyDescent="0.2">
      <c r="K182" s="355">
        <v>39209</v>
      </c>
      <c r="L182" s="169">
        <v>45.005001</v>
      </c>
      <c r="M182" s="169">
        <v>45.209999000000003</v>
      </c>
      <c r="N182" s="169">
        <v>42.849997999999999</v>
      </c>
      <c r="O182" s="169">
        <v>44.849997999999999</v>
      </c>
      <c r="P182" s="169">
        <v>21.806107000000001</v>
      </c>
      <c r="Q182" s="169">
        <v>13039400</v>
      </c>
      <c r="R182" s="53">
        <f t="shared" si="5"/>
        <v>2.9068795459374908E-3</v>
      </c>
      <c r="S182" s="146">
        <f>(P182/P181)*('16. câmbio USD-BRL'!O182/'16. câmbio USD-BRL'!O181)^-1 -1</f>
        <v>8.6340764447250251E-3</v>
      </c>
    </row>
    <row r="183" spans="11:19" x14ac:dyDescent="0.2">
      <c r="K183" s="355">
        <v>39216</v>
      </c>
      <c r="L183" s="169">
        <v>44.75</v>
      </c>
      <c r="M183" s="169">
        <v>45.125</v>
      </c>
      <c r="N183" s="169">
        <v>43.205002</v>
      </c>
      <c r="O183" s="169">
        <v>44.299999</v>
      </c>
      <c r="P183" s="169">
        <v>21.538691</v>
      </c>
      <c r="Q183" s="169">
        <v>10178400</v>
      </c>
      <c r="R183" s="53">
        <f t="shared" si="5"/>
        <v>-1.2263353564210266E-2</v>
      </c>
      <c r="S183" s="146">
        <f>(P183/P182)*('16. câmbio USD-BRL'!O183/'16. câmbio USD-BRL'!O182)^-1 -1</f>
        <v>1.4797234116827429E-2</v>
      </c>
    </row>
    <row r="184" spans="11:19" x14ac:dyDescent="0.2">
      <c r="K184" s="355">
        <v>39223</v>
      </c>
      <c r="L184" s="169">
        <v>44.455002</v>
      </c>
      <c r="M184" s="169">
        <v>44.455002</v>
      </c>
      <c r="N184" s="169">
        <v>41.150002000000001</v>
      </c>
      <c r="O184" s="169">
        <v>42.400002000000001</v>
      </c>
      <c r="P184" s="169">
        <v>20.614912</v>
      </c>
      <c r="Q184" s="169">
        <v>9546000</v>
      </c>
      <c r="R184" s="53">
        <f t="shared" si="5"/>
        <v>-4.2889282361681103E-2</v>
      </c>
      <c r="S184" s="146">
        <f>(P184/P183)*('16. câmbio USD-BRL'!O184/'16. câmbio USD-BRL'!O183)^-1 -1</f>
        <v>-3.4217391174842238E-2</v>
      </c>
    </row>
    <row r="185" spans="11:19" x14ac:dyDescent="0.2">
      <c r="K185" s="355">
        <v>39230</v>
      </c>
      <c r="L185" s="169">
        <v>42.549999</v>
      </c>
      <c r="M185" s="169">
        <v>44.825001</v>
      </c>
      <c r="N185" s="169">
        <v>41.349997999999999</v>
      </c>
      <c r="O185" s="169">
        <v>44.825001</v>
      </c>
      <c r="P185" s="169">
        <v>21.793946999999999</v>
      </c>
      <c r="Q185" s="169">
        <v>10313000</v>
      </c>
      <c r="R185" s="53">
        <f t="shared" ref="R185:R248" si="6">P185/P184-1</f>
        <v>5.7193307446570696E-2</v>
      </c>
      <c r="S185" s="146">
        <f>(P185/P184)*('16. câmbio USD-BRL'!O185/'16. câmbio USD-BRL'!O184)^-1 -1</f>
        <v>5.5834447154222699E-2</v>
      </c>
    </row>
    <row r="186" spans="11:19" x14ac:dyDescent="0.2">
      <c r="K186" s="355">
        <v>39237</v>
      </c>
      <c r="L186" s="169">
        <v>44.485000999999997</v>
      </c>
      <c r="M186" s="169">
        <v>45.18</v>
      </c>
      <c r="N186" s="169">
        <v>42.529998999999997</v>
      </c>
      <c r="O186" s="169">
        <v>43.474997999999999</v>
      </c>
      <c r="P186" s="169">
        <v>21.137577</v>
      </c>
      <c r="Q186" s="169">
        <v>8299400</v>
      </c>
      <c r="R186" s="53">
        <f t="shared" si="6"/>
        <v>-3.0117077920763902E-2</v>
      </c>
      <c r="S186" s="146">
        <f>(P186/P185)*('16. câmbio USD-BRL'!O186/'16. câmbio USD-BRL'!O185)^-1 -1</f>
        <v>-3.9108453828385126E-2</v>
      </c>
    </row>
    <row r="187" spans="11:19" x14ac:dyDescent="0.2">
      <c r="K187" s="355">
        <v>39244</v>
      </c>
      <c r="L187" s="169">
        <v>43.75</v>
      </c>
      <c r="M187" s="169">
        <v>44.985000999999997</v>
      </c>
      <c r="N187" s="169">
        <v>42.25</v>
      </c>
      <c r="O187" s="169">
        <v>44.755001</v>
      </c>
      <c r="P187" s="169">
        <v>21.759917999999999</v>
      </c>
      <c r="Q187" s="169">
        <v>12154600</v>
      </c>
      <c r="R187" s="53">
        <f t="shared" si="6"/>
        <v>2.9442400138861569E-2</v>
      </c>
      <c r="S187" s="146">
        <f>(P187/P186)*('16. câmbio USD-BRL'!O187/'16. câmbio USD-BRL'!O186)^-1 -1</f>
        <v>5.9780450945261077E-2</v>
      </c>
    </row>
    <row r="188" spans="11:19" x14ac:dyDescent="0.2">
      <c r="K188" s="355">
        <v>39251</v>
      </c>
      <c r="L188" s="169">
        <v>45</v>
      </c>
      <c r="M188" s="169">
        <v>45.450001</v>
      </c>
      <c r="N188" s="169">
        <v>43.055</v>
      </c>
      <c r="O188" s="169">
        <v>43.900002000000001</v>
      </c>
      <c r="P188" s="169">
        <v>21.344213</v>
      </c>
      <c r="Q188" s="169">
        <v>14256400</v>
      </c>
      <c r="R188" s="53">
        <f t="shared" si="6"/>
        <v>-1.9104162065316621E-2</v>
      </c>
      <c r="S188" s="146">
        <f>(P188/P187)*('16. câmbio USD-BRL'!O188/'16. câmbio USD-BRL'!O187)^-1 -1</f>
        <v>-2.5745644301332637E-2</v>
      </c>
    </row>
    <row r="189" spans="11:19" x14ac:dyDescent="0.2">
      <c r="K189" s="355">
        <v>39258</v>
      </c>
      <c r="L189" s="169">
        <v>43.845001000000003</v>
      </c>
      <c r="M189" s="169">
        <v>44.119999</v>
      </c>
      <c r="N189" s="169">
        <v>41.845001000000003</v>
      </c>
      <c r="O189" s="169">
        <v>43.09</v>
      </c>
      <c r="P189" s="169">
        <v>20.950389999999999</v>
      </c>
      <c r="Q189" s="169">
        <v>8923800</v>
      </c>
      <c r="R189" s="53">
        <f t="shared" si="6"/>
        <v>-1.8451043381173204E-2</v>
      </c>
      <c r="S189" s="146">
        <f>(P189/P188)*('16. câmbio USD-BRL'!O189/'16. câmbio USD-BRL'!O188)^-1 -1</f>
        <v>-2.2321022666451862E-2</v>
      </c>
    </row>
    <row r="190" spans="11:19" x14ac:dyDescent="0.2">
      <c r="K190" s="355">
        <v>39265</v>
      </c>
      <c r="L190" s="169">
        <v>43.084999000000003</v>
      </c>
      <c r="M190" s="169">
        <v>46.049999</v>
      </c>
      <c r="N190" s="169">
        <v>43.084999000000003</v>
      </c>
      <c r="O190" s="169">
        <v>45.895000000000003</v>
      </c>
      <c r="P190" s="169">
        <v>22.314188000000001</v>
      </c>
      <c r="Q190" s="169">
        <v>9653400</v>
      </c>
      <c r="R190" s="53">
        <f t="shared" si="6"/>
        <v>6.5096544742126561E-2</v>
      </c>
      <c r="S190" s="146">
        <f>(P190/P189)*('16. câmbio USD-BRL'!O190/'16. câmbio USD-BRL'!O189)^-1 -1</f>
        <v>8.1821108465024439E-2</v>
      </c>
    </row>
    <row r="191" spans="11:19" x14ac:dyDescent="0.2">
      <c r="K191" s="355">
        <v>39272</v>
      </c>
      <c r="L191" s="169">
        <v>45.895000000000003</v>
      </c>
      <c r="M191" s="169">
        <v>49.599997999999999</v>
      </c>
      <c r="N191" s="169">
        <v>45.154998999999997</v>
      </c>
      <c r="O191" s="169">
        <v>48.375</v>
      </c>
      <c r="P191" s="169">
        <v>23.519962</v>
      </c>
      <c r="Q191" s="169">
        <v>9723000</v>
      </c>
      <c r="R191" s="53">
        <f t="shared" si="6"/>
        <v>5.4036203333950539E-2</v>
      </c>
      <c r="S191" s="146">
        <f>(P191/P190)*('16. câmbio USD-BRL'!O191/'16. câmbio USD-BRL'!O190)^-1 -1</f>
        <v>7.0335441536289345E-2</v>
      </c>
    </row>
    <row r="192" spans="11:19" x14ac:dyDescent="0.2">
      <c r="K192" s="355">
        <v>39279</v>
      </c>
      <c r="L192" s="169">
        <v>48.5</v>
      </c>
      <c r="M192" s="169">
        <v>48.5</v>
      </c>
      <c r="N192" s="169">
        <v>46.799999</v>
      </c>
      <c r="O192" s="169">
        <v>47.5</v>
      </c>
      <c r="P192" s="169">
        <v>23.094538</v>
      </c>
      <c r="Q192" s="169">
        <v>11856400</v>
      </c>
      <c r="R192" s="53">
        <f t="shared" si="6"/>
        <v>-1.8087784325501843E-2</v>
      </c>
      <c r="S192" s="146">
        <f>(P192/P191)*('16. câmbio USD-BRL'!O192/'16. câmbio USD-BRL'!O191)^-1 -1</f>
        <v>-1.2752453263358166E-2</v>
      </c>
    </row>
    <row r="193" spans="11:19" x14ac:dyDescent="0.2">
      <c r="K193" s="355">
        <v>39286</v>
      </c>
      <c r="L193" s="169">
        <v>48</v>
      </c>
      <c r="M193" s="169">
        <v>48.950001</v>
      </c>
      <c r="N193" s="169">
        <v>43.75</v>
      </c>
      <c r="O193" s="169">
        <v>44.490001999999997</v>
      </c>
      <c r="P193" s="169">
        <v>21.631077000000001</v>
      </c>
      <c r="Q193" s="169">
        <v>13233800</v>
      </c>
      <c r="R193" s="53">
        <f t="shared" si="6"/>
        <v>-6.3368273485271631E-2</v>
      </c>
      <c r="S193" s="146">
        <f>(P193/P192)*('16. câmbio USD-BRL'!O193/'16. câmbio USD-BRL'!O192)^-1 -1</f>
        <v>-9.0143165275371251E-2</v>
      </c>
    </row>
    <row r="194" spans="11:19" x14ac:dyDescent="0.2">
      <c r="K194" s="355">
        <v>39293</v>
      </c>
      <c r="L194" s="169">
        <v>45.299999</v>
      </c>
      <c r="M194" s="169">
        <v>47.150002000000001</v>
      </c>
      <c r="N194" s="169">
        <v>44.040000999999997</v>
      </c>
      <c r="O194" s="169">
        <v>44.25</v>
      </c>
      <c r="P194" s="169">
        <v>21.514381</v>
      </c>
      <c r="Q194" s="169">
        <v>11322800</v>
      </c>
      <c r="R194" s="53">
        <f t="shared" si="6"/>
        <v>-5.3948307798081796E-3</v>
      </c>
      <c r="S194" s="146">
        <f>(P194/P193)*('16. câmbio USD-BRL'!O194/'16. câmbio USD-BRL'!O193)^-1 -1</f>
        <v>1.5027728694846365E-2</v>
      </c>
    </row>
    <row r="195" spans="11:19" x14ac:dyDescent="0.2">
      <c r="K195" s="355">
        <v>39300</v>
      </c>
      <c r="L195" s="169">
        <v>44.459999000000003</v>
      </c>
      <c r="M195" s="169">
        <v>46.544998</v>
      </c>
      <c r="N195" s="169">
        <v>42.200001</v>
      </c>
      <c r="O195" s="169">
        <v>43.665000999999997</v>
      </c>
      <c r="P195" s="169">
        <v>21.229963000000001</v>
      </c>
      <c r="Q195" s="169">
        <v>16454400</v>
      </c>
      <c r="R195" s="53">
        <f t="shared" si="6"/>
        <v>-1.321990160906783E-2</v>
      </c>
      <c r="S195" s="146">
        <f>(P195/P194)*('16. câmbio USD-BRL'!O195/'16. câmbio USD-BRL'!O194)^-1 -1</f>
        <v>-4.5297892423633801E-2</v>
      </c>
    </row>
    <row r="196" spans="11:19" x14ac:dyDescent="0.2">
      <c r="K196" s="355">
        <v>39307</v>
      </c>
      <c r="L196" s="169">
        <v>44.174999</v>
      </c>
      <c r="M196" s="169">
        <v>45</v>
      </c>
      <c r="N196" s="169">
        <v>36.25</v>
      </c>
      <c r="O196" s="169">
        <v>40.400002000000001</v>
      </c>
      <c r="P196" s="169">
        <v>19.642510999999999</v>
      </c>
      <c r="Q196" s="169">
        <v>24138600</v>
      </c>
      <c r="R196" s="53">
        <f t="shared" si="6"/>
        <v>-7.4774129375543508E-2</v>
      </c>
      <c r="S196" s="146">
        <f>(P196/P195)*('16. câmbio USD-BRL'!O196/'16. câmbio USD-BRL'!O195)^-1 -1</f>
        <v>-0.11171716176052882</v>
      </c>
    </row>
    <row r="197" spans="11:19" x14ac:dyDescent="0.2">
      <c r="K197" s="355">
        <v>39314</v>
      </c>
      <c r="L197" s="169">
        <v>41</v>
      </c>
      <c r="M197" s="169">
        <v>46.799999</v>
      </c>
      <c r="N197" s="169">
        <v>40.215000000000003</v>
      </c>
      <c r="O197" s="169">
        <v>46.334999000000003</v>
      </c>
      <c r="P197" s="169">
        <v>22.528112</v>
      </c>
      <c r="Q197" s="169">
        <v>17946400</v>
      </c>
      <c r="R197" s="53">
        <f t="shared" si="6"/>
        <v>0.14690591238564155</v>
      </c>
      <c r="S197" s="146">
        <f>(P197/P196)*('16. câmbio USD-BRL'!O197/'16. câmbio USD-BRL'!O196)^-1 -1</f>
        <v>0.1740677898177676</v>
      </c>
    </row>
    <row r="198" spans="11:19" x14ac:dyDescent="0.2">
      <c r="K198" s="355">
        <v>39321</v>
      </c>
      <c r="L198" s="169">
        <v>46.25</v>
      </c>
      <c r="M198" s="169">
        <v>49</v>
      </c>
      <c r="N198" s="169">
        <v>44.950001</v>
      </c>
      <c r="O198" s="169">
        <v>48.490001999999997</v>
      </c>
      <c r="P198" s="169">
        <v>23.575882</v>
      </c>
      <c r="Q198" s="169">
        <v>10731800</v>
      </c>
      <c r="R198" s="53">
        <f t="shared" si="6"/>
        <v>4.6509445620653844E-2</v>
      </c>
      <c r="S198" s="146">
        <f>(P198/P197)*('16. câmbio USD-BRL'!O198/'16. câmbio USD-BRL'!O197)^-1 -1</f>
        <v>5.1147094447518082E-2</v>
      </c>
    </row>
    <row r="199" spans="11:19" x14ac:dyDescent="0.2">
      <c r="K199" s="355">
        <v>39328</v>
      </c>
      <c r="L199" s="169">
        <v>48.599997999999999</v>
      </c>
      <c r="M199" s="169">
        <v>50.75</v>
      </c>
      <c r="N199" s="169">
        <v>48.349997999999999</v>
      </c>
      <c r="O199" s="169">
        <v>50.509998000000003</v>
      </c>
      <c r="P199" s="169">
        <v>24.557994999999998</v>
      </c>
      <c r="Q199" s="169">
        <v>9006500</v>
      </c>
      <c r="R199" s="53">
        <f t="shared" si="6"/>
        <v>4.1657529504092183E-2</v>
      </c>
      <c r="S199" s="146">
        <f>(P199/P198)*('16. câmbio USD-BRL'!O199/'16. câmbio USD-BRL'!O198)^-1 -1</f>
        <v>7.5457303140906484E-2</v>
      </c>
    </row>
    <row r="200" spans="11:19" x14ac:dyDescent="0.2">
      <c r="K200" s="355">
        <v>39335</v>
      </c>
      <c r="L200" s="169">
        <v>49.400002000000001</v>
      </c>
      <c r="M200" s="169">
        <v>52.75</v>
      </c>
      <c r="N200" s="169">
        <v>47.860000999999997</v>
      </c>
      <c r="O200" s="169">
        <v>51.310001</v>
      </c>
      <c r="P200" s="169">
        <v>24.946960000000001</v>
      </c>
      <c r="Q200" s="169">
        <v>10997800</v>
      </c>
      <c r="R200" s="53">
        <f t="shared" si="6"/>
        <v>1.5838630148756083E-2</v>
      </c>
      <c r="S200" s="146">
        <f>(P200/P199)*('16. câmbio USD-BRL'!O200/'16. câmbio USD-BRL'!O199)^-1 -1</f>
        <v>2.2019658850719548E-2</v>
      </c>
    </row>
    <row r="201" spans="11:19" x14ac:dyDescent="0.2">
      <c r="K201" s="355">
        <v>39342</v>
      </c>
      <c r="L201" s="169">
        <v>51.200001</v>
      </c>
      <c r="M201" s="169">
        <v>57.290000999999997</v>
      </c>
      <c r="N201" s="169">
        <v>50.790000999999997</v>
      </c>
      <c r="O201" s="169">
        <v>56.700001</v>
      </c>
      <c r="P201" s="169">
        <v>27.567585000000001</v>
      </c>
      <c r="Q201" s="169">
        <v>12810600</v>
      </c>
      <c r="R201" s="53">
        <f t="shared" si="6"/>
        <v>0.10504786956005874</v>
      </c>
      <c r="S201" s="146">
        <f>(P201/P200)*('16. câmbio USD-BRL'!O201/'16. câmbio USD-BRL'!O200)^-1 -1</f>
        <v>0.12468523073156224</v>
      </c>
    </row>
    <row r="202" spans="11:19" x14ac:dyDescent="0.2">
      <c r="K202" s="355">
        <v>39349</v>
      </c>
      <c r="L202" s="169">
        <v>57.5</v>
      </c>
      <c r="M202" s="169">
        <v>64</v>
      </c>
      <c r="N202" s="169">
        <v>57.369999</v>
      </c>
      <c r="O202" s="169">
        <v>61.950001</v>
      </c>
      <c r="P202" s="169">
        <v>30.120144</v>
      </c>
      <c r="Q202" s="169">
        <v>12558700</v>
      </c>
      <c r="R202" s="53">
        <f t="shared" si="6"/>
        <v>9.2592767919279062E-2</v>
      </c>
      <c r="S202" s="146">
        <f>(P202/P201)*('16. câmbio USD-BRL'!O202/'16. câmbio USD-BRL'!O201)^-1 -1</f>
        <v>0.10629485824760154</v>
      </c>
    </row>
    <row r="203" spans="11:19" x14ac:dyDescent="0.2">
      <c r="K203" s="355">
        <v>39356</v>
      </c>
      <c r="L203" s="169">
        <v>62.799999</v>
      </c>
      <c r="M203" s="169">
        <v>66.800003000000004</v>
      </c>
      <c r="N203" s="169">
        <v>58.060001</v>
      </c>
      <c r="O203" s="169">
        <v>60.540000999999997</v>
      </c>
      <c r="P203" s="169">
        <v>29.434602999999999</v>
      </c>
      <c r="Q203" s="169">
        <v>27869800</v>
      </c>
      <c r="R203" s="53">
        <f t="shared" si="6"/>
        <v>-2.2760216551421575E-2</v>
      </c>
      <c r="S203" s="146">
        <f>(P203/P202)*('16. câmbio USD-BRL'!O203/'16. câmbio USD-BRL'!O202)^-1 -1</f>
        <v>-7.0594111663752068E-3</v>
      </c>
    </row>
    <row r="204" spans="11:19" x14ac:dyDescent="0.2">
      <c r="K204" s="355">
        <v>39363</v>
      </c>
      <c r="L204" s="169">
        <v>59.450001</v>
      </c>
      <c r="M204" s="169">
        <v>63.529998999999997</v>
      </c>
      <c r="N204" s="169">
        <v>58.799999</v>
      </c>
      <c r="O204" s="169">
        <v>61.599997999999999</v>
      </c>
      <c r="P204" s="169">
        <v>29.949974000000001</v>
      </c>
      <c r="Q204" s="169">
        <v>14232600</v>
      </c>
      <c r="R204" s="53">
        <f t="shared" si="6"/>
        <v>1.7509018212340077E-2</v>
      </c>
      <c r="S204" s="146">
        <f>(P204/P203)*('16. câmbio USD-BRL'!O204/'16. câmbio USD-BRL'!O203)^-1 -1</f>
        <v>2.0732383634343154E-2</v>
      </c>
    </row>
    <row r="205" spans="11:19" x14ac:dyDescent="0.2">
      <c r="K205" s="355">
        <v>39370</v>
      </c>
      <c r="L205" s="169">
        <v>64.709998999999996</v>
      </c>
      <c r="M205" s="169">
        <v>64.709998999999996</v>
      </c>
      <c r="N205" s="169">
        <v>59.630001</v>
      </c>
      <c r="O205" s="169">
        <v>59.630001</v>
      </c>
      <c r="P205" s="169">
        <v>28.992156999999999</v>
      </c>
      <c r="Q205" s="169">
        <v>18510000</v>
      </c>
      <c r="R205" s="53">
        <f t="shared" si="6"/>
        <v>-3.1980561986464595E-2</v>
      </c>
      <c r="S205" s="146">
        <f>(P205/P204)*('16. câmbio USD-BRL'!O205/'16. câmbio USD-BRL'!O204)^-1 -1</f>
        <v>-2.7222912696032275E-2</v>
      </c>
    </row>
    <row r="206" spans="11:19" x14ac:dyDescent="0.2">
      <c r="K206" s="355">
        <v>39377</v>
      </c>
      <c r="L206" s="169">
        <v>59.200001</v>
      </c>
      <c r="M206" s="169">
        <v>63.34</v>
      </c>
      <c r="N206" s="169">
        <v>57.540000999999997</v>
      </c>
      <c r="O206" s="169">
        <v>62.93</v>
      </c>
      <c r="P206" s="169">
        <v>30.596609000000001</v>
      </c>
      <c r="Q206" s="169">
        <v>16361000</v>
      </c>
      <c r="R206" s="53">
        <f t="shared" si="6"/>
        <v>5.5340897884900375E-2</v>
      </c>
      <c r="S206" s="146">
        <f>(P206/P205)*('16. câmbio USD-BRL'!O206/'16. câmbio USD-BRL'!O205)^-1 -1</f>
        <v>6.6298672570912487E-2</v>
      </c>
    </row>
    <row r="207" spans="11:19" x14ac:dyDescent="0.2">
      <c r="K207" s="355">
        <v>39384</v>
      </c>
      <c r="L207" s="169">
        <v>63.599997999999999</v>
      </c>
      <c r="M207" s="169">
        <v>66.120002999999997</v>
      </c>
      <c r="N207" s="169">
        <v>63.200001</v>
      </c>
      <c r="O207" s="169">
        <v>64.089995999999999</v>
      </c>
      <c r="P207" s="169">
        <v>31.160606000000001</v>
      </c>
      <c r="Q207" s="169">
        <v>12280800</v>
      </c>
      <c r="R207" s="53">
        <f t="shared" si="6"/>
        <v>1.84333172345994E-2</v>
      </c>
      <c r="S207" s="146">
        <f>(P207/P206)*('16. câmbio USD-BRL'!O207/'16. câmbio USD-BRL'!O206)^-1 -1</f>
        <v>3.2770060927859168E-2</v>
      </c>
    </row>
    <row r="208" spans="11:19" x14ac:dyDescent="0.2">
      <c r="K208" s="355">
        <v>39391</v>
      </c>
      <c r="L208" s="169">
        <v>62.84</v>
      </c>
      <c r="M208" s="169">
        <v>66.5</v>
      </c>
      <c r="N208" s="169">
        <v>61.41</v>
      </c>
      <c r="O208" s="169">
        <v>63.700001</v>
      </c>
      <c r="P208" s="169">
        <v>30.970991000000001</v>
      </c>
      <c r="Q208" s="169">
        <v>17140100</v>
      </c>
      <c r="R208" s="53">
        <f t="shared" si="6"/>
        <v>-6.0850870486921504E-3</v>
      </c>
      <c r="S208" s="146">
        <f>(P208/P207)*('16. câmbio USD-BRL'!O208/'16. câmbio USD-BRL'!O207)^-1 -1</f>
        <v>-5.9713212485489331E-3</v>
      </c>
    </row>
    <row r="209" spans="11:19" x14ac:dyDescent="0.2">
      <c r="K209" s="355">
        <v>39398</v>
      </c>
      <c r="L209" s="169">
        <v>63</v>
      </c>
      <c r="M209" s="169">
        <v>63.990001999999997</v>
      </c>
      <c r="N209" s="169">
        <v>59.509998000000003</v>
      </c>
      <c r="O209" s="169">
        <v>62</v>
      </c>
      <c r="P209" s="169">
        <v>30.144447</v>
      </c>
      <c r="Q209" s="169">
        <v>11763900</v>
      </c>
      <c r="R209" s="53">
        <f t="shared" si="6"/>
        <v>-2.6687683322758393E-2</v>
      </c>
      <c r="S209" s="146">
        <f>(P209/P208)*('16. câmbio USD-BRL'!O209/'16. câmbio USD-BRL'!O208)^-1 -1</f>
        <v>-2.3446103399285656E-2</v>
      </c>
    </row>
    <row r="210" spans="11:19" x14ac:dyDescent="0.2">
      <c r="K210" s="355">
        <v>39405</v>
      </c>
      <c r="L210" s="169">
        <v>61.919998</v>
      </c>
      <c r="M210" s="169">
        <v>61.919998</v>
      </c>
      <c r="N210" s="169">
        <v>56.099997999999999</v>
      </c>
      <c r="O210" s="169">
        <v>58.549999</v>
      </c>
      <c r="P210" s="169">
        <v>28.467054000000001</v>
      </c>
      <c r="Q210" s="169">
        <v>10231500</v>
      </c>
      <c r="R210" s="53">
        <f t="shared" si="6"/>
        <v>-5.5645174051459634E-2</v>
      </c>
      <c r="S210" s="146">
        <f>(P210/P209)*('16. câmbio USD-BRL'!O210/'16. câmbio USD-BRL'!O209)^-1 -1</f>
        <v>-8.5065964178368314E-2</v>
      </c>
    </row>
    <row r="211" spans="11:19" x14ac:dyDescent="0.2">
      <c r="K211" s="355">
        <v>39412</v>
      </c>
      <c r="L211" s="169">
        <v>59.400002000000001</v>
      </c>
      <c r="M211" s="169">
        <v>63.84</v>
      </c>
      <c r="N211" s="169">
        <v>55.799999</v>
      </c>
      <c r="O211" s="169">
        <v>62.700001</v>
      </c>
      <c r="P211" s="169">
        <v>30.484787000000001</v>
      </c>
      <c r="Q211" s="169">
        <v>16437700</v>
      </c>
      <c r="R211" s="53">
        <f t="shared" si="6"/>
        <v>7.0879585924135347E-2</v>
      </c>
      <c r="S211" s="146">
        <f>(P211/P210)*('16. câmbio USD-BRL'!O211/'16. câmbio USD-BRL'!O210)^-1 -1</f>
        <v>8.3904530490812146E-2</v>
      </c>
    </row>
    <row r="212" spans="11:19" x14ac:dyDescent="0.2">
      <c r="K212" s="355">
        <v>39419</v>
      </c>
      <c r="L212" s="169">
        <v>62.709999000000003</v>
      </c>
      <c r="M212" s="169">
        <v>65.239998</v>
      </c>
      <c r="N212" s="169">
        <v>61.349997999999999</v>
      </c>
      <c r="O212" s="169">
        <v>63.5</v>
      </c>
      <c r="P212" s="169">
        <v>30.873745</v>
      </c>
      <c r="Q212" s="169">
        <v>10993200</v>
      </c>
      <c r="R212" s="53">
        <f t="shared" si="6"/>
        <v>1.2759085375928514E-2</v>
      </c>
      <c r="S212" s="146">
        <f>(P212/P211)*('16. câmbio USD-BRL'!O212/'16. câmbio USD-BRL'!O211)^-1 -1</f>
        <v>2.2082661657732316E-2</v>
      </c>
    </row>
    <row r="213" spans="11:19" x14ac:dyDescent="0.2">
      <c r="K213" s="355">
        <v>39426</v>
      </c>
      <c r="L213" s="169">
        <v>64.209998999999996</v>
      </c>
      <c r="M213" s="169">
        <v>64.5</v>
      </c>
      <c r="N213" s="169">
        <v>58.060001</v>
      </c>
      <c r="O213" s="169">
        <v>58.700001</v>
      </c>
      <c r="P213" s="169">
        <v>28.539981999999998</v>
      </c>
      <c r="Q213" s="169">
        <v>12560200</v>
      </c>
      <c r="R213" s="53">
        <f t="shared" si="6"/>
        <v>-7.5590538174102329E-2</v>
      </c>
      <c r="S213" s="146">
        <f>(P213/P212)*('16. câmbio USD-BRL'!O213/'16. câmbio USD-BRL'!O212)^-1 -1</f>
        <v>-9.3264587527852827E-2</v>
      </c>
    </row>
    <row r="214" spans="11:19" x14ac:dyDescent="0.2">
      <c r="K214" s="355">
        <v>39433</v>
      </c>
      <c r="L214" s="169">
        <v>58.580002</v>
      </c>
      <c r="M214" s="169">
        <v>60.220001000000003</v>
      </c>
      <c r="N214" s="169">
        <v>55.450001</v>
      </c>
      <c r="O214" s="169">
        <v>59.810001</v>
      </c>
      <c r="P214" s="169">
        <v>29.079675999999999</v>
      </c>
      <c r="Q214" s="169">
        <v>10085800</v>
      </c>
      <c r="R214" s="53">
        <f t="shared" si="6"/>
        <v>1.8910103026694269E-2</v>
      </c>
      <c r="S214" s="146">
        <f>(P214/P213)*('16. câmbio USD-BRL'!O214/'16. câmbio USD-BRL'!O213)^-1 -1</f>
        <v>2.1586500212311899E-2</v>
      </c>
    </row>
    <row r="215" spans="11:19" x14ac:dyDescent="0.2">
      <c r="K215" s="355">
        <v>39440</v>
      </c>
      <c r="L215" s="169">
        <v>59.810001</v>
      </c>
      <c r="M215" s="169">
        <v>61.5</v>
      </c>
      <c r="N215" s="169">
        <v>59.009998000000003</v>
      </c>
      <c r="O215" s="169">
        <v>59.310001</v>
      </c>
      <c r="P215" s="169">
        <v>28.836573000000001</v>
      </c>
      <c r="Q215" s="169">
        <v>2917300</v>
      </c>
      <c r="R215" s="53">
        <f t="shared" si="6"/>
        <v>-8.359893693451026E-3</v>
      </c>
      <c r="S215" s="146">
        <f>(P215/P214)*('16. câmbio USD-BRL'!O215/'16. câmbio USD-BRL'!O214)^-1 -1</f>
        <v>3.9844068433814162E-3</v>
      </c>
    </row>
    <row r="216" spans="11:19" x14ac:dyDescent="0.2">
      <c r="K216" s="355">
        <v>39447</v>
      </c>
      <c r="L216" s="169">
        <v>59.310001</v>
      </c>
      <c r="M216" s="169">
        <v>59.310001</v>
      </c>
      <c r="N216" s="169">
        <v>55.700001</v>
      </c>
      <c r="O216" s="169">
        <v>56.099997999999999</v>
      </c>
      <c r="P216" s="169">
        <v>27.275856000000001</v>
      </c>
      <c r="Q216" s="169">
        <v>4425500</v>
      </c>
      <c r="R216" s="53">
        <f t="shared" si="6"/>
        <v>-5.4122832140976018E-2</v>
      </c>
      <c r="S216" s="146">
        <f>(P216/P215)*('16. câmbio USD-BRL'!O216/'16. câmbio USD-BRL'!O215)^-1 -1</f>
        <v>-4.868613774342534E-2</v>
      </c>
    </row>
    <row r="217" spans="11:19" x14ac:dyDescent="0.2">
      <c r="K217" s="355">
        <v>39454</v>
      </c>
      <c r="L217" s="169">
        <v>56.48</v>
      </c>
      <c r="M217" s="169">
        <v>57.200001</v>
      </c>
      <c r="N217" s="169">
        <v>53.68</v>
      </c>
      <c r="O217" s="169">
        <v>56.099997999999999</v>
      </c>
      <c r="P217" s="169">
        <v>27.275856000000001</v>
      </c>
      <c r="Q217" s="169">
        <v>18753400</v>
      </c>
      <c r="R217" s="53">
        <f t="shared" si="6"/>
        <v>0</v>
      </c>
      <c r="S217" s="146">
        <f>(P217/P216)*('16. câmbio USD-BRL'!O217/'16. câmbio USD-BRL'!O216)^-1 -1</f>
        <v>6.6452795600366876E-3</v>
      </c>
    </row>
    <row r="218" spans="11:19" x14ac:dyDescent="0.2">
      <c r="K218" s="355">
        <v>39461</v>
      </c>
      <c r="L218" s="169">
        <v>56.099997999999999</v>
      </c>
      <c r="M218" s="169">
        <v>57</v>
      </c>
      <c r="N218" s="169">
        <v>49.5</v>
      </c>
      <c r="O218" s="169">
        <v>51.59</v>
      </c>
      <c r="P218" s="169">
        <v>25.083100999999999</v>
      </c>
      <c r="Q218" s="169">
        <v>24586100</v>
      </c>
      <c r="R218" s="53">
        <f t="shared" si="6"/>
        <v>-8.0391794120045268E-2</v>
      </c>
      <c r="S218" s="146">
        <f>(P218/P217)*('16. câmbio USD-BRL'!O218/'16. câmbio USD-BRL'!O217)^-1 -1</f>
        <v>-0.10380299007143301</v>
      </c>
    </row>
    <row r="219" spans="11:19" x14ac:dyDescent="0.2">
      <c r="K219" s="355">
        <v>39468</v>
      </c>
      <c r="L219" s="169">
        <v>48</v>
      </c>
      <c r="M219" s="169">
        <v>50.900002000000001</v>
      </c>
      <c r="N219" s="169">
        <v>43.849997999999999</v>
      </c>
      <c r="O219" s="169">
        <v>50.119999</v>
      </c>
      <c r="P219" s="169">
        <v>24.368385</v>
      </c>
      <c r="Q219" s="169">
        <v>21052900</v>
      </c>
      <c r="R219" s="53">
        <f t="shared" si="6"/>
        <v>-2.8493925053365565E-2</v>
      </c>
      <c r="S219" s="146">
        <f>(P219/P218)*('16. câmbio USD-BRL'!O219/'16. câmbio USD-BRL'!O218)^-1 -1</f>
        <v>-2.2545817309211125E-2</v>
      </c>
    </row>
    <row r="220" spans="11:19" x14ac:dyDescent="0.2">
      <c r="K220" s="355">
        <v>39475</v>
      </c>
      <c r="L220" s="169">
        <v>49.009998000000003</v>
      </c>
      <c r="M220" s="169">
        <v>55</v>
      </c>
      <c r="N220" s="169">
        <v>47.490001999999997</v>
      </c>
      <c r="O220" s="169">
        <v>54.900002000000001</v>
      </c>
      <c r="P220" s="169">
        <v>26.692423000000002</v>
      </c>
      <c r="Q220" s="169">
        <v>17681600</v>
      </c>
      <c r="R220" s="53">
        <f t="shared" si="6"/>
        <v>9.5371030948501634E-2</v>
      </c>
      <c r="S220" s="146">
        <f>(P220/P219)*('16. câmbio USD-BRL'!O220/'16. câmbio USD-BRL'!O219)^-1 -1</f>
        <v>0.12054763339517183</v>
      </c>
    </row>
    <row r="221" spans="11:19" x14ac:dyDescent="0.2">
      <c r="K221" s="355">
        <v>39482</v>
      </c>
      <c r="L221" s="169">
        <v>54.900002000000001</v>
      </c>
      <c r="M221" s="169">
        <v>54.900002000000001</v>
      </c>
      <c r="N221" s="169">
        <v>51.41</v>
      </c>
      <c r="O221" s="169">
        <v>53.5</v>
      </c>
      <c r="P221" s="169">
        <v>26.011738000000001</v>
      </c>
      <c r="Q221" s="169">
        <v>6533500</v>
      </c>
      <c r="R221" s="53">
        <f t="shared" si="6"/>
        <v>-2.5501056985347548E-2</v>
      </c>
      <c r="S221" s="146">
        <f>(P221/P220)*('16. câmbio USD-BRL'!O221/'16. câmbio USD-BRL'!O220)^-1 -1</f>
        <v>-3.6080191810617612E-2</v>
      </c>
    </row>
    <row r="222" spans="11:19" x14ac:dyDescent="0.2">
      <c r="K222" s="355">
        <v>39489</v>
      </c>
      <c r="L222" s="169">
        <v>53.400002000000001</v>
      </c>
      <c r="M222" s="169">
        <v>57.799999</v>
      </c>
      <c r="N222" s="169">
        <v>53.400002000000001</v>
      </c>
      <c r="O222" s="169">
        <v>55.220001000000003</v>
      </c>
      <c r="P222" s="169">
        <v>26.848002999999999</v>
      </c>
      <c r="Q222" s="169">
        <v>11655600</v>
      </c>
      <c r="R222" s="53">
        <f t="shared" si="6"/>
        <v>3.2149524187887746E-2</v>
      </c>
      <c r="S222" s="146">
        <f>(P222/P221)*('16. câmbio USD-BRL'!O222/'16. câmbio USD-BRL'!O221)^-1 -1</f>
        <v>3.9178181891942554E-2</v>
      </c>
    </row>
    <row r="223" spans="11:19" x14ac:dyDescent="0.2">
      <c r="K223" s="355">
        <v>39496</v>
      </c>
      <c r="L223" s="169">
        <v>58.990001999999997</v>
      </c>
      <c r="M223" s="169">
        <v>61.34</v>
      </c>
      <c r="N223" s="169">
        <v>56.939999</v>
      </c>
      <c r="O223" s="169">
        <v>60.700001</v>
      </c>
      <c r="P223" s="169">
        <v>29.512383</v>
      </c>
      <c r="Q223" s="169">
        <v>16912600</v>
      </c>
      <c r="R223" s="53">
        <f t="shared" si="6"/>
        <v>9.9239410841841735E-2</v>
      </c>
      <c r="S223" s="146">
        <f>(P223/P222)*('16. câmbio USD-BRL'!O223/'16. câmbio USD-BRL'!O222)^-1 -1</f>
        <v>0.12663980671326591</v>
      </c>
    </row>
    <row r="224" spans="11:19" x14ac:dyDescent="0.2">
      <c r="K224" s="355">
        <v>39503</v>
      </c>
      <c r="L224" s="169">
        <v>60.689999</v>
      </c>
      <c r="M224" s="169">
        <v>62.650002000000001</v>
      </c>
      <c r="N224" s="169">
        <v>58.66</v>
      </c>
      <c r="O224" s="169">
        <v>58.66</v>
      </c>
      <c r="P224" s="169">
        <v>28.520530999999998</v>
      </c>
      <c r="Q224" s="169">
        <v>15936400</v>
      </c>
      <c r="R224" s="53">
        <f t="shared" si="6"/>
        <v>-3.3607994312082501E-2</v>
      </c>
      <c r="S224" s="146">
        <f>(P224/P223)*('16. câmbio USD-BRL'!O224/'16. câmbio USD-BRL'!O223)^-1 -1</f>
        <v>-1.8350688294370365E-2</v>
      </c>
    </row>
    <row r="225" spans="11:19" x14ac:dyDescent="0.2">
      <c r="K225" s="355">
        <v>39510</v>
      </c>
      <c r="L225" s="169">
        <v>58.849997999999999</v>
      </c>
      <c r="M225" s="169">
        <v>59.349997999999999</v>
      </c>
      <c r="N225" s="169">
        <v>55.66</v>
      </c>
      <c r="O225" s="169">
        <v>56.02</v>
      </c>
      <c r="P225" s="169">
        <v>27.236971</v>
      </c>
      <c r="Q225" s="169">
        <v>13858500</v>
      </c>
      <c r="R225" s="53">
        <f t="shared" si="6"/>
        <v>-4.5004772176226226E-2</v>
      </c>
      <c r="S225" s="146">
        <f>(P225/P224)*('16. câmbio USD-BRL'!O225/'16. câmbio USD-BRL'!O224)^-1 -1</f>
        <v>-4.9647542596665484E-2</v>
      </c>
    </row>
    <row r="226" spans="11:19" x14ac:dyDescent="0.2">
      <c r="K226" s="355">
        <v>39517</v>
      </c>
      <c r="L226" s="169">
        <v>55.689999</v>
      </c>
      <c r="M226" s="169">
        <v>58.900002000000001</v>
      </c>
      <c r="N226" s="169">
        <v>53.68</v>
      </c>
      <c r="O226" s="169">
        <v>58.900002000000001</v>
      </c>
      <c r="P226" s="169">
        <v>28.637224</v>
      </c>
      <c r="Q226" s="169">
        <v>15516400</v>
      </c>
      <c r="R226" s="53">
        <f t="shared" si="6"/>
        <v>5.1410011781412912E-2</v>
      </c>
      <c r="S226" s="146">
        <f>(P226/P225)*('16. câmbio USD-BRL'!O226/'16. câmbio USD-BRL'!O225)^-1 -1</f>
        <v>3.8663035534560963E-2</v>
      </c>
    </row>
    <row r="227" spans="11:19" x14ac:dyDescent="0.2">
      <c r="K227" s="355">
        <v>39524</v>
      </c>
      <c r="L227" s="169">
        <v>56.700001</v>
      </c>
      <c r="M227" s="169">
        <v>57.16</v>
      </c>
      <c r="N227" s="169">
        <v>51.900002000000001</v>
      </c>
      <c r="O227" s="169">
        <v>52.73</v>
      </c>
      <c r="P227" s="169">
        <v>25.637367000000001</v>
      </c>
      <c r="Q227" s="169">
        <v>10313500</v>
      </c>
      <c r="R227" s="53">
        <f t="shared" si="6"/>
        <v>-0.10475376384247292</v>
      </c>
      <c r="S227" s="146">
        <f>(P227/P226)*('16. câmbio USD-BRL'!O227/'16. câmbio USD-BRL'!O226)^-1 -1</f>
        <v>-0.12046526059303653</v>
      </c>
    </row>
    <row r="228" spans="11:19" x14ac:dyDescent="0.2">
      <c r="K228" s="355">
        <v>39531</v>
      </c>
      <c r="L228" s="169">
        <v>53.709999000000003</v>
      </c>
      <c r="M228" s="169">
        <v>60.900002000000001</v>
      </c>
      <c r="N228" s="169">
        <v>53.599997999999999</v>
      </c>
      <c r="O228" s="169">
        <v>59.799999</v>
      </c>
      <c r="P228" s="169">
        <v>29.074808000000001</v>
      </c>
      <c r="Q228" s="169">
        <v>9967200</v>
      </c>
      <c r="R228" s="53">
        <f t="shared" si="6"/>
        <v>0.13407933037741349</v>
      </c>
      <c r="S228" s="146">
        <f>(P228/P227)*('16. câmbio USD-BRL'!O228/'16. câmbio USD-BRL'!O227)^-1 -1</f>
        <v>0.13420985685843756</v>
      </c>
    </row>
    <row r="229" spans="11:19" x14ac:dyDescent="0.2">
      <c r="K229" s="355">
        <v>39538</v>
      </c>
      <c r="L229" s="169">
        <v>59.389999000000003</v>
      </c>
      <c r="M229" s="169">
        <v>62.93</v>
      </c>
      <c r="N229" s="169">
        <v>59.330002</v>
      </c>
      <c r="O229" s="169">
        <v>62.509998000000003</v>
      </c>
      <c r="P229" s="169">
        <v>30.392410000000002</v>
      </c>
      <c r="Q229" s="169">
        <v>10469100</v>
      </c>
      <c r="R229" s="53">
        <f t="shared" si="6"/>
        <v>4.531765093685225E-2</v>
      </c>
      <c r="S229" s="146">
        <f>(P229/P228)*('16. câmbio USD-BRL'!O229/'16. câmbio USD-BRL'!O228)^-1 -1</f>
        <v>6.5678194211187035E-2</v>
      </c>
    </row>
    <row r="230" spans="11:19" x14ac:dyDescent="0.2">
      <c r="K230" s="355">
        <v>39545</v>
      </c>
      <c r="L230" s="169">
        <v>63</v>
      </c>
      <c r="M230" s="169">
        <v>65.120002999999997</v>
      </c>
      <c r="N230" s="169">
        <v>59.900002000000001</v>
      </c>
      <c r="O230" s="169">
        <v>60.110000999999997</v>
      </c>
      <c r="P230" s="169">
        <v>29.225521000000001</v>
      </c>
      <c r="Q230" s="169">
        <v>14026400</v>
      </c>
      <c r="R230" s="53">
        <f t="shared" si="6"/>
        <v>-3.8394092472429864E-2</v>
      </c>
      <c r="S230" s="146">
        <f>(P230/P229)*('16. câmbio USD-BRL'!O230/'16. câmbio USD-BRL'!O229)^-1 -1</f>
        <v>-2.5125040515825203E-2</v>
      </c>
    </row>
    <row r="231" spans="11:19" x14ac:dyDescent="0.2">
      <c r="K231" s="355">
        <v>39552</v>
      </c>
      <c r="L231" s="169">
        <v>59.889999000000003</v>
      </c>
      <c r="M231" s="169">
        <v>63.299999</v>
      </c>
      <c r="N231" s="169">
        <v>58.93</v>
      </c>
      <c r="O231" s="169">
        <v>63.200001</v>
      </c>
      <c r="P231" s="169">
        <v>30.948637000000002</v>
      </c>
      <c r="Q231" s="169">
        <v>8789100</v>
      </c>
      <c r="R231" s="53">
        <f t="shared" si="6"/>
        <v>5.8959291093561683E-2</v>
      </c>
      <c r="S231" s="146">
        <f>(P231/P230)*('16. câmbio USD-BRL'!O231/'16. câmbio USD-BRL'!O230)^-1 -1</f>
        <v>7.2224183147007182E-2</v>
      </c>
    </row>
    <row r="232" spans="11:19" x14ac:dyDescent="0.2">
      <c r="K232" s="355">
        <v>39559</v>
      </c>
      <c r="L232" s="169">
        <v>63.200001</v>
      </c>
      <c r="M232" s="169">
        <v>66.099997999999999</v>
      </c>
      <c r="N232" s="169">
        <v>61</v>
      </c>
      <c r="O232" s="169">
        <v>63</v>
      </c>
      <c r="P232" s="169">
        <v>30.850695000000002</v>
      </c>
      <c r="Q232" s="169">
        <v>13575100</v>
      </c>
      <c r="R232" s="53">
        <f t="shared" si="6"/>
        <v>-3.1646627927427451E-3</v>
      </c>
      <c r="S232" s="146">
        <f>(P232/P231)*('16. câmbio USD-BRL'!O232/'16. câmbio USD-BRL'!O231)^-1 -1</f>
        <v>-4.6632126081475045E-3</v>
      </c>
    </row>
    <row r="233" spans="11:19" x14ac:dyDescent="0.2">
      <c r="K233" s="355">
        <v>39566</v>
      </c>
      <c r="L233" s="169">
        <v>63.299999</v>
      </c>
      <c r="M233" s="169">
        <v>66.400002000000001</v>
      </c>
      <c r="N233" s="169">
        <v>62.299999</v>
      </c>
      <c r="O233" s="169">
        <v>65.400002000000001</v>
      </c>
      <c r="P233" s="169">
        <v>32.025955000000003</v>
      </c>
      <c r="Q233" s="169">
        <v>8543000</v>
      </c>
      <c r="R233" s="53">
        <f t="shared" si="6"/>
        <v>3.8095089916126756E-2</v>
      </c>
      <c r="S233" s="146">
        <f>(P233/P232)*('16. câmbio USD-BRL'!O233/'16. câmbio USD-BRL'!O232)^-1 -1</f>
        <v>5.1051527872461921E-2</v>
      </c>
    </row>
    <row r="234" spans="11:19" x14ac:dyDescent="0.2">
      <c r="K234" s="355">
        <v>39573</v>
      </c>
      <c r="L234" s="169">
        <v>66.209998999999996</v>
      </c>
      <c r="M234" s="169">
        <v>68.199996999999996</v>
      </c>
      <c r="N234" s="169">
        <v>65.699996999999996</v>
      </c>
      <c r="O234" s="169">
        <v>66.410004000000001</v>
      </c>
      <c r="P234" s="169">
        <v>32.520553999999997</v>
      </c>
      <c r="Q234" s="169">
        <v>10553900</v>
      </c>
      <c r="R234" s="53">
        <f t="shared" si="6"/>
        <v>1.5443692467562498E-2</v>
      </c>
      <c r="S234" s="146">
        <f>(P234/P233)*('16. câmbio USD-BRL'!O234/'16. câmbio USD-BRL'!O233)^-1 -1</f>
        <v>-1.0462020244454862E-2</v>
      </c>
    </row>
    <row r="235" spans="11:19" x14ac:dyDescent="0.2">
      <c r="K235" s="355">
        <v>39580</v>
      </c>
      <c r="L235" s="169">
        <v>66.709998999999996</v>
      </c>
      <c r="M235" s="169">
        <v>72.089995999999999</v>
      </c>
      <c r="N235" s="169">
        <v>65.919998000000007</v>
      </c>
      <c r="O235" s="169">
        <v>72.089995999999999</v>
      </c>
      <c r="P235" s="169">
        <v>35.302013000000002</v>
      </c>
      <c r="Q235" s="169">
        <v>8609400</v>
      </c>
      <c r="R235" s="53">
        <f t="shared" si="6"/>
        <v>8.5529262508873716E-2</v>
      </c>
      <c r="S235" s="146">
        <f>(P235/P234)*('16. câmbio USD-BRL'!O235/'16. câmbio USD-BRL'!O234)^-1 -1</f>
        <v>0.1159863201943927</v>
      </c>
    </row>
    <row r="236" spans="11:19" x14ac:dyDescent="0.2">
      <c r="K236" s="355">
        <v>39587</v>
      </c>
      <c r="L236" s="169">
        <v>72.300003000000004</v>
      </c>
      <c r="M236" s="169">
        <v>72.650002000000001</v>
      </c>
      <c r="N236" s="169">
        <v>66.370002999999997</v>
      </c>
      <c r="O236" s="169">
        <v>68.25</v>
      </c>
      <c r="P236" s="169">
        <v>33.421593000000001</v>
      </c>
      <c r="Q236" s="169">
        <v>7667300</v>
      </c>
      <c r="R236" s="53">
        <f t="shared" si="6"/>
        <v>-5.3266650828098672E-2</v>
      </c>
      <c r="S236" s="146">
        <f>(P236/P235)*('16. câmbio USD-BRL'!O236/'16. câmbio USD-BRL'!O235)^-1 -1</f>
        <v>-5.929131759555617E-2</v>
      </c>
    </row>
    <row r="237" spans="11:19" x14ac:dyDescent="0.2">
      <c r="K237" s="355">
        <v>39594</v>
      </c>
      <c r="L237" s="169">
        <v>68.199996999999996</v>
      </c>
      <c r="M237" s="169">
        <v>68.879997000000003</v>
      </c>
      <c r="N237" s="169">
        <v>64.449996999999996</v>
      </c>
      <c r="O237" s="169">
        <v>65.510002</v>
      </c>
      <c r="P237" s="169">
        <v>32.079819000000001</v>
      </c>
      <c r="Q237" s="169">
        <v>9146900</v>
      </c>
      <c r="R237" s="53">
        <f t="shared" si="6"/>
        <v>-4.0146919388312829E-2</v>
      </c>
      <c r="S237" s="146">
        <f>(P237/P236)*('16. câmbio USD-BRL'!O237/'16. câmbio USD-BRL'!O236)^-1 -1</f>
        <v>-2.38782231067588E-2</v>
      </c>
    </row>
    <row r="238" spans="11:19" x14ac:dyDescent="0.2">
      <c r="K238" s="355">
        <v>39601</v>
      </c>
      <c r="L238" s="169">
        <v>65</v>
      </c>
      <c r="M238" s="169">
        <v>66.580001999999993</v>
      </c>
      <c r="N238" s="169">
        <v>60.360000999999997</v>
      </c>
      <c r="O238" s="169">
        <v>61.790000999999997</v>
      </c>
      <c r="P238" s="169">
        <v>30.258163</v>
      </c>
      <c r="Q238" s="169">
        <v>13508200</v>
      </c>
      <c r="R238" s="53">
        <f t="shared" si="6"/>
        <v>-5.6785108419720176E-2</v>
      </c>
      <c r="S238" s="146">
        <f>(P238/P237)*('16. câmbio USD-BRL'!O238/'16. câmbio USD-BRL'!O237)^-1 -1</f>
        <v>-5.6843238266360174E-2</v>
      </c>
    </row>
    <row r="239" spans="11:19" x14ac:dyDescent="0.2">
      <c r="K239" s="355">
        <v>39608</v>
      </c>
      <c r="L239" s="169">
        <v>61.98</v>
      </c>
      <c r="M239" s="169">
        <v>73.800003000000004</v>
      </c>
      <c r="N239" s="169">
        <v>55.900002000000001</v>
      </c>
      <c r="O239" s="169">
        <v>56.759998000000003</v>
      </c>
      <c r="P239" s="169">
        <v>27.795006000000001</v>
      </c>
      <c r="Q239" s="169">
        <v>13622600</v>
      </c>
      <c r="R239" s="53">
        <f t="shared" si="6"/>
        <v>-8.1404710523900525E-2</v>
      </c>
      <c r="S239" s="146">
        <f>(P239/P238)*('16. câmbio USD-BRL'!O239/'16. câmbio USD-BRL'!O238)^-1 -1</f>
        <v>-8.37762990509473E-2</v>
      </c>
    </row>
    <row r="240" spans="11:19" x14ac:dyDescent="0.2">
      <c r="K240" s="355">
        <v>39615</v>
      </c>
      <c r="L240" s="169">
        <v>56.5</v>
      </c>
      <c r="M240" s="169">
        <v>59.02</v>
      </c>
      <c r="N240" s="169">
        <v>55.27</v>
      </c>
      <c r="O240" s="169">
        <v>55.439999</v>
      </c>
      <c r="P240" s="169">
        <v>27.148606999999998</v>
      </c>
      <c r="Q240" s="169">
        <v>14738100</v>
      </c>
      <c r="R240" s="53">
        <f t="shared" si="6"/>
        <v>-2.32559402937349E-2</v>
      </c>
      <c r="S240" s="146">
        <f>(P240/P239)*('16. câmbio USD-BRL'!O240/'16. câmbio USD-BRL'!O239)^-1 -1</f>
        <v>-6.3986766319708011E-3</v>
      </c>
    </row>
    <row r="241" spans="11:19" x14ac:dyDescent="0.2">
      <c r="K241" s="355">
        <v>39622</v>
      </c>
      <c r="L241" s="169">
        <v>56.099997999999999</v>
      </c>
      <c r="M241" s="169">
        <v>59.599997999999999</v>
      </c>
      <c r="N241" s="169">
        <v>55.849997999999999</v>
      </c>
      <c r="O241" s="169">
        <v>56.23</v>
      </c>
      <c r="P241" s="169">
        <v>27.535473</v>
      </c>
      <c r="Q241" s="169">
        <v>10563100</v>
      </c>
      <c r="R241" s="53">
        <f t="shared" si="6"/>
        <v>1.4249939232609643E-2</v>
      </c>
      <c r="S241" s="146">
        <f>(P241/P240)*('16. câmbio USD-BRL'!O241/'16. câmbio USD-BRL'!O240)^-1 -1</f>
        <v>1.3109620750024531E-2</v>
      </c>
    </row>
    <row r="242" spans="11:19" x14ac:dyDescent="0.2">
      <c r="K242" s="355">
        <v>39629</v>
      </c>
      <c r="L242" s="169">
        <v>56.599997999999999</v>
      </c>
      <c r="M242" s="169">
        <v>57.830002</v>
      </c>
      <c r="N242" s="169">
        <v>50.299999</v>
      </c>
      <c r="O242" s="169">
        <v>51.5</v>
      </c>
      <c r="P242" s="169">
        <v>25.219218999999999</v>
      </c>
      <c r="Q242" s="169">
        <v>8193000</v>
      </c>
      <c r="R242" s="53">
        <f t="shared" si="6"/>
        <v>-8.4118910904490418E-2</v>
      </c>
      <c r="S242" s="146">
        <f>(P242/P241)*('16. câmbio USD-BRL'!O242/'16. câmbio USD-BRL'!O241)^-1 -1</f>
        <v>-8.4690621946372779E-2</v>
      </c>
    </row>
    <row r="243" spans="11:19" x14ac:dyDescent="0.2">
      <c r="K243" s="355">
        <v>39636</v>
      </c>
      <c r="L243" s="169">
        <v>52</v>
      </c>
      <c r="M243" s="169">
        <v>53.669998</v>
      </c>
      <c r="N243" s="169">
        <v>49.400002000000001</v>
      </c>
      <c r="O243" s="169">
        <v>50.169998</v>
      </c>
      <c r="P243" s="169">
        <v>24.567927999999998</v>
      </c>
      <c r="Q243" s="169">
        <v>9588300</v>
      </c>
      <c r="R243" s="53">
        <f t="shared" si="6"/>
        <v>-2.5825185149468743E-2</v>
      </c>
      <c r="S243" s="146">
        <f>(P243/P242)*('16. câmbio USD-BRL'!O243/'16. câmbio USD-BRL'!O242)^-1 -1</f>
        <v>-2.5521040655291261E-2</v>
      </c>
    </row>
    <row r="244" spans="11:19" x14ac:dyDescent="0.2">
      <c r="K244" s="355">
        <v>39643</v>
      </c>
      <c r="L244" s="169">
        <v>51.200001</v>
      </c>
      <c r="M244" s="169">
        <v>51.700001</v>
      </c>
      <c r="N244" s="169">
        <v>45.330002</v>
      </c>
      <c r="O244" s="169">
        <v>46.009998000000003</v>
      </c>
      <c r="P244" s="169">
        <v>22.530799999999999</v>
      </c>
      <c r="Q244" s="169">
        <v>33029300</v>
      </c>
      <c r="R244" s="53">
        <f t="shared" si="6"/>
        <v>-8.2918185041896852E-2</v>
      </c>
      <c r="S244" s="146">
        <f>(P244/P243)*('16. câmbio USD-BRL'!O244/'16. câmbio USD-BRL'!O243)^-1 -1</f>
        <v>-7.5703885050093067E-2</v>
      </c>
    </row>
    <row r="245" spans="11:19" x14ac:dyDescent="0.2">
      <c r="K245" s="355">
        <v>39650</v>
      </c>
      <c r="L245" s="169">
        <v>47.060001</v>
      </c>
      <c r="M245" s="169">
        <v>47.700001</v>
      </c>
      <c r="N245" s="169">
        <v>41.34</v>
      </c>
      <c r="O245" s="169">
        <v>43.5</v>
      </c>
      <c r="P245" s="169">
        <v>21.301672</v>
      </c>
      <c r="Q245" s="169">
        <v>24304100</v>
      </c>
      <c r="R245" s="53">
        <f t="shared" si="6"/>
        <v>-5.4553233795515466E-2</v>
      </c>
      <c r="S245" s="146">
        <f>(P245/P244)*('16. câmbio USD-BRL'!O245/'16. câmbio USD-BRL'!O244)^-1 -1</f>
        <v>-4.2623686273944861E-2</v>
      </c>
    </row>
    <row r="246" spans="11:19" x14ac:dyDescent="0.2">
      <c r="K246" s="355">
        <v>39657</v>
      </c>
      <c r="L246" s="169">
        <v>44.580002</v>
      </c>
      <c r="M246" s="169">
        <v>48.509998000000003</v>
      </c>
      <c r="N246" s="169">
        <v>43.740001999999997</v>
      </c>
      <c r="O246" s="169">
        <v>44.389999000000003</v>
      </c>
      <c r="P246" s="169">
        <v>21.737497000000001</v>
      </c>
      <c r="Q246" s="169">
        <v>19703700</v>
      </c>
      <c r="R246" s="53">
        <f t="shared" si="6"/>
        <v>2.0459661570227938E-2</v>
      </c>
      <c r="S246" s="146">
        <f>(P246/P245)*('16. câmbio USD-BRL'!O246/'16. câmbio USD-BRL'!O245)^-1 -1</f>
        <v>2.5294724635677612E-2</v>
      </c>
    </row>
    <row r="247" spans="11:19" x14ac:dyDescent="0.2">
      <c r="K247" s="355">
        <v>39664</v>
      </c>
      <c r="L247" s="169">
        <v>43.799999</v>
      </c>
      <c r="M247" s="169">
        <v>43.799999</v>
      </c>
      <c r="N247" s="169">
        <v>40.450001</v>
      </c>
      <c r="O247" s="169">
        <v>41.689999</v>
      </c>
      <c r="P247" s="169">
        <v>20.415323000000001</v>
      </c>
      <c r="Q247" s="169">
        <v>14792600</v>
      </c>
      <c r="R247" s="53">
        <f t="shared" si="6"/>
        <v>-6.0824574236859053E-2</v>
      </c>
      <c r="S247" s="146" t="e">
        <f>(P247/P246)*('16. câmbio USD-BRL'!O247/'16. câmbio USD-BRL'!O246)^-1 -1</f>
        <v>#VALUE!</v>
      </c>
    </row>
    <row r="248" spans="11:19" x14ac:dyDescent="0.2">
      <c r="K248" s="355">
        <v>39671</v>
      </c>
      <c r="L248" s="169">
        <v>42</v>
      </c>
      <c r="M248" s="169">
        <v>43.009998000000003</v>
      </c>
      <c r="N248" s="169">
        <v>39.32</v>
      </c>
      <c r="O248" s="169">
        <v>41.400002000000001</v>
      </c>
      <c r="P248" s="169">
        <v>20.273315</v>
      </c>
      <c r="Q248" s="169">
        <v>17939300</v>
      </c>
      <c r="R248" s="53">
        <f t="shared" si="6"/>
        <v>-6.9559516643454833E-3</v>
      </c>
      <c r="S248" s="146" t="e">
        <f>(P248/P247)*('16. câmbio USD-BRL'!O248/'16. câmbio USD-BRL'!O247)^-1 -1</f>
        <v>#VALUE!</v>
      </c>
    </row>
    <row r="249" spans="11:19" x14ac:dyDescent="0.2">
      <c r="K249" s="355">
        <v>39678</v>
      </c>
      <c r="L249" s="169">
        <v>41.599997999999999</v>
      </c>
      <c r="M249" s="169">
        <v>44.849997999999999</v>
      </c>
      <c r="N249" s="169">
        <v>39.25</v>
      </c>
      <c r="O249" s="169">
        <v>43.48</v>
      </c>
      <c r="P249" s="169">
        <v>21.291875999999998</v>
      </c>
      <c r="Q249" s="169">
        <v>13833300</v>
      </c>
      <c r="R249" s="53">
        <f t="shared" ref="R249:R312" si="7">P249/P248-1</f>
        <v>5.0241462730687969E-2</v>
      </c>
      <c r="S249" s="146" t="e">
        <f>(P249/P248)*('16. câmbio USD-BRL'!O249/'16. câmbio USD-BRL'!O248)^-1 -1</f>
        <v>#VALUE!</v>
      </c>
    </row>
    <row r="250" spans="11:19" x14ac:dyDescent="0.2">
      <c r="K250" s="355">
        <v>39685</v>
      </c>
      <c r="L250" s="169">
        <v>43.610000999999997</v>
      </c>
      <c r="M250" s="169">
        <v>44.5</v>
      </c>
      <c r="N250" s="169">
        <v>41.66</v>
      </c>
      <c r="O250" s="169">
        <v>43.470001000000003</v>
      </c>
      <c r="P250" s="169">
        <v>21.286981999999998</v>
      </c>
      <c r="Q250" s="169">
        <v>12013800</v>
      </c>
      <c r="R250" s="53">
        <f t="shared" si="7"/>
        <v>-2.2985292606436669E-4</v>
      </c>
      <c r="S250" s="146" t="e">
        <f>(P250/P249)*('16. câmbio USD-BRL'!O250/'16. câmbio USD-BRL'!O249)^-1 -1</f>
        <v>#VALUE!</v>
      </c>
    </row>
    <row r="251" spans="11:19" x14ac:dyDescent="0.2">
      <c r="K251" s="355">
        <v>39692</v>
      </c>
      <c r="L251" s="169">
        <v>42.990001999999997</v>
      </c>
      <c r="M251" s="169">
        <v>43.700001</v>
      </c>
      <c r="N251" s="169">
        <v>38.740001999999997</v>
      </c>
      <c r="O251" s="169">
        <v>40.790000999999997</v>
      </c>
      <c r="P251" s="169">
        <v>19.974599999999999</v>
      </c>
      <c r="Q251" s="169">
        <v>13703000</v>
      </c>
      <c r="R251" s="53">
        <f t="shared" si="7"/>
        <v>-6.1651858398715231E-2</v>
      </c>
      <c r="S251" s="146">
        <f>(P251/P250)*('16. câmbio USD-BRL'!O251/'16. câmbio USD-BRL'!O250)^-1 -1</f>
        <v>-0.11494920787251139</v>
      </c>
    </row>
    <row r="252" spans="11:19" x14ac:dyDescent="0.2">
      <c r="K252" s="355">
        <v>39699</v>
      </c>
      <c r="L252" s="169">
        <v>42.110000999999997</v>
      </c>
      <c r="M252" s="169">
        <v>43.240001999999997</v>
      </c>
      <c r="N252" s="169">
        <v>37.259998000000003</v>
      </c>
      <c r="O252" s="169">
        <v>42.66</v>
      </c>
      <c r="P252" s="169">
        <v>20.890329000000001</v>
      </c>
      <c r="Q252" s="169">
        <v>20151200</v>
      </c>
      <c r="R252" s="53">
        <f t="shared" si="7"/>
        <v>4.5844672734372871E-2</v>
      </c>
      <c r="S252" s="146">
        <f>(P252/P251)*('16. câmbio USD-BRL'!O252/'16. câmbio USD-BRL'!O251)^-1 -1</f>
        <v>1.724942598619239E-2</v>
      </c>
    </row>
    <row r="253" spans="11:19" x14ac:dyDescent="0.2">
      <c r="K253" s="355">
        <v>39706</v>
      </c>
      <c r="L253" s="169">
        <v>40.299999</v>
      </c>
      <c r="M253" s="169">
        <v>43.950001</v>
      </c>
      <c r="N253" s="169">
        <v>36.349997999999999</v>
      </c>
      <c r="O253" s="169">
        <v>43.099997999999999</v>
      </c>
      <c r="P253" s="169">
        <v>21.105796999999999</v>
      </c>
      <c r="Q253" s="169">
        <v>20519900</v>
      </c>
      <c r="R253" s="53">
        <f t="shared" si="7"/>
        <v>1.0314246367302271E-2</v>
      </c>
      <c r="S253" s="146">
        <f>(P253/P252)*('16. câmbio USD-BRL'!O253/'16. câmbio USD-BRL'!O252)^-1 -1</f>
        <v>-1.1104860728039734E-2</v>
      </c>
    </row>
    <row r="254" spans="11:19" x14ac:dyDescent="0.2">
      <c r="K254" s="355">
        <v>39713</v>
      </c>
      <c r="L254" s="169">
        <v>43.150002000000001</v>
      </c>
      <c r="M254" s="169">
        <v>43.400002000000001</v>
      </c>
      <c r="N254" s="169">
        <v>37.630001</v>
      </c>
      <c r="O254" s="169">
        <v>38.5</v>
      </c>
      <c r="P254" s="169">
        <v>18.853200999999999</v>
      </c>
      <c r="Q254" s="169">
        <v>25124100</v>
      </c>
      <c r="R254" s="53">
        <f t="shared" si="7"/>
        <v>-0.10672878167074196</v>
      </c>
      <c r="S254" s="146">
        <f>(P254/P253)*('16. câmbio USD-BRL'!O254/'16. câmbio USD-BRL'!O253)^-1 -1</f>
        <v>-0.12200663970235281</v>
      </c>
    </row>
    <row r="255" spans="11:19" x14ac:dyDescent="0.2">
      <c r="K255" s="355">
        <v>39720</v>
      </c>
      <c r="L255" s="169">
        <v>36.799999</v>
      </c>
      <c r="M255" s="169">
        <v>37</v>
      </c>
      <c r="N255" s="169">
        <v>31.75</v>
      </c>
      <c r="O255" s="169">
        <v>32.740001999999997</v>
      </c>
      <c r="P255" s="169">
        <v>16.032568000000001</v>
      </c>
      <c r="Q255" s="169">
        <v>32646500</v>
      </c>
      <c r="R255" s="53">
        <f t="shared" si="7"/>
        <v>-0.14961029694639105</v>
      </c>
      <c r="S255" s="146">
        <f>(P255/P254)*('16. câmbio USD-BRL'!O255/'16. câmbio USD-BRL'!O254)^-1 -1</f>
        <v>-0.22295746025625729</v>
      </c>
    </row>
    <row r="256" spans="11:19" x14ac:dyDescent="0.2">
      <c r="K256" s="355">
        <v>39727</v>
      </c>
      <c r="L256" s="169">
        <v>29.790001</v>
      </c>
      <c r="M256" s="169">
        <v>31.9</v>
      </c>
      <c r="N256" s="169">
        <v>24.65</v>
      </c>
      <c r="O256" s="169">
        <v>28.299999</v>
      </c>
      <c r="P256" s="169">
        <v>13.85833</v>
      </c>
      <c r="Q256" s="169">
        <v>38804000</v>
      </c>
      <c r="R256" s="53">
        <f t="shared" si="7"/>
        <v>-0.13561383304284136</v>
      </c>
      <c r="S256" s="146">
        <f>(P256/P255)*('16. câmbio USD-BRL'!O256/'16. câmbio USD-BRL'!O255)^-1 -1</f>
        <v>-0.22268675579836572</v>
      </c>
    </row>
    <row r="257" spans="11:19" x14ac:dyDescent="0.2">
      <c r="K257" s="355">
        <v>39734</v>
      </c>
      <c r="L257" s="169">
        <v>30.65</v>
      </c>
      <c r="M257" s="169">
        <v>34.470001000000003</v>
      </c>
      <c r="N257" s="169">
        <v>22.83</v>
      </c>
      <c r="O257" s="169">
        <v>25.200001</v>
      </c>
      <c r="P257" s="169">
        <v>12.340277</v>
      </c>
      <c r="Q257" s="169">
        <v>48392800</v>
      </c>
      <c r="R257" s="53">
        <f t="shared" si="7"/>
        <v>-0.10954083212046473</v>
      </c>
      <c r="S257" s="146">
        <f>(P257/P256)*('16. câmbio USD-BRL'!O257/'16. câmbio USD-BRL'!O256)^-1 -1</f>
        <v>-3.2053449853935101E-2</v>
      </c>
    </row>
    <row r="258" spans="11:19" x14ac:dyDescent="0.2">
      <c r="K258" s="355">
        <v>39741</v>
      </c>
      <c r="L258" s="169">
        <v>26</v>
      </c>
      <c r="M258" s="169">
        <v>29.959999</v>
      </c>
      <c r="N258" s="169">
        <v>23.709999</v>
      </c>
      <c r="O258" s="169">
        <v>24.389999</v>
      </c>
      <c r="P258" s="169">
        <v>12.010168999999999</v>
      </c>
      <c r="Q258" s="169">
        <v>31680600</v>
      </c>
      <c r="R258" s="53">
        <f t="shared" si="7"/>
        <v>-2.6750453008469788E-2</v>
      </c>
      <c r="S258" s="146">
        <f>(P258/P257)*('16. câmbio USD-BRL'!O258/'16. câmbio USD-BRL'!O257)^-1 -1</f>
        <v>-0.1157911595432275</v>
      </c>
    </row>
    <row r="259" spans="11:19" x14ac:dyDescent="0.2">
      <c r="K259" s="355">
        <v>39748</v>
      </c>
      <c r="L259" s="169">
        <v>24</v>
      </c>
      <c r="M259" s="169">
        <v>28.530000999999999</v>
      </c>
      <c r="N259" s="169">
        <v>22.1</v>
      </c>
      <c r="O259" s="169">
        <v>28.389999</v>
      </c>
      <c r="P259" s="169">
        <v>13.979858</v>
      </c>
      <c r="Q259" s="169">
        <v>33976300</v>
      </c>
      <c r="R259" s="53">
        <f t="shared" si="7"/>
        <v>0.16400177216490475</v>
      </c>
      <c r="S259" s="146">
        <f>(P259/P258)*('16. câmbio USD-BRL'!O259/'16. câmbio USD-BRL'!O258)^-1 -1</f>
        <v>0.26380507146640686</v>
      </c>
    </row>
    <row r="260" spans="11:19" x14ac:dyDescent="0.2">
      <c r="K260" s="355">
        <v>39755</v>
      </c>
      <c r="L260" s="169">
        <v>28.459999</v>
      </c>
      <c r="M260" s="169">
        <v>31.65</v>
      </c>
      <c r="N260" s="169">
        <v>26.1</v>
      </c>
      <c r="O260" s="169">
        <v>26.65</v>
      </c>
      <c r="P260" s="169">
        <v>13.123044</v>
      </c>
      <c r="Q260" s="169">
        <v>30881200</v>
      </c>
      <c r="R260" s="53">
        <f t="shared" si="7"/>
        <v>-6.1289177615394985E-2</v>
      </c>
      <c r="S260" s="146">
        <f>(P260/P259)*('16. câmbio USD-BRL'!O260/'16. câmbio USD-BRL'!O259)^-1 -1</f>
        <v>-8.250916124888541E-2</v>
      </c>
    </row>
    <row r="261" spans="11:19" x14ac:dyDescent="0.2">
      <c r="K261" s="355">
        <v>39762</v>
      </c>
      <c r="L261" s="169">
        <v>28.6</v>
      </c>
      <c r="M261" s="169">
        <v>29.469999000000001</v>
      </c>
      <c r="N261" s="169">
        <v>25.290001</v>
      </c>
      <c r="O261" s="169">
        <v>27.049999</v>
      </c>
      <c r="P261" s="169">
        <v>13.320016000000001</v>
      </c>
      <c r="Q261" s="169">
        <v>21635100</v>
      </c>
      <c r="R261" s="53">
        <f t="shared" si="7"/>
        <v>1.5009627339510612E-2</v>
      </c>
      <c r="S261" s="146">
        <f>(P261/P260)*('16. câmbio USD-BRL'!O261/'16. câmbio USD-BRL'!O260)^-1 -1</f>
        <v>-2.191639099172682E-2</v>
      </c>
    </row>
    <row r="262" spans="11:19" x14ac:dyDescent="0.2">
      <c r="K262" s="355">
        <v>39769</v>
      </c>
      <c r="L262" s="169">
        <v>25.76</v>
      </c>
      <c r="M262" s="169">
        <v>27.43</v>
      </c>
      <c r="N262" s="169">
        <v>22.52</v>
      </c>
      <c r="O262" s="169">
        <v>22.799999</v>
      </c>
      <c r="P262" s="169">
        <v>11.227221</v>
      </c>
      <c r="Q262" s="169">
        <v>12302400</v>
      </c>
      <c r="R262" s="53">
        <f t="shared" si="7"/>
        <v>-0.15711655301314953</v>
      </c>
      <c r="S262" s="146">
        <f>(P262/P261)*('16. câmbio USD-BRL'!O262/'16. câmbio USD-BRL'!O261)^-1 -1</f>
        <v>-0.21967567787267228</v>
      </c>
    </row>
    <row r="263" spans="11:19" x14ac:dyDescent="0.2">
      <c r="K263" s="355">
        <v>39776</v>
      </c>
      <c r="L263" s="169">
        <v>24.059999000000001</v>
      </c>
      <c r="M263" s="169">
        <v>28.15</v>
      </c>
      <c r="N263" s="169">
        <v>24.049999</v>
      </c>
      <c r="O263" s="169">
        <v>27.530000999999999</v>
      </c>
      <c r="P263" s="169">
        <v>13.556374</v>
      </c>
      <c r="Q263" s="169">
        <v>14208000</v>
      </c>
      <c r="R263" s="53">
        <f t="shared" si="7"/>
        <v>0.20745587888579009</v>
      </c>
      <c r="S263" s="146">
        <f>(P263/P262)*('16. câmbio USD-BRL'!O263/'16. câmbio USD-BRL'!O262)^-1 -1</f>
        <v>0.28680435535087745</v>
      </c>
    </row>
    <row r="264" spans="11:19" x14ac:dyDescent="0.2">
      <c r="K264" s="355">
        <v>39783</v>
      </c>
      <c r="L264" s="169">
        <v>26.049999</v>
      </c>
      <c r="M264" s="169">
        <v>26.459999</v>
      </c>
      <c r="N264" s="169">
        <v>22.809999000000001</v>
      </c>
      <c r="O264" s="169">
        <v>23.549999</v>
      </c>
      <c r="P264" s="169">
        <v>11.596539999999999</v>
      </c>
      <c r="Q264" s="169">
        <v>16647800</v>
      </c>
      <c r="R264" s="53">
        <f t="shared" si="7"/>
        <v>-0.14456918937173024</v>
      </c>
      <c r="S264" s="146">
        <f>(P264/P263)*('16. câmbio USD-BRL'!O264/'16. câmbio USD-BRL'!O263)^-1 -1</f>
        <v>-0.24768093907060929</v>
      </c>
    </row>
    <row r="265" spans="11:19" x14ac:dyDescent="0.2">
      <c r="K265" s="355">
        <v>39790</v>
      </c>
      <c r="L265" s="169">
        <v>24.76</v>
      </c>
      <c r="M265" s="169">
        <v>30.030000999999999</v>
      </c>
      <c r="N265" s="169">
        <v>24.73</v>
      </c>
      <c r="O265" s="169">
        <v>28.209999</v>
      </c>
      <c r="P265" s="169">
        <v>13.891221</v>
      </c>
      <c r="Q265" s="169">
        <v>29799300</v>
      </c>
      <c r="R265" s="53">
        <f t="shared" si="7"/>
        <v>0.19787634932488496</v>
      </c>
      <c r="S265" s="146">
        <f>(P265/P264)*('16. câmbio USD-BRL'!O265/'16. câmbio USD-BRL'!O264)^-1 -1</f>
        <v>0.3082573791732941</v>
      </c>
    </row>
    <row r="266" spans="11:19" x14ac:dyDescent="0.2">
      <c r="K266" s="355">
        <v>39797</v>
      </c>
      <c r="L266" s="169">
        <v>28.41</v>
      </c>
      <c r="M266" s="169">
        <v>30.99</v>
      </c>
      <c r="N266" s="169">
        <v>28.15</v>
      </c>
      <c r="O266" s="169">
        <v>28.690000999999999</v>
      </c>
      <c r="P266" s="169">
        <v>14.127585</v>
      </c>
      <c r="Q266" s="169">
        <v>22459500</v>
      </c>
      <c r="R266" s="53">
        <f t="shared" si="7"/>
        <v>1.7015350918396566E-2</v>
      </c>
      <c r="S266" s="146">
        <f>(P266/P265)*('16. câmbio USD-BRL'!O266/'16. câmbio USD-BRL'!O265)^-1 -1</f>
        <v>8.0057232578665261E-3</v>
      </c>
    </row>
    <row r="267" spans="11:19" x14ac:dyDescent="0.2">
      <c r="K267" s="355">
        <v>39804</v>
      </c>
      <c r="L267" s="169">
        <v>28.9</v>
      </c>
      <c r="M267" s="169">
        <v>28.99</v>
      </c>
      <c r="N267" s="169">
        <v>25.860001</v>
      </c>
      <c r="O267" s="169">
        <v>27.1</v>
      </c>
      <c r="P267" s="169">
        <v>13.344635999999999</v>
      </c>
      <c r="Q267" s="169">
        <v>5189300</v>
      </c>
      <c r="R267" s="53">
        <f t="shared" si="7"/>
        <v>-5.5419875371480742E-2</v>
      </c>
      <c r="S267" s="146">
        <f>(P267/P266)*('16. câmbio USD-BRL'!O267/'16. câmbio USD-BRL'!O266)^-1 -1</f>
        <v>-3.738997230045793E-2</v>
      </c>
    </row>
    <row r="268" spans="11:19" x14ac:dyDescent="0.2">
      <c r="K268" s="355">
        <v>39811</v>
      </c>
      <c r="L268" s="169">
        <v>27.51</v>
      </c>
      <c r="M268" s="169">
        <v>30.5</v>
      </c>
      <c r="N268" s="169">
        <v>26.389999</v>
      </c>
      <c r="O268" s="169">
        <v>30.5</v>
      </c>
      <c r="P268" s="169">
        <v>15.018869</v>
      </c>
      <c r="Q268" s="169">
        <v>7321400</v>
      </c>
      <c r="R268" s="53">
        <f t="shared" si="7"/>
        <v>0.12546112160721368</v>
      </c>
      <c r="S268" s="146">
        <f>(P268/P267)*('16. câmbio USD-BRL'!O268/'16. câmbio USD-BRL'!O267)^-1 -1</f>
        <v>0.13183532856486768</v>
      </c>
    </row>
    <row r="269" spans="11:19" x14ac:dyDescent="0.2">
      <c r="K269" s="355">
        <v>39818</v>
      </c>
      <c r="L269" s="169">
        <v>30</v>
      </c>
      <c r="M269" s="169">
        <v>34.150002000000001</v>
      </c>
      <c r="N269" s="169">
        <v>29.700001</v>
      </c>
      <c r="O269" s="169">
        <v>31.85</v>
      </c>
      <c r="P269" s="169">
        <v>15.68364</v>
      </c>
      <c r="Q269" s="169">
        <v>19318000</v>
      </c>
      <c r="R269" s="53">
        <f t="shared" si="7"/>
        <v>4.4262387533974712E-2</v>
      </c>
      <c r="S269" s="146">
        <f>(P269/P268)*('16. câmbio USD-BRL'!O269/'16. câmbio USD-BRL'!O268)^-1 -1</f>
        <v>7.68039331131396E-2</v>
      </c>
    </row>
    <row r="270" spans="11:19" x14ac:dyDescent="0.2">
      <c r="K270" s="355">
        <v>39825</v>
      </c>
      <c r="L270" s="169">
        <v>31</v>
      </c>
      <c r="M270" s="169">
        <v>31.18</v>
      </c>
      <c r="N270" s="169">
        <v>27.59</v>
      </c>
      <c r="O270" s="169">
        <v>30</v>
      </c>
      <c r="P270" s="169">
        <v>14.772659000000001</v>
      </c>
      <c r="Q270" s="169">
        <v>23660900</v>
      </c>
      <c r="R270" s="53">
        <f t="shared" si="7"/>
        <v>-5.8084794091167624E-2</v>
      </c>
      <c r="S270" s="146">
        <f>(P270/P269)*('16. câmbio USD-BRL'!O270/'16. câmbio USD-BRL'!O269)^-1 -1</f>
        <v>-7.7375546561527564E-2</v>
      </c>
    </row>
    <row r="271" spans="11:19" x14ac:dyDescent="0.2">
      <c r="K271" s="355">
        <v>39832</v>
      </c>
      <c r="L271" s="169">
        <v>30.23</v>
      </c>
      <c r="M271" s="169">
        <v>30.67</v>
      </c>
      <c r="N271" s="169">
        <v>28.25</v>
      </c>
      <c r="O271" s="169">
        <v>30.25</v>
      </c>
      <c r="P271" s="169">
        <v>14.895766999999999</v>
      </c>
      <c r="Q271" s="169">
        <v>17325000</v>
      </c>
      <c r="R271" s="53">
        <f t="shared" si="7"/>
        <v>8.3335031289897277E-3</v>
      </c>
      <c r="S271" s="146">
        <f>(P271/P270)*('16. câmbio USD-BRL'!O271/'16. câmbio USD-BRL'!O270)^-1 -1</f>
        <v>3.8621520586847868E-3</v>
      </c>
    </row>
    <row r="272" spans="11:19" x14ac:dyDescent="0.2">
      <c r="K272" s="355">
        <v>39839</v>
      </c>
      <c r="L272" s="169">
        <v>30.18</v>
      </c>
      <c r="M272" s="169">
        <v>34.290000999999997</v>
      </c>
      <c r="N272" s="169">
        <v>30.1</v>
      </c>
      <c r="O272" s="169">
        <v>32.5</v>
      </c>
      <c r="P272" s="169">
        <v>16.003713999999999</v>
      </c>
      <c r="Q272" s="169">
        <v>22924200</v>
      </c>
      <c r="R272" s="53">
        <f t="shared" si="7"/>
        <v>7.4379989966276927E-2</v>
      </c>
      <c r="S272" s="146">
        <f>(P272/P271)*('16. câmbio USD-BRL'!O272/'16. câmbio USD-BRL'!O271)^-1 -1</f>
        <v>6.9405362811211901E-2</v>
      </c>
    </row>
    <row r="273" spans="11:19" x14ac:dyDescent="0.2">
      <c r="K273" s="355">
        <v>39846</v>
      </c>
      <c r="L273" s="169">
        <v>31.809999000000001</v>
      </c>
      <c r="M273" s="169">
        <v>39.049999</v>
      </c>
      <c r="N273" s="169">
        <v>31.76</v>
      </c>
      <c r="O273" s="169">
        <v>38.75</v>
      </c>
      <c r="P273" s="169">
        <v>19.081344999999999</v>
      </c>
      <c r="Q273" s="169">
        <v>43236000</v>
      </c>
      <c r="R273" s="53">
        <f t="shared" si="7"/>
        <v>0.19230729816841263</v>
      </c>
      <c r="S273" s="146">
        <f>(P273/P272)*('16. câmbio USD-BRL'!O273/'16. câmbio USD-BRL'!O272)^-1 -1</f>
        <v>0.24572878892186667</v>
      </c>
    </row>
    <row r="274" spans="11:19" x14ac:dyDescent="0.2">
      <c r="K274" s="355">
        <v>39853</v>
      </c>
      <c r="L274" s="169">
        <v>38.700001</v>
      </c>
      <c r="M274" s="169">
        <v>39.709999000000003</v>
      </c>
      <c r="N274" s="169">
        <v>33.5</v>
      </c>
      <c r="O274" s="169">
        <v>36.389999000000003</v>
      </c>
      <c r="P274" s="169">
        <v>17.919236999999999</v>
      </c>
      <c r="Q274" s="169">
        <v>26688700</v>
      </c>
      <c r="R274" s="53">
        <f t="shared" si="7"/>
        <v>-6.0902834679630757E-2</v>
      </c>
      <c r="S274" s="146">
        <f>(P274/P273)*('16. câmbio USD-BRL'!O274/'16. câmbio USD-BRL'!O273)^-1 -1</f>
        <v>-6.8358326864501939E-2</v>
      </c>
    </row>
    <row r="275" spans="11:19" x14ac:dyDescent="0.2">
      <c r="K275" s="355">
        <v>39860</v>
      </c>
      <c r="L275" s="169">
        <v>35.959999000000003</v>
      </c>
      <c r="M275" s="169">
        <v>36.509998000000003</v>
      </c>
      <c r="N275" s="169">
        <v>31.75</v>
      </c>
      <c r="O275" s="169">
        <v>32.229999999999997</v>
      </c>
      <c r="P275" s="169">
        <v>15.870763999999999</v>
      </c>
      <c r="Q275" s="169">
        <v>24932800</v>
      </c>
      <c r="R275" s="53">
        <f t="shared" si="7"/>
        <v>-0.11431697677752684</v>
      </c>
      <c r="S275" s="146">
        <f>(P275/P274)*('16. câmbio USD-BRL'!O275/'16. câmbio USD-BRL'!O274)^-1 -1</f>
        <v>-0.1553106470999257</v>
      </c>
    </row>
    <row r="276" spans="11:19" x14ac:dyDescent="0.2">
      <c r="K276" s="355">
        <v>39867</v>
      </c>
      <c r="L276" s="169">
        <v>32.229999999999997</v>
      </c>
      <c r="M276" s="169">
        <v>32.229999999999997</v>
      </c>
      <c r="N276" s="169">
        <v>29.68</v>
      </c>
      <c r="O276" s="169">
        <v>30.870000999999998</v>
      </c>
      <c r="P276" s="169">
        <v>15.20107</v>
      </c>
      <c r="Q276" s="169">
        <v>14975300</v>
      </c>
      <c r="R276" s="53">
        <f t="shared" si="7"/>
        <v>-4.2196708362622015E-2</v>
      </c>
      <c r="S276" s="146">
        <f>(P276/P275)*('16. câmbio USD-BRL'!O276/'16. câmbio USD-BRL'!O275)^-1 -1</f>
        <v>-3.7420250693994905E-2</v>
      </c>
    </row>
    <row r="277" spans="11:19" x14ac:dyDescent="0.2">
      <c r="K277" s="355">
        <v>39874</v>
      </c>
      <c r="L277" s="169">
        <v>29.950001</v>
      </c>
      <c r="M277" s="169">
        <v>33.139999000000003</v>
      </c>
      <c r="N277" s="169">
        <v>28.91</v>
      </c>
      <c r="O277" s="169">
        <v>30.4</v>
      </c>
      <c r="P277" s="169">
        <v>14.969626</v>
      </c>
      <c r="Q277" s="169">
        <v>28567600</v>
      </c>
      <c r="R277" s="53">
        <f t="shared" si="7"/>
        <v>-1.5225507151799156E-2</v>
      </c>
      <c r="S277" s="146">
        <f>(P277/P276)*('16. câmbio USD-BRL'!O277/'16. câmbio USD-BRL'!O276)^-1 -1</f>
        <v>-1.3699053686027862E-2</v>
      </c>
    </row>
    <row r="278" spans="11:19" x14ac:dyDescent="0.2">
      <c r="K278" s="355">
        <v>39881</v>
      </c>
      <c r="L278" s="169">
        <v>29.85</v>
      </c>
      <c r="M278" s="169">
        <v>32.490001999999997</v>
      </c>
      <c r="N278" s="169">
        <v>29.5</v>
      </c>
      <c r="O278" s="169">
        <v>30.82</v>
      </c>
      <c r="P278" s="169">
        <v>15.176449</v>
      </c>
      <c r="Q278" s="169">
        <v>16427200</v>
      </c>
      <c r="R278" s="53">
        <f t="shared" si="7"/>
        <v>1.3816176837016414E-2</v>
      </c>
      <c r="S278" s="146">
        <f>(P278/P277)*('16. câmbio USD-BRL'!O278/'16. câmbio USD-BRL'!O277)^-1 -1</f>
        <v>2.6098431474253836E-2</v>
      </c>
    </row>
    <row r="279" spans="11:19" x14ac:dyDescent="0.2">
      <c r="K279" s="355">
        <v>39888</v>
      </c>
      <c r="L279" s="169">
        <v>31.1</v>
      </c>
      <c r="M279" s="169">
        <v>32.43</v>
      </c>
      <c r="N279" s="169">
        <v>29.870000999999998</v>
      </c>
      <c r="O279" s="169">
        <v>31.35</v>
      </c>
      <c r="P279" s="169">
        <v>15.437427</v>
      </c>
      <c r="Q279" s="169">
        <v>20388100</v>
      </c>
      <c r="R279" s="53">
        <f t="shared" si="7"/>
        <v>1.7196249267532826E-2</v>
      </c>
      <c r="S279" s="146">
        <f>(P279/P278)*('16. câmbio USD-BRL'!O279/'16. câmbio USD-BRL'!O278)^-1 -1</f>
        <v>6.0114557722866557E-2</v>
      </c>
    </row>
    <row r="280" spans="11:19" x14ac:dyDescent="0.2">
      <c r="K280" s="355">
        <v>39895</v>
      </c>
      <c r="L280" s="169">
        <v>32.060001</v>
      </c>
      <c r="M280" s="169">
        <v>33.669998</v>
      </c>
      <c r="N280" s="169">
        <v>31.610001</v>
      </c>
      <c r="O280" s="169">
        <v>32.25</v>
      </c>
      <c r="P280" s="169">
        <v>15.880608000000001</v>
      </c>
      <c r="Q280" s="169">
        <v>15993000</v>
      </c>
      <c r="R280" s="53">
        <f t="shared" si="7"/>
        <v>2.8708216725494617E-2</v>
      </c>
      <c r="S280" s="146">
        <f>(P280/P279)*('16. câmbio USD-BRL'!O280/'16. câmbio USD-BRL'!O279)^-1 -1</f>
        <v>1.6063947418891944E-2</v>
      </c>
    </row>
    <row r="281" spans="11:19" x14ac:dyDescent="0.2">
      <c r="K281" s="355">
        <v>39902</v>
      </c>
      <c r="L281" s="169">
        <v>31.26</v>
      </c>
      <c r="M281" s="169">
        <v>34.099997999999999</v>
      </c>
      <c r="N281" s="169">
        <v>30.18</v>
      </c>
      <c r="O281" s="169">
        <v>33.950001</v>
      </c>
      <c r="P281" s="169">
        <v>16.717728000000001</v>
      </c>
      <c r="Q281" s="169">
        <v>24069600</v>
      </c>
      <c r="R281" s="53">
        <f t="shared" si="7"/>
        <v>5.2713346995278743E-2</v>
      </c>
      <c r="S281" s="146">
        <f>(P281/P280)*('16. câmbio USD-BRL'!O281/'16. câmbio USD-BRL'!O280)^-1 -1</f>
        <v>8.9819622496575047E-2</v>
      </c>
    </row>
    <row r="282" spans="11:19" x14ac:dyDescent="0.2">
      <c r="K282" s="355">
        <v>39909</v>
      </c>
      <c r="L282" s="169">
        <v>33.5</v>
      </c>
      <c r="M282" s="169">
        <v>34.740001999999997</v>
      </c>
      <c r="N282" s="169">
        <v>32.07</v>
      </c>
      <c r="O282" s="169">
        <v>34.700001</v>
      </c>
      <c r="P282" s="169">
        <v>17.087043999999999</v>
      </c>
      <c r="Q282" s="169">
        <v>17397600</v>
      </c>
      <c r="R282" s="53">
        <f t="shared" si="7"/>
        <v>2.2091279389160778E-2</v>
      </c>
      <c r="S282" s="146">
        <f>(P282/P281)*('16. câmbio USD-BRL'!O282/'16. câmbio USD-BRL'!O281)^-1 -1</f>
        <v>9.0638448070610167E-3</v>
      </c>
    </row>
    <row r="283" spans="11:19" x14ac:dyDescent="0.2">
      <c r="K283" s="355">
        <v>39916</v>
      </c>
      <c r="L283" s="169">
        <v>34.32</v>
      </c>
      <c r="M283" s="169">
        <v>36.599997999999999</v>
      </c>
      <c r="N283" s="169">
        <v>34.130001</v>
      </c>
      <c r="O283" s="169">
        <v>35.299999</v>
      </c>
      <c r="P283" s="169">
        <v>17.382494000000001</v>
      </c>
      <c r="Q283" s="169">
        <v>18826200</v>
      </c>
      <c r="R283" s="53">
        <f t="shared" si="7"/>
        <v>1.7290878398861897E-2</v>
      </c>
      <c r="S283" s="146">
        <f>(P283/P282)*('16. câmbio USD-BRL'!O283/'16. câmbio USD-BRL'!O282)^-1 -1</f>
        <v>3.7313293537053704E-2</v>
      </c>
    </row>
    <row r="284" spans="11:19" x14ac:dyDescent="0.2">
      <c r="K284" s="355">
        <v>39923</v>
      </c>
      <c r="L284" s="169">
        <v>34.590000000000003</v>
      </c>
      <c r="M284" s="169">
        <v>36.389999000000003</v>
      </c>
      <c r="N284" s="169">
        <v>33.669998</v>
      </c>
      <c r="O284" s="169">
        <v>35.909999999999997</v>
      </c>
      <c r="P284" s="169">
        <v>17.945166</v>
      </c>
      <c r="Q284" s="169">
        <v>14550300</v>
      </c>
      <c r="R284" s="53">
        <f t="shared" si="7"/>
        <v>3.2370038499653697E-2</v>
      </c>
      <c r="S284" s="146">
        <f>(P284/P283)*('16. câmbio USD-BRL'!O284/'16. câmbio USD-BRL'!O283)^-1 -1</f>
        <v>2.7661723916027059E-2</v>
      </c>
    </row>
    <row r="285" spans="11:19" x14ac:dyDescent="0.2">
      <c r="K285" s="355">
        <v>39930</v>
      </c>
      <c r="L285" s="169">
        <v>35.099997999999999</v>
      </c>
      <c r="M285" s="169">
        <v>36.520000000000003</v>
      </c>
      <c r="N285" s="169">
        <v>33.909999999999997</v>
      </c>
      <c r="O285" s="169">
        <v>36.080002</v>
      </c>
      <c r="P285" s="169">
        <v>18.030123</v>
      </c>
      <c r="Q285" s="169">
        <v>16811900</v>
      </c>
      <c r="R285" s="53">
        <f t="shared" si="7"/>
        <v>4.7342554535299008E-3</v>
      </c>
      <c r="S285" s="146">
        <f>(P285/P284)*('16. câmbio USD-BRL'!O285/'16. câmbio USD-BRL'!O284)^-1 -1</f>
        <v>-9.6454274685573438E-3</v>
      </c>
    </row>
    <row r="286" spans="11:19" x14ac:dyDescent="0.2">
      <c r="K286" s="355">
        <v>39937</v>
      </c>
      <c r="L286" s="169">
        <v>37.650002000000001</v>
      </c>
      <c r="M286" s="169">
        <v>40.689999</v>
      </c>
      <c r="N286" s="169">
        <v>37.369999</v>
      </c>
      <c r="O286" s="169">
        <v>39.049999</v>
      </c>
      <c r="P286" s="169">
        <v>19.514309000000001</v>
      </c>
      <c r="Q286" s="169">
        <v>31119700</v>
      </c>
      <c r="R286" s="53">
        <f t="shared" si="7"/>
        <v>8.2317020244398798E-2</v>
      </c>
      <c r="S286" s="146">
        <f>(P286/P285)*('16. câmbio USD-BRL'!O286/'16. câmbio USD-BRL'!O285)^-1 -1</f>
        <v>0.14631059813087965</v>
      </c>
    </row>
    <row r="287" spans="11:19" x14ac:dyDescent="0.2">
      <c r="K287" s="355">
        <v>39944</v>
      </c>
      <c r="L287" s="169">
        <v>38.349997999999999</v>
      </c>
      <c r="M287" s="169">
        <v>39.770000000000003</v>
      </c>
      <c r="N287" s="169">
        <v>36.07</v>
      </c>
      <c r="O287" s="169">
        <v>36.599997999999999</v>
      </c>
      <c r="P287" s="169">
        <v>18.28998</v>
      </c>
      <c r="Q287" s="169">
        <v>23715500</v>
      </c>
      <c r="R287" s="53">
        <f t="shared" si="7"/>
        <v>-6.2740064226716963E-2</v>
      </c>
      <c r="S287" s="146">
        <f>(P287/P286)*('16. câmbio USD-BRL'!O287/'16. câmbio USD-BRL'!O286)^-1 -1</f>
        <v>-4.9627013250825969E-2</v>
      </c>
    </row>
    <row r="288" spans="11:19" x14ac:dyDescent="0.2">
      <c r="K288" s="355">
        <v>39951</v>
      </c>
      <c r="L288" s="169">
        <v>37.25</v>
      </c>
      <c r="M288" s="169">
        <v>41.34</v>
      </c>
      <c r="N288" s="169">
        <v>36.700001</v>
      </c>
      <c r="O288" s="169">
        <v>37.75</v>
      </c>
      <c r="P288" s="169">
        <v>18.86467</v>
      </c>
      <c r="Q288" s="169">
        <v>20334800</v>
      </c>
      <c r="R288" s="53">
        <f t="shared" si="7"/>
        <v>3.1421029437976422E-2</v>
      </c>
      <c r="S288" s="146">
        <f>(P288/P287)*('16. câmbio USD-BRL'!O288/'16. câmbio USD-BRL'!O287)^-1 -1</f>
        <v>3.4529868394183483E-2</v>
      </c>
    </row>
    <row r="289" spans="11:19" x14ac:dyDescent="0.2">
      <c r="K289" s="355">
        <v>39958</v>
      </c>
      <c r="L289" s="169">
        <v>38</v>
      </c>
      <c r="M289" s="169">
        <v>39.5</v>
      </c>
      <c r="N289" s="169">
        <v>37.229999999999997</v>
      </c>
      <c r="O289" s="169">
        <v>38.020000000000003</v>
      </c>
      <c r="P289" s="169">
        <v>18.999592</v>
      </c>
      <c r="Q289" s="169">
        <v>16206300</v>
      </c>
      <c r="R289" s="53">
        <f t="shared" si="7"/>
        <v>7.1520996656713187E-3</v>
      </c>
      <c r="S289" s="146">
        <f>(P289/P288)*('16. câmbio USD-BRL'!O289/'16. câmbio USD-BRL'!O288)^-1 -1</f>
        <v>6.3262607878657118E-2</v>
      </c>
    </row>
    <row r="290" spans="11:19" x14ac:dyDescent="0.2">
      <c r="K290" s="355">
        <v>39965</v>
      </c>
      <c r="L290" s="169">
        <v>39</v>
      </c>
      <c r="M290" s="169">
        <v>40.049999</v>
      </c>
      <c r="N290" s="169">
        <v>36.299999</v>
      </c>
      <c r="O290" s="169">
        <v>38.18</v>
      </c>
      <c r="P290" s="169">
        <v>19.079542</v>
      </c>
      <c r="Q290" s="169">
        <v>22691500</v>
      </c>
      <c r="R290" s="53">
        <f t="shared" si="7"/>
        <v>4.207985097785194E-3</v>
      </c>
      <c r="S290" s="146">
        <f>(P290/P289)*('16. câmbio USD-BRL'!O290/'16. câmbio USD-BRL'!O289)^-1 -1</f>
        <v>8.7333407212608627E-3</v>
      </c>
    </row>
    <row r="291" spans="11:19" x14ac:dyDescent="0.2">
      <c r="K291" s="355">
        <v>39972</v>
      </c>
      <c r="L291" s="169">
        <v>37.580002</v>
      </c>
      <c r="M291" s="169">
        <v>39.450001</v>
      </c>
      <c r="N291" s="169">
        <v>37.110000999999997</v>
      </c>
      <c r="O291" s="169">
        <v>38.520000000000003</v>
      </c>
      <c r="P291" s="169">
        <v>19.249455999999999</v>
      </c>
      <c r="Q291" s="169">
        <v>11685800</v>
      </c>
      <c r="R291" s="53">
        <f t="shared" si="7"/>
        <v>8.9055596827218864E-3</v>
      </c>
      <c r="S291" s="146">
        <f>(P291/P290)*('16. câmbio USD-BRL'!O291/'16. câmbio USD-BRL'!O290)^-1 -1</f>
        <v>2.5490081221068994E-3</v>
      </c>
    </row>
    <row r="292" spans="11:19" x14ac:dyDescent="0.2">
      <c r="K292" s="355">
        <v>39979</v>
      </c>
      <c r="L292" s="169">
        <v>37.900002000000001</v>
      </c>
      <c r="M292" s="169">
        <v>38.310001</v>
      </c>
      <c r="N292" s="169">
        <v>36.169998</v>
      </c>
      <c r="O292" s="169">
        <v>36.549999</v>
      </c>
      <c r="P292" s="169">
        <v>18.264994000000002</v>
      </c>
      <c r="Q292" s="169">
        <v>20480900</v>
      </c>
      <c r="R292" s="53">
        <f t="shared" si="7"/>
        <v>-5.1142328385799463E-2</v>
      </c>
      <c r="S292" s="146">
        <f>(P292/P291)*('16. câmbio USD-BRL'!O292/'16. câmbio USD-BRL'!O291)^-1 -1</f>
        <v>-4.1913165964735821E-2</v>
      </c>
    </row>
    <row r="293" spans="11:19" x14ac:dyDescent="0.2">
      <c r="K293" s="355">
        <v>39986</v>
      </c>
      <c r="L293" s="169">
        <v>36.110000999999997</v>
      </c>
      <c r="M293" s="169">
        <v>36.110000999999997</v>
      </c>
      <c r="N293" s="169">
        <v>33.509998000000003</v>
      </c>
      <c r="O293" s="169">
        <v>34.599997999999999</v>
      </c>
      <c r="P293" s="169">
        <v>17.290533</v>
      </c>
      <c r="Q293" s="169">
        <v>16499800</v>
      </c>
      <c r="R293" s="53">
        <f t="shared" si="7"/>
        <v>-5.3351290452107514E-2</v>
      </c>
      <c r="S293" s="146">
        <f>(P293/P292)*('16. câmbio USD-BRL'!O293/'16. câmbio USD-BRL'!O292)^-1 -1</f>
        <v>-4.9352774255495446E-2</v>
      </c>
    </row>
    <row r="294" spans="11:19" x14ac:dyDescent="0.2">
      <c r="K294" s="355">
        <v>39993</v>
      </c>
      <c r="L294" s="169">
        <v>34.979999999999997</v>
      </c>
      <c r="M294" s="169">
        <v>35.419998</v>
      </c>
      <c r="N294" s="169">
        <v>33.759998000000003</v>
      </c>
      <c r="O294" s="169">
        <v>34.18</v>
      </c>
      <c r="P294" s="169">
        <v>17.080641</v>
      </c>
      <c r="Q294" s="169">
        <v>11715300</v>
      </c>
      <c r="R294" s="53">
        <f t="shared" si="7"/>
        <v>-1.2139128388928166E-2</v>
      </c>
      <c r="S294" s="146">
        <f>(P294/P293)*('16. câmbio USD-BRL'!O294/'16. câmbio USD-BRL'!O293)^-1 -1</f>
        <v>-1.6966063767472228E-2</v>
      </c>
    </row>
    <row r="295" spans="11:19" x14ac:dyDescent="0.2">
      <c r="K295" s="355">
        <v>40000</v>
      </c>
      <c r="L295" s="169">
        <v>33.650002000000001</v>
      </c>
      <c r="M295" s="169">
        <v>33.740001999999997</v>
      </c>
      <c r="N295" s="169">
        <v>31.540001</v>
      </c>
      <c r="O295" s="169">
        <v>32.5</v>
      </c>
      <c r="P295" s="169">
        <v>16.241099999999999</v>
      </c>
      <c r="Q295" s="169">
        <v>13859900</v>
      </c>
      <c r="R295" s="53">
        <f t="shared" si="7"/>
        <v>-4.9151609708324218E-2</v>
      </c>
      <c r="S295" s="146">
        <f>(P295/P294)*('16. câmbio USD-BRL'!O295/'16. câmbio USD-BRL'!O294)^-1 -1</f>
        <v>-7.8726460373576446E-2</v>
      </c>
    </row>
    <row r="296" spans="11:19" x14ac:dyDescent="0.2">
      <c r="K296" s="355">
        <v>40007</v>
      </c>
      <c r="L296" s="169">
        <v>32.599997999999999</v>
      </c>
      <c r="M296" s="169">
        <v>35.080002</v>
      </c>
      <c r="N296" s="169">
        <v>31.59</v>
      </c>
      <c r="O296" s="169">
        <v>34.75</v>
      </c>
      <c r="P296" s="169">
        <v>17.365487999999999</v>
      </c>
      <c r="Q296" s="169">
        <v>16363800</v>
      </c>
      <c r="R296" s="53">
        <f t="shared" si="7"/>
        <v>6.9231024992149504E-2</v>
      </c>
      <c r="S296" s="146">
        <f>(P296/P295)*('16. câmbio USD-BRL'!O296/'16. câmbio USD-BRL'!O295)^-1 -1</f>
        <v>9.077556371758333E-2</v>
      </c>
    </row>
    <row r="297" spans="11:19" x14ac:dyDescent="0.2">
      <c r="K297" s="355">
        <v>40014</v>
      </c>
      <c r="L297" s="169">
        <v>35.110000999999997</v>
      </c>
      <c r="M297" s="169">
        <v>37.240001999999997</v>
      </c>
      <c r="N297" s="169">
        <v>34.770000000000003</v>
      </c>
      <c r="O297" s="169">
        <v>36.799999</v>
      </c>
      <c r="P297" s="169">
        <v>18.389923</v>
      </c>
      <c r="Q297" s="169">
        <v>17542400</v>
      </c>
      <c r="R297" s="53">
        <f t="shared" si="7"/>
        <v>5.8992583450577341E-2</v>
      </c>
      <c r="S297" s="146">
        <f>(P297/P296)*('16. câmbio USD-BRL'!O297/'16. câmbio USD-BRL'!O296)^-1 -1</f>
        <v>7.6831662191704897E-2</v>
      </c>
    </row>
    <row r="298" spans="11:19" x14ac:dyDescent="0.2">
      <c r="K298" s="355">
        <v>40021</v>
      </c>
      <c r="L298" s="169">
        <v>37.099997999999999</v>
      </c>
      <c r="M298" s="169">
        <v>37.330002</v>
      </c>
      <c r="N298" s="169">
        <v>35.700001</v>
      </c>
      <c r="O298" s="169">
        <v>37.049999</v>
      </c>
      <c r="P298" s="169">
        <v>18.514858</v>
      </c>
      <c r="Q298" s="169">
        <v>20492200</v>
      </c>
      <c r="R298" s="53">
        <f t="shared" si="7"/>
        <v>6.7936662921319613E-3</v>
      </c>
      <c r="S298" s="146">
        <f>(P298/P297)*('16. câmbio USD-BRL'!O298/'16. câmbio USD-BRL'!O297)^-1 -1</f>
        <v>2.3164734280031185E-2</v>
      </c>
    </row>
    <row r="299" spans="11:19" x14ac:dyDescent="0.2">
      <c r="K299" s="355">
        <v>40028</v>
      </c>
      <c r="L299" s="169">
        <v>37.549999</v>
      </c>
      <c r="M299" s="169">
        <v>38.650002000000001</v>
      </c>
      <c r="N299" s="169">
        <v>37.130001</v>
      </c>
      <c r="O299" s="169">
        <v>37.950001</v>
      </c>
      <c r="P299" s="169">
        <v>18.964611000000001</v>
      </c>
      <c r="Q299" s="169">
        <v>16892900</v>
      </c>
      <c r="R299" s="53">
        <f t="shared" si="7"/>
        <v>2.429146364503576E-2</v>
      </c>
      <c r="S299" s="146">
        <f>(P299/P298)*('16. câmbio USD-BRL'!O299/'16. câmbio USD-BRL'!O298)^-1 -1</f>
        <v>7.7854480097221179E-2</v>
      </c>
    </row>
    <row r="300" spans="11:19" x14ac:dyDescent="0.2">
      <c r="K300" s="355">
        <v>40035</v>
      </c>
      <c r="L300" s="169">
        <v>37.659999999999997</v>
      </c>
      <c r="M300" s="169">
        <v>38.5</v>
      </c>
      <c r="N300" s="169">
        <v>36.610000999999997</v>
      </c>
      <c r="O300" s="169">
        <v>38.5</v>
      </c>
      <c r="P300" s="169">
        <v>19.239460000000001</v>
      </c>
      <c r="Q300" s="169">
        <v>15491400</v>
      </c>
      <c r="R300" s="53">
        <f t="shared" si="7"/>
        <v>1.4492730697191814E-2</v>
      </c>
      <c r="S300" s="146">
        <f>(P300/P299)*('16. câmbio USD-BRL'!O300/'16. câmbio USD-BRL'!O299)^-1 -1</f>
        <v>-1.9645958230071203E-3</v>
      </c>
    </row>
    <row r="301" spans="11:19" x14ac:dyDescent="0.2">
      <c r="K301" s="355">
        <v>40042</v>
      </c>
      <c r="L301" s="169">
        <v>37.5</v>
      </c>
      <c r="M301" s="169">
        <v>37.599997999999999</v>
      </c>
      <c r="N301" s="169">
        <v>35.909999999999997</v>
      </c>
      <c r="O301" s="169">
        <v>37.5</v>
      </c>
      <c r="P301" s="169">
        <v>18.739733000000001</v>
      </c>
      <c r="Q301" s="169">
        <v>15809700</v>
      </c>
      <c r="R301" s="53">
        <f t="shared" si="7"/>
        <v>-2.5974065800183577E-2</v>
      </c>
      <c r="S301" s="146">
        <f>(P301/P300)*('16. câmbio USD-BRL'!O301/'16. câmbio USD-BRL'!O300)^-1 -1</f>
        <v>-1.3866538298177855E-2</v>
      </c>
    </row>
    <row r="302" spans="11:19" x14ac:dyDescent="0.2">
      <c r="K302" s="355">
        <v>40049</v>
      </c>
      <c r="L302" s="169">
        <v>37.93</v>
      </c>
      <c r="M302" s="169">
        <v>38.5</v>
      </c>
      <c r="N302" s="169">
        <v>36.740001999999997</v>
      </c>
      <c r="O302" s="169">
        <v>37.889999000000003</v>
      </c>
      <c r="P302" s="169">
        <v>18.934623999999999</v>
      </c>
      <c r="Q302" s="169">
        <v>19426500</v>
      </c>
      <c r="R302" s="53">
        <f t="shared" si="7"/>
        <v>1.0399881364371533E-2</v>
      </c>
      <c r="S302" s="146">
        <f>(P302/P301)*('16. câmbio USD-BRL'!O302/'16. câmbio USD-BRL'!O301)^-1 -1</f>
        <v>-1.9116550683784928E-2</v>
      </c>
    </row>
    <row r="303" spans="11:19" x14ac:dyDescent="0.2">
      <c r="K303" s="355">
        <v>40056</v>
      </c>
      <c r="L303" s="169">
        <v>37.400002000000001</v>
      </c>
      <c r="M303" s="169">
        <v>37.400002000000001</v>
      </c>
      <c r="N303" s="169">
        <v>36.009998000000003</v>
      </c>
      <c r="O303" s="169">
        <v>37.099997999999999</v>
      </c>
      <c r="P303" s="169">
        <v>18.539843000000001</v>
      </c>
      <c r="Q303" s="169">
        <v>22210600</v>
      </c>
      <c r="R303" s="53">
        <f t="shared" si="7"/>
        <v>-2.0849687852264598E-2</v>
      </c>
      <c r="S303" s="146">
        <f>(P303/P302)*('16. câmbio USD-BRL'!O303/'16. câmbio USD-BRL'!O302)^-1 -1</f>
        <v>-2.7223672742018867E-2</v>
      </c>
    </row>
    <row r="304" spans="11:19" x14ac:dyDescent="0.2">
      <c r="K304" s="355">
        <v>40063</v>
      </c>
      <c r="L304" s="169">
        <v>37.099997999999999</v>
      </c>
      <c r="M304" s="169">
        <v>39.270000000000003</v>
      </c>
      <c r="N304" s="169">
        <v>37.099997999999999</v>
      </c>
      <c r="O304" s="169">
        <v>38.400002000000001</v>
      </c>
      <c r="P304" s="169">
        <v>19.189488999999998</v>
      </c>
      <c r="Q304" s="169">
        <v>14996000</v>
      </c>
      <c r="R304" s="53">
        <f t="shared" si="7"/>
        <v>3.5040534054144645E-2</v>
      </c>
      <c r="S304" s="146">
        <f>(P304/P303)*('16. câmbio USD-BRL'!O304/'16. câmbio USD-BRL'!O303)^-1 -1</f>
        <v>5.5014498465806083E-2</v>
      </c>
    </row>
    <row r="305" spans="11:19" x14ac:dyDescent="0.2">
      <c r="K305" s="355">
        <v>40070</v>
      </c>
      <c r="L305" s="169">
        <v>38.009998000000003</v>
      </c>
      <c r="M305" s="169">
        <v>40.659999999999997</v>
      </c>
      <c r="N305" s="169">
        <v>37.849997999999999</v>
      </c>
      <c r="O305" s="169">
        <v>39.990001999999997</v>
      </c>
      <c r="P305" s="169">
        <v>19.984051000000001</v>
      </c>
      <c r="Q305" s="169">
        <v>17875600</v>
      </c>
      <c r="R305" s="53">
        <f t="shared" si="7"/>
        <v>4.1406105186021502E-2</v>
      </c>
      <c r="S305" s="146">
        <f>(P305/P304)*('16. câmbio USD-BRL'!O305/'16. câmbio USD-BRL'!O304)^-1 -1</f>
        <v>7.0529722747069812E-2</v>
      </c>
    </row>
    <row r="306" spans="11:19" x14ac:dyDescent="0.2">
      <c r="K306" s="355">
        <v>40077</v>
      </c>
      <c r="L306" s="169">
        <v>39.700001</v>
      </c>
      <c r="M306" s="169">
        <v>42.130001</v>
      </c>
      <c r="N306" s="169">
        <v>39.400002000000001</v>
      </c>
      <c r="O306" s="169">
        <v>40.689999</v>
      </c>
      <c r="P306" s="169">
        <v>20.333862</v>
      </c>
      <c r="Q306" s="169">
        <v>19851400</v>
      </c>
      <c r="R306" s="53">
        <f t="shared" si="7"/>
        <v>1.7504508970678678E-2</v>
      </c>
      <c r="S306" s="146">
        <f>(P306/P305)*('16. câmbio USD-BRL'!O306/'16. câmbio USD-BRL'!O305)^-1 -1</f>
        <v>2.2736492391084218E-2</v>
      </c>
    </row>
    <row r="307" spans="11:19" x14ac:dyDescent="0.2">
      <c r="K307" s="355">
        <v>40084</v>
      </c>
      <c r="L307" s="169">
        <v>40.869999</v>
      </c>
      <c r="M307" s="169">
        <v>41.450001</v>
      </c>
      <c r="N307" s="169">
        <v>39.409999999999997</v>
      </c>
      <c r="O307" s="169">
        <v>40.959999000000003</v>
      </c>
      <c r="P307" s="169">
        <v>20.468788</v>
      </c>
      <c r="Q307" s="169">
        <v>14804800</v>
      </c>
      <c r="R307" s="53">
        <f t="shared" si="7"/>
        <v>6.6355323941904576E-3</v>
      </c>
      <c r="S307" s="146">
        <f>(P307/P306)*('16. câmbio USD-BRL'!O307/'16. câmbio USD-BRL'!O306)^-1 -1</f>
        <v>1.6508493826545623E-2</v>
      </c>
    </row>
    <row r="308" spans="11:19" x14ac:dyDescent="0.2">
      <c r="K308" s="355">
        <v>40091</v>
      </c>
      <c r="L308" s="169">
        <v>41.150002000000001</v>
      </c>
      <c r="M308" s="169">
        <v>44.060001</v>
      </c>
      <c r="N308" s="169">
        <v>41.060001</v>
      </c>
      <c r="O308" s="169">
        <v>43.720001000000003</v>
      </c>
      <c r="P308" s="169">
        <v>21.848027999999999</v>
      </c>
      <c r="Q308" s="169">
        <v>17613400</v>
      </c>
      <c r="R308" s="53">
        <f t="shared" si="7"/>
        <v>6.7382592462240432E-2</v>
      </c>
      <c r="S308" s="146">
        <f>(P308/P307)*('16. câmbio USD-BRL'!O308/'16. câmbio USD-BRL'!O307)^-1 -1</f>
        <v>9.6352146675438011E-2</v>
      </c>
    </row>
    <row r="309" spans="11:19" x14ac:dyDescent="0.2">
      <c r="K309" s="355">
        <v>40098</v>
      </c>
      <c r="L309" s="169">
        <v>43.720001000000003</v>
      </c>
      <c r="M309" s="169">
        <v>46</v>
      </c>
      <c r="N309" s="169">
        <v>43.139999000000003</v>
      </c>
      <c r="O309" s="169">
        <v>45.25</v>
      </c>
      <c r="P309" s="169">
        <v>22.612615999999999</v>
      </c>
      <c r="Q309" s="169">
        <v>18031400</v>
      </c>
      <c r="R309" s="53">
        <f t="shared" si="7"/>
        <v>3.4995744238335735E-2</v>
      </c>
      <c r="S309" s="146">
        <f>(P309/P308)*('16. câmbio USD-BRL'!O309/'16. câmbio USD-BRL'!O308)^-1 -1</f>
        <v>5.2458763725333979E-2</v>
      </c>
    </row>
    <row r="310" spans="11:19" x14ac:dyDescent="0.2">
      <c r="K310" s="355">
        <v>40105</v>
      </c>
      <c r="L310" s="169">
        <v>45.470001000000003</v>
      </c>
      <c r="M310" s="169">
        <v>47.66</v>
      </c>
      <c r="N310" s="169">
        <v>44.75</v>
      </c>
      <c r="O310" s="169">
        <v>46.110000999999997</v>
      </c>
      <c r="P310" s="169">
        <v>23.292667000000002</v>
      </c>
      <c r="Q310" s="169">
        <v>20908100</v>
      </c>
      <c r="R310" s="53">
        <f t="shared" si="7"/>
        <v>3.0073964020792765E-2</v>
      </c>
      <c r="S310" s="146">
        <f>(P310/P309)*('16. câmbio USD-BRL'!O310/'16. câmbio USD-BRL'!O309)^-1 -1</f>
        <v>2.7164849953434489E-2</v>
      </c>
    </row>
    <row r="311" spans="11:19" x14ac:dyDescent="0.2">
      <c r="K311" s="355">
        <v>40112</v>
      </c>
      <c r="L311" s="169">
        <v>46.290000999999997</v>
      </c>
      <c r="M311" s="169">
        <v>47.09</v>
      </c>
      <c r="N311" s="169">
        <v>42.110000999999997</v>
      </c>
      <c r="O311" s="169">
        <v>44.799999</v>
      </c>
      <c r="P311" s="169">
        <v>22.630918999999999</v>
      </c>
      <c r="Q311" s="169">
        <v>21302100</v>
      </c>
      <c r="R311" s="53">
        <f t="shared" si="7"/>
        <v>-2.8410142986202591E-2</v>
      </c>
      <c r="S311" s="146">
        <f>(P311/P310)*('16. câmbio USD-BRL'!O311/'16. câmbio USD-BRL'!O310)^-1 -1</f>
        <v>-7.6995182074231283E-2</v>
      </c>
    </row>
    <row r="312" spans="11:19" x14ac:dyDescent="0.2">
      <c r="K312" s="355">
        <v>40119</v>
      </c>
      <c r="L312" s="169">
        <v>44.799999</v>
      </c>
      <c r="M312" s="169">
        <v>47.240001999999997</v>
      </c>
      <c r="N312" s="169">
        <v>43.98</v>
      </c>
      <c r="O312" s="169">
        <v>46.84</v>
      </c>
      <c r="P312" s="169">
        <v>23.661428000000001</v>
      </c>
      <c r="Q312" s="169">
        <v>13686100</v>
      </c>
      <c r="R312" s="53">
        <f t="shared" si="7"/>
        <v>4.5535446439448624E-2</v>
      </c>
      <c r="S312" s="146">
        <f>(P312/P311)*('16. câmbio USD-BRL'!O312/'16. câmbio USD-BRL'!O311)^-1 -1</f>
        <v>6.7907990830054166E-2</v>
      </c>
    </row>
    <row r="313" spans="11:19" x14ac:dyDescent="0.2">
      <c r="K313" s="355">
        <v>40126</v>
      </c>
      <c r="L313" s="169">
        <v>47.900002000000001</v>
      </c>
      <c r="M313" s="169">
        <v>48.66</v>
      </c>
      <c r="N313" s="169">
        <v>45.849997999999999</v>
      </c>
      <c r="O313" s="169">
        <v>46.900002000000001</v>
      </c>
      <c r="P313" s="169">
        <v>23.691734</v>
      </c>
      <c r="Q313" s="169">
        <v>20058800</v>
      </c>
      <c r="R313" s="53">
        <f t="shared" ref="R313:R376" si="8">P313/P312-1</f>
        <v>1.2808187231978518E-3</v>
      </c>
      <c r="S313" s="146">
        <f>(P313/P312)*('16. câmbio USD-BRL'!O313/'16. câmbio USD-BRL'!O312)^-1 -1</f>
        <v>-3.541411052479515E-3</v>
      </c>
    </row>
    <row r="314" spans="11:19" x14ac:dyDescent="0.2">
      <c r="K314" s="355">
        <v>40133</v>
      </c>
      <c r="L314" s="169">
        <v>47.84</v>
      </c>
      <c r="M314" s="169">
        <v>49.950001</v>
      </c>
      <c r="N314" s="169">
        <v>47.52</v>
      </c>
      <c r="O314" s="169">
        <v>48.669998</v>
      </c>
      <c r="P314" s="169">
        <v>24.585854000000001</v>
      </c>
      <c r="Q314" s="169">
        <v>14560700</v>
      </c>
      <c r="R314" s="53">
        <f t="shared" si="8"/>
        <v>3.7739745009799597E-2</v>
      </c>
      <c r="S314" s="146">
        <f>(P314/P313)*('16. câmbio USD-BRL'!O314/'16. câmbio USD-BRL'!O313)^-1 -1</f>
        <v>3.2110270400443675E-2</v>
      </c>
    </row>
    <row r="315" spans="11:19" x14ac:dyDescent="0.2">
      <c r="K315" s="355">
        <v>40140</v>
      </c>
      <c r="L315" s="169">
        <v>49</v>
      </c>
      <c r="M315" s="169">
        <v>50.299999</v>
      </c>
      <c r="N315" s="169">
        <v>48.349997999999999</v>
      </c>
      <c r="O315" s="169">
        <v>49.599997999999999</v>
      </c>
      <c r="P315" s="169">
        <v>25.055653</v>
      </c>
      <c r="Q315" s="169">
        <v>10658300</v>
      </c>
      <c r="R315" s="53">
        <f t="shared" si="8"/>
        <v>1.910850849435608E-2</v>
      </c>
      <c r="S315" s="146">
        <f>(P315/P314)*('16. câmbio USD-BRL'!O315/'16. câmbio USD-BRL'!O314)^-1 -1</f>
        <v>1.7640306298057906E-2</v>
      </c>
    </row>
    <row r="316" spans="11:19" x14ac:dyDescent="0.2">
      <c r="K316" s="355">
        <v>40147</v>
      </c>
      <c r="L316" s="169">
        <v>49.419998</v>
      </c>
      <c r="M316" s="169">
        <v>50.450001</v>
      </c>
      <c r="N316" s="169">
        <v>47.82</v>
      </c>
      <c r="O316" s="169">
        <v>48.049999</v>
      </c>
      <c r="P316" s="169">
        <v>24.272669</v>
      </c>
      <c r="Q316" s="169">
        <v>17885600</v>
      </c>
      <c r="R316" s="53">
        <f t="shared" si="8"/>
        <v>-3.1249794208117354E-2</v>
      </c>
      <c r="S316" s="146">
        <f>(P316/P315)*('16. câmbio USD-BRL'!O316/'16. câmbio USD-BRL'!O315)^-1 -1</f>
        <v>-2.4050953781913464E-2</v>
      </c>
    </row>
    <row r="317" spans="11:19" x14ac:dyDescent="0.2">
      <c r="K317" s="355">
        <v>40154</v>
      </c>
      <c r="L317" s="169">
        <v>48.41</v>
      </c>
      <c r="M317" s="169">
        <v>49.830002</v>
      </c>
      <c r="N317" s="169">
        <v>47.259998000000003</v>
      </c>
      <c r="O317" s="169">
        <v>49.400002000000001</v>
      </c>
      <c r="P317" s="169">
        <v>24.954630000000002</v>
      </c>
      <c r="Q317" s="169">
        <v>12072500</v>
      </c>
      <c r="R317" s="53">
        <f t="shared" si="8"/>
        <v>2.8095838986639698E-2</v>
      </c>
      <c r="S317" s="146">
        <f>(P317/P316)*('16. câmbio USD-BRL'!O317/'16. câmbio USD-BRL'!O316)^-1 -1</f>
        <v>3.4703524776211969E-2</v>
      </c>
    </row>
    <row r="318" spans="11:19" x14ac:dyDescent="0.2">
      <c r="K318" s="355">
        <v>40161</v>
      </c>
      <c r="L318" s="169">
        <v>50</v>
      </c>
      <c r="M318" s="169">
        <v>50.549999</v>
      </c>
      <c r="N318" s="169">
        <v>47.689999</v>
      </c>
      <c r="O318" s="169">
        <v>48.299999</v>
      </c>
      <c r="P318" s="169">
        <v>24.398955999999998</v>
      </c>
      <c r="Q318" s="169">
        <v>12865700</v>
      </c>
      <c r="R318" s="53">
        <f t="shared" si="8"/>
        <v>-2.226737082457253E-2</v>
      </c>
      <c r="S318" s="146">
        <f>(P318/P317)*('16. câmbio USD-BRL'!O318/'16. câmbio USD-BRL'!O317)^-1 -1</f>
        <v>-6.3314080697596253E-2</v>
      </c>
    </row>
    <row r="319" spans="11:19" x14ac:dyDescent="0.2">
      <c r="K319" s="355">
        <v>40168</v>
      </c>
      <c r="L319" s="169">
        <v>48.799999</v>
      </c>
      <c r="M319" s="169">
        <v>50.040000999999997</v>
      </c>
      <c r="N319" s="169">
        <v>48.060001</v>
      </c>
      <c r="O319" s="169">
        <v>49.709999000000003</v>
      </c>
      <c r="P319" s="169">
        <v>25.111221</v>
      </c>
      <c r="Q319" s="169">
        <v>7835600</v>
      </c>
      <c r="R319" s="53">
        <f t="shared" si="8"/>
        <v>2.9192437578066999E-2</v>
      </c>
      <c r="S319" s="146">
        <f>(P319/P318)*('16. câmbio USD-BRL'!O319/'16. câmbio USD-BRL'!O318)^-1 -1</f>
        <v>6.4527726802464436E-2</v>
      </c>
    </row>
    <row r="320" spans="11:19" x14ac:dyDescent="0.2">
      <c r="K320" s="355">
        <v>40175</v>
      </c>
      <c r="L320" s="169">
        <v>50.049999</v>
      </c>
      <c r="M320" s="169">
        <v>50.32</v>
      </c>
      <c r="N320" s="169">
        <v>49.509998000000003</v>
      </c>
      <c r="O320" s="169">
        <v>49.66</v>
      </c>
      <c r="P320" s="169">
        <v>25.085961999999999</v>
      </c>
      <c r="Q320" s="169">
        <v>2022600</v>
      </c>
      <c r="R320" s="53">
        <f t="shared" si="8"/>
        <v>-1.0058849786716006E-3</v>
      </c>
      <c r="S320" s="146">
        <f>(P320/P319)*('16. câmbio USD-BRL'!O320/'16. câmbio USD-BRL'!O319)^-1 -1</f>
        <v>-1.006159755316216E-2</v>
      </c>
    </row>
    <row r="321" spans="11:19" x14ac:dyDescent="0.2">
      <c r="K321" s="355">
        <v>40182</v>
      </c>
      <c r="L321" s="169">
        <v>50.189999</v>
      </c>
      <c r="M321" s="169">
        <v>54.240001999999997</v>
      </c>
      <c r="N321" s="169">
        <v>49.799999</v>
      </c>
      <c r="O321" s="169">
        <v>53.810001</v>
      </c>
      <c r="P321" s="169">
        <v>27.18235</v>
      </c>
      <c r="Q321" s="169">
        <v>13113600</v>
      </c>
      <c r="R321" s="53">
        <f t="shared" si="8"/>
        <v>8.3568172510187111E-2</v>
      </c>
      <c r="S321" s="146">
        <f>(P321/P320)*('16. câmbio USD-BRL'!O321/'16. câmbio USD-BRL'!O320)^-1 -1</f>
        <v>9.044995651573684E-2</v>
      </c>
    </row>
    <row r="322" spans="11:19" x14ac:dyDescent="0.2">
      <c r="K322" s="355">
        <v>40189</v>
      </c>
      <c r="L322" s="169">
        <v>54.599997999999999</v>
      </c>
      <c r="M322" s="169">
        <v>54.799999</v>
      </c>
      <c r="N322" s="169">
        <v>52.299999</v>
      </c>
      <c r="O322" s="169">
        <v>53.450001</v>
      </c>
      <c r="P322" s="169">
        <v>27.000502000000001</v>
      </c>
      <c r="Q322" s="169">
        <v>11846100</v>
      </c>
      <c r="R322" s="53">
        <f t="shared" si="8"/>
        <v>-6.6899293107475222E-3</v>
      </c>
      <c r="S322" s="146">
        <f>(P322/P321)*('16. câmbio USD-BRL'!O322/'16. câmbio USD-BRL'!O321)^-1 -1</f>
        <v>-6.2309135664364579E-3</v>
      </c>
    </row>
    <row r="323" spans="11:19" x14ac:dyDescent="0.2">
      <c r="K323" s="355">
        <v>40196</v>
      </c>
      <c r="L323" s="169">
        <v>53.299999</v>
      </c>
      <c r="M323" s="169">
        <v>55</v>
      </c>
      <c r="N323" s="169">
        <v>50.189999</v>
      </c>
      <c r="O323" s="169">
        <v>50.509998000000003</v>
      </c>
      <c r="P323" s="169">
        <v>25.515340999999999</v>
      </c>
      <c r="Q323" s="169">
        <v>13173900</v>
      </c>
      <c r="R323" s="53">
        <f t="shared" si="8"/>
        <v>-5.5004940278517878E-2</v>
      </c>
      <c r="S323" s="146">
        <f>(P323/P322)*('16. câmbio USD-BRL'!O323/'16. câmbio USD-BRL'!O322)^-1 -1</f>
        <v>-0.10056877926778274</v>
      </c>
    </row>
    <row r="324" spans="11:19" x14ac:dyDescent="0.2">
      <c r="K324" s="355">
        <v>40203</v>
      </c>
      <c r="L324" s="169">
        <v>50.509998000000003</v>
      </c>
      <c r="M324" s="169">
        <v>50.509998000000003</v>
      </c>
      <c r="N324" s="169">
        <v>48.02</v>
      </c>
      <c r="O324" s="169">
        <v>48.91</v>
      </c>
      <c r="P324" s="169">
        <v>24.707104000000001</v>
      </c>
      <c r="Q324" s="169">
        <v>13445000</v>
      </c>
      <c r="R324" s="53">
        <f t="shared" si="8"/>
        <v>-3.1676511789515138E-2</v>
      </c>
      <c r="S324" s="146">
        <f>(P324/P323)*('16. câmbio USD-BRL'!O324/'16. câmbio USD-BRL'!O323)^-1 -1</f>
        <v>-4.2468417578530482E-2</v>
      </c>
    </row>
    <row r="325" spans="11:19" x14ac:dyDescent="0.2">
      <c r="K325" s="355">
        <v>40210</v>
      </c>
      <c r="L325" s="169">
        <v>49.389999000000003</v>
      </c>
      <c r="M325" s="169">
        <v>51.189999</v>
      </c>
      <c r="N325" s="169">
        <v>45.700001</v>
      </c>
      <c r="O325" s="169">
        <v>47.16</v>
      </c>
      <c r="P325" s="169">
        <v>23.823084000000001</v>
      </c>
      <c r="Q325" s="169">
        <v>15929000</v>
      </c>
      <c r="R325" s="53">
        <f t="shared" si="8"/>
        <v>-3.5779992669314864E-2</v>
      </c>
      <c r="S325" s="146">
        <f>(P325/P324)*('16. câmbio USD-BRL'!O325/'16. câmbio USD-BRL'!O324)^-1 -1</f>
        <v>-3.2677239441471273E-2</v>
      </c>
    </row>
    <row r="326" spans="11:19" x14ac:dyDescent="0.2">
      <c r="K326" s="355">
        <v>40217</v>
      </c>
      <c r="L326" s="169">
        <v>47.57</v>
      </c>
      <c r="M326" s="169">
        <v>49.849997999999999</v>
      </c>
      <c r="N326" s="169">
        <v>46.650002000000001</v>
      </c>
      <c r="O326" s="169">
        <v>49.349997999999999</v>
      </c>
      <c r="P326" s="169">
        <v>24.929369000000001</v>
      </c>
      <c r="Q326" s="169">
        <v>22896000</v>
      </c>
      <c r="R326" s="53">
        <f t="shared" si="8"/>
        <v>4.6437522530668129E-2</v>
      </c>
      <c r="S326" s="146">
        <f>(P326/P325)*('16. câmbio USD-BRL'!O326/'16. câmbio USD-BRL'!O325)^-1 -1</f>
        <v>5.9146120651382583E-2</v>
      </c>
    </row>
    <row r="327" spans="11:19" x14ac:dyDescent="0.2">
      <c r="K327" s="355">
        <v>40224</v>
      </c>
      <c r="L327" s="169">
        <v>49.349997999999999</v>
      </c>
      <c r="M327" s="169">
        <v>52.560001</v>
      </c>
      <c r="N327" s="169">
        <v>49.349997999999999</v>
      </c>
      <c r="O327" s="169">
        <v>52</v>
      </c>
      <c r="P327" s="169">
        <v>26.268021000000001</v>
      </c>
      <c r="Q327" s="169">
        <v>6778200</v>
      </c>
      <c r="R327" s="53">
        <f t="shared" si="8"/>
        <v>5.3697789141794905E-2</v>
      </c>
      <c r="S327" s="146">
        <f>(P327/P326)*('16. câmbio USD-BRL'!O327/'16. câmbio USD-BRL'!O326)^-1 -1</f>
        <v>7.2706274604002141E-2</v>
      </c>
    </row>
    <row r="328" spans="11:19" x14ac:dyDescent="0.2">
      <c r="K328" s="355">
        <v>40231</v>
      </c>
      <c r="L328" s="169">
        <v>52.349997999999999</v>
      </c>
      <c r="M328" s="169">
        <v>52.5</v>
      </c>
      <c r="N328" s="169">
        <v>49.220001000000003</v>
      </c>
      <c r="O328" s="169">
        <v>50.450001</v>
      </c>
      <c r="P328" s="169">
        <v>25.485033000000001</v>
      </c>
      <c r="Q328" s="169">
        <v>16886300</v>
      </c>
      <c r="R328" s="53">
        <f t="shared" si="8"/>
        <v>-2.9807650907542671E-2</v>
      </c>
      <c r="S328" s="146">
        <f>(P328/P327)*('16. câmbio USD-BRL'!O328/'16. câmbio USD-BRL'!O327)^-1 -1</f>
        <v>-1.2944387664311829E-2</v>
      </c>
    </row>
    <row r="329" spans="11:19" x14ac:dyDescent="0.2">
      <c r="K329" s="355">
        <v>40238</v>
      </c>
      <c r="L329" s="169">
        <v>50.799999</v>
      </c>
      <c r="M329" s="169">
        <v>54.41</v>
      </c>
      <c r="N329" s="169">
        <v>50.549999</v>
      </c>
      <c r="O329" s="169">
        <v>54.299999</v>
      </c>
      <c r="P329" s="169">
        <v>27.42989</v>
      </c>
      <c r="Q329" s="169">
        <v>16059400</v>
      </c>
      <c r="R329" s="53">
        <f t="shared" si="8"/>
        <v>7.6313693609892486E-2</v>
      </c>
      <c r="S329" s="146">
        <f>(P329/P328)*('16. câmbio USD-BRL'!O329/'16. câmbio USD-BRL'!O328)^-1 -1</f>
        <v>8.9709204123705977E-2</v>
      </c>
    </row>
    <row r="330" spans="11:19" x14ac:dyDescent="0.2">
      <c r="K330" s="355">
        <v>40245</v>
      </c>
      <c r="L330" s="169">
        <v>54.349997999999999</v>
      </c>
      <c r="M330" s="169">
        <v>54.900002000000001</v>
      </c>
      <c r="N330" s="169">
        <v>52.5</v>
      </c>
      <c r="O330" s="169">
        <v>52.599997999999999</v>
      </c>
      <c r="P330" s="169">
        <v>26.571118999999999</v>
      </c>
      <c r="Q330" s="169">
        <v>14951100</v>
      </c>
      <c r="R330" s="53">
        <f t="shared" si="8"/>
        <v>-3.1307854315128503E-2</v>
      </c>
      <c r="S330" s="146">
        <f>(P330/P329)*('16. câmbio USD-BRL'!O330/'16. câmbio USD-BRL'!O329)^-1 -1</f>
        <v>-2.39059252971211E-2</v>
      </c>
    </row>
    <row r="331" spans="11:19" x14ac:dyDescent="0.2">
      <c r="K331" s="355">
        <v>40252</v>
      </c>
      <c r="L331" s="169">
        <v>52.349997999999999</v>
      </c>
      <c r="M331" s="169">
        <v>54.849997999999999</v>
      </c>
      <c r="N331" s="169">
        <v>52.349997999999999</v>
      </c>
      <c r="O331" s="169">
        <v>53.169998</v>
      </c>
      <c r="P331" s="169">
        <v>26.859055000000001</v>
      </c>
      <c r="Q331" s="169">
        <v>9047000</v>
      </c>
      <c r="R331" s="53">
        <f t="shared" si="8"/>
        <v>1.0836427325473297E-2</v>
      </c>
      <c r="S331" s="146">
        <f>(P331/P330)*('16. câmbio USD-BRL'!O331/'16. câmbio USD-BRL'!O330)^-1 -1</f>
        <v>-7.6855411092582315E-3</v>
      </c>
    </row>
    <row r="332" spans="11:19" x14ac:dyDescent="0.2">
      <c r="K332" s="355">
        <v>40259</v>
      </c>
      <c r="L332" s="169">
        <v>52.790000999999997</v>
      </c>
      <c r="M332" s="169">
        <v>56.830002</v>
      </c>
      <c r="N332" s="169">
        <v>52.34</v>
      </c>
      <c r="O332" s="169">
        <v>55.799999</v>
      </c>
      <c r="P332" s="169">
        <v>28.187614</v>
      </c>
      <c r="Q332" s="169">
        <v>11737000</v>
      </c>
      <c r="R332" s="53">
        <f t="shared" si="8"/>
        <v>4.9464100654323051E-2</v>
      </c>
      <c r="S332" s="146">
        <f>(P332/P331)*('16. câmbio USD-BRL'!O332/'16. câmbio USD-BRL'!O331)^-1 -1</f>
        <v>3.4127464527850648E-2</v>
      </c>
    </row>
    <row r="333" spans="11:19" x14ac:dyDescent="0.2">
      <c r="K333" s="355">
        <v>40266</v>
      </c>
      <c r="L333" s="169">
        <v>56.389999000000003</v>
      </c>
      <c r="M333" s="169">
        <v>58.080002</v>
      </c>
      <c r="N333" s="169">
        <v>56.299999</v>
      </c>
      <c r="O333" s="169">
        <v>57.73</v>
      </c>
      <c r="P333" s="169">
        <v>29.162558000000001</v>
      </c>
      <c r="Q333" s="169">
        <v>10872600</v>
      </c>
      <c r="R333" s="53">
        <f t="shared" si="8"/>
        <v>3.4587673862711554E-2</v>
      </c>
      <c r="S333" s="146">
        <f>(P333/P332)*('16. câmbio USD-BRL'!O333/'16. câmbio USD-BRL'!O332)^-1 -1</f>
        <v>6.7411651174108522E-2</v>
      </c>
    </row>
    <row r="334" spans="11:19" x14ac:dyDescent="0.2">
      <c r="K334" s="355">
        <v>40273</v>
      </c>
      <c r="L334" s="169">
        <v>58</v>
      </c>
      <c r="M334" s="169">
        <v>59.73</v>
      </c>
      <c r="N334" s="169">
        <v>57.18</v>
      </c>
      <c r="O334" s="169">
        <v>59.290000999999997</v>
      </c>
      <c r="P334" s="169">
        <v>29.950602</v>
      </c>
      <c r="Q334" s="169">
        <v>9055438</v>
      </c>
      <c r="R334" s="53">
        <f t="shared" si="8"/>
        <v>2.7022458043632458E-2</v>
      </c>
      <c r="S334" s="146">
        <f>(P334/P333)*('16. câmbio USD-BRL'!O334/'16. câmbio USD-BRL'!O333)^-1 -1</f>
        <v>-3.8288094707217279E-3</v>
      </c>
    </row>
    <row r="335" spans="11:19" x14ac:dyDescent="0.2">
      <c r="K335" s="355">
        <v>40280</v>
      </c>
      <c r="L335" s="169">
        <v>59.400002000000001</v>
      </c>
      <c r="M335" s="169">
        <v>60.110000999999997</v>
      </c>
      <c r="N335" s="169">
        <v>57.900002000000001</v>
      </c>
      <c r="O335" s="169">
        <v>58.529998999999997</v>
      </c>
      <c r="P335" s="169">
        <v>29.566683000000001</v>
      </c>
      <c r="Q335" s="169">
        <v>13207500</v>
      </c>
      <c r="R335" s="53">
        <f t="shared" si="8"/>
        <v>-1.281840678861812E-2</v>
      </c>
      <c r="S335" s="146">
        <f>(P335/P334)*('16. câmbio USD-BRL'!O335/'16. câmbio USD-BRL'!O334)^-1 -1</f>
        <v>-5.4618570013328371E-3</v>
      </c>
    </row>
    <row r="336" spans="11:19" x14ac:dyDescent="0.2">
      <c r="K336" s="355">
        <v>40287</v>
      </c>
      <c r="L336" s="169">
        <v>57.880001</v>
      </c>
      <c r="M336" s="169">
        <v>59.509998000000003</v>
      </c>
      <c r="N336" s="169">
        <v>53.860000999999997</v>
      </c>
      <c r="O336" s="169">
        <v>56.400002000000001</v>
      </c>
      <c r="P336" s="169">
        <v>28.692858000000001</v>
      </c>
      <c r="Q336" s="169">
        <v>14832300</v>
      </c>
      <c r="R336" s="53">
        <f t="shared" si="8"/>
        <v>-2.955438051674586E-2</v>
      </c>
      <c r="S336" s="146">
        <f>(P336/P335)*('16. câmbio USD-BRL'!O336/'16. câmbio USD-BRL'!O335)^-1 -1</f>
        <v>-3.2251897838885601E-2</v>
      </c>
    </row>
    <row r="337" spans="11:19" x14ac:dyDescent="0.2">
      <c r="K337" s="355">
        <v>40294</v>
      </c>
      <c r="L337" s="169">
        <v>56.509998000000003</v>
      </c>
      <c r="M337" s="169">
        <v>56.939999</v>
      </c>
      <c r="N337" s="169">
        <v>52.009998000000003</v>
      </c>
      <c r="O337" s="169">
        <v>53.099997999999999</v>
      </c>
      <c r="P337" s="169">
        <v>27.014012999999998</v>
      </c>
      <c r="Q337" s="169">
        <v>18939500</v>
      </c>
      <c r="R337" s="53">
        <f t="shared" si="8"/>
        <v>-5.8510901911548951E-2</v>
      </c>
      <c r="S337" s="146">
        <f>(P337/P336)*('16. câmbio USD-BRL'!O337/'16. câmbio USD-BRL'!O336)^-1 -1</f>
        <v>-9.7512039914549042E-3</v>
      </c>
    </row>
    <row r="338" spans="11:19" x14ac:dyDescent="0.2">
      <c r="K338" s="355">
        <v>40301</v>
      </c>
      <c r="L338" s="169">
        <v>53.27</v>
      </c>
      <c r="M338" s="169">
        <v>53.490001999999997</v>
      </c>
      <c r="N338" s="169">
        <v>47.200001</v>
      </c>
      <c r="O338" s="169">
        <v>49.700001</v>
      </c>
      <c r="P338" s="169">
        <v>25.284309</v>
      </c>
      <c r="Q338" s="169">
        <v>24339100</v>
      </c>
      <c r="R338" s="53">
        <f t="shared" si="8"/>
        <v>-6.402987960359674E-2</v>
      </c>
      <c r="S338" s="146">
        <f>(P338/P337)*('16. câmbio USD-BRL'!O338/'16. câmbio USD-BRL'!O337)^-1 -1</f>
        <v>-0.12329630482067178</v>
      </c>
    </row>
    <row r="339" spans="11:19" x14ac:dyDescent="0.2">
      <c r="K339" s="355">
        <v>40308</v>
      </c>
      <c r="L339" s="169">
        <v>52.209999000000003</v>
      </c>
      <c r="M339" s="169">
        <v>52.610000999999997</v>
      </c>
      <c r="N339" s="169">
        <v>48.799999</v>
      </c>
      <c r="O339" s="169">
        <v>48.900002000000001</v>
      </c>
      <c r="P339" s="169">
        <v>24.877312</v>
      </c>
      <c r="Q339" s="169">
        <v>13764400</v>
      </c>
      <c r="R339" s="53">
        <f t="shared" si="8"/>
        <v>-1.6096821154970131E-2</v>
      </c>
      <c r="S339" s="146">
        <f>(P339/P338)*('16. câmbio USD-BRL'!O339/'16. câmbio USD-BRL'!O338)^-1 -1</f>
        <v>2.3331575423661821E-3</v>
      </c>
    </row>
    <row r="340" spans="11:19" x14ac:dyDescent="0.2">
      <c r="K340" s="355">
        <v>40315</v>
      </c>
      <c r="L340" s="169">
        <v>48.790000999999997</v>
      </c>
      <c r="M340" s="169">
        <v>49.099997999999999</v>
      </c>
      <c r="N340" s="169">
        <v>43.849997999999999</v>
      </c>
      <c r="O340" s="169">
        <v>46.799999</v>
      </c>
      <c r="P340" s="169">
        <v>23.808964</v>
      </c>
      <c r="Q340" s="169">
        <v>24020300</v>
      </c>
      <c r="R340" s="53">
        <f t="shared" si="8"/>
        <v>-4.2944671835928316E-2</v>
      </c>
      <c r="S340" s="146">
        <f>(P340/P339)*('16. câmbio USD-BRL'!O340/'16. câmbio USD-BRL'!O339)^-1 -1</f>
        <v>-6.6074793940010368E-2</v>
      </c>
    </row>
    <row r="341" spans="11:19" x14ac:dyDescent="0.2">
      <c r="K341" s="355">
        <v>40322</v>
      </c>
      <c r="L341" s="169">
        <v>46.599997999999999</v>
      </c>
      <c r="M341" s="169">
        <v>50.02</v>
      </c>
      <c r="N341" s="169">
        <v>44.34</v>
      </c>
      <c r="O341" s="169">
        <v>48.950001</v>
      </c>
      <c r="P341" s="169">
        <v>24.902750000000001</v>
      </c>
      <c r="Q341" s="169">
        <v>22183400</v>
      </c>
      <c r="R341" s="53">
        <f t="shared" si="8"/>
        <v>4.594009214344652E-2</v>
      </c>
      <c r="S341" s="146">
        <f>(P341/P340)*('16. câmbio USD-BRL'!O341/'16. câmbio USD-BRL'!O340)^-1 -1</f>
        <v>3.7581333691021568E-2</v>
      </c>
    </row>
    <row r="342" spans="11:19" x14ac:dyDescent="0.2">
      <c r="K342" s="355">
        <v>40329</v>
      </c>
      <c r="L342" s="169">
        <v>49.299999</v>
      </c>
      <c r="M342" s="169">
        <v>50.400002000000001</v>
      </c>
      <c r="N342" s="169">
        <v>46.919998</v>
      </c>
      <c r="O342" s="169">
        <v>47.59</v>
      </c>
      <c r="P342" s="169">
        <v>24.210872999999999</v>
      </c>
      <c r="Q342" s="169">
        <v>15137200</v>
      </c>
      <c r="R342" s="53">
        <f t="shared" si="8"/>
        <v>-2.778315647870222E-2</v>
      </c>
      <c r="S342" s="146">
        <f>(P342/P341)*('16. câmbio USD-BRL'!O342/'16. câmbio USD-BRL'!O341)^-1 -1</f>
        <v>-1.5795212361188082E-2</v>
      </c>
    </row>
    <row r="343" spans="11:19" x14ac:dyDescent="0.2">
      <c r="K343" s="355">
        <v>40336</v>
      </c>
      <c r="L343" s="169">
        <v>47.720001000000003</v>
      </c>
      <c r="M343" s="169">
        <v>48.470001000000003</v>
      </c>
      <c r="N343" s="169">
        <v>45.900002000000001</v>
      </c>
      <c r="O343" s="169">
        <v>48.189999</v>
      </c>
      <c r="P343" s="169">
        <v>24.516109</v>
      </c>
      <c r="Q343" s="169">
        <v>12531200</v>
      </c>
      <c r="R343" s="53">
        <f t="shared" si="8"/>
        <v>1.2607393380651866E-2</v>
      </c>
      <c r="S343" s="146">
        <f>(P343/P342)*('16. câmbio USD-BRL'!O343/'16. câmbio USD-BRL'!O342)^-1 -1</f>
        <v>3.3363452232615387E-2</v>
      </c>
    </row>
    <row r="344" spans="11:19" x14ac:dyDescent="0.2">
      <c r="K344" s="355">
        <v>40343</v>
      </c>
      <c r="L344" s="169">
        <v>48.950001</v>
      </c>
      <c r="M344" s="169">
        <v>49.68</v>
      </c>
      <c r="N344" s="169">
        <v>46.799999</v>
      </c>
      <c r="O344" s="169">
        <v>46.919998</v>
      </c>
      <c r="P344" s="169">
        <v>23.870010000000001</v>
      </c>
      <c r="Q344" s="169">
        <v>11360593</v>
      </c>
      <c r="R344" s="53">
        <f t="shared" si="8"/>
        <v>-2.6354059691935605E-2</v>
      </c>
      <c r="S344" s="146">
        <f>(P344/P343)*('16. câmbio USD-BRL'!O344/'16. câmbio USD-BRL'!O343)^-1 -1</f>
        <v>-8.5148924664849579E-3</v>
      </c>
    </row>
    <row r="345" spans="11:19" x14ac:dyDescent="0.2">
      <c r="K345" s="355">
        <v>40350</v>
      </c>
      <c r="L345" s="169">
        <v>48.5</v>
      </c>
      <c r="M345" s="169">
        <v>49.080002</v>
      </c>
      <c r="N345" s="169">
        <v>47.200001</v>
      </c>
      <c r="O345" s="169">
        <v>48.080002</v>
      </c>
      <c r="P345" s="169">
        <v>24.460142000000001</v>
      </c>
      <c r="Q345" s="169">
        <v>12910900</v>
      </c>
      <c r="R345" s="53">
        <f t="shared" si="8"/>
        <v>2.4722737862279853E-2</v>
      </c>
      <c r="S345" s="146">
        <f>(P345/P344)*('16. câmbio USD-BRL'!O345/'16. câmbio USD-BRL'!O344)^-1 -1</f>
        <v>-7.1127494432169369E-3</v>
      </c>
    </row>
    <row r="346" spans="11:19" x14ac:dyDescent="0.2">
      <c r="K346" s="355">
        <v>40357</v>
      </c>
      <c r="L346" s="169">
        <v>48</v>
      </c>
      <c r="M346" s="169">
        <v>48.43</v>
      </c>
      <c r="N346" s="169">
        <v>42.84</v>
      </c>
      <c r="O346" s="169">
        <v>43.619999</v>
      </c>
      <c r="P346" s="169">
        <v>22.191175000000001</v>
      </c>
      <c r="Q346" s="169">
        <v>15593100</v>
      </c>
      <c r="R346" s="53">
        <f t="shared" si="8"/>
        <v>-9.2761808169388393E-2</v>
      </c>
      <c r="S346" s="146">
        <f>(P346/P345)*('16. câmbio USD-BRL'!O346/'16. câmbio USD-BRL'!O345)^-1 -1</f>
        <v>-6.5514737886413488E-2</v>
      </c>
    </row>
    <row r="347" spans="11:19" x14ac:dyDescent="0.2">
      <c r="K347" s="355">
        <v>40364</v>
      </c>
      <c r="L347" s="169">
        <v>43.599997999999999</v>
      </c>
      <c r="M347" s="169">
        <v>45.759998000000003</v>
      </c>
      <c r="N347" s="169">
        <v>42.5</v>
      </c>
      <c r="O347" s="169">
        <v>44.740001999999997</v>
      </c>
      <c r="P347" s="169">
        <v>22.760961999999999</v>
      </c>
      <c r="Q347" s="169">
        <v>10009400</v>
      </c>
      <c r="R347" s="53">
        <f t="shared" si="8"/>
        <v>2.5676287983849244E-2</v>
      </c>
      <c r="S347" s="146">
        <f>(P347/P346)*('16. câmbio USD-BRL'!O347/'16. câmbio USD-BRL'!O346)^-1 -1</f>
        <v>3.6836029988236429E-2</v>
      </c>
    </row>
    <row r="348" spans="11:19" x14ac:dyDescent="0.2">
      <c r="K348" s="355">
        <v>40371</v>
      </c>
      <c r="L348" s="169">
        <v>44.82</v>
      </c>
      <c r="M348" s="169">
        <v>45.459999000000003</v>
      </c>
      <c r="N348" s="169">
        <v>42.849997999999999</v>
      </c>
      <c r="O348" s="169">
        <v>42.849997999999999</v>
      </c>
      <c r="P348" s="169">
        <v>21.799446</v>
      </c>
      <c r="Q348" s="169">
        <v>10654600</v>
      </c>
      <c r="R348" s="53">
        <f t="shared" si="8"/>
        <v>-4.2244084410843374E-2</v>
      </c>
      <c r="S348" s="146">
        <f>(P348/P347)*('16. câmbio USD-BRL'!O348/'16. câmbio USD-BRL'!O347)^-1 -1</f>
        <v>-8.1570798395880884E-2</v>
      </c>
    </row>
    <row r="349" spans="11:19" x14ac:dyDescent="0.2">
      <c r="K349" s="355">
        <v>40378</v>
      </c>
      <c r="L349" s="169">
        <v>43.200001</v>
      </c>
      <c r="M349" s="169">
        <v>48.5</v>
      </c>
      <c r="N349" s="169">
        <v>43.099997999999999</v>
      </c>
      <c r="O349" s="169">
        <v>48.169998</v>
      </c>
      <c r="P349" s="169">
        <v>24.505934</v>
      </c>
      <c r="Q349" s="169">
        <v>16645800</v>
      </c>
      <c r="R349" s="53">
        <f t="shared" si="8"/>
        <v>0.12415398079382389</v>
      </c>
      <c r="S349" s="146">
        <f>(P349/P348)*('16. câmbio USD-BRL'!O349/'16. câmbio USD-BRL'!O348)^-1 -1</f>
        <v>0.1705778630614192</v>
      </c>
    </row>
    <row r="350" spans="11:19" x14ac:dyDescent="0.2">
      <c r="K350" s="355">
        <v>40385</v>
      </c>
      <c r="L350" s="169">
        <v>48.23</v>
      </c>
      <c r="M350" s="169">
        <v>49.299999</v>
      </c>
      <c r="N350" s="169">
        <v>47.599997999999999</v>
      </c>
      <c r="O350" s="169">
        <v>48.549999</v>
      </c>
      <c r="P350" s="169">
        <v>24.699255000000001</v>
      </c>
      <c r="Q350" s="169">
        <v>14005100</v>
      </c>
      <c r="R350" s="53">
        <f t="shared" si="8"/>
        <v>7.8887423756222042E-3</v>
      </c>
      <c r="S350" s="146">
        <f>(P350/P349)*('16. câmbio USD-BRL'!O350/'16. câmbio USD-BRL'!O349)^-1 -1</f>
        <v>7.4179863072540986E-3</v>
      </c>
    </row>
    <row r="351" spans="11:19" x14ac:dyDescent="0.2">
      <c r="K351" s="355">
        <v>40392</v>
      </c>
      <c r="L351" s="169">
        <v>49</v>
      </c>
      <c r="M351" s="169">
        <v>50.970001000000003</v>
      </c>
      <c r="N351" s="169">
        <v>49</v>
      </c>
      <c r="O351" s="169">
        <v>50.580002</v>
      </c>
      <c r="P351" s="169">
        <v>25.731997</v>
      </c>
      <c r="Q351" s="169">
        <v>11789200</v>
      </c>
      <c r="R351" s="53">
        <f t="shared" si="8"/>
        <v>4.181267815567713E-2</v>
      </c>
      <c r="S351" s="146">
        <f>(P351/P350)*('16. câmbio USD-BRL'!O351/'16. câmbio USD-BRL'!O350)^-1 -1</f>
        <v>1.7631454317105E-2</v>
      </c>
    </row>
    <row r="352" spans="11:19" x14ac:dyDescent="0.2">
      <c r="K352" s="355">
        <v>40399</v>
      </c>
      <c r="L352" s="169">
        <v>50.82</v>
      </c>
      <c r="M352" s="169">
        <v>51.150002000000001</v>
      </c>
      <c r="N352" s="169">
        <v>47.790000999999997</v>
      </c>
      <c r="O352" s="169">
        <v>48.799999</v>
      </c>
      <c r="P352" s="169">
        <v>24.826440999999999</v>
      </c>
      <c r="Q352" s="169">
        <v>10912600</v>
      </c>
      <c r="R352" s="53">
        <f t="shared" si="8"/>
        <v>-3.5191827513426199E-2</v>
      </c>
      <c r="S352" s="146">
        <f>(P352/P351)*('16. câmbio USD-BRL'!O352/'16. câmbio USD-BRL'!O351)^-1 -1</f>
        <v>-4.2237811110050205E-2</v>
      </c>
    </row>
    <row r="353" spans="11:19" x14ac:dyDescent="0.2">
      <c r="K353" s="355">
        <v>40406</v>
      </c>
      <c r="L353" s="169">
        <v>48.790000999999997</v>
      </c>
      <c r="M353" s="169">
        <v>50.889999000000003</v>
      </c>
      <c r="N353" s="169">
        <v>48.790000999999997</v>
      </c>
      <c r="O353" s="169">
        <v>49.240001999999997</v>
      </c>
      <c r="P353" s="169">
        <v>25.050291000000001</v>
      </c>
      <c r="Q353" s="169">
        <v>12429100</v>
      </c>
      <c r="R353" s="53">
        <f t="shared" si="8"/>
        <v>9.0165964585904312E-3</v>
      </c>
      <c r="S353" s="146">
        <f>(P353/P352)*('16. câmbio USD-BRL'!O353/'16. câmbio USD-BRL'!O352)^-1 -1</f>
        <v>1.2340631594032869E-2</v>
      </c>
    </row>
    <row r="354" spans="11:19" x14ac:dyDescent="0.2">
      <c r="K354" s="355">
        <v>40413</v>
      </c>
      <c r="L354" s="169">
        <v>49.529998999999997</v>
      </c>
      <c r="M354" s="169">
        <v>49.549999</v>
      </c>
      <c r="N354" s="169">
        <v>45.740001999999997</v>
      </c>
      <c r="O354" s="169">
        <v>47.450001</v>
      </c>
      <c r="P354" s="169">
        <v>24.139647</v>
      </c>
      <c r="Q354" s="169">
        <v>15958300</v>
      </c>
      <c r="R354" s="53">
        <f t="shared" si="8"/>
        <v>-3.6352631592183937E-2</v>
      </c>
      <c r="S354" s="146">
        <f>(P354/P353)*('16. câmbio USD-BRL'!O354/'16. câmbio USD-BRL'!O353)^-1 -1</f>
        <v>-3.3993305916528493E-2</v>
      </c>
    </row>
    <row r="355" spans="11:19" x14ac:dyDescent="0.2">
      <c r="K355" s="355">
        <v>40420</v>
      </c>
      <c r="L355" s="169">
        <v>47.150002000000001</v>
      </c>
      <c r="M355" s="169">
        <v>49.450001</v>
      </c>
      <c r="N355" s="169">
        <v>45.580002</v>
      </c>
      <c r="O355" s="169">
        <v>48.400002000000001</v>
      </c>
      <c r="P355" s="169">
        <v>24.62294</v>
      </c>
      <c r="Q355" s="169">
        <v>6905666</v>
      </c>
      <c r="R355" s="53">
        <f t="shared" si="8"/>
        <v>2.0020715298777914E-2</v>
      </c>
      <c r="S355" s="146">
        <f>(P355/P354)*('16. câmbio USD-BRL'!O355/'16. câmbio USD-BRL'!O354)^-1 -1</f>
        <v>2.9872022005888788E-2</v>
      </c>
    </row>
    <row r="356" spans="11:19" x14ac:dyDescent="0.2">
      <c r="K356" s="355">
        <v>40427</v>
      </c>
      <c r="L356" s="169">
        <v>48.869999</v>
      </c>
      <c r="M356" s="169">
        <v>48.869999</v>
      </c>
      <c r="N356" s="169">
        <v>46.57</v>
      </c>
      <c r="O356" s="169">
        <v>46.860000999999997</v>
      </c>
      <c r="P356" s="169">
        <v>23.839490999999999</v>
      </c>
      <c r="Q356" s="169">
        <v>5841100</v>
      </c>
      <c r="R356" s="53">
        <f t="shared" si="8"/>
        <v>-3.1817849533808729E-2</v>
      </c>
      <c r="S356" s="146">
        <f>(P356/P355)*('16. câmbio USD-BRL'!O356/'16. câmbio USD-BRL'!O355)^-1 -1</f>
        <v>-2.2659673435503902E-2</v>
      </c>
    </row>
    <row r="357" spans="11:19" x14ac:dyDescent="0.2">
      <c r="K357" s="355">
        <v>40434</v>
      </c>
      <c r="L357" s="169">
        <v>47.599997999999999</v>
      </c>
      <c r="M357" s="169">
        <v>48.549999</v>
      </c>
      <c r="N357" s="169">
        <v>47.130001</v>
      </c>
      <c r="O357" s="169">
        <v>47.130001</v>
      </c>
      <c r="P357" s="169">
        <v>23.976851</v>
      </c>
      <c r="Q357" s="169">
        <v>13073100</v>
      </c>
      <c r="R357" s="53">
        <f t="shared" si="8"/>
        <v>5.7618679861914934E-3</v>
      </c>
      <c r="S357" s="146">
        <f>(P357/P356)*('16. câmbio USD-BRL'!O357/'16. câmbio USD-BRL'!O356)^-1 -1</f>
        <v>9.0997676354034329E-3</v>
      </c>
    </row>
    <row r="358" spans="11:19" x14ac:dyDescent="0.2">
      <c r="K358" s="355">
        <v>40441</v>
      </c>
      <c r="L358" s="169">
        <v>47.490001999999997</v>
      </c>
      <c r="M358" s="169">
        <v>50.900002000000001</v>
      </c>
      <c r="N358" s="169">
        <v>47</v>
      </c>
      <c r="O358" s="169">
        <v>50.830002</v>
      </c>
      <c r="P358" s="169">
        <v>25.859176999999999</v>
      </c>
      <c r="Q358" s="169">
        <v>16097093</v>
      </c>
      <c r="R358" s="53">
        <f t="shared" si="8"/>
        <v>7.850597228134748E-2</v>
      </c>
      <c r="S358" s="146">
        <f>(P358/P357)*('16. câmbio USD-BRL'!O358/'16. câmbio USD-BRL'!O357)^-1 -1</f>
        <v>7.8380396689301968E-2</v>
      </c>
    </row>
    <row r="359" spans="11:19" x14ac:dyDescent="0.2">
      <c r="K359" s="355">
        <v>40448</v>
      </c>
      <c r="L359" s="169">
        <v>50.900002000000001</v>
      </c>
      <c r="M359" s="169">
        <v>52.93</v>
      </c>
      <c r="N359" s="169">
        <v>50.73</v>
      </c>
      <c r="O359" s="169">
        <v>52.799999</v>
      </c>
      <c r="P359" s="169">
        <v>26.861397</v>
      </c>
      <c r="Q359" s="169">
        <v>17285600</v>
      </c>
      <c r="R359" s="53">
        <f t="shared" si="8"/>
        <v>3.8756840559929673E-2</v>
      </c>
      <c r="S359" s="146">
        <f>(P359/P358)*('16. câmbio USD-BRL'!O359/'16. câmbio USD-BRL'!O358)^-1 -1</f>
        <v>5.1985510895460996E-2</v>
      </c>
    </row>
    <row r="360" spans="11:19" x14ac:dyDescent="0.2">
      <c r="K360" s="355">
        <v>40455</v>
      </c>
      <c r="L360" s="169">
        <v>52.419998</v>
      </c>
      <c r="M360" s="169">
        <v>54.099997999999999</v>
      </c>
      <c r="N360" s="169">
        <v>52.25</v>
      </c>
      <c r="O360" s="169">
        <v>53.299999</v>
      </c>
      <c r="P360" s="169">
        <v>27.115765</v>
      </c>
      <c r="Q360" s="169">
        <v>17459900</v>
      </c>
      <c r="R360" s="53">
        <f t="shared" si="8"/>
        <v>9.4696489538499407E-3</v>
      </c>
      <c r="S360" s="146">
        <f>(P360/P359)*('16. câmbio USD-BRL'!O360/'16. câmbio USD-BRL'!O359)^-1 -1</f>
        <v>2.0480076046385021E-2</v>
      </c>
    </row>
    <row r="361" spans="11:19" x14ac:dyDescent="0.2">
      <c r="K361" s="355">
        <v>40462</v>
      </c>
      <c r="L361" s="169">
        <v>53.389999000000003</v>
      </c>
      <c r="M361" s="169">
        <v>54.529998999999997</v>
      </c>
      <c r="N361" s="169">
        <v>52.799999</v>
      </c>
      <c r="O361" s="169">
        <v>53.349997999999999</v>
      </c>
      <c r="P361" s="169">
        <v>27.141200999999999</v>
      </c>
      <c r="Q361" s="169">
        <v>10987300</v>
      </c>
      <c r="R361" s="53">
        <f t="shared" si="8"/>
        <v>9.3805208888619873E-4</v>
      </c>
      <c r="S361" s="146">
        <f>(P361/P360)*('16. câmbio USD-BRL'!O361/'16. câmbio USD-BRL'!O360)^-1 -1</f>
        <v>1.1305470188325506E-2</v>
      </c>
    </row>
    <row r="362" spans="11:19" x14ac:dyDescent="0.2">
      <c r="K362" s="355">
        <v>40469</v>
      </c>
      <c r="L362" s="169">
        <v>53.27</v>
      </c>
      <c r="M362" s="169">
        <v>55.27</v>
      </c>
      <c r="N362" s="169">
        <v>52.889999000000003</v>
      </c>
      <c r="O362" s="169">
        <v>53.950001</v>
      </c>
      <c r="P362" s="169">
        <v>27.689537000000001</v>
      </c>
      <c r="Q362" s="169">
        <v>17134400</v>
      </c>
      <c r="R362" s="53">
        <f t="shared" si="8"/>
        <v>2.0203085338780902E-2</v>
      </c>
      <c r="S362" s="146">
        <f>(P362/P361)*('16. câmbio USD-BRL'!O362/'16. câmbio USD-BRL'!O361)^-1 -1</f>
        <v>8.8101247685656858E-5</v>
      </c>
    </row>
    <row r="363" spans="11:19" x14ac:dyDescent="0.2">
      <c r="K363" s="355">
        <v>40476</v>
      </c>
      <c r="L363" s="169">
        <v>54.279998999999997</v>
      </c>
      <c r="M363" s="169">
        <v>55.630001</v>
      </c>
      <c r="N363" s="169">
        <v>53.27</v>
      </c>
      <c r="O363" s="169">
        <v>53.599997999999999</v>
      </c>
      <c r="P363" s="169">
        <v>27.509896999999999</v>
      </c>
      <c r="Q363" s="169">
        <v>19993500</v>
      </c>
      <c r="R363" s="53">
        <f t="shared" si="8"/>
        <v>-6.4876491073145859E-3</v>
      </c>
      <c r="S363" s="146">
        <f>(P363/P362)*('16. câmbio USD-BRL'!O363/'16. câmbio USD-BRL'!O362)^-1 -1</f>
        <v>-1.7794034191882635E-2</v>
      </c>
    </row>
    <row r="364" spans="11:19" x14ac:dyDescent="0.2">
      <c r="K364" s="355">
        <v>40483</v>
      </c>
      <c r="L364" s="169">
        <v>54</v>
      </c>
      <c r="M364" s="169">
        <v>56.25</v>
      </c>
      <c r="N364" s="169">
        <v>53.599997999999999</v>
      </c>
      <c r="O364" s="169">
        <v>55.700001</v>
      </c>
      <c r="P364" s="169">
        <v>28.587710999999999</v>
      </c>
      <c r="Q364" s="169">
        <v>13492600</v>
      </c>
      <c r="R364" s="53">
        <f t="shared" si="8"/>
        <v>3.9179136148710381E-2</v>
      </c>
      <c r="S364" s="146">
        <f>(P364/P363)*('16. câmbio USD-BRL'!O364/'16. câmbio USD-BRL'!O363)^-1 -1</f>
        <v>6.3255179907335757E-2</v>
      </c>
    </row>
    <row r="365" spans="11:19" x14ac:dyDescent="0.2">
      <c r="K365" s="355">
        <v>40490</v>
      </c>
      <c r="L365" s="169">
        <v>55.32</v>
      </c>
      <c r="M365" s="169">
        <v>57.189999</v>
      </c>
      <c r="N365" s="169">
        <v>54.52</v>
      </c>
      <c r="O365" s="169">
        <v>55</v>
      </c>
      <c r="P365" s="169">
        <v>28.228439000000002</v>
      </c>
      <c r="Q365" s="169">
        <v>12865100</v>
      </c>
      <c r="R365" s="53">
        <f t="shared" si="8"/>
        <v>-1.256735805115694E-2</v>
      </c>
      <c r="S365" s="146">
        <f>(P365/P364)*('16. câmbio USD-BRL'!O365/'16. câmbio USD-BRL'!O364)^-1 -1</f>
        <v>-3.9411300916800673E-2</v>
      </c>
    </row>
    <row r="366" spans="11:19" x14ac:dyDescent="0.2">
      <c r="K366" s="355">
        <v>40497</v>
      </c>
      <c r="L366" s="169">
        <v>55</v>
      </c>
      <c r="M366" s="169">
        <v>55.669998</v>
      </c>
      <c r="N366" s="169">
        <v>53.279998999999997</v>
      </c>
      <c r="O366" s="169">
        <v>55.450001</v>
      </c>
      <c r="P366" s="169">
        <v>28.459394</v>
      </c>
      <c r="Q366" s="169">
        <v>11396200</v>
      </c>
      <c r="R366" s="53">
        <f t="shared" si="8"/>
        <v>8.1816426335157288E-3</v>
      </c>
      <c r="S366" s="146">
        <f>(P366/P365)*('16. câmbio USD-BRL'!O366/'16. câmbio USD-BRL'!O365)^-1 -1</f>
        <v>1.4368613555580056E-2</v>
      </c>
    </row>
    <row r="367" spans="11:19" x14ac:dyDescent="0.2">
      <c r="K367" s="355">
        <v>40504</v>
      </c>
      <c r="L367" s="169">
        <v>54.939999</v>
      </c>
      <c r="M367" s="169">
        <v>55.669998</v>
      </c>
      <c r="N367" s="169">
        <v>53.720001000000003</v>
      </c>
      <c r="O367" s="169">
        <v>54.09</v>
      </c>
      <c r="P367" s="169">
        <v>27.761386999999999</v>
      </c>
      <c r="Q367" s="169">
        <v>11567900</v>
      </c>
      <c r="R367" s="53">
        <f t="shared" si="8"/>
        <v>-2.4526418236452963E-2</v>
      </c>
      <c r="S367" s="146">
        <f>(P367/P366)*('16. câmbio USD-BRL'!O367/'16. câmbio USD-BRL'!O366)^-1 -1</f>
        <v>-2.7085223901236355E-2</v>
      </c>
    </row>
    <row r="368" spans="11:19" x14ac:dyDescent="0.2">
      <c r="K368" s="355">
        <v>40511</v>
      </c>
      <c r="L368" s="169">
        <v>53.939999</v>
      </c>
      <c r="M368" s="169">
        <v>56.689999</v>
      </c>
      <c r="N368" s="169">
        <v>53.470001000000003</v>
      </c>
      <c r="O368" s="169">
        <v>56.599997999999999</v>
      </c>
      <c r="P368" s="169">
        <v>29.049627000000001</v>
      </c>
      <c r="Q368" s="169">
        <v>15741700</v>
      </c>
      <c r="R368" s="53">
        <f t="shared" si="8"/>
        <v>4.6404021528175132E-2</v>
      </c>
      <c r="S368" s="146">
        <f>(P368/P367)*('16. câmbio USD-BRL'!O368/'16. câmbio USD-BRL'!O367)^-1 -1</f>
        <v>5.5013869486679079E-2</v>
      </c>
    </row>
    <row r="369" spans="11:19" x14ac:dyDescent="0.2">
      <c r="K369" s="355">
        <v>40518</v>
      </c>
      <c r="L369" s="169">
        <v>56.59</v>
      </c>
      <c r="M369" s="169">
        <v>57.630001</v>
      </c>
      <c r="N369" s="169">
        <v>55.459999000000003</v>
      </c>
      <c r="O369" s="169">
        <v>56.77</v>
      </c>
      <c r="P369" s="169">
        <v>29.136876999999998</v>
      </c>
      <c r="Q369" s="169">
        <v>10938200</v>
      </c>
      <c r="R369" s="53">
        <f t="shared" si="8"/>
        <v>3.0034809052796874E-3</v>
      </c>
      <c r="S369" s="146">
        <f>(P369/P368)*('16. câmbio USD-BRL'!O369/'16. câmbio USD-BRL'!O368)^-1 -1</f>
        <v>1.7670948346637516E-3</v>
      </c>
    </row>
    <row r="370" spans="11:19" x14ac:dyDescent="0.2">
      <c r="K370" s="355">
        <v>40525</v>
      </c>
      <c r="L370" s="169">
        <v>57.080002</v>
      </c>
      <c r="M370" s="169">
        <v>58.450001</v>
      </c>
      <c r="N370" s="169">
        <v>56.41</v>
      </c>
      <c r="O370" s="169">
        <v>56.900002000000001</v>
      </c>
      <c r="P370" s="169">
        <v>29.203609</v>
      </c>
      <c r="Q370" s="169">
        <v>12400000</v>
      </c>
      <c r="R370" s="53">
        <f t="shared" si="8"/>
        <v>2.2902934998834112E-3</v>
      </c>
      <c r="S370" s="146">
        <f>(P370/P369)*('16. câmbio USD-BRL'!O370/'16. câmbio USD-BRL'!O369)^-1 -1</f>
        <v>1.8786270060442423E-3</v>
      </c>
    </row>
    <row r="371" spans="11:19" x14ac:dyDescent="0.2">
      <c r="K371" s="355">
        <v>40532</v>
      </c>
      <c r="L371" s="169">
        <v>57.279998999999997</v>
      </c>
      <c r="M371" s="169">
        <v>57.549999</v>
      </c>
      <c r="N371" s="169">
        <v>56.5</v>
      </c>
      <c r="O371" s="169">
        <v>56.849997999999999</v>
      </c>
      <c r="P371" s="169">
        <v>29.177942000000002</v>
      </c>
      <c r="Q371" s="169">
        <v>7886400</v>
      </c>
      <c r="R371" s="53">
        <f t="shared" si="8"/>
        <v>-8.7889822110676086E-4</v>
      </c>
      <c r="S371" s="146">
        <f>(P371/P370)*('16. câmbio USD-BRL'!O371/'16. câmbio USD-BRL'!O370)^-1 -1</f>
        <v>6.2058108856393179E-3</v>
      </c>
    </row>
    <row r="372" spans="11:19" x14ac:dyDescent="0.2">
      <c r="K372" s="355">
        <v>40539</v>
      </c>
      <c r="L372" s="169">
        <v>56.75</v>
      </c>
      <c r="M372" s="169">
        <v>56.75</v>
      </c>
      <c r="N372" s="169">
        <v>54.540000999999997</v>
      </c>
      <c r="O372" s="169">
        <v>55.330002</v>
      </c>
      <c r="P372" s="169">
        <v>28.397808000000001</v>
      </c>
      <c r="Q372" s="169">
        <v>11529600</v>
      </c>
      <c r="R372" s="53">
        <f t="shared" si="8"/>
        <v>-2.6737115318140048E-2</v>
      </c>
      <c r="S372" s="146">
        <f>(P372/P371)*('16. câmbio USD-BRL'!O372/'16. câmbio USD-BRL'!O371)^-1 -1</f>
        <v>-8.9935139909075312E-3</v>
      </c>
    </row>
    <row r="373" spans="11:19" x14ac:dyDescent="0.2">
      <c r="K373" s="355">
        <v>40546</v>
      </c>
      <c r="L373" s="169">
        <v>56.299999</v>
      </c>
      <c r="M373" s="169">
        <v>59.540000999999997</v>
      </c>
      <c r="N373" s="169">
        <v>56.029998999999997</v>
      </c>
      <c r="O373" s="169">
        <v>58</v>
      </c>
      <c r="P373" s="169">
        <v>29.768173000000001</v>
      </c>
      <c r="Q373" s="169">
        <v>18262500</v>
      </c>
      <c r="R373" s="53">
        <f t="shared" si="8"/>
        <v>4.8256013281025023E-2</v>
      </c>
      <c r="S373" s="146">
        <f>(P373/P372)*('16. câmbio USD-BRL'!O373/'16. câmbio USD-BRL'!O372)^-1 -1</f>
        <v>3.3395512232673008E-2</v>
      </c>
    </row>
    <row r="374" spans="11:19" x14ac:dyDescent="0.2">
      <c r="K374" s="355">
        <v>40553</v>
      </c>
      <c r="L374" s="169">
        <v>57.630001</v>
      </c>
      <c r="M374" s="169">
        <v>60.740001999999997</v>
      </c>
      <c r="N374" s="169">
        <v>57.450001</v>
      </c>
      <c r="O374" s="169">
        <v>59.959999000000003</v>
      </c>
      <c r="P374" s="169">
        <v>30.774135999999999</v>
      </c>
      <c r="Q374" s="169">
        <v>16599700</v>
      </c>
      <c r="R374" s="53">
        <f t="shared" si="8"/>
        <v>3.3793239511205497E-2</v>
      </c>
      <c r="S374" s="146">
        <f>(P374/P373)*('16. câmbio USD-BRL'!O374/'16. câmbio USD-BRL'!O373)^-1 -1</f>
        <v>4.4261247748317079E-2</v>
      </c>
    </row>
    <row r="375" spans="11:19" x14ac:dyDescent="0.2">
      <c r="K375" s="355">
        <v>40560</v>
      </c>
      <c r="L375" s="169">
        <v>59.490001999999997</v>
      </c>
      <c r="M375" s="169">
        <v>61.220001000000003</v>
      </c>
      <c r="N375" s="169">
        <v>58.02</v>
      </c>
      <c r="O375" s="169">
        <v>59</v>
      </c>
      <c r="P375" s="169">
        <v>30.281416</v>
      </c>
      <c r="Q375" s="169">
        <v>13080500</v>
      </c>
      <c r="R375" s="53">
        <f t="shared" si="8"/>
        <v>-1.6010847550683383E-2</v>
      </c>
      <c r="S375" s="146">
        <f>(P375/P374)*('16. câmbio USD-BRL'!O375/'16. câmbio USD-BRL'!O374)^-1 -1</f>
        <v>4.3284585603653447E-3</v>
      </c>
    </row>
    <row r="376" spans="11:19" x14ac:dyDescent="0.2">
      <c r="K376" s="355">
        <v>40567</v>
      </c>
      <c r="L376" s="169">
        <v>59.200001</v>
      </c>
      <c r="M376" s="169">
        <v>59.799999</v>
      </c>
      <c r="N376" s="169">
        <v>56.369999</v>
      </c>
      <c r="O376" s="169">
        <v>57.07</v>
      </c>
      <c r="P376" s="169">
        <v>29.448043999999999</v>
      </c>
      <c r="Q376" s="169">
        <v>10468800</v>
      </c>
      <c r="R376" s="53">
        <f t="shared" si="8"/>
        <v>-2.7520905891587177E-2</v>
      </c>
      <c r="S376" s="146">
        <f>(P376/P375)*('16. câmbio USD-BRL'!O376/'16. câmbio USD-BRL'!O375)^-1 -1</f>
        <v>-4.9095368841669207E-2</v>
      </c>
    </row>
    <row r="377" spans="11:19" x14ac:dyDescent="0.2">
      <c r="K377" s="355">
        <v>40574</v>
      </c>
      <c r="L377" s="169">
        <v>57.23</v>
      </c>
      <c r="M377" s="169">
        <v>59</v>
      </c>
      <c r="N377" s="169">
        <v>55.900002000000001</v>
      </c>
      <c r="O377" s="169">
        <v>56.34</v>
      </c>
      <c r="P377" s="169">
        <v>29.071358</v>
      </c>
      <c r="Q377" s="169">
        <v>7070987</v>
      </c>
      <c r="R377" s="53">
        <f t="shared" ref="R377:R440" si="9">P377/P376-1</f>
        <v>-1.2791545679570415E-2</v>
      </c>
      <c r="S377" s="146">
        <f>(P377/P376)*('16. câmbio USD-BRL'!O377/'16. câmbio USD-BRL'!O376)^-1 -1</f>
        <v>-1.0483877870981595E-2</v>
      </c>
    </row>
    <row r="378" spans="11:19" x14ac:dyDescent="0.2">
      <c r="K378" s="355">
        <v>40581</v>
      </c>
      <c r="L378" s="169">
        <v>56.950001</v>
      </c>
      <c r="M378" s="169">
        <v>57.290000999999997</v>
      </c>
      <c r="N378" s="169">
        <v>54.41</v>
      </c>
      <c r="O378" s="169">
        <v>56.450001</v>
      </c>
      <c r="P378" s="169">
        <v>29.128122000000001</v>
      </c>
      <c r="Q378" s="169">
        <v>11662092</v>
      </c>
      <c r="R378" s="53">
        <f t="shared" si="9"/>
        <v>1.9525747644812963E-3</v>
      </c>
      <c r="S378" s="146">
        <f>(P378/P377)*('16. câmbio USD-BRL'!O378/'16. câmbio USD-BRL'!O377)^-1 -1</f>
        <v>4.541599505474947E-3</v>
      </c>
    </row>
    <row r="379" spans="11:19" x14ac:dyDescent="0.2">
      <c r="K379" s="355">
        <v>40588</v>
      </c>
      <c r="L379" s="169">
        <v>56.450001</v>
      </c>
      <c r="M379" s="169">
        <v>58.290000999999997</v>
      </c>
      <c r="N379" s="169">
        <v>56.450001</v>
      </c>
      <c r="O379" s="169">
        <v>57.400002000000001</v>
      </c>
      <c r="P379" s="169">
        <v>29.618326</v>
      </c>
      <c r="Q379" s="169">
        <v>12968100</v>
      </c>
      <c r="R379" s="53">
        <f t="shared" si="9"/>
        <v>1.6829234648220615E-2</v>
      </c>
      <c r="S379" s="146">
        <f>(P379/P378)*('16. câmbio USD-BRL'!O379/'16. câmbio USD-BRL'!O378)^-1 -1</f>
        <v>1.811403693026703E-2</v>
      </c>
    </row>
    <row r="380" spans="11:19" x14ac:dyDescent="0.2">
      <c r="K380" s="355">
        <v>40595</v>
      </c>
      <c r="L380" s="169">
        <v>57.139999000000003</v>
      </c>
      <c r="M380" s="169">
        <v>57.139999000000003</v>
      </c>
      <c r="N380" s="169">
        <v>54.599997999999999</v>
      </c>
      <c r="O380" s="169">
        <v>55.700001</v>
      </c>
      <c r="P380" s="169">
        <v>28.741116999999999</v>
      </c>
      <c r="Q380" s="169">
        <v>11223800</v>
      </c>
      <c r="R380" s="53">
        <f t="shared" si="9"/>
        <v>-2.9617102600599354E-2</v>
      </c>
      <c r="S380" s="146">
        <f>(P380/P379)*('16. câmbio USD-BRL'!O380/'16. câmbio USD-BRL'!O379)^-1 -1</f>
        <v>-3.0025635726346533E-2</v>
      </c>
    </row>
    <row r="381" spans="11:19" x14ac:dyDescent="0.2">
      <c r="K381" s="355">
        <v>40602</v>
      </c>
      <c r="L381" s="169">
        <v>55.939999</v>
      </c>
      <c r="M381" s="169">
        <v>56.73</v>
      </c>
      <c r="N381" s="169">
        <v>54.82</v>
      </c>
      <c r="O381" s="169">
        <v>55.650002000000001</v>
      </c>
      <c r="P381" s="169">
        <v>28.715323999999999</v>
      </c>
      <c r="Q381" s="169">
        <v>12359600</v>
      </c>
      <c r="R381" s="53">
        <f t="shared" si="9"/>
        <v>-8.9742510703394451E-4</v>
      </c>
      <c r="S381" s="146">
        <f>(P381/P380)*('16. câmbio USD-BRL'!O381/'16. câmbio USD-BRL'!O380)^-1 -1</f>
        <v>7.0978182931402678E-3</v>
      </c>
    </row>
    <row r="382" spans="11:19" x14ac:dyDescent="0.2">
      <c r="K382" s="355">
        <v>40609</v>
      </c>
      <c r="L382" s="169">
        <v>55.650002000000001</v>
      </c>
      <c r="M382" s="169">
        <v>55.650002000000001</v>
      </c>
      <c r="N382" s="169">
        <v>51.48</v>
      </c>
      <c r="O382" s="169">
        <v>52.82</v>
      </c>
      <c r="P382" s="169">
        <v>27.255051000000002</v>
      </c>
      <c r="Q382" s="169">
        <v>9760000</v>
      </c>
      <c r="R382" s="53">
        <f t="shared" si="9"/>
        <v>-5.0853439787062693E-2</v>
      </c>
      <c r="S382" s="146">
        <f>(P382/P381)*('16. câmbio USD-BRL'!O382/'16. câmbio USD-BRL'!O381)^-1 -1</f>
        <v>-5.6288576810584634E-2</v>
      </c>
    </row>
    <row r="383" spans="11:19" x14ac:dyDescent="0.2">
      <c r="K383" s="355">
        <v>40616</v>
      </c>
      <c r="L383" s="169">
        <v>52.419998</v>
      </c>
      <c r="M383" s="169">
        <v>53.27</v>
      </c>
      <c r="N383" s="169">
        <v>50.599997999999999</v>
      </c>
      <c r="O383" s="169">
        <v>52.880001</v>
      </c>
      <c r="P383" s="169">
        <v>27.286010999999998</v>
      </c>
      <c r="Q383" s="169">
        <v>19915300</v>
      </c>
      <c r="R383" s="53">
        <f t="shared" si="9"/>
        <v>1.1359362343514867E-3</v>
      </c>
      <c r="S383" s="146">
        <f>(P383/P382)*('16. câmbio USD-BRL'!O383/'16. câmbio USD-BRL'!O382)^-1 -1</f>
        <v>-1.1083942713433159E-2</v>
      </c>
    </row>
    <row r="384" spans="11:19" x14ac:dyDescent="0.2">
      <c r="K384" s="355">
        <v>40623</v>
      </c>
      <c r="L384" s="169">
        <v>53</v>
      </c>
      <c r="M384" s="169">
        <v>53.75</v>
      </c>
      <c r="N384" s="169">
        <v>52.049999</v>
      </c>
      <c r="O384" s="169">
        <v>52.799999</v>
      </c>
      <c r="P384" s="169">
        <v>27.244731999999999</v>
      </c>
      <c r="Q384" s="169">
        <v>8378390</v>
      </c>
      <c r="R384" s="53">
        <f t="shared" si="9"/>
        <v>-1.5128264809392E-3</v>
      </c>
      <c r="S384" s="146">
        <f>(P384/P383)*('16. câmbio USD-BRL'!O384/'16. câmbio USD-BRL'!O383)^-1 -1</f>
        <v>1.1740095279193064E-2</v>
      </c>
    </row>
    <row r="385" spans="11:19" x14ac:dyDescent="0.2">
      <c r="K385" s="355">
        <v>40630</v>
      </c>
      <c r="L385" s="169">
        <v>52.41</v>
      </c>
      <c r="M385" s="169">
        <v>53.900002000000001</v>
      </c>
      <c r="N385" s="169">
        <v>52.240001999999997</v>
      </c>
      <c r="O385" s="169">
        <v>53.349997999999999</v>
      </c>
      <c r="P385" s="169">
        <v>27.528525999999999</v>
      </c>
      <c r="Q385" s="169">
        <v>12119700</v>
      </c>
      <c r="R385" s="53">
        <f t="shared" si="9"/>
        <v>1.0416472439515934E-2</v>
      </c>
      <c r="S385" s="146">
        <f>(P385/P384)*('16. câmbio USD-BRL'!O385/'16. câmbio USD-BRL'!O384)^-1 -1</f>
        <v>2.9231380941800555E-2</v>
      </c>
    </row>
    <row r="386" spans="11:19" x14ac:dyDescent="0.2">
      <c r="K386" s="355">
        <v>40637</v>
      </c>
      <c r="L386" s="169">
        <v>53.450001</v>
      </c>
      <c r="M386" s="169">
        <v>54.799999</v>
      </c>
      <c r="N386" s="169">
        <v>52.630001</v>
      </c>
      <c r="O386" s="169">
        <v>53</v>
      </c>
      <c r="P386" s="169">
        <v>27.347926999999999</v>
      </c>
      <c r="Q386" s="169">
        <v>19206400</v>
      </c>
      <c r="R386" s="53">
        <f t="shared" si="9"/>
        <v>-6.5604311687447181E-3</v>
      </c>
      <c r="S386" s="146">
        <f>(P386/P385)*('16. câmbio USD-BRL'!O386/'16. câmbio USD-BRL'!O385)^-1 -1</f>
        <v>1.4831355642048294E-2</v>
      </c>
    </row>
    <row r="387" spans="11:19" x14ac:dyDescent="0.2">
      <c r="K387" s="355">
        <v>40644</v>
      </c>
      <c r="L387" s="169">
        <v>53.27</v>
      </c>
      <c r="M387" s="169">
        <v>53.57</v>
      </c>
      <c r="N387" s="169">
        <v>50.52</v>
      </c>
      <c r="O387" s="169">
        <v>51.150002000000001</v>
      </c>
      <c r="P387" s="169">
        <v>26.393336999999999</v>
      </c>
      <c r="Q387" s="169">
        <v>15600500</v>
      </c>
      <c r="R387" s="53">
        <f t="shared" si="9"/>
        <v>-3.490538789283737E-2</v>
      </c>
      <c r="S387" s="146">
        <f>(P387/P386)*('16. câmbio USD-BRL'!O387/'16. câmbio USD-BRL'!O386)^-1 -1</f>
        <v>-3.435979420508839E-2</v>
      </c>
    </row>
    <row r="388" spans="11:19" x14ac:dyDescent="0.2">
      <c r="K388" s="355">
        <v>40651</v>
      </c>
      <c r="L388" s="169">
        <v>50.849997999999999</v>
      </c>
      <c r="M388" s="169">
        <v>52.130001</v>
      </c>
      <c r="N388" s="169">
        <v>50.009998000000003</v>
      </c>
      <c r="O388" s="169">
        <v>52.029998999999997</v>
      </c>
      <c r="P388" s="169">
        <v>27.169867</v>
      </c>
      <c r="Q388" s="169">
        <v>7839600</v>
      </c>
      <c r="R388" s="53">
        <f t="shared" si="9"/>
        <v>2.9421440721951964E-2</v>
      </c>
      <c r="S388" s="146">
        <f>(P388/P387)*('16. câmbio USD-BRL'!O388/'16. câmbio USD-BRL'!O387)^-1 -1</f>
        <v>4.4511748648405236E-2</v>
      </c>
    </row>
    <row r="389" spans="11:19" x14ac:dyDescent="0.2">
      <c r="K389" s="355">
        <v>40658</v>
      </c>
      <c r="L389" s="169">
        <v>52.049999</v>
      </c>
      <c r="M389" s="169">
        <v>52.650002000000001</v>
      </c>
      <c r="N389" s="169">
        <v>51</v>
      </c>
      <c r="O389" s="169">
        <v>51.790000999999997</v>
      </c>
      <c r="P389" s="169">
        <v>27.044547999999999</v>
      </c>
      <c r="Q389" s="169">
        <v>17908300</v>
      </c>
      <c r="R389" s="53">
        <f t="shared" si="9"/>
        <v>-4.6124259643965937E-3</v>
      </c>
      <c r="S389" s="146">
        <f>(P389/P388)*('16. câmbio USD-BRL'!O389/'16. câmbio USD-BRL'!O388)^-1 -1</f>
        <v>-1.5468005004184771E-2</v>
      </c>
    </row>
    <row r="390" spans="11:19" x14ac:dyDescent="0.2">
      <c r="K390" s="355">
        <v>40665</v>
      </c>
      <c r="L390" s="169">
        <v>51.82</v>
      </c>
      <c r="M390" s="169">
        <v>51.950001</v>
      </c>
      <c r="N390" s="169">
        <v>48.759998000000003</v>
      </c>
      <c r="O390" s="169">
        <v>49.75</v>
      </c>
      <c r="P390" s="169">
        <v>25.979258999999999</v>
      </c>
      <c r="Q390" s="169">
        <v>21918400</v>
      </c>
      <c r="R390" s="53">
        <f t="shared" si="9"/>
        <v>-3.9390157306382068E-2</v>
      </c>
      <c r="S390" s="146">
        <f>(P390/P389)*('16. câmbio USD-BRL'!O390/'16. câmbio USD-BRL'!O389)^-1 -1</f>
        <v>-6.2267450175454764E-2</v>
      </c>
    </row>
    <row r="391" spans="11:19" x14ac:dyDescent="0.2">
      <c r="K391" s="355">
        <v>40672</v>
      </c>
      <c r="L391" s="169">
        <v>49.75</v>
      </c>
      <c r="M391" s="169">
        <v>50.470001000000003</v>
      </c>
      <c r="N391" s="169">
        <v>47.389999000000003</v>
      </c>
      <c r="O391" s="169">
        <v>47.66</v>
      </c>
      <c r="P391" s="169">
        <v>24.887875000000001</v>
      </c>
      <c r="Q391" s="169">
        <v>8803574</v>
      </c>
      <c r="R391" s="53">
        <f t="shared" si="9"/>
        <v>-4.2009820218505745E-2</v>
      </c>
      <c r="S391" s="146">
        <f>(P391/P390)*('16. câmbio USD-BRL'!O391/'16. câmbio USD-BRL'!O390)^-1 -1</f>
        <v>-3.6972445317087543E-2</v>
      </c>
    </row>
    <row r="392" spans="11:19" x14ac:dyDescent="0.2">
      <c r="K392" s="355">
        <v>40679</v>
      </c>
      <c r="L392" s="169">
        <v>47.66</v>
      </c>
      <c r="M392" s="169">
        <v>49.200001</v>
      </c>
      <c r="N392" s="169">
        <v>47.07</v>
      </c>
      <c r="O392" s="169">
        <v>48.75</v>
      </c>
      <c r="P392" s="169">
        <v>25.457056000000001</v>
      </c>
      <c r="Q392" s="169">
        <v>11875400</v>
      </c>
      <c r="R392" s="53">
        <f t="shared" si="9"/>
        <v>2.2869811102796067E-2</v>
      </c>
      <c r="S392" s="146">
        <f>(P392/P391)*('16. câmbio USD-BRL'!O392/'16. câmbio USD-BRL'!O391)^-1 -1</f>
        <v>2.3249613000600133E-2</v>
      </c>
    </row>
    <row r="393" spans="11:19" x14ac:dyDescent="0.2">
      <c r="K393" s="355">
        <v>40686</v>
      </c>
      <c r="L393" s="169">
        <v>47.860000999999997</v>
      </c>
      <c r="M393" s="169">
        <v>50.689999</v>
      </c>
      <c r="N393" s="169">
        <v>47.799999</v>
      </c>
      <c r="O393" s="169">
        <v>50.349997999999999</v>
      </c>
      <c r="P393" s="169">
        <v>26.292573999999998</v>
      </c>
      <c r="Q393" s="169">
        <v>12097700</v>
      </c>
      <c r="R393" s="53">
        <f t="shared" si="9"/>
        <v>3.2820684371358544E-2</v>
      </c>
      <c r="S393" s="146">
        <f>(P393/P392)*('16. câmbio USD-BRL'!O393/'16. câmbio USD-BRL'!O392)^-1 -1</f>
        <v>2.874618990055966E-2</v>
      </c>
    </row>
    <row r="394" spans="11:19" x14ac:dyDescent="0.2">
      <c r="K394" s="355">
        <v>40693</v>
      </c>
      <c r="L394" s="169">
        <v>50.799999</v>
      </c>
      <c r="M394" s="169">
        <v>50.799999</v>
      </c>
      <c r="N394" s="169">
        <v>49.16</v>
      </c>
      <c r="O394" s="169">
        <v>49.43</v>
      </c>
      <c r="P394" s="169">
        <v>25.812155000000001</v>
      </c>
      <c r="Q394" s="169">
        <v>17053200</v>
      </c>
      <c r="R394" s="53">
        <f t="shared" si="9"/>
        <v>-1.8272041375636983E-2</v>
      </c>
      <c r="S394" s="146">
        <f>(P394/P393)*('16. câmbio USD-BRL'!O394/'16. câmbio USD-BRL'!O393)^-1 -1</f>
        <v>9.608410317784033E-3</v>
      </c>
    </row>
    <row r="395" spans="11:19" x14ac:dyDescent="0.2">
      <c r="K395" s="355">
        <v>40700</v>
      </c>
      <c r="L395" s="169">
        <v>49.43</v>
      </c>
      <c r="M395" s="169">
        <v>49.59</v>
      </c>
      <c r="N395" s="169">
        <v>48.529998999999997</v>
      </c>
      <c r="O395" s="169">
        <v>48.990001999999997</v>
      </c>
      <c r="P395" s="169">
        <v>25.582391999999999</v>
      </c>
      <c r="Q395" s="169">
        <v>11618600</v>
      </c>
      <c r="R395" s="53">
        <f t="shared" si="9"/>
        <v>-8.9013489962385117E-3</v>
      </c>
      <c r="S395" s="146">
        <f>(P395/P394)*('16. câmbio USD-BRL'!O395/'16. câmbio USD-BRL'!O394)^-1 -1</f>
        <v>-1.4772120512676401E-2</v>
      </c>
    </row>
    <row r="396" spans="11:19" x14ac:dyDescent="0.2">
      <c r="K396" s="355">
        <v>40707</v>
      </c>
      <c r="L396" s="169">
        <v>48.889999000000003</v>
      </c>
      <c r="M396" s="169">
        <v>48.98</v>
      </c>
      <c r="N396" s="169">
        <v>46.880001</v>
      </c>
      <c r="O396" s="169">
        <v>47.220001000000003</v>
      </c>
      <c r="P396" s="169">
        <v>24.658107999999999</v>
      </c>
      <c r="Q396" s="169">
        <v>18132700</v>
      </c>
      <c r="R396" s="53">
        <f t="shared" si="9"/>
        <v>-3.6129694205295548E-2</v>
      </c>
      <c r="S396" s="146">
        <f>(P396/P395)*('16. câmbio USD-BRL'!O396/'16. câmbio USD-BRL'!O395)^-1 -1</f>
        <v>-4.765220828988459E-2</v>
      </c>
    </row>
    <row r="397" spans="11:19" x14ac:dyDescent="0.2">
      <c r="K397" s="355">
        <v>40714</v>
      </c>
      <c r="L397" s="169">
        <v>46.970001000000003</v>
      </c>
      <c r="M397" s="169">
        <v>49.049999</v>
      </c>
      <c r="N397" s="169">
        <v>46.970001000000003</v>
      </c>
      <c r="O397" s="169">
        <v>48.880001</v>
      </c>
      <c r="P397" s="169">
        <v>25.524951999999999</v>
      </c>
      <c r="Q397" s="169">
        <v>10474000</v>
      </c>
      <c r="R397" s="53">
        <f t="shared" si="9"/>
        <v>3.5154521993333798E-2</v>
      </c>
      <c r="S397" s="146">
        <f>(P397/P396)*('16. câmbio USD-BRL'!O397/'16. câmbio USD-BRL'!O396)^-1 -1</f>
        <v>4.53075622593484E-2</v>
      </c>
    </row>
    <row r="398" spans="11:19" x14ac:dyDescent="0.2">
      <c r="K398" s="355">
        <v>40721</v>
      </c>
      <c r="L398" s="169">
        <v>48.709999000000003</v>
      </c>
      <c r="M398" s="169">
        <v>51.720001000000003</v>
      </c>
      <c r="N398" s="169">
        <v>48.290000999999997</v>
      </c>
      <c r="O398" s="169">
        <v>51.689999</v>
      </c>
      <c r="P398" s="169">
        <v>26.992321</v>
      </c>
      <c r="Q398" s="169">
        <v>19484500</v>
      </c>
      <c r="R398" s="53">
        <f t="shared" si="9"/>
        <v>5.7487630143241875E-2</v>
      </c>
      <c r="S398" s="146">
        <f>(P398/P397)*('16. câmbio USD-BRL'!O398/'16. câmbio USD-BRL'!O397)^-1 -1</f>
        <v>7.7196154568224928E-2</v>
      </c>
    </row>
    <row r="399" spans="11:19" x14ac:dyDescent="0.2">
      <c r="K399" s="355">
        <v>40728</v>
      </c>
      <c r="L399" s="169">
        <v>51.5</v>
      </c>
      <c r="M399" s="169">
        <v>52.470001000000003</v>
      </c>
      <c r="N399" s="169">
        <v>50.720001000000003</v>
      </c>
      <c r="O399" s="169">
        <v>51.099997999999999</v>
      </c>
      <c r="P399" s="169">
        <v>26.684225000000001</v>
      </c>
      <c r="Q399" s="169">
        <v>14276600</v>
      </c>
      <c r="R399" s="53">
        <f t="shared" si="9"/>
        <v>-1.1414209248622909E-2</v>
      </c>
      <c r="S399" s="146">
        <f>(P399/P398)*('16. câmbio USD-BRL'!O399/'16. câmbio USD-BRL'!O398)^-1 -1</f>
        <v>-7.0261475206174762E-3</v>
      </c>
    </row>
    <row r="400" spans="11:19" x14ac:dyDescent="0.2">
      <c r="K400" s="355">
        <v>40735</v>
      </c>
      <c r="L400" s="169">
        <v>50.75</v>
      </c>
      <c r="M400" s="169">
        <v>51.630001</v>
      </c>
      <c r="N400" s="169">
        <v>50.27</v>
      </c>
      <c r="O400" s="169">
        <v>50.599997999999999</v>
      </c>
      <c r="P400" s="169">
        <v>26.423121999999999</v>
      </c>
      <c r="Q400" s="169">
        <v>15507100</v>
      </c>
      <c r="R400" s="53">
        <f t="shared" si="9"/>
        <v>-9.7849197419075384E-3</v>
      </c>
      <c r="S400" s="146">
        <f>(P400/P399)*('16. câmbio USD-BRL'!O400/'16. câmbio USD-BRL'!O399)^-1 -1</f>
        <v>-2.3603335070596421E-2</v>
      </c>
    </row>
    <row r="401" spans="11:19" x14ac:dyDescent="0.2">
      <c r="K401" s="355">
        <v>40742</v>
      </c>
      <c r="L401" s="169">
        <v>50.439999</v>
      </c>
      <c r="M401" s="169">
        <v>51.5</v>
      </c>
      <c r="N401" s="169">
        <v>50.279998999999997</v>
      </c>
      <c r="O401" s="169">
        <v>51.169998</v>
      </c>
      <c r="P401" s="169">
        <v>26.720777999999999</v>
      </c>
      <c r="Q401" s="169">
        <v>16925600</v>
      </c>
      <c r="R401" s="53">
        <f t="shared" si="9"/>
        <v>1.1264982237905175E-2</v>
      </c>
      <c r="S401" s="146">
        <f>(P401/P400)*('16. câmbio USD-BRL'!O401/'16. câmbio USD-BRL'!O400)^-1 -1</f>
        <v>2.7030370738940768E-2</v>
      </c>
    </row>
    <row r="402" spans="11:19" x14ac:dyDescent="0.2">
      <c r="K402" s="355">
        <v>40749</v>
      </c>
      <c r="L402" s="169">
        <v>51.279998999999997</v>
      </c>
      <c r="M402" s="169">
        <v>51.5</v>
      </c>
      <c r="N402" s="169">
        <v>49.810001</v>
      </c>
      <c r="O402" s="169">
        <v>50.130001</v>
      </c>
      <c r="P402" s="169">
        <v>26.177693999999999</v>
      </c>
      <c r="Q402" s="169">
        <v>12073800</v>
      </c>
      <c r="R402" s="53">
        <f t="shared" si="9"/>
        <v>-2.0324408218952317E-2</v>
      </c>
      <c r="S402" s="146">
        <f>(P402/P401)*('16. câmbio USD-BRL'!O402/'16. câmbio USD-BRL'!O401)^-1 -1</f>
        <v>-2.6906564421730006E-2</v>
      </c>
    </row>
    <row r="403" spans="11:19" x14ac:dyDescent="0.2">
      <c r="K403" s="355">
        <v>40756</v>
      </c>
      <c r="L403" s="169">
        <v>50.509998000000003</v>
      </c>
      <c r="M403" s="169">
        <v>50.77</v>
      </c>
      <c r="N403" s="169">
        <v>42.689999</v>
      </c>
      <c r="O403" s="169">
        <v>44</v>
      </c>
      <c r="P403" s="169">
        <v>22.976631000000001</v>
      </c>
      <c r="Q403" s="169">
        <v>31276800</v>
      </c>
      <c r="R403" s="53">
        <f t="shared" si="9"/>
        <v>-0.12228208489258063</v>
      </c>
      <c r="S403" s="146">
        <f>(P403/P402)*('16. câmbio USD-BRL'!O403/'16. câmbio USD-BRL'!O402)^-1 -1</f>
        <v>-0.1300751155949551</v>
      </c>
    </row>
    <row r="404" spans="11:19" x14ac:dyDescent="0.2">
      <c r="K404" s="355">
        <v>40763</v>
      </c>
      <c r="L404" s="169">
        <v>41.700001</v>
      </c>
      <c r="M404" s="169">
        <v>43.91</v>
      </c>
      <c r="N404" s="169">
        <v>39.549999</v>
      </c>
      <c r="O404" s="169">
        <v>42.59</v>
      </c>
      <c r="P404" s="169">
        <v>22.240341000000001</v>
      </c>
      <c r="Q404" s="169">
        <v>34197500</v>
      </c>
      <c r="R404" s="53">
        <f t="shared" si="9"/>
        <v>-3.2045167979587674E-2</v>
      </c>
      <c r="S404" s="146">
        <f>(P404/P403)*('16. câmbio USD-BRL'!O404/'16. câmbio USD-BRL'!O403)^-1 -1</f>
        <v>-5.9772574921588162E-2</v>
      </c>
    </row>
    <row r="405" spans="11:19" x14ac:dyDescent="0.2">
      <c r="K405" s="355">
        <v>40770</v>
      </c>
      <c r="L405" s="169">
        <v>43.099997999999999</v>
      </c>
      <c r="M405" s="169">
        <v>43.830002</v>
      </c>
      <c r="N405" s="169">
        <v>40.709999000000003</v>
      </c>
      <c r="O405" s="169">
        <v>41</v>
      </c>
      <c r="P405" s="169">
        <v>21.877327000000001</v>
      </c>
      <c r="Q405" s="169">
        <v>27806800</v>
      </c>
      <c r="R405" s="53">
        <f t="shared" si="9"/>
        <v>-1.6322321676632501E-2</v>
      </c>
      <c r="S405" s="146">
        <f>(P405/P404)*('16. câmbio USD-BRL'!O405/'16. câmbio USD-BRL'!O404)^-1 -1</f>
        <v>-6.3447571734147612E-3</v>
      </c>
    </row>
    <row r="406" spans="11:19" x14ac:dyDescent="0.2">
      <c r="K406" s="355">
        <v>40777</v>
      </c>
      <c r="L406" s="169">
        <v>41.669998</v>
      </c>
      <c r="M406" s="169">
        <v>43.099997999999999</v>
      </c>
      <c r="N406" s="169">
        <v>40.799999</v>
      </c>
      <c r="O406" s="169">
        <v>42.810001</v>
      </c>
      <c r="P406" s="169">
        <v>22.843132000000001</v>
      </c>
      <c r="Q406" s="169">
        <v>22061900</v>
      </c>
      <c r="R406" s="53">
        <f t="shared" si="9"/>
        <v>4.4146389547498277E-2</v>
      </c>
      <c r="S406" s="146">
        <f>(P406/P405)*('16. câmbio USD-BRL'!O406/'16. câmbio USD-BRL'!O405)^-1 -1</f>
        <v>4.2848507149055193E-2</v>
      </c>
    </row>
    <row r="407" spans="11:19" x14ac:dyDescent="0.2">
      <c r="K407" s="355">
        <v>40784</v>
      </c>
      <c r="L407" s="169">
        <v>43.240001999999997</v>
      </c>
      <c r="M407" s="169">
        <v>45.330002</v>
      </c>
      <c r="N407" s="169">
        <v>43.23</v>
      </c>
      <c r="O407" s="169">
        <v>44.41</v>
      </c>
      <c r="P407" s="169">
        <v>23.696884000000001</v>
      </c>
      <c r="Q407" s="169">
        <v>25867600</v>
      </c>
      <c r="R407" s="53">
        <f t="shared" si="9"/>
        <v>3.7374559670714236E-2</v>
      </c>
      <c r="S407" s="146">
        <f>(P407/P406)*('16. câmbio USD-BRL'!O407/'16. câmbio USD-BRL'!O406)^-1 -1</f>
        <v>4.3862205447266378E-2</v>
      </c>
    </row>
    <row r="408" spans="11:19" x14ac:dyDescent="0.2">
      <c r="K408" s="355">
        <v>40791</v>
      </c>
      <c r="L408" s="169">
        <v>43.549999</v>
      </c>
      <c r="M408" s="169">
        <v>45.959999000000003</v>
      </c>
      <c r="N408" s="169">
        <v>42.700001</v>
      </c>
      <c r="O408" s="169">
        <v>44.900002000000001</v>
      </c>
      <c r="P408" s="169">
        <v>23.958338000000001</v>
      </c>
      <c r="Q408" s="169">
        <v>14359000</v>
      </c>
      <c r="R408" s="53">
        <f t="shared" si="9"/>
        <v>1.1033264964288136E-2</v>
      </c>
      <c r="S408" s="146">
        <f>(P408/P407)*('16. câmbio USD-BRL'!O408/'16. câmbio USD-BRL'!O407)^-1 -1</f>
        <v>-2.116602647257404E-2</v>
      </c>
    </row>
    <row r="409" spans="11:19" x14ac:dyDescent="0.2">
      <c r="K409" s="355">
        <v>40798</v>
      </c>
      <c r="L409" s="169">
        <v>44.099997999999999</v>
      </c>
      <c r="M409" s="169">
        <v>47</v>
      </c>
      <c r="N409" s="169">
        <v>43.84</v>
      </c>
      <c r="O409" s="169">
        <v>46.799999</v>
      </c>
      <c r="P409" s="169">
        <v>24.972168</v>
      </c>
      <c r="Q409" s="169">
        <v>16128500</v>
      </c>
      <c r="R409" s="53">
        <f t="shared" si="9"/>
        <v>4.2316374366201837E-2</v>
      </c>
      <c r="S409" s="146">
        <f>(P409/P408)*('16. câmbio USD-BRL'!O409/'16. câmbio USD-BRL'!O408)^-1 -1</f>
        <v>7.2492679791813508E-3</v>
      </c>
    </row>
    <row r="410" spans="11:19" x14ac:dyDescent="0.2">
      <c r="K410" s="355">
        <v>40805</v>
      </c>
      <c r="L410" s="169">
        <v>46.389999000000003</v>
      </c>
      <c r="M410" s="169">
        <v>48.849997999999999</v>
      </c>
      <c r="N410" s="169">
        <v>43.66</v>
      </c>
      <c r="O410" s="169">
        <v>44.299999</v>
      </c>
      <c r="P410" s="169">
        <v>23.638189000000001</v>
      </c>
      <c r="Q410" s="169">
        <v>29315700</v>
      </c>
      <c r="R410" s="53">
        <f t="shared" si="9"/>
        <v>-5.3418629892286407E-2</v>
      </c>
      <c r="S410" s="146">
        <f>(P410/P409)*('16. câmbio USD-BRL'!O410/'16. câmbio USD-BRL'!O409)^-1 -1</f>
        <v>-0.13799966983637391</v>
      </c>
    </row>
    <row r="411" spans="11:19" x14ac:dyDescent="0.2">
      <c r="K411" s="355">
        <v>40812</v>
      </c>
      <c r="L411" s="169">
        <v>44.599997999999999</v>
      </c>
      <c r="M411" s="169">
        <v>45.150002000000001</v>
      </c>
      <c r="N411" s="169">
        <v>42.299999</v>
      </c>
      <c r="O411" s="169">
        <v>42.650002000000001</v>
      </c>
      <c r="P411" s="169">
        <v>22.757759</v>
      </c>
      <c r="Q411" s="169">
        <v>22946500</v>
      </c>
      <c r="R411" s="53">
        <f t="shared" si="9"/>
        <v>-3.7246085137909724E-2</v>
      </c>
      <c r="S411" s="146">
        <f>(P411/P410)*('16. câmbio USD-BRL'!O411/'16. câmbio USD-BRL'!O410)^-1 -1</f>
        <v>-1.1382312516730941E-2</v>
      </c>
    </row>
    <row r="412" spans="11:19" x14ac:dyDescent="0.2">
      <c r="K412" s="355">
        <v>40819</v>
      </c>
      <c r="L412" s="169">
        <v>41.950001</v>
      </c>
      <c r="M412" s="169">
        <v>43</v>
      </c>
      <c r="N412" s="169">
        <v>39.869999</v>
      </c>
      <c r="O412" s="169">
        <v>41.209999000000003</v>
      </c>
      <c r="P412" s="169">
        <v>21.989384000000001</v>
      </c>
      <c r="Q412" s="169">
        <v>24222900</v>
      </c>
      <c r="R412" s="53">
        <f t="shared" si="9"/>
        <v>-3.3763210164937552E-2</v>
      </c>
      <c r="S412" s="146">
        <f>(P412/P411)*('16. câmbio USD-BRL'!O412/'16. câmbio USD-BRL'!O411)^-1 -1</f>
        <v>-2.2532251739888376E-2</v>
      </c>
    </row>
    <row r="413" spans="11:19" x14ac:dyDescent="0.2">
      <c r="K413" s="355">
        <v>40826</v>
      </c>
      <c r="L413" s="169">
        <v>41.75</v>
      </c>
      <c r="M413" s="169">
        <v>44.200001</v>
      </c>
      <c r="N413" s="169">
        <v>41.400002000000001</v>
      </c>
      <c r="O413" s="169">
        <v>44.02</v>
      </c>
      <c r="P413" s="169">
        <v>23.488780999999999</v>
      </c>
      <c r="Q413" s="169">
        <v>16818200</v>
      </c>
      <c r="R413" s="53">
        <f t="shared" si="9"/>
        <v>6.8187312568646741E-2</v>
      </c>
      <c r="S413" s="146">
        <f>(P413/P412)*('16. câmbio USD-BRL'!O413/'16. câmbio USD-BRL'!O412)^-1 -1</f>
        <v>0.1071619629497873</v>
      </c>
    </row>
    <row r="414" spans="11:19" x14ac:dyDescent="0.2">
      <c r="K414" s="355">
        <v>40833</v>
      </c>
      <c r="L414" s="169">
        <v>42.740001999999997</v>
      </c>
      <c r="M414" s="169">
        <v>42.740001999999997</v>
      </c>
      <c r="N414" s="169">
        <v>39</v>
      </c>
      <c r="O414" s="169">
        <v>40.549999</v>
      </c>
      <c r="P414" s="169">
        <v>21.637212999999999</v>
      </c>
      <c r="Q414" s="169">
        <v>25459700</v>
      </c>
      <c r="R414" s="53">
        <f t="shared" si="9"/>
        <v>-7.8827760367811361E-2</v>
      </c>
      <c r="S414" s="146">
        <f>(P414/P413)*('16. câmbio USD-BRL'!O414/'16. câmbio USD-BRL'!O413)^-1 -1</f>
        <v>-0.10145756524741567</v>
      </c>
    </row>
    <row r="415" spans="11:19" x14ac:dyDescent="0.2">
      <c r="K415" s="355">
        <v>40840</v>
      </c>
      <c r="L415" s="169">
        <v>41.349997999999999</v>
      </c>
      <c r="M415" s="169">
        <v>44.889999000000003</v>
      </c>
      <c r="N415" s="169">
        <v>41.200001</v>
      </c>
      <c r="O415" s="169">
        <v>44.599997999999999</v>
      </c>
      <c r="P415" s="169">
        <v>24.146205999999999</v>
      </c>
      <c r="Q415" s="169">
        <v>15185400</v>
      </c>
      <c r="R415" s="53">
        <f t="shared" si="9"/>
        <v>0.11595730928932491</v>
      </c>
      <c r="S415" s="146">
        <f>(P415/P414)*('16. câmbio USD-BRL'!O415/'16. câmbio USD-BRL'!O414)^-1 -1</f>
        <v>0.16689041059100251</v>
      </c>
    </row>
    <row r="416" spans="11:19" x14ac:dyDescent="0.2">
      <c r="K416" s="355">
        <v>40847</v>
      </c>
      <c r="L416" s="169">
        <v>43.790000999999997</v>
      </c>
      <c r="M416" s="169">
        <v>45.75</v>
      </c>
      <c r="N416" s="169">
        <v>41.93</v>
      </c>
      <c r="O416" s="169">
        <v>45.599997999999999</v>
      </c>
      <c r="P416" s="169">
        <v>24.687608999999998</v>
      </c>
      <c r="Q416" s="169">
        <v>21939100</v>
      </c>
      <c r="R416" s="53">
        <f t="shared" si="9"/>
        <v>2.2421866192974482E-2</v>
      </c>
      <c r="S416" s="146">
        <f>(P416/P415)*('16. câmbio USD-BRL'!O416/'16. câmbio USD-BRL'!O415)^-1 -1</f>
        <v>9.1359915239928036E-3</v>
      </c>
    </row>
    <row r="417" spans="11:19" x14ac:dyDescent="0.2">
      <c r="K417" s="355">
        <v>40854</v>
      </c>
      <c r="L417" s="169">
        <v>45.5</v>
      </c>
      <c r="M417" s="169">
        <v>46.5</v>
      </c>
      <c r="N417" s="169">
        <v>44.73</v>
      </c>
      <c r="O417" s="169">
        <v>45.419998</v>
      </c>
      <c r="P417" s="169">
        <v>24.590157000000001</v>
      </c>
      <c r="Q417" s="169">
        <v>11357100</v>
      </c>
      <c r="R417" s="53">
        <f t="shared" si="9"/>
        <v>-3.9474053562658096E-3</v>
      </c>
      <c r="S417" s="146">
        <f>(P417/P416)*('16. câmbio USD-BRL'!O417/'16. câmbio USD-BRL'!O416)^-1 -1</f>
        <v>-2.0076666121803588E-2</v>
      </c>
    </row>
    <row r="418" spans="11:19" x14ac:dyDescent="0.2">
      <c r="K418" s="355">
        <v>40861</v>
      </c>
      <c r="L418" s="169">
        <v>45.200001</v>
      </c>
      <c r="M418" s="169">
        <v>46.200001</v>
      </c>
      <c r="N418" s="169">
        <v>43.57</v>
      </c>
      <c r="O418" s="169">
        <v>44.200001</v>
      </c>
      <c r="P418" s="169">
        <v>23.929656999999999</v>
      </c>
      <c r="Q418" s="169">
        <v>10870900</v>
      </c>
      <c r="R418" s="53">
        <f t="shared" si="9"/>
        <v>-2.6860340907949531E-2</v>
      </c>
      <c r="S418" s="146">
        <f>(P418/P417)*('16. câmbio USD-BRL'!O418/'16. câmbio USD-BRL'!O417)^-1 -1</f>
        <v>-2.9342136581462674E-2</v>
      </c>
    </row>
    <row r="419" spans="11:19" x14ac:dyDescent="0.2">
      <c r="K419" s="355">
        <v>40868</v>
      </c>
      <c r="L419" s="169">
        <v>43.450001</v>
      </c>
      <c r="M419" s="169">
        <v>44.389999000000003</v>
      </c>
      <c r="N419" s="169">
        <v>41.110000999999997</v>
      </c>
      <c r="O419" s="169">
        <v>41.48</v>
      </c>
      <c r="P419" s="169">
        <v>22.457062000000001</v>
      </c>
      <c r="Q419" s="169">
        <v>26287100</v>
      </c>
      <c r="R419" s="53">
        <f t="shared" si="9"/>
        <v>-6.153849175523074E-2</v>
      </c>
      <c r="S419" s="146">
        <f>(P419/P418)*('16. câmbio USD-BRL'!O419/'16. câmbio USD-BRL'!O418)^-1 -1</f>
        <v>-0.11708060181397206</v>
      </c>
    </row>
    <row r="420" spans="11:19" x14ac:dyDescent="0.2">
      <c r="K420" s="355">
        <v>40875</v>
      </c>
      <c r="L420" s="169">
        <v>42.490001999999997</v>
      </c>
      <c r="M420" s="169">
        <v>42.779998999999997</v>
      </c>
      <c r="N420" s="169">
        <v>41.02</v>
      </c>
      <c r="O420" s="169">
        <v>42.419998</v>
      </c>
      <c r="P420" s="169">
        <v>22.965971</v>
      </c>
      <c r="Q420" s="169">
        <v>23053300</v>
      </c>
      <c r="R420" s="53">
        <f t="shared" si="9"/>
        <v>2.2661423831844107E-2</v>
      </c>
      <c r="S420" s="146">
        <f>(P420/P419)*('16. câmbio USD-BRL'!O420/'16. câmbio USD-BRL'!O419)^-1 -1</f>
        <v>6.6148693939201308E-2</v>
      </c>
    </row>
    <row r="421" spans="11:19" x14ac:dyDescent="0.2">
      <c r="K421" s="355">
        <v>40882</v>
      </c>
      <c r="L421" s="169">
        <v>42.889999000000003</v>
      </c>
      <c r="M421" s="169">
        <v>43.470001000000003</v>
      </c>
      <c r="N421" s="169">
        <v>40.159999999999997</v>
      </c>
      <c r="O421" s="169">
        <v>41.23</v>
      </c>
      <c r="P421" s="169">
        <v>22.321708999999998</v>
      </c>
      <c r="Q421" s="169">
        <v>19958300</v>
      </c>
      <c r="R421" s="53">
        <f t="shared" si="9"/>
        <v>-2.805289617408302E-2</v>
      </c>
      <c r="S421" s="146">
        <f>(P421/P420)*('16. câmbio USD-BRL'!O421/'16. câmbio USD-BRL'!O420)^-1 -1</f>
        <v>-3.7681431049628622E-2</v>
      </c>
    </row>
    <row r="422" spans="11:19" x14ac:dyDescent="0.2">
      <c r="K422" s="355">
        <v>40889</v>
      </c>
      <c r="L422" s="169">
        <v>41.23</v>
      </c>
      <c r="M422" s="169">
        <v>41.23</v>
      </c>
      <c r="N422" s="169">
        <v>38.869999</v>
      </c>
      <c r="O422" s="169">
        <v>39.200001</v>
      </c>
      <c r="P422" s="169">
        <v>21.222681000000001</v>
      </c>
      <c r="Q422" s="169">
        <v>16442900</v>
      </c>
      <c r="R422" s="53">
        <f t="shared" si="9"/>
        <v>-4.9235835840347075E-2</v>
      </c>
      <c r="S422" s="146">
        <f>(P422/P421)*('16. câmbio USD-BRL'!O422/'16. câmbio USD-BRL'!O421)^-1 -1</f>
        <v>-7.0616265182865678E-2</v>
      </c>
    </row>
    <row r="423" spans="11:19" x14ac:dyDescent="0.2">
      <c r="K423" s="355">
        <v>40896</v>
      </c>
      <c r="L423" s="169">
        <v>39.150002000000001</v>
      </c>
      <c r="M423" s="169">
        <v>41.209999000000003</v>
      </c>
      <c r="N423" s="169">
        <v>38.549999</v>
      </c>
      <c r="O423" s="169">
        <v>40.950001</v>
      </c>
      <c r="P423" s="169">
        <v>22.170120000000001</v>
      </c>
      <c r="Q423" s="169">
        <v>15074800</v>
      </c>
      <c r="R423" s="53">
        <f t="shared" si="9"/>
        <v>4.4642757434840474E-2</v>
      </c>
      <c r="S423" s="146">
        <f>(P423/P422)*('16. câmbio USD-BRL'!O423/'16. câmbio USD-BRL'!O422)^-1 -1</f>
        <v>4.9044817676867192E-2</v>
      </c>
    </row>
    <row r="424" spans="11:19" x14ac:dyDescent="0.2">
      <c r="K424" s="355">
        <v>40903</v>
      </c>
      <c r="L424" s="169">
        <v>41</v>
      </c>
      <c r="M424" s="169">
        <v>41.119999</v>
      </c>
      <c r="N424" s="169">
        <v>39.450001</v>
      </c>
      <c r="O424" s="169">
        <v>39.450001</v>
      </c>
      <c r="P424" s="169">
        <v>21.358025000000001</v>
      </c>
      <c r="Q424" s="169">
        <v>12121800</v>
      </c>
      <c r="R424" s="53">
        <f t="shared" si="9"/>
        <v>-3.6630158068607588E-2</v>
      </c>
      <c r="S424" s="146">
        <f>(P424/P423)*('16. câmbio USD-BRL'!O424/'16. câmbio USD-BRL'!O423)^-1 -1</f>
        <v>-4.3964412709089018E-2</v>
      </c>
    </row>
    <row r="425" spans="11:19" x14ac:dyDescent="0.2">
      <c r="K425" s="355">
        <v>40910</v>
      </c>
      <c r="L425" s="169">
        <v>39.770000000000003</v>
      </c>
      <c r="M425" s="169">
        <v>43.139999000000003</v>
      </c>
      <c r="N425" s="169">
        <v>39.770000000000003</v>
      </c>
      <c r="O425" s="169">
        <v>41.5</v>
      </c>
      <c r="P425" s="169">
        <v>22.467890000000001</v>
      </c>
      <c r="Q425" s="169">
        <v>15721500</v>
      </c>
      <c r="R425" s="53">
        <f t="shared" si="9"/>
        <v>5.1964776705711202E-2</v>
      </c>
      <c r="S425" s="146">
        <f>(P425/P424)*('16. câmbio USD-BRL'!O425/'16. câmbio USD-BRL'!O424)^-1 -1</f>
        <v>6.198565788671373E-2</v>
      </c>
    </row>
    <row r="426" spans="11:19" x14ac:dyDescent="0.2">
      <c r="K426" s="355">
        <v>40917</v>
      </c>
      <c r="L426" s="169">
        <v>41.799999</v>
      </c>
      <c r="M426" s="169">
        <v>42.349997999999999</v>
      </c>
      <c r="N426" s="169">
        <v>39.880001</v>
      </c>
      <c r="O426" s="169">
        <v>40.450001</v>
      </c>
      <c r="P426" s="169">
        <v>21.899422000000001</v>
      </c>
      <c r="Q426" s="169">
        <v>22548100</v>
      </c>
      <c r="R426" s="53">
        <f t="shared" si="9"/>
        <v>-2.5301352285417078E-2</v>
      </c>
      <c r="S426" s="146">
        <f>(P426/P425)*('16. câmbio USD-BRL'!O426/'16. câmbio USD-BRL'!O425)^-1 -1</f>
        <v>5.6138159020904244E-3</v>
      </c>
    </row>
    <row r="427" spans="11:19" x14ac:dyDescent="0.2">
      <c r="K427" s="355">
        <v>40924</v>
      </c>
      <c r="L427" s="169">
        <v>40.330002</v>
      </c>
      <c r="M427" s="169">
        <v>43.5</v>
      </c>
      <c r="N427" s="169">
        <v>40.240001999999997</v>
      </c>
      <c r="O427" s="169">
        <v>42.919998</v>
      </c>
      <c r="P427" s="169">
        <v>23.236666</v>
      </c>
      <c r="Q427" s="169">
        <v>16935600</v>
      </c>
      <c r="R427" s="53">
        <f t="shared" si="9"/>
        <v>6.106298147960243E-2</v>
      </c>
      <c r="S427" s="146">
        <f>(P427/P426)*('16. câmbio USD-BRL'!O427/'16. câmbio USD-BRL'!O426)^-1 -1</f>
        <v>7.9570244437061621E-2</v>
      </c>
    </row>
    <row r="428" spans="11:19" x14ac:dyDescent="0.2">
      <c r="K428" s="355">
        <v>40931</v>
      </c>
      <c r="L428" s="169">
        <v>42.84</v>
      </c>
      <c r="M428" s="169">
        <v>44.150002000000001</v>
      </c>
      <c r="N428" s="169">
        <v>42.040000999999997</v>
      </c>
      <c r="O428" s="169">
        <v>43.040000999999997</v>
      </c>
      <c r="P428" s="169">
        <v>23.301638000000001</v>
      </c>
      <c r="Q428" s="169">
        <v>18648600</v>
      </c>
      <c r="R428" s="53">
        <f t="shared" si="9"/>
        <v>2.7960982010071245E-3</v>
      </c>
      <c r="S428" s="146">
        <f>(P428/P427)*('16. câmbio USD-BRL'!O428/'16. câmbio USD-BRL'!O427)^-1 -1</f>
        <v>1.5547417976750744E-2</v>
      </c>
    </row>
    <row r="429" spans="11:19" x14ac:dyDescent="0.2">
      <c r="K429" s="355">
        <v>40938</v>
      </c>
      <c r="L429" s="169">
        <v>42.610000999999997</v>
      </c>
      <c r="M429" s="169">
        <v>46.299999</v>
      </c>
      <c r="N429" s="169">
        <v>42.259998000000003</v>
      </c>
      <c r="O429" s="169">
        <v>45.869999</v>
      </c>
      <c r="P429" s="169">
        <v>24.833781999999999</v>
      </c>
      <c r="Q429" s="169">
        <v>24444300</v>
      </c>
      <c r="R429" s="53">
        <f t="shared" si="9"/>
        <v>6.5752630780720134E-2</v>
      </c>
      <c r="S429" s="146">
        <f>(P429/P428)*('16. câmbio USD-BRL'!O429/'16. câmbio USD-BRL'!O428)^-1 -1</f>
        <v>7.9856627002210301E-2</v>
      </c>
    </row>
    <row r="430" spans="11:19" x14ac:dyDescent="0.2">
      <c r="K430" s="355">
        <v>40945</v>
      </c>
      <c r="L430" s="169">
        <v>45.669998</v>
      </c>
      <c r="M430" s="169">
        <v>46.110000999999997</v>
      </c>
      <c r="N430" s="169">
        <v>43.950001</v>
      </c>
      <c r="O430" s="169">
        <v>44.330002</v>
      </c>
      <c r="P430" s="169">
        <v>24.000033999999999</v>
      </c>
      <c r="Q430" s="169">
        <v>16191500</v>
      </c>
      <c r="R430" s="53">
        <f t="shared" si="9"/>
        <v>-3.3573138396721047E-2</v>
      </c>
      <c r="S430" s="146">
        <f>(P430/P429)*('16. câmbio USD-BRL'!O430/'16. câmbio USD-BRL'!O429)^-1 -1</f>
        <v>-3.5541077665752541E-2</v>
      </c>
    </row>
    <row r="431" spans="11:19" x14ac:dyDescent="0.2">
      <c r="K431" s="355">
        <v>40952</v>
      </c>
      <c r="L431" s="169">
        <v>44.799999</v>
      </c>
      <c r="M431" s="169">
        <v>45.450001</v>
      </c>
      <c r="N431" s="169">
        <v>42.509998000000003</v>
      </c>
      <c r="O431" s="169">
        <v>42.93</v>
      </c>
      <c r="P431" s="169">
        <v>23.242084999999999</v>
      </c>
      <c r="Q431" s="169">
        <v>23056800</v>
      </c>
      <c r="R431" s="53">
        <f t="shared" si="9"/>
        <v>-3.1581163593351613E-2</v>
      </c>
      <c r="S431" s="146">
        <f>(P431/P430)*('16. câmbio USD-BRL'!O431/'16. câmbio USD-BRL'!O430)^-1 -1</f>
        <v>-2.619885566269986E-2</v>
      </c>
    </row>
    <row r="432" spans="11:19" x14ac:dyDescent="0.2">
      <c r="K432" s="355">
        <v>40959</v>
      </c>
      <c r="L432" s="169">
        <v>42.93</v>
      </c>
      <c r="M432" s="169">
        <v>44.490001999999997</v>
      </c>
      <c r="N432" s="169">
        <v>42.669998</v>
      </c>
      <c r="O432" s="169">
        <v>44.09</v>
      </c>
      <c r="P432" s="169">
        <v>23.870101999999999</v>
      </c>
      <c r="Q432" s="169">
        <v>9870100</v>
      </c>
      <c r="R432" s="53">
        <f t="shared" si="9"/>
        <v>2.7020682524825146E-2</v>
      </c>
      <c r="S432" s="146">
        <f>(P432/P431)*('16. câmbio USD-BRL'!O432/'16. câmbio USD-BRL'!O431)^-1 -1</f>
        <v>2.8645524809377543E-2</v>
      </c>
    </row>
    <row r="433" spans="11:19" x14ac:dyDescent="0.2">
      <c r="K433" s="355">
        <v>40966</v>
      </c>
      <c r="L433" s="169">
        <v>43.959999000000003</v>
      </c>
      <c r="M433" s="169">
        <v>44.75</v>
      </c>
      <c r="N433" s="169">
        <v>43.279998999999997</v>
      </c>
      <c r="O433" s="169">
        <v>44.450001</v>
      </c>
      <c r="P433" s="169">
        <v>24.065003999999998</v>
      </c>
      <c r="Q433" s="169">
        <v>18837700</v>
      </c>
      <c r="R433" s="53">
        <f t="shared" si="9"/>
        <v>8.1651096421790914E-3</v>
      </c>
      <c r="S433" s="146">
        <f>(P433/P432)*('16. câmbio USD-BRL'!O433/'16. câmbio USD-BRL'!O432)^-1 -1</f>
        <v>-5.0687699558534804E-3</v>
      </c>
    </row>
    <row r="434" spans="11:19" x14ac:dyDescent="0.2">
      <c r="K434" s="355">
        <v>40973</v>
      </c>
      <c r="L434" s="169">
        <v>44.060001</v>
      </c>
      <c r="M434" s="169">
        <v>44.099997999999999</v>
      </c>
      <c r="N434" s="169">
        <v>40.159999999999997</v>
      </c>
      <c r="O434" s="169">
        <v>41.110000999999997</v>
      </c>
      <c r="P434" s="169">
        <v>22.256741999999999</v>
      </c>
      <c r="Q434" s="169">
        <v>28960700</v>
      </c>
      <c r="R434" s="53">
        <f t="shared" si="9"/>
        <v>-7.5140731329194854E-2</v>
      </c>
      <c r="S434" s="146">
        <f>(P434/P433)*('16. câmbio USD-BRL'!O434/'16. câmbio USD-BRL'!O433)^-1 -1</f>
        <v>-0.10605380732635217</v>
      </c>
    </row>
    <row r="435" spans="11:19" x14ac:dyDescent="0.2">
      <c r="K435" s="355">
        <v>40980</v>
      </c>
      <c r="L435" s="169">
        <v>40.700001</v>
      </c>
      <c r="M435" s="169">
        <v>43.080002</v>
      </c>
      <c r="N435" s="169">
        <v>40.439999</v>
      </c>
      <c r="O435" s="169">
        <v>42.970001000000003</v>
      </c>
      <c r="P435" s="169">
        <v>23.263735</v>
      </c>
      <c r="Q435" s="169">
        <v>18151600</v>
      </c>
      <c r="R435" s="53">
        <f t="shared" si="9"/>
        <v>4.5244402797139038E-2</v>
      </c>
      <c r="S435" s="146">
        <f>(P435/P434)*('16. câmbio USD-BRL'!O435/'16. câmbio USD-BRL'!O434)^-1 -1</f>
        <v>4.0359811429408143E-2</v>
      </c>
    </row>
    <row r="436" spans="11:19" x14ac:dyDescent="0.2">
      <c r="K436" s="355">
        <v>40987</v>
      </c>
      <c r="L436" s="169">
        <v>42.970001000000003</v>
      </c>
      <c r="M436" s="169">
        <v>42.970001000000003</v>
      </c>
      <c r="N436" s="169">
        <v>41.240001999999997</v>
      </c>
      <c r="O436" s="169">
        <v>41.549999</v>
      </c>
      <c r="P436" s="169">
        <v>22.494956999999999</v>
      </c>
      <c r="Q436" s="169">
        <v>10497400</v>
      </c>
      <c r="R436" s="53">
        <f t="shared" si="9"/>
        <v>-3.3046198299628182E-2</v>
      </c>
      <c r="S436" s="146">
        <f>(P436/P435)*('16. câmbio USD-BRL'!O436/'16. câmbio USD-BRL'!O435)^-1 -1</f>
        <v>-3.9299437012813132E-2</v>
      </c>
    </row>
    <row r="437" spans="11:19" x14ac:dyDescent="0.2">
      <c r="K437" s="355">
        <v>40994</v>
      </c>
      <c r="L437" s="169">
        <v>41.919998</v>
      </c>
      <c r="M437" s="169">
        <v>42.900002000000001</v>
      </c>
      <c r="N437" s="169">
        <v>41.099997999999999</v>
      </c>
      <c r="O437" s="169">
        <v>42.900002000000001</v>
      </c>
      <c r="P437" s="169">
        <v>23.225842</v>
      </c>
      <c r="Q437" s="169">
        <v>19327000</v>
      </c>
      <c r="R437" s="53">
        <f t="shared" si="9"/>
        <v>3.2491060107383118E-2</v>
      </c>
      <c r="S437" s="146">
        <f>(P437/P436)*('16. câmbio USD-BRL'!O437/'16. câmbio USD-BRL'!O436)^-1 -1</f>
        <v>2.3888854388444125E-2</v>
      </c>
    </row>
    <row r="438" spans="11:19" x14ac:dyDescent="0.2">
      <c r="K438" s="355">
        <v>41001</v>
      </c>
      <c r="L438" s="169">
        <v>42.990001999999997</v>
      </c>
      <c r="M438" s="169">
        <v>44.43</v>
      </c>
      <c r="N438" s="169">
        <v>41.599997999999999</v>
      </c>
      <c r="O438" s="169">
        <v>42.060001</v>
      </c>
      <c r="P438" s="169">
        <v>22.771070000000002</v>
      </c>
      <c r="Q438" s="169">
        <v>16390300</v>
      </c>
      <c r="R438" s="53">
        <f t="shared" si="9"/>
        <v>-1.9580431142173338E-2</v>
      </c>
      <c r="S438" s="146">
        <f>(P438/P437)*('16. câmbio USD-BRL'!O438/'16. câmbio USD-BRL'!O437)^-1 -1</f>
        <v>-1.607488782429245E-2</v>
      </c>
    </row>
    <row r="439" spans="11:19" x14ac:dyDescent="0.2">
      <c r="K439" s="355">
        <v>41008</v>
      </c>
      <c r="L439" s="169">
        <v>41.509998000000003</v>
      </c>
      <c r="M439" s="169">
        <v>44.139999000000003</v>
      </c>
      <c r="N439" s="169">
        <v>40.630001</v>
      </c>
      <c r="O439" s="169">
        <v>43.799999</v>
      </c>
      <c r="P439" s="169">
        <v>23.713094999999999</v>
      </c>
      <c r="Q439" s="169">
        <v>28074000</v>
      </c>
      <c r="R439" s="53">
        <f t="shared" si="9"/>
        <v>4.1369377899237891E-2</v>
      </c>
      <c r="S439" s="146">
        <f>(P439/P438)*('16. câmbio USD-BRL'!O439/'16. câmbio USD-BRL'!O438)^-1 -1</f>
        <v>3.0261437868312813E-2</v>
      </c>
    </row>
    <row r="440" spans="11:19" x14ac:dyDescent="0.2">
      <c r="K440" s="355">
        <v>41015</v>
      </c>
      <c r="L440" s="169">
        <v>43.080002</v>
      </c>
      <c r="M440" s="169">
        <v>44.02</v>
      </c>
      <c r="N440" s="169">
        <v>41.860000999999997</v>
      </c>
      <c r="O440" s="169">
        <v>43.080002</v>
      </c>
      <c r="P440" s="169">
        <v>23.323298000000001</v>
      </c>
      <c r="Q440" s="169">
        <v>23989000</v>
      </c>
      <c r="R440" s="53">
        <f t="shared" si="9"/>
        <v>-1.6438048259832749E-2</v>
      </c>
      <c r="S440" s="146">
        <f>(P440/P439)*('16. câmbio USD-BRL'!O440/'16. câmbio USD-BRL'!O439)^-1 -1</f>
        <v>-3.3738726303166655E-2</v>
      </c>
    </row>
    <row r="441" spans="11:19" x14ac:dyDescent="0.2">
      <c r="K441" s="355">
        <v>41022</v>
      </c>
      <c r="L441" s="169">
        <v>42.150002000000001</v>
      </c>
      <c r="M441" s="169">
        <v>43.299999</v>
      </c>
      <c r="N441" s="169">
        <v>40.740001999999997</v>
      </c>
      <c r="O441" s="169">
        <v>42.619999</v>
      </c>
      <c r="P441" s="169">
        <v>23.654973999999999</v>
      </c>
      <c r="Q441" s="169">
        <v>23453600</v>
      </c>
      <c r="R441" s="53">
        <f t="shared" ref="R441:R504" si="10">P441/P440-1</f>
        <v>1.4220801878018996E-2</v>
      </c>
      <c r="S441" s="146">
        <f>(P441/P440)*('16. câmbio USD-BRL'!O441/'16. câmbio USD-BRL'!O440)^-1 -1</f>
        <v>6.3652985849584898E-3</v>
      </c>
    </row>
    <row r="442" spans="11:19" x14ac:dyDescent="0.2">
      <c r="K442" s="355">
        <v>41029</v>
      </c>
      <c r="L442" s="169">
        <v>42.610000999999997</v>
      </c>
      <c r="M442" s="169">
        <v>43.5</v>
      </c>
      <c r="N442" s="169">
        <v>41.009998000000003</v>
      </c>
      <c r="O442" s="169">
        <v>41.529998999999997</v>
      </c>
      <c r="P442" s="169">
        <v>23.049999</v>
      </c>
      <c r="Q442" s="169">
        <v>20649700</v>
      </c>
      <c r="R442" s="53">
        <f t="shared" si="10"/>
        <v>-2.5574959414455534E-2</v>
      </c>
      <c r="S442" s="146">
        <f>(P442/P441)*('16. câmbio USD-BRL'!O442/'16. câmbio USD-BRL'!O441)^-1 -1</f>
        <v>-3.1330449581399078E-2</v>
      </c>
    </row>
    <row r="443" spans="11:19" x14ac:dyDescent="0.2">
      <c r="K443" s="355">
        <v>41036</v>
      </c>
      <c r="L443" s="169">
        <v>41.02</v>
      </c>
      <c r="M443" s="169">
        <v>41.630001</v>
      </c>
      <c r="N443" s="169">
        <v>39.099997999999999</v>
      </c>
      <c r="O443" s="169">
        <v>39.099997999999999</v>
      </c>
      <c r="P443" s="169">
        <v>21.7013</v>
      </c>
      <c r="Q443" s="169">
        <v>22334200</v>
      </c>
      <c r="R443" s="53">
        <f t="shared" si="10"/>
        <v>-5.8511889740212153E-2</v>
      </c>
      <c r="S443" s="146">
        <f>(P443/P442)*('16. câmbio USD-BRL'!O443/'16. câmbio USD-BRL'!O442)^-1 -1</f>
        <v>-8.9622766611621829E-2</v>
      </c>
    </row>
    <row r="444" spans="11:19" x14ac:dyDescent="0.2">
      <c r="K444" s="355">
        <v>41043</v>
      </c>
      <c r="L444" s="169">
        <v>38.400002000000001</v>
      </c>
      <c r="M444" s="169">
        <v>39.169998</v>
      </c>
      <c r="N444" s="169">
        <v>35.610000999999997</v>
      </c>
      <c r="O444" s="169">
        <v>36.68</v>
      </c>
      <c r="P444" s="169">
        <v>20.358153999999999</v>
      </c>
      <c r="Q444" s="169">
        <v>30136000</v>
      </c>
      <c r="R444" s="53">
        <f t="shared" si="10"/>
        <v>-6.1892421191357294E-2</v>
      </c>
      <c r="S444" s="146">
        <f>(P444/P443)*('16. câmbio USD-BRL'!O444/'16. câmbio USD-BRL'!O443)^-1 -1</f>
        <v>-9.0463283870390487E-2</v>
      </c>
    </row>
    <row r="445" spans="11:19" x14ac:dyDescent="0.2">
      <c r="K445" s="355">
        <v>41050</v>
      </c>
      <c r="L445" s="169">
        <v>37.090000000000003</v>
      </c>
      <c r="M445" s="169">
        <v>38.150002000000001</v>
      </c>
      <c r="N445" s="169">
        <v>36.270000000000003</v>
      </c>
      <c r="O445" s="169">
        <v>36.549999</v>
      </c>
      <c r="P445" s="169">
        <v>20.285999</v>
      </c>
      <c r="Q445" s="169">
        <v>27040400</v>
      </c>
      <c r="R445" s="53">
        <f t="shared" si="10"/>
        <v>-3.5442800953366937E-3</v>
      </c>
      <c r="S445" s="146">
        <f>(P445/P444)*('16. câmbio USD-BRL'!O445/'16. câmbio USD-BRL'!O444)^-1 -1</f>
        <v>1.6713584764754152E-2</v>
      </c>
    </row>
    <row r="446" spans="11:19" x14ac:dyDescent="0.2">
      <c r="K446" s="355">
        <v>41057</v>
      </c>
      <c r="L446" s="169">
        <v>36.700001</v>
      </c>
      <c r="M446" s="169">
        <v>38.020000000000003</v>
      </c>
      <c r="N446" s="169">
        <v>36.5</v>
      </c>
      <c r="O446" s="169">
        <v>37</v>
      </c>
      <c r="P446" s="169">
        <v>20.535758999999999</v>
      </c>
      <c r="Q446" s="169">
        <v>23917600</v>
      </c>
      <c r="R446" s="53">
        <f t="shared" si="10"/>
        <v>1.2311939875379041E-2</v>
      </c>
      <c r="S446" s="146">
        <f>(P446/P445)*('16. câmbio USD-BRL'!O446/'16. câmbio USD-BRL'!O445)^-1 -1</f>
        <v>-1.5306954013953766E-2</v>
      </c>
    </row>
    <row r="447" spans="11:19" x14ac:dyDescent="0.2">
      <c r="K447" s="355">
        <v>41064</v>
      </c>
      <c r="L447" s="169">
        <v>36.959999000000003</v>
      </c>
      <c r="M447" s="169">
        <v>38.380001</v>
      </c>
      <c r="N447" s="169">
        <v>36.369999</v>
      </c>
      <c r="O447" s="169">
        <v>38.340000000000003</v>
      </c>
      <c r="P447" s="169">
        <v>21.279491</v>
      </c>
      <c r="Q447" s="169">
        <v>12477900</v>
      </c>
      <c r="R447" s="53">
        <f t="shared" si="10"/>
        <v>3.6216435925256141E-2</v>
      </c>
      <c r="S447" s="146">
        <f>(P447/P446)*('16. câmbio USD-BRL'!O447/'16. câmbio USD-BRL'!O446)^-1 -1</f>
        <v>5.4218698403514454E-2</v>
      </c>
    </row>
    <row r="448" spans="11:19" x14ac:dyDescent="0.2">
      <c r="K448" s="355">
        <v>41071</v>
      </c>
      <c r="L448" s="169">
        <v>38.610000999999997</v>
      </c>
      <c r="M448" s="169">
        <v>40.279998999999997</v>
      </c>
      <c r="N448" s="169">
        <v>37.75</v>
      </c>
      <c r="O448" s="169">
        <v>39.520000000000003</v>
      </c>
      <c r="P448" s="169">
        <v>21.934414</v>
      </c>
      <c r="Q448" s="169">
        <v>27567200</v>
      </c>
      <c r="R448" s="53">
        <f t="shared" si="10"/>
        <v>3.0777192931917385E-2</v>
      </c>
      <c r="S448" s="146">
        <f>(P448/P447)*('16. câmbio USD-BRL'!O448/'16. câmbio USD-BRL'!O447)^-1 -1</f>
        <v>1.0547080639156103E-2</v>
      </c>
    </row>
    <row r="449" spans="11:19" x14ac:dyDescent="0.2">
      <c r="K449" s="355">
        <v>41078</v>
      </c>
      <c r="L449" s="169">
        <v>39.520000000000003</v>
      </c>
      <c r="M449" s="169">
        <v>41.57</v>
      </c>
      <c r="N449" s="169">
        <v>39.340000000000003</v>
      </c>
      <c r="O449" s="169">
        <v>39.709999000000003</v>
      </c>
      <c r="P449" s="169">
        <v>22.039864000000001</v>
      </c>
      <c r="Q449" s="169">
        <v>17963500</v>
      </c>
      <c r="R449" s="53">
        <f t="shared" si="10"/>
        <v>4.8075138911849447E-3</v>
      </c>
      <c r="S449" s="146">
        <f>(P449/P448)*('16. câmbio USD-BRL'!O449/'16. câmbio USD-BRL'!O448)^-1 -1</f>
        <v>-5.8482822224253939E-3</v>
      </c>
    </row>
    <row r="450" spans="11:19" x14ac:dyDescent="0.2">
      <c r="K450" s="355">
        <v>41085</v>
      </c>
      <c r="L450" s="169">
        <v>38.799999</v>
      </c>
      <c r="M450" s="169">
        <v>40.369999</v>
      </c>
      <c r="N450" s="169">
        <v>38.459999000000003</v>
      </c>
      <c r="O450" s="169">
        <v>40.130001</v>
      </c>
      <c r="P450" s="169">
        <v>22.272974000000001</v>
      </c>
      <c r="Q450" s="169">
        <v>24826900</v>
      </c>
      <c r="R450" s="53">
        <f t="shared" si="10"/>
        <v>1.0576744030725393E-2</v>
      </c>
      <c r="S450" s="146">
        <f>(P450/P449)*('16. câmbio USD-BRL'!O450/'16. câmbio USD-BRL'!O449)^-1 -1</f>
        <v>3.8486282891048607E-2</v>
      </c>
    </row>
    <row r="451" spans="11:19" x14ac:dyDescent="0.2">
      <c r="K451" s="355">
        <v>41092</v>
      </c>
      <c r="L451" s="169">
        <v>40.009998000000003</v>
      </c>
      <c r="M451" s="169">
        <v>41.91</v>
      </c>
      <c r="N451" s="169">
        <v>39.599997999999999</v>
      </c>
      <c r="O451" s="169">
        <v>40.790000999999997</v>
      </c>
      <c r="P451" s="169">
        <v>22.639292000000001</v>
      </c>
      <c r="Q451" s="169">
        <v>27587200</v>
      </c>
      <c r="R451" s="53">
        <f t="shared" si="10"/>
        <v>1.6446748422550117E-2</v>
      </c>
      <c r="S451" s="146">
        <f>(P451/P450)*('16. câmbio USD-BRL'!O451/'16. câmbio USD-BRL'!O450)^-1 -1</f>
        <v>1.4377208933781693E-2</v>
      </c>
    </row>
    <row r="452" spans="11:19" x14ac:dyDescent="0.2">
      <c r="K452" s="355">
        <v>41099</v>
      </c>
      <c r="L452" s="169">
        <v>40.790000999999997</v>
      </c>
      <c r="M452" s="169">
        <v>41</v>
      </c>
      <c r="N452" s="169">
        <v>38.5</v>
      </c>
      <c r="O452" s="169">
        <v>40.229999999999997</v>
      </c>
      <c r="P452" s="169">
        <v>22.328469999999999</v>
      </c>
      <c r="Q452" s="169">
        <v>17785400</v>
      </c>
      <c r="R452" s="53">
        <f t="shared" si="10"/>
        <v>-1.3729316270137848E-2</v>
      </c>
      <c r="S452" s="146">
        <f>(P452/P451)*('16. câmbio USD-BRL'!O452/'16. câmbio USD-BRL'!O451)^-1 -1</f>
        <v>-2.4100400065439898E-2</v>
      </c>
    </row>
    <row r="453" spans="11:19" x14ac:dyDescent="0.2">
      <c r="K453" s="355">
        <v>41106</v>
      </c>
      <c r="L453" s="169">
        <v>39.900002000000001</v>
      </c>
      <c r="M453" s="169">
        <v>40.5</v>
      </c>
      <c r="N453" s="169">
        <v>38.450001</v>
      </c>
      <c r="O453" s="169">
        <v>38.590000000000003</v>
      </c>
      <c r="P453" s="169">
        <v>21.418240000000001</v>
      </c>
      <c r="Q453" s="169">
        <v>16646800</v>
      </c>
      <c r="R453" s="53">
        <f t="shared" si="10"/>
        <v>-4.076544429600415E-2</v>
      </c>
      <c r="S453" s="146">
        <f>(P453/P452)*('16. câmbio USD-BRL'!O453/'16. câmbio USD-BRL'!O452)^-1 -1</f>
        <v>-3.5123445871292236E-2</v>
      </c>
    </row>
    <row r="454" spans="11:19" x14ac:dyDescent="0.2">
      <c r="K454" s="355">
        <v>41113</v>
      </c>
      <c r="L454" s="169">
        <v>37.75</v>
      </c>
      <c r="M454" s="169">
        <v>38.110000999999997</v>
      </c>
      <c r="N454" s="169">
        <v>34.349997999999999</v>
      </c>
      <c r="O454" s="169">
        <v>37.549999</v>
      </c>
      <c r="P454" s="169">
        <v>20.841021000000001</v>
      </c>
      <c r="Q454" s="169">
        <v>40111100</v>
      </c>
      <c r="R454" s="53">
        <f t="shared" si="10"/>
        <v>-2.6949880102193235E-2</v>
      </c>
      <c r="S454" s="146">
        <f>(P454/P453)*('16. câmbio USD-BRL'!O454/'16. câmbio USD-BRL'!O453)^-1 -1</f>
        <v>-2.5022284777514558E-2</v>
      </c>
    </row>
    <row r="455" spans="11:19" x14ac:dyDescent="0.2">
      <c r="K455" s="355">
        <v>41120</v>
      </c>
      <c r="L455" s="169">
        <v>37.5</v>
      </c>
      <c r="M455" s="169">
        <v>37.889999000000003</v>
      </c>
      <c r="N455" s="169">
        <v>36.409999999999997</v>
      </c>
      <c r="O455" s="169">
        <v>37.299999</v>
      </c>
      <c r="P455" s="169">
        <v>20.702265000000001</v>
      </c>
      <c r="Q455" s="169">
        <v>17960900</v>
      </c>
      <c r="R455" s="53">
        <f t="shared" si="10"/>
        <v>-6.6578312070220136E-3</v>
      </c>
      <c r="S455" s="146">
        <f>(P455/P454)*('16. câmbio USD-BRL'!O455/'16. câmbio USD-BRL'!O454)^-1 -1</f>
        <v>-1.0089572980563899E-2</v>
      </c>
    </row>
    <row r="456" spans="11:19" x14ac:dyDescent="0.2">
      <c r="K456" s="355">
        <v>41127</v>
      </c>
      <c r="L456" s="169">
        <v>37.200001</v>
      </c>
      <c r="M456" s="169">
        <v>38.720001000000003</v>
      </c>
      <c r="N456" s="169">
        <v>37.009998000000003</v>
      </c>
      <c r="O456" s="169">
        <v>38.580002</v>
      </c>
      <c r="P456" s="169">
        <v>21.412689</v>
      </c>
      <c r="Q456" s="169">
        <v>22401600</v>
      </c>
      <c r="R456" s="53">
        <f t="shared" si="10"/>
        <v>3.4316245106513765E-2</v>
      </c>
      <c r="S456" s="146">
        <f>(P456/P455)*('16. câmbio USD-BRL'!O456/'16. câmbio USD-BRL'!O455)^-1 -1</f>
        <v>4.0530051057453997E-2</v>
      </c>
    </row>
    <row r="457" spans="11:19" x14ac:dyDescent="0.2">
      <c r="K457" s="355">
        <v>41134</v>
      </c>
      <c r="L457" s="169">
        <v>38.650002000000001</v>
      </c>
      <c r="M457" s="169">
        <v>38.959999000000003</v>
      </c>
      <c r="N457" s="169">
        <v>35.650002000000001</v>
      </c>
      <c r="O457" s="169">
        <v>35.650002000000001</v>
      </c>
      <c r="P457" s="169">
        <v>19.786480000000001</v>
      </c>
      <c r="Q457" s="169">
        <v>24400500</v>
      </c>
      <c r="R457" s="53">
        <f t="shared" si="10"/>
        <v>-7.5946043021499987E-2</v>
      </c>
      <c r="S457" s="146">
        <f>(P457/P456)*('16. câmbio USD-BRL'!O457/'16. câmbio USD-BRL'!O456)^-1 -1</f>
        <v>-7.5257341374144304E-2</v>
      </c>
    </row>
    <row r="458" spans="11:19" x14ac:dyDescent="0.2">
      <c r="K458" s="355">
        <v>41141</v>
      </c>
      <c r="L458" s="169">
        <v>35.650002000000001</v>
      </c>
      <c r="M458" s="169">
        <v>37.159999999999997</v>
      </c>
      <c r="N458" s="169">
        <v>33.790000999999997</v>
      </c>
      <c r="O458" s="169">
        <v>34.529998999999997</v>
      </c>
      <c r="P458" s="169">
        <v>19.164857999999999</v>
      </c>
      <c r="Q458" s="169">
        <v>20983400</v>
      </c>
      <c r="R458" s="53">
        <f t="shared" si="10"/>
        <v>-3.1416502581560812E-2</v>
      </c>
      <c r="S458" s="146">
        <f>(P458/P457)*('16. câmbio USD-BRL'!O458/'16. câmbio USD-BRL'!O457)^-1 -1</f>
        <v>-3.6443504075749589E-2</v>
      </c>
    </row>
    <row r="459" spans="11:19" x14ac:dyDescent="0.2">
      <c r="K459" s="355">
        <v>41148</v>
      </c>
      <c r="L459" s="169">
        <v>34.479999999999997</v>
      </c>
      <c r="M459" s="169">
        <v>34.540000999999997</v>
      </c>
      <c r="N459" s="169">
        <v>32.439999</v>
      </c>
      <c r="O459" s="169">
        <v>33.779998999999997</v>
      </c>
      <c r="P459" s="169">
        <v>18.748591999999999</v>
      </c>
      <c r="Q459" s="169">
        <v>22283800</v>
      </c>
      <c r="R459" s="53">
        <f t="shared" si="10"/>
        <v>-2.1720275725497173E-2</v>
      </c>
      <c r="S459" s="146">
        <f>(P459/P458)*('16. câmbio USD-BRL'!O459/'16. câmbio USD-BRL'!O458)^-1 -1</f>
        <v>-2.393958170353272E-2</v>
      </c>
    </row>
    <row r="460" spans="11:19" x14ac:dyDescent="0.2">
      <c r="K460" s="355">
        <v>41155</v>
      </c>
      <c r="L460" s="169">
        <v>33.889999000000003</v>
      </c>
      <c r="M460" s="169">
        <v>34.520000000000003</v>
      </c>
      <c r="N460" s="169">
        <v>32.209999000000003</v>
      </c>
      <c r="O460" s="169">
        <v>34.520000000000003</v>
      </c>
      <c r="P460" s="169">
        <v>19.159306000000001</v>
      </c>
      <c r="Q460" s="169">
        <v>14770800</v>
      </c>
      <c r="R460" s="53">
        <f t="shared" si="10"/>
        <v>2.1906391690640126E-2</v>
      </c>
      <c r="S460" s="146">
        <f>(P460/P459)*('16. câmbio USD-BRL'!O460/'16. câmbio USD-BRL'!O459)^-1 -1</f>
        <v>2.3117360603915893E-2</v>
      </c>
    </row>
    <row r="461" spans="11:19" x14ac:dyDescent="0.2">
      <c r="K461" s="355">
        <v>41162</v>
      </c>
      <c r="L461" s="169">
        <v>34.520000000000003</v>
      </c>
      <c r="M461" s="169">
        <v>39.779998999999997</v>
      </c>
      <c r="N461" s="169">
        <v>34.520000000000003</v>
      </c>
      <c r="O461" s="169">
        <v>38.650002000000001</v>
      </c>
      <c r="P461" s="169">
        <v>21.451543999999998</v>
      </c>
      <c r="Q461" s="169">
        <v>49082500</v>
      </c>
      <c r="R461" s="53">
        <f t="shared" si="10"/>
        <v>0.11964097238177618</v>
      </c>
      <c r="S461" s="146">
        <f>(P461/P460)*('16. câmbio USD-BRL'!O461/'16. câmbio USD-BRL'!O460)^-1 -1</f>
        <v>0.12855664229573049</v>
      </c>
    </row>
    <row r="462" spans="11:19" x14ac:dyDescent="0.2">
      <c r="K462" s="355">
        <v>41169</v>
      </c>
      <c r="L462" s="169">
        <v>38.669998</v>
      </c>
      <c r="M462" s="169">
        <v>39.93</v>
      </c>
      <c r="N462" s="169">
        <v>37.619999</v>
      </c>
      <c r="O462" s="169">
        <v>37.799999</v>
      </c>
      <c r="P462" s="169">
        <v>20.979771</v>
      </c>
      <c r="Q462" s="169">
        <v>27561700</v>
      </c>
      <c r="R462" s="53">
        <f t="shared" si="10"/>
        <v>-2.199249620446897E-2</v>
      </c>
      <c r="S462" s="146">
        <f>(P462/P461)*('16. câmbio USD-BRL'!O462/'16. câmbio USD-BRL'!O461)^-1 -1</f>
        <v>-2.6594770469407281E-2</v>
      </c>
    </row>
    <row r="463" spans="11:19" x14ac:dyDescent="0.2">
      <c r="K463" s="355">
        <v>41176</v>
      </c>
      <c r="L463" s="169">
        <v>37.599997999999999</v>
      </c>
      <c r="M463" s="169">
        <v>38.029998999999997</v>
      </c>
      <c r="N463" s="169">
        <v>36.049999</v>
      </c>
      <c r="O463" s="169">
        <v>36.490001999999997</v>
      </c>
      <c r="P463" s="169">
        <v>20.252703</v>
      </c>
      <c r="Q463" s="169">
        <v>22137000</v>
      </c>
      <c r="R463" s="53">
        <f t="shared" si="10"/>
        <v>-3.4655669025176694E-2</v>
      </c>
      <c r="S463" s="146">
        <f>(P463/P462)*('16. câmbio USD-BRL'!O463/'16. câmbio USD-BRL'!O462)^-1 -1</f>
        <v>-3.6469328897471898E-2</v>
      </c>
    </row>
    <row r="464" spans="11:19" x14ac:dyDescent="0.2">
      <c r="K464" s="355">
        <v>41183</v>
      </c>
      <c r="L464" s="169">
        <v>36.57</v>
      </c>
      <c r="M464" s="169">
        <v>37.360000999999997</v>
      </c>
      <c r="N464" s="169">
        <v>35.150002000000001</v>
      </c>
      <c r="O464" s="169">
        <v>35.909999999999997</v>
      </c>
      <c r="P464" s="169">
        <v>19.930782000000001</v>
      </c>
      <c r="Q464" s="169">
        <v>19824800</v>
      </c>
      <c r="R464" s="53">
        <f t="shared" si="10"/>
        <v>-1.5895211616938187E-2</v>
      </c>
      <c r="S464" s="146">
        <f>(P464/P463)*('16. câmbio USD-BRL'!O464/'16. câmbio USD-BRL'!O463)^-1 -1</f>
        <v>-3.4793506640728999E-3</v>
      </c>
    </row>
    <row r="465" spans="11:19" x14ac:dyDescent="0.2">
      <c r="K465" s="355">
        <v>41190</v>
      </c>
      <c r="L465" s="169">
        <v>35.75</v>
      </c>
      <c r="M465" s="169">
        <v>37.919998</v>
      </c>
      <c r="N465" s="169">
        <v>35.529998999999997</v>
      </c>
      <c r="O465" s="169">
        <v>37.400002000000001</v>
      </c>
      <c r="P465" s="169">
        <v>20.757764999999999</v>
      </c>
      <c r="Q465" s="169">
        <v>18445400</v>
      </c>
      <c r="R465" s="53">
        <f t="shared" si="10"/>
        <v>4.1492752266318433E-2</v>
      </c>
      <c r="S465" s="146">
        <f>(P465/P464)*('16. câmbio USD-BRL'!O465/'16. câmbio USD-BRL'!O464)^-1 -1</f>
        <v>1.8844952187650366E-2</v>
      </c>
    </row>
    <row r="466" spans="11:19" x14ac:dyDescent="0.2">
      <c r="K466" s="355">
        <v>41197</v>
      </c>
      <c r="L466" s="169">
        <v>37.18</v>
      </c>
      <c r="M466" s="169">
        <v>39.080002</v>
      </c>
      <c r="N466" s="169">
        <v>36.580002</v>
      </c>
      <c r="O466" s="169">
        <v>36.599997999999999</v>
      </c>
      <c r="P466" s="169">
        <v>20.313746999999999</v>
      </c>
      <c r="Q466" s="169">
        <v>30117300</v>
      </c>
      <c r="R466" s="53">
        <f t="shared" si="10"/>
        <v>-2.1390453162948853E-2</v>
      </c>
      <c r="S466" s="146">
        <f>(P466/P465)*('16. câmbio USD-BRL'!O466/'16. câmbio USD-BRL'!O465)^-1 -1</f>
        <v>-1.3125414761747112E-2</v>
      </c>
    </row>
    <row r="467" spans="11:19" x14ac:dyDescent="0.2">
      <c r="K467" s="355">
        <v>41204</v>
      </c>
      <c r="L467" s="169">
        <v>36.630001</v>
      </c>
      <c r="M467" s="169">
        <v>37.540000999999997</v>
      </c>
      <c r="N467" s="169">
        <v>35.009998000000003</v>
      </c>
      <c r="O467" s="169">
        <v>37.029998999999997</v>
      </c>
      <c r="P467" s="169">
        <v>21.212851000000001</v>
      </c>
      <c r="Q467" s="169">
        <v>18952800</v>
      </c>
      <c r="R467" s="53">
        <f t="shared" si="10"/>
        <v>4.4260864329953575E-2</v>
      </c>
      <c r="S467" s="146">
        <f>(P467/P466)*('16. câmbio USD-BRL'!O467/'16. câmbio USD-BRL'!O466)^-1 -1</f>
        <v>4.400304760461049E-2</v>
      </c>
    </row>
    <row r="468" spans="11:19" x14ac:dyDescent="0.2">
      <c r="K468" s="355">
        <v>41211</v>
      </c>
      <c r="L468" s="169">
        <v>36.979999999999997</v>
      </c>
      <c r="M468" s="169">
        <v>38.5</v>
      </c>
      <c r="N468" s="169">
        <v>36.659999999999997</v>
      </c>
      <c r="O468" s="169">
        <v>38.389999000000003</v>
      </c>
      <c r="P468" s="169">
        <v>21.991931999999998</v>
      </c>
      <c r="Q468" s="169">
        <v>16864200</v>
      </c>
      <c r="R468" s="53">
        <f t="shared" si="10"/>
        <v>3.6726840724992549E-2</v>
      </c>
      <c r="S468" s="146">
        <f>(P468/P467)*('16. câmbio USD-BRL'!O468/'16. câmbio USD-BRL'!O467)^-1 -1</f>
        <v>3.4887222908248638E-2</v>
      </c>
    </row>
    <row r="469" spans="11:19" x14ac:dyDescent="0.2">
      <c r="K469" s="355">
        <v>41218</v>
      </c>
      <c r="L469" s="169">
        <v>37.729999999999997</v>
      </c>
      <c r="M469" s="169">
        <v>38.619999</v>
      </c>
      <c r="N469" s="169">
        <v>36.729999999999997</v>
      </c>
      <c r="O469" s="169">
        <v>37.299999</v>
      </c>
      <c r="P469" s="169">
        <v>21.367522999999998</v>
      </c>
      <c r="Q469" s="169">
        <v>27803900</v>
      </c>
      <c r="R469" s="53">
        <f t="shared" si="10"/>
        <v>-2.839263962802363E-2</v>
      </c>
      <c r="S469" s="146">
        <f>(P469/P468)*('16. câmbio USD-BRL'!O469/'16. câmbio USD-BRL'!O468)^-1 -1</f>
        <v>-3.5853747751202869E-2</v>
      </c>
    </row>
    <row r="470" spans="11:19" x14ac:dyDescent="0.2">
      <c r="K470" s="355">
        <v>41225</v>
      </c>
      <c r="L470" s="169">
        <v>37.200001</v>
      </c>
      <c r="M470" s="169">
        <v>37.560001</v>
      </c>
      <c r="N470" s="169">
        <v>35.409999999999997</v>
      </c>
      <c r="O470" s="169">
        <v>35.479999999999997</v>
      </c>
      <c r="P470" s="169">
        <v>20.324922999999998</v>
      </c>
      <c r="Q470" s="169">
        <v>25971400</v>
      </c>
      <c r="R470" s="53">
        <f t="shared" si="10"/>
        <v>-4.8793676272163133E-2</v>
      </c>
      <c r="S470" s="146">
        <f>(P470/P469)*('16. câmbio USD-BRL'!O470/'16. câmbio USD-BRL'!O469)^-1 -1</f>
        <v>-6.5297832903219E-2</v>
      </c>
    </row>
    <row r="471" spans="11:19" x14ac:dyDescent="0.2">
      <c r="K471" s="355">
        <v>41232</v>
      </c>
      <c r="L471" s="169">
        <v>36.009998000000003</v>
      </c>
      <c r="M471" s="169">
        <v>37.200001</v>
      </c>
      <c r="N471" s="169">
        <v>35.740001999999997</v>
      </c>
      <c r="O471" s="169">
        <v>36.919998</v>
      </c>
      <c r="P471" s="169">
        <v>21.149837000000002</v>
      </c>
      <c r="Q471" s="169">
        <v>16311600</v>
      </c>
      <c r="R471" s="53">
        <f t="shared" si="10"/>
        <v>4.0586328420531004E-2</v>
      </c>
      <c r="S471" s="146">
        <f>(P471/P470)*('16. câmbio USD-BRL'!O471/'16. câmbio USD-BRL'!O470)^-1 -1</f>
        <v>4.0836457339434196E-2</v>
      </c>
    </row>
    <row r="472" spans="11:19" x14ac:dyDescent="0.2">
      <c r="K472" s="355">
        <v>41239</v>
      </c>
      <c r="L472" s="169">
        <v>36.900002000000001</v>
      </c>
      <c r="M472" s="169">
        <v>37.619999</v>
      </c>
      <c r="N472" s="169">
        <v>35.770000000000003</v>
      </c>
      <c r="O472" s="169">
        <v>37.599997999999999</v>
      </c>
      <c r="P472" s="169">
        <v>21.539373000000001</v>
      </c>
      <c r="Q472" s="169">
        <v>24865500</v>
      </c>
      <c r="R472" s="53">
        <f t="shared" si="10"/>
        <v>1.8417919722029108E-2</v>
      </c>
      <c r="S472" s="146">
        <f>(P472/P471)*('16. câmbio USD-BRL'!O472/'16. câmbio USD-BRL'!O471)^-1 -1</f>
        <v>-7.2584868954531645E-3</v>
      </c>
    </row>
    <row r="473" spans="11:19" x14ac:dyDescent="0.2">
      <c r="K473" s="355">
        <v>41246</v>
      </c>
      <c r="L473" s="169">
        <v>37.529998999999997</v>
      </c>
      <c r="M473" s="169">
        <v>37.82</v>
      </c>
      <c r="N473" s="169">
        <v>36.479999999999997</v>
      </c>
      <c r="O473" s="169">
        <v>37.479999999999997</v>
      </c>
      <c r="P473" s="169">
        <v>21.470635999999999</v>
      </c>
      <c r="Q473" s="169">
        <v>21382000</v>
      </c>
      <c r="R473" s="53">
        <f t="shared" si="10"/>
        <v>-3.1912256684538676E-3</v>
      </c>
      <c r="S473" s="146">
        <f>(P473/P472)*('16. câmbio USD-BRL'!O473/'16. câmbio USD-BRL'!O472)^-1 -1</f>
        <v>2.5845306749981312E-2</v>
      </c>
    </row>
    <row r="474" spans="11:19" x14ac:dyDescent="0.2">
      <c r="K474" s="355">
        <v>41253</v>
      </c>
      <c r="L474" s="169">
        <v>37.099997999999999</v>
      </c>
      <c r="M474" s="169">
        <v>41.200001</v>
      </c>
      <c r="N474" s="169">
        <v>37.099997999999999</v>
      </c>
      <c r="O474" s="169">
        <v>41.200001</v>
      </c>
      <c r="P474" s="169">
        <v>23.601664</v>
      </c>
      <c r="Q474" s="169">
        <v>22181200</v>
      </c>
      <c r="R474" s="53">
        <f t="shared" si="10"/>
        <v>9.9253138099868243E-2</v>
      </c>
      <c r="S474" s="146">
        <f>(P474/P473)*('16. câmbio USD-BRL'!O474/'16. câmbio USD-BRL'!O473)^-1 -1</f>
        <v>9.3137682533248611E-2</v>
      </c>
    </row>
    <row r="475" spans="11:19" x14ac:dyDescent="0.2">
      <c r="K475" s="355">
        <v>41260</v>
      </c>
      <c r="L475" s="169">
        <v>41.189999</v>
      </c>
      <c r="M475" s="169">
        <v>43.549999</v>
      </c>
      <c r="N475" s="169">
        <v>41.09</v>
      </c>
      <c r="O475" s="169">
        <v>41.889999000000003</v>
      </c>
      <c r="P475" s="169">
        <v>23.996926999999999</v>
      </c>
      <c r="Q475" s="169">
        <v>19558300</v>
      </c>
      <c r="R475" s="53">
        <f t="shared" si="10"/>
        <v>1.6747251380241579E-2</v>
      </c>
      <c r="S475" s="146">
        <f>(P475/P474)*('16. câmbio USD-BRL'!O475/'16. câmbio USD-BRL'!O474)^-1 -1</f>
        <v>2.4510556155676655E-2</v>
      </c>
    </row>
    <row r="476" spans="11:19" x14ac:dyDescent="0.2">
      <c r="K476" s="355">
        <v>41267</v>
      </c>
      <c r="L476" s="169">
        <v>41.889999000000003</v>
      </c>
      <c r="M476" s="169">
        <v>42.599997999999999</v>
      </c>
      <c r="N476" s="169">
        <v>41.349997999999999</v>
      </c>
      <c r="O476" s="169">
        <v>42.279998999999997</v>
      </c>
      <c r="P476" s="169">
        <v>24.220344999999998</v>
      </c>
      <c r="Q476" s="169">
        <v>5988200</v>
      </c>
      <c r="R476" s="53">
        <f t="shared" si="10"/>
        <v>9.3102754365173013E-3</v>
      </c>
      <c r="S476" s="146">
        <f>(P476/P475)*('16. câmbio USD-BRL'!O476/'16. câmbio USD-BRL'!O475)^-1 -1</f>
        <v>2.1253607628372917E-2</v>
      </c>
    </row>
    <row r="477" spans="11:19" x14ac:dyDescent="0.2">
      <c r="K477" s="355">
        <v>41274</v>
      </c>
      <c r="L477" s="169">
        <v>42.279998999999997</v>
      </c>
      <c r="M477" s="169">
        <v>44.759998000000003</v>
      </c>
      <c r="N477" s="169">
        <v>42.110000999999997</v>
      </c>
      <c r="O477" s="169">
        <v>42.68</v>
      </c>
      <c r="P477" s="169">
        <v>24.449493</v>
      </c>
      <c r="Q477" s="169">
        <v>13846900</v>
      </c>
      <c r="R477" s="53">
        <f t="shared" si="10"/>
        <v>9.4609717574214436E-3</v>
      </c>
      <c r="S477" s="146">
        <f>(P477/P476)*('16. câmbio USD-BRL'!O477/'16. câmbio USD-BRL'!O476)^-1 -1</f>
        <v>1.576886112040099E-2</v>
      </c>
    </row>
    <row r="478" spans="11:19" x14ac:dyDescent="0.2">
      <c r="K478" s="355">
        <v>41281</v>
      </c>
      <c r="L478" s="169">
        <v>42.529998999999997</v>
      </c>
      <c r="M478" s="169">
        <v>42.880001</v>
      </c>
      <c r="N478" s="169">
        <v>40.93</v>
      </c>
      <c r="O478" s="169">
        <v>41.27</v>
      </c>
      <c r="P478" s="169">
        <v>23.641760000000001</v>
      </c>
      <c r="Q478" s="169">
        <v>13963900</v>
      </c>
      <c r="R478" s="53">
        <f t="shared" si="10"/>
        <v>-3.3036799576989129E-2</v>
      </c>
      <c r="S478" s="146">
        <f>(P478/P477)*('16. câmbio USD-BRL'!O478/'16. câmbio USD-BRL'!O477)^-1 -1</f>
        <v>-3.1750500793355063E-2</v>
      </c>
    </row>
    <row r="479" spans="11:19" x14ac:dyDescent="0.2">
      <c r="K479" s="355">
        <v>41288</v>
      </c>
      <c r="L479" s="169">
        <v>41.599997999999999</v>
      </c>
      <c r="M479" s="169">
        <v>41.689999</v>
      </c>
      <c r="N479" s="169">
        <v>40.310001</v>
      </c>
      <c r="O479" s="169">
        <v>40.610000999999997</v>
      </c>
      <c r="P479" s="169">
        <v>23.263680000000001</v>
      </c>
      <c r="Q479" s="169">
        <v>15112900</v>
      </c>
      <c r="R479" s="53">
        <f t="shared" si="10"/>
        <v>-1.5992041201670304E-2</v>
      </c>
      <c r="S479" s="146">
        <f>(P479/P478)*('16. câmbio USD-BRL'!O479/'16. câmbio USD-BRL'!O478)^-1 -1</f>
        <v>-1.6040519276298126E-2</v>
      </c>
    </row>
    <row r="480" spans="11:19" x14ac:dyDescent="0.2">
      <c r="K480" s="355">
        <v>41295</v>
      </c>
      <c r="L480" s="169">
        <v>40.689999</v>
      </c>
      <c r="M480" s="169">
        <v>41.330002</v>
      </c>
      <c r="N480" s="169">
        <v>39.729999999999997</v>
      </c>
      <c r="O480" s="169">
        <v>40</v>
      </c>
      <c r="P480" s="169">
        <v>22.914235999999999</v>
      </c>
      <c r="Q480" s="169">
        <v>10005700</v>
      </c>
      <c r="R480" s="53">
        <f t="shared" si="10"/>
        <v>-1.5021011293140263E-2</v>
      </c>
      <c r="S480" s="146">
        <f>(P480/P479)*('16. câmbio USD-BRL'!O480/'16. câmbio USD-BRL'!O479)^-1 -1</f>
        <v>-1.4389770136956637E-2</v>
      </c>
    </row>
    <row r="481" spans="11:19" x14ac:dyDescent="0.2">
      <c r="K481" s="355">
        <v>41302</v>
      </c>
      <c r="L481" s="169">
        <v>39.880001</v>
      </c>
      <c r="M481" s="169">
        <v>41.110000999999997</v>
      </c>
      <c r="N481" s="169">
        <v>38.419998</v>
      </c>
      <c r="O481" s="169">
        <v>40.849997999999999</v>
      </c>
      <c r="P481" s="169">
        <v>23.401157000000001</v>
      </c>
      <c r="Q481" s="169">
        <v>20991300</v>
      </c>
      <c r="R481" s="53">
        <f t="shared" si="10"/>
        <v>2.1249715678934411E-2</v>
      </c>
      <c r="S481" s="146">
        <f>(P481/P480)*('16. câmbio USD-BRL'!O481/'16. câmbio USD-BRL'!O480)^-1 -1</f>
        <v>4.2894204719451601E-2</v>
      </c>
    </row>
    <row r="482" spans="11:19" x14ac:dyDescent="0.2">
      <c r="K482" s="355">
        <v>41309</v>
      </c>
      <c r="L482" s="169">
        <v>40.580002</v>
      </c>
      <c r="M482" s="169">
        <v>41.259998000000003</v>
      </c>
      <c r="N482" s="169">
        <v>38.689999</v>
      </c>
      <c r="O482" s="169">
        <v>39.340000000000003</v>
      </c>
      <c r="P482" s="169">
        <v>22.536149999999999</v>
      </c>
      <c r="Q482" s="169">
        <v>20392000</v>
      </c>
      <c r="R482" s="53">
        <f t="shared" si="10"/>
        <v>-3.6964283432652567E-2</v>
      </c>
      <c r="S482" s="146">
        <f>(P482/P481)*('16. câmbio USD-BRL'!O482/'16. câmbio USD-BRL'!O481)^-1 -1</f>
        <v>-2.899642282656778E-2</v>
      </c>
    </row>
    <row r="483" spans="11:19" x14ac:dyDescent="0.2">
      <c r="K483" s="355">
        <v>41316</v>
      </c>
      <c r="L483" s="169">
        <v>39.340000000000003</v>
      </c>
      <c r="M483" s="169">
        <v>39.540000999999997</v>
      </c>
      <c r="N483" s="169">
        <v>38.060001</v>
      </c>
      <c r="O483" s="169">
        <v>38.299999</v>
      </c>
      <c r="P483" s="169">
        <v>21.940373999999998</v>
      </c>
      <c r="Q483" s="169">
        <v>9629900</v>
      </c>
      <c r="R483" s="53">
        <f t="shared" si="10"/>
        <v>-2.6436458756264991E-2</v>
      </c>
      <c r="S483" s="146">
        <f>(P483/P482)*('16. câmbio USD-BRL'!O483/'16. câmbio USD-BRL'!O482)^-1 -1</f>
        <v>-2.4008990126052066E-2</v>
      </c>
    </row>
    <row r="484" spans="11:19" x14ac:dyDescent="0.2">
      <c r="K484" s="355">
        <v>41323</v>
      </c>
      <c r="L484" s="169">
        <v>38.369999</v>
      </c>
      <c r="M484" s="169">
        <v>38.689999</v>
      </c>
      <c r="N484" s="169">
        <v>35.610000999999997</v>
      </c>
      <c r="O484" s="169">
        <v>35.720001000000003</v>
      </c>
      <c r="P484" s="169">
        <v>20.462412</v>
      </c>
      <c r="Q484" s="169">
        <v>21400900</v>
      </c>
      <c r="R484" s="53">
        <f t="shared" si="10"/>
        <v>-6.7362662095003412E-2</v>
      </c>
      <c r="S484" s="146">
        <f>(P484/P483)*('16. câmbio USD-BRL'!O484/'16. câmbio USD-BRL'!O483)^-1 -1</f>
        <v>-6.9209843862221732E-2</v>
      </c>
    </row>
    <row r="485" spans="11:19" x14ac:dyDescent="0.2">
      <c r="K485" s="355">
        <v>41330</v>
      </c>
      <c r="L485" s="169">
        <v>35.82</v>
      </c>
      <c r="M485" s="169">
        <v>38.159999999999997</v>
      </c>
      <c r="N485" s="169">
        <v>35.419998</v>
      </c>
      <c r="O485" s="169">
        <v>36.75</v>
      </c>
      <c r="P485" s="169">
        <v>21.052455999999999</v>
      </c>
      <c r="Q485" s="169">
        <v>27378800</v>
      </c>
      <c r="R485" s="53">
        <f t="shared" si="10"/>
        <v>2.8835505804496453E-2</v>
      </c>
      <c r="S485" s="146">
        <f>(P485/P484)*('16. câmbio USD-BRL'!O485/'16. câmbio USD-BRL'!O484)^-1 -1</f>
        <v>2.2603601271835805E-2</v>
      </c>
    </row>
    <row r="486" spans="11:19" x14ac:dyDescent="0.2">
      <c r="K486" s="355">
        <v>41337</v>
      </c>
      <c r="L486" s="169">
        <v>36.259998000000003</v>
      </c>
      <c r="M486" s="169">
        <v>38.07</v>
      </c>
      <c r="N486" s="169">
        <v>35.099997999999999</v>
      </c>
      <c r="O486" s="169">
        <v>36.340000000000003</v>
      </c>
      <c r="P486" s="169">
        <v>20.817581000000001</v>
      </c>
      <c r="Q486" s="169">
        <v>20606500</v>
      </c>
      <c r="R486" s="53">
        <f t="shared" si="10"/>
        <v>-1.1156655546507244E-2</v>
      </c>
      <c r="S486" s="146">
        <f>(P486/P485)*('16. câmbio USD-BRL'!O486/'16. câmbio USD-BRL'!O485)^-1 -1</f>
        <v>8.8045469369248952E-3</v>
      </c>
    </row>
    <row r="487" spans="11:19" x14ac:dyDescent="0.2">
      <c r="K487" s="355">
        <v>41344</v>
      </c>
      <c r="L487" s="169">
        <v>36.490001999999997</v>
      </c>
      <c r="M487" s="169">
        <v>37.060001</v>
      </c>
      <c r="N487" s="169">
        <v>34.189999</v>
      </c>
      <c r="O487" s="169">
        <v>34.729999999999997</v>
      </c>
      <c r="P487" s="169">
        <v>19.895281000000001</v>
      </c>
      <c r="Q487" s="169">
        <v>19910100</v>
      </c>
      <c r="R487" s="53">
        <f t="shared" si="10"/>
        <v>-4.4303898709461054E-2</v>
      </c>
      <c r="S487" s="146">
        <f>(P487/P486)*('16. câmbio USD-BRL'!O487/'16. câmbio USD-BRL'!O486)^-1 -1</f>
        <v>-6.2125399688650829E-2</v>
      </c>
    </row>
    <row r="488" spans="11:19" x14ac:dyDescent="0.2">
      <c r="K488" s="355">
        <v>41351</v>
      </c>
      <c r="L488" s="169">
        <v>34.450001</v>
      </c>
      <c r="M488" s="169">
        <v>35.220001000000003</v>
      </c>
      <c r="N488" s="169">
        <v>33.5</v>
      </c>
      <c r="O488" s="169">
        <v>34.709999000000003</v>
      </c>
      <c r="P488" s="169">
        <v>19.883831000000001</v>
      </c>
      <c r="Q488" s="169">
        <v>19886900</v>
      </c>
      <c r="R488" s="53">
        <f t="shared" si="10"/>
        <v>-5.7551335917294111E-4</v>
      </c>
      <c r="S488" s="146">
        <f>(P488/P487)*('16. câmbio USD-BRL'!O488/'16. câmbio USD-BRL'!O487)^-1 -1</f>
        <v>-1.4372701637244578E-2</v>
      </c>
    </row>
    <row r="489" spans="11:19" x14ac:dyDescent="0.2">
      <c r="K489" s="355">
        <v>41358</v>
      </c>
      <c r="L489" s="169">
        <v>34.799999</v>
      </c>
      <c r="M489" s="169">
        <v>35.150002000000001</v>
      </c>
      <c r="N489" s="169">
        <v>33.830002</v>
      </c>
      <c r="O489" s="169">
        <v>35.130001</v>
      </c>
      <c r="P489" s="169">
        <v>20.124428000000002</v>
      </c>
      <c r="Q489" s="169">
        <v>10960300</v>
      </c>
      <c r="R489" s="53">
        <f t="shared" si="10"/>
        <v>1.2100133017626247E-2</v>
      </c>
      <c r="S489" s="146">
        <f>(P489/P488)*('16. câmbio USD-BRL'!O489/'16. câmbio USD-BRL'!O488)^-1 -1</f>
        <v>5.8340351163281845E-3</v>
      </c>
    </row>
    <row r="490" spans="11:19" x14ac:dyDescent="0.2">
      <c r="K490" s="355">
        <v>41365</v>
      </c>
      <c r="L490" s="169">
        <v>34.810001</v>
      </c>
      <c r="M490" s="169">
        <v>35.349997999999999</v>
      </c>
      <c r="N490" s="169">
        <v>33.060001</v>
      </c>
      <c r="O490" s="169">
        <v>34.560001</v>
      </c>
      <c r="P490" s="169">
        <v>19.797899000000001</v>
      </c>
      <c r="Q490" s="169">
        <v>22328100</v>
      </c>
      <c r="R490" s="53">
        <f t="shared" si="10"/>
        <v>-1.622550464539918E-2</v>
      </c>
      <c r="S490" s="146">
        <f>(P490/P489)*('16. câmbio USD-BRL'!O490/'16. câmbio USD-BRL'!O489)^-1 -1</f>
        <v>1.5332322110424013E-3</v>
      </c>
    </row>
    <row r="491" spans="11:19" x14ac:dyDescent="0.2">
      <c r="K491" s="355">
        <v>41372</v>
      </c>
      <c r="L491" s="169">
        <v>34.689999</v>
      </c>
      <c r="M491" s="169">
        <v>36.810001</v>
      </c>
      <c r="N491" s="169">
        <v>33.340000000000003</v>
      </c>
      <c r="O491" s="169">
        <v>34.580002</v>
      </c>
      <c r="P491" s="169">
        <v>19.809353000000002</v>
      </c>
      <c r="Q491" s="169">
        <v>34145200</v>
      </c>
      <c r="R491" s="53">
        <f t="shared" si="10"/>
        <v>5.7854623866915311E-4</v>
      </c>
      <c r="S491" s="146">
        <f>(P491/P490)*('16. câmbio USD-BRL'!O491/'16. câmbio USD-BRL'!O490)^-1 -1</f>
        <v>9.229667836704758E-3</v>
      </c>
    </row>
    <row r="492" spans="11:19" x14ac:dyDescent="0.2">
      <c r="K492" s="355">
        <v>41379</v>
      </c>
      <c r="L492" s="169">
        <v>33.549999</v>
      </c>
      <c r="M492" s="169">
        <v>33.860000999999997</v>
      </c>
      <c r="N492" s="169">
        <v>31.07</v>
      </c>
      <c r="O492" s="169">
        <v>32.099997999999999</v>
      </c>
      <c r="P492" s="169">
        <v>18.388672</v>
      </c>
      <c r="Q492" s="169">
        <v>28344200</v>
      </c>
      <c r="R492" s="53">
        <f t="shared" si="10"/>
        <v>-7.1717688104200206E-2</v>
      </c>
      <c r="S492" s="146">
        <f>(P492/P491)*('16. câmbio USD-BRL'!O492/'16. câmbio USD-BRL'!O491)^-1 -1</f>
        <v>-8.9772251321802554E-2</v>
      </c>
    </row>
    <row r="493" spans="11:19" x14ac:dyDescent="0.2">
      <c r="K493" s="355">
        <v>41386</v>
      </c>
      <c r="L493" s="169">
        <v>32.139999000000003</v>
      </c>
      <c r="M493" s="169">
        <v>34.950001</v>
      </c>
      <c r="N493" s="169">
        <v>31.799999</v>
      </c>
      <c r="O493" s="169">
        <v>34.110000999999997</v>
      </c>
      <c r="P493" s="169">
        <v>20.062241</v>
      </c>
      <c r="Q493" s="169">
        <v>18024000</v>
      </c>
      <c r="R493" s="53">
        <f t="shared" si="10"/>
        <v>9.101086799525282E-2</v>
      </c>
      <c r="S493" s="146">
        <f>(P493/P492)*('16. câmbio USD-BRL'!O493/'16. câmbio USD-BRL'!O492)^-1 -1</f>
        <v>9.7524202329845489E-2</v>
      </c>
    </row>
    <row r="494" spans="11:19" x14ac:dyDescent="0.2">
      <c r="K494" s="355">
        <v>41393</v>
      </c>
      <c r="L494" s="169">
        <v>33.619999</v>
      </c>
      <c r="M494" s="169">
        <v>34.490001999999997</v>
      </c>
      <c r="N494" s="169">
        <v>33.119999</v>
      </c>
      <c r="O494" s="169">
        <v>33.799999</v>
      </c>
      <c r="P494" s="169">
        <v>19.879909999999999</v>
      </c>
      <c r="Q494" s="169">
        <v>16932100</v>
      </c>
      <c r="R494" s="53">
        <f t="shared" si="10"/>
        <v>-9.0882668591211191E-3</v>
      </c>
      <c r="S494" s="146">
        <f>(P494/P493)*('16. câmbio USD-BRL'!O494/'16. câmbio USD-BRL'!O493)^-1 -1</f>
        <v>-1.732121508969453E-2</v>
      </c>
    </row>
    <row r="495" spans="11:19" x14ac:dyDescent="0.2">
      <c r="K495" s="355">
        <v>41400</v>
      </c>
      <c r="L495" s="169">
        <v>33.909999999999997</v>
      </c>
      <c r="M495" s="169">
        <v>35.409999999999997</v>
      </c>
      <c r="N495" s="169">
        <v>33.630001</v>
      </c>
      <c r="O495" s="169">
        <v>34.240001999999997</v>
      </c>
      <c r="P495" s="169">
        <v>20.138705999999999</v>
      </c>
      <c r="Q495" s="169">
        <v>22619900</v>
      </c>
      <c r="R495" s="53">
        <f t="shared" si="10"/>
        <v>1.3017966379123447E-2</v>
      </c>
      <c r="S495" s="146">
        <f>(P495/P494)*('16. câmbio USD-BRL'!O495/'16. câmbio USD-BRL'!O494)^-1 -1</f>
        <v>1.1106421899909513E-2</v>
      </c>
    </row>
    <row r="496" spans="11:19" x14ac:dyDescent="0.2">
      <c r="K496" s="355">
        <v>41407</v>
      </c>
      <c r="L496" s="169">
        <v>33.959999000000003</v>
      </c>
      <c r="M496" s="169">
        <v>34.159999999999997</v>
      </c>
      <c r="N496" s="169">
        <v>31.24</v>
      </c>
      <c r="O496" s="169">
        <v>31.77</v>
      </c>
      <c r="P496" s="169">
        <v>18.685939999999999</v>
      </c>
      <c r="Q496" s="169">
        <v>33472500</v>
      </c>
      <c r="R496" s="53">
        <f t="shared" si="10"/>
        <v>-7.2138001319449252E-2</v>
      </c>
      <c r="S496" s="146">
        <f>(P496/P495)*('16. câmbio USD-BRL'!O496/'16. câmbio USD-BRL'!O495)^-1 -1</f>
        <v>-8.0086405601175303E-2</v>
      </c>
    </row>
    <row r="497" spans="11:19" x14ac:dyDescent="0.2">
      <c r="K497" s="355">
        <v>41414</v>
      </c>
      <c r="L497" s="169">
        <v>31.959999</v>
      </c>
      <c r="M497" s="169">
        <v>33.540000999999997</v>
      </c>
      <c r="N497" s="169">
        <v>31.35</v>
      </c>
      <c r="O497" s="169">
        <v>31.700001</v>
      </c>
      <c r="P497" s="169">
        <v>18.644770000000001</v>
      </c>
      <c r="Q497" s="169">
        <v>19635500</v>
      </c>
      <c r="R497" s="53">
        <f t="shared" si="10"/>
        <v>-2.2032608474605864E-3</v>
      </c>
      <c r="S497" s="146">
        <f>(P497/P496)*('16. câmbio USD-BRL'!O497/'16. câmbio USD-BRL'!O496)^-1 -1</f>
        <v>-9.856496865192188E-3</v>
      </c>
    </row>
    <row r="498" spans="11:19" x14ac:dyDescent="0.2">
      <c r="K498" s="355">
        <v>41421</v>
      </c>
      <c r="L498" s="169">
        <v>31.700001</v>
      </c>
      <c r="M498" s="169">
        <v>32.209999000000003</v>
      </c>
      <c r="N498" s="169">
        <v>30.34</v>
      </c>
      <c r="O498" s="169">
        <v>30.450001</v>
      </c>
      <c r="P498" s="169">
        <v>17.909566999999999</v>
      </c>
      <c r="Q498" s="169">
        <v>17392400</v>
      </c>
      <c r="R498" s="53">
        <f t="shared" si="10"/>
        <v>-3.9432130297128998E-2</v>
      </c>
      <c r="S498" s="146">
        <f>(P498/P497)*('16. câmbio USD-BRL'!O498/'16. câmbio USD-BRL'!O497)^-1 -1</f>
        <v>-5.9195955550597423E-2</v>
      </c>
    </row>
    <row r="499" spans="11:19" x14ac:dyDescent="0.2">
      <c r="K499" s="355">
        <v>41428</v>
      </c>
      <c r="L499" s="169">
        <v>30.860001</v>
      </c>
      <c r="M499" s="169">
        <v>32.080002</v>
      </c>
      <c r="N499" s="169">
        <v>30.440000999999999</v>
      </c>
      <c r="O499" s="169">
        <v>30.77</v>
      </c>
      <c r="P499" s="169">
        <v>18.097778000000002</v>
      </c>
      <c r="Q499" s="169">
        <v>24312800</v>
      </c>
      <c r="R499" s="53">
        <f t="shared" si="10"/>
        <v>1.0508964287076372E-2</v>
      </c>
      <c r="S499" s="146">
        <f>(P499/P498)*('16. câmbio USD-BRL'!O499/'16. câmbio USD-BRL'!O498)^-1 -1</f>
        <v>-8.0960572713536516E-3</v>
      </c>
    </row>
    <row r="500" spans="11:19" x14ac:dyDescent="0.2">
      <c r="K500" s="355">
        <v>41435</v>
      </c>
      <c r="L500" s="169">
        <v>30.59</v>
      </c>
      <c r="M500" s="169">
        <v>31.32</v>
      </c>
      <c r="N500" s="169">
        <v>29.09</v>
      </c>
      <c r="O500" s="169">
        <v>30.08</v>
      </c>
      <c r="P500" s="169">
        <v>17.691946000000002</v>
      </c>
      <c r="Q500" s="169">
        <v>30550700</v>
      </c>
      <c r="R500" s="53">
        <f t="shared" si="10"/>
        <v>-2.2424410333688471E-2</v>
      </c>
      <c r="S500" s="146">
        <f>(P500/P499)*('16. câmbio USD-BRL'!O500/'16. câmbio USD-BRL'!O499)^-1 -1</f>
        <v>-7.1760217713489061E-3</v>
      </c>
    </row>
    <row r="501" spans="11:19" x14ac:dyDescent="0.2">
      <c r="K501" s="355">
        <v>41442</v>
      </c>
      <c r="L501" s="169">
        <v>30.5</v>
      </c>
      <c r="M501" s="169">
        <v>31.32</v>
      </c>
      <c r="N501" s="169">
        <v>29.66</v>
      </c>
      <c r="O501" s="169">
        <v>30.450001</v>
      </c>
      <c r="P501" s="169">
        <v>17.909566999999999</v>
      </c>
      <c r="Q501" s="169">
        <v>31146700</v>
      </c>
      <c r="R501" s="53">
        <f t="shared" si="10"/>
        <v>1.2300568857716243E-2</v>
      </c>
      <c r="S501" s="146">
        <f>(P501/P500)*('16. câmbio USD-BRL'!O501/'16. câmbio USD-BRL'!O500)^-1 -1</f>
        <v>-5.1960280297826178E-2</v>
      </c>
    </row>
    <row r="502" spans="11:19" x14ac:dyDescent="0.2">
      <c r="K502" s="355">
        <v>41449</v>
      </c>
      <c r="L502" s="169">
        <v>29.85</v>
      </c>
      <c r="M502" s="169">
        <v>30.059999000000001</v>
      </c>
      <c r="N502" s="169">
        <v>28.23</v>
      </c>
      <c r="O502" s="169">
        <v>28.91</v>
      </c>
      <c r="P502" s="169">
        <v>17.003792000000001</v>
      </c>
      <c r="Q502" s="169">
        <v>27300700</v>
      </c>
      <c r="R502" s="53">
        <f t="shared" si="10"/>
        <v>-5.0574924564061097E-2</v>
      </c>
      <c r="S502" s="146">
        <f>(P502/P501)*('16. câmbio USD-BRL'!O502/'16. câmbio USD-BRL'!O501)^-1 -1</f>
        <v>-2.9194211874954634E-2</v>
      </c>
    </row>
    <row r="503" spans="11:19" x14ac:dyDescent="0.2">
      <c r="K503" s="355">
        <v>41456</v>
      </c>
      <c r="L503" s="169">
        <v>28.34</v>
      </c>
      <c r="M503" s="169">
        <v>29.74</v>
      </c>
      <c r="N503" s="169">
        <v>27.889999</v>
      </c>
      <c r="O503" s="169">
        <v>28.700001</v>
      </c>
      <c r="P503" s="169">
        <v>16.880281</v>
      </c>
      <c r="Q503" s="169">
        <v>21180700</v>
      </c>
      <c r="R503" s="53">
        <f t="shared" si="10"/>
        <v>-7.2637327015057096E-3</v>
      </c>
      <c r="S503" s="146">
        <f>(P503/P502)*('16. câmbio USD-BRL'!O503/'16. câmbio USD-BRL'!O502)^-1 -1</f>
        <v>-3.3015245219192968E-2</v>
      </c>
    </row>
    <row r="504" spans="11:19" x14ac:dyDescent="0.2">
      <c r="K504" s="355">
        <v>41463</v>
      </c>
      <c r="L504" s="169">
        <v>28.75</v>
      </c>
      <c r="M504" s="169">
        <v>30.48</v>
      </c>
      <c r="N504" s="169">
        <v>28.17</v>
      </c>
      <c r="O504" s="169">
        <v>29.84</v>
      </c>
      <c r="P504" s="169">
        <v>17.550787</v>
      </c>
      <c r="Q504" s="169">
        <v>17195800</v>
      </c>
      <c r="R504" s="53">
        <f t="shared" si="10"/>
        <v>3.9721258194694631E-2</v>
      </c>
      <c r="S504" s="146">
        <f>(P504/P503)*('16. câmbio USD-BRL'!O504/'16. câmbio USD-BRL'!O503)^-1 -1</f>
        <v>3.3102050396824012E-2</v>
      </c>
    </row>
    <row r="505" spans="11:19" x14ac:dyDescent="0.2">
      <c r="K505" s="355">
        <v>41470</v>
      </c>
      <c r="L505" s="169">
        <v>30.35</v>
      </c>
      <c r="M505" s="169">
        <v>32.270000000000003</v>
      </c>
      <c r="N505" s="169">
        <v>29.860001</v>
      </c>
      <c r="O505" s="169">
        <v>30.93</v>
      </c>
      <c r="P505" s="169">
        <v>18.191884999999999</v>
      </c>
      <c r="Q505" s="169">
        <v>22249100</v>
      </c>
      <c r="R505" s="53">
        <f t="shared" ref="R505:R568" si="11">P505/P504-1</f>
        <v>3.6528162526273E-2</v>
      </c>
      <c r="S505" s="146">
        <f>(P505/P504)*('16. câmbio USD-BRL'!O505/'16. câmbio USD-BRL'!O504)^-1 -1</f>
        <v>4.4796368457297842E-2</v>
      </c>
    </row>
    <row r="506" spans="11:19" x14ac:dyDescent="0.2">
      <c r="K506" s="355">
        <v>41477</v>
      </c>
      <c r="L506" s="169">
        <v>30.85</v>
      </c>
      <c r="M506" s="169">
        <v>32.340000000000003</v>
      </c>
      <c r="N506" s="169">
        <v>30.809999000000001</v>
      </c>
      <c r="O506" s="169">
        <v>32.259998000000003</v>
      </c>
      <c r="P506" s="169">
        <v>18.974142000000001</v>
      </c>
      <c r="Q506" s="169">
        <v>17561400</v>
      </c>
      <c r="R506" s="53">
        <f t="shared" si="11"/>
        <v>4.3000326794062405E-2</v>
      </c>
      <c r="S506" s="146">
        <f>(P506/P505)*('16. câmbio USD-BRL'!O506/'16. câmbio USD-BRL'!O505)^-1 -1</f>
        <v>3.8188756798206436E-2</v>
      </c>
    </row>
    <row r="507" spans="11:19" x14ac:dyDescent="0.2">
      <c r="K507" s="355">
        <v>41484</v>
      </c>
      <c r="L507" s="169">
        <v>31.959999</v>
      </c>
      <c r="M507" s="169">
        <v>32.270000000000003</v>
      </c>
      <c r="N507" s="169">
        <v>30.93</v>
      </c>
      <c r="O507" s="169">
        <v>31.25</v>
      </c>
      <c r="P507" s="169">
        <v>18.380095000000001</v>
      </c>
      <c r="Q507" s="169">
        <v>20003400</v>
      </c>
      <c r="R507" s="53">
        <f t="shared" si="11"/>
        <v>-3.1308240446392799E-2</v>
      </c>
      <c r="S507" s="146">
        <f>(P507/P506)*('16. câmbio USD-BRL'!O507/'16. câmbio USD-BRL'!O506)^-1 -1</f>
        <v>-4.3862214212937012E-2</v>
      </c>
    </row>
    <row r="508" spans="11:19" x14ac:dyDescent="0.2">
      <c r="K508" s="355">
        <v>41491</v>
      </c>
      <c r="L508" s="169">
        <v>31.25</v>
      </c>
      <c r="M508" s="169">
        <v>35.189999</v>
      </c>
      <c r="N508" s="169">
        <v>30.959999</v>
      </c>
      <c r="O508" s="169">
        <v>34.75</v>
      </c>
      <c r="P508" s="169">
        <v>20.438666999999999</v>
      </c>
      <c r="Q508" s="169">
        <v>26597100</v>
      </c>
      <c r="R508" s="53">
        <f t="shared" si="11"/>
        <v>0.11200007399308864</v>
      </c>
      <c r="S508" s="146">
        <f>(P508/P507)*('16. câmbio USD-BRL'!O508/'16. câmbio USD-BRL'!O507)^-1 -1</f>
        <v>0.11468429624762511</v>
      </c>
    </row>
    <row r="509" spans="11:19" x14ac:dyDescent="0.2">
      <c r="K509" s="355">
        <v>41498</v>
      </c>
      <c r="L509" s="169">
        <v>35.020000000000003</v>
      </c>
      <c r="M509" s="169">
        <v>36.790000999999997</v>
      </c>
      <c r="N509" s="169">
        <v>34.959999000000003</v>
      </c>
      <c r="O509" s="169">
        <v>36.599997999999999</v>
      </c>
      <c r="P509" s="169">
        <v>21.526764</v>
      </c>
      <c r="Q509" s="169">
        <v>41751200</v>
      </c>
      <c r="R509" s="53">
        <f t="shared" si="11"/>
        <v>5.3237180291650255E-2</v>
      </c>
      <c r="S509" s="146">
        <f>(P509/P508)*('16. câmbio USD-BRL'!O509/'16. câmbio USD-BRL'!O508)^-1 -1</f>
        <v>5.1522158301675614E-3</v>
      </c>
    </row>
    <row r="510" spans="11:19" x14ac:dyDescent="0.2">
      <c r="K510" s="355">
        <v>41505</v>
      </c>
      <c r="L510" s="169">
        <v>36.299999</v>
      </c>
      <c r="M510" s="169">
        <v>36.860000999999997</v>
      </c>
      <c r="N510" s="169">
        <v>34.68</v>
      </c>
      <c r="O510" s="169">
        <v>36.119999</v>
      </c>
      <c r="P510" s="169">
        <v>21.244450000000001</v>
      </c>
      <c r="Q510" s="169">
        <v>28494200</v>
      </c>
      <c r="R510" s="53">
        <f t="shared" si="11"/>
        <v>-1.3114558230860829E-2</v>
      </c>
      <c r="S510" s="146">
        <f>(P510/P509)*('16. câmbio USD-BRL'!O510/'16. câmbio USD-BRL'!O509)^-1 -1</f>
        <v>-2.3138892112844256E-2</v>
      </c>
    </row>
    <row r="511" spans="11:19" x14ac:dyDescent="0.2">
      <c r="K511" s="355">
        <v>41512</v>
      </c>
      <c r="L511" s="169">
        <v>35.770000000000003</v>
      </c>
      <c r="M511" s="169">
        <v>36.450001</v>
      </c>
      <c r="N511" s="169">
        <v>33.639999000000003</v>
      </c>
      <c r="O511" s="169">
        <v>34.340000000000003</v>
      </c>
      <c r="P511" s="169">
        <v>20.197519</v>
      </c>
      <c r="Q511" s="169">
        <v>22899600</v>
      </c>
      <c r="R511" s="53">
        <f t="shared" si="11"/>
        <v>-4.9280212008312785E-2</v>
      </c>
      <c r="S511" s="146">
        <f>(P511/P510)*('16. câmbio USD-BRL'!O511/'16. câmbio USD-BRL'!O510)^-1 -1</f>
        <v>-3.6780724729722603E-2</v>
      </c>
    </row>
    <row r="512" spans="11:19" x14ac:dyDescent="0.2">
      <c r="K512" s="355">
        <v>41519</v>
      </c>
      <c r="L512" s="169">
        <v>35.290000999999997</v>
      </c>
      <c r="M512" s="169">
        <v>36.400002000000001</v>
      </c>
      <c r="N512" s="169">
        <v>34.909999999999997</v>
      </c>
      <c r="O512" s="169">
        <v>35.900002000000001</v>
      </c>
      <c r="P512" s="169">
        <v>21.115055000000002</v>
      </c>
      <c r="Q512" s="169">
        <v>16505100</v>
      </c>
      <c r="R512" s="53">
        <f t="shared" si="11"/>
        <v>4.5428153824239592E-2</v>
      </c>
      <c r="S512" s="146">
        <f>(P512/P511)*('16. câmbio USD-BRL'!O512/'16. câmbio USD-BRL'!O511)^-1 -1</f>
        <v>8.1826830309209342E-2</v>
      </c>
    </row>
    <row r="513" spans="11:19" x14ac:dyDescent="0.2">
      <c r="K513" s="355">
        <v>41526</v>
      </c>
      <c r="L513" s="169">
        <v>35.709999000000003</v>
      </c>
      <c r="M513" s="169">
        <v>38.310001</v>
      </c>
      <c r="N513" s="169">
        <v>35.709999000000003</v>
      </c>
      <c r="O513" s="169">
        <v>36.5</v>
      </c>
      <c r="P513" s="169">
        <v>21.467953000000001</v>
      </c>
      <c r="Q513" s="169">
        <v>29189200</v>
      </c>
      <c r="R513" s="53">
        <f t="shared" si="11"/>
        <v>1.6713098781887981E-2</v>
      </c>
      <c r="S513" s="146">
        <f>(P513/P512)*('16. câmbio USD-BRL'!O513/'16. câmbio USD-BRL'!O512)^-1 -1</f>
        <v>3.7410810776427494E-2</v>
      </c>
    </row>
    <row r="514" spans="11:19" x14ac:dyDescent="0.2">
      <c r="K514" s="355">
        <v>41533</v>
      </c>
      <c r="L514" s="169">
        <v>36.700001</v>
      </c>
      <c r="M514" s="169">
        <v>36.93</v>
      </c>
      <c r="N514" s="169">
        <v>35.459999000000003</v>
      </c>
      <c r="O514" s="169">
        <v>35.770000000000003</v>
      </c>
      <c r="P514" s="169">
        <v>21.038591</v>
      </c>
      <c r="Q514" s="169">
        <v>19455600</v>
      </c>
      <c r="R514" s="53">
        <f t="shared" si="11"/>
        <v>-2.0000136948315483E-2</v>
      </c>
      <c r="S514" s="146">
        <f>(P514/P513)*('16. câmbio USD-BRL'!O514/'16. câmbio USD-BRL'!O513)^-1 -1</f>
        <v>9.5388050855427231E-4</v>
      </c>
    </row>
    <row r="515" spans="11:19" x14ac:dyDescent="0.2">
      <c r="K515" s="355">
        <v>41540</v>
      </c>
      <c r="L515" s="169">
        <v>36.200001</v>
      </c>
      <c r="M515" s="169">
        <v>36.360000999999997</v>
      </c>
      <c r="N515" s="169">
        <v>35.009998000000003</v>
      </c>
      <c r="O515" s="169">
        <v>35.159999999999997</v>
      </c>
      <c r="P515" s="169">
        <v>20.679812999999999</v>
      </c>
      <c r="Q515" s="169">
        <v>17026100</v>
      </c>
      <c r="R515" s="53">
        <f t="shared" si="11"/>
        <v>-1.7053328333632267E-2</v>
      </c>
      <c r="S515" s="146">
        <f>(P515/P514)*('16. câmbio USD-BRL'!O515/'16. câmbio USD-BRL'!O514)^-1 -1</f>
        <v>-2.3775238357175099E-2</v>
      </c>
    </row>
    <row r="516" spans="11:19" x14ac:dyDescent="0.2">
      <c r="K516" s="355">
        <v>41547</v>
      </c>
      <c r="L516" s="169">
        <v>35.779998999999997</v>
      </c>
      <c r="M516" s="169">
        <v>35.900002000000001</v>
      </c>
      <c r="N516" s="169">
        <v>33.560001</v>
      </c>
      <c r="O516" s="169">
        <v>34.389999000000003</v>
      </c>
      <c r="P516" s="169">
        <v>20.226928999999998</v>
      </c>
      <c r="Q516" s="169">
        <v>18237500</v>
      </c>
      <c r="R516" s="53">
        <f t="shared" si="11"/>
        <v>-2.1899811183012208E-2</v>
      </c>
      <c r="S516" s="146">
        <f>(P516/P515)*('16. câmbio USD-BRL'!O516/'16. câmbio USD-BRL'!O515)^-1 -1</f>
        <v>-1.5164987685835185E-2</v>
      </c>
    </row>
    <row r="517" spans="11:19" x14ac:dyDescent="0.2">
      <c r="K517" s="355">
        <v>41554</v>
      </c>
      <c r="L517" s="169">
        <v>34.090000000000003</v>
      </c>
      <c r="M517" s="169">
        <v>34.459999000000003</v>
      </c>
      <c r="N517" s="169">
        <v>32.82</v>
      </c>
      <c r="O517" s="169">
        <v>33.770000000000003</v>
      </c>
      <c r="P517" s="169">
        <v>19.862266999999999</v>
      </c>
      <c r="Q517" s="169">
        <v>18395700</v>
      </c>
      <c r="R517" s="53">
        <f t="shared" si="11"/>
        <v>-1.8028540071505672E-2</v>
      </c>
      <c r="S517" s="146">
        <f>(P517/P516)*('16. câmbio USD-BRL'!O517/'16. câmbio USD-BRL'!O516)^-1 -1</f>
        <v>7.8577922075306894E-4</v>
      </c>
    </row>
    <row r="518" spans="11:19" x14ac:dyDescent="0.2">
      <c r="K518" s="355">
        <v>41561</v>
      </c>
      <c r="L518" s="169">
        <v>33.490001999999997</v>
      </c>
      <c r="M518" s="169">
        <v>36.279998999999997</v>
      </c>
      <c r="N518" s="169">
        <v>33.360000999999997</v>
      </c>
      <c r="O518" s="169">
        <v>34.939999</v>
      </c>
      <c r="P518" s="169">
        <v>20.550416999999999</v>
      </c>
      <c r="Q518" s="169">
        <v>46287300</v>
      </c>
      <c r="R518" s="53">
        <f t="shared" si="11"/>
        <v>3.464609553380793E-2</v>
      </c>
      <c r="S518" s="146">
        <f>(P518/P517)*('16. câmbio USD-BRL'!O518/'16. câmbio USD-BRL'!O517)^-1 -1</f>
        <v>3.459833014460445E-2</v>
      </c>
    </row>
    <row r="519" spans="11:19" x14ac:dyDescent="0.2">
      <c r="K519" s="355">
        <v>41568</v>
      </c>
      <c r="L519" s="169">
        <v>34.970001000000003</v>
      </c>
      <c r="M519" s="169">
        <v>36.25</v>
      </c>
      <c r="N519" s="169">
        <v>34.509998000000003</v>
      </c>
      <c r="O519" s="169">
        <v>35.07</v>
      </c>
      <c r="P519" s="169">
        <v>20.695774</v>
      </c>
      <c r="Q519" s="169">
        <v>30133900</v>
      </c>
      <c r="R519" s="53">
        <f t="shared" si="11"/>
        <v>7.0731898043723263E-3</v>
      </c>
      <c r="S519" s="146">
        <f>(P519/P518)*('16. câmbio USD-BRL'!O519/'16. câmbio USD-BRL'!O518)^-1 -1</f>
        <v>-1.363652977819596E-3</v>
      </c>
    </row>
    <row r="520" spans="11:19" x14ac:dyDescent="0.2">
      <c r="K520" s="355">
        <v>41575</v>
      </c>
      <c r="L520" s="169">
        <v>35.099997999999999</v>
      </c>
      <c r="M520" s="169">
        <v>36.939999</v>
      </c>
      <c r="N520" s="169">
        <v>34.75</v>
      </c>
      <c r="O520" s="169">
        <v>36.900002000000001</v>
      </c>
      <c r="P520" s="169">
        <v>21.775711000000001</v>
      </c>
      <c r="Q520" s="169">
        <v>24333300</v>
      </c>
      <c r="R520" s="53">
        <f t="shared" si="11"/>
        <v>5.2181522662549495E-2</v>
      </c>
      <c r="S520" s="146">
        <f>(P520/P519)*('16. câmbio USD-BRL'!O520/'16. câmbio USD-BRL'!O519)^-1 -1</f>
        <v>2.0733365059321107E-2</v>
      </c>
    </row>
    <row r="521" spans="11:19" x14ac:dyDescent="0.2">
      <c r="K521" s="355">
        <v>41582</v>
      </c>
      <c r="L521" s="169">
        <v>36.790000999999997</v>
      </c>
      <c r="M521" s="169">
        <v>38.93</v>
      </c>
      <c r="N521" s="169">
        <v>36.529998999999997</v>
      </c>
      <c r="O521" s="169">
        <v>36.75</v>
      </c>
      <c r="P521" s="169">
        <v>21.687189</v>
      </c>
      <c r="Q521" s="169">
        <v>28779800</v>
      </c>
      <c r="R521" s="53">
        <f t="shared" si="11"/>
        <v>-4.0651715115066489E-3</v>
      </c>
      <c r="S521" s="146">
        <f>(P521/P520)*('16. câmbio USD-BRL'!O521/'16. câmbio USD-BRL'!O520)^-1 -1</f>
        <v>-2.890639877558554E-2</v>
      </c>
    </row>
    <row r="522" spans="11:19" x14ac:dyDescent="0.2">
      <c r="K522" s="355">
        <v>41589</v>
      </c>
      <c r="L522" s="169">
        <v>36.75</v>
      </c>
      <c r="M522" s="169">
        <v>37.279998999999997</v>
      </c>
      <c r="N522" s="169">
        <v>34.700001</v>
      </c>
      <c r="O522" s="169">
        <v>35.880001</v>
      </c>
      <c r="P522" s="169">
        <v>21.173777000000001</v>
      </c>
      <c r="Q522" s="169">
        <v>27770200</v>
      </c>
      <c r="R522" s="53">
        <f t="shared" si="11"/>
        <v>-2.3673515272080614E-2</v>
      </c>
      <c r="S522" s="146">
        <f>(P522/P521)*('16. câmbio USD-BRL'!O522/'16. câmbio USD-BRL'!O521)^-1 -1</f>
        <v>-2.6455912957302097E-2</v>
      </c>
    </row>
    <row r="523" spans="11:19" x14ac:dyDescent="0.2">
      <c r="K523" s="355">
        <v>41596</v>
      </c>
      <c r="L523" s="169">
        <v>36.150002000000001</v>
      </c>
      <c r="M523" s="169">
        <v>36.630001</v>
      </c>
      <c r="N523" s="169">
        <v>34.700001</v>
      </c>
      <c r="O523" s="169">
        <v>35.330002</v>
      </c>
      <c r="P523" s="169">
        <v>20.849207</v>
      </c>
      <c r="Q523" s="169">
        <v>13978300</v>
      </c>
      <c r="R523" s="53">
        <f t="shared" si="11"/>
        <v>-1.5328866455899703E-2</v>
      </c>
      <c r="S523" s="146">
        <f>(P523/P522)*('16. câmbio USD-BRL'!O523/'16. câmbio USD-BRL'!O522)^-1 -1</f>
        <v>2.9025763808523397E-3</v>
      </c>
    </row>
    <row r="524" spans="11:19" x14ac:dyDescent="0.2">
      <c r="K524" s="355">
        <v>41603</v>
      </c>
      <c r="L524" s="169">
        <v>35.479999999999997</v>
      </c>
      <c r="M524" s="169">
        <v>35.869999</v>
      </c>
      <c r="N524" s="169">
        <v>33.540000999999997</v>
      </c>
      <c r="O524" s="169">
        <v>35.869999</v>
      </c>
      <c r="P524" s="169">
        <v>21.167871000000002</v>
      </c>
      <c r="Q524" s="169">
        <v>20598400</v>
      </c>
      <c r="R524" s="53">
        <f t="shared" si="11"/>
        <v>1.5284226397675571E-2</v>
      </c>
      <c r="S524" s="146">
        <f>(P524/P523)*('16. câmbio USD-BRL'!O524/'16. câmbio USD-BRL'!O523)^-1 -1</f>
        <v>-9.5446739389759561E-3</v>
      </c>
    </row>
    <row r="525" spans="11:19" x14ac:dyDescent="0.2">
      <c r="K525" s="355">
        <v>41610</v>
      </c>
      <c r="L525" s="169">
        <v>35.310001</v>
      </c>
      <c r="M525" s="169">
        <v>36.07</v>
      </c>
      <c r="N525" s="169">
        <v>34.939999</v>
      </c>
      <c r="O525" s="169">
        <v>35.560001</v>
      </c>
      <c r="P525" s="169">
        <v>20.984940000000002</v>
      </c>
      <c r="Q525" s="169">
        <v>18479300</v>
      </c>
      <c r="R525" s="53">
        <f t="shared" si="11"/>
        <v>-8.64191774411327E-3</v>
      </c>
      <c r="S525" s="146">
        <f>(P525/P524)*('16. câmbio USD-BRL'!O525/'16. câmbio USD-BRL'!O524)^-1 -1</f>
        <v>-4.7991135661897832E-3</v>
      </c>
    </row>
    <row r="526" spans="11:19" x14ac:dyDescent="0.2">
      <c r="K526" s="355">
        <v>41617</v>
      </c>
      <c r="L526" s="169">
        <v>35.529998999999997</v>
      </c>
      <c r="M526" s="169">
        <v>36.200001</v>
      </c>
      <c r="N526" s="169">
        <v>34.099997999999999</v>
      </c>
      <c r="O526" s="169">
        <v>34.159999999999997</v>
      </c>
      <c r="P526" s="169">
        <v>20.158756</v>
      </c>
      <c r="Q526" s="169">
        <v>15085900</v>
      </c>
      <c r="R526" s="53">
        <f t="shared" si="11"/>
        <v>-3.9370329388599745E-2</v>
      </c>
      <c r="S526" s="146">
        <f>(P526/P525)*('16. câmbio USD-BRL'!O526/'16. câmbio USD-BRL'!O525)^-1 -1</f>
        <v>-4.0692486354602542E-2</v>
      </c>
    </row>
    <row r="527" spans="11:19" x14ac:dyDescent="0.2">
      <c r="K527" s="355">
        <v>41624</v>
      </c>
      <c r="L527" s="169">
        <v>34.330002</v>
      </c>
      <c r="M527" s="169">
        <v>35.110000999999997</v>
      </c>
      <c r="N527" s="169">
        <v>34.080002</v>
      </c>
      <c r="O527" s="169">
        <v>34.450001</v>
      </c>
      <c r="P527" s="169">
        <v>20.329892999999998</v>
      </c>
      <c r="Q527" s="169">
        <v>18526300</v>
      </c>
      <c r="R527" s="53">
        <f t="shared" si="11"/>
        <v>8.4894623457913987E-3</v>
      </c>
      <c r="S527" s="146">
        <f>(P527/P526)*('16. câmbio USD-BRL'!O527/'16. câmbio USD-BRL'!O526)^-1 -1</f>
        <v>-1.5932345677607151E-2</v>
      </c>
    </row>
    <row r="528" spans="11:19" x14ac:dyDescent="0.2">
      <c r="K528" s="355">
        <v>41631</v>
      </c>
      <c r="L528" s="169">
        <v>34.419998</v>
      </c>
      <c r="M528" s="169">
        <v>35.68</v>
      </c>
      <c r="N528" s="169">
        <v>34.270000000000003</v>
      </c>
      <c r="O528" s="169">
        <v>35.5</v>
      </c>
      <c r="P528" s="169">
        <v>20.949524</v>
      </c>
      <c r="Q528" s="169">
        <v>8309200</v>
      </c>
      <c r="R528" s="53">
        <f t="shared" si="11"/>
        <v>3.0478812652875442E-2</v>
      </c>
      <c r="S528" s="146">
        <f>(P528/P527)*('16. câmbio USD-BRL'!O528/'16. câmbio USD-BRL'!O527)^-1 -1</f>
        <v>5.2205642557534349E-2</v>
      </c>
    </row>
    <row r="529" spans="11:19" x14ac:dyDescent="0.2">
      <c r="K529" s="355">
        <v>41638</v>
      </c>
      <c r="L529" s="169">
        <v>35.880001</v>
      </c>
      <c r="M529" s="169">
        <v>36.110000999999997</v>
      </c>
      <c r="N529" s="169">
        <v>33.810001</v>
      </c>
      <c r="O529" s="169">
        <v>34.060001</v>
      </c>
      <c r="P529" s="169">
        <v>20.099747000000001</v>
      </c>
      <c r="Q529" s="169">
        <v>16206800</v>
      </c>
      <c r="R529" s="53">
        <f t="shared" si="11"/>
        <v>-4.0563069595280554E-2</v>
      </c>
      <c r="S529" s="146">
        <f>(P529/P528)*('16. câmbio USD-BRL'!O529/'16. câmbio USD-BRL'!O528)^-1 -1</f>
        <v>-5.5936716382284479E-2</v>
      </c>
    </row>
    <row r="530" spans="11:19" x14ac:dyDescent="0.2">
      <c r="K530" s="355">
        <v>41645</v>
      </c>
      <c r="L530" s="169">
        <v>33.630001</v>
      </c>
      <c r="M530" s="169">
        <v>34.349997999999999</v>
      </c>
      <c r="N530" s="169">
        <v>32.130001</v>
      </c>
      <c r="O530" s="169">
        <v>32.25</v>
      </c>
      <c r="P530" s="169">
        <v>19.031610000000001</v>
      </c>
      <c r="Q530" s="169">
        <v>21149500</v>
      </c>
      <c r="R530" s="53">
        <f t="shared" si="11"/>
        <v>-5.3141813178046449E-2</v>
      </c>
      <c r="S530" s="146">
        <f>(P530/P529)*('16. câmbio USD-BRL'!O530/'16. câmbio USD-BRL'!O529)^-1 -1</f>
        <v>-4.5900067963346891E-2</v>
      </c>
    </row>
    <row r="531" spans="11:19" x14ac:dyDescent="0.2">
      <c r="K531" s="355">
        <v>41652</v>
      </c>
      <c r="L531" s="169">
        <v>32.060001</v>
      </c>
      <c r="M531" s="169">
        <v>33.360000999999997</v>
      </c>
      <c r="N531" s="169">
        <v>31.73</v>
      </c>
      <c r="O531" s="169">
        <v>32.490001999999997</v>
      </c>
      <c r="P531" s="169">
        <v>19.173244</v>
      </c>
      <c r="Q531" s="169">
        <v>21603700</v>
      </c>
      <c r="R531" s="53">
        <f t="shared" si="11"/>
        <v>7.4420398484416062E-3</v>
      </c>
      <c r="S531" s="146">
        <f>(P531/P530)*('16. câmbio USD-BRL'!O531/'16. câmbio USD-BRL'!O530)^-1 -1</f>
        <v>1.0016971579683398E-2</v>
      </c>
    </row>
    <row r="532" spans="11:19" x14ac:dyDescent="0.2">
      <c r="K532" s="355">
        <v>41659</v>
      </c>
      <c r="L532" s="169">
        <v>32.159999999999997</v>
      </c>
      <c r="M532" s="169">
        <v>32.439999</v>
      </c>
      <c r="N532" s="169">
        <v>30.75</v>
      </c>
      <c r="O532" s="169">
        <v>31.25</v>
      </c>
      <c r="P532" s="169">
        <v>18.441483000000002</v>
      </c>
      <c r="Q532" s="169">
        <v>28942600</v>
      </c>
      <c r="R532" s="53">
        <f t="shared" si="11"/>
        <v>-3.8165737628958252E-2</v>
      </c>
      <c r="S532" s="146">
        <f>(P532/P531)*('16. câmbio USD-BRL'!O532/'16. câmbio USD-BRL'!O531)^-1 -1</f>
        <v>-5.6532704781873555E-2</v>
      </c>
    </row>
    <row r="533" spans="11:19" x14ac:dyDescent="0.2">
      <c r="K533" s="355">
        <v>41666</v>
      </c>
      <c r="L533" s="169">
        <v>31.34</v>
      </c>
      <c r="M533" s="169">
        <v>33.57</v>
      </c>
      <c r="N533" s="169">
        <v>30.700001</v>
      </c>
      <c r="O533" s="169">
        <v>33.049999</v>
      </c>
      <c r="P533" s="169">
        <v>19.503713999999999</v>
      </c>
      <c r="Q533" s="169">
        <v>28476300</v>
      </c>
      <c r="R533" s="53">
        <f t="shared" si="11"/>
        <v>5.7600085633026099E-2</v>
      </c>
      <c r="S533" s="146">
        <f>(P533/P532)*('16. câmbio USD-BRL'!O533/'16. câmbio USD-BRL'!O532)^-1 -1</f>
        <v>4.489473844567482E-2</v>
      </c>
    </row>
    <row r="534" spans="11:19" x14ac:dyDescent="0.2">
      <c r="K534" s="355">
        <v>41673</v>
      </c>
      <c r="L534" s="169">
        <v>32.970001000000003</v>
      </c>
      <c r="M534" s="169">
        <v>34.779998999999997</v>
      </c>
      <c r="N534" s="169">
        <v>31.969999000000001</v>
      </c>
      <c r="O534" s="169">
        <v>34.049999</v>
      </c>
      <c r="P534" s="169">
        <v>20.093845000000002</v>
      </c>
      <c r="Q534" s="169">
        <v>25053700</v>
      </c>
      <c r="R534" s="53">
        <f t="shared" si="11"/>
        <v>3.0257365340775833E-2</v>
      </c>
      <c r="S534" s="146">
        <f>(P534/P533)*('16. câmbio USD-BRL'!O534/'16. câmbio USD-BRL'!O533)^-1 -1</f>
        <v>5.0687275204176929E-2</v>
      </c>
    </row>
    <row r="535" spans="11:19" x14ac:dyDescent="0.2">
      <c r="K535" s="355">
        <v>41680</v>
      </c>
      <c r="L535" s="169">
        <v>33.93</v>
      </c>
      <c r="M535" s="169">
        <v>35.200001</v>
      </c>
      <c r="N535" s="169">
        <v>33.540000999999997</v>
      </c>
      <c r="O535" s="169">
        <v>34.840000000000003</v>
      </c>
      <c r="P535" s="169">
        <v>20.560043</v>
      </c>
      <c r="Q535" s="169">
        <v>26664300</v>
      </c>
      <c r="R535" s="53">
        <f t="shared" si="11"/>
        <v>2.3201034943785004E-2</v>
      </c>
      <c r="S535" s="146">
        <f>(P535/P534)*('16. câmbio USD-BRL'!O535/'16. câmbio USD-BRL'!O534)^-1 -1</f>
        <v>1.9381359086648065E-2</v>
      </c>
    </row>
    <row r="536" spans="11:19" x14ac:dyDescent="0.2">
      <c r="K536" s="355">
        <v>41687</v>
      </c>
      <c r="L536" s="169">
        <v>34.950001</v>
      </c>
      <c r="M536" s="169">
        <v>35.189999</v>
      </c>
      <c r="N536" s="169">
        <v>34.369999</v>
      </c>
      <c r="O536" s="169">
        <v>34.610000999999997</v>
      </c>
      <c r="P536" s="169">
        <v>20.424316000000001</v>
      </c>
      <c r="Q536" s="169">
        <v>24076500</v>
      </c>
      <c r="R536" s="53">
        <f t="shared" si="11"/>
        <v>-6.6014939754746038E-3</v>
      </c>
      <c r="S536" s="146">
        <f>(P536/P535)*('16. câmbio USD-BRL'!O536/'16. câmbio USD-BRL'!O535)^-1 -1</f>
        <v>1.186079561354858E-2</v>
      </c>
    </row>
    <row r="537" spans="11:19" x14ac:dyDescent="0.2">
      <c r="K537" s="355">
        <v>41694</v>
      </c>
      <c r="L537" s="169">
        <v>34.57</v>
      </c>
      <c r="M537" s="169">
        <v>34.57</v>
      </c>
      <c r="N537" s="169">
        <v>32.18</v>
      </c>
      <c r="O537" s="169">
        <v>33</v>
      </c>
      <c r="P537" s="169">
        <v>19.474208999999998</v>
      </c>
      <c r="Q537" s="169">
        <v>23620200</v>
      </c>
      <c r="R537" s="53">
        <f t="shared" si="11"/>
        <v>-4.6518424411373327E-2</v>
      </c>
      <c r="S537" s="146">
        <f>(P537/P536)*('16. câmbio USD-BRL'!O537/'16. câmbio USD-BRL'!O536)^-1 -1</f>
        <v>-4.357633675206174E-2</v>
      </c>
    </row>
    <row r="538" spans="11:19" x14ac:dyDescent="0.2">
      <c r="K538" s="355">
        <v>41701</v>
      </c>
      <c r="L538" s="169">
        <v>33</v>
      </c>
      <c r="M538" s="169">
        <v>33</v>
      </c>
      <c r="N538" s="169">
        <v>30.440000999999999</v>
      </c>
      <c r="O538" s="169">
        <v>30.549999</v>
      </c>
      <c r="P538" s="169">
        <v>18.028395</v>
      </c>
      <c r="Q538" s="169">
        <v>14224400</v>
      </c>
      <c r="R538" s="53">
        <f t="shared" si="11"/>
        <v>-7.4242501967602292E-2</v>
      </c>
      <c r="S538" s="146">
        <f>(P538/P537)*('16. câmbio USD-BRL'!O538/'16. câmbio USD-BRL'!O537)^-1 -1</f>
        <v>-7.51145119417721E-2</v>
      </c>
    </row>
    <row r="539" spans="11:19" x14ac:dyDescent="0.2">
      <c r="K539" s="355">
        <v>41708</v>
      </c>
      <c r="L539" s="169">
        <v>30.01</v>
      </c>
      <c r="M539" s="169">
        <v>30.559999000000001</v>
      </c>
      <c r="N539" s="169">
        <v>29.08</v>
      </c>
      <c r="O539" s="169">
        <v>29.26</v>
      </c>
      <c r="P539" s="169">
        <v>17.267130000000002</v>
      </c>
      <c r="Q539" s="169">
        <v>28730900</v>
      </c>
      <c r="R539" s="53">
        <f t="shared" si="11"/>
        <v>-4.22258886606377E-2</v>
      </c>
      <c r="S539" s="146">
        <f>(P539/P538)*('16. câmbio USD-BRL'!O539/'16. câmbio USD-BRL'!O538)^-1 -1</f>
        <v>-4.4231055567522159E-2</v>
      </c>
    </row>
    <row r="540" spans="11:19" x14ac:dyDescent="0.2">
      <c r="K540" s="355">
        <v>41715</v>
      </c>
      <c r="L540" s="169">
        <v>29.27</v>
      </c>
      <c r="M540" s="169">
        <v>30.77</v>
      </c>
      <c r="N540" s="169">
        <v>29.25</v>
      </c>
      <c r="O540" s="169">
        <v>30.43</v>
      </c>
      <c r="P540" s="169">
        <v>17.957581000000001</v>
      </c>
      <c r="Q540" s="169">
        <v>27133300</v>
      </c>
      <c r="R540" s="53">
        <f t="shared" si="11"/>
        <v>3.9986436657394764E-2</v>
      </c>
      <c r="S540" s="146">
        <f>(P540/P539)*('16. câmbio USD-BRL'!O540/'16. câmbio USD-BRL'!O539)^-1 -1</f>
        <v>4.9266425983547135E-2</v>
      </c>
    </row>
    <row r="541" spans="11:19" x14ac:dyDescent="0.2">
      <c r="K541" s="355">
        <v>41722</v>
      </c>
      <c r="L541" s="169">
        <v>30.6</v>
      </c>
      <c r="M541" s="169">
        <v>31.51</v>
      </c>
      <c r="N541" s="169">
        <v>30.280000999999999</v>
      </c>
      <c r="O541" s="169">
        <v>31.01</v>
      </c>
      <c r="P541" s="169">
        <v>18.299854</v>
      </c>
      <c r="Q541" s="169">
        <v>27832200</v>
      </c>
      <c r="R541" s="53">
        <f t="shared" si="11"/>
        <v>1.9060083872098232E-2</v>
      </c>
      <c r="S541" s="146">
        <f>(P541/P540)*('16. câmbio USD-BRL'!O541/'16. câmbio USD-BRL'!O540)^-1 -1</f>
        <v>4.7832801102120293E-2</v>
      </c>
    </row>
    <row r="542" spans="11:19" x14ac:dyDescent="0.2">
      <c r="K542" s="355">
        <v>41729</v>
      </c>
      <c r="L542" s="169">
        <v>31.299999</v>
      </c>
      <c r="M542" s="169">
        <v>33.349997999999999</v>
      </c>
      <c r="N542" s="169">
        <v>31.049999</v>
      </c>
      <c r="O542" s="169">
        <v>32.479999999999997</v>
      </c>
      <c r="P542" s="169">
        <v>19.167341</v>
      </c>
      <c r="Q542" s="169">
        <v>35333100</v>
      </c>
      <c r="R542" s="53">
        <f t="shared" si="11"/>
        <v>4.7404039398347253E-2</v>
      </c>
      <c r="S542" s="146">
        <f>(P542/P541)*('16. câmbio USD-BRL'!O542/'16. câmbio USD-BRL'!O541)^-1 -1</f>
        <v>4.5272815184062898E-2</v>
      </c>
    </row>
    <row r="543" spans="11:19" x14ac:dyDescent="0.2">
      <c r="K543" s="355">
        <v>41736</v>
      </c>
      <c r="L543" s="169">
        <v>32.990001999999997</v>
      </c>
      <c r="M543" s="169">
        <v>34.439999</v>
      </c>
      <c r="N543" s="169">
        <v>32.150002000000001</v>
      </c>
      <c r="O543" s="169">
        <v>32.970001000000003</v>
      </c>
      <c r="P543" s="169">
        <v>19.456503000000001</v>
      </c>
      <c r="Q543" s="169">
        <v>20946200</v>
      </c>
      <c r="R543" s="53">
        <f t="shared" si="11"/>
        <v>1.5086182272230797E-2</v>
      </c>
      <c r="S543" s="146">
        <f>(P543/P542)*('16. câmbio USD-BRL'!O543/'16. câmbio USD-BRL'!O542)^-1 -1</f>
        <v>3.5561973042794071E-2</v>
      </c>
    </row>
    <row r="544" spans="11:19" x14ac:dyDescent="0.2">
      <c r="K544" s="355">
        <v>41743</v>
      </c>
      <c r="L544" s="169">
        <v>33.020000000000003</v>
      </c>
      <c r="M544" s="169">
        <v>33.240001999999997</v>
      </c>
      <c r="N544" s="169">
        <v>30.25</v>
      </c>
      <c r="O544" s="169">
        <v>31.65</v>
      </c>
      <c r="P544" s="169">
        <v>18.677536</v>
      </c>
      <c r="Q544" s="169">
        <v>17329700</v>
      </c>
      <c r="R544" s="53">
        <f t="shared" si="11"/>
        <v>-4.0036331297561567E-2</v>
      </c>
      <c r="S544" s="146">
        <f>(P544/P543)*('16. câmbio USD-BRL'!O544/'16. câmbio USD-BRL'!O543)^-1 -1</f>
        <v>-4.529239303267063E-2</v>
      </c>
    </row>
    <row r="545" spans="11:19" x14ac:dyDescent="0.2">
      <c r="K545" s="355">
        <v>41750</v>
      </c>
      <c r="L545" s="169">
        <v>31.65</v>
      </c>
      <c r="M545" s="169">
        <v>31.65</v>
      </c>
      <c r="N545" s="169">
        <v>30.08</v>
      </c>
      <c r="O545" s="169">
        <v>30.32</v>
      </c>
      <c r="P545" s="169">
        <v>18.397476000000001</v>
      </c>
      <c r="Q545" s="169">
        <v>17218600</v>
      </c>
      <c r="R545" s="53">
        <f t="shared" si="11"/>
        <v>-1.4994483212346532E-2</v>
      </c>
      <c r="S545" s="146">
        <f>(P545/P544)*('16. câmbio USD-BRL'!O545/'16. câmbio USD-BRL'!O544)^-1 -1</f>
        <v>-1.9658168435657597E-2</v>
      </c>
    </row>
    <row r="546" spans="11:19" x14ac:dyDescent="0.2">
      <c r="K546" s="355">
        <v>41757</v>
      </c>
      <c r="L546" s="169">
        <v>29.91</v>
      </c>
      <c r="M546" s="169">
        <v>30.389999</v>
      </c>
      <c r="N546" s="169">
        <v>28.719999000000001</v>
      </c>
      <c r="O546" s="169">
        <v>30.200001</v>
      </c>
      <c r="P546" s="169">
        <v>18.324667000000002</v>
      </c>
      <c r="Q546" s="169">
        <v>22210000</v>
      </c>
      <c r="R546" s="53">
        <f t="shared" si="11"/>
        <v>-3.9575537426981278E-3</v>
      </c>
      <c r="S546" s="146">
        <f>(P546/P545)*('16. câmbio USD-BRL'!O546/'16. câmbio USD-BRL'!O545)^-1 -1</f>
        <v>-3.4077702925217057E-4</v>
      </c>
    </row>
    <row r="547" spans="11:19" x14ac:dyDescent="0.2">
      <c r="K547" s="355">
        <v>41764</v>
      </c>
      <c r="L547" s="169">
        <v>30.290001</v>
      </c>
      <c r="M547" s="169">
        <v>30.440000999999999</v>
      </c>
      <c r="N547" s="169">
        <v>29.110001</v>
      </c>
      <c r="O547" s="169">
        <v>29.219999000000001</v>
      </c>
      <c r="P547" s="169">
        <v>17.730022000000002</v>
      </c>
      <c r="Q547" s="169">
        <v>15849700</v>
      </c>
      <c r="R547" s="53">
        <f t="shared" si="11"/>
        <v>-3.2450521474687632E-2</v>
      </c>
      <c r="S547" s="146">
        <f>(P547/P546)*('16. câmbio USD-BRL'!O547/'16. câmbio USD-BRL'!O546)^-1 -1</f>
        <v>-2.2281938053719363E-2</v>
      </c>
    </row>
    <row r="548" spans="11:19" x14ac:dyDescent="0.2">
      <c r="K548" s="355">
        <v>41771</v>
      </c>
      <c r="L548" s="169">
        <v>29.9</v>
      </c>
      <c r="M548" s="169">
        <v>31.48</v>
      </c>
      <c r="N548" s="169">
        <v>29.690000999999999</v>
      </c>
      <c r="O548" s="169">
        <v>30.4</v>
      </c>
      <c r="P548" s="169">
        <v>18.446021999999999</v>
      </c>
      <c r="Q548" s="169">
        <v>16256800</v>
      </c>
      <c r="R548" s="53">
        <f t="shared" si="11"/>
        <v>4.0383480629634816E-2</v>
      </c>
      <c r="S548" s="146">
        <f>(P548/P547)*('16. câmbio USD-BRL'!O548/'16. câmbio USD-BRL'!O547)^-1 -1</f>
        <v>4.3930242495417771E-2</v>
      </c>
    </row>
    <row r="549" spans="11:19" x14ac:dyDescent="0.2">
      <c r="K549" s="355">
        <v>41778</v>
      </c>
      <c r="L549" s="169">
        <v>30.1</v>
      </c>
      <c r="M549" s="169">
        <v>30.1</v>
      </c>
      <c r="N549" s="169">
        <v>28.799999</v>
      </c>
      <c r="O549" s="169">
        <v>29.26</v>
      </c>
      <c r="P549" s="169">
        <v>17.754292</v>
      </c>
      <c r="Q549" s="169">
        <v>15858300</v>
      </c>
      <c r="R549" s="53">
        <f t="shared" si="11"/>
        <v>-3.7500226336063092E-2</v>
      </c>
      <c r="S549" s="146">
        <f>(P549/P548)*('16. câmbio USD-BRL'!O549/'16. câmbio USD-BRL'!O548)^-1 -1</f>
        <v>-4.5741549319215258E-2</v>
      </c>
    </row>
    <row r="550" spans="11:19" x14ac:dyDescent="0.2">
      <c r="K550" s="355">
        <v>41785</v>
      </c>
      <c r="L550" s="169">
        <v>29.459999</v>
      </c>
      <c r="M550" s="169">
        <v>29.77</v>
      </c>
      <c r="N550" s="169">
        <v>28.290001</v>
      </c>
      <c r="O550" s="169">
        <v>28.459999</v>
      </c>
      <c r="P550" s="169">
        <v>17.268871000000001</v>
      </c>
      <c r="Q550" s="169">
        <v>15772500</v>
      </c>
      <c r="R550" s="53">
        <f t="shared" si="11"/>
        <v>-2.7341050828723512E-2</v>
      </c>
      <c r="S550" s="146">
        <f>(P550/P549)*('16. câmbio USD-BRL'!O550/'16. câmbio USD-BRL'!O549)^-1 -1</f>
        <v>-2.9353207316485608E-2</v>
      </c>
    </row>
    <row r="551" spans="11:19" x14ac:dyDescent="0.2">
      <c r="K551" s="355">
        <v>41792</v>
      </c>
      <c r="L551" s="169">
        <v>28.77</v>
      </c>
      <c r="M551" s="169">
        <v>29.6</v>
      </c>
      <c r="N551" s="169">
        <v>28.65</v>
      </c>
      <c r="O551" s="169">
        <v>29.370000999999998</v>
      </c>
      <c r="P551" s="169">
        <v>17.821037</v>
      </c>
      <c r="Q551" s="169">
        <v>17855400</v>
      </c>
      <c r="R551" s="53">
        <f t="shared" si="11"/>
        <v>3.1974643854829843E-2</v>
      </c>
      <c r="S551" s="146">
        <f>(P551/P550)*('16. câmbio USD-BRL'!O551/'16. câmbio USD-BRL'!O550)^-1 -1</f>
        <v>2.3140189974852676E-2</v>
      </c>
    </row>
    <row r="552" spans="11:19" x14ac:dyDescent="0.2">
      <c r="K552" s="355">
        <v>41799</v>
      </c>
      <c r="L552" s="169">
        <v>29.41</v>
      </c>
      <c r="M552" s="169">
        <v>29.93</v>
      </c>
      <c r="N552" s="169">
        <v>28.48</v>
      </c>
      <c r="O552" s="169">
        <v>28.6</v>
      </c>
      <c r="P552" s="169">
        <v>17.353821</v>
      </c>
      <c r="Q552" s="169">
        <v>18867900</v>
      </c>
      <c r="R552" s="53">
        <f t="shared" si="11"/>
        <v>-2.6217105098878424E-2</v>
      </c>
      <c r="S552" s="146">
        <f>(P552/P551)*('16. câmbio USD-BRL'!O552/'16. câmbio USD-BRL'!O551)^-1 -1</f>
        <v>-1.6038801277601489E-2</v>
      </c>
    </row>
    <row r="553" spans="11:19" x14ac:dyDescent="0.2">
      <c r="K553" s="355">
        <v>41806</v>
      </c>
      <c r="L553" s="169">
        <v>28.74</v>
      </c>
      <c r="M553" s="169">
        <v>28.99</v>
      </c>
      <c r="N553" s="169">
        <v>28.209999</v>
      </c>
      <c r="O553" s="169">
        <v>28.77</v>
      </c>
      <c r="P553" s="169">
        <v>17.456973999999999</v>
      </c>
      <c r="Q553" s="169">
        <v>13640200</v>
      </c>
      <c r="R553" s="53">
        <f t="shared" si="11"/>
        <v>5.9441087931009218E-3</v>
      </c>
      <c r="S553" s="146">
        <f>(P553/P552)*('16. câmbio USD-BRL'!O553/'16. câmbio USD-BRL'!O552)^-1 -1</f>
        <v>3.3674308529936248E-3</v>
      </c>
    </row>
    <row r="554" spans="11:19" x14ac:dyDescent="0.2">
      <c r="K554" s="355">
        <v>41813</v>
      </c>
      <c r="L554" s="169">
        <v>29.1</v>
      </c>
      <c r="M554" s="169">
        <v>29.75</v>
      </c>
      <c r="N554" s="169">
        <v>28.469999000000001</v>
      </c>
      <c r="O554" s="169">
        <v>29.059999000000001</v>
      </c>
      <c r="P554" s="169">
        <v>17.632936000000001</v>
      </c>
      <c r="Q554" s="169">
        <v>13274900</v>
      </c>
      <c r="R554" s="53">
        <f t="shared" si="11"/>
        <v>1.0079753799255409E-2</v>
      </c>
      <c r="S554" s="146">
        <f>(P554/P553)*('16. câmbio USD-BRL'!O554/'16. câmbio USD-BRL'!O553)^-1 -1</f>
        <v>2.4536431072283316E-2</v>
      </c>
    </row>
    <row r="555" spans="11:19" x14ac:dyDescent="0.2">
      <c r="K555" s="355">
        <v>41820</v>
      </c>
      <c r="L555" s="169">
        <v>29.25</v>
      </c>
      <c r="M555" s="169">
        <v>31.379999000000002</v>
      </c>
      <c r="N555" s="169">
        <v>28.809999000000001</v>
      </c>
      <c r="O555" s="169">
        <v>31.219999000000001</v>
      </c>
      <c r="P555" s="169">
        <v>18.943574999999999</v>
      </c>
      <c r="Q555" s="169">
        <v>17774200</v>
      </c>
      <c r="R555" s="53">
        <f t="shared" si="11"/>
        <v>7.4329028359202187E-2</v>
      </c>
      <c r="S555" s="146">
        <f>(P555/P554)*('16. câmbio USD-BRL'!O555/'16. câmbio USD-BRL'!O554)^-1 -1</f>
        <v>6.6598993265116313E-2</v>
      </c>
    </row>
    <row r="556" spans="11:19" x14ac:dyDescent="0.2">
      <c r="K556" s="355">
        <v>41827</v>
      </c>
      <c r="L556" s="169">
        <v>31</v>
      </c>
      <c r="M556" s="169">
        <v>31.209999</v>
      </c>
      <c r="N556" s="169">
        <v>30.4</v>
      </c>
      <c r="O556" s="169">
        <v>30.709999</v>
      </c>
      <c r="P556" s="169">
        <v>18.634118999999998</v>
      </c>
      <c r="Q556" s="169">
        <v>10958500</v>
      </c>
      <c r="R556" s="53">
        <f t="shared" si="11"/>
        <v>-1.6335670537372171E-2</v>
      </c>
      <c r="S556" s="146">
        <f>(P556/P555)*('16. câmbio USD-BRL'!O556/'16. câmbio USD-BRL'!O555)^-1 -1</f>
        <v>-1.9751325706193756E-2</v>
      </c>
    </row>
    <row r="557" spans="11:19" x14ac:dyDescent="0.2">
      <c r="K557" s="355">
        <v>41834</v>
      </c>
      <c r="L557" s="169">
        <v>30.950001</v>
      </c>
      <c r="M557" s="169">
        <v>32.080002</v>
      </c>
      <c r="N557" s="169">
        <v>30.799999</v>
      </c>
      <c r="O557" s="169">
        <v>31.450001</v>
      </c>
      <c r="P557" s="169">
        <v>19.083134000000001</v>
      </c>
      <c r="Q557" s="169">
        <v>21728400</v>
      </c>
      <c r="R557" s="53">
        <f t="shared" si="11"/>
        <v>2.40963900681328E-2</v>
      </c>
      <c r="S557" s="146">
        <f>(P557/P556)*('16. câmbio USD-BRL'!O557/'16. câmbio USD-BRL'!O556)^-1 -1</f>
        <v>2.1884419284562862E-2</v>
      </c>
    </row>
    <row r="558" spans="11:19" x14ac:dyDescent="0.2">
      <c r="K558" s="355">
        <v>41841</v>
      </c>
      <c r="L558" s="169">
        <v>31.49</v>
      </c>
      <c r="M558" s="169">
        <v>32.599997999999999</v>
      </c>
      <c r="N558" s="169">
        <v>31.23</v>
      </c>
      <c r="O558" s="169">
        <v>32.380001</v>
      </c>
      <c r="P558" s="169">
        <v>19.647438000000001</v>
      </c>
      <c r="Q558" s="169">
        <v>14889900</v>
      </c>
      <c r="R558" s="53">
        <f t="shared" si="11"/>
        <v>2.9570824163368536E-2</v>
      </c>
      <c r="S558" s="146">
        <f>(P558/P557)*('16. câmbio USD-BRL'!O558/'16. câmbio USD-BRL'!O557)^-1 -1</f>
        <v>2.9663490634199263E-2</v>
      </c>
    </row>
    <row r="559" spans="11:19" x14ac:dyDescent="0.2">
      <c r="K559" s="355">
        <v>41848</v>
      </c>
      <c r="L559" s="169">
        <v>32.57</v>
      </c>
      <c r="M559" s="169">
        <v>33.25</v>
      </c>
      <c r="N559" s="169">
        <v>31.65</v>
      </c>
      <c r="O559" s="169">
        <v>31.77</v>
      </c>
      <c r="P559" s="169">
        <v>19.277304000000001</v>
      </c>
      <c r="Q559" s="169">
        <v>21649100</v>
      </c>
      <c r="R559" s="53">
        <f t="shared" si="11"/>
        <v>-1.8838792111215752E-2</v>
      </c>
      <c r="S559" s="146">
        <f>(P559/P558)*('16. câmbio USD-BRL'!O559/'16. câmbio USD-BRL'!O558)^-1 -1</f>
        <v>-3.1994707610146222E-2</v>
      </c>
    </row>
    <row r="560" spans="11:19" x14ac:dyDescent="0.2">
      <c r="K560" s="355">
        <v>41855</v>
      </c>
      <c r="L560" s="169">
        <v>31.860001</v>
      </c>
      <c r="M560" s="169">
        <v>32.169998</v>
      </c>
      <c r="N560" s="169">
        <v>31.360001</v>
      </c>
      <c r="O560" s="169">
        <v>31.610001</v>
      </c>
      <c r="P560" s="169">
        <v>19.180218</v>
      </c>
      <c r="Q560" s="169">
        <v>14330200</v>
      </c>
      <c r="R560" s="53">
        <f t="shared" si="11"/>
        <v>-5.0362851568871436E-3</v>
      </c>
      <c r="S560" s="146">
        <f>(P560/P559)*('16. câmbio USD-BRL'!O560/'16. câmbio USD-BRL'!O559)^-1 -1</f>
        <v>-1.6692946493574889E-2</v>
      </c>
    </row>
    <row r="561" spans="11:19" x14ac:dyDescent="0.2">
      <c r="K561" s="355">
        <v>41862</v>
      </c>
      <c r="L561" s="169">
        <v>32</v>
      </c>
      <c r="M561" s="169">
        <v>32.310001</v>
      </c>
      <c r="N561" s="169">
        <v>30.27</v>
      </c>
      <c r="O561" s="169">
        <v>31</v>
      </c>
      <c r="P561" s="169">
        <v>18.810086999999999</v>
      </c>
      <c r="Q561" s="169">
        <v>21999500</v>
      </c>
      <c r="R561" s="53">
        <f t="shared" si="11"/>
        <v>-1.9297538745388643E-2</v>
      </c>
      <c r="S561" s="146">
        <f>(P561/P560)*('16. câmbio USD-BRL'!O561/'16. câmbio USD-BRL'!O560)^-1 -1</f>
        <v>-9.4748673997255839E-3</v>
      </c>
    </row>
    <row r="562" spans="11:19" x14ac:dyDescent="0.2">
      <c r="K562" s="355">
        <v>41869</v>
      </c>
      <c r="L562" s="169">
        <v>31.200001</v>
      </c>
      <c r="M562" s="169">
        <v>31.959999</v>
      </c>
      <c r="N562" s="169">
        <v>30.799999</v>
      </c>
      <c r="O562" s="169">
        <v>31.370000999999998</v>
      </c>
      <c r="P562" s="169">
        <v>19.034592</v>
      </c>
      <c r="Q562" s="169">
        <v>14058700</v>
      </c>
      <c r="R562" s="53">
        <f t="shared" si="11"/>
        <v>1.1935351495184543E-2</v>
      </c>
      <c r="S562" s="146">
        <f>(P562/P561)*('16. câmbio USD-BRL'!O562/'16. câmbio USD-BRL'!O561)^-1 -1</f>
        <v>4.5892591463481125E-3</v>
      </c>
    </row>
    <row r="563" spans="11:19" x14ac:dyDescent="0.2">
      <c r="K563" s="355">
        <v>41876</v>
      </c>
      <c r="L563" s="169">
        <v>31.530000999999999</v>
      </c>
      <c r="M563" s="169">
        <v>31.530000999999999</v>
      </c>
      <c r="N563" s="169">
        <v>28.809999000000001</v>
      </c>
      <c r="O563" s="169">
        <v>29.200001</v>
      </c>
      <c r="P563" s="169">
        <v>17.717887999999999</v>
      </c>
      <c r="Q563" s="169">
        <v>28234500</v>
      </c>
      <c r="R563" s="53">
        <f t="shared" si="11"/>
        <v>-6.9174269666510413E-2</v>
      </c>
      <c r="S563" s="146">
        <f>(P563/P562)*('16. câmbio USD-BRL'!O563/'16. câmbio USD-BRL'!O562)^-1 -1</f>
        <v>-5.1947570140263188E-2</v>
      </c>
    </row>
    <row r="564" spans="11:19" x14ac:dyDescent="0.2">
      <c r="K564" s="355">
        <v>41883</v>
      </c>
      <c r="L564" s="169">
        <v>29.450001</v>
      </c>
      <c r="M564" s="169">
        <v>29.5</v>
      </c>
      <c r="N564" s="169">
        <v>27.870000999999998</v>
      </c>
      <c r="O564" s="169">
        <v>28.25</v>
      </c>
      <c r="P564" s="169">
        <v>17.141451</v>
      </c>
      <c r="Q564" s="169">
        <v>24714000</v>
      </c>
      <c r="R564" s="53">
        <f t="shared" si="11"/>
        <v>-3.2534182403681444E-2</v>
      </c>
      <c r="S564" s="146">
        <f>(P564/P563)*('16. câmbio USD-BRL'!O564/'16. câmbio USD-BRL'!O563)^-1 -1</f>
        <v>-3.5860885746463511E-2</v>
      </c>
    </row>
    <row r="565" spans="11:19" x14ac:dyDescent="0.2">
      <c r="K565" s="355">
        <v>41890</v>
      </c>
      <c r="L565" s="169">
        <v>28.290001</v>
      </c>
      <c r="M565" s="169">
        <v>28.889999</v>
      </c>
      <c r="N565" s="169">
        <v>27.799999</v>
      </c>
      <c r="O565" s="169">
        <v>28.620000999999998</v>
      </c>
      <c r="P565" s="169">
        <v>17.365959</v>
      </c>
      <c r="Q565" s="169">
        <v>33767300</v>
      </c>
      <c r="R565" s="53">
        <f t="shared" si="11"/>
        <v>1.3097374312127874E-2</v>
      </c>
      <c r="S565" s="146">
        <f>(P565/P564)*('16. câmbio USD-BRL'!O565/'16. câmbio USD-BRL'!O564)^-1 -1</f>
        <v>-1.4397859513411992E-3</v>
      </c>
    </row>
    <row r="566" spans="11:19" x14ac:dyDescent="0.2">
      <c r="K566" s="355">
        <v>41897</v>
      </c>
      <c r="L566" s="169">
        <v>28.889999</v>
      </c>
      <c r="M566" s="169">
        <v>29.57</v>
      </c>
      <c r="N566" s="169">
        <v>28.32</v>
      </c>
      <c r="O566" s="169">
        <v>28.32</v>
      </c>
      <c r="P566" s="169">
        <v>17.183921999999999</v>
      </c>
      <c r="Q566" s="169">
        <v>23378400</v>
      </c>
      <c r="R566" s="53">
        <f t="shared" si="11"/>
        <v>-1.0482404110248145E-2</v>
      </c>
      <c r="S566" s="146">
        <f>(P566/P565)*('16. câmbio USD-BRL'!O566/'16. câmbio USD-BRL'!O565)^-1 -1</f>
        <v>-4.9435506933645956E-2</v>
      </c>
    </row>
    <row r="567" spans="11:19" x14ac:dyDescent="0.2">
      <c r="K567" s="355">
        <v>41904</v>
      </c>
      <c r="L567" s="169">
        <v>27.85</v>
      </c>
      <c r="M567" s="169">
        <v>28.049999</v>
      </c>
      <c r="N567" s="169">
        <v>26.959999</v>
      </c>
      <c r="O567" s="169">
        <v>26.969999000000001</v>
      </c>
      <c r="P567" s="169">
        <v>16.364777</v>
      </c>
      <c r="Q567" s="169">
        <v>30761000</v>
      </c>
      <c r="R567" s="53">
        <f t="shared" si="11"/>
        <v>-4.7669268982948099E-2</v>
      </c>
      <c r="S567" s="146">
        <f>(P567/P566)*('16. câmbio USD-BRL'!O567/'16. câmbio USD-BRL'!O566)^-1 -1</f>
        <v>-6.9236226607435447E-2</v>
      </c>
    </row>
    <row r="568" spans="11:19" x14ac:dyDescent="0.2">
      <c r="K568" s="355">
        <v>41911</v>
      </c>
      <c r="L568" s="169">
        <v>26.25</v>
      </c>
      <c r="M568" s="169">
        <v>27.84</v>
      </c>
      <c r="N568" s="169">
        <v>26.139999</v>
      </c>
      <c r="O568" s="169">
        <v>27.200001</v>
      </c>
      <c r="P568" s="169">
        <v>16.504332000000002</v>
      </c>
      <c r="Q568" s="169">
        <v>27681900</v>
      </c>
      <c r="R568" s="53">
        <f t="shared" si="11"/>
        <v>8.527766678397164E-3</v>
      </c>
      <c r="S568" s="146">
        <f>(P568/P567)*('16. câmbio USD-BRL'!O568/'16. câmbio USD-BRL'!O567)^-1 -1</f>
        <v>-5.8920975158311961E-3</v>
      </c>
    </row>
    <row r="569" spans="11:19" x14ac:dyDescent="0.2">
      <c r="K569" s="355">
        <v>41918</v>
      </c>
      <c r="L569" s="169">
        <v>27.950001</v>
      </c>
      <c r="M569" s="169">
        <v>28.139999</v>
      </c>
      <c r="N569" s="169">
        <v>26.4</v>
      </c>
      <c r="O569" s="169">
        <v>26.4</v>
      </c>
      <c r="P569" s="169">
        <v>16.018913000000001</v>
      </c>
      <c r="Q569" s="169">
        <v>30495100</v>
      </c>
      <c r="R569" s="53">
        <f t="shared" ref="R569:R632" si="12">P569/P568-1</f>
        <v>-2.9411611448436736E-2</v>
      </c>
      <c r="S569" s="146">
        <f>(P569/P568)*('16. câmbio USD-BRL'!O569/'16. câmbio USD-BRL'!O568)^-1 -1</f>
        <v>-1.3841428938674571E-3</v>
      </c>
    </row>
    <row r="570" spans="11:19" x14ac:dyDescent="0.2">
      <c r="K570" s="355">
        <v>41925</v>
      </c>
      <c r="L570" s="169">
        <v>27.15</v>
      </c>
      <c r="M570" s="169">
        <v>28.74</v>
      </c>
      <c r="N570" s="169">
        <v>26.18</v>
      </c>
      <c r="O570" s="169">
        <v>26.620000999999998</v>
      </c>
      <c r="P570" s="169">
        <v>16.152401000000001</v>
      </c>
      <c r="Q570" s="169">
        <v>32348800</v>
      </c>
      <c r="R570" s="53">
        <f t="shared" si="12"/>
        <v>8.3331496962371077E-3</v>
      </c>
      <c r="S570" s="146">
        <f>(P570/P569)*('16. câmbio USD-BRL'!O570/'16. câmbio USD-BRL'!O569)^-1 -1</f>
        <v>-1.0209859227703233E-2</v>
      </c>
    </row>
    <row r="571" spans="11:19" x14ac:dyDescent="0.2">
      <c r="K571" s="355">
        <v>41932</v>
      </c>
      <c r="L571" s="169">
        <v>26.49</v>
      </c>
      <c r="M571" s="169">
        <v>28.08</v>
      </c>
      <c r="N571" s="169">
        <v>26.299999</v>
      </c>
      <c r="O571" s="169">
        <v>27.450001</v>
      </c>
      <c r="P571" s="169">
        <v>17.281431000000001</v>
      </c>
      <c r="Q571" s="169">
        <v>29140700</v>
      </c>
      <c r="R571" s="53">
        <f t="shared" si="12"/>
        <v>6.9898586594030254E-2</v>
      </c>
      <c r="S571" s="146">
        <f>(P571/P570)*('16. câmbio USD-BRL'!O571/'16. câmbio USD-BRL'!O570)^-1 -1</f>
        <v>5.3344604655558792E-2</v>
      </c>
    </row>
    <row r="572" spans="11:19" x14ac:dyDescent="0.2">
      <c r="K572" s="355">
        <v>41939</v>
      </c>
      <c r="L572" s="169">
        <v>26.68</v>
      </c>
      <c r="M572" s="169">
        <v>27</v>
      </c>
      <c r="N572" s="169">
        <v>23.5</v>
      </c>
      <c r="O572" s="169">
        <v>25</v>
      </c>
      <c r="P572" s="169">
        <v>15.739013</v>
      </c>
      <c r="Q572" s="169">
        <v>42875300</v>
      </c>
      <c r="R572" s="53">
        <f t="shared" si="12"/>
        <v>-8.9252909669343961E-2</v>
      </c>
      <c r="S572" s="146">
        <f>(P572/P571)*('16. câmbio USD-BRL'!O572/'16. câmbio USD-BRL'!O571)^-1 -1</f>
        <v>-6.8347424355766795E-2</v>
      </c>
    </row>
    <row r="573" spans="11:19" x14ac:dyDescent="0.2">
      <c r="K573" s="355">
        <v>41946</v>
      </c>
      <c r="L573" s="169">
        <v>24.700001</v>
      </c>
      <c r="M573" s="169">
        <v>24.9</v>
      </c>
      <c r="N573" s="169">
        <v>23.309999000000001</v>
      </c>
      <c r="O573" s="169">
        <v>24.02</v>
      </c>
      <c r="P573" s="169">
        <v>15.122040999999999</v>
      </c>
      <c r="Q573" s="169">
        <v>25575100</v>
      </c>
      <c r="R573" s="53">
        <f t="shared" si="12"/>
        <v>-3.9200170938292089E-2</v>
      </c>
      <c r="S573" s="146">
        <f>(P573/P572)*('16. câmbio USD-BRL'!O573/'16. câmbio USD-BRL'!O572)^-1 -1</f>
        <v>-9.6512745484130025E-2</v>
      </c>
    </row>
    <row r="574" spans="11:19" x14ac:dyDescent="0.2">
      <c r="K574" s="355">
        <v>41953</v>
      </c>
      <c r="L574" s="169">
        <v>24.5</v>
      </c>
      <c r="M574" s="169">
        <v>24.5</v>
      </c>
      <c r="N574" s="169">
        <v>22.059999000000001</v>
      </c>
      <c r="O574" s="169">
        <v>23</v>
      </c>
      <c r="P574" s="169">
        <v>14.479889999999999</v>
      </c>
      <c r="Q574" s="169">
        <v>26728400</v>
      </c>
      <c r="R574" s="53">
        <f t="shared" si="12"/>
        <v>-4.2464572077274498E-2</v>
      </c>
      <c r="S574" s="146">
        <f>(P574/P573)*('16. câmbio USD-BRL'!O574/'16. câmbio USD-BRL'!O573)^-1 -1</f>
        <v>-5.3600420014453309E-2</v>
      </c>
    </row>
    <row r="575" spans="11:19" x14ac:dyDescent="0.2">
      <c r="K575" s="355">
        <v>41960</v>
      </c>
      <c r="L575" s="169">
        <v>22.93</v>
      </c>
      <c r="M575" s="169">
        <v>24.1</v>
      </c>
      <c r="N575" s="169">
        <v>21.67</v>
      </c>
      <c r="O575" s="169">
        <v>23.59</v>
      </c>
      <c r="P575" s="169">
        <v>14.851331999999999</v>
      </c>
      <c r="Q575" s="169">
        <v>39788500</v>
      </c>
      <c r="R575" s="53">
        <f t="shared" si="12"/>
        <v>2.565226669539622E-2</v>
      </c>
      <c r="S575" s="146">
        <f>(P575/P574)*('16. câmbio USD-BRL'!O575/'16. câmbio USD-BRL'!O574)^-1 -1</f>
        <v>6.0276196717597541E-2</v>
      </c>
    </row>
    <row r="576" spans="11:19" x14ac:dyDescent="0.2">
      <c r="K576" s="355">
        <v>41967</v>
      </c>
      <c r="L576" s="169">
        <v>24</v>
      </c>
      <c r="M576" s="169">
        <v>24.129999000000002</v>
      </c>
      <c r="N576" s="169">
        <v>22.98</v>
      </c>
      <c r="O576" s="169">
        <v>23.290001</v>
      </c>
      <c r="P576" s="169">
        <v>14.662464</v>
      </c>
      <c r="Q576" s="169">
        <v>22396000</v>
      </c>
      <c r="R576" s="53">
        <f t="shared" si="12"/>
        <v>-1.2717243140211165E-2</v>
      </c>
      <c r="S576" s="146">
        <f>(P576/P575)*('16. câmbio USD-BRL'!O576/'16. câmbio USD-BRL'!O575)^-1 -1</f>
        <v>-1.8655316068459271E-2</v>
      </c>
    </row>
    <row r="577" spans="11:19" x14ac:dyDescent="0.2">
      <c r="K577" s="355">
        <v>41974</v>
      </c>
      <c r="L577" s="169">
        <v>22.809999000000001</v>
      </c>
      <c r="M577" s="169">
        <v>22.940000999999999</v>
      </c>
      <c r="N577" s="169">
        <v>21.4</v>
      </c>
      <c r="O577" s="169">
        <v>21.879999000000002</v>
      </c>
      <c r="P577" s="169">
        <v>13.774784</v>
      </c>
      <c r="Q577" s="169">
        <v>338962565</v>
      </c>
      <c r="R577" s="53">
        <f t="shared" si="12"/>
        <v>-6.0540984107446016E-2</v>
      </c>
      <c r="S577" s="146">
        <f>(P577/P576)*('16. câmbio USD-BRL'!O577/'16. câmbio USD-BRL'!O576)^-1 -1</f>
        <v>-8.1937734440407306E-2</v>
      </c>
    </row>
    <row r="578" spans="11:19" x14ac:dyDescent="0.2">
      <c r="K578" s="355">
        <v>41981</v>
      </c>
      <c r="L578" s="169">
        <v>21.790001</v>
      </c>
      <c r="M578" s="169">
        <v>21.860001</v>
      </c>
      <c r="N578" s="169">
        <v>18.91</v>
      </c>
      <c r="O578" s="169">
        <v>18.91</v>
      </c>
      <c r="P578" s="169">
        <v>11.904985999999999</v>
      </c>
      <c r="Q578" s="169">
        <v>31324600</v>
      </c>
      <c r="R578" s="53">
        <f t="shared" si="12"/>
        <v>-0.13574064028880606</v>
      </c>
      <c r="S578" s="146">
        <f>(P578/P577)*('16. câmbio USD-BRL'!O578/'16. câmbio USD-BRL'!O577)^-1 -1</f>
        <v>-0.1564533778120778</v>
      </c>
    </row>
    <row r="579" spans="11:19" x14ac:dyDescent="0.2">
      <c r="K579" s="355">
        <v>41988</v>
      </c>
      <c r="L579" s="169">
        <v>19.049999</v>
      </c>
      <c r="M579" s="169">
        <v>21.57</v>
      </c>
      <c r="N579" s="169">
        <v>18.200001</v>
      </c>
      <c r="O579" s="169">
        <v>21.57</v>
      </c>
      <c r="P579" s="169">
        <v>13.579618999999999</v>
      </c>
      <c r="Q579" s="169">
        <v>52101700</v>
      </c>
      <c r="R579" s="53">
        <f t="shared" si="12"/>
        <v>0.14066652409335045</v>
      </c>
      <c r="S579" s="146">
        <f>(P579/P578)*('16. câmbio USD-BRL'!O579/'16. câmbio USD-BRL'!O578)^-1 -1</f>
        <v>0.13650585576570573</v>
      </c>
    </row>
    <row r="580" spans="11:19" x14ac:dyDescent="0.2">
      <c r="K580" s="355">
        <v>41995</v>
      </c>
      <c r="L580" s="169">
        <v>21.889999</v>
      </c>
      <c r="M580" s="169">
        <v>22.41</v>
      </c>
      <c r="N580" s="169">
        <v>21.049999</v>
      </c>
      <c r="O580" s="169">
        <v>21.68</v>
      </c>
      <c r="P580" s="169">
        <v>13.648870000000001</v>
      </c>
      <c r="Q580" s="169">
        <v>13160200</v>
      </c>
      <c r="R580" s="53">
        <f t="shared" si="12"/>
        <v>5.0996276110546468E-3</v>
      </c>
      <c r="S580" s="146">
        <f>(P580/P579)*('16. câmbio USD-BRL'!O580/'16. câmbio USD-BRL'!O579)^-1 -1</f>
        <v>-8.2882755617106341E-3</v>
      </c>
    </row>
    <row r="581" spans="11:19" x14ac:dyDescent="0.2">
      <c r="K581" s="355">
        <v>42002</v>
      </c>
      <c r="L581" s="169">
        <v>21.700001</v>
      </c>
      <c r="M581" s="169">
        <v>22.610001</v>
      </c>
      <c r="N581" s="169">
        <v>21.059999000000001</v>
      </c>
      <c r="O581" s="169">
        <v>21.280000999999999</v>
      </c>
      <c r="P581" s="169">
        <v>13.397045</v>
      </c>
      <c r="Q581" s="169">
        <v>12246600</v>
      </c>
      <c r="R581" s="53">
        <f t="shared" si="12"/>
        <v>-1.8450245331664838E-2</v>
      </c>
      <c r="S581" s="146">
        <f>(P581/P580)*('16. câmbio USD-BRL'!O581/'16. câmbio USD-BRL'!O580)^-1 -1</f>
        <v>-2.9123704273720241E-3</v>
      </c>
    </row>
    <row r="582" spans="11:19" x14ac:dyDescent="0.2">
      <c r="K582" s="355">
        <v>42009</v>
      </c>
      <c r="L582" s="169">
        <v>20.76</v>
      </c>
      <c r="M582" s="169">
        <v>22.879999000000002</v>
      </c>
      <c r="N582" s="169">
        <v>20.51</v>
      </c>
      <c r="O582" s="169">
        <v>22.35</v>
      </c>
      <c r="P582" s="169">
        <v>14.070675</v>
      </c>
      <c r="Q582" s="169">
        <v>32858400</v>
      </c>
      <c r="R582" s="53">
        <f t="shared" si="12"/>
        <v>5.0281983825537502E-2</v>
      </c>
      <c r="S582" s="146">
        <f>(P582/P581)*('16. câmbio USD-BRL'!O582/'16. câmbio USD-BRL'!O581)^-1 -1</f>
        <v>4.7715215808518119E-2</v>
      </c>
    </row>
    <row r="583" spans="11:19" x14ac:dyDescent="0.2">
      <c r="K583" s="355">
        <v>42016</v>
      </c>
      <c r="L583" s="169">
        <v>22.110001</v>
      </c>
      <c r="M583" s="169">
        <v>23.129999000000002</v>
      </c>
      <c r="N583" s="169">
        <v>20.450001</v>
      </c>
      <c r="O583" s="169">
        <v>21.879999000000002</v>
      </c>
      <c r="P583" s="169">
        <v>13.774784</v>
      </c>
      <c r="Q583" s="169">
        <v>31561300</v>
      </c>
      <c r="R583" s="53">
        <f t="shared" si="12"/>
        <v>-2.1028912969704661E-2</v>
      </c>
      <c r="S583" s="146">
        <f>(P583/P582)*('16. câmbio USD-BRL'!O583/'16. câmbio USD-BRL'!O582)^-1 -1</f>
        <v>-1.3237806429500787E-2</v>
      </c>
    </row>
    <row r="584" spans="11:19" x14ac:dyDescent="0.2">
      <c r="K584" s="355">
        <v>42023</v>
      </c>
      <c r="L584" s="169">
        <v>21.450001</v>
      </c>
      <c r="M584" s="169">
        <v>22.870000999999998</v>
      </c>
      <c r="N584" s="169">
        <v>20.469999000000001</v>
      </c>
      <c r="O584" s="169">
        <v>20.52</v>
      </c>
      <c r="P584" s="169">
        <v>12.918578999999999</v>
      </c>
      <c r="Q584" s="169">
        <v>18493300</v>
      </c>
      <c r="R584" s="53">
        <f t="shared" si="12"/>
        <v>-6.2157417495621092E-2</v>
      </c>
      <c r="S584" s="146">
        <f>(P584/P583)*('16. câmbio USD-BRL'!O584/'16. câmbio USD-BRL'!O583)^-1 -1</f>
        <v>-3.7349662561051544E-2</v>
      </c>
    </row>
    <row r="585" spans="11:19" x14ac:dyDescent="0.2">
      <c r="K585" s="355">
        <v>42030</v>
      </c>
      <c r="L585" s="169">
        <v>20.010000000000002</v>
      </c>
      <c r="M585" s="169">
        <v>20.110001</v>
      </c>
      <c r="N585" s="169">
        <v>17.649999999999999</v>
      </c>
      <c r="O585" s="169">
        <v>18.610001</v>
      </c>
      <c r="P585" s="169">
        <v>11.716118</v>
      </c>
      <c r="Q585" s="169">
        <v>31023900</v>
      </c>
      <c r="R585" s="53">
        <f t="shared" si="12"/>
        <v>-9.3079974198400639E-2</v>
      </c>
      <c r="S585" s="146">
        <f>(P585/P584)*('16. câmbio USD-BRL'!O585/'16. câmbio USD-BRL'!O584)^-1 -1</f>
        <v>-0.12967772497828445</v>
      </c>
    </row>
    <row r="586" spans="11:19" x14ac:dyDescent="0.2">
      <c r="K586" s="355">
        <v>42037</v>
      </c>
      <c r="L586" s="169">
        <v>18.950001</v>
      </c>
      <c r="M586" s="169">
        <v>21.219999000000001</v>
      </c>
      <c r="N586" s="169">
        <v>18.649999999999999</v>
      </c>
      <c r="O586" s="169">
        <v>20.420000000000002</v>
      </c>
      <c r="P586" s="169">
        <v>12.855624000000001</v>
      </c>
      <c r="Q586" s="169">
        <v>33362000</v>
      </c>
      <c r="R586" s="53">
        <f t="shared" si="12"/>
        <v>9.7259689600258437E-2</v>
      </c>
      <c r="S586" s="146">
        <f>(P586/P585)*('16. câmbio USD-BRL'!O586/'16. câmbio USD-BRL'!O585)^-1 -1</f>
        <v>7.2125494784495148E-2</v>
      </c>
    </row>
    <row r="587" spans="11:19" x14ac:dyDescent="0.2">
      <c r="K587" s="355">
        <v>42044</v>
      </c>
      <c r="L587" s="169">
        <v>20.25</v>
      </c>
      <c r="M587" s="169">
        <v>22.700001</v>
      </c>
      <c r="N587" s="169">
        <v>20.209999</v>
      </c>
      <c r="O587" s="169">
        <v>22.48</v>
      </c>
      <c r="P587" s="169">
        <v>14.152520000000001</v>
      </c>
      <c r="Q587" s="169">
        <v>29241400</v>
      </c>
      <c r="R587" s="53">
        <f t="shared" si="12"/>
        <v>0.10088160636932142</v>
      </c>
      <c r="S587" s="146">
        <f>(P587/P586)*('16. câmbio USD-BRL'!O587/'16. câmbio USD-BRL'!O586)^-1 -1</f>
        <v>6.6154584062358524E-2</v>
      </c>
    </row>
    <row r="588" spans="11:19" x14ac:dyDescent="0.2">
      <c r="K588" s="355">
        <v>42051</v>
      </c>
      <c r="L588" s="169">
        <v>22.48</v>
      </c>
      <c r="M588" s="169">
        <v>23</v>
      </c>
      <c r="N588" s="169">
        <v>21.950001</v>
      </c>
      <c r="O588" s="169">
        <v>22.620000999999998</v>
      </c>
      <c r="P588" s="169">
        <v>14.24066</v>
      </c>
      <c r="Q588" s="169">
        <v>13371900</v>
      </c>
      <c r="R588" s="53">
        <f t="shared" si="12"/>
        <v>6.2278661326744533E-3</v>
      </c>
      <c r="S588" s="146">
        <f>(P588/P587)*('16. câmbio USD-BRL'!O588/'16. câmbio USD-BRL'!O587)^-1 -1</f>
        <v>-5.1582208518183847E-3</v>
      </c>
    </row>
    <row r="589" spans="11:19" x14ac:dyDescent="0.2">
      <c r="K589" s="355">
        <v>42058</v>
      </c>
      <c r="L589" s="169">
        <v>22.1</v>
      </c>
      <c r="M589" s="169">
        <v>22.290001</v>
      </c>
      <c r="N589" s="169">
        <v>20.879999000000002</v>
      </c>
      <c r="O589" s="169">
        <v>21.25</v>
      </c>
      <c r="P589" s="169">
        <v>13.378159999999999</v>
      </c>
      <c r="Q589" s="169">
        <v>30180700</v>
      </c>
      <c r="R589" s="53">
        <f t="shared" si="12"/>
        <v>-6.0566013092089865E-2</v>
      </c>
      <c r="S589" s="146">
        <f>(P589/P588)*('16. câmbio USD-BRL'!O589/'16. câmbio USD-BRL'!O588)^-1 -1</f>
        <v>-7.405117565803121E-2</v>
      </c>
    </row>
    <row r="590" spans="11:19" x14ac:dyDescent="0.2">
      <c r="K590" s="355">
        <v>42065</v>
      </c>
      <c r="L590" s="169">
        <v>21.16</v>
      </c>
      <c r="M590" s="169">
        <v>21.25</v>
      </c>
      <c r="N590" s="169">
        <v>19.07</v>
      </c>
      <c r="O590" s="169">
        <v>19.59</v>
      </c>
      <c r="P590" s="169">
        <v>12.33309</v>
      </c>
      <c r="Q590" s="169">
        <v>29925800</v>
      </c>
      <c r="R590" s="53">
        <f t="shared" si="12"/>
        <v>-7.8117618566379776E-2</v>
      </c>
      <c r="S590" s="146">
        <f>(P590/P589)*('16. câmbio USD-BRL'!O590/'16. câmbio USD-BRL'!O589)^-1 -1</f>
        <v>-0.10734031596791227</v>
      </c>
    </row>
    <row r="591" spans="11:19" x14ac:dyDescent="0.2">
      <c r="K591" s="355">
        <v>42072</v>
      </c>
      <c r="L591" s="169">
        <v>19.43</v>
      </c>
      <c r="M591" s="169">
        <v>19.77</v>
      </c>
      <c r="N591" s="169">
        <v>18.149999999999999</v>
      </c>
      <c r="O591" s="169">
        <v>18.879999000000002</v>
      </c>
      <c r="P591" s="169">
        <v>11.886101</v>
      </c>
      <c r="Q591" s="169">
        <v>47251100</v>
      </c>
      <c r="R591" s="53">
        <f t="shared" si="12"/>
        <v>-3.6243066417256387E-2</v>
      </c>
      <c r="S591" s="146">
        <f>(P591/P590)*('16. câmbio USD-BRL'!O591/'16. câmbio USD-BRL'!O590)^-1 -1</f>
        <v>-0.10897775764511886</v>
      </c>
    </row>
    <row r="592" spans="11:19" x14ac:dyDescent="0.2">
      <c r="K592" s="355">
        <v>42079</v>
      </c>
      <c r="L592" s="169">
        <v>19.07</v>
      </c>
      <c r="M592" s="169">
        <v>20.25</v>
      </c>
      <c r="N592" s="169">
        <v>18.530000999999999</v>
      </c>
      <c r="O592" s="169">
        <v>20.25</v>
      </c>
      <c r="P592" s="169">
        <v>12.7486</v>
      </c>
      <c r="Q592" s="169">
        <v>39702000</v>
      </c>
      <c r="R592" s="53">
        <f t="shared" si="12"/>
        <v>7.2563660699164423E-2</v>
      </c>
      <c r="S592" s="146">
        <f>(P592/P591)*('16. câmbio USD-BRL'!O592/'16. câmbio USD-BRL'!O591)^-1 -1</f>
        <v>5.7764733457570161E-2</v>
      </c>
    </row>
    <row r="593" spans="11:19" x14ac:dyDescent="0.2">
      <c r="K593" s="355">
        <v>42086</v>
      </c>
      <c r="L593" s="169">
        <v>20.329999999999998</v>
      </c>
      <c r="M593" s="169">
        <v>20.459999</v>
      </c>
      <c r="N593" s="169">
        <v>18.170000000000002</v>
      </c>
      <c r="O593" s="169">
        <v>18.350000000000001</v>
      </c>
      <c r="P593" s="169">
        <v>11.552434</v>
      </c>
      <c r="Q593" s="169">
        <v>27830200</v>
      </c>
      <c r="R593" s="53">
        <f t="shared" si="12"/>
        <v>-9.3827243775787106E-2</v>
      </c>
      <c r="S593" s="146">
        <f>(P593/P592)*('16. câmbio USD-BRL'!O593/'16. câmbio USD-BRL'!O592)^-1 -1</f>
        <v>-6.2220211643292944E-2</v>
      </c>
    </row>
    <row r="594" spans="11:19" x14ac:dyDescent="0.2">
      <c r="K594" s="355">
        <v>42093</v>
      </c>
      <c r="L594" s="169">
        <v>18.620000999999998</v>
      </c>
      <c r="M594" s="169">
        <v>18.73</v>
      </c>
      <c r="N594" s="169">
        <v>17.170000000000002</v>
      </c>
      <c r="O594" s="169">
        <v>18</v>
      </c>
      <c r="P594" s="169">
        <v>11.332088000000001</v>
      </c>
      <c r="Q594" s="169">
        <v>26264400</v>
      </c>
      <c r="R594" s="53">
        <f t="shared" si="12"/>
        <v>-1.9073556273941916E-2</v>
      </c>
      <c r="S594" s="146">
        <f>(P594/P593)*('16. câmbio USD-BRL'!O594/'16. câmbio USD-BRL'!O593)^-1 -1</f>
        <v>-1.0711588536924666E-3</v>
      </c>
    </row>
    <row r="595" spans="11:19" x14ac:dyDescent="0.2">
      <c r="K595" s="355">
        <v>42100</v>
      </c>
      <c r="L595" s="169">
        <v>18.239999999999998</v>
      </c>
      <c r="M595" s="169">
        <v>19.549999</v>
      </c>
      <c r="N595" s="169">
        <v>17.879999000000002</v>
      </c>
      <c r="O595" s="169">
        <v>18.420000000000002</v>
      </c>
      <c r="P595" s="169">
        <v>11.596501999999999</v>
      </c>
      <c r="Q595" s="169">
        <v>35204700</v>
      </c>
      <c r="R595" s="53">
        <f t="shared" si="12"/>
        <v>2.3333210966946183E-2</v>
      </c>
      <c r="S595" s="146">
        <f>(P595/P594)*('16. câmbio USD-BRL'!O595/'16. câmbio USD-BRL'!O594)^-1 -1</f>
        <v>4.5740500533826278E-2</v>
      </c>
    </row>
    <row r="596" spans="11:19" x14ac:dyDescent="0.2">
      <c r="K596" s="355">
        <v>42107</v>
      </c>
      <c r="L596" s="169">
        <v>18.399999999999999</v>
      </c>
      <c r="M596" s="169">
        <v>19.25</v>
      </c>
      <c r="N596" s="169">
        <v>17.760000000000002</v>
      </c>
      <c r="O596" s="169">
        <v>17.799999</v>
      </c>
      <c r="P596" s="169">
        <v>11.206175999999999</v>
      </c>
      <c r="Q596" s="169">
        <v>29397300</v>
      </c>
      <c r="R596" s="53">
        <f t="shared" si="12"/>
        <v>-3.3658943015747345E-2</v>
      </c>
      <c r="S596" s="146">
        <f>(P596/P595)*('16. câmbio USD-BRL'!O596/'16. câmbio USD-BRL'!O595)^-1 -1</f>
        <v>-2.774003641980205E-2</v>
      </c>
    </row>
    <row r="597" spans="11:19" x14ac:dyDescent="0.2">
      <c r="K597" s="355">
        <v>42114</v>
      </c>
      <c r="L597" s="169">
        <v>17.860001</v>
      </c>
      <c r="M597" s="169">
        <v>23.549999</v>
      </c>
      <c r="N597" s="169">
        <v>17.709999</v>
      </c>
      <c r="O597" s="169">
        <v>23.200001</v>
      </c>
      <c r="P597" s="169">
        <v>15.090104</v>
      </c>
      <c r="Q597" s="169">
        <v>40177900</v>
      </c>
      <c r="R597" s="53">
        <f t="shared" si="12"/>
        <v>0.3465881670964297</v>
      </c>
      <c r="S597" s="146">
        <f>(P597/P596)*('16. câmbio USD-BRL'!O597/'16. câmbio USD-BRL'!O596)^-1 -1</f>
        <v>0.38696343215470885</v>
      </c>
    </row>
    <row r="598" spans="11:19" x14ac:dyDescent="0.2">
      <c r="K598" s="355">
        <v>42121</v>
      </c>
      <c r="L598" s="169">
        <v>23.35</v>
      </c>
      <c r="M598" s="169">
        <v>24.809999000000001</v>
      </c>
      <c r="N598" s="169">
        <v>20.370000999999998</v>
      </c>
      <c r="O598" s="169">
        <v>22.65</v>
      </c>
      <c r="P598" s="169">
        <v>14.732366000000001</v>
      </c>
      <c r="Q598" s="169">
        <v>70558400</v>
      </c>
      <c r="R598" s="53">
        <f t="shared" si="12"/>
        <v>-2.3706794863706637E-2</v>
      </c>
      <c r="S598" s="146">
        <f>(P598/P597)*('16. câmbio USD-BRL'!O598/'16. câmbio USD-BRL'!O597)^-1 -1</f>
        <v>-4.4068527546964997E-2</v>
      </c>
    </row>
    <row r="599" spans="11:19" x14ac:dyDescent="0.2">
      <c r="K599" s="355">
        <v>42128</v>
      </c>
      <c r="L599" s="169">
        <v>24.1</v>
      </c>
      <c r="M599" s="169">
        <v>27.889999</v>
      </c>
      <c r="N599" s="169">
        <v>22.709999</v>
      </c>
      <c r="O599" s="169">
        <v>22.75</v>
      </c>
      <c r="P599" s="169">
        <v>14.797408000000001</v>
      </c>
      <c r="Q599" s="169">
        <v>65812300</v>
      </c>
      <c r="R599" s="53">
        <f t="shared" si="12"/>
        <v>4.4149052501138986E-3</v>
      </c>
      <c r="S599" s="146">
        <f>(P599/P598)*('16. câmbio USD-BRL'!O599/'16. câmbio USD-BRL'!O598)^-1 -1</f>
        <v>1.0239702110408366E-3</v>
      </c>
    </row>
    <row r="600" spans="11:19" x14ac:dyDescent="0.2">
      <c r="K600" s="355">
        <v>42135</v>
      </c>
      <c r="L600" s="169">
        <v>23.26</v>
      </c>
      <c r="M600" s="169">
        <v>23.940000999999999</v>
      </c>
      <c r="N600" s="169">
        <v>21.139999</v>
      </c>
      <c r="O600" s="169">
        <v>21.280000999999999</v>
      </c>
      <c r="P600" s="169">
        <v>13.841269</v>
      </c>
      <c r="Q600" s="169">
        <v>37036900</v>
      </c>
      <c r="R600" s="53">
        <f t="shared" si="12"/>
        <v>-6.4615302896291027E-2</v>
      </c>
      <c r="S600" s="146">
        <f>(P600/P599)*('16. câmbio USD-BRL'!O600/'16. câmbio USD-BRL'!O599)^-1 -1</f>
        <v>-5.4791870845367296E-2</v>
      </c>
    </row>
    <row r="601" spans="11:19" x14ac:dyDescent="0.2">
      <c r="K601" s="355">
        <v>42142</v>
      </c>
      <c r="L601" s="169">
        <v>21.209999</v>
      </c>
      <c r="M601" s="169">
        <v>21.5</v>
      </c>
      <c r="N601" s="169">
        <v>19.73</v>
      </c>
      <c r="O601" s="169">
        <v>20.260000000000002</v>
      </c>
      <c r="P601" s="169">
        <v>13.177825</v>
      </c>
      <c r="Q601" s="169">
        <v>38629900</v>
      </c>
      <c r="R601" s="53">
        <f t="shared" si="12"/>
        <v>-4.7932310252766563E-2</v>
      </c>
      <c r="S601" s="146">
        <f>(P601/P600)*('16. câmbio USD-BRL'!O601/'16. câmbio USD-BRL'!O600)^-1 -1</f>
        <v>-6.2605069458539608E-2</v>
      </c>
    </row>
    <row r="602" spans="11:19" x14ac:dyDescent="0.2">
      <c r="K602" s="355">
        <v>42149</v>
      </c>
      <c r="L602" s="169">
        <v>20.110001</v>
      </c>
      <c r="M602" s="169">
        <v>21.18</v>
      </c>
      <c r="N602" s="169">
        <v>20.049999</v>
      </c>
      <c r="O602" s="169">
        <v>20.049999</v>
      </c>
      <c r="P602" s="169">
        <v>13.041232000000001</v>
      </c>
      <c r="Q602" s="169">
        <v>28088700</v>
      </c>
      <c r="R602" s="53">
        <f t="shared" si="12"/>
        <v>-1.0365367577729989E-2</v>
      </c>
      <c r="S602" s="146">
        <f>(P602/P601)*('16. câmbio USD-BRL'!O602/'16. câmbio USD-BRL'!O601)^-1 -1</f>
        <v>-4.8498135677334298E-2</v>
      </c>
    </row>
    <row r="603" spans="11:19" x14ac:dyDescent="0.2">
      <c r="K603" s="355">
        <v>42156</v>
      </c>
      <c r="L603" s="169">
        <v>20.07</v>
      </c>
      <c r="M603" s="169">
        <v>21.540001</v>
      </c>
      <c r="N603" s="169">
        <v>19.790001</v>
      </c>
      <c r="O603" s="169">
        <v>20.6</v>
      </c>
      <c r="P603" s="169">
        <v>13.398973</v>
      </c>
      <c r="Q603" s="169">
        <v>27471300</v>
      </c>
      <c r="R603" s="53">
        <f t="shared" si="12"/>
        <v>2.7431534075921471E-2</v>
      </c>
      <c r="S603" s="146">
        <f>(P603/P602)*('16. câmbio USD-BRL'!O603/'16. câmbio USD-BRL'!O602)^-1 -1</f>
        <v>3.3386331197181818E-2</v>
      </c>
    </row>
    <row r="604" spans="11:19" x14ac:dyDescent="0.2">
      <c r="K604" s="355">
        <v>42163</v>
      </c>
      <c r="L604" s="169">
        <v>20.530000999999999</v>
      </c>
      <c r="M604" s="169">
        <v>21.719999000000001</v>
      </c>
      <c r="N604" s="169">
        <v>19.899999999999999</v>
      </c>
      <c r="O604" s="169">
        <v>21.16</v>
      </c>
      <c r="P604" s="169">
        <v>13.763215000000001</v>
      </c>
      <c r="Q604" s="169">
        <v>28835200</v>
      </c>
      <c r="R604" s="53">
        <f t="shared" si="12"/>
        <v>2.7184322261116556E-2</v>
      </c>
      <c r="S604" s="146">
        <f>(P604/P603)*('16. câmbio USD-BRL'!O604/'16. câmbio USD-BRL'!O603)^-1 -1</f>
        <v>4.4852518144653075E-2</v>
      </c>
    </row>
    <row r="605" spans="11:19" x14ac:dyDescent="0.2">
      <c r="K605" s="355">
        <v>42170</v>
      </c>
      <c r="L605" s="169">
        <v>20.879999000000002</v>
      </c>
      <c r="M605" s="169">
        <v>21.030000999999999</v>
      </c>
      <c r="N605" s="169">
        <v>19.299999</v>
      </c>
      <c r="O605" s="169">
        <v>20.32</v>
      </c>
      <c r="P605" s="169">
        <v>13.216848000000001</v>
      </c>
      <c r="Q605" s="169">
        <v>26890600</v>
      </c>
      <c r="R605" s="53">
        <f t="shared" si="12"/>
        <v>-3.9697628788041173E-2</v>
      </c>
      <c r="S605" s="146">
        <f>(P605/P604)*('16. câmbio USD-BRL'!O605/'16. câmbio USD-BRL'!O604)^-1 -1</f>
        <v>-3.0495961093453428E-2</v>
      </c>
    </row>
    <row r="606" spans="11:19" x14ac:dyDescent="0.2">
      <c r="K606" s="355">
        <v>42177</v>
      </c>
      <c r="L606" s="169">
        <v>20.5</v>
      </c>
      <c r="M606" s="169">
        <v>20.530000999999999</v>
      </c>
      <c r="N606" s="169">
        <v>19.059999000000001</v>
      </c>
      <c r="O606" s="169">
        <v>19.620000999999998</v>
      </c>
      <c r="P606" s="169">
        <v>12.761545999999999</v>
      </c>
      <c r="Q606" s="169">
        <v>19168200</v>
      </c>
      <c r="R606" s="53">
        <f t="shared" si="12"/>
        <v>-3.4448606808522131E-2</v>
      </c>
      <c r="S606" s="146">
        <f>(P606/P605)*('16. câmbio USD-BRL'!O606/'16. câmbio USD-BRL'!O605)^-1 -1</f>
        <v>-5.5030389802553814E-2</v>
      </c>
    </row>
    <row r="607" spans="11:19" x14ac:dyDescent="0.2">
      <c r="K607" s="355">
        <v>42184</v>
      </c>
      <c r="L607" s="169">
        <v>19.18</v>
      </c>
      <c r="M607" s="169">
        <v>19.489999999999998</v>
      </c>
      <c r="N607" s="169">
        <v>17.559999000000001</v>
      </c>
      <c r="O607" s="169">
        <v>17.68</v>
      </c>
      <c r="P607" s="169">
        <v>11.499701</v>
      </c>
      <c r="Q607" s="169">
        <v>17104900</v>
      </c>
      <c r="R607" s="53">
        <f t="shared" si="12"/>
        <v>-9.8878693851042754E-2</v>
      </c>
      <c r="S607" s="146">
        <f>(P607/P606)*('16. câmbio USD-BRL'!O607/'16. câmbio USD-BRL'!O606)^-1 -1</f>
        <v>-9.0024754708531995E-2</v>
      </c>
    </row>
    <row r="608" spans="11:19" x14ac:dyDescent="0.2">
      <c r="K608" s="355">
        <v>42191</v>
      </c>
      <c r="L608" s="169">
        <v>17.450001</v>
      </c>
      <c r="M608" s="169">
        <v>18.049999</v>
      </c>
      <c r="N608" s="169">
        <v>16.639999</v>
      </c>
      <c r="O608" s="169">
        <v>17.110001</v>
      </c>
      <c r="P608" s="169">
        <v>11.128951000000001</v>
      </c>
      <c r="Q608" s="169">
        <v>26119100</v>
      </c>
      <c r="R608" s="53">
        <f t="shared" si="12"/>
        <v>-3.2239968673968056E-2</v>
      </c>
      <c r="S608" s="146">
        <f>(P608/P607)*('16. câmbio USD-BRL'!O608/'16. câmbio USD-BRL'!O607)^-1 -1</f>
        <v>-7.042639566522535E-2</v>
      </c>
    </row>
    <row r="609" spans="11:19" x14ac:dyDescent="0.2">
      <c r="K609" s="355">
        <v>42198</v>
      </c>
      <c r="L609" s="169">
        <v>17.399999999999999</v>
      </c>
      <c r="M609" s="169">
        <v>18.52</v>
      </c>
      <c r="N609" s="169">
        <v>16.940000999999999</v>
      </c>
      <c r="O609" s="169">
        <v>17.450001</v>
      </c>
      <c r="P609" s="169">
        <v>11.350099</v>
      </c>
      <c r="Q609" s="169">
        <v>29199900</v>
      </c>
      <c r="R609" s="53">
        <f t="shared" si="12"/>
        <v>1.9871414655343367E-2</v>
      </c>
      <c r="S609" s="146">
        <f>(P609/P608)*('16. câmbio USD-BRL'!O609/'16. câmbio USD-BRL'!O608)^-1 -1</f>
        <v>3.1366260751703567E-2</v>
      </c>
    </row>
    <row r="610" spans="11:19" x14ac:dyDescent="0.2">
      <c r="K610" s="355">
        <v>42205</v>
      </c>
      <c r="L610" s="169">
        <v>17.450001</v>
      </c>
      <c r="M610" s="169">
        <v>18.030000999999999</v>
      </c>
      <c r="N610" s="169">
        <v>16.540001</v>
      </c>
      <c r="O610" s="169">
        <v>16.790001</v>
      </c>
      <c r="P610" s="169">
        <v>10.920812</v>
      </c>
      <c r="Q610" s="169">
        <v>29365800</v>
      </c>
      <c r="R610" s="53">
        <f t="shared" si="12"/>
        <v>-3.7822313267928398E-2</v>
      </c>
      <c r="S610" s="146">
        <f>(P610/P609)*('16. câmbio USD-BRL'!O610/'16. câmbio USD-BRL'!O609)^-1 -1</f>
        <v>-6.6826512459961296E-2</v>
      </c>
    </row>
    <row r="611" spans="11:19" x14ac:dyDescent="0.2">
      <c r="K611" s="355">
        <v>42212</v>
      </c>
      <c r="L611" s="169">
        <v>16.75</v>
      </c>
      <c r="M611" s="169">
        <v>19.809999000000001</v>
      </c>
      <c r="N611" s="169">
        <v>16.41</v>
      </c>
      <c r="O611" s="169">
        <v>17.870000999999998</v>
      </c>
      <c r="P611" s="169">
        <v>11.623282</v>
      </c>
      <c r="Q611" s="169">
        <v>43828000</v>
      </c>
      <c r="R611" s="53">
        <f t="shared" si="12"/>
        <v>6.4323971514206102E-2</v>
      </c>
      <c r="S611" s="146">
        <f>(P611/P610)*('16. câmbio USD-BRL'!O611/'16. câmbio USD-BRL'!O610)^-1 -1</f>
        <v>3.6980178962547683E-2</v>
      </c>
    </row>
    <row r="612" spans="11:19" x14ac:dyDescent="0.2">
      <c r="K612" s="355">
        <v>42219</v>
      </c>
      <c r="L612" s="169">
        <v>17.809999000000001</v>
      </c>
      <c r="M612" s="169">
        <v>19.790001</v>
      </c>
      <c r="N612" s="169">
        <v>17.299999</v>
      </c>
      <c r="O612" s="169">
        <v>18.420000000000002</v>
      </c>
      <c r="P612" s="169">
        <v>11.981023</v>
      </c>
      <c r="Q612" s="169">
        <v>33411100</v>
      </c>
      <c r="R612" s="53">
        <f t="shared" si="12"/>
        <v>3.0777967875166512E-2</v>
      </c>
      <c r="S612" s="146">
        <f>(P612/P611)*('16. câmbio USD-BRL'!O612/'16. câmbio USD-BRL'!O611)^-1 -1</f>
        <v>-1.6155177790913133E-2</v>
      </c>
    </row>
    <row r="613" spans="11:19" x14ac:dyDescent="0.2">
      <c r="K613" s="355">
        <v>42226</v>
      </c>
      <c r="L613" s="169">
        <v>18.549999</v>
      </c>
      <c r="M613" s="169">
        <v>19.559999000000001</v>
      </c>
      <c r="N613" s="169">
        <v>18.110001</v>
      </c>
      <c r="O613" s="169">
        <v>18.200001</v>
      </c>
      <c r="P613" s="169">
        <v>11.837926</v>
      </c>
      <c r="Q613" s="169">
        <v>49581000</v>
      </c>
      <c r="R613" s="53">
        <f t="shared" si="12"/>
        <v>-1.1943637867985135E-2</v>
      </c>
      <c r="S613" s="146">
        <f>(P613/P612)*('16. câmbio USD-BRL'!O613/'16. câmbio USD-BRL'!O612)^-1 -1</f>
        <v>-8.4903678272885141E-3</v>
      </c>
    </row>
    <row r="614" spans="11:19" x14ac:dyDescent="0.2">
      <c r="K614" s="355">
        <v>42233</v>
      </c>
      <c r="L614" s="169">
        <v>18.100000000000001</v>
      </c>
      <c r="M614" s="169">
        <v>18.329999999999998</v>
      </c>
      <c r="N614" s="169">
        <v>16.68</v>
      </c>
      <c r="O614" s="169">
        <v>16.700001</v>
      </c>
      <c r="P614" s="169">
        <v>10.862272000000001</v>
      </c>
      <c r="Q614" s="169">
        <v>25552600</v>
      </c>
      <c r="R614" s="53">
        <f t="shared" si="12"/>
        <v>-8.2417646469491235E-2</v>
      </c>
      <c r="S614" s="146">
        <f>(P614/P613)*('16. câmbio USD-BRL'!O614/'16. câmbio USD-BRL'!O613)^-1 -1</f>
        <v>-6.6097641049245426E-2</v>
      </c>
    </row>
    <row r="615" spans="11:19" x14ac:dyDescent="0.2">
      <c r="K615" s="355">
        <v>42240</v>
      </c>
      <c r="L615" s="169">
        <v>15.14</v>
      </c>
      <c r="M615" s="169">
        <v>18.389999</v>
      </c>
      <c r="N615" s="169">
        <v>14.77</v>
      </c>
      <c r="O615" s="169">
        <v>17.309999000000001</v>
      </c>
      <c r="P615" s="169">
        <v>11.259039</v>
      </c>
      <c r="Q615" s="169">
        <v>38497000</v>
      </c>
      <c r="R615" s="53">
        <f t="shared" si="12"/>
        <v>3.6527072789191761E-2</v>
      </c>
      <c r="S615" s="146">
        <f>(P615/P614)*('16. câmbio USD-BRL'!O615/'16. câmbio USD-BRL'!O614)^-1 -1</f>
        <v>9.5496908034666816E-3</v>
      </c>
    </row>
    <row r="616" spans="11:19" x14ac:dyDescent="0.2">
      <c r="K616" s="355">
        <v>42247</v>
      </c>
      <c r="L616" s="169">
        <v>17.02</v>
      </c>
      <c r="M616" s="169">
        <v>19.370000999999998</v>
      </c>
      <c r="N616" s="169">
        <v>16.959999</v>
      </c>
      <c r="O616" s="169">
        <v>18.239999999999998</v>
      </c>
      <c r="P616" s="169">
        <v>11.863941000000001</v>
      </c>
      <c r="Q616" s="169">
        <v>45783200</v>
      </c>
      <c r="R616" s="53">
        <f t="shared" si="12"/>
        <v>5.3725899697123491E-2</v>
      </c>
      <c r="S616" s="146">
        <f>(P616/P615)*('16. câmbio USD-BRL'!O616/'16. câmbio USD-BRL'!O615)^-1 -1</f>
        <v>1.5897427321893698E-3</v>
      </c>
    </row>
    <row r="617" spans="11:19" x14ac:dyDescent="0.2">
      <c r="K617" s="355">
        <v>42254</v>
      </c>
      <c r="L617" s="169">
        <v>18.239999999999998</v>
      </c>
      <c r="M617" s="169">
        <v>20.559999000000001</v>
      </c>
      <c r="N617" s="169">
        <v>18.239999999999998</v>
      </c>
      <c r="O617" s="169">
        <v>19.450001</v>
      </c>
      <c r="P617" s="169">
        <v>12.650969999999999</v>
      </c>
      <c r="Q617" s="169">
        <v>32086700</v>
      </c>
      <c r="R617" s="53">
        <f t="shared" si="12"/>
        <v>6.6337905759983107E-2</v>
      </c>
      <c r="S617" s="146">
        <f>(P617/P616)*('16. câmbio USD-BRL'!O617/'16. câmbio USD-BRL'!O616)^-1 -1</f>
        <v>3.4997031785436228E-2</v>
      </c>
    </row>
    <row r="618" spans="11:19" x14ac:dyDescent="0.2">
      <c r="K618" s="355">
        <v>42261</v>
      </c>
      <c r="L618" s="169">
        <v>19.32</v>
      </c>
      <c r="M618" s="169">
        <v>20.41</v>
      </c>
      <c r="N618" s="169">
        <v>18.52</v>
      </c>
      <c r="O618" s="169">
        <v>19.91</v>
      </c>
      <c r="P618" s="169">
        <v>12.95017</v>
      </c>
      <c r="Q618" s="169">
        <v>36728800</v>
      </c>
      <c r="R618" s="53">
        <f t="shared" si="12"/>
        <v>2.3650360407146742E-2</v>
      </c>
      <c r="S618" s="146">
        <f>(P618/P617)*('16. câmbio USD-BRL'!O618/'16. câmbio USD-BRL'!O617)^-1 -1</f>
        <v>1.226009967691355E-2</v>
      </c>
    </row>
    <row r="619" spans="11:19" x14ac:dyDescent="0.2">
      <c r="K619" s="355">
        <v>42268</v>
      </c>
      <c r="L619" s="169">
        <v>20.010000000000002</v>
      </c>
      <c r="M619" s="169">
        <v>20.280000999999999</v>
      </c>
      <c r="N619" s="169">
        <v>17.82</v>
      </c>
      <c r="O619" s="169">
        <v>17.93</v>
      </c>
      <c r="P619" s="169">
        <v>11.662307</v>
      </c>
      <c r="Q619" s="169">
        <v>29223400</v>
      </c>
      <c r="R619" s="53">
        <f t="shared" si="12"/>
        <v>-9.9447574819481077E-2</v>
      </c>
      <c r="S619" s="146">
        <f>(P619/P618)*('16. câmbio USD-BRL'!O619/'16. câmbio USD-BRL'!O618)^-1 -1</f>
        <v>-0.10897286871409329</v>
      </c>
    </row>
    <row r="620" spans="11:19" x14ac:dyDescent="0.2">
      <c r="K620" s="355">
        <v>42275</v>
      </c>
      <c r="L620" s="169">
        <v>17.700001</v>
      </c>
      <c r="M620" s="169">
        <v>17.93</v>
      </c>
      <c r="N620" s="169">
        <v>16.329999999999998</v>
      </c>
      <c r="O620" s="169">
        <v>17.82</v>
      </c>
      <c r="P620" s="169">
        <v>11.590759</v>
      </c>
      <c r="Q620" s="169">
        <v>35096900</v>
      </c>
      <c r="R620" s="53">
        <f t="shared" si="12"/>
        <v>-6.1349782680218956E-3</v>
      </c>
      <c r="S620" s="146">
        <f>(P620/P619)*('16. câmbio USD-BRL'!O620/'16. câmbio USD-BRL'!O619)^-1 -1</f>
        <v>-2.2488964071254003E-2</v>
      </c>
    </row>
    <row r="621" spans="11:19" x14ac:dyDescent="0.2">
      <c r="K621" s="355">
        <v>42282</v>
      </c>
      <c r="L621" s="169">
        <v>18.100000000000001</v>
      </c>
      <c r="M621" s="169">
        <v>20.83</v>
      </c>
      <c r="N621" s="169">
        <v>18</v>
      </c>
      <c r="O621" s="169">
        <v>20.790001</v>
      </c>
      <c r="P621" s="169">
        <v>13.522551999999999</v>
      </c>
      <c r="Q621" s="169">
        <v>35692600</v>
      </c>
      <c r="R621" s="53">
        <f t="shared" si="12"/>
        <v>0.16666665228739541</v>
      </c>
      <c r="S621" s="146">
        <f>(P621/P620)*('16. câmbio USD-BRL'!O621/'16. câmbio USD-BRL'!O620)^-1 -1</f>
        <v>0.24105945815935659</v>
      </c>
    </row>
    <row r="622" spans="11:19" x14ac:dyDescent="0.2">
      <c r="K622" s="355">
        <v>42289</v>
      </c>
      <c r="L622" s="169">
        <v>20.790001</v>
      </c>
      <c r="M622" s="169">
        <v>20.790001</v>
      </c>
      <c r="N622" s="169">
        <v>18.200001</v>
      </c>
      <c r="O622" s="169">
        <v>18.420000000000002</v>
      </c>
      <c r="P622" s="169">
        <v>11.981023</v>
      </c>
      <c r="Q622" s="169">
        <v>32753200</v>
      </c>
      <c r="R622" s="53">
        <f t="shared" si="12"/>
        <v>-0.11399689940182878</v>
      </c>
      <c r="S622" s="146">
        <f>(P622/P621)*('16. câmbio USD-BRL'!O622/'16. câmbio USD-BRL'!O621)^-1 -1</f>
        <v>-0.12179980080195507</v>
      </c>
    </row>
    <row r="623" spans="11:19" x14ac:dyDescent="0.2">
      <c r="K623" s="355">
        <v>42296</v>
      </c>
      <c r="L623" s="169">
        <v>18.41</v>
      </c>
      <c r="M623" s="169">
        <v>19.329999999999998</v>
      </c>
      <c r="N623" s="169">
        <v>17.350000000000001</v>
      </c>
      <c r="O623" s="169">
        <v>18.600000000000001</v>
      </c>
      <c r="P623" s="169">
        <v>12.341156</v>
      </c>
      <c r="Q623" s="169">
        <v>30090700</v>
      </c>
      <c r="R623" s="53">
        <f t="shared" si="12"/>
        <v>3.005861853365932E-2</v>
      </c>
      <c r="S623" s="146">
        <f>(P623/P622)*('16. câmbio USD-BRL'!O623/'16. câmbio USD-BRL'!O622)^-1 -1</f>
        <v>1.0755992078781418E-3</v>
      </c>
    </row>
    <row r="624" spans="11:19" x14ac:dyDescent="0.2">
      <c r="K624" s="355">
        <v>42303</v>
      </c>
      <c r="L624" s="169">
        <v>18.549999</v>
      </c>
      <c r="M624" s="169">
        <v>18.649999999999999</v>
      </c>
      <c r="N624" s="169">
        <v>16.139999</v>
      </c>
      <c r="O624" s="169">
        <v>17.059999000000001</v>
      </c>
      <c r="P624" s="169">
        <v>11.319361000000001</v>
      </c>
      <c r="Q624" s="169">
        <v>25420400</v>
      </c>
      <c r="R624" s="53">
        <f t="shared" si="12"/>
        <v>-8.2795728374229993E-2</v>
      </c>
      <c r="S624" s="146">
        <f>(P624/P623)*('16. câmbio USD-BRL'!O624/'16. câmbio USD-BRL'!O623)^-1 -1</f>
        <v>-6.9054483011615431E-2</v>
      </c>
    </row>
    <row r="625" spans="11:19" x14ac:dyDescent="0.2">
      <c r="K625" s="355">
        <v>42310</v>
      </c>
      <c r="L625" s="169">
        <v>17.059999000000001</v>
      </c>
      <c r="M625" s="169">
        <v>18.350000000000001</v>
      </c>
      <c r="N625" s="169">
        <v>15.59</v>
      </c>
      <c r="O625" s="169">
        <v>15.67</v>
      </c>
      <c r="P625" s="169">
        <v>10.397093</v>
      </c>
      <c r="Q625" s="169">
        <v>31243400</v>
      </c>
      <c r="R625" s="53">
        <f t="shared" si="12"/>
        <v>-8.1477037440541134E-2</v>
      </c>
      <c r="S625" s="146">
        <f>(P625/P624)*('16. câmbio USD-BRL'!O625/'16. câmbio USD-BRL'!O624)^-1 -1</f>
        <v>-6.5779943876523972E-2</v>
      </c>
    </row>
    <row r="626" spans="11:19" x14ac:dyDescent="0.2">
      <c r="K626" s="355">
        <v>42317</v>
      </c>
      <c r="L626" s="169">
        <v>15.64</v>
      </c>
      <c r="M626" s="169">
        <v>15.84</v>
      </c>
      <c r="N626" s="169">
        <v>15</v>
      </c>
      <c r="O626" s="169">
        <v>15.37</v>
      </c>
      <c r="P626" s="169">
        <v>10.198041999999999</v>
      </c>
      <c r="Q626" s="169">
        <v>21079300</v>
      </c>
      <c r="R626" s="53">
        <f t="shared" si="12"/>
        <v>-1.9144870590269925E-2</v>
      </c>
      <c r="S626" s="146">
        <f>(P626/P625)*('16. câmbio USD-BRL'!O626/'16. câmbio USD-BRL'!O625)^-1 -1</f>
        <v>-1.5707750489335925E-2</v>
      </c>
    </row>
    <row r="627" spans="11:19" x14ac:dyDescent="0.2">
      <c r="K627" s="355">
        <v>42324</v>
      </c>
      <c r="L627" s="169">
        <v>15.38</v>
      </c>
      <c r="M627" s="169">
        <v>15.53</v>
      </c>
      <c r="N627" s="169">
        <v>14.35</v>
      </c>
      <c r="O627" s="169">
        <v>14.64</v>
      </c>
      <c r="P627" s="169">
        <v>9.7136859999999992</v>
      </c>
      <c r="Q627" s="169">
        <v>19697800</v>
      </c>
      <c r="R627" s="53">
        <f t="shared" si="12"/>
        <v>-4.7494999530302007E-2</v>
      </c>
      <c r="S627" s="146">
        <f>(P627/P626)*('16. câmbio USD-BRL'!O627/'16. câmbio USD-BRL'!O626)^-1 -1</f>
        <v>-4.605150317204465E-2</v>
      </c>
    </row>
    <row r="628" spans="11:19" x14ac:dyDescent="0.2">
      <c r="K628" s="355">
        <v>42331</v>
      </c>
      <c r="L628" s="169">
        <v>14.34</v>
      </c>
      <c r="M628" s="169">
        <v>14.64</v>
      </c>
      <c r="N628" s="169">
        <v>13.3</v>
      </c>
      <c r="O628" s="169">
        <v>13.3</v>
      </c>
      <c r="P628" s="169">
        <v>8.8245900000000006</v>
      </c>
      <c r="Q628" s="169">
        <v>25304600</v>
      </c>
      <c r="R628" s="53">
        <f t="shared" si="12"/>
        <v>-9.1530238881512016E-2</v>
      </c>
      <c r="S628" s="146">
        <f>(P628/P627)*('16. câmbio USD-BRL'!O628/'16. câmbio USD-BRL'!O627)^-1 -1</f>
        <v>-8.5989603702424255E-2</v>
      </c>
    </row>
    <row r="629" spans="11:19" x14ac:dyDescent="0.2">
      <c r="K629" s="355">
        <v>42338</v>
      </c>
      <c r="L629" s="169">
        <v>13.04</v>
      </c>
      <c r="M629" s="169">
        <v>13.39</v>
      </c>
      <c r="N629" s="169">
        <v>12.16</v>
      </c>
      <c r="O629" s="169">
        <v>12.35</v>
      </c>
      <c r="P629" s="169">
        <v>8.1942629999999994</v>
      </c>
      <c r="Q629" s="169">
        <v>43974600</v>
      </c>
      <c r="R629" s="53">
        <f t="shared" si="12"/>
        <v>-7.1428474297389632E-2</v>
      </c>
      <c r="S629" s="146">
        <f>(P629/P628)*('16. câmbio USD-BRL'!O629/'16. câmbio USD-BRL'!O628)^-1 -1</f>
        <v>-7.5755001015298862E-2</v>
      </c>
    </row>
    <row r="630" spans="11:19" x14ac:dyDescent="0.2">
      <c r="K630" s="355">
        <v>42345</v>
      </c>
      <c r="L630" s="169">
        <v>12.35</v>
      </c>
      <c r="M630" s="169">
        <v>12.68</v>
      </c>
      <c r="N630" s="169">
        <v>11.25</v>
      </c>
      <c r="O630" s="169">
        <v>12.21</v>
      </c>
      <c r="P630" s="169">
        <v>8.1013730000000006</v>
      </c>
      <c r="Q630" s="169">
        <v>36624700</v>
      </c>
      <c r="R630" s="53">
        <f t="shared" si="12"/>
        <v>-1.1335979819051323E-2</v>
      </c>
      <c r="S630" s="146">
        <f>(P630/P629)*('16. câmbio USD-BRL'!O630/'16. câmbio USD-BRL'!O629)^-1 -1</f>
        <v>-2.4811388886594621E-2</v>
      </c>
    </row>
    <row r="631" spans="11:19" x14ac:dyDescent="0.2">
      <c r="K631" s="355">
        <v>42352</v>
      </c>
      <c r="L631" s="169">
        <v>12.18</v>
      </c>
      <c r="M631" s="169">
        <v>13.6</v>
      </c>
      <c r="N631" s="169">
        <v>12.18</v>
      </c>
      <c r="O631" s="169">
        <v>12.89</v>
      </c>
      <c r="P631" s="169">
        <v>8.5525540000000007</v>
      </c>
      <c r="Q631" s="169">
        <v>33855600</v>
      </c>
      <c r="R631" s="53">
        <f t="shared" si="12"/>
        <v>5.5691917900829946E-2</v>
      </c>
      <c r="S631" s="146">
        <f>(P631/P630)*('16. câmbio USD-BRL'!O631/'16. câmbio USD-BRL'!O630)^-1 -1</f>
        <v>3.703626782828473E-2</v>
      </c>
    </row>
    <row r="632" spans="11:19" x14ac:dyDescent="0.2">
      <c r="K632" s="355">
        <v>42359</v>
      </c>
      <c r="L632" s="169">
        <v>13.01</v>
      </c>
      <c r="M632" s="169">
        <v>13.57</v>
      </c>
      <c r="N632" s="169">
        <v>12.24</v>
      </c>
      <c r="O632" s="169">
        <v>13.22</v>
      </c>
      <c r="P632" s="169">
        <v>8.7715110000000003</v>
      </c>
      <c r="Q632" s="169">
        <v>19794700</v>
      </c>
      <c r="R632" s="53">
        <f t="shared" si="12"/>
        <v>2.560135837786004E-2</v>
      </c>
      <c r="S632" s="146">
        <f>(P632/P631)*('16. câmbio USD-BRL'!O632/'16. câmbio USD-BRL'!O631)^-1 -1</f>
        <v>1.5982250314362068E-2</v>
      </c>
    </row>
    <row r="633" spans="11:19" x14ac:dyDescent="0.2">
      <c r="K633" s="355">
        <v>42366</v>
      </c>
      <c r="L633" s="169">
        <v>13</v>
      </c>
      <c r="M633" s="169">
        <v>13.17</v>
      </c>
      <c r="N633" s="169">
        <v>12.3</v>
      </c>
      <c r="O633" s="169">
        <v>13.03</v>
      </c>
      <c r="P633" s="169">
        <v>8.6454459999999997</v>
      </c>
      <c r="Q633" s="169">
        <v>11212500</v>
      </c>
      <c r="R633" s="53">
        <f t="shared" ref="R633:R696" si="13">P633/P632-1</f>
        <v>-1.4372096210105711E-2</v>
      </c>
      <c r="S633" s="146">
        <f>(P633/P632)*('16. câmbio USD-BRL'!O633/'16. câmbio USD-BRL'!O632)^-1 -1</f>
        <v>-2.3604560119023787E-2</v>
      </c>
    </row>
    <row r="634" spans="11:19" x14ac:dyDescent="0.2">
      <c r="K634" s="355">
        <v>42373</v>
      </c>
      <c r="L634" s="169">
        <v>12.49</v>
      </c>
      <c r="M634" s="169">
        <v>12.98</v>
      </c>
      <c r="N634" s="169">
        <v>10.54</v>
      </c>
      <c r="O634" s="169">
        <v>10.54</v>
      </c>
      <c r="P634" s="169">
        <v>6.993322</v>
      </c>
      <c r="Q634" s="169">
        <v>24920100</v>
      </c>
      <c r="R634" s="53">
        <f t="shared" si="13"/>
        <v>-0.19109760213643112</v>
      </c>
      <c r="S634" s="146">
        <f>(P634/P633)*('16. câmbio USD-BRL'!O634/'16. câmbio USD-BRL'!O633)^-1 -1</f>
        <v>-0.20941124048964577</v>
      </c>
    </row>
    <row r="635" spans="11:19" x14ac:dyDescent="0.2">
      <c r="K635" s="355">
        <v>42380</v>
      </c>
      <c r="L635" s="169">
        <v>10.5</v>
      </c>
      <c r="M635" s="169">
        <v>10.76</v>
      </c>
      <c r="N635" s="169">
        <v>8.8000000000000007</v>
      </c>
      <c r="O635" s="169">
        <v>9.3699999999999992</v>
      </c>
      <c r="P635" s="169">
        <v>6.2170230000000002</v>
      </c>
      <c r="Q635" s="169">
        <v>46811900</v>
      </c>
      <c r="R635" s="53">
        <f t="shared" si="13"/>
        <v>-0.11100575663468659</v>
      </c>
      <c r="S635" s="146">
        <f>(P635/P634)*('16. câmbio USD-BRL'!O635/'16. câmbio USD-BRL'!O634)^-1 -1</f>
        <v>-0.10310536095236666</v>
      </c>
    </row>
    <row r="636" spans="11:19" x14ac:dyDescent="0.2">
      <c r="K636" s="355">
        <v>42387</v>
      </c>
      <c r="L636" s="169">
        <v>9.31</v>
      </c>
      <c r="M636" s="169">
        <v>9.8000000000000007</v>
      </c>
      <c r="N636" s="169">
        <v>8.7100000000000009</v>
      </c>
      <c r="O636" s="169">
        <v>9.0299999999999994</v>
      </c>
      <c r="P636" s="169">
        <v>5.9914319999999996</v>
      </c>
      <c r="Q636" s="169">
        <v>50693500</v>
      </c>
      <c r="R636" s="53">
        <f t="shared" si="13"/>
        <v>-3.6286016635293183E-2</v>
      </c>
      <c r="S636" s="146">
        <f>(P636/P635)*('16. câmbio USD-BRL'!O636/'16. câmbio USD-BRL'!O635)^-1 -1</f>
        <v>-5.5986833118797263E-2</v>
      </c>
    </row>
    <row r="637" spans="11:19" x14ac:dyDescent="0.2">
      <c r="K637" s="355">
        <v>42394</v>
      </c>
      <c r="L637" s="169">
        <v>9.0299999999999994</v>
      </c>
      <c r="M637" s="169">
        <v>9.91</v>
      </c>
      <c r="N637" s="169">
        <v>8.6300000000000008</v>
      </c>
      <c r="O637" s="169">
        <v>9.7200000000000006</v>
      </c>
      <c r="P637" s="169">
        <v>6.449249</v>
      </c>
      <c r="Q637" s="169">
        <v>37785900</v>
      </c>
      <c r="R637" s="53">
        <f t="shared" si="13"/>
        <v>7.6411949597358531E-2</v>
      </c>
      <c r="S637" s="146">
        <f>(P637/P636)*('16. câmbio USD-BRL'!O637/'16. câmbio USD-BRL'!O636)^-1 -1</f>
        <v>8.2367019394737451E-2</v>
      </c>
    </row>
    <row r="638" spans="11:19" x14ac:dyDescent="0.2">
      <c r="K638" s="355">
        <v>42401</v>
      </c>
      <c r="L638" s="169">
        <v>9.6300000000000008</v>
      </c>
      <c r="M638" s="169">
        <v>10.79</v>
      </c>
      <c r="N638" s="169">
        <v>8.6</v>
      </c>
      <c r="O638" s="169">
        <v>10.23</v>
      </c>
      <c r="P638" s="169">
        <v>6.787636</v>
      </c>
      <c r="Q638" s="169">
        <v>42194200</v>
      </c>
      <c r="R638" s="53">
        <f t="shared" si="13"/>
        <v>5.2469209980883003E-2</v>
      </c>
      <c r="S638" s="146">
        <f>(P638/P637)*('16. câmbio USD-BRL'!O638/'16. câmbio USD-BRL'!O637)^-1 -1</f>
        <v>9.7958773115878417E-2</v>
      </c>
    </row>
    <row r="639" spans="11:19" x14ac:dyDescent="0.2">
      <c r="K639" s="355">
        <v>42408</v>
      </c>
      <c r="L639" s="169">
        <v>10.23</v>
      </c>
      <c r="M639" s="169">
        <v>10.47</v>
      </c>
      <c r="N639" s="169">
        <v>9.61</v>
      </c>
      <c r="O639" s="169">
        <v>10.25</v>
      </c>
      <c r="P639" s="169">
        <v>6.8009069999999996</v>
      </c>
      <c r="Q639" s="169">
        <v>16824100</v>
      </c>
      <c r="R639" s="53">
        <f t="shared" si="13"/>
        <v>1.955172610905942E-3</v>
      </c>
      <c r="S639" s="146">
        <f>(P639/P638)*('16. câmbio USD-BRL'!O639/'16. câmbio USD-BRL'!O638)^-1 -1</f>
        <v>-1.5643808169039541E-2</v>
      </c>
    </row>
    <row r="640" spans="11:19" x14ac:dyDescent="0.2">
      <c r="K640" s="355">
        <v>42415</v>
      </c>
      <c r="L640" s="169">
        <v>10.68</v>
      </c>
      <c r="M640" s="169">
        <v>12.7</v>
      </c>
      <c r="N640" s="169">
        <v>10.51</v>
      </c>
      <c r="O640" s="169">
        <v>11.83</v>
      </c>
      <c r="P640" s="169">
        <v>7.8492410000000001</v>
      </c>
      <c r="Q640" s="169">
        <v>39383200</v>
      </c>
      <c r="R640" s="53">
        <f t="shared" si="13"/>
        <v>0.15414620432245285</v>
      </c>
      <c r="S640" s="146">
        <f>(P640/P639)*('16. câmbio USD-BRL'!O640/'16. câmbio USD-BRL'!O639)^-1 -1</f>
        <v>0.14029553032376207</v>
      </c>
    </row>
    <row r="641" spans="11:19" x14ac:dyDescent="0.2">
      <c r="K641" s="355">
        <v>42422</v>
      </c>
      <c r="L641" s="169">
        <v>12.5</v>
      </c>
      <c r="M641" s="169">
        <v>13.44</v>
      </c>
      <c r="N641" s="169">
        <v>10.89</v>
      </c>
      <c r="O641" s="169">
        <v>11</v>
      </c>
      <c r="P641" s="169">
        <v>7.2985329999999999</v>
      </c>
      <c r="Q641" s="169">
        <v>44015600</v>
      </c>
      <c r="R641" s="53">
        <f t="shared" si="13"/>
        <v>-7.0160669037936274E-2</v>
      </c>
      <c r="S641" s="146">
        <f>(P641/P640)*('16. câmbio USD-BRL'!O641/'16. câmbio USD-BRL'!O640)^-1 -1</f>
        <v>-5.4984516593023058E-2</v>
      </c>
    </row>
    <row r="642" spans="11:19" x14ac:dyDescent="0.2">
      <c r="K642" s="355">
        <v>42429</v>
      </c>
      <c r="L642" s="169">
        <v>11.23</v>
      </c>
      <c r="M642" s="169">
        <v>18.329999999999998</v>
      </c>
      <c r="N642" s="169">
        <v>11.19</v>
      </c>
      <c r="O642" s="169">
        <v>16.549999</v>
      </c>
      <c r="P642" s="169">
        <v>10.980974</v>
      </c>
      <c r="Q642" s="169">
        <v>86949500</v>
      </c>
      <c r="R642" s="53">
        <f t="shared" si="13"/>
        <v>0.50454536548646134</v>
      </c>
      <c r="S642" s="146">
        <f>(P642/P641)*('16. câmbio USD-BRL'!O642/'16. câmbio USD-BRL'!O641)^-1 -1</f>
        <v>0.56629510019913765</v>
      </c>
    </row>
    <row r="643" spans="11:19" x14ac:dyDescent="0.2">
      <c r="K643" s="355">
        <v>42436</v>
      </c>
      <c r="L643" s="169">
        <v>17.75</v>
      </c>
      <c r="M643" s="169">
        <v>18.600000000000001</v>
      </c>
      <c r="N643" s="169">
        <v>13.28</v>
      </c>
      <c r="O643" s="169">
        <v>13.87</v>
      </c>
      <c r="P643" s="169">
        <v>9.2027870000000007</v>
      </c>
      <c r="Q643" s="169">
        <v>72298800</v>
      </c>
      <c r="R643" s="53">
        <f t="shared" si="13"/>
        <v>-0.16193344961931422</v>
      </c>
      <c r="S643" s="146">
        <f>(P643/P642)*('16. câmbio USD-BRL'!O643/'16. câmbio USD-BRL'!O642)^-1 -1</f>
        <v>-0.11970546986714958</v>
      </c>
    </row>
    <row r="644" spans="11:19" x14ac:dyDescent="0.2">
      <c r="K644" s="355">
        <v>42443</v>
      </c>
      <c r="L644" s="169">
        <v>13.9</v>
      </c>
      <c r="M644" s="169">
        <v>16.100000000000001</v>
      </c>
      <c r="N644" s="169">
        <v>12.81</v>
      </c>
      <c r="O644" s="169">
        <v>15.33</v>
      </c>
      <c r="P644" s="169">
        <v>10.171500999999999</v>
      </c>
      <c r="Q644" s="169">
        <v>56566500</v>
      </c>
      <c r="R644" s="53">
        <f t="shared" si="13"/>
        <v>0.10526311214200645</v>
      </c>
      <c r="S644" s="146">
        <f>(P644/P643)*('16. câmbio USD-BRL'!O644/'16. câmbio USD-BRL'!O643)^-1 -1</f>
        <v>0.10309598941791487</v>
      </c>
    </row>
    <row r="645" spans="11:19" x14ac:dyDescent="0.2">
      <c r="K645" s="355">
        <v>42450</v>
      </c>
      <c r="L645" s="169">
        <v>15.49</v>
      </c>
      <c r="M645" s="169">
        <v>15.88</v>
      </c>
      <c r="N645" s="169">
        <v>13.68</v>
      </c>
      <c r="O645" s="169">
        <v>15.05</v>
      </c>
      <c r="P645" s="169">
        <v>9.9857220000000009</v>
      </c>
      <c r="Q645" s="169">
        <v>30319600</v>
      </c>
      <c r="R645" s="53">
        <f t="shared" si="13"/>
        <v>-1.8264659267103078E-2</v>
      </c>
      <c r="S645" s="146">
        <f>(P645/P644)*('16. câmbio USD-BRL'!O645/'16. câmbio USD-BRL'!O644)^-1 -1</f>
        <v>-3.3242183637579359E-2</v>
      </c>
    </row>
    <row r="646" spans="11:19" x14ac:dyDescent="0.2">
      <c r="K646" s="355">
        <v>42457</v>
      </c>
      <c r="L646" s="169">
        <v>15.72</v>
      </c>
      <c r="M646" s="169">
        <v>16.360001</v>
      </c>
      <c r="N646" s="169">
        <v>14.44</v>
      </c>
      <c r="O646" s="169">
        <v>15.51</v>
      </c>
      <c r="P646" s="169">
        <v>10.290934</v>
      </c>
      <c r="Q646" s="169">
        <v>23156900</v>
      </c>
      <c r="R646" s="53">
        <f t="shared" si="13"/>
        <v>3.0564840479236244E-2</v>
      </c>
      <c r="S646" s="146">
        <f>(P646/P645)*('16. câmbio USD-BRL'!O646/'16. câmbio USD-BRL'!O645)^-1 -1</f>
        <v>6.7912143214295062E-2</v>
      </c>
    </row>
    <row r="647" spans="11:19" x14ac:dyDescent="0.2">
      <c r="K647" s="355">
        <v>42464</v>
      </c>
      <c r="L647" s="169">
        <v>15.61</v>
      </c>
      <c r="M647" s="169">
        <v>16.34</v>
      </c>
      <c r="N647" s="169">
        <v>14.46</v>
      </c>
      <c r="O647" s="169">
        <v>16.239999999999998</v>
      </c>
      <c r="P647" s="169">
        <v>10.77529</v>
      </c>
      <c r="Q647" s="169">
        <v>6424500</v>
      </c>
      <c r="R647" s="53">
        <f t="shared" si="13"/>
        <v>4.7066281836031676E-2</v>
      </c>
      <c r="S647" s="146">
        <f>(P647/P646)*('16. câmbio USD-BRL'!O647/'16. câmbio USD-BRL'!O646)^-1 -1</f>
        <v>3.6088173477034857E-2</v>
      </c>
    </row>
    <row r="648" spans="11:19" x14ac:dyDescent="0.2">
      <c r="K648" s="355">
        <v>42471</v>
      </c>
      <c r="L648" s="169">
        <v>16.459999</v>
      </c>
      <c r="M648" s="169">
        <v>20.59</v>
      </c>
      <c r="N648" s="169">
        <v>16.450001</v>
      </c>
      <c r="O648" s="169">
        <v>18.600000000000001</v>
      </c>
      <c r="P648" s="169">
        <v>12.341156</v>
      </c>
      <c r="Q648" s="169">
        <v>16099300</v>
      </c>
      <c r="R648" s="53">
        <f t="shared" si="13"/>
        <v>0.14532007955238324</v>
      </c>
      <c r="S648" s="146">
        <f>(P648/P647)*('16. câmbio USD-BRL'!O648/'16. câmbio USD-BRL'!O647)^-1 -1</f>
        <v>0.16322482845957409</v>
      </c>
    </row>
    <row r="649" spans="11:19" x14ac:dyDescent="0.2">
      <c r="K649" s="355">
        <v>42478</v>
      </c>
      <c r="L649" s="169">
        <v>18.700001</v>
      </c>
      <c r="M649" s="169">
        <v>22.190000999999999</v>
      </c>
      <c r="N649" s="169">
        <v>18.559999000000001</v>
      </c>
      <c r="O649" s="169">
        <v>19.329999999999998</v>
      </c>
      <c r="P649" s="169">
        <v>12.825513000000001</v>
      </c>
      <c r="Q649" s="169">
        <v>34670000</v>
      </c>
      <c r="R649" s="53">
        <f t="shared" si="13"/>
        <v>3.9247295796277282E-2</v>
      </c>
      <c r="S649" s="146">
        <f>(P649/P648)*('16. câmbio USD-BRL'!O649/'16. câmbio USD-BRL'!O648)^-1 -1</f>
        <v>4.1193451780914714E-2</v>
      </c>
    </row>
    <row r="650" spans="11:19" x14ac:dyDescent="0.2">
      <c r="K650" s="355">
        <v>42485</v>
      </c>
      <c r="L650" s="169">
        <v>19.200001</v>
      </c>
      <c r="M650" s="169">
        <v>20.93</v>
      </c>
      <c r="N650" s="169">
        <v>17.350000000000001</v>
      </c>
      <c r="O650" s="169">
        <v>19.690000999999999</v>
      </c>
      <c r="P650" s="169">
        <v>13.064375999999999</v>
      </c>
      <c r="Q650" s="169">
        <v>69664500</v>
      </c>
      <c r="R650" s="53">
        <f t="shared" si="13"/>
        <v>1.862405035962289E-2</v>
      </c>
      <c r="S650" s="146">
        <f>(P650/P649)*('16. câmbio USD-BRL'!O650/'16. câmbio USD-BRL'!O649)^-1 -1</f>
        <v>4.5804766688258836E-2</v>
      </c>
    </row>
    <row r="651" spans="11:19" x14ac:dyDescent="0.2">
      <c r="K651" s="355">
        <v>42492</v>
      </c>
      <c r="L651" s="169">
        <v>20.139999</v>
      </c>
      <c r="M651" s="169">
        <v>20.309999000000001</v>
      </c>
      <c r="N651" s="169">
        <v>16.170000000000002</v>
      </c>
      <c r="O651" s="169">
        <v>16.879999000000002</v>
      </c>
      <c r="P651" s="169">
        <v>11.199928999999999</v>
      </c>
      <c r="Q651" s="169">
        <v>47624300</v>
      </c>
      <c r="R651" s="53">
        <f t="shared" si="13"/>
        <v>-0.14271228874612918</v>
      </c>
      <c r="S651" s="146">
        <f>(P651/P650)*('16. câmbio USD-BRL'!O651/'16. câmbio USD-BRL'!O650)^-1 -1</f>
        <v>-0.16704954425510532</v>
      </c>
    </row>
    <row r="652" spans="11:19" x14ac:dyDescent="0.2">
      <c r="K652" s="355">
        <v>42499</v>
      </c>
      <c r="L652" s="169">
        <v>16.100000000000001</v>
      </c>
      <c r="M652" s="169">
        <v>16.450001</v>
      </c>
      <c r="N652" s="169">
        <v>14.6</v>
      </c>
      <c r="O652" s="169">
        <v>14.68</v>
      </c>
      <c r="P652" s="169">
        <v>9.7402239999999995</v>
      </c>
      <c r="Q652" s="169">
        <v>42568200</v>
      </c>
      <c r="R652" s="53">
        <f t="shared" si="13"/>
        <v>-0.13033162978086732</v>
      </c>
      <c r="S652" s="146">
        <f>(P652/P651)*('16. câmbio USD-BRL'!O652/'16. câmbio USD-BRL'!O651)^-1 -1</f>
        <v>-0.11632529440590789</v>
      </c>
    </row>
    <row r="653" spans="11:19" x14ac:dyDescent="0.2">
      <c r="K653" s="355">
        <v>42506</v>
      </c>
      <c r="L653" s="169">
        <v>14.6</v>
      </c>
      <c r="M653" s="169">
        <v>15.74</v>
      </c>
      <c r="N653" s="169">
        <v>13.95</v>
      </c>
      <c r="O653" s="169">
        <v>14.13</v>
      </c>
      <c r="P653" s="169">
        <v>9.3752980000000008</v>
      </c>
      <c r="Q653" s="169">
        <v>37059000</v>
      </c>
      <c r="R653" s="53">
        <f t="shared" si="13"/>
        <v>-3.7465873474778255E-2</v>
      </c>
      <c r="S653" s="146">
        <f>(P653/P652)*('16. câmbio USD-BRL'!O653/'16. câmbio USD-BRL'!O652)^-1 -1</f>
        <v>-5.9166387051739044E-2</v>
      </c>
    </row>
    <row r="654" spans="11:19" x14ac:dyDescent="0.2">
      <c r="K654" s="355">
        <v>42513</v>
      </c>
      <c r="L654" s="169">
        <v>13.66</v>
      </c>
      <c r="M654" s="169">
        <v>14.91</v>
      </c>
      <c r="N654" s="169">
        <v>13.66</v>
      </c>
      <c r="O654" s="169">
        <v>14.29</v>
      </c>
      <c r="P654" s="169">
        <v>9.4814589999999992</v>
      </c>
      <c r="Q654" s="169">
        <v>28023500</v>
      </c>
      <c r="R654" s="53">
        <f t="shared" si="13"/>
        <v>1.1323480064313607E-2</v>
      </c>
      <c r="S654" s="146">
        <f>(P654/P653)*('16. câmbio USD-BRL'!O654/'16. câmbio USD-BRL'!O653)^-1 -1</f>
        <v>-3.1364084256191305E-3</v>
      </c>
    </row>
    <row r="655" spans="11:19" x14ac:dyDescent="0.2">
      <c r="K655" s="355">
        <v>42520</v>
      </c>
      <c r="L655" s="169">
        <v>14.39</v>
      </c>
      <c r="M655" s="169">
        <v>16.32</v>
      </c>
      <c r="N655" s="169">
        <v>13.8</v>
      </c>
      <c r="O655" s="169">
        <v>16.239999999999998</v>
      </c>
      <c r="P655" s="169">
        <v>10.77529</v>
      </c>
      <c r="Q655" s="169">
        <v>28860900</v>
      </c>
      <c r="R655" s="53">
        <f t="shared" si="13"/>
        <v>0.13645906183847867</v>
      </c>
      <c r="S655" s="146">
        <f>(P655/P654)*('16. câmbio USD-BRL'!O655/'16. câmbio USD-BRL'!O654)^-1 -1</f>
        <v>0.14560127043068238</v>
      </c>
    </row>
    <row r="656" spans="11:19" x14ac:dyDescent="0.2">
      <c r="K656" s="355">
        <v>42527</v>
      </c>
      <c r="L656" s="169">
        <v>16.610001</v>
      </c>
      <c r="M656" s="169">
        <v>17.350000000000001</v>
      </c>
      <c r="N656" s="169">
        <v>14.82</v>
      </c>
      <c r="O656" s="169">
        <v>14.95</v>
      </c>
      <c r="P656" s="169">
        <v>9.9193700000000007</v>
      </c>
      <c r="Q656" s="169">
        <v>35296600</v>
      </c>
      <c r="R656" s="53">
        <f t="shared" si="13"/>
        <v>-7.9433592970583611E-2</v>
      </c>
      <c r="S656" s="146">
        <f>(P656/P655)*('16. câmbio USD-BRL'!O656/'16. câmbio USD-BRL'!O655)^-1 -1</f>
        <v>-2.9500340467618846E-2</v>
      </c>
    </row>
    <row r="657" spans="11:19" x14ac:dyDescent="0.2">
      <c r="K657" s="355">
        <v>42534</v>
      </c>
      <c r="L657" s="169">
        <v>14.66</v>
      </c>
      <c r="M657" s="169">
        <v>15.93</v>
      </c>
      <c r="N657" s="169">
        <v>14.42</v>
      </c>
      <c r="O657" s="169">
        <v>15.28</v>
      </c>
      <c r="P657" s="169">
        <v>10.138325</v>
      </c>
      <c r="Q657" s="169">
        <v>38297500</v>
      </c>
      <c r="R657" s="53">
        <f t="shared" si="13"/>
        <v>2.207347845679708E-2</v>
      </c>
      <c r="S657" s="146">
        <f>(P657/P656)*('16. câmbio USD-BRL'!O657/'16. câmbio USD-BRL'!O656)^-1 -1</f>
        <v>1.7012226175409539E-2</v>
      </c>
    </row>
    <row r="658" spans="11:19" x14ac:dyDescent="0.2">
      <c r="K658" s="355">
        <v>42541</v>
      </c>
      <c r="L658" s="169">
        <v>15.77</v>
      </c>
      <c r="M658" s="169">
        <v>16.639999</v>
      </c>
      <c r="N658" s="169">
        <v>15.1</v>
      </c>
      <c r="O658" s="169">
        <v>15.21</v>
      </c>
      <c r="P658" s="169">
        <v>10.091882</v>
      </c>
      <c r="Q658" s="169">
        <v>25555000</v>
      </c>
      <c r="R658" s="53">
        <f t="shared" si="13"/>
        <v>-4.5809342273008813E-3</v>
      </c>
      <c r="S658" s="146">
        <f>(P658/P657)*('16. câmbio USD-BRL'!O658/'16. câmbio USD-BRL'!O657)^-1 -1</f>
        <v>1.8030023275117379E-2</v>
      </c>
    </row>
    <row r="659" spans="11:19" x14ac:dyDescent="0.2">
      <c r="K659" s="355">
        <v>42548</v>
      </c>
      <c r="L659" s="169">
        <v>15.31</v>
      </c>
      <c r="M659" s="169">
        <v>16.82</v>
      </c>
      <c r="N659" s="169">
        <v>14.61</v>
      </c>
      <c r="O659" s="169">
        <v>16.620000999999998</v>
      </c>
      <c r="P659" s="169">
        <v>11.027421</v>
      </c>
      <c r="Q659" s="169">
        <v>27577500</v>
      </c>
      <c r="R659" s="53">
        <f t="shared" si="13"/>
        <v>9.2702134250083335E-2</v>
      </c>
      <c r="S659" s="146">
        <f>(P659/P658)*('16. câmbio USD-BRL'!O659/'16. câmbio USD-BRL'!O658)^-1 -1</f>
        <v>0.12869034296803328</v>
      </c>
    </row>
    <row r="660" spans="11:19" x14ac:dyDescent="0.2">
      <c r="K660" s="355">
        <v>42555</v>
      </c>
      <c r="L660" s="169">
        <v>16.860001</v>
      </c>
      <c r="M660" s="169">
        <v>17.149999999999999</v>
      </c>
      <c r="N660" s="169">
        <v>15.51</v>
      </c>
      <c r="O660" s="169">
        <v>16.190000999999999</v>
      </c>
      <c r="P660" s="169">
        <v>10.742115</v>
      </c>
      <c r="Q660" s="169">
        <v>20711900</v>
      </c>
      <c r="R660" s="53">
        <f t="shared" si="13"/>
        <v>-2.5872413867213395E-2</v>
      </c>
      <c r="S660" s="146">
        <f>(P660/P659)*('16. câmbio USD-BRL'!O660/'16. câmbio USD-BRL'!O659)^-1 -1</f>
        <v>-4.5693489474306292E-2</v>
      </c>
    </row>
    <row r="661" spans="11:19" x14ac:dyDescent="0.2">
      <c r="K661" s="355">
        <v>42562</v>
      </c>
      <c r="L661" s="169">
        <v>16.549999</v>
      </c>
      <c r="M661" s="169">
        <v>18.100000000000001</v>
      </c>
      <c r="N661" s="169">
        <v>16.469999000000001</v>
      </c>
      <c r="O661" s="169">
        <v>17.34</v>
      </c>
      <c r="P661" s="169">
        <v>11.505143</v>
      </c>
      <c r="Q661" s="169">
        <v>33505600</v>
      </c>
      <c r="R661" s="53">
        <f t="shared" si="13"/>
        <v>7.1031449579528783E-2</v>
      </c>
      <c r="S661" s="146">
        <f>(P661/P660)*('16. câmbio USD-BRL'!O661/'16. câmbio USD-BRL'!O660)^-1 -1</f>
        <v>7.7928465872676433E-2</v>
      </c>
    </row>
    <row r="662" spans="11:19" x14ac:dyDescent="0.2">
      <c r="K662" s="355">
        <v>42569</v>
      </c>
      <c r="L662" s="169">
        <v>17.350000000000001</v>
      </c>
      <c r="M662" s="169">
        <v>17.600000000000001</v>
      </c>
      <c r="N662" s="169">
        <v>16.399999999999999</v>
      </c>
      <c r="O662" s="169">
        <v>17.149999999999999</v>
      </c>
      <c r="P662" s="169">
        <v>11.379075</v>
      </c>
      <c r="Q662" s="169">
        <v>32126300</v>
      </c>
      <c r="R662" s="53">
        <f t="shared" si="13"/>
        <v>-1.0957534382667E-2</v>
      </c>
      <c r="S662" s="146">
        <f>(P662/P661)*('16. câmbio USD-BRL'!O662/'16. câmbio USD-BRL'!O661)^-1 -1</f>
        <v>-8.5368222352831813E-3</v>
      </c>
    </row>
    <row r="663" spans="11:19" x14ac:dyDescent="0.2">
      <c r="K663" s="355">
        <v>42576</v>
      </c>
      <c r="L663" s="169">
        <v>17.34</v>
      </c>
      <c r="M663" s="169">
        <v>19.200001</v>
      </c>
      <c r="N663" s="169">
        <v>16.940000999999999</v>
      </c>
      <c r="O663" s="169">
        <v>18.5</v>
      </c>
      <c r="P663" s="169">
        <v>12.274806999999999</v>
      </c>
      <c r="Q663" s="169">
        <v>36285800</v>
      </c>
      <c r="R663" s="53">
        <f t="shared" si="13"/>
        <v>7.8717470444653825E-2</v>
      </c>
      <c r="S663" s="146">
        <f>(P663/P662)*('16. câmbio USD-BRL'!O663/'16. câmbio USD-BRL'!O662)^-1 -1</f>
        <v>8.6161026398680285E-2</v>
      </c>
    </row>
    <row r="664" spans="11:19" x14ac:dyDescent="0.2">
      <c r="K664" s="355">
        <v>42583</v>
      </c>
      <c r="L664" s="169">
        <v>18.799999</v>
      </c>
      <c r="M664" s="169">
        <v>19.219999000000001</v>
      </c>
      <c r="N664" s="169">
        <v>17.649999999999999</v>
      </c>
      <c r="O664" s="169">
        <v>18.969999000000001</v>
      </c>
      <c r="P664" s="169">
        <v>12.586652000000001</v>
      </c>
      <c r="Q664" s="169">
        <v>29478100</v>
      </c>
      <c r="R664" s="53">
        <f t="shared" si="13"/>
        <v>2.5405287431403245E-2</v>
      </c>
      <c r="S664" s="146">
        <f>(P664/P663)*('16. câmbio USD-BRL'!O664/'16. câmbio USD-BRL'!O663)^-1 -1</f>
        <v>4.4485438532687382E-2</v>
      </c>
    </row>
    <row r="665" spans="11:19" x14ac:dyDescent="0.2">
      <c r="K665" s="355">
        <v>42590</v>
      </c>
      <c r="L665" s="169">
        <v>19.049999</v>
      </c>
      <c r="M665" s="169">
        <v>19.389999</v>
      </c>
      <c r="N665" s="169">
        <v>17.77</v>
      </c>
      <c r="O665" s="169">
        <v>17.959999</v>
      </c>
      <c r="P665" s="169">
        <v>11.916512000000001</v>
      </c>
      <c r="Q665" s="169">
        <v>30061200</v>
      </c>
      <c r="R665" s="53">
        <f t="shared" si="13"/>
        <v>-5.3242117125348321E-2</v>
      </c>
      <c r="S665" s="146">
        <f>(P665/P664)*('16. câmbio USD-BRL'!O665/'16. câmbio USD-BRL'!O664)^-1 -1</f>
        <v>-5.4310391182188611E-2</v>
      </c>
    </row>
    <row r="666" spans="11:19" x14ac:dyDescent="0.2">
      <c r="K666" s="355">
        <v>42597</v>
      </c>
      <c r="L666" s="169">
        <v>18.079999999999998</v>
      </c>
      <c r="M666" s="169">
        <v>19.34</v>
      </c>
      <c r="N666" s="169">
        <v>18.010000000000002</v>
      </c>
      <c r="O666" s="169">
        <v>19.079999999999998</v>
      </c>
      <c r="P666" s="169">
        <v>12.659637999999999</v>
      </c>
      <c r="Q666" s="169">
        <v>22397400</v>
      </c>
      <c r="R666" s="53">
        <f t="shared" si="13"/>
        <v>6.2361033161381307E-2</v>
      </c>
      <c r="S666" s="146">
        <f>(P666/P665)*('16. câmbio USD-BRL'!O666/'16. câmbio USD-BRL'!O665)^-1 -1</f>
        <v>5.7719730473205555E-2</v>
      </c>
    </row>
    <row r="667" spans="11:19" x14ac:dyDescent="0.2">
      <c r="K667" s="355">
        <v>42604</v>
      </c>
      <c r="L667" s="169">
        <v>18.940000999999999</v>
      </c>
      <c r="M667" s="169">
        <v>19.200001</v>
      </c>
      <c r="N667" s="169">
        <v>17.549999</v>
      </c>
      <c r="O667" s="169">
        <v>17.709999</v>
      </c>
      <c r="P667" s="169">
        <v>11.750636999999999</v>
      </c>
      <c r="Q667" s="169">
        <v>30608800</v>
      </c>
      <c r="R667" s="53">
        <f t="shared" si="13"/>
        <v>-7.1803079993282615E-2</v>
      </c>
      <c r="S667" s="146">
        <f>(P667/P666)*('16. câmbio USD-BRL'!O667/'16. câmbio USD-BRL'!O666)^-1 -1</f>
        <v>-8.8751254507666522E-2</v>
      </c>
    </row>
    <row r="668" spans="11:19" x14ac:dyDescent="0.2">
      <c r="K668" s="355">
        <v>42611</v>
      </c>
      <c r="L668" s="169">
        <v>17.850000000000001</v>
      </c>
      <c r="M668" s="169">
        <v>18.370000999999998</v>
      </c>
      <c r="N668" s="169">
        <v>16.84</v>
      </c>
      <c r="O668" s="169">
        <v>18.239999999999998</v>
      </c>
      <c r="P668" s="169">
        <v>12.102294000000001</v>
      </c>
      <c r="Q668" s="169">
        <v>29609000</v>
      </c>
      <c r="R668" s="53">
        <f t="shared" si="13"/>
        <v>2.992663291360298E-2</v>
      </c>
      <c r="S668" s="146">
        <f>(P668/P667)*('16. câmbio USD-BRL'!O668/'16. câmbio USD-BRL'!O667)^-1 -1</f>
        <v>3.2457087464540901E-2</v>
      </c>
    </row>
    <row r="669" spans="11:19" x14ac:dyDescent="0.2">
      <c r="K669" s="355">
        <v>42618</v>
      </c>
      <c r="L669" s="169">
        <v>18.389999</v>
      </c>
      <c r="M669" s="169">
        <v>18.389999</v>
      </c>
      <c r="N669" s="169">
        <v>16.860001</v>
      </c>
      <c r="O669" s="169">
        <v>16.860001</v>
      </c>
      <c r="P669" s="169">
        <v>11.186661000000001</v>
      </c>
      <c r="Q669" s="169">
        <v>21505300</v>
      </c>
      <c r="R669" s="53">
        <f t="shared" si="13"/>
        <v>-7.5657805040928561E-2</v>
      </c>
      <c r="S669" s="146">
        <f>(P669/P668)*('16. câmbio USD-BRL'!O669/'16. câmbio USD-BRL'!O668)^-1 -1</f>
        <v>-8.006521960869506E-2</v>
      </c>
    </row>
    <row r="670" spans="11:19" x14ac:dyDescent="0.2">
      <c r="K670" s="355">
        <v>42625</v>
      </c>
      <c r="L670" s="169">
        <v>16.84</v>
      </c>
      <c r="M670" s="169">
        <v>17.549999</v>
      </c>
      <c r="N670" s="169">
        <v>16.16</v>
      </c>
      <c r="O670" s="169">
        <v>16.41</v>
      </c>
      <c r="P670" s="169">
        <v>10.888083</v>
      </c>
      <c r="Q670" s="169">
        <v>26468700</v>
      </c>
      <c r="R670" s="53">
        <f t="shared" si="13"/>
        <v>-2.6690537954086602E-2</v>
      </c>
      <c r="S670" s="146">
        <f>(P670/P669)*('16. câmbio USD-BRL'!O670/'16. câmbio USD-BRL'!O669)^-1 -1</f>
        <v>-2.4842576335747935E-2</v>
      </c>
    </row>
    <row r="671" spans="11:19" x14ac:dyDescent="0.2">
      <c r="K671" s="355">
        <v>42632</v>
      </c>
      <c r="L671" s="169">
        <v>16.75</v>
      </c>
      <c r="M671" s="169">
        <v>17.959999</v>
      </c>
      <c r="N671" s="169">
        <v>16.379999000000002</v>
      </c>
      <c r="O671" s="169">
        <v>17.649999999999999</v>
      </c>
      <c r="P671" s="169">
        <v>11.710827</v>
      </c>
      <c r="Q671" s="169">
        <v>24417000</v>
      </c>
      <c r="R671" s="53">
        <f t="shared" si="13"/>
        <v>7.5563714934943071E-2</v>
      </c>
      <c r="S671" s="146">
        <f>(P671/P670)*('16. câmbio USD-BRL'!O671/'16. câmbio USD-BRL'!O670)^-1 -1</f>
        <v>8.2959210384822679E-2</v>
      </c>
    </row>
    <row r="672" spans="11:19" x14ac:dyDescent="0.2">
      <c r="K672" s="355">
        <v>42639</v>
      </c>
      <c r="L672" s="169">
        <v>17.389999</v>
      </c>
      <c r="M672" s="169">
        <v>18.420000000000002</v>
      </c>
      <c r="N672" s="169">
        <v>17.100000000000001</v>
      </c>
      <c r="O672" s="169">
        <v>17.809999000000001</v>
      </c>
      <c r="P672" s="169">
        <v>11.816989</v>
      </c>
      <c r="Q672" s="169">
        <v>19386600</v>
      </c>
      <c r="R672" s="53">
        <f t="shared" si="13"/>
        <v>9.0652863371647463E-3</v>
      </c>
      <c r="S672" s="146">
        <f>(P672/P671)*('16. câmbio USD-BRL'!O672/'16. câmbio USD-BRL'!O671)^-1 -1</f>
        <v>3.9267858913716314E-3</v>
      </c>
    </row>
    <row r="673" spans="11:19" x14ac:dyDescent="0.2">
      <c r="K673" s="355">
        <v>42646</v>
      </c>
      <c r="L673" s="169">
        <v>17.850000000000001</v>
      </c>
      <c r="M673" s="169">
        <v>18.299999</v>
      </c>
      <c r="N673" s="169">
        <v>17.559999000000001</v>
      </c>
      <c r="O673" s="169">
        <v>18</v>
      </c>
      <c r="P673" s="169">
        <v>11.943053000000001</v>
      </c>
      <c r="Q673" s="169">
        <v>26451800</v>
      </c>
      <c r="R673" s="53">
        <f t="shared" si="13"/>
        <v>1.0668030578686372E-2</v>
      </c>
      <c r="S673" s="146">
        <f>(P673/P672)*('16. câmbio USD-BRL'!O673/'16. câmbio USD-BRL'!O672)^-1 -1</f>
        <v>2.3382613015376474E-2</v>
      </c>
    </row>
    <row r="674" spans="11:19" x14ac:dyDescent="0.2">
      <c r="K674" s="355">
        <v>42653</v>
      </c>
      <c r="L674" s="169">
        <v>18.239999999999998</v>
      </c>
      <c r="M674" s="169">
        <v>19.100000000000001</v>
      </c>
      <c r="N674" s="169">
        <v>17.700001</v>
      </c>
      <c r="O674" s="169">
        <v>18.02</v>
      </c>
      <c r="P674" s="169">
        <v>11.956324</v>
      </c>
      <c r="Q674" s="169">
        <v>43956900</v>
      </c>
      <c r="R674" s="53">
        <f t="shared" si="13"/>
        <v>1.1111899109883527E-3</v>
      </c>
      <c r="S674" s="146">
        <f>(P674/P673)*('16. câmbio USD-BRL'!O674/'16. câmbio USD-BRL'!O673)^-1 -1</f>
        <v>6.5200667334304185E-3</v>
      </c>
    </row>
    <row r="675" spans="11:19" x14ac:dyDescent="0.2">
      <c r="K675" s="355">
        <v>42660</v>
      </c>
      <c r="L675" s="169">
        <v>18.09</v>
      </c>
      <c r="M675" s="169">
        <v>20.200001</v>
      </c>
      <c r="N675" s="169">
        <v>17.98</v>
      </c>
      <c r="O675" s="169">
        <v>19.91</v>
      </c>
      <c r="P675" s="169">
        <v>13.210345999999999</v>
      </c>
      <c r="Q675" s="169">
        <v>44862000</v>
      </c>
      <c r="R675" s="53">
        <f t="shared" si="13"/>
        <v>0.10488357458362607</v>
      </c>
      <c r="S675" s="146">
        <f>(P675/P674)*('16. câmbio USD-BRL'!O675/'16. câmbio USD-BRL'!O674)^-1 -1</f>
        <v>0.12351526114413636</v>
      </c>
    </row>
    <row r="676" spans="11:19" x14ac:dyDescent="0.2">
      <c r="K676" s="355">
        <v>42667</v>
      </c>
      <c r="L676" s="169">
        <v>20.299999</v>
      </c>
      <c r="M676" s="169">
        <v>22.469999000000001</v>
      </c>
      <c r="N676" s="169">
        <v>20.02</v>
      </c>
      <c r="O676" s="169">
        <v>22.139999</v>
      </c>
      <c r="P676" s="169">
        <v>14.689957</v>
      </c>
      <c r="Q676" s="169">
        <v>49265700</v>
      </c>
      <c r="R676" s="53">
        <f t="shared" si="13"/>
        <v>0.112003955081873</v>
      </c>
      <c r="S676" s="146">
        <f>(P676/P675)*('16. câmbio USD-BRL'!O676/'16. câmbio USD-BRL'!O675)^-1 -1</f>
        <v>9.3187616420751684E-2</v>
      </c>
    </row>
    <row r="677" spans="11:19" x14ac:dyDescent="0.2">
      <c r="K677" s="355">
        <v>42674</v>
      </c>
      <c r="L677" s="169">
        <v>22.15</v>
      </c>
      <c r="M677" s="169">
        <v>22.66</v>
      </c>
      <c r="N677" s="169">
        <v>21.440000999999999</v>
      </c>
      <c r="O677" s="169">
        <v>21.610001</v>
      </c>
      <c r="P677" s="169">
        <v>14.3383</v>
      </c>
      <c r="Q677" s="169">
        <v>30436300</v>
      </c>
      <c r="R677" s="53">
        <f t="shared" si="13"/>
        <v>-2.3938599684124262E-2</v>
      </c>
      <c r="S677" s="146">
        <f>(P677/P676)*('16. câmbio USD-BRL'!O677/'16. câmbio USD-BRL'!O676)^-1 -1</f>
        <v>-3.2756157735426283E-2</v>
      </c>
    </row>
    <row r="678" spans="11:19" x14ac:dyDescent="0.2">
      <c r="K678" s="355">
        <v>42681</v>
      </c>
      <c r="L678" s="169">
        <v>22.389999</v>
      </c>
      <c r="M678" s="169">
        <v>28.01</v>
      </c>
      <c r="N678" s="169">
        <v>22.200001</v>
      </c>
      <c r="O678" s="169">
        <v>25.98</v>
      </c>
      <c r="P678" s="169">
        <v>17.23781</v>
      </c>
      <c r="Q678" s="169">
        <v>49071300</v>
      </c>
      <c r="R678" s="53">
        <f t="shared" si="13"/>
        <v>0.20222132330889986</v>
      </c>
      <c r="S678" s="146">
        <f>(P678/P677)*('16. câmbio USD-BRL'!O678/'16. câmbio USD-BRL'!O677)^-1 -1</f>
        <v>0.14629498033373345</v>
      </c>
    </row>
    <row r="679" spans="11:19" x14ac:dyDescent="0.2">
      <c r="K679" s="355">
        <v>42688</v>
      </c>
      <c r="L679" s="169">
        <v>25.82</v>
      </c>
      <c r="M679" s="169">
        <v>26.74</v>
      </c>
      <c r="N679" s="169">
        <v>23.719999000000001</v>
      </c>
      <c r="O679" s="169">
        <v>24.57</v>
      </c>
      <c r="P679" s="169">
        <v>16.302268999999999</v>
      </c>
      <c r="Q679" s="169">
        <v>29826600</v>
      </c>
      <c r="R679" s="53">
        <f t="shared" si="13"/>
        <v>-5.4272613516450186E-2</v>
      </c>
      <c r="S679" s="146">
        <f>(P679/P678)*('16. câmbio USD-BRL'!O679/'16. câmbio USD-BRL'!O678)^-1 -1</f>
        <v>-5.2119610862657151E-2</v>
      </c>
    </row>
    <row r="680" spans="11:19" x14ac:dyDescent="0.2">
      <c r="K680" s="355">
        <v>42695</v>
      </c>
      <c r="L680" s="169">
        <v>24.75</v>
      </c>
      <c r="M680" s="169">
        <v>28.9</v>
      </c>
      <c r="N680" s="169">
        <v>24.65</v>
      </c>
      <c r="O680" s="169">
        <v>28.9</v>
      </c>
      <c r="P680" s="169">
        <v>19.175238</v>
      </c>
      <c r="Q680" s="169">
        <v>29119000</v>
      </c>
      <c r="R680" s="53">
        <f t="shared" si="13"/>
        <v>0.17623123505077731</v>
      </c>
      <c r="S680" s="146">
        <f>(P680/P679)*('16. câmbio USD-BRL'!O680/'16. câmbio USD-BRL'!O679)^-1 -1</f>
        <v>0.162925140693436</v>
      </c>
    </row>
    <row r="681" spans="11:19" x14ac:dyDescent="0.2">
      <c r="K681" s="355">
        <v>42702</v>
      </c>
      <c r="L681" s="169">
        <v>29</v>
      </c>
      <c r="M681" s="169">
        <v>31.01</v>
      </c>
      <c r="N681" s="169">
        <v>27.450001</v>
      </c>
      <c r="O681" s="169">
        <v>29.49</v>
      </c>
      <c r="P681" s="169">
        <v>19.566704000000001</v>
      </c>
      <c r="Q681" s="169">
        <v>54521500</v>
      </c>
      <c r="R681" s="53">
        <f t="shared" si="13"/>
        <v>2.0415183373473811E-2</v>
      </c>
      <c r="S681" s="146">
        <f>(P681/P680)*('16. câmbio USD-BRL'!O681/'16. câmbio USD-BRL'!O680)^-1 -1</f>
        <v>4.6451038422463675E-3</v>
      </c>
    </row>
    <row r="682" spans="11:19" x14ac:dyDescent="0.2">
      <c r="K682" s="355">
        <v>42709</v>
      </c>
      <c r="L682" s="169">
        <v>29.77</v>
      </c>
      <c r="M682" s="169">
        <v>31.65</v>
      </c>
      <c r="N682" s="169">
        <v>29.129999000000002</v>
      </c>
      <c r="O682" s="169">
        <v>29.610001</v>
      </c>
      <c r="P682" s="169">
        <v>19.761755000000001</v>
      </c>
      <c r="Q682" s="169">
        <v>26695800</v>
      </c>
      <c r="R682" s="53">
        <f t="shared" si="13"/>
        <v>9.9685159033426896E-3</v>
      </c>
      <c r="S682" s="146">
        <f>(P682/P681)*('16. câmbio USD-BRL'!O682/'16. câmbio USD-BRL'!O681)^-1 -1</f>
        <v>3.9187918924887599E-2</v>
      </c>
    </row>
    <row r="683" spans="11:19" x14ac:dyDescent="0.2">
      <c r="K683" s="355">
        <v>42716</v>
      </c>
      <c r="L683" s="169">
        <v>29.790001</v>
      </c>
      <c r="M683" s="169">
        <v>30.049999</v>
      </c>
      <c r="N683" s="169">
        <v>27.34</v>
      </c>
      <c r="O683" s="169">
        <v>27.75</v>
      </c>
      <c r="P683" s="169">
        <v>18.520388000000001</v>
      </c>
      <c r="Q683" s="169">
        <v>29236800</v>
      </c>
      <c r="R683" s="53">
        <f t="shared" si="13"/>
        <v>-6.2816637489939597E-2</v>
      </c>
      <c r="S683" s="146">
        <f>(P683/P682)*('16. câmbio USD-BRL'!O683/'16. câmbio USD-BRL'!O682)^-1 -1</f>
        <v>-6.6520701039265662E-2</v>
      </c>
    </row>
    <row r="684" spans="11:19" x14ac:dyDescent="0.2">
      <c r="K684" s="355">
        <v>42723</v>
      </c>
      <c r="L684" s="169">
        <v>27.700001</v>
      </c>
      <c r="M684" s="169">
        <v>27.940000999999999</v>
      </c>
      <c r="N684" s="169">
        <v>25.18</v>
      </c>
      <c r="O684" s="169">
        <v>25.190000999999999</v>
      </c>
      <c r="P684" s="169">
        <v>16.81184</v>
      </c>
      <c r="Q684" s="169">
        <v>22787000</v>
      </c>
      <c r="R684" s="53">
        <f t="shared" si="13"/>
        <v>-9.225227894793564E-2</v>
      </c>
      <c r="S684" s="146">
        <f>(P684/P683)*('16. câmbio USD-BRL'!O684/'16. câmbio USD-BRL'!O683)^-1 -1</f>
        <v>-5.8685464610821469E-2</v>
      </c>
    </row>
    <row r="685" spans="11:19" x14ac:dyDescent="0.2">
      <c r="K685" s="355">
        <v>42730</v>
      </c>
      <c r="L685" s="169">
        <v>25.33</v>
      </c>
      <c r="M685" s="169">
        <v>26.92</v>
      </c>
      <c r="N685" s="169">
        <v>25.139999</v>
      </c>
      <c r="O685" s="169">
        <v>25.68</v>
      </c>
      <c r="P685" s="169">
        <v>17.138866</v>
      </c>
      <c r="Q685" s="169">
        <v>13863900</v>
      </c>
      <c r="R685" s="53">
        <f t="shared" si="13"/>
        <v>1.9452124217218314E-2</v>
      </c>
      <c r="S685" s="146">
        <f>(P685/P684)*('16. câmbio USD-BRL'!O685/'16. câmbio USD-BRL'!O684)^-1 -1</f>
        <v>2.4560039385280508E-2</v>
      </c>
    </row>
    <row r="686" spans="11:19" x14ac:dyDescent="0.2">
      <c r="K686" s="355">
        <v>42737</v>
      </c>
      <c r="L686" s="169">
        <v>25.280000999999999</v>
      </c>
      <c r="M686" s="169">
        <v>26.9</v>
      </c>
      <c r="N686" s="169">
        <v>25.049999</v>
      </c>
      <c r="O686" s="169">
        <v>25.969999000000001</v>
      </c>
      <c r="P686" s="169">
        <v>17.332412999999999</v>
      </c>
      <c r="Q686" s="169">
        <v>17166500</v>
      </c>
      <c r="R686" s="53">
        <f t="shared" si="13"/>
        <v>1.1292870835211577E-2</v>
      </c>
      <c r="S686" s="146">
        <f>(P686/P685)*('16. câmbio USD-BRL'!O686/'16. câmbio USD-BRL'!O685)^-1 -1</f>
        <v>2.1022272795329533E-2</v>
      </c>
    </row>
    <row r="687" spans="11:19" x14ac:dyDescent="0.2">
      <c r="K687" s="355">
        <v>42744</v>
      </c>
      <c r="L687" s="169">
        <v>26.299999</v>
      </c>
      <c r="M687" s="169">
        <v>31.200001</v>
      </c>
      <c r="N687" s="169">
        <v>26.27</v>
      </c>
      <c r="O687" s="169">
        <v>30.98</v>
      </c>
      <c r="P687" s="169">
        <v>20.676093999999999</v>
      </c>
      <c r="Q687" s="169">
        <v>20439500</v>
      </c>
      <c r="R687" s="53">
        <f t="shared" si="13"/>
        <v>0.19291491611698852</v>
      </c>
      <c r="S687" s="146">
        <f>(P687/P686)*('16. câmbio USD-BRL'!O687/'16. câmbio USD-BRL'!O686)^-1 -1</f>
        <v>0.20616619891808718</v>
      </c>
    </row>
    <row r="688" spans="11:19" x14ac:dyDescent="0.2">
      <c r="K688" s="355">
        <v>42751</v>
      </c>
      <c r="L688" s="169">
        <v>31.200001</v>
      </c>
      <c r="M688" s="169">
        <v>32.689999</v>
      </c>
      <c r="N688" s="169">
        <v>30.35</v>
      </c>
      <c r="O688" s="169">
        <v>32.099997999999999</v>
      </c>
      <c r="P688" s="169">
        <v>21.423584000000002</v>
      </c>
      <c r="Q688" s="169">
        <v>34446100</v>
      </c>
      <c r="R688" s="53">
        <f t="shared" si="13"/>
        <v>3.6152379651591904E-2</v>
      </c>
      <c r="S688" s="146">
        <f>(P688/P687)*('16. câmbio USD-BRL'!O688/'16. câmbio USD-BRL'!O687)^-1 -1</f>
        <v>5.0825956615756951E-2</v>
      </c>
    </row>
    <row r="689" spans="11:19" x14ac:dyDescent="0.2">
      <c r="K689" s="355">
        <v>42758</v>
      </c>
      <c r="L689" s="169">
        <v>32.209999000000003</v>
      </c>
      <c r="M689" s="169">
        <v>34.720001000000003</v>
      </c>
      <c r="N689" s="169">
        <v>32.189999</v>
      </c>
      <c r="O689" s="169">
        <v>33.700001</v>
      </c>
      <c r="P689" s="169">
        <v>22.491425</v>
      </c>
      <c r="Q689" s="169">
        <v>18262200</v>
      </c>
      <c r="R689" s="53">
        <f t="shared" si="13"/>
        <v>4.9844181066996063E-2</v>
      </c>
      <c r="S689" s="146">
        <f>(P689/P688)*('16. câmbio USD-BRL'!O689/'16. câmbio USD-BRL'!O688)^-1 -1</f>
        <v>6.0884155572042076E-2</v>
      </c>
    </row>
    <row r="690" spans="11:19" x14ac:dyDescent="0.2">
      <c r="K690" s="355">
        <v>42765</v>
      </c>
      <c r="L690" s="169">
        <v>33.220001000000003</v>
      </c>
      <c r="M690" s="169">
        <v>33.509998000000003</v>
      </c>
      <c r="N690" s="169">
        <v>30.389999</v>
      </c>
      <c r="O690" s="169">
        <v>30.610001</v>
      </c>
      <c r="P690" s="169">
        <v>20.429155000000002</v>
      </c>
      <c r="Q690" s="169">
        <v>23990500</v>
      </c>
      <c r="R690" s="53">
        <f t="shared" si="13"/>
        <v>-9.1691389051605121E-2</v>
      </c>
      <c r="S690" s="146">
        <f>(P690/P689)*('16. câmbio USD-BRL'!O690/'16. câmbio USD-BRL'!O689)^-1 -1</f>
        <v>-9.4573984098372033E-2</v>
      </c>
    </row>
    <row r="691" spans="11:19" x14ac:dyDescent="0.2">
      <c r="K691" s="355">
        <v>42772</v>
      </c>
      <c r="L691" s="169">
        <v>30.66</v>
      </c>
      <c r="M691" s="169">
        <v>32.799999</v>
      </c>
      <c r="N691" s="169">
        <v>29.870000999999998</v>
      </c>
      <c r="O691" s="169">
        <v>32.799999</v>
      </c>
      <c r="P691" s="169">
        <v>21.890764000000001</v>
      </c>
      <c r="Q691" s="169">
        <v>20767100</v>
      </c>
      <c r="R691" s="53">
        <f t="shared" si="13"/>
        <v>7.1545249913665065E-2</v>
      </c>
      <c r="S691" s="146">
        <f>(P691/P690)*('16. câmbio USD-BRL'!O691/'16. câmbio USD-BRL'!O690)^-1 -1</f>
        <v>7.5821636608309317E-2</v>
      </c>
    </row>
    <row r="692" spans="11:19" x14ac:dyDescent="0.2">
      <c r="K692" s="355">
        <v>42779</v>
      </c>
      <c r="L692" s="169">
        <v>34.209999000000003</v>
      </c>
      <c r="M692" s="169">
        <v>35.849997999999999</v>
      </c>
      <c r="N692" s="169">
        <v>33.389999000000003</v>
      </c>
      <c r="O692" s="169">
        <v>34.07</v>
      </c>
      <c r="P692" s="169">
        <v>22.738367</v>
      </c>
      <c r="Q692" s="169">
        <v>33763300</v>
      </c>
      <c r="R692" s="53">
        <f t="shared" si="13"/>
        <v>3.8719662776502517E-2</v>
      </c>
      <c r="S692" s="146">
        <f>(P692/P691)*('16. câmbio USD-BRL'!O692/'16. câmbio USD-BRL'!O691)^-1 -1</f>
        <v>4.2612135103495818E-2</v>
      </c>
    </row>
    <row r="693" spans="11:19" x14ac:dyDescent="0.2">
      <c r="K693" s="355">
        <v>42786</v>
      </c>
      <c r="L693" s="169">
        <v>35.889999000000003</v>
      </c>
      <c r="M693" s="169">
        <v>37.279998999999997</v>
      </c>
      <c r="N693" s="169">
        <v>32</v>
      </c>
      <c r="O693" s="169">
        <v>32.720001000000003</v>
      </c>
      <c r="P693" s="169">
        <v>21.837371999999998</v>
      </c>
      <c r="Q693" s="169">
        <v>41751000</v>
      </c>
      <c r="R693" s="53">
        <f t="shared" si="13"/>
        <v>-3.9624437410127222E-2</v>
      </c>
      <c r="S693" s="146">
        <f>(P693/P692)*('16. câmbio USD-BRL'!O693/'16. câmbio USD-BRL'!O692)^-1 -1</f>
        <v>-3.934513216669322E-2</v>
      </c>
    </row>
    <row r="694" spans="11:19" x14ac:dyDescent="0.2">
      <c r="K694" s="355">
        <v>42793</v>
      </c>
      <c r="L694" s="169">
        <v>32.720001000000003</v>
      </c>
      <c r="M694" s="169">
        <v>33.599997999999999</v>
      </c>
      <c r="N694" s="169">
        <v>31.35</v>
      </c>
      <c r="O694" s="169">
        <v>31.82</v>
      </c>
      <c r="P694" s="169">
        <v>21.236709999999999</v>
      </c>
      <c r="Q694" s="169">
        <v>17009600</v>
      </c>
      <c r="R694" s="53">
        <f t="shared" si="13"/>
        <v>-2.7506148633635985E-2</v>
      </c>
      <c r="S694" s="146">
        <f>(P694/P693)*('16. câmbio USD-BRL'!O694/'16. câmbio USD-BRL'!O693)^-1 -1</f>
        <v>-3.5423246013349341E-2</v>
      </c>
    </row>
    <row r="695" spans="11:19" x14ac:dyDescent="0.2">
      <c r="K695" s="355">
        <v>42800</v>
      </c>
      <c r="L695" s="169">
        <v>31.4</v>
      </c>
      <c r="M695" s="169">
        <v>31.870000999999998</v>
      </c>
      <c r="N695" s="169">
        <v>29.07</v>
      </c>
      <c r="O695" s="169">
        <v>29.65</v>
      </c>
      <c r="P695" s="169">
        <v>19.788450000000001</v>
      </c>
      <c r="Q695" s="169">
        <v>33154500</v>
      </c>
      <c r="R695" s="53">
        <f t="shared" si="13"/>
        <v>-6.8196062384427658E-2</v>
      </c>
      <c r="S695" s="146">
        <f>(P695/P694)*('16. câmbio USD-BRL'!O695/'16. câmbio USD-BRL'!O694)^-1 -1</f>
        <v>-7.6337319980751106E-2</v>
      </c>
    </row>
    <row r="696" spans="11:19" x14ac:dyDescent="0.2">
      <c r="K696" s="355">
        <v>42807</v>
      </c>
      <c r="L696" s="169">
        <v>30.74</v>
      </c>
      <c r="M696" s="169">
        <v>33.840000000000003</v>
      </c>
      <c r="N696" s="169">
        <v>30.290001</v>
      </c>
      <c r="O696" s="169">
        <v>31.299999</v>
      </c>
      <c r="P696" s="169">
        <v>20.889664</v>
      </c>
      <c r="Q696" s="169">
        <v>36485200</v>
      </c>
      <c r="R696" s="53">
        <f t="shared" si="13"/>
        <v>5.5649330796499807E-2</v>
      </c>
      <c r="S696" s="146">
        <f>(P696/P695)*('16. câmbio USD-BRL'!O696/'16. câmbio USD-BRL'!O695)^-1 -1</f>
        <v>7.6477764751500921E-2</v>
      </c>
    </row>
    <row r="697" spans="11:19" x14ac:dyDescent="0.2">
      <c r="K697" s="355">
        <v>42814</v>
      </c>
      <c r="L697" s="169">
        <v>31.15</v>
      </c>
      <c r="M697" s="169">
        <v>31.889999</v>
      </c>
      <c r="N697" s="169">
        <v>28.290001</v>
      </c>
      <c r="O697" s="169">
        <v>29</v>
      </c>
      <c r="P697" s="169">
        <v>19.354638999999999</v>
      </c>
      <c r="Q697" s="169">
        <v>27862700</v>
      </c>
      <c r="R697" s="53">
        <f t="shared" ref="R697:R760" si="14">P697/P696-1</f>
        <v>-7.3482512691444013E-2</v>
      </c>
      <c r="S697" s="146">
        <f>(P697/P696)*('16. câmbio USD-BRL'!O697/'16. câmbio USD-BRL'!O696)^-1 -1</f>
        <v>-8.0365026746442303E-2</v>
      </c>
    </row>
    <row r="698" spans="11:19" x14ac:dyDescent="0.2">
      <c r="K698" s="355">
        <v>42821</v>
      </c>
      <c r="L698" s="169">
        <v>27.99</v>
      </c>
      <c r="M698" s="169">
        <v>30.52</v>
      </c>
      <c r="N698" s="169">
        <v>27.25</v>
      </c>
      <c r="O698" s="169">
        <v>29.790001</v>
      </c>
      <c r="P698" s="169">
        <v>19.881886000000002</v>
      </c>
      <c r="Q698" s="169">
        <v>20685400</v>
      </c>
      <c r="R698" s="53">
        <f t="shared" si="14"/>
        <v>2.7241376085598956E-2</v>
      </c>
      <c r="S698" s="146">
        <f>(P698/P697)*('16. câmbio USD-BRL'!O698/'16. câmbio USD-BRL'!O697)^-1 -1</f>
        <v>2.3259820364337047E-2</v>
      </c>
    </row>
    <row r="699" spans="11:19" x14ac:dyDescent="0.2">
      <c r="K699" s="355">
        <v>42828</v>
      </c>
      <c r="L699" s="169">
        <v>29.809999000000001</v>
      </c>
      <c r="M699" s="169">
        <v>31.48</v>
      </c>
      <c r="N699" s="169">
        <v>27.93</v>
      </c>
      <c r="O699" s="169">
        <v>29.15</v>
      </c>
      <c r="P699" s="169">
        <v>19.454751999999999</v>
      </c>
      <c r="Q699" s="169">
        <v>26109800</v>
      </c>
      <c r="R699" s="53">
        <f t="shared" si="14"/>
        <v>-2.1483575552138423E-2</v>
      </c>
      <c r="S699" s="146">
        <f>(P699/P698)*('16. câmbio USD-BRL'!O699/'16. câmbio USD-BRL'!O698)^-1 -1</f>
        <v>-2.8609223823787944E-2</v>
      </c>
    </row>
    <row r="700" spans="11:19" x14ac:dyDescent="0.2">
      <c r="K700" s="355">
        <v>42835</v>
      </c>
      <c r="L700" s="169">
        <v>29.139999</v>
      </c>
      <c r="M700" s="169">
        <v>29.290001</v>
      </c>
      <c r="N700" s="169">
        <v>27.280000999999999</v>
      </c>
      <c r="O700" s="169">
        <v>27.42</v>
      </c>
      <c r="P700" s="169">
        <v>18.300142000000001</v>
      </c>
      <c r="Q700" s="169">
        <v>19549500</v>
      </c>
      <c r="R700" s="53">
        <f t="shared" si="14"/>
        <v>-5.9348482057237084E-2</v>
      </c>
      <c r="S700" s="146">
        <f>(P700/P699)*('16. câmbio USD-BRL'!O700/'16. câmbio USD-BRL'!O699)^-1 -1</f>
        <v>-5.9049264091800668E-2</v>
      </c>
    </row>
    <row r="701" spans="11:19" x14ac:dyDescent="0.2">
      <c r="K701" s="355">
        <v>42842</v>
      </c>
      <c r="L701" s="169">
        <v>27.25</v>
      </c>
      <c r="M701" s="169">
        <v>28.1</v>
      </c>
      <c r="N701" s="169">
        <v>26.15</v>
      </c>
      <c r="O701" s="169">
        <v>28.049999</v>
      </c>
      <c r="P701" s="169">
        <v>18.720610000000001</v>
      </c>
      <c r="Q701" s="169">
        <v>23500500</v>
      </c>
      <c r="R701" s="53">
        <f t="shared" si="14"/>
        <v>2.2976215157237467E-2</v>
      </c>
      <c r="S701" s="146">
        <f>(P701/P700)*('16. câmbio USD-BRL'!O701/'16. câmbio USD-BRL'!O700)^-1 -1</f>
        <v>2.1968452901298896E-2</v>
      </c>
    </row>
    <row r="702" spans="11:19" x14ac:dyDescent="0.2">
      <c r="K702" s="355">
        <v>42849</v>
      </c>
      <c r="L702" s="169">
        <v>27.950001</v>
      </c>
      <c r="M702" s="169">
        <v>28.59</v>
      </c>
      <c r="N702" s="169">
        <v>26.42</v>
      </c>
      <c r="O702" s="169">
        <v>27.469999000000001</v>
      </c>
      <c r="P702" s="169">
        <v>18.333514999999998</v>
      </c>
      <c r="Q702" s="169">
        <v>28148700</v>
      </c>
      <c r="R702" s="53">
        <f t="shared" si="14"/>
        <v>-2.0677477924063492E-2</v>
      </c>
      <c r="S702" s="146">
        <f>(P702/P701)*('16. câmbio USD-BRL'!O702/'16. câmbio USD-BRL'!O701)^-1 -1</f>
        <v>-2.9711875423142575E-2</v>
      </c>
    </row>
    <row r="703" spans="11:19" x14ac:dyDescent="0.2">
      <c r="K703" s="355">
        <v>42856</v>
      </c>
      <c r="L703" s="169">
        <v>27.469999000000001</v>
      </c>
      <c r="M703" s="169">
        <v>28.18</v>
      </c>
      <c r="N703" s="169">
        <v>25.059999000000001</v>
      </c>
      <c r="O703" s="169">
        <v>26.049999</v>
      </c>
      <c r="P703" s="169">
        <v>17.965817999999999</v>
      </c>
      <c r="Q703" s="169">
        <v>27785700</v>
      </c>
      <c r="R703" s="53">
        <f t="shared" si="14"/>
        <v>-2.0056001263260237E-2</v>
      </c>
      <c r="S703" s="146">
        <f>(P703/P702)*('16. câmbio USD-BRL'!O703/'16. câmbio USD-BRL'!O702)^-1 -1</f>
        <v>-2.0549411716726307E-2</v>
      </c>
    </row>
    <row r="704" spans="11:19" x14ac:dyDescent="0.2">
      <c r="K704" s="355">
        <v>42863</v>
      </c>
      <c r="L704" s="169">
        <v>26</v>
      </c>
      <c r="M704" s="169">
        <v>27.049999</v>
      </c>
      <c r="N704" s="169">
        <v>25.43</v>
      </c>
      <c r="O704" s="169">
        <v>25.91</v>
      </c>
      <c r="P704" s="169">
        <v>17.869261000000002</v>
      </c>
      <c r="Q704" s="169">
        <v>20334100</v>
      </c>
      <c r="R704" s="53">
        <f t="shared" si="14"/>
        <v>-5.3744839227468644E-3</v>
      </c>
      <c r="S704" s="146">
        <f>(P704/P703)*('16. câmbio USD-BRL'!O704/'16. câmbio USD-BRL'!O703)^-1 -1</f>
        <v>-5.3744839227468644E-3</v>
      </c>
    </row>
    <row r="705" spans="11:19" x14ac:dyDescent="0.2">
      <c r="K705" s="355">
        <v>42870</v>
      </c>
      <c r="L705" s="169">
        <v>26.07</v>
      </c>
      <c r="M705" s="169">
        <v>27.969999000000001</v>
      </c>
      <c r="N705" s="169">
        <v>25</v>
      </c>
      <c r="O705" s="169">
        <v>27.25</v>
      </c>
      <c r="P705" s="169">
        <v>18.793417000000002</v>
      </c>
      <c r="Q705" s="169">
        <v>46517700</v>
      </c>
      <c r="R705" s="53">
        <f t="shared" si="14"/>
        <v>5.1717639582297137E-2</v>
      </c>
      <c r="S705" s="146">
        <f>(P705/P704)*('16. câmbio USD-BRL'!O705/'16. câmbio USD-BRL'!O704)^-1 -1</f>
        <v>2.7277885009272529E-2</v>
      </c>
    </row>
    <row r="706" spans="11:19" x14ac:dyDescent="0.2">
      <c r="K706" s="355">
        <v>42877</v>
      </c>
      <c r="L706" s="169">
        <v>27.25</v>
      </c>
      <c r="M706" s="169">
        <v>28.360001</v>
      </c>
      <c r="N706" s="169">
        <v>26.92</v>
      </c>
      <c r="O706" s="169">
        <v>27.860001</v>
      </c>
      <c r="P706" s="169">
        <v>19.214115</v>
      </c>
      <c r="Q706" s="169">
        <v>24738300</v>
      </c>
      <c r="R706" s="53">
        <f t="shared" si="14"/>
        <v>2.2385391650703967E-2</v>
      </c>
      <c r="S706" s="146">
        <f>(P706/P705)*('16. câmbio USD-BRL'!O706/'16. câmbio USD-BRL'!O705)^-1 -1</f>
        <v>4.6708749931470894E-2</v>
      </c>
    </row>
    <row r="707" spans="11:19" x14ac:dyDescent="0.2">
      <c r="K707" s="355">
        <v>42884</v>
      </c>
      <c r="L707" s="169">
        <v>27.860001</v>
      </c>
      <c r="M707" s="169">
        <v>28.9</v>
      </c>
      <c r="N707" s="169">
        <v>26.389999</v>
      </c>
      <c r="O707" s="169">
        <v>26.780000999999999</v>
      </c>
      <c r="P707" s="169">
        <v>18.469275</v>
      </c>
      <c r="Q707" s="169">
        <v>22043100</v>
      </c>
      <c r="R707" s="53">
        <f t="shared" si="14"/>
        <v>-3.8765251483089402E-2</v>
      </c>
      <c r="S707" s="146">
        <f>(P707/P706)*('16. câmbio USD-BRL'!O707/'16. câmbio USD-BRL'!O706)^-1 -1</f>
        <v>-5.9917622687988614E-2</v>
      </c>
    </row>
    <row r="708" spans="11:19" x14ac:dyDescent="0.2">
      <c r="K708" s="355">
        <v>42891</v>
      </c>
      <c r="L708" s="169">
        <v>26.35</v>
      </c>
      <c r="M708" s="169">
        <v>27.540001</v>
      </c>
      <c r="N708" s="169">
        <v>26.219999000000001</v>
      </c>
      <c r="O708" s="169">
        <v>27.299999</v>
      </c>
      <c r="P708" s="169">
        <v>18.827898000000001</v>
      </c>
      <c r="Q708" s="169">
        <v>25647500</v>
      </c>
      <c r="R708" s="53">
        <f t="shared" si="14"/>
        <v>1.9417275448007754E-2</v>
      </c>
      <c r="S708" s="146">
        <f>(P708/P707)*('16. câmbio USD-BRL'!O708/'16. câmbio USD-BRL'!O707)^-1 -1</f>
        <v>4.235472555170916E-2</v>
      </c>
    </row>
    <row r="709" spans="11:19" x14ac:dyDescent="0.2">
      <c r="K709" s="355">
        <v>42898</v>
      </c>
      <c r="L709" s="169">
        <v>27.389999</v>
      </c>
      <c r="M709" s="169">
        <v>27.51</v>
      </c>
      <c r="N709" s="169">
        <v>25.4</v>
      </c>
      <c r="O709" s="169">
        <v>25.559999000000001</v>
      </c>
      <c r="P709" s="169">
        <v>17.627877999999999</v>
      </c>
      <c r="Q709" s="169">
        <v>30442000</v>
      </c>
      <c r="R709" s="53">
        <f t="shared" si="14"/>
        <v>-6.3736270506670634E-2</v>
      </c>
      <c r="S709" s="146">
        <f>(P709/P708)*('16. câmbio USD-BRL'!O709/'16. câmbio USD-BRL'!O708)^-1 -1</f>
        <v>-9.5309477221020344E-2</v>
      </c>
    </row>
    <row r="710" spans="11:19" x14ac:dyDescent="0.2">
      <c r="K710" s="355">
        <v>42905</v>
      </c>
      <c r="L710" s="169">
        <v>25.99</v>
      </c>
      <c r="M710" s="169">
        <v>27.51</v>
      </c>
      <c r="N710" s="169">
        <v>25.52</v>
      </c>
      <c r="O710" s="169">
        <v>27.24</v>
      </c>
      <c r="P710" s="169">
        <v>18.786519999999999</v>
      </c>
      <c r="Q710" s="169">
        <v>22479600</v>
      </c>
      <c r="R710" s="53">
        <f t="shared" si="14"/>
        <v>6.5727820444412055E-2</v>
      </c>
      <c r="S710" s="146">
        <f>(P710/P709)*('16. câmbio USD-BRL'!O710/'16. câmbio USD-BRL'!O709)^-1 -1</f>
        <v>4.8856055757442451E-2</v>
      </c>
    </row>
    <row r="711" spans="11:19" x14ac:dyDescent="0.2">
      <c r="K711" s="355">
        <v>42912</v>
      </c>
      <c r="L711" s="169">
        <v>27.34</v>
      </c>
      <c r="M711" s="169">
        <v>29.370000999999998</v>
      </c>
      <c r="N711" s="169">
        <v>27.299999</v>
      </c>
      <c r="O711" s="169">
        <v>29</v>
      </c>
      <c r="P711" s="169">
        <v>20.000333999999999</v>
      </c>
      <c r="Q711" s="169">
        <v>29129900</v>
      </c>
      <c r="R711" s="53">
        <f t="shared" si="14"/>
        <v>6.4610901859418313E-2</v>
      </c>
      <c r="S711" s="146">
        <f>(P711/P710)*('16. câmbio USD-BRL'!O711/'16. câmbio USD-BRL'!O710)^-1 -1</f>
        <v>0.11948809785796199</v>
      </c>
    </row>
    <row r="712" spans="11:19" x14ac:dyDescent="0.2">
      <c r="K712" s="355">
        <v>42919</v>
      </c>
      <c r="L712" s="169">
        <v>29.26</v>
      </c>
      <c r="M712" s="169">
        <v>29.85</v>
      </c>
      <c r="N712" s="169">
        <v>28.43</v>
      </c>
      <c r="O712" s="169">
        <v>28.889999</v>
      </c>
      <c r="P712" s="169">
        <v>19.924471</v>
      </c>
      <c r="Q712" s="169">
        <v>19177800</v>
      </c>
      <c r="R712" s="53">
        <f t="shared" si="14"/>
        <v>-3.7930866554527487E-3</v>
      </c>
      <c r="S712" s="146">
        <f>(P712/P711)*('16. câmbio USD-BRL'!O712/'16. câmbio USD-BRL'!O711)^-1 -1</f>
        <v>-3.7930866554527487E-3</v>
      </c>
    </row>
    <row r="713" spans="11:19" x14ac:dyDescent="0.2">
      <c r="K713" s="355">
        <v>42926</v>
      </c>
      <c r="L713" s="169">
        <v>28.9</v>
      </c>
      <c r="M713" s="169">
        <v>30.290001</v>
      </c>
      <c r="N713" s="169">
        <v>28.620000999999998</v>
      </c>
      <c r="O713" s="169">
        <v>29.52</v>
      </c>
      <c r="P713" s="169">
        <v>20.358961000000001</v>
      </c>
      <c r="Q713" s="169">
        <v>30059400</v>
      </c>
      <c r="R713" s="53">
        <f t="shared" si="14"/>
        <v>2.1806852488078565E-2</v>
      </c>
      <c r="S713" s="146">
        <f>(P713/P712)*('16. câmbio USD-BRL'!O713/'16. câmbio USD-BRL'!O712)^-1 -1</f>
        <v>2.1806852488078565E-2</v>
      </c>
    </row>
    <row r="714" spans="11:19" x14ac:dyDescent="0.2">
      <c r="K714" s="355">
        <v>42933</v>
      </c>
      <c r="L714" s="169">
        <v>29.85</v>
      </c>
      <c r="M714" s="169">
        <v>30.27</v>
      </c>
      <c r="N714" s="169">
        <v>28.32</v>
      </c>
      <c r="O714" s="169">
        <v>28.5</v>
      </c>
      <c r="P714" s="169">
        <v>19.655498999999999</v>
      </c>
      <c r="Q714" s="169">
        <v>24478000</v>
      </c>
      <c r="R714" s="53">
        <f t="shared" si="14"/>
        <v>-3.4552942068114434E-2</v>
      </c>
      <c r="S714" s="146">
        <f>(P714/P713)*('16. câmbio USD-BRL'!O714/'16. câmbio USD-BRL'!O713)^-1 -1</f>
        <v>-3.4552942068114434E-2</v>
      </c>
    </row>
    <row r="715" spans="11:19" x14ac:dyDescent="0.2">
      <c r="K715" s="355">
        <v>42940</v>
      </c>
      <c r="L715" s="169">
        <v>28.620000999999998</v>
      </c>
      <c r="M715" s="169">
        <v>30.9</v>
      </c>
      <c r="N715" s="169">
        <v>28.5</v>
      </c>
      <c r="O715" s="169">
        <v>30.34</v>
      </c>
      <c r="P715" s="169">
        <v>20.924488</v>
      </c>
      <c r="Q715" s="169">
        <v>37285500</v>
      </c>
      <c r="R715" s="53">
        <f t="shared" si="14"/>
        <v>6.4561525504898132E-2</v>
      </c>
      <c r="S715" s="146">
        <f>(P715/P714)*('16. câmbio USD-BRL'!O715/'16. câmbio USD-BRL'!O714)^-1 -1</f>
        <v>6.4561525504898132E-2</v>
      </c>
    </row>
    <row r="716" spans="11:19" x14ac:dyDescent="0.2">
      <c r="K716" s="355">
        <v>42947</v>
      </c>
      <c r="L716" s="169">
        <v>31.5</v>
      </c>
      <c r="M716" s="169">
        <v>31.52</v>
      </c>
      <c r="N716" s="169">
        <v>30.540001</v>
      </c>
      <c r="O716" s="169">
        <v>31.23</v>
      </c>
      <c r="P716" s="169">
        <v>21.538288000000001</v>
      </c>
      <c r="Q716" s="169">
        <v>26435300</v>
      </c>
      <c r="R716" s="53">
        <f t="shared" si="14"/>
        <v>2.9334051088848678E-2</v>
      </c>
      <c r="S716" s="146">
        <f>(P716/P715)*('16. câmbio USD-BRL'!O716/'16. câmbio USD-BRL'!O715)^-1 -1</f>
        <v>4.5254470375174938E-2</v>
      </c>
    </row>
    <row r="717" spans="11:19" x14ac:dyDescent="0.2">
      <c r="K717" s="355">
        <v>42954</v>
      </c>
      <c r="L717" s="169">
        <v>31.6</v>
      </c>
      <c r="M717" s="169">
        <v>32.619999</v>
      </c>
      <c r="N717" s="169">
        <v>30.559999000000001</v>
      </c>
      <c r="O717" s="169">
        <v>30.799999</v>
      </c>
      <c r="P717" s="169">
        <v>21.241731999999999</v>
      </c>
      <c r="Q717" s="169">
        <v>46384400</v>
      </c>
      <c r="R717" s="53">
        <f t="shared" si="14"/>
        <v>-1.3768782365618071E-2</v>
      </c>
      <c r="S717" s="146">
        <f>(P717/P716)*('16. câmbio USD-BRL'!O717/'16. câmbio USD-BRL'!O716)^-1 -1</f>
        <v>-2.8790210106910297E-2</v>
      </c>
    </row>
    <row r="718" spans="11:19" x14ac:dyDescent="0.2">
      <c r="K718" s="355">
        <v>42961</v>
      </c>
      <c r="L718" s="169">
        <v>30.780000999999999</v>
      </c>
      <c r="M718" s="169">
        <v>32.07</v>
      </c>
      <c r="N718" s="169">
        <v>30.540001</v>
      </c>
      <c r="O718" s="169">
        <v>31.549999</v>
      </c>
      <c r="P718" s="169">
        <v>21.758984000000002</v>
      </c>
      <c r="Q718" s="169">
        <v>99247700</v>
      </c>
      <c r="R718" s="53">
        <f t="shared" si="14"/>
        <v>2.4350745033408838E-2</v>
      </c>
      <c r="S718" s="146">
        <f>(P718/P717)*('16. câmbio USD-BRL'!O718/'16. câmbio USD-BRL'!O717)^-1 -1</f>
        <v>2.4350745033408838E-2</v>
      </c>
    </row>
    <row r="719" spans="11:19" x14ac:dyDescent="0.2">
      <c r="K719" s="355">
        <v>42968</v>
      </c>
      <c r="L719" s="169">
        <v>31.99</v>
      </c>
      <c r="M719" s="169">
        <v>34.330002</v>
      </c>
      <c r="N719" s="169">
        <v>31.6</v>
      </c>
      <c r="O719" s="169">
        <v>33.830002</v>
      </c>
      <c r="P719" s="169">
        <v>23.331424999999999</v>
      </c>
      <c r="Q719" s="169">
        <v>91573200</v>
      </c>
      <c r="R719" s="53">
        <f t="shared" si="14"/>
        <v>7.226628780093769E-2</v>
      </c>
      <c r="S719" s="146">
        <f>(P719/P718)*('16. câmbio USD-BRL'!O719/'16. câmbio USD-BRL'!O718)^-1 -1</f>
        <v>7.8716111927388033E-2</v>
      </c>
    </row>
    <row r="720" spans="11:19" x14ac:dyDescent="0.2">
      <c r="K720" s="355">
        <v>42975</v>
      </c>
      <c r="L720" s="169">
        <v>33.700001</v>
      </c>
      <c r="M720" s="169">
        <v>35.979999999999997</v>
      </c>
      <c r="N720" s="169">
        <v>33.650002000000001</v>
      </c>
      <c r="O720" s="169">
        <v>35.669998</v>
      </c>
      <c r="P720" s="169">
        <v>24.60041</v>
      </c>
      <c r="Q720" s="169">
        <v>123717300</v>
      </c>
      <c r="R720" s="53">
        <f t="shared" si="14"/>
        <v>5.4389519714290957E-2</v>
      </c>
      <c r="S720" s="146">
        <f>(P720/P719)*('16. câmbio USD-BRL'!O720/'16. câmbio USD-BRL'!O719)^-1 -1</f>
        <v>4.8085148353063767E-2</v>
      </c>
    </row>
    <row r="721" spans="11:19" x14ac:dyDescent="0.2">
      <c r="K721" s="355">
        <v>42982</v>
      </c>
      <c r="L721" s="169">
        <v>35.380001</v>
      </c>
      <c r="M721" s="169">
        <v>36.689999</v>
      </c>
      <c r="N721" s="169">
        <v>34.470001000000003</v>
      </c>
      <c r="O721" s="169">
        <v>34.479999999999997</v>
      </c>
      <c r="P721" s="169">
        <v>23.779706999999998</v>
      </c>
      <c r="Q721" s="169">
        <v>80389600</v>
      </c>
      <c r="R721" s="53">
        <f t="shared" si="14"/>
        <v>-3.3361354546529998E-2</v>
      </c>
      <c r="S721" s="146">
        <f>(P721/P720)*('16. câmbio USD-BRL'!O721/'16. câmbio USD-BRL'!O720)^-1 -1</f>
        <v>-3.3361354546529998E-2</v>
      </c>
    </row>
    <row r="722" spans="11:19" x14ac:dyDescent="0.2">
      <c r="K722" s="355">
        <v>42989</v>
      </c>
      <c r="L722" s="169">
        <v>34.799999</v>
      </c>
      <c r="M722" s="169">
        <v>35.729999999999997</v>
      </c>
      <c r="N722" s="169">
        <v>33.299999</v>
      </c>
      <c r="O722" s="169">
        <v>33.799999</v>
      </c>
      <c r="P722" s="169">
        <v>23.310732000000002</v>
      </c>
      <c r="Q722" s="169">
        <v>115739000</v>
      </c>
      <c r="R722" s="53">
        <f t="shared" si="14"/>
        <v>-1.9721647537541021E-2</v>
      </c>
      <c r="S722" s="146">
        <f>(P722/P721)*('16. câmbio USD-BRL'!O722/'16. câmbio USD-BRL'!O721)^-1 -1</f>
        <v>1.7141591214446805E-3</v>
      </c>
    </row>
    <row r="723" spans="11:19" x14ac:dyDescent="0.2">
      <c r="K723" s="355">
        <v>42996</v>
      </c>
      <c r="L723" s="169">
        <v>33.810001</v>
      </c>
      <c r="M723" s="169">
        <v>34.310001</v>
      </c>
      <c r="N723" s="169">
        <v>31.85</v>
      </c>
      <c r="O723" s="169">
        <v>31.91</v>
      </c>
      <c r="P723" s="169">
        <v>22.007262999999998</v>
      </c>
      <c r="Q723" s="169">
        <v>103015300</v>
      </c>
      <c r="R723" s="53">
        <f t="shared" si="14"/>
        <v>-5.5917120062982328E-2</v>
      </c>
      <c r="S723" s="146">
        <f>(P723/P722)*('16. câmbio USD-BRL'!O723/'16. câmbio USD-BRL'!O722)^-1 -1</f>
        <v>-6.0088192175398181E-2</v>
      </c>
    </row>
    <row r="724" spans="11:19" x14ac:dyDescent="0.2">
      <c r="K724" s="355">
        <v>43003</v>
      </c>
      <c r="L724" s="169">
        <v>31.799999</v>
      </c>
      <c r="M724" s="169">
        <v>32.400002000000001</v>
      </c>
      <c r="N724" s="169">
        <v>31</v>
      </c>
      <c r="O724" s="169">
        <v>31.870000999999998</v>
      </c>
      <c r="P724" s="169">
        <v>21.979676999999999</v>
      </c>
      <c r="Q724" s="169">
        <v>97978600</v>
      </c>
      <c r="R724" s="53">
        <f t="shared" si="14"/>
        <v>-1.2534952665399501E-3</v>
      </c>
      <c r="S724" s="146">
        <f>(P724/P723)*('16. câmbio USD-BRL'!O724/'16. câmbio USD-BRL'!O723)^-1 -1</f>
        <v>-1.3850696233494997E-2</v>
      </c>
    </row>
    <row r="725" spans="11:19" x14ac:dyDescent="0.2">
      <c r="K725" s="355">
        <v>43010</v>
      </c>
      <c r="L725" s="169">
        <v>32.25</v>
      </c>
      <c r="M725" s="169">
        <v>33.189999</v>
      </c>
      <c r="N725" s="169">
        <v>31.76</v>
      </c>
      <c r="O725" s="169">
        <v>32.139999000000003</v>
      </c>
      <c r="P725" s="169">
        <v>22.165886</v>
      </c>
      <c r="Q725" s="169">
        <v>84337600</v>
      </c>
      <c r="R725" s="53">
        <f t="shared" si="14"/>
        <v>8.4718715384217713E-3</v>
      </c>
      <c r="S725" s="146">
        <f>(P725/P724)*('16. câmbio USD-BRL'!O725/'16. câmbio USD-BRL'!O724)^-1 -1</f>
        <v>1.0996646624827466E-2</v>
      </c>
    </row>
    <row r="726" spans="11:19" x14ac:dyDescent="0.2">
      <c r="K726" s="355">
        <v>43017</v>
      </c>
      <c r="L726" s="169">
        <v>32.049999</v>
      </c>
      <c r="M726" s="169">
        <v>33.099997999999999</v>
      </c>
      <c r="N726" s="169">
        <v>30.73</v>
      </c>
      <c r="O726" s="169">
        <v>32.909999999999997</v>
      </c>
      <c r="P726" s="169">
        <v>22.696929999999998</v>
      </c>
      <c r="Q726" s="169">
        <v>88139600</v>
      </c>
      <c r="R726" s="53">
        <f t="shared" si="14"/>
        <v>2.3957715924371348E-2</v>
      </c>
      <c r="S726" s="146">
        <f>(P726/P725)*('16. câmbio USD-BRL'!O726/'16. câmbio USD-BRL'!O725)^-1 -1</f>
        <v>2.786657311892915E-2</v>
      </c>
    </row>
    <row r="727" spans="11:19" x14ac:dyDescent="0.2">
      <c r="K727" s="355">
        <v>43024</v>
      </c>
      <c r="L727" s="169">
        <v>33.380001</v>
      </c>
      <c r="M727" s="169">
        <v>33.779998999999997</v>
      </c>
      <c r="N727" s="169">
        <v>31.709999</v>
      </c>
      <c r="O727" s="169">
        <v>32.950001</v>
      </c>
      <c r="P727" s="169">
        <v>22.724518</v>
      </c>
      <c r="Q727" s="169">
        <v>119766000</v>
      </c>
      <c r="R727" s="53">
        <f t="shared" si="14"/>
        <v>1.2154947827747176E-3</v>
      </c>
      <c r="S727" s="146">
        <f>(P727/P726)*('16. câmbio USD-BRL'!O727/'16. câmbio USD-BRL'!O726)^-1 -1</f>
        <v>-1.4058985073099217E-2</v>
      </c>
    </row>
    <row r="728" spans="11:19" x14ac:dyDescent="0.2">
      <c r="K728" s="355">
        <v>43031</v>
      </c>
      <c r="L728" s="169">
        <v>33</v>
      </c>
      <c r="M728" s="169">
        <v>33.900002000000001</v>
      </c>
      <c r="N728" s="169">
        <v>32.029998999999997</v>
      </c>
      <c r="O728" s="169">
        <v>32.549999</v>
      </c>
      <c r="P728" s="169">
        <v>22.448651999999999</v>
      </c>
      <c r="Q728" s="169">
        <v>91348600</v>
      </c>
      <c r="R728" s="53">
        <f t="shared" si="14"/>
        <v>-1.2139575413656734E-2</v>
      </c>
      <c r="S728" s="146">
        <f>(P728/P727)*('16. câmbio USD-BRL'!O728/'16. câmbio USD-BRL'!O727)^-1 -1</f>
        <v>-2.409307481059475E-2</v>
      </c>
    </row>
    <row r="729" spans="11:19" x14ac:dyDescent="0.2">
      <c r="K729" s="355">
        <v>43038</v>
      </c>
      <c r="L729" s="169">
        <v>32.189999</v>
      </c>
      <c r="M729" s="169">
        <v>33.540000999999997</v>
      </c>
      <c r="N729" s="169">
        <v>31.84</v>
      </c>
      <c r="O729" s="169">
        <v>33.540000999999997</v>
      </c>
      <c r="P729" s="169">
        <v>23.131419999999999</v>
      </c>
      <c r="Q729" s="169">
        <v>92958500</v>
      </c>
      <c r="R729" s="53">
        <f t="shared" si="14"/>
        <v>3.0414654741852676E-2</v>
      </c>
      <c r="S729" s="146">
        <f>(P729/P728)*('16. câmbio USD-BRL'!O729/'16. câmbio USD-BRL'!O728)^-1 -1</f>
        <v>5.0345237910436325E-3</v>
      </c>
    </row>
    <row r="730" spans="11:19" x14ac:dyDescent="0.2">
      <c r="K730" s="355">
        <v>43045</v>
      </c>
      <c r="L730" s="169">
        <v>33.889999000000003</v>
      </c>
      <c r="M730" s="169">
        <v>34.340000000000003</v>
      </c>
      <c r="N730" s="169">
        <v>32.5</v>
      </c>
      <c r="O730" s="169">
        <v>32.770000000000003</v>
      </c>
      <c r="P730" s="169">
        <v>22.600376000000001</v>
      </c>
      <c r="Q730" s="169">
        <v>89599500</v>
      </c>
      <c r="R730" s="53">
        <f t="shared" si="14"/>
        <v>-2.2957691313373663E-2</v>
      </c>
      <c r="S730" s="146">
        <f>(P730/P729)*('16. câmbio USD-BRL'!O730/'16. câmbio USD-BRL'!O729)^-1 -1</f>
        <v>-1.1016693315431536E-2</v>
      </c>
    </row>
    <row r="731" spans="11:19" x14ac:dyDescent="0.2">
      <c r="K731" s="355">
        <v>43052</v>
      </c>
      <c r="L731" s="169">
        <v>32.840000000000003</v>
      </c>
      <c r="M731" s="169">
        <v>33.439999</v>
      </c>
      <c r="N731" s="169">
        <v>31.940000999999999</v>
      </c>
      <c r="O731" s="169">
        <v>32.919998</v>
      </c>
      <c r="P731" s="169">
        <v>22.703827</v>
      </c>
      <c r="Q731" s="169">
        <v>65866100</v>
      </c>
      <c r="R731" s="53">
        <f t="shared" si="14"/>
        <v>4.5774017211039908E-3</v>
      </c>
      <c r="S731" s="146">
        <f>(P731/P730)*('16. câmbio USD-BRL'!O731/'16. câmbio USD-BRL'!O730)^-1 -1</f>
        <v>1.0909291013713407E-2</v>
      </c>
    </row>
    <row r="732" spans="11:19" x14ac:dyDescent="0.2">
      <c r="K732" s="355">
        <v>43059</v>
      </c>
      <c r="L732" s="169">
        <v>32.919998</v>
      </c>
      <c r="M732" s="169">
        <v>35.849997999999999</v>
      </c>
      <c r="N732" s="169">
        <v>32.919998</v>
      </c>
      <c r="O732" s="169">
        <v>35.790000999999997</v>
      </c>
      <c r="P732" s="169">
        <v>24.68317</v>
      </c>
      <c r="Q732" s="169">
        <v>88638400</v>
      </c>
      <c r="R732" s="53">
        <f t="shared" si="14"/>
        <v>8.7181028995684251E-2</v>
      </c>
      <c r="S732" s="146">
        <f>(P732/P731)*('16. câmbio USD-BRL'!O732/'16. câmbio USD-BRL'!O731)^-1 -1</f>
        <v>9.4212464399060281E-2</v>
      </c>
    </row>
    <row r="733" spans="11:19" x14ac:dyDescent="0.2">
      <c r="K733" s="355">
        <v>43066</v>
      </c>
      <c r="L733" s="169">
        <v>35.459999000000003</v>
      </c>
      <c r="M733" s="169">
        <v>36.650002000000001</v>
      </c>
      <c r="N733" s="169">
        <v>34.889999000000003</v>
      </c>
      <c r="O733" s="169">
        <v>35.479999999999997</v>
      </c>
      <c r="P733" s="169">
        <v>24.469373999999998</v>
      </c>
      <c r="Q733" s="169">
        <v>104501400</v>
      </c>
      <c r="R733" s="53">
        <f t="shared" si="14"/>
        <v>-8.6616103199063099E-3</v>
      </c>
      <c r="S733" s="146">
        <f>(P733/P732)*('16. câmbio USD-BRL'!O733/'16. câmbio USD-BRL'!O732)^-1 -1</f>
        <v>-1.5213647017761289E-2</v>
      </c>
    </row>
    <row r="734" spans="11:19" x14ac:dyDescent="0.2">
      <c r="K734" s="355">
        <v>43073</v>
      </c>
      <c r="L734" s="169">
        <v>35.959999000000003</v>
      </c>
      <c r="M734" s="169">
        <v>37.400002000000001</v>
      </c>
      <c r="N734" s="169">
        <v>34.900002000000001</v>
      </c>
      <c r="O734" s="169">
        <v>35.479999999999997</v>
      </c>
      <c r="P734" s="169">
        <v>24.469373999999998</v>
      </c>
      <c r="Q734" s="169">
        <v>110278100</v>
      </c>
      <c r="R734" s="53">
        <f t="shared" si="14"/>
        <v>0</v>
      </c>
      <c r="S734" s="146">
        <f>(P734/P733)*('16. câmbio USD-BRL'!O734/'16. câmbio USD-BRL'!O733)^-1 -1</f>
        <v>-1.0584585437070193E-2</v>
      </c>
    </row>
    <row r="735" spans="11:19" x14ac:dyDescent="0.2">
      <c r="K735" s="355">
        <v>43080</v>
      </c>
      <c r="L735" s="169">
        <v>35.830002</v>
      </c>
      <c r="M735" s="169">
        <v>37.279998999999997</v>
      </c>
      <c r="N735" s="169">
        <v>35.220001000000003</v>
      </c>
      <c r="O735" s="169">
        <v>36.889999000000003</v>
      </c>
      <c r="P735" s="169">
        <v>25.441804999999999</v>
      </c>
      <c r="Q735" s="169">
        <v>104217100</v>
      </c>
      <c r="R735" s="53">
        <f t="shared" si="14"/>
        <v>3.9740738770023265E-2</v>
      </c>
      <c r="S735" s="146">
        <f>(P735/P734)*('16. câmbio USD-BRL'!O735/'16. câmbio USD-BRL'!O734)^-1 -1</f>
        <v>3.914022583459964E-2</v>
      </c>
    </row>
    <row r="736" spans="11:19" x14ac:dyDescent="0.2">
      <c r="K736" s="355">
        <v>43087</v>
      </c>
      <c r="L736" s="169">
        <v>37.490001999999997</v>
      </c>
      <c r="M736" s="169">
        <v>39.830002</v>
      </c>
      <c r="N736" s="169">
        <v>37.340000000000003</v>
      </c>
      <c r="O736" s="169">
        <v>39.790000999999997</v>
      </c>
      <c r="P736" s="169">
        <v>27.441837</v>
      </c>
      <c r="Q736" s="169">
        <v>79510900</v>
      </c>
      <c r="R736" s="53">
        <f t="shared" si="14"/>
        <v>7.8612032440308344E-2</v>
      </c>
      <c r="S736" s="146">
        <f>(P736/P735)*('16. câmbio USD-BRL'!O736/'16. câmbio USD-BRL'!O735)^-1 -1</f>
        <v>6.3801529941202695E-2</v>
      </c>
    </row>
    <row r="737" spans="11:19" x14ac:dyDescent="0.2">
      <c r="K737" s="355">
        <v>43094</v>
      </c>
      <c r="L737" s="169">
        <v>39.790000999999997</v>
      </c>
      <c r="M737" s="169">
        <v>40.259998000000003</v>
      </c>
      <c r="N737" s="169">
        <v>39.020000000000003</v>
      </c>
      <c r="O737" s="169">
        <v>40.259998000000003</v>
      </c>
      <c r="P737" s="169">
        <v>28.062571999999999</v>
      </c>
      <c r="Q737" s="169">
        <v>29892900</v>
      </c>
      <c r="R737" s="53">
        <f t="shared" si="14"/>
        <v>2.2620023579325244E-2</v>
      </c>
      <c r="S737" s="146">
        <f>(P737/P736)*('16. câmbio USD-BRL'!O737/'16. câmbio USD-BRL'!O736)^-1 -1</f>
        <v>3.0186979356339183E-2</v>
      </c>
    </row>
    <row r="738" spans="11:19" x14ac:dyDescent="0.2">
      <c r="K738" s="355">
        <v>43101</v>
      </c>
      <c r="L738" s="169">
        <v>40.259998000000003</v>
      </c>
      <c r="M738" s="169">
        <v>42.369999</v>
      </c>
      <c r="N738" s="169">
        <v>40.259998000000003</v>
      </c>
      <c r="O738" s="169">
        <v>42.290000999999997</v>
      </c>
      <c r="P738" s="169">
        <v>29.477554000000001</v>
      </c>
      <c r="Q738" s="169">
        <v>60585000</v>
      </c>
      <c r="R738" s="53">
        <f t="shared" si="14"/>
        <v>5.0422391789320065E-2</v>
      </c>
      <c r="S738" s="480">
        <f>(P738/P737)*('16. câmbio USD-BRL'!O738/'16. câmbio USD-BRL'!O737)^-1 -1</f>
        <v>7.8132781305817911E-2</v>
      </c>
    </row>
    <row r="739" spans="11:19" x14ac:dyDescent="0.2">
      <c r="K739" s="355">
        <v>43108</v>
      </c>
      <c r="L739" s="169">
        <v>42.400002000000001</v>
      </c>
      <c r="M739" s="169">
        <v>43.75</v>
      </c>
      <c r="N739" s="169">
        <v>42.400002000000001</v>
      </c>
      <c r="O739" s="169">
        <v>43.549999</v>
      </c>
      <c r="P739" s="169">
        <v>30.355824999999999</v>
      </c>
      <c r="Q739" s="169">
        <v>67929100</v>
      </c>
      <c r="R739" s="53">
        <f t="shared" si="14"/>
        <v>2.979456843671624E-2</v>
      </c>
      <c r="S739" s="146">
        <f>(P739/P738)*('16. câmbio USD-BRL'!O739/'16. câmbio USD-BRL'!O738)^-1 -1</f>
        <v>3.7902427069079536E-2</v>
      </c>
    </row>
    <row r="740" spans="11:19" x14ac:dyDescent="0.2">
      <c r="K740" s="355">
        <v>43115</v>
      </c>
      <c r="L740" s="169">
        <v>43.5</v>
      </c>
      <c r="M740" s="169">
        <v>43.720001000000003</v>
      </c>
      <c r="N740" s="169">
        <v>42.299999</v>
      </c>
      <c r="O740" s="169">
        <v>42.880001</v>
      </c>
      <c r="P740" s="169">
        <v>29.888808999999998</v>
      </c>
      <c r="Q740" s="169">
        <v>65811200</v>
      </c>
      <c r="R740" s="53">
        <f t="shared" si="14"/>
        <v>-1.5384724348621703E-2</v>
      </c>
      <c r="S740" s="146">
        <f>(P740/P739)*('16. câmbio USD-BRL'!O740/'16. câmbio USD-BRL'!O739)^-1 -1</f>
        <v>-1.245358712165745E-2</v>
      </c>
    </row>
    <row r="741" spans="11:19" x14ac:dyDescent="0.2">
      <c r="K741" s="355">
        <v>43122</v>
      </c>
      <c r="L741" s="169">
        <v>43.099997999999999</v>
      </c>
      <c r="M741" s="169">
        <v>43.16</v>
      </c>
      <c r="N741" s="169">
        <v>40.709999000000003</v>
      </c>
      <c r="O741" s="169">
        <v>41.43</v>
      </c>
      <c r="P741" s="169">
        <v>28.878108999999998</v>
      </c>
      <c r="Q741" s="169">
        <v>75012600</v>
      </c>
      <c r="R741" s="53">
        <f t="shared" si="14"/>
        <v>-3.3815332019418998E-2</v>
      </c>
      <c r="S741" s="146">
        <f>(P741/P740)*('16. câmbio USD-BRL'!O741/'16. câmbio USD-BRL'!O740)^-1 -1</f>
        <v>-2.0214016187476647E-2</v>
      </c>
    </row>
    <row r="742" spans="11:19" x14ac:dyDescent="0.2">
      <c r="K742" s="355">
        <v>43129</v>
      </c>
      <c r="L742" s="169">
        <v>41.099997999999999</v>
      </c>
      <c r="M742" s="169">
        <v>42.68</v>
      </c>
      <c r="N742" s="169">
        <v>40.75</v>
      </c>
      <c r="O742" s="169">
        <v>40.799999</v>
      </c>
      <c r="P742" s="169">
        <v>28.438974000000002</v>
      </c>
      <c r="Q742" s="169">
        <v>92634900</v>
      </c>
      <c r="R742" s="53">
        <f t="shared" si="14"/>
        <v>-1.5206501229010461E-2</v>
      </c>
      <c r="S742" s="146">
        <f>(P742/P741)*('16. câmbio USD-BRL'!O742/'16. câmbio USD-BRL'!O741)^-1 -1</f>
        <v>-3.6635686131857526E-2</v>
      </c>
    </row>
    <row r="743" spans="11:19" x14ac:dyDescent="0.2">
      <c r="K743" s="355">
        <v>43136</v>
      </c>
      <c r="L743" s="169">
        <v>40.599997999999999</v>
      </c>
      <c r="M743" s="169">
        <v>42.720001000000003</v>
      </c>
      <c r="N743" s="169">
        <v>39.93</v>
      </c>
      <c r="O743" s="169">
        <v>42</v>
      </c>
      <c r="P743" s="169">
        <v>29.275414999999999</v>
      </c>
      <c r="Q743" s="169">
        <v>110739800</v>
      </c>
      <c r="R743" s="53">
        <f t="shared" si="14"/>
        <v>2.9411785390007328E-2</v>
      </c>
      <c r="S743" s="146">
        <f>(P743/P742)*('16. câmbio USD-BRL'!O743/'16. câmbio USD-BRL'!O742)^-1 -1</f>
        <v>5.6835436167135267E-3</v>
      </c>
    </row>
    <row r="744" spans="11:19" x14ac:dyDescent="0.2">
      <c r="K744" s="355">
        <v>43143</v>
      </c>
      <c r="L744" s="169">
        <v>42</v>
      </c>
      <c r="M744" s="169">
        <v>46.189999</v>
      </c>
      <c r="N744" s="169">
        <v>42</v>
      </c>
      <c r="O744" s="169">
        <v>46.029998999999997</v>
      </c>
      <c r="P744" s="169">
        <v>32.084460999999997</v>
      </c>
      <c r="Q744" s="169">
        <v>78056200</v>
      </c>
      <c r="R744" s="53">
        <f t="shared" si="14"/>
        <v>9.5952388719340087E-2</v>
      </c>
      <c r="S744" s="146">
        <f>(P744/P743)*('16. câmbio USD-BRL'!O744/'16. câmbio USD-BRL'!O743)^-1 -1</f>
        <v>0.11732987354481494</v>
      </c>
    </row>
    <row r="745" spans="11:19" x14ac:dyDescent="0.2">
      <c r="K745" s="355">
        <v>43150</v>
      </c>
      <c r="L745" s="169">
        <v>46.099997999999999</v>
      </c>
      <c r="M745" s="169">
        <v>46.799999</v>
      </c>
      <c r="N745" s="169">
        <v>44.709999000000003</v>
      </c>
      <c r="O745" s="169">
        <v>46.080002</v>
      </c>
      <c r="P745" s="169">
        <v>32.119315999999998</v>
      </c>
      <c r="Q745" s="169">
        <v>87057900</v>
      </c>
      <c r="R745" s="53">
        <f t="shared" si="14"/>
        <v>1.0863514272532182E-3</v>
      </c>
      <c r="S745" s="146">
        <f>(P745/P744)*('16. câmbio USD-BRL'!O745/'16. câmbio USD-BRL'!O744)^-1 -1</f>
        <v>1.2641833639848166E-4</v>
      </c>
    </row>
    <row r="746" spans="11:19" x14ac:dyDescent="0.2">
      <c r="K746" s="355">
        <v>43157</v>
      </c>
      <c r="L746" s="169">
        <v>46.740001999999997</v>
      </c>
      <c r="M746" s="169">
        <v>47.599997999999999</v>
      </c>
      <c r="N746" s="169">
        <v>42.740001999999997</v>
      </c>
      <c r="O746" s="169">
        <v>43.75</v>
      </c>
      <c r="P746" s="169">
        <v>30.495224</v>
      </c>
      <c r="Q746" s="169">
        <v>125909300</v>
      </c>
      <c r="R746" s="53">
        <f t="shared" si="14"/>
        <v>-5.0564339539484471E-2</v>
      </c>
      <c r="S746" s="146">
        <f>(P746/P745)*('16. câmbio USD-BRL'!O746/'16. câmbio USD-BRL'!O745)^-1 -1</f>
        <v>-5.5705107920996588E-2</v>
      </c>
    </row>
    <row r="747" spans="11:19" x14ac:dyDescent="0.2">
      <c r="K747" s="355">
        <v>43164</v>
      </c>
      <c r="L747" s="169">
        <v>43.48</v>
      </c>
      <c r="M747" s="169">
        <v>44.919998</v>
      </c>
      <c r="N747" s="169">
        <v>40.509998000000003</v>
      </c>
      <c r="O747" s="169">
        <v>42.099997999999999</v>
      </c>
      <c r="P747" s="169">
        <v>29.345119</v>
      </c>
      <c r="Q747" s="169">
        <v>98838200</v>
      </c>
      <c r="R747" s="53">
        <f t="shared" si="14"/>
        <v>-3.7714266338886415E-2</v>
      </c>
      <c r="S747" s="146">
        <f>(P747/P746)*('16. câmbio USD-BRL'!O747/'16. câmbio USD-BRL'!O746)^-1 -1</f>
        <v>-4.2310468979685156E-2</v>
      </c>
    </row>
    <row r="748" spans="11:19" x14ac:dyDescent="0.2">
      <c r="K748" s="355">
        <v>43171</v>
      </c>
      <c r="L748" s="169">
        <v>42.290000999999997</v>
      </c>
      <c r="M748" s="169">
        <v>43.34</v>
      </c>
      <c r="N748" s="169">
        <v>41.939999</v>
      </c>
      <c r="O748" s="169">
        <v>42.299999</v>
      </c>
      <c r="P748" s="169">
        <v>29.819476999999999</v>
      </c>
      <c r="Q748" s="169">
        <v>86454200</v>
      </c>
      <c r="R748" s="53">
        <f t="shared" si="14"/>
        <v>1.6164800694793424E-2</v>
      </c>
      <c r="S748" s="146">
        <f>(P748/P747)*('16. câmbio USD-BRL'!O748/'16. câmbio USD-BRL'!O747)^-1 -1</f>
        <v>1.1211070823334168E-2</v>
      </c>
    </row>
    <row r="749" spans="11:19" x14ac:dyDescent="0.2">
      <c r="K749" s="355">
        <v>43178</v>
      </c>
      <c r="L749" s="169">
        <v>41.52</v>
      </c>
      <c r="M749" s="169">
        <v>42.689999</v>
      </c>
      <c r="N749" s="169">
        <v>40.669998</v>
      </c>
      <c r="O749" s="169">
        <v>41.599997999999999</v>
      </c>
      <c r="P749" s="169">
        <v>29.326014000000001</v>
      </c>
      <c r="Q749" s="169">
        <v>81194700</v>
      </c>
      <c r="R749" s="53">
        <f t="shared" si="14"/>
        <v>-1.6548345230870343E-2</v>
      </c>
      <c r="S749" s="146">
        <f>(P749/P748)*('16. câmbio USD-BRL'!O749/'16. câmbio USD-BRL'!O748)^-1 -1</f>
        <v>-2.4985145410735599E-2</v>
      </c>
    </row>
    <row r="750" spans="11:19" x14ac:dyDescent="0.2">
      <c r="K750" s="355">
        <v>43185</v>
      </c>
      <c r="L750" s="169">
        <v>42</v>
      </c>
      <c r="M750" s="169">
        <v>42.75</v>
      </c>
      <c r="N750" s="169">
        <v>40.060001</v>
      </c>
      <c r="O750" s="169">
        <v>42.209999000000003</v>
      </c>
      <c r="P750" s="169">
        <v>29.756035000000001</v>
      </c>
      <c r="Q750" s="169">
        <v>60896800</v>
      </c>
      <c r="R750" s="53">
        <f t="shared" si="14"/>
        <v>1.4663465686131083E-2</v>
      </c>
      <c r="S750" s="146">
        <f>(P750/P749)*('16. câmbio USD-BRL'!O750/'16. câmbio USD-BRL'!O749)^-1 -1</f>
        <v>1.6782722833859287E-2</v>
      </c>
    </row>
    <row r="751" spans="11:19" x14ac:dyDescent="0.2">
      <c r="K751" s="355">
        <v>43192</v>
      </c>
      <c r="L751" s="169">
        <v>42.32</v>
      </c>
      <c r="M751" s="169">
        <v>43.689999</v>
      </c>
      <c r="N751" s="169">
        <v>41.59</v>
      </c>
      <c r="O751" s="169">
        <v>42.740001999999997</v>
      </c>
      <c r="P751" s="169">
        <v>30.129664999999999</v>
      </c>
      <c r="Q751" s="169">
        <v>71047200</v>
      </c>
      <c r="R751" s="53">
        <f t="shared" si="14"/>
        <v>1.2556444432196612E-2</v>
      </c>
      <c r="S751" s="146">
        <f>(P751/P750)*('16. câmbio USD-BRL'!O751/'16. câmbio USD-BRL'!O750)^-1 -1</f>
        <v>-6.3622546186826723E-3</v>
      </c>
    </row>
    <row r="752" spans="11:19" x14ac:dyDescent="0.2">
      <c r="K752" s="355">
        <v>43199</v>
      </c>
      <c r="L752" s="169">
        <v>43.07</v>
      </c>
      <c r="M752" s="169">
        <v>45.169998</v>
      </c>
      <c r="N752" s="169">
        <v>42.209999000000003</v>
      </c>
      <c r="O752" s="169">
        <v>44.98</v>
      </c>
      <c r="P752" s="169">
        <v>31.708752</v>
      </c>
      <c r="Q752" s="169">
        <v>77403100</v>
      </c>
      <c r="R752" s="53">
        <f t="shared" si="14"/>
        <v>5.2409709832485829E-2</v>
      </c>
      <c r="S752" s="146">
        <f>(P752/P751)*('16. câmbio USD-BRL'!O752/'16. câmbio USD-BRL'!O751)^-1 -1</f>
        <v>3.5583212951906695E-2</v>
      </c>
    </row>
    <row r="753" spans="11:19" x14ac:dyDescent="0.2">
      <c r="K753" s="355">
        <v>43206</v>
      </c>
      <c r="L753" s="169">
        <v>44.610000999999997</v>
      </c>
      <c r="M753" s="169">
        <v>48.169998</v>
      </c>
      <c r="N753" s="169">
        <v>44.310001</v>
      </c>
      <c r="O753" s="169">
        <v>47.630001</v>
      </c>
      <c r="P753" s="169">
        <v>33.576881</v>
      </c>
      <c r="Q753" s="169">
        <v>78719100</v>
      </c>
      <c r="R753" s="53">
        <f t="shared" si="14"/>
        <v>5.8915248383159424E-2</v>
      </c>
      <c r="S753" s="146">
        <f>(P753/P752)*('16. câmbio USD-BRL'!O753/'16. câmbio USD-BRL'!O752)^-1 -1</f>
        <v>6.2299753033007388E-2</v>
      </c>
    </row>
    <row r="754" spans="11:19" x14ac:dyDescent="0.2">
      <c r="K754" s="355">
        <v>43213</v>
      </c>
      <c r="L754" s="169">
        <v>47.220001000000003</v>
      </c>
      <c r="M754" s="169">
        <v>49.150002000000001</v>
      </c>
      <c r="N754" s="169">
        <v>47.060001</v>
      </c>
      <c r="O754" s="169">
        <v>48.349997999999999</v>
      </c>
      <c r="P754" s="169">
        <v>34.084437999999999</v>
      </c>
      <c r="Q754" s="169">
        <v>70321900</v>
      </c>
      <c r="R754" s="53">
        <f t="shared" si="14"/>
        <v>1.5116264074676922E-2</v>
      </c>
      <c r="S754" s="146">
        <f>(P754/P753)*('16. câmbio USD-BRL'!O754/'16. câmbio USD-BRL'!O753)^-1 -1</f>
        <v>1.7219813576407894E-3</v>
      </c>
    </row>
    <row r="755" spans="11:19" x14ac:dyDescent="0.2">
      <c r="K755" s="355">
        <v>43220</v>
      </c>
      <c r="L755" s="169">
        <v>48.259998000000003</v>
      </c>
      <c r="M755" s="169">
        <v>49.900002000000001</v>
      </c>
      <c r="N755" s="169">
        <v>48.150002000000001</v>
      </c>
      <c r="O755" s="169">
        <v>49.700001</v>
      </c>
      <c r="P755" s="169">
        <v>35.036133</v>
      </c>
      <c r="Q755" s="169">
        <v>53877900</v>
      </c>
      <c r="R755" s="53">
        <f t="shared" si="14"/>
        <v>2.7921686724011741E-2</v>
      </c>
      <c r="S755" s="146">
        <f>(P755/P754)*('16. câmbio USD-BRL'!O755/'16. câmbio USD-BRL'!O754)^-1 -1</f>
        <v>6.8004073091239015E-3</v>
      </c>
    </row>
    <row r="756" spans="11:19" x14ac:dyDescent="0.2">
      <c r="K756" s="355">
        <v>43227</v>
      </c>
      <c r="L756" s="169">
        <v>49.720001000000003</v>
      </c>
      <c r="M756" s="169">
        <v>53.580002</v>
      </c>
      <c r="N756" s="169">
        <v>48.91</v>
      </c>
      <c r="O756" s="169">
        <v>52.630001</v>
      </c>
      <c r="P756" s="169">
        <v>37.101635000000002</v>
      </c>
      <c r="Q756" s="169">
        <v>90377100</v>
      </c>
      <c r="R756" s="53">
        <f t="shared" si="14"/>
        <v>5.8953480967776972E-2</v>
      </c>
      <c r="S756" s="146">
        <f>(P756/P755)*('16. câmbio USD-BRL'!O756/'16. câmbio USD-BRL'!O755)^-1 -1</f>
        <v>3.8036244546938214E-2</v>
      </c>
    </row>
    <row r="757" spans="11:19" x14ac:dyDescent="0.2">
      <c r="K757" s="355">
        <v>43234</v>
      </c>
      <c r="L757" s="169">
        <v>53.080002</v>
      </c>
      <c r="M757" s="169">
        <v>56</v>
      </c>
      <c r="N757" s="169">
        <v>53</v>
      </c>
      <c r="O757" s="169">
        <v>54.77</v>
      </c>
      <c r="P757" s="169">
        <v>38.610236999999998</v>
      </c>
      <c r="Q757" s="169">
        <v>95348800</v>
      </c>
      <c r="R757" s="53">
        <f t="shared" si="14"/>
        <v>4.0661334736326271E-2</v>
      </c>
      <c r="S757" s="146">
        <f>(P757/P756)*('16. câmbio USD-BRL'!O757/'16. câmbio USD-BRL'!O756)^-1 -1</f>
        <v>2.6393132717896783E-3</v>
      </c>
    </row>
    <row r="758" spans="11:19" x14ac:dyDescent="0.2">
      <c r="K758" s="355">
        <v>43241</v>
      </c>
      <c r="L758" s="169">
        <v>55.009998000000003</v>
      </c>
      <c r="M758" s="169">
        <v>55.099997999999999</v>
      </c>
      <c r="N758" s="169">
        <v>51.049999</v>
      </c>
      <c r="O758" s="169">
        <v>51.48</v>
      </c>
      <c r="P758" s="169">
        <v>36.290939000000002</v>
      </c>
      <c r="Q758" s="169">
        <v>86445200</v>
      </c>
      <c r="R758" s="53">
        <f t="shared" si="14"/>
        <v>-6.0069509544839028E-2</v>
      </c>
      <c r="S758" s="146">
        <f>(P758/P757)*('16. câmbio USD-BRL'!O758/'16. câmbio USD-BRL'!O757)^-1 -1</f>
        <v>-4.3973670104140328E-2</v>
      </c>
    </row>
    <row r="759" spans="11:19" x14ac:dyDescent="0.2">
      <c r="K759" s="355">
        <v>43248</v>
      </c>
      <c r="L759" s="169">
        <v>50.900002000000001</v>
      </c>
      <c r="M759" s="169">
        <v>53.080002</v>
      </c>
      <c r="N759" s="169">
        <v>49.700001</v>
      </c>
      <c r="O759" s="169">
        <v>52.759998000000003</v>
      </c>
      <c r="P759" s="169">
        <v>37.193283000000001</v>
      </c>
      <c r="Q759" s="169">
        <v>78815900</v>
      </c>
      <c r="R759" s="53">
        <f t="shared" si="14"/>
        <v>2.4864167884991906E-2</v>
      </c>
      <c r="S759" s="146">
        <f>(P759/P758)*('16. câmbio USD-BRL'!O759/'16. câmbio USD-BRL'!O758)^-1 -1</f>
        <v>1.5240841403580951E-3</v>
      </c>
    </row>
    <row r="760" spans="11:19" x14ac:dyDescent="0.2">
      <c r="K760" s="355">
        <v>43255</v>
      </c>
      <c r="L760" s="169">
        <v>53.18</v>
      </c>
      <c r="M760" s="169">
        <v>56.75</v>
      </c>
      <c r="N760" s="169">
        <v>50.66</v>
      </c>
      <c r="O760" s="169">
        <v>50.889999000000003</v>
      </c>
      <c r="P760" s="169">
        <v>35.875022999999999</v>
      </c>
      <c r="Q760" s="169">
        <v>120599200</v>
      </c>
      <c r="R760" s="53">
        <f t="shared" si="14"/>
        <v>-3.5443496612009295E-2</v>
      </c>
      <c r="S760" s="146">
        <f>(P760/P759)*('16. câmbio USD-BRL'!O760/'16. câmbio USD-BRL'!O759)^-1 -1</f>
        <v>-2.1066955775768559E-2</v>
      </c>
    </row>
    <row r="761" spans="11:19" x14ac:dyDescent="0.2">
      <c r="K761" s="355">
        <v>43262</v>
      </c>
      <c r="L761" s="169">
        <v>51.369999</v>
      </c>
      <c r="M761" s="169">
        <v>52.360000999999997</v>
      </c>
      <c r="N761" s="169">
        <v>48.700001</v>
      </c>
      <c r="O761" s="169">
        <v>49.130001</v>
      </c>
      <c r="P761" s="169">
        <v>34.634304</v>
      </c>
      <c r="Q761" s="169">
        <v>103802800</v>
      </c>
      <c r="R761" s="53">
        <f t="shared" ref="R761:R824" si="15">P761/P760-1</f>
        <v>-3.4584479569532256E-2</v>
      </c>
      <c r="S761" s="146">
        <f>(P761/P760)*('16. câmbio USD-BRL'!O761/'16. câmbio USD-BRL'!O760)^-1 -1</f>
        <v>-4.1031976205815557E-2</v>
      </c>
    </row>
    <row r="762" spans="11:19" x14ac:dyDescent="0.2">
      <c r="K762" s="355">
        <v>43269</v>
      </c>
      <c r="L762" s="169">
        <v>48.619999</v>
      </c>
      <c r="M762" s="169">
        <v>49.290000999999997</v>
      </c>
      <c r="N762" s="169">
        <v>47.029998999999997</v>
      </c>
      <c r="O762" s="169">
        <v>48.009998000000003</v>
      </c>
      <c r="P762" s="169">
        <v>33.844757000000001</v>
      </c>
      <c r="Q762" s="169">
        <v>85288900</v>
      </c>
      <c r="R762" s="53">
        <f t="shared" si="15"/>
        <v>-2.2796675804427902E-2</v>
      </c>
      <c r="S762" s="146">
        <f>(P762/P761)*('16. câmbio USD-BRL'!O762/'16. câmbio USD-BRL'!O761)^-1 -1</f>
        <v>-3.2321884164890458E-2</v>
      </c>
    </row>
    <row r="763" spans="11:19" x14ac:dyDescent="0.2">
      <c r="K763" s="355">
        <v>43276</v>
      </c>
      <c r="L763" s="169">
        <v>47.700001</v>
      </c>
      <c r="M763" s="169">
        <v>50.099997999999999</v>
      </c>
      <c r="N763" s="169">
        <v>46.259998000000003</v>
      </c>
      <c r="O763" s="169">
        <v>49.59</v>
      </c>
      <c r="P763" s="169">
        <v>34.958584000000002</v>
      </c>
      <c r="Q763" s="169">
        <v>72278000</v>
      </c>
      <c r="R763" s="53">
        <f t="shared" si="15"/>
        <v>3.2909883205838986E-2</v>
      </c>
      <c r="S763" s="146">
        <f>(P763/P762)*('16. câmbio USD-BRL'!O763/'16. câmbio USD-BRL'!O762)^-1 -1</f>
        <v>3.4857440996785005E-3</v>
      </c>
    </row>
    <row r="764" spans="11:19" x14ac:dyDescent="0.2">
      <c r="K764" s="355">
        <v>43283</v>
      </c>
      <c r="L764" s="169">
        <v>48.889999000000003</v>
      </c>
      <c r="M764" s="169">
        <v>50.439999</v>
      </c>
      <c r="N764" s="169">
        <v>47.599997999999999</v>
      </c>
      <c r="O764" s="169">
        <v>50.34</v>
      </c>
      <c r="P764" s="169">
        <v>35.487301000000002</v>
      </c>
      <c r="Q764" s="169">
        <v>46618200</v>
      </c>
      <c r="R764" s="53">
        <f t="shared" si="15"/>
        <v>1.5124096559517408E-2</v>
      </c>
      <c r="S764" s="146">
        <f>(P764/P763)*('16. câmbio USD-BRL'!O764/'16. câmbio USD-BRL'!O763)^-1 -1</f>
        <v>1.8804463606476807E-2</v>
      </c>
    </row>
    <row r="765" spans="11:19" x14ac:dyDescent="0.2">
      <c r="K765" s="355">
        <v>43290</v>
      </c>
      <c r="L765" s="169">
        <v>50.34</v>
      </c>
      <c r="M765" s="169">
        <v>51.099997999999999</v>
      </c>
      <c r="N765" s="169">
        <v>48.450001</v>
      </c>
      <c r="O765" s="169">
        <v>50.310001</v>
      </c>
      <c r="P765" s="169">
        <v>35.466147999999997</v>
      </c>
      <c r="Q765" s="169">
        <v>60169200</v>
      </c>
      <c r="R765" s="53">
        <f t="shared" si="15"/>
        <v>-5.9607238093439818E-4</v>
      </c>
      <c r="S765" s="146">
        <f>(P765/P764)*('16. câmbio USD-BRL'!O765/'16. câmbio USD-BRL'!O764)^-1 -1</f>
        <v>2.6756388841024936E-3</v>
      </c>
    </row>
    <row r="766" spans="11:19" x14ac:dyDescent="0.2">
      <c r="K766" s="355">
        <v>43297</v>
      </c>
      <c r="L766" s="169">
        <v>50.310001</v>
      </c>
      <c r="M766" s="169">
        <v>51.669998</v>
      </c>
      <c r="N766" s="169">
        <v>48.630001</v>
      </c>
      <c r="O766" s="169">
        <v>48.720001000000003</v>
      </c>
      <c r="P766" s="169">
        <v>34.345272000000001</v>
      </c>
      <c r="Q766" s="169">
        <v>71632400</v>
      </c>
      <c r="R766" s="53">
        <f t="shared" si="15"/>
        <v>-3.160410879692932E-2</v>
      </c>
      <c r="S766" s="146">
        <f>(P766/P765)*('16. câmbio USD-BRL'!O766/'16. câmbio USD-BRL'!O765)^-1 -1</f>
        <v>-9.2873994866039533E-3</v>
      </c>
    </row>
    <row r="767" spans="11:19" x14ac:dyDescent="0.2">
      <c r="K767" s="355">
        <v>43304</v>
      </c>
      <c r="L767" s="169">
        <v>49.080002</v>
      </c>
      <c r="M767" s="169">
        <v>53.669998</v>
      </c>
      <c r="N767" s="169">
        <v>48.529998999999997</v>
      </c>
      <c r="O767" s="169">
        <v>53.450001</v>
      </c>
      <c r="P767" s="169">
        <v>37.679695000000002</v>
      </c>
      <c r="Q767" s="169">
        <v>120571500</v>
      </c>
      <c r="R767" s="53">
        <f t="shared" si="15"/>
        <v>9.7085357192687294E-2</v>
      </c>
      <c r="S767" s="146">
        <f>(P767/P766)*('16. câmbio USD-BRL'!O767/'16. câmbio USD-BRL'!O766)^-1 -1</f>
        <v>0.11198193082340846</v>
      </c>
    </row>
    <row r="768" spans="11:19" x14ac:dyDescent="0.2">
      <c r="K768" s="355">
        <v>43311</v>
      </c>
      <c r="L768" s="169">
        <v>53.700001</v>
      </c>
      <c r="M768" s="169">
        <v>54.98</v>
      </c>
      <c r="N768" s="169">
        <v>51.330002</v>
      </c>
      <c r="O768" s="169">
        <v>52.549999</v>
      </c>
      <c r="P768" s="169">
        <v>37.045242000000002</v>
      </c>
      <c r="Q768" s="169">
        <v>103758300</v>
      </c>
      <c r="R768" s="53">
        <f t="shared" si="15"/>
        <v>-1.6838060923794695E-2</v>
      </c>
      <c r="S768" s="146">
        <f>(P768/P767)*('16. câmbio USD-BRL'!O768/'16. câmbio USD-BRL'!O767)^-1 -1</f>
        <v>-1.5166513166088413E-2</v>
      </c>
    </row>
    <row r="769" spans="11:19" x14ac:dyDescent="0.2">
      <c r="K769" s="355">
        <v>43318</v>
      </c>
      <c r="L769" s="169">
        <v>52.099997999999999</v>
      </c>
      <c r="M769" s="169">
        <v>53.650002000000001</v>
      </c>
      <c r="N769" s="169">
        <v>50.720001000000003</v>
      </c>
      <c r="O769" s="169">
        <v>51.709999000000003</v>
      </c>
      <c r="P769" s="169">
        <v>37.503784000000003</v>
      </c>
      <c r="Q769" s="169">
        <v>71430100</v>
      </c>
      <c r="R769" s="53">
        <f t="shared" si="15"/>
        <v>1.2377891876101055E-2</v>
      </c>
      <c r="S769" s="146">
        <f>(P769/P768)*('16. câmbio USD-BRL'!O769/'16. câmbio USD-BRL'!O768)^-1 -1</f>
        <v>-2.8042730244871916E-2</v>
      </c>
    </row>
    <row r="770" spans="11:19" x14ac:dyDescent="0.2">
      <c r="K770" s="355">
        <v>43325</v>
      </c>
      <c r="L770" s="169">
        <v>52.07</v>
      </c>
      <c r="M770" s="169">
        <v>52.91</v>
      </c>
      <c r="N770" s="169">
        <v>49.23</v>
      </c>
      <c r="O770" s="169">
        <v>50.799999</v>
      </c>
      <c r="P770" s="169">
        <v>36.843783999999999</v>
      </c>
      <c r="Q770" s="169">
        <v>96290700</v>
      </c>
      <c r="R770" s="53">
        <f t="shared" si="15"/>
        <v>-1.7598224221854641E-2</v>
      </c>
      <c r="S770" s="146">
        <f>(P770/P769)*('16. câmbio USD-BRL'!O770/'16. câmbio USD-BRL'!O769)^-1 -1</f>
        <v>-3.0038143359512381E-2</v>
      </c>
    </row>
    <row r="771" spans="11:19" x14ac:dyDescent="0.2">
      <c r="K771" s="355">
        <v>43332</v>
      </c>
      <c r="L771" s="169">
        <v>51.099997999999999</v>
      </c>
      <c r="M771" s="169">
        <v>54.459999000000003</v>
      </c>
      <c r="N771" s="169">
        <v>51.02</v>
      </c>
      <c r="O771" s="169">
        <v>54.150002000000001</v>
      </c>
      <c r="P771" s="169">
        <v>39.273448999999999</v>
      </c>
      <c r="Q771" s="169">
        <v>64469500</v>
      </c>
      <c r="R771" s="53">
        <f t="shared" si="15"/>
        <v>6.5945045166913463E-2</v>
      </c>
      <c r="S771" s="146">
        <f>(P771/P770)*('16. câmbio USD-BRL'!O771/'16. câmbio USD-BRL'!O770)^-1 -1</f>
        <v>1.3273782569847015E-2</v>
      </c>
    </row>
    <row r="772" spans="11:19" x14ac:dyDescent="0.2">
      <c r="K772" s="355">
        <v>43339</v>
      </c>
      <c r="L772" s="169">
        <v>54.169998</v>
      </c>
      <c r="M772" s="169">
        <v>56.41</v>
      </c>
      <c r="N772" s="169">
        <v>53.310001</v>
      </c>
      <c r="O772" s="169">
        <v>53.619999</v>
      </c>
      <c r="P772" s="169">
        <v>38.889052999999997</v>
      </c>
      <c r="Q772" s="169">
        <v>68806200</v>
      </c>
      <c r="R772" s="53">
        <f t="shared" si="15"/>
        <v>-9.7876812398117741E-3</v>
      </c>
      <c r="S772" s="146">
        <f>(P772/P771)*('16. câmbio USD-BRL'!O772/'16. câmbio USD-BRL'!O771)^-1 -1</f>
        <v>4.5019780052106828E-3</v>
      </c>
    </row>
    <row r="773" spans="11:19" x14ac:dyDescent="0.2">
      <c r="K773" s="355">
        <v>43346</v>
      </c>
      <c r="L773" s="169">
        <v>53.299999</v>
      </c>
      <c r="M773" s="169">
        <v>54.169998</v>
      </c>
      <c r="N773" s="169">
        <v>51.75</v>
      </c>
      <c r="O773" s="169">
        <v>53.48</v>
      </c>
      <c r="P773" s="169">
        <v>38.787514000000002</v>
      </c>
      <c r="Q773" s="169">
        <v>34457800</v>
      </c>
      <c r="R773" s="53">
        <f t="shared" si="15"/>
        <v>-2.6109918387571263E-3</v>
      </c>
      <c r="S773" s="146">
        <f>(P773/P772)*('16. câmbio USD-BRL'!O773/'16. câmbio USD-BRL'!O772)^-1 -1</f>
        <v>-3.6678343845526484E-3</v>
      </c>
    </row>
    <row r="774" spans="11:19" x14ac:dyDescent="0.2">
      <c r="K774" s="355">
        <v>43353</v>
      </c>
      <c r="L774" s="169">
        <v>53.91</v>
      </c>
      <c r="M774" s="169">
        <v>55.23</v>
      </c>
      <c r="N774" s="169">
        <v>52.130001</v>
      </c>
      <c r="O774" s="169">
        <v>55.200001</v>
      </c>
      <c r="P774" s="169">
        <v>40.034981000000002</v>
      </c>
      <c r="Q774" s="169">
        <v>65294900</v>
      </c>
      <c r="R774" s="53">
        <f t="shared" si="15"/>
        <v>3.2161561063181354E-2</v>
      </c>
      <c r="S774" s="146">
        <f>(P774/P773)*('16. câmbio USD-BRL'!O774/'16. câmbio USD-BRL'!O773)^-1 -1</f>
        <v>-3.8965919261603199E-3</v>
      </c>
    </row>
    <row r="775" spans="11:19" x14ac:dyDescent="0.2">
      <c r="K775" s="355">
        <v>43360</v>
      </c>
      <c r="L775" s="169">
        <v>55.299999</v>
      </c>
      <c r="M775" s="169">
        <v>61.009998000000003</v>
      </c>
      <c r="N775" s="169">
        <v>54.790000999999997</v>
      </c>
      <c r="O775" s="169">
        <v>61.009998000000003</v>
      </c>
      <c r="P775" s="169">
        <v>44.248801999999998</v>
      </c>
      <c r="Q775" s="169">
        <v>79518900</v>
      </c>
      <c r="R775" s="53">
        <f t="shared" si="15"/>
        <v>0.10525347820197539</v>
      </c>
      <c r="S775" s="146">
        <f>(P775/P774)*('16. câmbio USD-BRL'!O775/'16. câmbio USD-BRL'!O774)^-1 -1</f>
        <v>0.14775167950986745</v>
      </c>
    </row>
    <row r="776" spans="11:19" x14ac:dyDescent="0.2">
      <c r="K776" s="355">
        <v>43367</v>
      </c>
      <c r="L776" s="169">
        <v>60.849997999999999</v>
      </c>
      <c r="M776" s="169">
        <v>62.419998</v>
      </c>
      <c r="N776" s="169">
        <v>58.610000999999997</v>
      </c>
      <c r="O776" s="169">
        <v>59.82</v>
      </c>
      <c r="P776" s="169">
        <v>43.385738000000003</v>
      </c>
      <c r="Q776" s="169">
        <v>85833600</v>
      </c>
      <c r="R776" s="53">
        <f t="shared" si="15"/>
        <v>-1.9504799248576177E-2</v>
      </c>
      <c r="S776" s="146">
        <f>(P776/P775)*('16. câmbio USD-BRL'!O776/'16. câmbio USD-BRL'!O775)^-1 -1</f>
        <v>-1.9189916896556247E-2</v>
      </c>
    </row>
    <row r="777" spans="11:19" x14ac:dyDescent="0.2">
      <c r="K777" s="355">
        <v>43374</v>
      </c>
      <c r="L777" s="169">
        <v>59.68</v>
      </c>
      <c r="M777" s="169">
        <v>62.189999</v>
      </c>
      <c r="N777" s="169">
        <v>57.23</v>
      </c>
      <c r="O777" s="169">
        <v>57.490001999999997</v>
      </c>
      <c r="P777" s="169">
        <v>41.695853999999997</v>
      </c>
      <c r="Q777" s="169">
        <v>90780500</v>
      </c>
      <c r="R777" s="53">
        <f t="shared" si="15"/>
        <v>-3.8950219078905723E-2</v>
      </c>
      <c r="S777" s="146">
        <f>(P777/P776)*('16. câmbio USD-BRL'!O777/'16. câmbio USD-BRL'!O776)^-1 -1</f>
        <v>1.4612709795422951E-2</v>
      </c>
    </row>
    <row r="778" spans="11:19" x14ac:dyDescent="0.2">
      <c r="K778" s="355">
        <v>43381</v>
      </c>
      <c r="L778" s="169">
        <v>57</v>
      </c>
      <c r="M778" s="169">
        <v>58.32</v>
      </c>
      <c r="N778" s="169">
        <v>55.259998000000003</v>
      </c>
      <c r="O778" s="169">
        <v>56.48</v>
      </c>
      <c r="P778" s="169">
        <v>40.963329000000002</v>
      </c>
      <c r="Q778" s="169">
        <v>74327000</v>
      </c>
      <c r="R778" s="53">
        <f t="shared" si="15"/>
        <v>-1.7568293480689889E-2</v>
      </c>
      <c r="S778" s="146">
        <f>(P778/P777)*('16. câmbio USD-BRL'!O778/'16. câmbio USD-BRL'!O777)^-1 -1</f>
        <v>-3.8508813150890386E-3</v>
      </c>
    </row>
    <row r="779" spans="11:19" x14ac:dyDescent="0.2">
      <c r="K779" s="355">
        <v>43388</v>
      </c>
      <c r="L779" s="169">
        <v>56.950001</v>
      </c>
      <c r="M779" s="169">
        <v>58.919998</v>
      </c>
      <c r="N779" s="169">
        <v>56.32</v>
      </c>
      <c r="O779" s="169">
        <v>56.529998999999997</v>
      </c>
      <c r="P779" s="169">
        <v>40.999595999999997</v>
      </c>
      <c r="Q779" s="169">
        <v>84616200</v>
      </c>
      <c r="R779" s="53">
        <f t="shared" si="15"/>
        <v>8.8535284815338677E-4</v>
      </c>
      <c r="S779" s="146">
        <f>(P779/P778)*('16. câmbio USD-BRL'!O779/'16. câmbio USD-BRL'!O778)^-1 -1</f>
        <v>1.7350203423189381E-2</v>
      </c>
    </row>
    <row r="780" spans="11:19" x14ac:dyDescent="0.2">
      <c r="K780" s="355">
        <v>43395</v>
      </c>
      <c r="L780" s="169">
        <v>57.700001</v>
      </c>
      <c r="M780" s="169">
        <v>58.419998</v>
      </c>
      <c r="N780" s="169">
        <v>53.509998000000003</v>
      </c>
      <c r="O780" s="169">
        <v>55.599997999999999</v>
      </c>
      <c r="P780" s="169">
        <v>40.325091999999998</v>
      </c>
      <c r="Q780" s="169">
        <v>108927300</v>
      </c>
      <c r="R780" s="53">
        <f t="shared" si="15"/>
        <v>-1.6451479180428996E-2</v>
      </c>
      <c r="S780" s="146">
        <f>(P780/P779)*('16. câmbio USD-BRL'!O780/'16. câmbio USD-BRL'!O779)^-1 -1</f>
        <v>4.8319544157764405E-3</v>
      </c>
    </row>
    <row r="781" spans="11:19" x14ac:dyDescent="0.2">
      <c r="K781" s="355">
        <v>43402</v>
      </c>
      <c r="L781" s="169">
        <v>54.029998999999997</v>
      </c>
      <c r="M781" s="169">
        <v>58.259998000000003</v>
      </c>
      <c r="N781" s="169">
        <v>52.599997999999999</v>
      </c>
      <c r="O781" s="169">
        <v>57.5</v>
      </c>
      <c r="P781" s="169">
        <v>41.703105999999998</v>
      </c>
      <c r="Q781" s="169">
        <v>97043500</v>
      </c>
      <c r="R781" s="53">
        <f t="shared" si="15"/>
        <v>3.4172618874620309E-2</v>
      </c>
      <c r="S781" s="146">
        <f>(P781/P780)*('16. câmbio USD-BRL'!O781/'16. câmbio USD-BRL'!O780)^-1 -1</f>
        <v>1.9529912727253906E-2</v>
      </c>
    </row>
    <row r="782" spans="11:19" x14ac:dyDescent="0.2">
      <c r="K782" s="355">
        <v>43409</v>
      </c>
      <c r="L782" s="169">
        <v>57.610000999999997</v>
      </c>
      <c r="M782" s="169">
        <v>58.77</v>
      </c>
      <c r="N782" s="169">
        <v>54.130001</v>
      </c>
      <c r="O782" s="169">
        <v>54.650002000000001</v>
      </c>
      <c r="P782" s="169">
        <v>39.636082000000002</v>
      </c>
      <c r="Q782" s="169">
        <v>85638700</v>
      </c>
      <c r="R782" s="53">
        <f t="shared" si="15"/>
        <v>-4.9565229026346302E-2</v>
      </c>
      <c r="S782" s="146">
        <f>(P782/P781)*('16. câmbio USD-BRL'!O782/'16. câmbio USD-BRL'!O781)^-1 -1</f>
        <v>-5.9369301229139748E-2</v>
      </c>
    </row>
    <row r="783" spans="11:19" x14ac:dyDescent="0.2">
      <c r="K783" s="355">
        <v>43416</v>
      </c>
      <c r="L783" s="169">
        <v>55.099997999999999</v>
      </c>
      <c r="M783" s="169">
        <v>56.349997999999999</v>
      </c>
      <c r="N783" s="169">
        <v>54.25</v>
      </c>
      <c r="O783" s="169">
        <v>56.150002000000001</v>
      </c>
      <c r="P783" s="169">
        <v>40.723990999999998</v>
      </c>
      <c r="Q783" s="169">
        <v>82770000</v>
      </c>
      <c r="R783" s="53">
        <f t="shared" si="15"/>
        <v>2.7447440440757864E-2</v>
      </c>
      <c r="S783" s="146">
        <f>(P783/P782)*('16. câmbio USD-BRL'!O783/'16. câmbio USD-BRL'!O782)^-1 -1</f>
        <v>2.5743501927789181E-2</v>
      </c>
    </row>
    <row r="784" spans="11:19" x14ac:dyDescent="0.2">
      <c r="K784" s="355">
        <v>43423</v>
      </c>
      <c r="L784" s="169">
        <v>56.150002000000001</v>
      </c>
      <c r="M784" s="169">
        <v>56.279998999999997</v>
      </c>
      <c r="N784" s="169">
        <v>50.349997999999999</v>
      </c>
      <c r="O784" s="169">
        <v>50.349997999999999</v>
      </c>
      <c r="P784" s="169">
        <v>36.517409999999998</v>
      </c>
      <c r="Q784" s="169">
        <v>74357200</v>
      </c>
      <c r="R784" s="53">
        <f t="shared" si="15"/>
        <v>-0.10329491036377059</v>
      </c>
      <c r="S784" s="146">
        <f>(P784/P783)*('16. câmbio USD-BRL'!O784/'16. câmbio USD-BRL'!O783)^-1 -1</f>
        <v>-0.1231836430295703</v>
      </c>
    </row>
    <row r="785" spans="11:19" x14ac:dyDescent="0.2">
      <c r="K785" s="355">
        <v>43430</v>
      </c>
      <c r="L785" s="169">
        <v>49.950001</v>
      </c>
      <c r="M785" s="169">
        <v>53.689999</v>
      </c>
      <c r="N785" s="169">
        <v>49</v>
      </c>
      <c r="O785" s="169">
        <v>52.799999</v>
      </c>
      <c r="P785" s="169">
        <v>38.294331</v>
      </c>
      <c r="Q785" s="169">
        <v>137812300</v>
      </c>
      <c r="R785" s="53">
        <f t="shared" si="15"/>
        <v>4.8659557181081725E-2</v>
      </c>
      <c r="S785" s="146">
        <f>(P785/P784)*('16. câmbio USD-BRL'!O785/'16. câmbio USD-BRL'!O784)^-1 -1</f>
        <v>3.8178120865488552E-2</v>
      </c>
    </row>
    <row r="786" spans="11:19" x14ac:dyDescent="0.2">
      <c r="K786" s="355">
        <v>43437</v>
      </c>
      <c r="L786" s="169">
        <v>55.599997999999999</v>
      </c>
      <c r="M786" s="169">
        <v>55.68</v>
      </c>
      <c r="N786" s="169">
        <v>51.07</v>
      </c>
      <c r="O786" s="169">
        <v>51.290000999999997</v>
      </c>
      <c r="P786" s="169">
        <v>37.199168999999998</v>
      </c>
      <c r="Q786" s="169">
        <v>109767000</v>
      </c>
      <c r="R786" s="53">
        <f t="shared" si="15"/>
        <v>-2.8598541126100385E-2</v>
      </c>
      <c r="S786" s="146">
        <f>(P786/P785)*('16. câmbio USD-BRL'!O786/'16. câmbio USD-BRL'!O785)^-1 -1</f>
        <v>-3.2581542620786941E-2</v>
      </c>
    </row>
    <row r="787" spans="11:19" x14ac:dyDescent="0.2">
      <c r="K787" s="355">
        <v>43444</v>
      </c>
      <c r="L787" s="169">
        <v>51.119999</v>
      </c>
      <c r="M787" s="169">
        <v>51.740001999999997</v>
      </c>
      <c r="N787" s="169">
        <v>49.849997999999999</v>
      </c>
      <c r="O787" s="169">
        <v>50.880001</v>
      </c>
      <c r="P787" s="169">
        <v>36.901809999999998</v>
      </c>
      <c r="Q787" s="169">
        <v>81643800</v>
      </c>
      <c r="R787" s="53">
        <f t="shared" si="15"/>
        <v>-7.9937000743215414E-3</v>
      </c>
      <c r="S787" s="146">
        <f>(P787/P786)*('16. câmbio USD-BRL'!O787/'16. câmbio USD-BRL'!O786)^-1 -1</f>
        <v>-1.1282794907909399E-2</v>
      </c>
    </row>
    <row r="788" spans="11:19" x14ac:dyDescent="0.2">
      <c r="K788" s="355">
        <v>43451</v>
      </c>
      <c r="L788" s="169">
        <v>51.900002000000001</v>
      </c>
      <c r="M788" s="169">
        <v>52.400002000000001</v>
      </c>
      <c r="N788" s="169">
        <v>49.450001</v>
      </c>
      <c r="O788" s="169">
        <v>50.860000999999997</v>
      </c>
      <c r="P788" s="169">
        <v>36.887306000000002</v>
      </c>
      <c r="Q788" s="169">
        <v>118400200</v>
      </c>
      <c r="R788" s="53">
        <f t="shared" si="15"/>
        <v>-3.9304305127563222E-4</v>
      </c>
      <c r="S788" s="146">
        <f>(P788/P787)*('16. câmbio USD-BRL'!O788/'16. câmbio USD-BRL'!O787)^-1 -1</f>
        <v>-3.46662889783933E-3</v>
      </c>
    </row>
    <row r="789" spans="11:19" x14ac:dyDescent="0.2">
      <c r="K789" s="355">
        <v>43458</v>
      </c>
      <c r="L789" s="169">
        <v>50.860000999999997</v>
      </c>
      <c r="M789" s="169">
        <v>51.200001</v>
      </c>
      <c r="N789" s="169">
        <v>49.279998999999997</v>
      </c>
      <c r="O789" s="169">
        <v>51</v>
      </c>
      <c r="P789" s="169">
        <v>36.988841999999998</v>
      </c>
      <c r="Q789" s="169">
        <v>39602700</v>
      </c>
      <c r="R789" s="53">
        <f t="shared" si="15"/>
        <v>2.7526000407835927E-3</v>
      </c>
      <c r="S789" s="146">
        <f>(P789/P788)*('16. câmbio USD-BRL'!O789/'16. câmbio USD-BRL'!O788)^-1 -1</f>
        <v>8.6452156445180339E-3</v>
      </c>
    </row>
    <row r="790" spans="11:19" x14ac:dyDescent="0.2">
      <c r="K790" s="355">
        <v>43465</v>
      </c>
      <c r="L790" s="169">
        <v>51</v>
      </c>
      <c r="M790" s="169">
        <v>52.450001</v>
      </c>
      <c r="N790" s="169">
        <v>48.400002000000001</v>
      </c>
      <c r="O790" s="169">
        <v>52.189999</v>
      </c>
      <c r="P790" s="169">
        <v>37.851917</v>
      </c>
      <c r="Q790" s="169">
        <v>90799700</v>
      </c>
      <c r="R790" s="53">
        <f t="shared" si="15"/>
        <v>2.3333387944396877E-2</v>
      </c>
      <c r="S790" s="146">
        <f>(P790/P789)*('16. câmbio USD-BRL'!O790/'16. câmbio USD-BRL'!O789)^-1 -1</f>
        <v>6.9102055007126184E-2</v>
      </c>
    </row>
    <row r="791" spans="11:19" x14ac:dyDescent="0.2">
      <c r="K791" s="355">
        <v>43472</v>
      </c>
      <c r="L791" s="169">
        <v>52.869999</v>
      </c>
      <c r="M791" s="169">
        <v>54.060001</v>
      </c>
      <c r="N791" s="169">
        <v>51.619999</v>
      </c>
      <c r="O791" s="169">
        <v>52.380001</v>
      </c>
      <c r="P791" s="169">
        <v>37.989716000000001</v>
      </c>
      <c r="Q791" s="169">
        <v>99094000</v>
      </c>
      <c r="R791" s="53">
        <f t="shared" si="15"/>
        <v>3.6404761217245785E-3</v>
      </c>
      <c r="S791" s="146">
        <f>(P791/P790)*('16. câmbio USD-BRL'!O791/'16. câmbio USD-BRL'!O790)^-1 -1</f>
        <v>4.6955444138281344E-3</v>
      </c>
    </row>
    <row r="792" spans="11:19" x14ac:dyDescent="0.2">
      <c r="K792" s="355">
        <v>43479</v>
      </c>
      <c r="L792" s="169">
        <v>51.98</v>
      </c>
      <c r="M792" s="169">
        <v>55.599997999999999</v>
      </c>
      <c r="N792" s="169">
        <v>51.43</v>
      </c>
      <c r="O792" s="169">
        <v>54.759998000000003</v>
      </c>
      <c r="P792" s="169">
        <v>39.715862000000001</v>
      </c>
      <c r="Q792" s="169">
        <v>95823100</v>
      </c>
      <c r="R792" s="53">
        <f t="shared" si="15"/>
        <v>4.5437191475714123E-2</v>
      </c>
      <c r="S792" s="146">
        <f>(P792/P791)*('16. câmbio USD-BRL'!O792/'16. câmbio USD-BRL'!O791)^-1 -1</f>
        <v>3.4561454468177821E-2</v>
      </c>
    </row>
    <row r="793" spans="11:19" x14ac:dyDescent="0.2">
      <c r="K793" s="355">
        <v>43486</v>
      </c>
      <c r="L793" s="169">
        <v>54.849997999999999</v>
      </c>
      <c r="M793" s="169">
        <v>56.200001</v>
      </c>
      <c r="N793" s="169">
        <v>54.349997999999999</v>
      </c>
      <c r="O793" s="169">
        <v>56.150002000000001</v>
      </c>
      <c r="P793" s="169">
        <v>40.723990999999998</v>
      </c>
      <c r="Q793" s="169">
        <v>55419500</v>
      </c>
      <c r="R793" s="53">
        <f t="shared" si="15"/>
        <v>2.538353567650109E-2</v>
      </c>
      <c r="S793" s="146">
        <f>(P793/P792)*('16. câmbio USD-BRL'!O793/'16. câmbio USD-BRL'!O792)^-1 -1</f>
        <v>1.9752848285663038E-2</v>
      </c>
    </row>
    <row r="794" spans="11:19" x14ac:dyDescent="0.2">
      <c r="K794" s="355">
        <v>43493</v>
      </c>
      <c r="L794" s="169">
        <v>45</v>
      </c>
      <c r="M794" s="169">
        <v>47.439999</v>
      </c>
      <c r="N794" s="169">
        <v>42.360000999999997</v>
      </c>
      <c r="O794" s="169">
        <v>46.25</v>
      </c>
      <c r="P794" s="169">
        <v>33.543804000000002</v>
      </c>
      <c r="Q794" s="169">
        <v>380864200</v>
      </c>
      <c r="R794" s="53">
        <f t="shared" si="15"/>
        <v>-0.17631344138151872</v>
      </c>
      <c r="S794" s="146">
        <f>(P794/P793)*('16. câmbio USD-BRL'!O794/'16. câmbio USD-BRL'!O793)^-1 -1</f>
        <v>-0.15125362836065193</v>
      </c>
    </row>
    <row r="795" spans="11:19" x14ac:dyDescent="0.2">
      <c r="K795" s="355">
        <v>43500</v>
      </c>
      <c r="L795" s="169">
        <v>46</v>
      </c>
      <c r="M795" s="169">
        <v>46.099997999999999</v>
      </c>
      <c r="N795" s="169">
        <v>40.509998000000003</v>
      </c>
      <c r="O795" s="169">
        <v>43.16</v>
      </c>
      <c r="P795" s="169">
        <v>31.302714999999999</v>
      </c>
      <c r="Q795" s="169">
        <v>166711400</v>
      </c>
      <c r="R795" s="53">
        <f t="shared" si="15"/>
        <v>-6.6810818474851597E-2</v>
      </c>
      <c r="S795" s="146">
        <f>(P795/P794)*('16. câmbio USD-BRL'!O795/'16. câmbio USD-BRL'!O794)^-1 -1</f>
        <v>-8.440541147523184E-2</v>
      </c>
    </row>
    <row r="796" spans="11:19" x14ac:dyDescent="0.2">
      <c r="K796" s="355">
        <v>43507</v>
      </c>
      <c r="L796" s="169">
        <v>43.860000999999997</v>
      </c>
      <c r="M796" s="169">
        <v>46.02</v>
      </c>
      <c r="N796" s="169">
        <v>41.889999000000003</v>
      </c>
      <c r="O796" s="169">
        <v>45.880001</v>
      </c>
      <c r="P796" s="169">
        <v>33.275452000000001</v>
      </c>
      <c r="Q796" s="169">
        <v>157204800</v>
      </c>
      <c r="R796" s="53">
        <f t="shared" si="15"/>
        <v>6.3021274672180994E-2</v>
      </c>
      <c r="S796" s="146">
        <f>(P796/P795)*('16. câmbio USD-BRL'!O796/'16. câmbio USD-BRL'!O795)^-1 -1</f>
        <v>7.1527743915299924E-2</v>
      </c>
    </row>
    <row r="797" spans="11:19" x14ac:dyDescent="0.2">
      <c r="K797" s="355">
        <v>43514</v>
      </c>
      <c r="L797" s="169">
        <v>45.790000999999997</v>
      </c>
      <c r="M797" s="169">
        <v>47.060001</v>
      </c>
      <c r="N797" s="169">
        <v>44.900002000000001</v>
      </c>
      <c r="O797" s="169">
        <v>46.990001999999997</v>
      </c>
      <c r="P797" s="169">
        <v>34.080502000000003</v>
      </c>
      <c r="Q797" s="169">
        <v>103775900</v>
      </c>
      <c r="R797" s="53">
        <f t="shared" si="15"/>
        <v>2.4193510579510802E-2</v>
      </c>
      <c r="S797" s="146">
        <f>(P797/P796)*('16. câmbio USD-BRL'!O797/'16. câmbio USD-BRL'!O796)^-1 -1</f>
        <v>1.2018644486071928E-2</v>
      </c>
    </row>
    <row r="798" spans="11:19" x14ac:dyDescent="0.2">
      <c r="K798" s="355">
        <v>43521</v>
      </c>
      <c r="L798" s="169">
        <v>47.349997999999999</v>
      </c>
      <c r="M798" s="169">
        <v>47.75</v>
      </c>
      <c r="N798" s="169">
        <v>44.549999</v>
      </c>
      <c r="O798" s="169">
        <v>46.740001999999997</v>
      </c>
      <c r="P798" s="169">
        <v>33.899185000000003</v>
      </c>
      <c r="Q798" s="169">
        <v>89919100</v>
      </c>
      <c r="R798" s="53">
        <f t="shared" si="15"/>
        <v>-5.3202561394195547E-3</v>
      </c>
      <c r="S798" s="146">
        <f>(P798/P797)*('16. câmbio USD-BRL'!O798/'16. câmbio USD-BRL'!O797)^-1 -1</f>
        <v>-1.3018893327833458E-2</v>
      </c>
    </row>
    <row r="799" spans="11:19" x14ac:dyDescent="0.2">
      <c r="K799" s="355">
        <v>43528</v>
      </c>
      <c r="L799" s="169">
        <v>46.740001999999997</v>
      </c>
      <c r="M799" s="169">
        <v>48.959999000000003</v>
      </c>
      <c r="N799" s="169">
        <v>46.740001999999997</v>
      </c>
      <c r="O799" s="169">
        <v>48.849997999999999</v>
      </c>
      <c r="P799" s="169">
        <v>35.429504000000001</v>
      </c>
      <c r="Q799" s="169">
        <v>61802700</v>
      </c>
      <c r="R799" s="53">
        <f t="shared" si="15"/>
        <v>4.5143238694381527E-2</v>
      </c>
      <c r="S799" s="146">
        <f>(P799/P798)*('16. câmbio USD-BRL'!O799/'16. câmbio USD-BRL'!O798)^-1 -1</f>
        <v>1.9366587374238797E-2</v>
      </c>
    </row>
    <row r="800" spans="11:19" x14ac:dyDescent="0.2">
      <c r="K800" s="355">
        <v>43535</v>
      </c>
      <c r="L800" s="169">
        <v>48.900002000000001</v>
      </c>
      <c r="M800" s="169">
        <v>51.240001999999997</v>
      </c>
      <c r="N800" s="169">
        <v>48.610000999999997</v>
      </c>
      <c r="O800" s="169">
        <v>50.549999</v>
      </c>
      <c r="P800" s="169">
        <v>36.662467999999997</v>
      </c>
      <c r="Q800" s="169">
        <v>101103900</v>
      </c>
      <c r="R800" s="53">
        <f t="shared" si="15"/>
        <v>3.4800487187175877E-2</v>
      </c>
      <c r="S800" s="146">
        <f>(P800/P799)*('16. câmbio USD-BRL'!O800/'16. câmbio USD-BRL'!O799)^-1 -1</f>
        <v>4.2237147373705097E-2</v>
      </c>
    </row>
    <row r="801" spans="11:19" x14ac:dyDescent="0.2">
      <c r="K801" s="355">
        <v>43542</v>
      </c>
      <c r="L801" s="169">
        <v>50.25</v>
      </c>
      <c r="M801" s="169">
        <v>52.389999000000003</v>
      </c>
      <c r="N801" s="169">
        <v>49.700001</v>
      </c>
      <c r="O801" s="169">
        <v>50.049999</v>
      </c>
      <c r="P801" s="169">
        <v>36.299835000000002</v>
      </c>
      <c r="Q801" s="169">
        <v>126097500</v>
      </c>
      <c r="R801" s="53">
        <f t="shared" si="15"/>
        <v>-9.8911235326545333E-3</v>
      </c>
      <c r="S801" s="146">
        <f>(P801/P800)*('16. câmbio USD-BRL'!O801/'16. câmbio USD-BRL'!O800)^-1 -1</f>
        <v>-2.6494331778586844E-2</v>
      </c>
    </row>
    <row r="802" spans="11:19" x14ac:dyDescent="0.2">
      <c r="K802" s="355">
        <v>43549</v>
      </c>
      <c r="L802" s="169">
        <v>49.599997999999999</v>
      </c>
      <c r="M802" s="169">
        <v>51.599997999999999</v>
      </c>
      <c r="N802" s="169">
        <v>48.619999</v>
      </c>
      <c r="O802" s="169">
        <v>50.93</v>
      </c>
      <c r="P802" s="169">
        <v>36.938071999999998</v>
      </c>
      <c r="Q802" s="169">
        <v>103724500</v>
      </c>
      <c r="R802" s="53">
        <f t="shared" si="15"/>
        <v>1.7582366421224682E-2</v>
      </c>
      <c r="S802" s="146">
        <f>(P802/P801)*('16. câmbio USD-BRL'!O802/'16. câmbio USD-BRL'!O801)^-1 -1</f>
        <v>1.3534456150883223E-2</v>
      </c>
    </row>
    <row r="803" spans="11:19" x14ac:dyDescent="0.2">
      <c r="K803" s="355">
        <v>43556</v>
      </c>
      <c r="L803" s="169">
        <v>52.349997999999999</v>
      </c>
      <c r="M803" s="169">
        <v>53.299999</v>
      </c>
      <c r="N803" s="169">
        <v>51.610000999999997</v>
      </c>
      <c r="O803" s="169">
        <v>51.98</v>
      </c>
      <c r="P803" s="169">
        <v>37.699607999999998</v>
      </c>
      <c r="Q803" s="169">
        <v>90816700</v>
      </c>
      <c r="R803" s="53">
        <f t="shared" si="15"/>
        <v>2.0616560604462597E-2</v>
      </c>
      <c r="S803" s="146">
        <f>(P803/P802)*('16. câmbio USD-BRL'!O803/'16. câmbio USD-BRL'!O802)^-1 -1</f>
        <v>3.8006666165216973E-2</v>
      </c>
    </row>
    <row r="804" spans="11:19" x14ac:dyDescent="0.2">
      <c r="K804" s="355">
        <v>43563</v>
      </c>
      <c r="L804" s="169">
        <v>52.5</v>
      </c>
      <c r="M804" s="169">
        <v>53.389999000000003</v>
      </c>
      <c r="N804" s="169">
        <v>50.93</v>
      </c>
      <c r="O804" s="169">
        <v>51.48</v>
      </c>
      <c r="P804" s="169">
        <v>37.336970999999998</v>
      </c>
      <c r="Q804" s="169">
        <v>71934500</v>
      </c>
      <c r="R804" s="53">
        <f t="shared" si="15"/>
        <v>-9.619118586060571E-3</v>
      </c>
      <c r="S804" s="146">
        <f>(P804/P803)*('16. câmbio USD-BRL'!O804/'16. câmbio USD-BRL'!O803)^-1 -1</f>
        <v>-1.3813588656868214E-2</v>
      </c>
    </row>
    <row r="805" spans="11:19" x14ac:dyDescent="0.2">
      <c r="K805" s="355">
        <v>43570</v>
      </c>
      <c r="L805" s="169">
        <v>51.59</v>
      </c>
      <c r="M805" s="169">
        <v>53.799999</v>
      </c>
      <c r="N805" s="169">
        <v>50.779998999999997</v>
      </c>
      <c r="O805" s="169">
        <v>52.580002</v>
      </c>
      <c r="P805" s="169">
        <v>38.134768999999999</v>
      </c>
      <c r="Q805" s="169">
        <v>71912600</v>
      </c>
      <c r="R805" s="53">
        <f t="shared" si="15"/>
        <v>2.1367507289222765E-2</v>
      </c>
      <c r="S805" s="146">
        <f>(P805/P804)*('16. câmbio USD-BRL'!O805/'16. câmbio USD-BRL'!O804)^-1 -1</f>
        <v>7.2176123656142455E-3</v>
      </c>
    </row>
    <row r="806" spans="11:19" x14ac:dyDescent="0.2">
      <c r="K806" s="355">
        <v>43577</v>
      </c>
      <c r="L806" s="169">
        <v>51.950001</v>
      </c>
      <c r="M806" s="169">
        <v>52</v>
      </c>
      <c r="N806" s="169">
        <v>49.380001</v>
      </c>
      <c r="O806" s="169">
        <v>50.419998</v>
      </c>
      <c r="P806" s="169">
        <v>36.568184000000002</v>
      </c>
      <c r="Q806" s="169">
        <v>72757200</v>
      </c>
      <c r="R806" s="53">
        <f t="shared" si="15"/>
        <v>-4.1080227862400176E-2</v>
      </c>
      <c r="S806" s="146">
        <f>(P806/P805)*('16. câmbio USD-BRL'!O806/'16. câmbio USD-BRL'!O805)^-1 -1</f>
        <v>-4.1495196707893034E-2</v>
      </c>
    </row>
    <row r="807" spans="11:19" x14ac:dyDescent="0.2">
      <c r="K807" s="355">
        <v>43584</v>
      </c>
      <c r="L807" s="169">
        <v>50.939999</v>
      </c>
      <c r="M807" s="169">
        <v>51.060001</v>
      </c>
      <c r="N807" s="169">
        <v>48.720001000000003</v>
      </c>
      <c r="O807" s="169">
        <v>50.400002000000001</v>
      </c>
      <c r="P807" s="169">
        <v>36.55368</v>
      </c>
      <c r="Q807" s="169">
        <v>46620800</v>
      </c>
      <c r="R807" s="53">
        <f t="shared" si="15"/>
        <v>-3.9662893842373759E-4</v>
      </c>
      <c r="S807" s="146">
        <f>(P807/P806)*('16. câmbio USD-BRL'!O807/'16. câmbio USD-BRL'!O806)^-1 -1</f>
        <v>-9.9233818571187182E-3</v>
      </c>
    </row>
    <row r="808" spans="11:19" x14ac:dyDescent="0.2">
      <c r="K808" s="355">
        <v>43591</v>
      </c>
      <c r="L808" s="169">
        <v>49.599997999999999</v>
      </c>
      <c r="M808" s="169">
        <v>50.139999000000003</v>
      </c>
      <c r="N808" s="169">
        <v>48.049999</v>
      </c>
      <c r="O808" s="169">
        <v>49.459999000000003</v>
      </c>
      <c r="P808" s="169">
        <v>35.871929000000002</v>
      </c>
      <c r="Q808" s="169">
        <v>81831700</v>
      </c>
      <c r="R808" s="53">
        <f t="shared" si="15"/>
        <v>-1.8650680314540091E-2</v>
      </c>
      <c r="S808" s="146">
        <f>(P808/P807)*('16. câmbio USD-BRL'!O808/'16. câmbio USD-BRL'!O807)^-1 -1</f>
        <v>-1.3477043712558645E-2</v>
      </c>
    </row>
    <row r="809" spans="11:19" x14ac:dyDescent="0.2">
      <c r="K809" s="355">
        <v>43598</v>
      </c>
      <c r="L809" s="169">
        <v>48.529998999999997</v>
      </c>
      <c r="M809" s="169">
        <v>48.93</v>
      </c>
      <c r="N809" s="169">
        <v>45.82</v>
      </c>
      <c r="O809" s="169">
        <v>47.720001000000003</v>
      </c>
      <c r="P809" s="169">
        <v>34.609954999999999</v>
      </c>
      <c r="Q809" s="169">
        <v>134616600</v>
      </c>
      <c r="R809" s="53">
        <f t="shared" si="15"/>
        <v>-3.5179987114715816E-2</v>
      </c>
      <c r="S809" s="146">
        <f>(P809/P808)*('16. câmbio USD-BRL'!O809/'16. câmbio USD-BRL'!O808)^-1 -1</f>
        <v>-5.9215837368988056E-2</v>
      </c>
    </row>
    <row r="810" spans="11:19" x14ac:dyDescent="0.2">
      <c r="K810" s="355">
        <v>43605</v>
      </c>
      <c r="L810" s="169">
        <v>47.619999</v>
      </c>
      <c r="M810" s="169">
        <v>49.43</v>
      </c>
      <c r="N810" s="169">
        <v>46.09</v>
      </c>
      <c r="O810" s="169">
        <v>48.310001</v>
      </c>
      <c r="P810" s="169">
        <v>35.037860999999999</v>
      </c>
      <c r="Q810" s="169">
        <v>118101100</v>
      </c>
      <c r="R810" s="53">
        <f t="shared" si="15"/>
        <v>1.2363668198932976E-2</v>
      </c>
      <c r="S810" s="146">
        <f>(P810/P809)*('16. câmbio USD-BRL'!O810/'16. câmbio USD-BRL'!O809)^-1 -1</f>
        <v>1.929128182410289E-2</v>
      </c>
    </row>
    <row r="811" spans="11:19" x14ac:dyDescent="0.2">
      <c r="K811" s="355">
        <v>43612</v>
      </c>
      <c r="L811" s="169">
        <v>49</v>
      </c>
      <c r="M811" s="169">
        <v>51</v>
      </c>
      <c r="N811" s="169">
        <v>48.709999000000003</v>
      </c>
      <c r="O811" s="169">
        <v>49</v>
      </c>
      <c r="P811" s="169">
        <v>35.538302999999999</v>
      </c>
      <c r="Q811" s="169">
        <v>113900800</v>
      </c>
      <c r="R811" s="53">
        <f t="shared" si="15"/>
        <v>1.4282892440266259E-2</v>
      </c>
      <c r="S811" s="146">
        <f>(P811/P810)*('16. câmbio USD-BRL'!O811/'16. câmbio USD-BRL'!O810)^-1 -1</f>
        <v>2.4145391922034687E-2</v>
      </c>
    </row>
    <row r="812" spans="11:19" x14ac:dyDescent="0.2">
      <c r="K812" s="355">
        <v>43619</v>
      </c>
      <c r="L812" s="169">
        <v>49.349997999999999</v>
      </c>
      <c r="M812" s="169">
        <v>49.599997999999999</v>
      </c>
      <c r="N812" s="169">
        <v>47.860000999999997</v>
      </c>
      <c r="O812" s="169">
        <v>48.66</v>
      </c>
      <c r="P812" s="169">
        <v>35.291705999999998</v>
      </c>
      <c r="Q812" s="169">
        <v>78876700</v>
      </c>
      <c r="R812" s="53">
        <f t="shared" si="15"/>
        <v>-6.9389075781136622E-3</v>
      </c>
      <c r="S812" s="146">
        <f>(P812/P811)*('16. câmbio USD-BRL'!O812/'16. câmbio USD-BRL'!O811)^-1 -1</f>
        <v>1.9075687871056957E-2</v>
      </c>
    </row>
    <row r="813" spans="11:19" x14ac:dyDescent="0.2">
      <c r="K813" s="355">
        <v>43626</v>
      </c>
      <c r="L813" s="169">
        <v>48.950001</v>
      </c>
      <c r="M813" s="169">
        <v>52.25</v>
      </c>
      <c r="N813" s="169">
        <v>48.330002</v>
      </c>
      <c r="O813" s="169">
        <v>51.400002000000001</v>
      </c>
      <c r="P813" s="169">
        <v>37.278953999999999</v>
      </c>
      <c r="Q813" s="169">
        <v>119304200</v>
      </c>
      <c r="R813" s="53">
        <f t="shared" si="15"/>
        <v>5.6309207608155942E-2</v>
      </c>
      <c r="S813" s="146">
        <f>(P813/P812)*('16. câmbio USD-BRL'!O813/'16. câmbio USD-BRL'!O812)^-1 -1</f>
        <v>5.1807350651469131E-2</v>
      </c>
    </row>
    <row r="814" spans="11:19" x14ac:dyDescent="0.2">
      <c r="K814" s="355">
        <v>43633</v>
      </c>
      <c r="L814" s="169">
        <v>51</v>
      </c>
      <c r="M814" s="169">
        <v>53.099997999999999</v>
      </c>
      <c r="N814" s="169">
        <v>50.200001</v>
      </c>
      <c r="O814" s="169">
        <v>52.439999</v>
      </c>
      <c r="P814" s="169">
        <v>38.033234</v>
      </c>
      <c r="Q814" s="169">
        <v>92019700</v>
      </c>
      <c r="R814" s="53">
        <f t="shared" si="15"/>
        <v>2.0233400325556428E-2</v>
      </c>
      <c r="S814" s="146">
        <f>(P814/P813)*('16. câmbio USD-BRL'!O814/'16. câmbio USD-BRL'!O813)^-1 -1</f>
        <v>3.546631947990786E-2</v>
      </c>
    </row>
    <row r="815" spans="11:19" x14ac:dyDescent="0.2">
      <c r="K815" s="355">
        <v>43640</v>
      </c>
      <c r="L815" s="169">
        <v>52.48</v>
      </c>
      <c r="M815" s="169">
        <v>52.48</v>
      </c>
      <c r="N815" s="169">
        <v>51.34</v>
      </c>
      <c r="O815" s="169">
        <v>51.82</v>
      </c>
      <c r="P815" s="169">
        <v>37.583561000000003</v>
      </c>
      <c r="Q815" s="169">
        <v>61113500</v>
      </c>
      <c r="R815" s="53">
        <f t="shared" si="15"/>
        <v>-1.1823159713423181E-2</v>
      </c>
      <c r="S815" s="146">
        <f>(P815/P814)*('16. câmbio USD-BRL'!O815/'16. câmbio USD-BRL'!O814)^-1 -1</f>
        <v>-6.203810280975941E-3</v>
      </c>
    </row>
    <row r="816" spans="11:19" x14ac:dyDescent="0.2">
      <c r="K816" s="355">
        <v>43647</v>
      </c>
      <c r="L816" s="169">
        <v>53.099997999999999</v>
      </c>
      <c r="M816" s="169">
        <v>54.16</v>
      </c>
      <c r="N816" s="169">
        <v>49.759998000000003</v>
      </c>
      <c r="O816" s="169">
        <v>50.360000999999997</v>
      </c>
      <c r="P816" s="169">
        <v>36.524666000000003</v>
      </c>
      <c r="Q816" s="169">
        <v>135229900</v>
      </c>
      <c r="R816" s="53">
        <f t="shared" si="15"/>
        <v>-2.8174419129682771E-2</v>
      </c>
      <c r="S816" s="146">
        <f>(P816/P815)*('16. câmbio USD-BRL'!O816/'16. câmbio USD-BRL'!O815)^-1 -1</f>
        <v>-2.9319090014100158E-2</v>
      </c>
    </row>
    <row r="817" spans="11:19" x14ac:dyDescent="0.2">
      <c r="K817" s="355">
        <v>43654</v>
      </c>
      <c r="L817" s="169">
        <v>50.650002000000001</v>
      </c>
      <c r="M817" s="169">
        <v>52.779998999999997</v>
      </c>
      <c r="N817" s="169">
        <v>50.459999000000003</v>
      </c>
      <c r="O817" s="169">
        <v>51.810001</v>
      </c>
      <c r="P817" s="169">
        <v>37.576312999999999</v>
      </c>
      <c r="Q817" s="169">
        <v>81700400</v>
      </c>
      <c r="R817" s="53">
        <f t="shared" si="15"/>
        <v>2.8792788960753102E-2</v>
      </c>
      <c r="S817" s="146">
        <f>(P817/P816)*('16. câmbio USD-BRL'!O817/'16. câmbio USD-BRL'!O816)^-1 -1</f>
        <v>5.180841077485554E-2</v>
      </c>
    </row>
    <row r="818" spans="11:19" x14ac:dyDescent="0.2">
      <c r="K818" s="355">
        <v>43661</v>
      </c>
      <c r="L818" s="169">
        <v>52.459999000000003</v>
      </c>
      <c r="M818" s="169">
        <v>53.470001000000003</v>
      </c>
      <c r="N818" s="169">
        <v>52.23</v>
      </c>
      <c r="O818" s="169">
        <v>52.720001000000003</v>
      </c>
      <c r="P818" s="169">
        <v>38.236313000000003</v>
      </c>
      <c r="Q818" s="169">
        <v>75154900</v>
      </c>
      <c r="R818" s="53">
        <f t="shared" si="15"/>
        <v>1.756425650382476E-2</v>
      </c>
      <c r="S818" s="146">
        <f>(P818/P817)*('16. câmbio USD-BRL'!O818/'16. câmbio USD-BRL'!O817)^-1 -1</f>
        <v>1.4902679725929957E-2</v>
      </c>
    </row>
    <row r="819" spans="11:19" x14ac:dyDescent="0.2">
      <c r="K819" s="355">
        <v>43668</v>
      </c>
      <c r="L819" s="169">
        <v>52.18</v>
      </c>
      <c r="M819" s="169">
        <v>52.66</v>
      </c>
      <c r="N819" s="169">
        <v>50.099997999999999</v>
      </c>
      <c r="O819" s="169">
        <v>50.23</v>
      </c>
      <c r="P819" s="169">
        <v>36.430385999999999</v>
      </c>
      <c r="Q819" s="169">
        <v>72983100</v>
      </c>
      <c r="R819" s="53">
        <f t="shared" si="15"/>
        <v>-4.7230678334493237E-2</v>
      </c>
      <c r="S819" s="146">
        <f>(P819/P818)*('16. câmbio USD-BRL'!O819/'16. câmbio USD-BRL'!O818)^-1 -1</f>
        <v>-5.4423390155712403E-2</v>
      </c>
    </row>
    <row r="820" spans="11:19" x14ac:dyDescent="0.2">
      <c r="K820" s="355">
        <v>43675</v>
      </c>
      <c r="L820" s="169">
        <v>50.299999</v>
      </c>
      <c r="M820" s="169">
        <v>50.599997999999999</v>
      </c>
      <c r="N820" s="169">
        <v>47.41</v>
      </c>
      <c r="O820" s="169">
        <v>47.84</v>
      </c>
      <c r="P820" s="169">
        <v>34.696987</v>
      </c>
      <c r="Q820" s="169">
        <v>107425300</v>
      </c>
      <c r="R820" s="53">
        <f t="shared" si="15"/>
        <v>-4.7581131860639614E-2</v>
      </c>
      <c r="S820" s="146">
        <f>(P820/P819)*('16. câmbio USD-BRL'!O820/'16. câmbio USD-BRL'!O819)^-1 -1</f>
        <v>-6.2994368175614879E-2</v>
      </c>
    </row>
    <row r="821" spans="11:19" x14ac:dyDescent="0.2">
      <c r="K821" s="355">
        <v>43682</v>
      </c>
      <c r="L821" s="169">
        <v>46.599997999999999</v>
      </c>
      <c r="M821" s="169">
        <v>47.490001999999997</v>
      </c>
      <c r="N821" s="169">
        <v>45.450001</v>
      </c>
      <c r="O821" s="169">
        <v>45.490001999999997</v>
      </c>
      <c r="P821" s="169">
        <v>32.992598999999998</v>
      </c>
      <c r="Q821" s="169">
        <v>128177000</v>
      </c>
      <c r="R821" s="53">
        <f t="shared" si="15"/>
        <v>-4.9122075066633353E-2</v>
      </c>
      <c r="S821" s="146">
        <f>(P821/P820)*('16. câmbio USD-BRL'!O821/'16. câmbio USD-BRL'!O820)^-1 -1</f>
        <v>-6.8612451157135101E-2</v>
      </c>
    </row>
    <row r="822" spans="11:19" x14ac:dyDescent="0.2">
      <c r="K822" s="355">
        <v>43689</v>
      </c>
      <c r="L822" s="169">
        <v>45.150002000000001</v>
      </c>
      <c r="M822" s="169">
        <v>46.799999</v>
      </c>
      <c r="N822" s="169">
        <v>43.169998</v>
      </c>
      <c r="O822" s="169">
        <v>43.689999</v>
      </c>
      <c r="P822" s="169">
        <v>31.687111000000002</v>
      </c>
      <c r="Q822" s="169">
        <v>105459800</v>
      </c>
      <c r="R822" s="53">
        <f t="shared" si="15"/>
        <v>-3.9569116697959927E-2</v>
      </c>
      <c r="S822" s="146">
        <f>(P822/P821)*('16. câmbio USD-BRL'!O822/'16. câmbio USD-BRL'!O821)^-1 -1</f>
        <v>-5.7020117685252836E-2</v>
      </c>
    </row>
    <row r="823" spans="11:19" x14ac:dyDescent="0.2">
      <c r="K823" s="355">
        <v>43696</v>
      </c>
      <c r="L823" s="169">
        <v>44.290000999999997</v>
      </c>
      <c r="M823" s="169">
        <v>44.59</v>
      </c>
      <c r="N823" s="169">
        <v>42.900002000000001</v>
      </c>
      <c r="O823" s="169">
        <v>43.279998999999997</v>
      </c>
      <c r="P823" s="169">
        <v>31.389745999999999</v>
      </c>
      <c r="Q823" s="169">
        <v>98912800</v>
      </c>
      <c r="R823" s="53">
        <f t="shared" si="15"/>
        <v>-9.3844150070987453E-3</v>
      </c>
      <c r="S823" s="146">
        <f>(P823/P822)*('16. câmbio USD-BRL'!O823/'16. câmbio USD-BRL'!O822)^-1 -1</f>
        <v>-4.031484553859821E-2</v>
      </c>
    </row>
    <row r="824" spans="11:19" x14ac:dyDescent="0.2">
      <c r="K824" s="355">
        <v>43703</v>
      </c>
      <c r="L824" s="169">
        <v>43.490001999999997</v>
      </c>
      <c r="M824" s="169">
        <v>46.330002</v>
      </c>
      <c r="N824" s="169">
        <v>42.439999</v>
      </c>
      <c r="O824" s="169">
        <v>45.57</v>
      </c>
      <c r="P824" s="169">
        <v>33.050617000000003</v>
      </c>
      <c r="Q824" s="169">
        <v>105339600</v>
      </c>
      <c r="R824" s="53">
        <f t="shared" si="15"/>
        <v>5.2911259619622397E-2</v>
      </c>
      <c r="S824" s="146">
        <f>(P824/P823)*('16. câmbio USD-BRL'!O824/'16. câmbio USD-BRL'!O823)^-1 -1</f>
        <v>4.043223650952199E-2</v>
      </c>
    </row>
    <row r="825" spans="11:19" x14ac:dyDescent="0.2">
      <c r="K825" s="355">
        <v>43710</v>
      </c>
      <c r="L825" s="169">
        <v>46.549999</v>
      </c>
      <c r="M825" s="169">
        <v>47.189999</v>
      </c>
      <c r="N825" s="169">
        <v>45.34</v>
      </c>
      <c r="O825" s="169">
        <v>46.450001</v>
      </c>
      <c r="P825" s="169">
        <v>33.688858000000003</v>
      </c>
      <c r="Q825" s="169">
        <v>69127600</v>
      </c>
      <c r="R825" s="53">
        <f t="shared" ref="R825:R888" si="16">P825/P824-1</f>
        <v>1.9311016190711294E-2</v>
      </c>
      <c r="S825" s="146">
        <f>(P825/P824)*('16. câmbio USD-BRL'!O825/'16. câmbio USD-BRL'!O824)^-1 -1</f>
        <v>4.6347711206901732E-2</v>
      </c>
    </row>
    <row r="826" spans="11:19" x14ac:dyDescent="0.2">
      <c r="K826" s="355">
        <v>43717</v>
      </c>
      <c r="L826" s="169">
        <v>46.700001</v>
      </c>
      <c r="M826" s="169">
        <v>50.299999</v>
      </c>
      <c r="N826" s="169">
        <v>46.290000999999997</v>
      </c>
      <c r="O826" s="169">
        <v>49.790000999999997</v>
      </c>
      <c r="P826" s="169">
        <v>36.111263000000001</v>
      </c>
      <c r="Q826" s="169">
        <v>124151400</v>
      </c>
      <c r="R826" s="53">
        <f t="shared" si="16"/>
        <v>7.1905227538434202E-2</v>
      </c>
      <c r="S826" s="146">
        <f>(P826/P825)*('16. câmbio USD-BRL'!O826/'16. câmbio USD-BRL'!O825)^-1 -1</f>
        <v>6.5815453496193888E-2</v>
      </c>
    </row>
    <row r="827" spans="11:19" x14ac:dyDescent="0.2">
      <c r="K827" s="355">
        <v>43724</v>
      </c>
      <c r="L827" s="169">
        <v>49.400002000000001</v>
      </c>
      <c r="M827" s="169">
        <v>49.439999</v>
      </c>
      <c r="N827" s="169">
        <v>47.759998000000003</v>
      </c>
      <c r="O827" s="169">
        <v>48.419998</v>
      </c>
      <c r="P827" s="169">
        <v>35.117637999999999</v>
      </c>
      <c r="Q827" s="169">
        <v>95729600</v>
      </c>
      <c r="R827" s="53">
        <f t="shared" si="16"/>
        <v>-2.7515653495697512E-2</v>
      </c>
      <c r="S827" s="146">
        <f>(P827/P826)*('16. câmbio USD-BRL'!O827/'16. câmbio USD-BRL'!O826)^-1 -1</f>
        <v>-4.6887851633233391E-2</v>
      </c>
    </row>
    <row r="828" spans="11:19" x14ac:dyDescent="0.2">
      <c r="K828" s="355">
        <v>43731</v>
      </c>
      <c r="L828" s="169">
        <v>48.189999</v>
      </c>
      <c r="M828" s="169">
        <v>48.580002</v>
      </c>
      <c r="N828" s="169">
        <v>46.779998999999997</v>
      </c>
      <c r="O828" s="169">
        <v>47.66</v>
      </c>
      <c r="P828" s="169">
        <v>34.566437000000001</v>
      </c>
      <c r="Q828" s="169">
        <v>67531300</v>
      </c>
      <c r="R828" s="53">
        <f t="shared" si="16"/>
        <v>-1.5695844919866198E-2</v>
      </c>
      <c r="S828" s="146">
        <f>(P828/P827)*('16. câmbio USD-BRL'!O828/'16. câmbio USD-BRL'!O827)^-1 -1</f>
        <v>-1.3565111468903934E-2</v>
      </c>
    </row>
    <row r="829" spans="11:19" x14ac:dyDescent="0.2">
      <c r="K829" s="355">
        <v>43738</v>
      </c>
      <c r="L829" s="169">
        <v>47.650002000000001</v>
      </c>
      <c r="M829" s="169">
        <v>48.880001</v>
      </c>
      <c r="N829" s="169">
        <v>44.220001000000003</v>
      </c>
      <c r="O829" s="169">
        <v>46.59</v>
      </c>
      <c r="P829" s="169">
        <v>33.790393999999999</v>
      </c>
      <c r="Q829" s="169">
        <v>98747200</v>
      </c>
      <c r="R829" s="53">
        <f t="shared" si="16"/>
        <v>-2.2450766331513994E-2</v>
      </c>
      <c r="S829" s="146">
        <f>(P829/P828)*('16. câmbio USD-BRL'!O829/'16. câmbio USD-BRL'!O828)^-1 -1</f>
        <v>2.1349970164952214E-3</v>
      </c>
    </row>
    <row r="830" spans="11:19" x14ac:dyDescent="0.2">
      <c r="K830" s="355">
        <v>43745</v>
      </c>
      <c r="L830" s="169">
        <v>46.299999</v>
      </c>
      <c r="M830" s="169">
        <v>48.919998</v>
      </c>
      <c r="N830" s="169">
        <v>45.32</v>
      </c>
      <c r="O830" s="169">
        <v>48.639999000000003</v>
      </c>
      <c r="P830" s="169">
        <v>35.277199000000003</v>
      </c>
      <c r="Q830" s="169">
        <v>76681600</v>
      </c>
      <c r="R830" s="53">
        <f t="shared" si="16"/>
        <v>4.4000818694212462E-2</v>
      </c>
      <c r="S830" s="146">
        <f>(P830/P829)*('16. câmbio USD-BRL'!O830/'16. câmbio USD-BRL'!O829)^-1 -1</f>
        <v>3.025761498314905E-2</v>
      </c>
    </row>
    <row r="831" spans="11:19" x14ac:dyDescent="0.2">
      <c r="K831" s="355">
        <v>43752</v>
      </c>
      <c r="L831" s="169">
        <v>48.200001</v>
      </c>
      <c r="M831" s="169">
        <v>48.290000999999997</v>
      </c>
      <c r="N831" s="169">
        <v>46.02</v>
      </c>
      <c r="O831" s="169">
        <v>46.029998999999997</v>
      </c>
      <c r="P831" s="169">
        <v>33.384242999999998</v>
      </c>
      <c r="Q831" s="169">
        <v>81217700</v>
      </c>
      <c r="R831" s="53">
        <f t="shared" si="16"/>
        <v>-5.3659475629003417E-2</v>
      </c>
      <c r="S831" s="146">
        <f>(P831/P830)*('16. câmbio USD-BRL'!O831/'16. câmbio USD-BRL'!O830)^-1 -1</f>
        <v>-6.5349149742259471E-2</v>
      </c>
    </row>
    <row r="832" spans="11:19" x14ac:dyDescent="0.2">
      <c r="K832" s="355">
        <v>43759</v>
      </c>
      <c r="L832" s="169">
        <v>46.419998</v>
      </c>
      <c r="M832" s="169">
        <v>48.560001</v>
      </c>
      <c r="N832" s="169">
        <v>46.259998000000003</v>
      </c>
      <c r="O832" s="169">
        <v>48.560001</v>
      </c>
      <c r="P832" s="169">
        <v>35.219180999999999</v>
      </c>
      <c r="Q832" s="169">
        <v>77445000</v>
      </c>
      <c r="R832" s="53">
        <f t="shared" si="16"/>
        <v>5.496419373654815E-2</v>
      </c>
      <c r="S832" s="146">
        <f>(P832/P831)*('16. câmbio USD-BRL'!O832/'16. câmbio USD-BRL'!O831)^-1 -1</f>
        <v>9.6630403836410306E-2</v>
      </c>
    </row>
    <row r="833" spans="11:19" x14ac:dyDescent="0.2">
      <c r="K833" s="355">
        <v>43766</v>
      </c>
      <c r="L833" s="169">
        <v>48.650002000000001</v>
      </c>
      <c r="M833" s="169">
        <v>48.799999</v>
      </c>
      <c r="N833" s="169">
        <v>46.860000999999997</v>
      </c>
      <c r="O833" s="169">
        <v>48.439999</v>
      </c>
      <c r="P833" s="169">
        <v>35.132148999999998</v>
      </c>
      <c r="Q833" s="169">
        <v>78264900</v>
      </c>
      <c r="R833" s="53">
        <f t="shared" si="16"/>
        <v>-2.4711534319892259E-3</v>
      </c>
      <c r="S833" s="146">
        <f>(P833/P832)*('16. câmbio USD-BRL'!O833/'16. câmbio USD-BRL'!O832)^-1 -1</f>
        <v>1.2557289967021212E-3</v>
      </c>
    </row>
    <row r="834" spans="11:19" x14ac:dyDescent="0.2">
      <c r="K834" s="355">
        <v>43773</v>
      </c>
      <c r="L834" s="169">
        <v>49.080002</v>
      </c>
      <c r="M834" s="169">
        <v>50.529998999999997</v>
      </c>
      <c r="N834" s="169">
        <v>48.810001</v>
      </c>
      <c r="O834" s="169">
        <v>49.18</v>
      </c>
      <c r="P834" s="169">
        <v>35.668849999999999</v>
      </c>
      <c r="Q834" s="169">
        <v>98453400</v>
      </c>
      <c r="R834" s="53">
        <f t="shared" si="16"/>
        <v>1.527663451501371E-2</v>
      </c>
      <c r="S834" s="146">
        <f>(P834/P833)*('16. câmbio USD-BRL'!O834/'16. câmbio USD-BRL'!O833)^-1 -1</f>
        <v>-1.2312539063464745E-2</v>
      </c>
    </row>
    <row r="835" spans="11:19" x14ac:dyDescent="0.2">
      <c r="K835" s="355">
        <v>43780</v>
      </c>
      <c r="L835" s="169">
        <v>48.439999</v>
      </c>
      <c r="M835" s="169">
        <v>48.490001999999997</v>
      </c>
      <c r="N835" s="169">
        <v>46.959999000000003</v>
      </c>
      <c r="O835" s="169">
        <v>47</v>
      </c>
      <c r="P835" s="169">
        <v>34.087757000000003</v>
      </c>
      <c r="Q835" s="169">
        <v>64554300</v>
      </c>
      <c r="R835" s="53">
        <f t="shared" si="16"/>
        <v>-4.4326996805335583E-2</v>
      </c>
      <c r="S835" s="146">
        <f>(P835/P834)*('16. câmbio USD-BRL'!O835/'16. câmbio USD-BRL'!O834)^-1 -1</f>
        <v>-6.5633381931249679E-2</v>
      </c>
    </row>
    <row r="836" spans="11:19" x14ac:dyDescent="0.2">
      <c r="K836" s="355">
        <v>43787</v>
      </c>
      <c r="L836" s="169">
        <v>47.720001000000003</v>
      </c>
      <c r="M836" s="169">
        <v>50.029998999999997</v>
      </c>
      <c r="N836" s="169">
        <v>47.48</v>
      </c>
      <c r="O836" s="169">
        <v>50.029998999999997</v>
      </c>
      <c r="P836" s="169">
        <v>36.285328</v>
      </c>
      <c r="Q836" s="169">
        <v>73190600</v>
      </c>
      <c r="R836" s="53">
        <f t="shared" si="16"/>
        <v>6.4468043467923009E-2</v>
      </c>
      <c r="S836" s="146">
        <f>(P836/P835)*('16. câmbio USD-BRL'!O836/'16. câmbio USD-BRL'!O835)^-1 -1</f>
        <v>6.3981091651332589E-2</v>
      </c>
    </row>
    <row r="837" spans="11:19" x14ac:dyDescent="0.2">
      <c r="K837" s="355">
        <v>43794</v>
      </c>
      <c r="L837" s="169">
        <v>50.540000999999997</v>
      </c>
      <c r="M837" s="169">
        <v>51.5</v>
      </c>
      <c r="N837" s="169">
        <v>49.689999</v>
      </c>
      <c r="O837" s="169">
        <v>49.98</v>
      </c>
      <c r="P837" s="169">
        <v>36.249068999999999</v>
      </c>
      <c r="Q837" s="169">
        <v>90897300</v>
      </c>
      <c r="R837" s="53">
        <f t="shared" si="16"/>
        <v>-9.9927441747260648E-4</v>
      </c>
      <c r="S837" s="146">
        <f>(P837/P836)*('16. câmbio USD-BRL'!O837/'16. câmbio USD-BRL'!O836)^-1 -1</f>
        <v>-1.0362482936090323E-2</v>
      </c>
    </row>
    <row r="838" spans="11:19" x14ac:dyDescent="0.2">
      <c r="K838" s="355">
        <v>43801</v>
      </c>
      <c r="L838" s="169">
        <v>50.150002000000001</v>
      </c>
      <c r="M838" s="169">
        <v>51.689999</v>
      </c>
      <c r="N838" s="169">
        <v>50.110000999999997</v>
      </c>
      <c r="O838" s="169">
        <v>51.349997999999999</v>
      </c>
      <c r="P838" s="169">
        <v>37.242683</v>
      </c>
      <c r="Q838" s="169">
        <v>69933800</v>
      </c>
      <c r="R838" s="53">
        <f t="shared" si="16"/>
        <v>2.7410745362867139E-2</v>
      </c>
      <c r="S838" s="146">
        <f>(P838/P837)*('16. câmbio USD-BRL'!O838/'16. câmbio USD-BRL'!O837)^-1 -1</f>
        <v>5.0909983525060598E-2</v>
      </c>
    </row>
    <row r="839" spans="11:19" x14ac:dyDescent="0.2">
      <c r="K839" s="355">
        <v>43808</v>
      </c>
      <c r="L839" s="169">
        <v>52.25</v>
      </c>
      <c r="M839" s="169">
        <v>54</v>
      </c>
      <c r="N839" s="169">
        <v>50.900002000000001</v>
      </c>
      <c r="O839" s="169">
        <v>53.759998000000003</v>
      </c>
      <c r="P839" s="169">
        <v>38.990589</v>
      </c>
      <c r="Q839" s="169">
        <v>102152400</v>
      </c>
      <c r="R839" s="53">
        <f t="shared" si="16"/>
        <v>4.693287000831825E-2</v>
      </c>
      <c r="S839" s="146">
        <f>(P839/P838)*('16. câmbio USD-BRL'!O839/'16. câmbio USD-BRL'!O838)^-1 -1</f>
        <v>5.534524545215036E-2</v>
      </c>
    </row>
    <row r="840" spans="11:19" x14ac:dyDescent="0.2">
      <c r="K840" s="355">
        <v>43815</v>
      </c>
      <c r="L840" s="169">
        <v>54.5</v>
      </c>
      <c r="M840" s="169">
        <v>54.990001999999997</v>
      </c>
      <c r="N840" s="169">
        <v>52.599997999999999</v>
      </c>
      <c r="O840" s="169">
        <v>54.790000999999997</v>
      </c>
      <c r="P840" s="169">
        <v>39.737617</v>
      </c>
      <c r="Q840" s="169">
        <v>118109000</v>
      </c>
      <c r="R840" s="53">
        <f t="shared" si="16"/>
        <v>1.9159187361852847E-2</v>
      </c>
      <c r="S840" s="146">
        <f>(P840/P839)*('16. câmbio USD-BRL'!O840/'16. câmbio USD-BRL'!O839)^-1 -1</f>
        <v>2.1360625004000378E-2</v>
      </c>
    </row>
    <row r="841" spans="11:19" x14ac:dyDescent="0.2">
      <c r="K841" s="355">
        <v>43822</v>
      </c>
      <c r="L841" s="169">
        <v>54.900002000000001</v>
      </c>
      <c r="M841" s="169">
        <v>55</v>
      </c>
      <c r="N841" s="169">
        <v>53.419998</v>
      </c>
      <c r="O841" s="169">
        <v>53.599997999999999</v>
      </c>
      <c r="P841" s="169">
        <v>38.874549999999999</v>
      </c>
      <c r="Q841" s="169">
        <v>44556100</v>
      </c>
      <c r="R841" s="53">
        <f t="shared" si="16"/>
        <v>-2.1719143349738346E-2</v>
      </c>
      <c r="S841" s="146">
        <f>(P841/P840)*('16. câmbio USD-BRL'!O841/'16. câmbio USD-BRL'!O840)^-1 -1</f>
        <v>-8.6336478354630541E-3</v>
      </c>
    </row>
    <row r="842" spans="11:19" x14ac:dyDescent="0.2">
      <c r="K842" s="355">
        <v>43829</v>
      </c>
      <c r="L842" s="169">
        <v>53.650002000000001</v>
      </c>
      <c r="M842" s="169">
        <v>54.5</v>
      </c>
      <c r="N842" s="169">
        <v>53.200001</v>
      </c>
      <c r="O842" s="169">
        <v>53.93</v>
      </c>
      <c r="P842" s="169">
        <v>40.150340999999997</v>
      </c>
      <c r="Q842" s="169">
        <v>46722600</v>
      </c>
      <c r="R842" s="53">
        <f t="shared" si="16"/>
        <v>3.2818154808222921E-2</v>
      </c>
      <c r="S842" s="146">
        <f>(P842/P841)*('16. câmbio USD-BRL'!O842/'16. câmbio USD-BRL'!O841)^-1 -1</f>
        <v>2.7395560978437539E-2</v>
      </c>
    </row>
    <row r="843" spans="11:19" x14ac:dyDescent="0.2">
      <c r="K843" s="355">
        <v>43836</v>
      </c>
      <c r="L843" s="169">
        <v>53.799999</v>
      </c>
      <c r="M843" s="169">
        <v>54.369999</v>
      </c>
      <c r="N843" s="169">
        <v>53.049999</v>
      </c>
      <c r="O843" s="169">
        <v>53.360000999999997</v>
      </c>
      <c r="P843" s="169">
        <v>39.725979000000002</v>
      </c>
      <c r="Q843" s="169">
        <v>88179900</v>
      </c>
      <c r="R843" s="53">
        <f t="shared" si="16"/>
        <v>-1.0569324928024759E-2</v>
      </c>
      <c r="S843" s="146">
        <f>(P843/P842)*('16. câmbio USD-BRL'!O843/'16. câmbio USD-BRL'!O842)^-1 -1</f>
        <v>-8.8343644915802599E-3</v>
      </c>
    </row>
    <row r="844" spans="11:19" x14ac:dyDescent="0.2">
      <c r="K844" s="355">
        <v>43843</v>
      </c>
      <c r="L844" s="169">
        <v>53.639999000000003</v>
      </c>
      <c r="M844" s="169">
        <v>57.09</v>
      </c>
      <c r="N844" s="169">
        <v>53.509998000000003</v>
      </c>
      <c r="O844" s="169">
        <v>57</v>
      </c>
      <c r="P844" s="169">
        <v>42.435921</v>
      </c>
      <c r="Q844" s="169">
        <v>126412900</v>
      </c>
      <c r="R844" s="53">
        <f t="shared" si="16"/>
        <v>6.8215864485051458E-2</v>
      </c>
      <c r="S844" s="146">
        <f>(P844/P843)*('16. câmbio USD-BRL'!O844/'16. câmbio USD-BRL'!O843)^-1 -1</f>
        <v>4.2096331594366099E-2</v>
      </c>
    </row>
    <row r="845" spans="11:19" x14ac:dyDescent="0.2">
      <c r="K845" s="355">
        <v>43850</v>
      </c>
      <c r="L845" s="169">
        <v>57</v>
      </c>
      <c r="M845" s="169">
        <v>57.360000999999997</v>
      </c>
      <c r="N845" s="169">
        <v>53.689999</v>
      </c>
      <c r="O845" s="169">
        <v>53.799999</v>
      </c>
      <c r="P845" s="169">
        <v>40.053558000000002</v>
      </c>
      <c r="Q845" s="169">
        <v>102226200</v>
      </c>
      <c r="R845" s="53">
        <f t="shared" si="16"/>
        <v>-5.6140244958981733E-2</v>
      </c>
      <c r="S845" s="146">
        <f>(P845/P844)*('16. câmbio USD-BRL'!O845/'16. câmbio USD-BRL'!O844)^-1 -1</f>
        <v>-6.0633954975086835E-2</v>
      </c>
    </row>
    <row r="846" spans="11:19" x14ac:dyDescent="0.2">
      <c r="K846" s="355">
        <v>43857</v>
      </c>
      <c r="L846" s="169">
        <v>51.66</v>
      </c>
      <c r="M846" s="169">
        <v>52.09</v>
      </c>
      <c r="N846" s="169">
        <v>49.799999</v>
      </c>
      <c r="O846" s="169">
        <v>50.27</v>
      </c>
      <c r="P846" s="169">
        <v>37.425507000000003</v>
      </c>
      <c r="Q846" s="169">
        <v>138220500</v>
      </c>
      <c r="R846" s="53">
        <f t="shared" si="16"/>
        <v>-6.5613421908735314E-2</v>
      </c>
      <c r="S846" s="146">
        <f>(P846/P845)*('16. câmbio USD-BRL'!O846/'16. câmbio USD-BRL'!O845)^-1 -1</f>
        <v>-8.770170074611805E-2</v>
      </c>
    </row>
    <row r="847" spans="11:19" x14ac:dyDescent="0.2">
      <c r="K847" s="355">
        <v>43864</v>
      </c>
      <c r="L847" s="169">
        <v>50.5</v>
      </c>
      <c r="M847" s="169">
        <v>53.919998</v>
      </c>
      <c r="N847" s="169">
        <v>49.799999</v>
      </c>
      <c r="O847" s="169">
        <v>52.099997999999999</v>
      </c>
      <c r="P847" s="169">
        <v>38.787925999999999</v>
      </c>
      <c r="Q847" s="169">
        <v>103821800</v>
      </c>
      <c r="R847" s="53">
        <f t="shared" si="16"/>
        <v>3.6403488134442608E-2</v>
      </c>
      <c r="S847" s="146">
        <f>(P847/P846)*('16. câmbio USD-BRL'!O847/'16. câmbio USD-BRL'!O846)^-1 -1</f>
        <v>2.7284865177946038E-2</v>
      </c>
    </row>
    <row r="848" spans="11:19" x14ac:dyDescent="0.2">
      <c r="K848" s="355">
        <v>43871</v>
      </c>
      <c r="L848" s="169">
        <v>51.900002000000001</v>
      </c>
      <c r="M848" s="169">
        <v>53.380001</v>
      </c>
      <c r="N848" s="169">
        <v>49.919998</v>
      </c>
      <c r="O848" s="169">
        <v>51</v>
      </c>
      <c r="P848" s="169">
        <v>37.968983000000001</v>
      </c>
      <c r="Q848" s="169">
        <v>124347000</v>
      </c>
      <c r="R848" s="53">
        <f t="shared" si="16"/>
        <v>-2.1113348519846031E-2</v>
      </c>
      <c r="S848" s="146">
        <f>(P848/P847)*('16. câmbio USD-BRL'!O848/'16. câmbio USD-BRL'!O847)^-1 -1</f>
        <v>-1.5872568030077971E-2</v>
      </c>
    </row>
    <row r="849" spans="11:19" x14ac:dyDescent="0.2">
      <c r="K849" s="355">
        <v>43878</v>
      </c>
      <c r="L849" s="169">
        <v>51.709999000000003</v>
      </c>
      <c r="M849" s="169">
        <v>53.490001999999997</v>
      </c>
      <c r="N849" s="169">
        <v>49.799999</v>
      </c>
      <c r="O849" s="169">
        <v>50.130001</v>
      </c>
      <c r="P849" s="169">
        <v>37.321278</v>
      </c>
      <c r="Q849" s="169">
        <v>111697000</v>
      </c>
      <c r="R849" s="53">
        <f t="shared" si="16"/>
        <v>-1.7058792435920678E-2</v>
      </c>
      <c r="S849" s="146">
        <f>(P849/P848)*('16. câmbio USD-BRL'!O849/'16. câmbio USD-BRL'!O848)^-1 -1</f>
        <v>-3.768933531704266E-2</v>
      </c>
    </row>
    <row r="850" spans="11:19" x14ac:dyDescent="0.2">
      <c r="K850" s="355">
        <v>43885</v>
      </c>
      <c r="L850" s="169">
        <v>50.130001</v>
      </c>
      <c r="M850" s="169">
        <v>50.130001</v>
      </c>
      <c r="N850" s="169">
        <v>43.200001</v>
      </c>
      <c r="O850" s="169">
        <v>44.310001</v>
      </c>
      <c r="P850" s="169">
        <v>32.988349999999997</v>
      </c>
      <c r="Q850" s="169">
        <v>122570900</v>
      </c>
      <c r="R850" s="53">
        <f t="shared" si="16"/>
        <v>-0.11609806073629103</v>
      </c>
      <c r="S850" s="146">
        <f>(P850/P849)*('16. câmbio USD-BRL'!O850/'16. câmbio USD-BRL'!O849)^-1 -1</f>
        <v>-0.13239164325775021</v>
      </c>
    </row>
    <row r="851" spans="11:19" x14ac:dyDescent="0.2">
      <c r="K851" s="355">
        <v>43892</v>
      </c>
      <c r="L851" s="169">
        <v>44.880001</v>
      </c>
      <c r="M851" s="169">
        <v>49.09</v>
      </c>
      <c r="N851" s="169">
        <v>43.650002000000001</v>
      </c>
      <c r="O851" s="169">
        <v>44.610000999999997</v>
      </c>
      <c r="P851" s="169">
        <v>33.211692999999997</v>
      </c>
      <c r="Q851" s="169">
        <v>201061800</v>
      </c>
      <c r="R851" s="53">
        <f t="shared" si="16"/>
        <v>6.7703598391553044E-3</v>
      </c>
      <c r="S851" s="146">
        <f>(P851/P850)*('16. câmbio USD-BRL'!O851/'16. câmbio USD-BRL'!O850)^-1 -1</f>
        <v>-2.7027768640273564E-2</v>
      </c>
    </row>
    <row r="852" spans="11:19" x14ac:dyDescent="0.2">
      <c r="K852" s="355">
        <v>43899</v>
      </c>
      <c r="L852" s="169">
        <v>40.450001</v>
      </c>
      <c r="M852" s="169">
        <v>45.34</v>
      </c>
      <c r="N852" s="169">
        <v>32.450001</v>
      </c>
      <c r="O852" s="169">
        <v>42.900002000000001</v>
      </c>
      <c r="P852" s="169">
        <v>31.938618000000002</v>
      </c>
      <c r="Q852" s="169">
        <v>302189700</v>
      </c>
      <c r="R852" s="53">
        <f t="shared" si="16"/>
        <v>-3.8332131999413432E-2</v>
      </c>
      <c r="S852" s="146">
        <f>(P852/P851)*('16. câmbio USD-BRL'!O852/'16. câmbio USD-BRL'!O851)^-1 -1</f>
        <v>-8.4316250427716066E-2</v>
      </c>
    </row>
    <row r="853" spans="11:19" x14ac:dyDescent="0.2">
      <c r="K853" s="355">
        <v>43906</v>
      </c>
      <c r="L853" s="169">
        <v>36.009998000000003</v>
      </c>
      <c r="M853" s="169">
        <v>43.57</v>
      </c>
      <c r="N853" s="169">
        <v>34.709999000000003</v>
      </c>
      <c r="O853" s="169">
        <v>35.189999</v>
      </c>
      <c r="P853" s="169">
        <v>26.198601</v>
      </c>
      <c r="Q853" s="169">
        <v>274636500</v>
      </c>
      <c r="R853" s="53">
        <f t="shared" si="16"/>
        <v>-0.17972026842238453</v>
      </c>
      <c r="S853" s="146">
        <f>(P853/P852)*('16. câmbio USD-BRL'!O853/'16. câmbio USD-BRL'!O852)^-1 -1</f>
        <v>-0.21773763025063531</v>
      </c>
    </row>
    <row r="854" spans="11:19" x14ac:dyDescent="0.2">
      <c r="K854" s="355">
        <v>43913</v>
      </c>
      <c r="L854" s="169">
        <v>35.549999</v>
      </c>
      <c r="M854" s="169">
        <v>42.41</v>
      </c>
      <c r="N854" s="169">
        <v>33.369999</v>
      </c>
      <c r="O854" s="169">
        <v>40.099997999999999</v>
      </c>
      <c r="P854" s="169">
        <v>29.854043999999998</v>
      </c>
      <c r="Q854" s="169">
        <v>185651700</v>
      </c>
      <c r="R854" s="53">
        <f t="shared" si="16"/>
        <v>0.13952817556937469</v>
      </c>
      <c r="S854" s="146">
        <f>(P854/P853)*('16. câmbio USD-BRL'!O854/'16. câmbio USD-BRL'!O853)^-1 -1</f>
        <v>0.13845546812816401</v>
      </c>
    </row>
    <row r="855" spans="11:19" x14ac:dyDescent="0.2">
      <c r="K855" s="355">
        <v>43920</v>
      </c>
      <c r="L855" s="169">
        <v>40.919998</v>
      </c>
      <c r="M855" s="169">
        <v>44.57</v>
      </c>
      <c r="N855" s="169">
        <v>39.759998000000003</v>
      </c>
      <c r="O855" s="169">
        <v>40.5</v>
      </c>
      <c r="P855" s="169">
        <v>30.151841999999998</v>
      </c>
      <c r="Q855" s="169">
        <v>173651000</v>
      </c>
      <c r="R855" s="53">
        <f t="shared" si="16"/>
        <v>9.9751310073770139E-3</v>
      </c>
      <c r="S855" s="146">
        <f>(P855/P854)*('16. câmbio USD-BRL'!O855/'16. câmbio USD-BRL'!O854)^-1 -1</f>
        <v>-2.0062947309075541E-2</v>
      </c>
    </row>
    <row r="856" spans="11:19" x14ac:dyDescent="0.2">
      <c r="K856" s="355">
        <v>43927</v>
      </c>
      <c r="L856" s="169">
        <v>42.599997999999999</v>
      </c>
      <c r="M856" s="169">
        <v>45.5</v>
      </c>
      <c r="N856" s="169">
        <v>41.970001000000003</v>
      </c>
      <c r="O856" s="169">
        <v>43.279998999999997</v>
      </c>
      <c r="P856" s="169">
        <v>32.221522999999998</v>
      </c>
      <c r="Q856" s="169">
        <v>125503500</v>
      </c>
      <c r="R856" s="53">
        <f t="shared" si="16"/>
        <v>6.8641942339708439E-2</v>
      </c>
      <c r="S856" s="146">
        <f>(P856/P855)*('16. câmbio USD-BRL'!O856/'16. câmbio USD-BRL'!O855)^-1 -1</f>
        <v>9.9996866042086019E-2</v>
      </c>
    </row>
    <row r="857" spans="11:19" x14ac:dyDescent="0.2">
      <c r="K857" s="355">
        <v>43934</v>
      </c>
      <c r="L857" s="169">
        <v>43.200001</v>
      </c>
      <c r="M857" s="169">
        <v>46</v>
      </c>
      <c r="N857" s="169">
        <v>42.040000999999997</v>
      </c>
      <c r="O857" s="169">
        <v>44</v>
      </c>
      <c r="P857" s="169">
        <v>32.757556999999998</v>
      </c>
      <c r="Q857" s="169">
        <v>123636600</v>
      </c>
      <c r="R857" s="53">
        <f t="shared" si="16"/>
        <v>1.6635898930041249E-2</v>
      </c>
      <c r="S857" s="146">
        <f>(P857/P856)*('16. câmbio USD-BRL'!O857/'16. câmbio USD-BRL'!O856)^-1 -1</f>
        <v>-8.5887263652585366E-3</v>
      </c>
    </row>
    <row r="858" spans="11:19" x14ac:dyDescent="0.2">
      <c r="K858" s="355">
        <v>43941</v>
      </c>
      <c r="L858" s="169">
        <v>43.259998000000003</v>
      </c>
      <c r="M858" s="169">
        <v>44.689999</v>
      </c>
      <c r="N858" s="169">
        <v>41.830002</v>
      </c>
      <c r="O858" s="169">
        <v>43.759998000000003</v>
      </c>
      <c r="P858" s="169">
        <v>32.578876000000001</v>
      </c>
      <c r="Q858" s="169">
        <v>134081300</v>
      </c>
      <c r="R858" s="53">
        <f t="shared" si="16"/>
        <v>-5.4546497469269983E-3</v>
      </c>
      <c r="S858" s="146">
        <f>(P858/P857)*('16. câmbio USD-BRL'!O858/'16. câmbio USD-BRL'!O857)^-1 -1</f>
        <v>-6.8843176309070775E-2</v>
      </c>
    </row>
    <row r="859" spans="11:19" x14ac:dyDescent="0.2">
      <c r="K859" s="355">
        <v>43948</v>
      </c>
      <c r="L859" s="169">
        <v>44.459999000000003</v>
      </c>
      <c r="M859" s="169">
        <v>47.380001</v>
      </c>
      <c r="N859" s="169">
        <v>43.48</v>
      </c>
      <c r="O859" s="169">
        <v>44.860000999999997</v>
      </c>
      <c r="P859" s="169">
        <v>33.397815999999999</v>
      </c>
      <c r="Q859" s="169">
        <v>110188400</v>
      </c>
      <c r="R859" s="53">
        <f t="shared" si="16"/>
        <v>2.5137147150196215E-2</v>
      </c>
      <c r="S859" s="146">
        <f>(P859/P858)*('16. câmbio USD-BRL'!O859/'16. câmbio USD-BRL'!O858)^-1 -1</f>
        <v>4.4926429470910412E-2</v>
      </c>
    </row>
    <row r="860" spans="11:19" x14ac:dyDescent="0.2">
      <c r="K860" s="355">
        <v>43955</v>
      </c>
      <c r="L860" s="169">
        <v>43.700001</v>
      </c>
      <c r="M860" s="169">
        <v>48.959999000000003</v>
      </c>
      <c r="N860" s="169">
        <v>43.400002000000001</v>
      </c>
      <c r="O860" s="169">
        <v>48.849997999999999</v>
      </c>
      <c r="P860" s="169">
        <v>36.368332000000002</v>
      </c>
      <c r="Q860" s="169">
        <v>138784700</v>
      </c>
      <c r="R860" s="53">
        <f t="shared" si="16"/>
        <v>8.8943420731463441E-2</v>
      </c>
      <c r="S860" s="146">
        <f>(P860/P859)*('16. câmbio USD-BRL'!O860/'16. câmbio USD-BRL'!O859)^-1 -1</f>
        <v>4.2408513958039684E-2</v>
      </c>
    </row>
    <row r="861" spans="11:19" x14ac:dyDescent="0.2">
      <c r="K861" s="355">
        <v>43962</v>
      </c>
      <c r="L861" s="169">
        <v>48.209999000000003</v>
      </c>
      <c r="M861" s="169">
        <v>49.299999</v>
      </c>
      <c r="N861" s="169">
        <v>46.939999</v>
      </c>
      <c r="O861" s="169">
        <v>48.049999</v>
      </c>
      <c r="P861" s="169">
        <v>35.772736000000002</v>
      </c>
      <c r="Q861" s="169">
        <v>151459000</v>
      </c>
      <c r="R861" s="53">
        <f t="shared" si="16"/>
        <v>-1.6376775267009758E-2</v>
      </c>
      <c r="S861" s="146">
        <f>(P861/P860)*('16. câmbio USD-BRL'!O861/'16. câmbio USD-BRL'!O860)^-1 -1</f>
        <v>-3.6919950975950577E-2</v>
      </c>
    </row>
    <row r="862" spans="11:19" x14ac:dyDescent="0.2">
      <c r="K862" s="355">
        <v>43969</v>
      </c>
      <c r="L862" s="169">
        <v>50.34</v>
      </c>
      <c r="M862" s="169">
        <v>53.669998</v>
      </c>
      <c r="N862" s="169">
        <v>49.900002000000001</v>
      </c>
      <c r="O862" s="169">
        <v>50.27</v>
      </c>
      <c r="P862" s="169">
        <v>37.425507000000003</v>
      </c>
      <c r="Q862" s="169">
        <v>162391000</v>
      </c>
      <c r="R862" s="53">
        <f t="shared" si="16"/>
        <v>4.6201973480585856E-2</v>
      </c>
      <c r="S862" s="146">
        <f>(P862/P861)*('16. câmbio USD-BRL'!O862/'16. câmbio USD-BRL'!O861)^-1 -1</f>
        <v>0.10777793499371446</v>
      </c>
    </row>
    <row r="863" spans="11:19" x14ac:dyDescent="0.2">
      <c r="K863" s="355">
        <v>43976</v>
      </c>
      <c r="L863" s="169">
        <v>51.41</v>
      </c>
      <c r="M863" s="169">
        <v>53</v>
      </c>
      <c r="N863" s="169">
        <v>48.779998999999997</v>
      </c>
      <c r="O863" s="169">
        <v>53</v>
      </c>
      <c r="P863" s="169">
        <v>39.457965999999999</v>
      </c>
      <c r="Q863" s="169">
        <v>198189100</v>
      </c>
      <c r="R863" s="53">
        <f t="shared" si="16"/>
        <v>5.4306786010941632E-2</v>
      </c>
      <c r="S863" s="146">
        <f>(P863/P862)*('16. câmbio USD-BRL'!O863/'16. câmbio USD-BRL'!O862)^-1 -1</f>
        <v>9.2941436346920314E-2</v>
      </c>
    </row>
    <row r="864" spans="11:19" x14ac:dyDescent="0.2">
      <c r="K864" s="355">
        <v>43983</v>
      </c>
      <c r="L864" s="169">
        <v>52.82</v>
      </c>
      <c r="M864" s="169">
        <v>56.700001</v>
      </c>
      <c r="N864" s="169">
        <v>52.5</v>
      </c>
      <c r="O864" s="169">
        <v>54.610000999999997</v>
      </c>
      <c r="P864" s="169">
        <v>40.656593000000001</v>
      </c>
      <c r="Q864" s="169">
        <v>161777000</v>
      </c>
      <c r="R864" s="53">
        <f t="shared" si="16"/>
        <v>3.037731341752381E-2</v>
      </c>
      <c r="S864" s="146">
        <f>(P864/P863)*('16. câmbio USD-BRL'!O864/'16. câmbio USD-BRL'!O863)^-1 -1</f>
        <v>0.10741518011129658</v>
      </c>
    </row>
    <row r="865" spans="11:19" x14ac:dyDescent="0.2">
      <c r="K865" s="355">
        <v>43990</v>
      </c>
      <c r="L865" s="169">
        <v>54.98</v>
      </c>
      <c r="M865" s="169">
        <v>55.650002000000001</v>
      </c>
      <c r="N865" s="169">
        <v>51.98</v>
      </c>
      <c r="O865" s="169">
        <v>53.400002000000001</v>
      </c>
      <c r="P865" s="169">
        <v>39.755763999999999</v>
      </c>
      <c r="Q865" s="169">
        <v>102861500</v>
      </c>
      <c r="R865" s="53">
        <f t="shared" si="16"/>
        <v>-2.2157021371662977E-2</v>
      </c>
      <c r="S865" s="146">
        <f>(P865/P864)*('16. câmbio USD-BRL'!O865/'16. câmbio USD-BRL'!O864)^-1 -1</f>
        <v>-3.8826498974606216E-2</v>
      </c>
    </row>
    <row r="866" spans="11:19" x14ac:dyDescent="0.2">
      <c r="K866" s="355">
        <v>43997</v>
      </c>
      <c r="L866" s="169">
        <v>52.5</v>
      </c>
      <c r="M866" s="169">
        <v>56.599997999999999</v>
      </c>
      <c r="N866" s="169">
        <v>52.130001</v>
      </c>
      <c r="O866" s="169">
        <v>55.169998</v>
      </c>
      <c r="P866" s="169">
        <v>41.073504999999997</v>
      </c>
      <c r="Q866" s="169">
        <v>148444900</v>
      </c>
      <c r="R866" s="53">
        <f t="shared" si="16"/>
        <v>3.3145910615627994E-2</v>
      </c>
      <c r="S866" s="146">
        <f>(P866/P865)*('16. câmbio USD-BRL'!O866/'16. câmbio USD-BRL'!O865)^-1 -1</f>
        <v>-1.7639855095667345E-2</v>
      </c>
    </row>
    <row r="867" spans="11:19" x14ac:dyDescent="0.2">
      <c r="K867" s="355">
        <v>44004</v>
      </c>
      <c r="L867" s="169">
        <v>55</v>
      </c>
      <c r="M867" s="169">
        <v>56.950001</v>
      </c>
      <c r="N867" s="169">
        <v>54.43</v>
      </c>
      <c r="O867" s="169">
        <v>55.619999</v>
      </c>
      <c r="P867" s="169">
        <v>41.408526999999999</v>
      </c>
      <c r="Q867" s="169">
        <v>90028100</v>
      </c>
      <c r="R867" s="53">
        <f t="shared" si="16"/>
        <v>8.1566450197030349E-3</v>
      </c>
      <c r="S867" s="146">
        <f>(P867/P866)*('16. câmbio USD-BRL'!O867/'16. câmbio USD-BRL'!O866)^-1 -1</f>
        <v>-2.2781893786566698E-2</v>
      </c>
    </row>
    <row r="868" spans="11:19" x14ac:dyDescent="0.2">
      <c r="K868" s="355">
        <v>44011</v>
      </c>
      <c r="L868" s="169">
        <v>55.439999</v>
      </c>
      <c r="M868" s="169">
        <v>56.540000999999997</v>
      </c>
      <c r="N868" s="169">
        <v>54.049999</v>
      </c>
      <c r="O868" s="169">
        <v>55.259998000000003</v>
      </c>
      <c r="P868" s="169">
        <v>41.140506999999999</v>
      </c>
      <c r="Q868" s="169">
        <v>103896000</v>
      </c>
      <c r="R868" s="53">
        <f t="shared" si="16"/>
        <v>-6.4725799108961146E-3</v>
      </c>
      <c r="S868" s="146">
        <f>(P868/P867)*('16. câmbio USD-BRL'!O868/'16. câmbio USD-BRL'!O867)^-1 -1</f>
        <v>2.4526628010614004E-2</v>
      </c>
    </row>
    <row r="869" spans="11:19" x14ac:dyDescent="0.2">
      <c r="K869" s="355">
        <v>44018</v>
      </c>
      <c r="L869" s="169">
        <v>56.09</v>
      </c>
      <c r="M869" s="169">
        <v>57.720001000000003</v>
      </c>
      <c r="N869" s="169">
        <v>55.59</v>
      </c>
      <c r="O869" s="169">
        <v>56.970001000000003</v>
      </c>
      <c r="P869" s="169">
        <v>42.413589000000002</v>
      </c>
      <c r="Q869" s="169">
        <v>104312600</v>
      </c>
      <c r="R869" s="53">
        <f t="shared" si="16"/>
        <v>3.0944732888197102E-2</v>
      </c>
      <c r="S869" s="146">
        <f>(P869/P868)*('16. câmbio USD-BRL'!O869/'16. câmbio USD-BRL'!O868)^-1 -1</f>
        <v>2.9851992575589792E-2</v>
      </c>
    </row>
    <row r="870" spans="11:19" x14ac:dyDescent="0.2">
      <c r="K870" s="355">
        <v>44025</v>
      </c>
      <c r="L870" s="169">
        <v>57.73</v>
      </c>
      <c r="M870" s="169">
        <v>62.93</v>
      </c>
      <c r="N870" s="169">
        <v>57.650002000000001</v>
      </c>
      <c r="O870" s="169">
        <v>61.040000999999997</v>
      </c>
      <c r="P870" s="169">
        <v>45.443665000000003</v>
      </c>
      <c r="Q870" s="169">
        <v>152532600</v>
      </c>
      <c r="R870" s="53">
        <f t="shared" si="16"/>
        <v>7.1441160048964614E-2</v>
      </c>
      <c r="S870" s="146">
        <f>(P870/P869)*('16. câmbio USD-BRL'!O870/'16. câmbio USD-BRL'!O869)^-1 -1</f>
        <v>5.7833848700594048E-2</v>
      </c>
    </row>
    <row r="871" spans="11:19" x14ac:dyDescent="0.2">
      <c r="K871" s="355">
        <v>44032</v>
      </c>
      <c r="L871" s="169">
        <v>61.119999</v>
      </c>
      <c r="M871" s="169">
        <v>61.490001999999997</v>
      </c>
      <c r="N871" s="169">
        <v>57.82</v>
      </c>
      <c r="O871" s="169">
        <v>58.599997999999999</v>
      </c>
      <c r="P871" s="169">
        <v>43.627110000000002</v>
      </c>
      <c r="Q871" s="169">
        <v>105015800</v>
      </c>
      <c r="R871" s="53">
        <f t="shared" si="16"/>
        <v>-3.9973778523365144E-2</v>
      </c>
      <c r="S871" s="146">
        <f>(P871/P870)*('16. câmbio USD-BRL'!O871/'16. câmbio USD-BRL'!O870)^-1 -1</f>
        <v>-1.1138099864971607E-2</v>
      </c>
    </row>
    <row r="872" spans="11:19" x14ac:dyDescent="0.2">
      <c r="K872" s="355">
        <v>44039</v>
      </c>
      <c r="L872" s="169">
        <v>59.099997999999999</v>
      </c>
      <c r="M872" s="169">
        <v>62.950001</v>
      </c>
      <c r="N872" s="169">
        <v>58.98</v>
      </c>
      <c r="O872" s="169">
        <v>60.709999000000003</v>
      </c>
      <c r="P872" s="169">
        <v>45.197983000000001</v>
      </c>
      <c r="Q872" s="169">
        <v>144848400</v>
      </c>
      <c r="R872" s="53">
        <f t="shared" si="16"/>
        <v>3.6006808610517638E-2</v>
      </c>
      <c r="S872" s="146">
        <f>(P872/P871)*('16. câmbio USD-BRL'!O872/'16. câmbio USD-BRL'!O871)^-1 -1</f>
        <v>3.7356163376659701E-2</v>
      </c>
    </row>
    <row r="873" spans="11:19" x14ac:dyDescent="0.2">
      <c r="K873" s="355">
        <v>44046</v>
      </c>
      <c r="L873" s="169">
        <v>61.860000999999997</v>
      </c>
      <c r="M873" s="169">
        <v>62.900002000000001</v>
      </c>
      <c r="N873" s="169">
        <v>59.360000999999997</v>
      </c>
      <c r="O873" s="169">
        <v>60.450001</v>
      </c>
      <c r="P873" s="169">
        <v>45.004421000000001</v>
      </c>
      <c r="Q873" s="169">
        <v>306341700</v>
      </c>
      <c r="R873" s="53">
        <f t="shared" si="16"/>
        <v>-4.2825362361855746E-3</v>
      </c>
      <c r="S873" s="146">
        <f>(P873/P872)*('16. câmbio USD-BRL'!O873/'16. câmbio USD-BRL'!O872)^-1 -1</f>
        <v>-4.3485716326723711E-2</v>
      </c>
    </row>
    <row r="874" spans="11:19" x14ac:dyDescent="0.2">
      <c r="K874" s="355">
        <v>44053</v>
      </c>
      <c r="L874" s="169">
        <v>60.700001</v>
      </c>
      <c r="M874" s="169">
        <v>62.82</v>
      </c>
      <c r="N874" s="169">
        <v>60.110000999999997</v>
      </c>
      <c r="O874" s="169">
        <v>61.349997999999999</v>
      </c>
      <c r="P874" s="169">
        <v>45.674453999999997</v>
      </c>
      <c r="Q874" s="169">
        <v>125547100</v>
      </c>
      <c r="R874" s="53">
        <f t="shared" si="16"/>
        <v>1.4888159543259061E-2</v>
      </c>
      <c r="S874" s="146">
        <f>(P874/P873)*('16. câmbio USD-BRL'!O874/'16. câmbio USD-BRL'!O873)^-1 -1</f>
        <v>1.7693384643005627E-2</v>
      </c>
    </row>
    <row r="875" spans="11:19" x14ac:dyDescent="0.2">
      <c r="K875" s="355">
        <v>44060</v>
      </c>
      <c r="L875" s="169">
        <v>61.779998999999997</v>
      </c>
      <c r="M875" s="169">
        <v>63.880001</v>
      </c>
      <c r="N875" s="169">
        <v>61.150002000000001</v>
      </c>
      <c r="O875" s="169">
        <v>62.200001</v>
      </c>
      <c r="P875" s="169">
        <v>46.307274</v>
      </c>
      <c r="Q875" s="169">
        <v>151639300</v>
      </c>
      <c r="R875" s="53">
        <f t="shared" si="16"/>
        <v>1.3855009629671899E-2</v>
      </c>
      <c r="S875" s="146">
        <f>(P875/P874)*('16. câmbio USD-BRL'!O875/'16. câmbio USD-BRL'!O874)^-1 -1</f>
        <v>-2.1842966571397837E-2</v>
      </c>
    </row>
    <row r="876" spans="11:19" x14ac:dyDescent="0.2">
      <c r="K876" s="355">
        <v>44067</v>
      </c>
      <c r="L876" s="169">
        <v>62.939999</v>
      </c>
      <c r="M876" s="169">
        <v>63.130001</v>
      </c>
      <c r="N876" s="169">
        <v>60.330002</v>
      </c>
      <c r="O876" s="169">
        <v>61.099997999999999</v>
      </c>
      <c r="P876" s="169">
        <v>45.488326999999998</v>
      </c>
      <c r="Q876" s="169">
        <v>98654300</v>
      </c>
      <c r="R876" s="53">
        <f t="shared" si="16"/>
        <v>-1.7685061746454789E-2</v>
      </c>
      <c r="S876" s="146">
        <f>(P876/P875)*('16. câmbio USD-BRL'!O876/'16. câmbio USD-BRL'!O875)^-1 -1</f>
        <v>2.3945712546516562E-2</v>
      </c>
    </row>
    <row r="877" spans="11:19" x14ac:dyDescent="0.2">
      <c r="K877" s="355">
        <v>44074</v>
      </c>
      <c r="L877" s="169">
        <v>61.099997999999999</v>
      </c>
      <c r="M877" s="169">
        <v>62.34</v>
      </c>
      <c r="N877" s="169">
        <v>58.700001</v>
      </c>
      <c r="O877" s="169">
        <v>60.490001999999997</v>
      </c>
      <c r="P877" s="169">
        <v>45.034194999999997</v>
      </c>
      <c r="Q877" s="169">
        <v>139829000</v>
      </c>
      <c r="R877" s="53">
        <f t="shared" si="16"/>
        <v>-9.9834843343437063E-3</v>
      </c>
      <c r="S877" s="146">
        <f>(P877/P876)*('16. câmbio USD-BRL'!O877/'16. câmbio USD-BRL'!O876)^-1 -1</f>
        <v>6.7163546249782158E-3</v>
      </c>
    </row>
    <row r="878" spans="11:19" x14ac:dyDescent="0.2">
      <c r="K878" s="355">
        <v>44081</v>
      </c>
      <c r="L878" s="169">
        <v>60.490001999999997</v>
      </c>
      <c r="M878" s="169">
        <v>62.299999</v>
      </c>
      <c r="N878" s="169">
        <v>58.32</v>
      </c>
      <c r="O878" s="169">
        <v>61.950001</v>
      </c>
      <c r="P878" s="169">
        <v>46.121147000000001</v>
      </c>
      <c r="Q878" s="169">
        <v>96633900</v>
      </c>
      <c r="R878" s="53">
        <f t="shared" si="16"/>
        <v>2.4136148098128585E-2</v>
      </c>
      <c r="S878" s="146">
        <f>(P878/P877)*('16. câmbio USD-BRL'!O878/'16. câmbio USD-BRL'!O877)^-1 -1</f>
        <v>2.1015250146775299E-2</v>
      </c>
    </row>
    <row r="879" spans="11:19" x14ac:dyDescent="0.2">
      <c r="K879" s="355">
        <v>44088</v>
      </c>
      <c r="L879" s="169">
        <v>62.799999</v>
      </c>
      <c r="M879" s="169">
        <v>63.650002000000001</v>
      </c>
      <c r="N879" s="169">
        <v>60.110000999999997</v>
      </c>
      <c r="O879" s="169">
        <v>61.66</v>
      </c>
      <c r="P879" s="169">
        <v>45.905247000000003</v>
      </c>
      <c r="Q879" s="169">
        <v>161665600</v>
      </c>
      <c r="R879" s="53">
        <f t="shared" si="16"/>
        <v>-4.6811498421753805E-3</v>
      </c>
      <c r="S879" s="146">
        <f>(P879/P878)*('16. câmbio USD-BRL'!O879/'16. câmbio USD-BRL'!O878)^-1 -1</f>
        <v>-1.8218254476563112E-2</v>
      </c>
    </row>
    <row r="880" spans="11:19" x14ac:dyDescent="0.2">
      <c r="K880" s="355">
        <v>44095</v>
      </c>
      <c r="L880" s="169">
        <v>61.049999</v>
      </c>
      <c r="M880" s="169">
        <v>61.389999000000003</v>
      </c>
      <c r="N880" s="169">
        <v>57.060001</v>
      </c>
      <c r="O880" s="169">
        <v>59.25</v>
      </c>
      <c r="P880" s="169">
        <v>44.111023000000003</v>
      </c>
      <c r="Q880" s="169">
        <v>173672300</v>
      </c>
      <c r="R880" s="53">
        <f t="shared" si="16"/>
        <v>-3.9085379499210648E-2</v>
      </c>
      <c r="S880" s="146">
        <f>(P880/P879)*('16. câmbio USD-BRL'!O880/'16. câmbio USD-BRL'!O879)^-1 -1</f>
        <v>-6.8469033398036783E-2</v>
      </c>
    </row>
    <row r="881" spans="11:19" x14ac:dyDescent="0.2">
      <c r="K881" s="355">
        <v>44102</v>
      </c>
      <c r="L881" s="169">
        <v>59.939999</v>
      </c>
      <c r="M881" s="169">
        <v>60.27</v>
      </c>
      <c r="N881" s="169">
        <v>58.02</v>
      </c>
      <c r="O881" s="169">
        <v>58.32</v>
      </c>
      <c r="P881" s="169">
        <v>45.233662000000002</v>
      </c>
      <c r="Q881" s="169">
        <v>128936000</v>
      </c>
      <c r="R881" s="53">
        <f t="shared" si="16"/>
        <v>2.5450305244564264E-2</v>
      </c>
      <c r="S881" s="146">
        <f>(P881/P880)*('16. câmbio USD-BRL'!O881/'16. câmbio USD-BRL'!O880)^-1 -1</f>
        <v>3.7305538983800623E-3</v>
      </c>
    </row>
    <row r="882" spans="11:19" x14ac:dyDescent="0.2">
      <c r="K882" s="355">
        <v>44109</v>
      </c>
      <c r="L882" s="169">
        <v>58.900002000000001</v>
      </c>
      <c r="M882" s="169">
        <v>61.939999</v>
      </c>
      <c r="N882" s="169">
        <v>58.209999000000003</v>
      </c>
      <c r="O882" s="169">
        <v>61.599997999999999</v>
      </c>
      <c r="P882" s="169">
        <v>47.777664000000001</v>
      </c>
      <c r="Q882" s="169">
        <v>110443600</v>
      </c>
      <c r="R882" s="53">
        <f t="shared" si="16"/>
        <v>5.6241345217638905E-2</v>
      </c>
      <c r="S882" s="146">
        <f>(P882/P881)*('16. câmbio USD-BRL'!O882/'16. câmbio USD-BRL'!O881)^-1 -1</f>
        <v>8.5344640958248563E-2</v>
      </c>
    </row>
    <row r="883" spans="11:19" x14ac:dyDescent="0.2">
      <c r="K883" s="355">
        <v>44116</v>
      </c>
      <c r="L883" s="169">
        <v>61.599997999999999</v>
      </c>
      <c r="M883" s="169">
        <v>63.290000999999997</v>
      </c>
      <c r="N883" s="169">
        <v>61.029998999999997</v>
      </c>
      <c r="O883" s="169">
        <v>62.240001999999997</v>
      </c>
      <c r="P883" s="169">
        <v>48.274054999999997</v>
      </c>
      <c r="Q883" s="169">
        <v>72993500</v>
      </c>
      <c r="R883" s="53">
        <f t="shared" si="16"/>
        <v>1.0389603811521653E-2</v>
      </c>
      <c r="S883" s="146">
        <f>(P883/P882)*('16. câmbio USD-BRL'!O883/'16. câmbio USD-BRL'!O882)^-1 -1</f>
        <v>-1.039647450911596E-2</v>
      </c>
    </row>
    <row r="884" spans="11:19" x14ac:dyDescent="0.2">
      <c r="K884" s="355">
        <v>44123</v>
      </c>
      <c r="L884" s="169">
        <v>62.73</v>
      </c>
      <c r="M884" s="169">
        <v>63.889999000000003</v>
      </c>
      <c r="N884" s="169">
        <v>61.330002</v>
      </c>
      <c r="O884" s="169">
        <v>63.450001</v>
      </c>
      <c r="P884" s="169">
        <v>49.212550999999998</v>
      </c>
      <c r="Q884" s="169">
        <v>132275000</v>
      </c>
      <c r="R884" s="53">
        <f t="shared" si="16"/>
        <v>1.94410020040785E-2</v>
      </c>
      <c r="S884" s="146">
        <f>(P884/P883)*('16. câmbio USD-BRL'!O884/'16. câmbio USD-BRL'!O883)^-1 -1</f>
        <v>2.4396441510277089E-2</v>
      </c>
    </row>
    <row r="885" spans="11:19" x14ac:dyDescent="0.2">
      <c r="K885" s="355">
        <v>44130</v>
      </c>
      <c r="L885" s="169">
        <v>62.900002000000001</v>
      </c>
      <c r="M885" s="169">
        <v>63.450001</v>
      </c>
      <c r="N885" s="169">
        <v>59.790000999999997</v>
      </c>
      <c r="O885" s="169">
        <v>60.549999</v>
      </c>
      <c r="P885" s="169">
        <v>46.963276</v>
      </c>
      <c r="Q885" s="169">
        <v>125567500</v>
      </c>
      <c r="R885" s="53">
        <f t="shared" si="16"/>
        <v>-4.5705312045295043E-2</v>
      </c>
      <c r="S885" s="146">
        <f>(P885/P884)*('16. câmbio USD-BRL'!O885/'16. câmbio USD-BRL'!O884)^-1 -1</f>
        <v>-7.2396097737683074E-2</v>
      </c>
    </row>
    <row r="886" spans="11:19" x14ac:dyDescent="0.2">
      <c r="K886" s="355">
        <v>44137</v>
      </c>
      <c r="L886" s="169">
        <v>60.549999</v>
      </c>
      <c r="M886" s="169">
        <v>63.959999000000003</v>
      </c>
      <c r="N886" s="169">
        <v>60.549999</v>
      </c>
      <c r="O886" s="169">
        <v>63.189999</v>
      </c>
      <c r="P886" s="169">
        <v>49.010891000000001</v>
      </c>
      <c r="Q886" s="169">
        <v>112849000</v>
      </c>
      <c r="R886" s="53">
        <f t="shared" si="16"/>
        <v>4.3600344234929533E-2</v>
      </c>
      <c r="S886" s="146">
        <f>(P886/P885)*('16. câmbio USD-BRL'!O886/'16. câmbio USD-BRL'!O885)^-1 -1</f>
        <v>0.12438026906606292</v>
      </c>
    </row>
    <row r="887" spans="11:19" x14ac:dyDescent="0.2">
      <c r="K887" s="355">
        <v>44144</v>
      </c>
      <c r="L887" s="169">
        <v>64.150002000000001</v>
      </c>
      <c r="M887" s="169">
        <v>64.269997000000004</v>
      </c>
      <c r="N887" s="169">
        <v>62.459999000000003</v>
      </c>
      <c r="O887" s="169">
        <v>63.25</v>
      </c>
      <c r="P887" s="169">
        <v>49.057423</v>
      </c>
      <c r="Q887" s="169">
        <v>166403800</v>
      </c>
      <c r="R887" s="53">
        <f t="shared" si="16"/>
        <v>9.4942162957201148E-4</v>
      </c>
      <c r="S887" s="146">
        <f>(P887/P886)*('16. câmbio USD-BRL'!O887/'16. câmbio USD-BRL'!O886)^-1 -1</f>
        <v>-1.6347541987739356E-2</v>
      </c>
    </row>
    <row r="888" spans="11:19" x14ac:dyDescent="0.2">
      <c r="K888" s="355">
        <v>44151</v>
      </c>
      <c r="L888" s="169">
        <v>63.5</v>
      </c>
      <c r="M888" s="169">
        <v>68.440002000000007</v>
      </c>
      <c r="N888" s="169">
        <v>62.970001000000003</v>
      </c>
      <c r="O888" s="169">
        <v>68.440002000000007</v>
      </c>
      <c r="P888" s="169">
        <v>53.082850999999998</v>
      </c>
      <c r="Q888" s="169">
        <v>225805600</v>
      </c>
      <c r="R888" s="53">
        <f t="shared" si="16"/>
        <v>8.2055431244319577E-2</v>
      </c>
      <c r="S888" s="146">
        <f>(P888/P887)*('16. câmbio USD-BRL'!O888/'16. câmbio USD-BRL'!O887)^-1 -1</f>
        <v>9.7929842937143574E-2</v>
      </c>
    </row>
    <row r="889" spans="11:19" x14ac:dyDescent="0.2">
      <c r="K889" s="355">
        <v>44158</v>
      </c>
      <c r="L889" s="169">
        <v>68.809997999999993</v>
      </c>
      <c r="M889" s="169">
        <v>78.779999000000004</v>
      </c>
      <c r="N889" s="169">
        <v>68.5</v>
      </c>
      <c r="O889" s="169">
        <v>78.440002000000007</v>
      </c>
      <c r="P889" s="169">
        <v>60.838970000000003</v>
      </c>
      <c r="Q889" s="169">
        <v>194099400</v>
      </c>
      <c r="R889" s="53">
        <f t="shared" ref="R889:R952" si="17">P889/P888-1</f>
        <v>0.1461134595050293</v>
      </c>
      <c r="S889" s="146">
        <f>(P889/P888)*('16. câmbio USD-BRL'!O889/'16. câmbio USD-BRL'!O888)^-1 -1</f>
        <v>0.15375064044248887</v>
      </c>
    </row>
    <row r="890" spans="11:19" x14ac:dyDescent="0.2">
      <c r="K890" s="355">
        <v>44165</v>
      </c>
      <c r="L890" s="169">
        <v>78.849997999999999</v>
      </c>
      <c r="M890" s="169">
        <v>82.68</v>
      </c>
      <c r="N890" s="169">
        <v>77.120002999999997</v>
      </c>
      <c r="O890" s="169">
        <v>81.980002999999996</v>
      </c>
      <c r="P890" s="169">
        <v>63.584629</v>
      </c>
      <c r="Q890" s="169">
        <v>247554200</v>
      </c>
      <c r="R890" s="53">
        <f t="shared" si="17"/>
        <v>4.5129938919084234E-2</v>
      </c>
      <c r="S890" s="146">
        <f>(P890/P889)*('16. câmbio USD-BRL'!O890/'16. câmbio USD-BRL'!O889)^-1 -1</f>
        <v>8.3269963269285929E-2</v>
      </c>
    </row>
    <row r="891" spans="11:19" x14ac:dyDescent="0.2">
      <c r="K891" s="355">
        <v>44172</v>
      </c>
      <c r="L891" s="169">
        <v>82.419998000000007</v>
      </c>
      <c r="M891" s="169">
        <v>85.279999000000004</v>
      </c>
      <c r="N891" s="169">
        <v>81.660004000000001</v>
      </c>
      <c r="O891" s="169">
        <v>84.860000999999997</v>
      </c>
      <c r="P891" s="169">
        <v>65.818382</v>
      </c>
      <c r="Q891" s="169">
        <v>149303300</v>
      </c>
      <c r="R891" s="53">
        <f t="shared" si="17"/>
        <v>3.5130392913041986E-2</v>
      </c>
      <c r="S891" s="146">
        <f>(P891/P890)*('16. câmbio USD-BRL'!O891/'16. câmbio USD-BRL'!O890)^-1 -1</f>
        <v>5.3567413852332768E-2</v>
      </c>
    </row>
    <row r="892" spans="11:19" x14ac:dyDescent="0.2">
      <c r="K892" s="355">
        <v>44179</v>
      </c>
      <c r="L892" s="169">
        <v>85.199996999999996</v>
      </c>
      <c r="M892" s="169">
        <v>88.379997000000003</v>
      </c>
      <c r="N892" s="169">
        <v>82.949996999999996</v>
      </c>
      <c r="O892" s="169">
        <v>87.800003000000004</v>
      </c>
      <c r="P892" s="169">
        <v>68.098679000000004</v>
      </c>
      <c r="Q892" s="169">
        <v>107943700</v>
      </c>
      <c r="R892" s="53">
        <f t="shared" si="17"/>
        <v>3.4645291037388448E-2</v>
      </c>
      <c r="S892" s="146">
        <f>(P892/P891)*('16. câmbio USD-BRL'!O892/'16. câmbio USD-BRL'!O891)^-1 -1</f>
        <v>2.7261632527848079E-2</v>
      </c>
    </row>
    <row r="893" spans="11:19" x14ac:dyDescent="0.2">
      <c r="K893" s="355">
        <v>44186</v>
      </c>
      <c r="L893" s="169">
        <v>86.150002000000001</v>
      </c>
      <c r="M893" s="169">
        <v>87.529999000000004</v>
      </c>
      <c r="N893" s="169">
        <v>84.779999000000004</v>
      </c>
      <c r="O893" s="169">
        <v>87.360000999999997</v>
      </c>
      <c r="P893" s="169">
        <v>67.757423000000003</v>
      </c>
      <c r="Q893" s="169">
        <v>72744500</v>
      </c>
      <c r="R893" s="53">
        <f t="shared" si="17"/>
        <v>-5.0111985285353766E-3</v>
      </c>
      <c r="S893" s="146">
        <f>(P893/P892)*('16. câmbio USD-BRL'!O893/'16. câmbio USD-BRL'!O892)^-1 -1</f>
        <v>-2.6893969515588201E-2</v>
      </c>
    </row>
    <row r="894" spans="11:19" x14ac:dyDescent="0.2">
      <c r="K894" s="355">
        <v>44193</v>
      </c>
      <c r="L894" s="169">
        <v>87.790001000000004</v>
      </c>
      <c r="M894" s="169">
        <v>88.580001999999993</v>
      </c>
      <c r="N894" s="169">
        <v>86.510002</v>
      </c>
      <c r="O894" s="169">
        <v>87.449996999999996</v>
      </c>
      <c r="P894" s="169">
        <v>67.827208999999996</v>
      </c>
      <c r="Q894" s="169">
        <v>75831500</v>
      </c>
      <c r="R894" s="53">
        <f t="shared" si="17"/>
        <v>1.029938815707121E-3</v>
      </c>
      <c r="S894" s="146">
        <f>(P894/P893)*('16. câmbio USD-BRL'!O894/'16. câmbio USD-BRL'!O893)^-1 -1</f>
        <v>5.5416013223592575E-3</v>
      </c>
    </row>
    <row r="895" spans="11:19" x14ac:dyDescent="0.2">
      <c r="K895" s="355">
        <v>44200</v>
      </c>
      <c r="L895" s="169">
        <v>89.349997999999999</v>
      </c>
      <c r="M895" s="169">
        <v>103.349998</v>
      </c>
      <c r="N895" s="169">
        <v>88.849997999999999</v>
      </c>
      <c r="O895" s="169">
        <v>102</v>
      </c>
      <c r="P895" s="169">
        <v>79.112358</v>
      </c>
      <c r="Q895" s="169">
        <v>258992400</v>
      </c>
      <c r="R895" s="53">
        <f t="shared" si="17"/>
        <v>0.16638085462133656</v>
      </c>
      <c r="S895" s="146">
        <f>(P895/P894)*('16. câmbio USD-BRL'!O895/'16. câmbio USD-BRL'!O894)^-1 -1</f>
        <v>0.1189065788380812</v>
      </c>
    </row>
    <row r="896" spans="11:19" x14ac:dyDescent="0.2">
      <c r="K896" s="355">
        <v>44207</v>
      </c>
      <c r="L896" s="169">
        <v>100.25</v>
      </c>
      <c r="M896" s="169">
        <v>102.620003</v>
      </c>
      <c r="N896" s="169">
        <v>93.199996999999996</v>
      </c>
      <c r="O896" s="169">
        <v>93.550003000000004</v>
      </c>
      <c r="P896" s="169">
        <v>72.558464000000001</v>
      </c>
      <c r="Q896" s="169">
        <v>142046600</v>
      </c>
      <c r="R896" s="53">
        <f t="shared" si="17"/>
        <v>-8.2842860024473053E-2</v>
      </c>
      <c r="S896" s="146">
        <f>(P896/P895)*('16. câmbio USD-BRL'!O896/'16. câmbio USD-BRL'!O895)^-1 -1</f>
        <v>-6.1888974904112826E-2</v>
      </c>
    </row>
    <row r="897" spans="11:19" x14ac:dyDescent="0.2">
      <c r="K897" s="355">
        <v>44214</v>
      </c>
      <c r="L897" s="169">
        <v>93.900002000000001</v>
      </c>
      <c r="M897" s="169">
        <v>96.099997999999999</v>
      </c>
      <c r="N897" s="169">
        <v>90.830001999999993</v>
      </c>
      <c r="O897" s="169">
        <v>93.169998000000007</v>
      </c>
      <c r="P897" s="169">
        <v>72.263717999999997</v>
      </c>
      <c r="Q897" s="169">
        <v>122100700</v>
      </c>
      <c r="R897" s="53">
        <f t="shared" si="17"/>
        <v>-4.0621863219155729E-3</v>
      </c>
      <c r="S897" s="146">
        <f>(P897/P896)*('16. câmbio USD-BRL'!O897/'16. câmbio USD-BRL'!O896)^-1 -1</f>
        <v>-1.4897513129292772E-2</v>
      </c>
    </row>
    <row r="898" spans="11:19" x14ac:dyDescent="0.2">
      <c r="K898" s="355">
        <v>44221</v>
      </c>
      <c r="L898" s="169">
        <v>93.169998000000007</v>
      </c>
      <c r="M898" s="169">
        <v>94.160004000000001</v>
      </c>
      <c r="N898" s="169">
        <v>87.790001000000004</v>
      </c>
      <c r="O898" s="169">
        <v>87.949996999999996</v>
      </c>
      <c r="P898" s="169">
        <v>68.215034000000003</v>
      </c>
      <c r="Q898" s="169">
        <v>124723700</v>
      </c>
      <c r="R898" s="53">
        <f t="shared" si="17"/>
        <v>-5.6026511118622446E-2</v>
      </c>
      <c r="S898" s="146">
        <f>(P898/P897)*('16. câmbio USD-BRL'!O898/'16. câmbio USD-BRL'!O897)^-1 -1</f>
        <v>-7.5266228616515995E-2</v>
      </c>
    </row>
    <row r="899" spans="11:19" x14ac:dyDescent="0.2">
      <c r="K899" s="355">
        <v>44228</v>
      </c>
      <c r="L899" s="169">
        <v>90.010002</v>
      </c>
      <c r="M899" s="169">
        <v>92.870002999999997</v>
      </c>
      <c r="N899" s="169">
        <v>87.510002</v>
      </c>
      <c r="O899" s="169">
        <v>92.690002000000007</v>
      </c>
      <c r="P899" s="169">
        <v>71.891425999999996</v>
      </c>
      <c r="Q899" s="169">
        <v>152963100</v>
      </c>
      <c r="R899" s="53">
        <f t="shared" si="17"/>
        <v>5.3894160633270349E-2</v>
      </c>
      <c r="S899" s="146">
        <f>(P899/P898)*('16. câmbio USD-BRL'!O899/'16. câmbio USD-BRL'!O898)^-1 -1</f>
        <v>7.1873879234553018E-2</v>
      </c>
    </row>
    <row r="900" spans="11:19" x14ac:dyDescent="0.2">
      <c r="K900" s="355">
        <v>44235</v>
      </c>
      <c r="L900" s="169">
        <v>92.970000999999996</v>
      </c>
      <c r="M900" s="169">
        <v>95.669998000000007</v>
      </c>
      <c r="N900" s="169">
        <v>92.199996999999996</v>
      </c>
      <c r="O900" s="169">
        <v>93.889999000000003</v>
      </c>
      <c r="P900" s="169">
        <v>72.822158999999999</v>
      </c>
      <c r="Q900" s="169">
        <v>135322700</v>
      </c>
      <c r="R900" s="53">
        <f t="shared" si="17"/>
        <v>1.2946369988543704E-2</v>
      </c>
      <c r="S900" s="146">
        <f>(P900/P899)*('16. câmbio USD-BRL'!O900/'16. câmbio USD-BRL'!O899)^-1 -1</f>
        <v>1.3078448308184498E-2</v>
      </c>
    </row>
    <row r="901" spans="11:19" x14ac:dyDescent="0.2">
      <c r="K901" s="355">
        <v>44242</v>
      </c>
      <c r="L901" s="169">
        <v>93.889999000000003</v>
      </c>
      <c r="M901" s="169">
        <v>98.849997999999999</v>
      </c>
      <c r="N901" s="169">
        <v>93.889999000000003</v>
      </c>
      <c r="O901" s="169">
        <v>97.769997000000004</v>
      </c>
      <c r="P901" s="169">
        <v>75.831528000000006</v>
      </c>
      <c r="Q901" s="169">
        <v>87318000</v>
      </c>
      <c r="R901" s="53">
        <f t="shared" si="17"/>
        <v>4.1324907711126846E-2</v>
      </c>
      <c r="S901" s="146">
        <f>(P901/P900)*('16. câmbio USD-BRL'!O901/'16. câmbio USD-BRL'!O900)^-1 -1</f>
        <v>3.9181698292575229E-2</v>
      </c>
    </row>
    <row r="902" spans="11:19" x14ac:dyDescent="0.2">
      <c r="K902" s="355">
        <v>44249</v>
      </c>
      <c r="L902" s="169">
        <v>96.5</v>
      </c>
      <c r="M902" s="169">
        <v>98.949996999999996</v>
      </c>
      <c r="N902" s="169">
        <v>93.32</v>
      </c>
      <c r="O902" s="169">
        <v>94.519997000000004</v>
      </c>
      <c r="P902" s="169">
        <v>73.310799000000003</v>
      </c>
      <c r="Q902" s="169">
        <v>175099900</v>
      </c>
      <c r="R902" s="53">
        <f t="shared" si="17"/>
        <v>-3.3241173776690891E-2</v>
      </c>
      <c r="S902" s="146">
        <f>(P902/P901)*('16. câmbio USD-BRL'!O902/'16. câmbio USD-BRL'!O901)^-1 -1</f>
        <v>-7.0896685668182968E-2</v>
      </c>
    </row>
    <row r="903" spans="11:19" x14ac:dyDescent="0.2">
      <c r="K903" s="355">
        <v>44256</v>
      </c>
      <c r="L903" s="169">
        <v>96</v>
      </c>
      <c r="M903" s="169">
        <v>104</v>
      </c>
      <c r="N903" s="169">
        <v>93.93</v>
      </c>
      <c r="O903" s="169">
        <v>100.209999</v>
      </c>
      <c r="P903" s="169">
        <v>77.724022000000005</v>
      </c>
      <c r="Q903" s="169">
        <v>216832900</v>
      </c>
      <c r="R903" s="53">
        <f t="shared" si="17"/>
        <v>6.0198811910370909E-2</v>
      </c>
      <c r="S903" s="146">
        <f>(P903/P902)*('16. câmbio USD-BRL'!O903/'16. câmbio USD-BRL'!O902)^-1 -1</f>
        <v>4.3073885147990598E-2</v>
      </c>
    </row>
    <row r="904" spans="11:19" x14ac:dyDescent="0.2">
      <c r="K904" s="355">
        <v>44263</v>
      </c>
      <c r="L904" s="169">
        <v>99.199996999999996</v>
      </c>
      <c r="M904" s="169">
        <v>101.93</v>
      </c>
      <c r="N904" s="169">
        <v>95.720000999999996</v>
      </c>
      <c r="O904" s="169">
        <v>97.400002000000001</v>
      </c>
      <c r="P904" s="169">
        <v>78.947829999999996</v>
      </c>
      <c r="Q904" s="169">
        <v>158844800</v>
      </c>
      <c r="R904" s="53">
        <f t="shared" si="17"/>
        <v>1.5745556759787727E-2</v>
      </c>
      <c r="S904" s="146">
        <f>(P904/P903)*('16. câmbio USD-BRL'!O904/'16. câmbio USD-BRL'!O903)^-1 -1</f>
        <v>4.1051366404527556E-2</v>
      </c>
    </row>
    <row r="905" spans="11:19" x14ac:dyDescent="0.2">
      <c r="K905" s="355">
        <v>44270</v>
      </c>
      <c r="L905" s="169">
        <v>96.5</v>
      </c>
      <c r="M905" s="169">
        <v>98.269997000000004</v>
      </c>
      <c r="N905" s="169">
        <v>93.440002000000007</v>
      </c>
      <c r="O905" s="169">
        <v>94.779999000000004</v>
      </c>
      <c r="P905" s="169">
        <v>76.824173000000002</v>
      </c>
      <c r="Q905" s="169">
        <v>118456700</v>
      </c>
      <c r="R905" s="53">
        <f t="shared" si="17"/>
        <v>-2.6899498060934612E-2</v>
      </c>
      <c r="S905" s="146">
        <f>(P905/P904)*('16. câmbio USD-BRL'!O905/'16. câmbio USD-BRL'!O904)^-1 -1</f>
        <v>-1.5962199405384903E-2</v>
      </c>
    </row>
    <row r="906" spans="11:19" x14ac:dyDescent="0.2">
      <c r="K906" s="355">
        <v>44277</v>
      </c>
      <c r="L906" s="169">
        <v>93.519997000000004</v>
      </c>
      <c r="M906" s="169">
        <v>95.730002999999996</v>
      </c>
      <c r="N906" s="169">
        <v>90.610000999999997</v>
      </c>
      <c r="O906" s="169">
        <v>95.529999000000004</v>
      </c>
      <c r="P906" s="169">
        <v>77.432083000000006</v>
      </c>
      <c r="Q906" s="169">
        <v>116722500</v>
      </c>
      <c r="R906" s="53">
        <f t="shared" si="17"/>
        <v>7.9130041530028894E-3</v>
      </c>
      <c r="S906" s="146">
        <f>(P906/P905)*('16. câmbio USD-BRL'!O906/'16. câmbio USD-BRL'!O905)^-1 -1</f>
        <v>-3.8535729699565757E-2</v>
      </c>
    </row>
    <row r="907" spans="11:19" x14ac:dyDescent="0.2">
      <c r="K907" s="355">
        <v>44284</v>
      </c>
      <c r="L907" s="169">
        <v>96</v>
      </c>
      <c r="M907" s="169">
        <v>98.860000999999997</v>
      </c>
      <c r="N907" s="169">
        <v>95.870002999999997</v>
      </c>
      <c r="O907" s="169">
        <v>97.389999000000003</v>
      </c>
      <c r="P907" s="169">
        <v>78.939712999999998</v>
      </c>
      <c r="Q907" s="169">
        <v>80064500</v>
      </c>
      <c r="R907" s="53">
        <f t="shared" si="17"/>
        <v>1.9470353135146778E-2</v>
      </c>
      <c r="S907" s="146">
        <f>(P907/P906)*('16. câmbio USD-BRL'!O907/'16. câmbio USD-BRL'!O906)^-1 -1</f>
        <v>2.8081318003474687E-2</v>
      </c>
    </row>
    <row r="908" spans="11:19" x14ac:dyDescent="0.2">
      <c r="K908" s="355">
        <v>44291</v>
      </c>
      <c r="L908" s="169">
        <v>99.830001999999993</v>
      </c>
      <c r="M908" s="169">
        <v>105.32</v>
      </c>
      <c r="N908" s="169">
        <v>99.800003000000004</v>
      </c>
      <c r="O908" s="169">
        <v>103</v>
      </c>
      <c r="P908" s="169">
        <v>83.486923000000004</v>
      </c>
      <c r="Q908" s="169">
        <v>135750300</v>
      </c>
      <c r="R908" s="53">
        <f t="shared" si="17"/>
        <v>5.7603579075591549E-2</v>
      </c>
      <c r="S908" s="146">
        <f>(P908/P907)*('16. câmbio USD-BRL'!O908/'16. câmbio USD-BRL'!O907)^-1 -1</f>
        <v>6.0763656559427615E-2</v>
      </c>
    </row>
    <row r="909" spans="11:19" x14ac:dyDescent="0.2">
      <c r="K909" s="355">
        <v>44298</v>
      </c>
      <c r="L909" s="169">
        <v>102.900002</v>
      </c>
      <c r="M909" s="169">
        <v>109.879997</v>
      </c>
      <c r="N909" s="169">
        <v>102.209999</v>
      </c>
      <c r="O909" s="169">
        <v>108.66999800000001</v>
      </c>
      <c r="P909" s="169">
        <v>88.082747999999995</v>
      </c>
      <c r="Q909" s="169">
        <v>107203000</v>
      </c>
      <c r="R909" s="53">
        <f t="shared" si="17"/>
        <v>5.5048441538562809E-2</v>
      </c>
      <c r="S909" s="146">
        <f>(P909/P908)*('16. câmbio USD-BRL'!O909/'16. câmbio USD-BRL'!O908)^-1 -1</f>
        <v>7.214873809153155E-2</v>
      </c>
    </row>
    <row r="910" spans="11:19" x14ac:dyDescent="0.2">
      <c r="K910" s="355">
        <v>44305</v>
      </c>
      <c r="L910" s="169">
        <v>109</v>
      </c>
      <c r="M910" s="169">
        <v>109.879997</v>
      </c>
      <c r="N910" s="169">
        <v>104.339996</v>
      </c>
      <c r="O910" s="169">
        <v>107.989998</v>
      </c>
      <c r="P910" s="169">
        <v>87.531577999999996</v>
      </c>
      <c r="Q910" s="169">
        <v>76787800</v>
      </c>
      <c r="R910" s="53">
        <f t="shared" si="17"/>
        <v>-6.2574114967439698E-3</v>
      </c>
      <c r="S910" s="146">
        <f>(P910/P909)*('16. câmbio USD-BRL'!O910/'16. câmbio USD-BRL'!O909)^-1 -1</f>
        <v>1.6556278928138379E-2</v>
      </c>
    </row>
    <row r="911" spans="11:19" x14ac:dyDescent="0.2">
      <c r="K911" s="355">
        <v>44312</v>
      </c>
      <c r="L911" s="169">
        <v>109.949997</v>
      </c>
      <c r="M911" s="169">
        <v>112.949997</v>
      </c>
      <c r="N911" s="169">
        <v>108.150002</v>
      </c>
      <c r="O911" s="169">
        <v>109.019997</v>
      </c>
      <c r="P911" s="169">
        <v>88.366446999999994</v>
      </c>
      <c r="Q911" s="169">
        <v>118103900</v>
      </c>
      <c r="R911" s="53">
        <f t="shared" si="17"/>
        <v>9.5379178472025927E-3</v>
      </c>
      <c r="S911" s="146">
        <f>(P911/P910)*('16. câmbio USD-BRL'!O911/'16. câmbio USD-BRL'!O910)^-1 -1</f>
        <v>1.6391789289383896E-2</v>
      </c>
    </row>
    <row r="912" spans="11:19" x14ac:dyDescent="0.2">
      <c r="K912" s="355">
        <v>44319</v>
      </c>
      <c r="L912" s="169">
        <v>109.699997</v>
      </c>
      <c r="M912" s="169">
        <v>116.550003</v>
      </c>
      <c r="N912" s="169">
        <v>108.260002</v>
      </c>
      <c r="O912" s="169">
        <v>115.449997</v>
      </c>
      <c r="P912" s="169">
        <v>93.578299999999999</v>
      </c>
      <c r="Q912" s="169">
        <v>126280300</v>
      </c>
      <c r="R912" s="53">
        <f t="shared" si="17"/>
        <v>5.8979999501394431E-2</v>
      </c>
      <c r="S912" s="146">
        <f>(P912/P911)*('16. câmbio USD-BRL'!O912/'16. câmbio USD-BRL'!O911)^-1 -1</f>
        <v>0.10005384316500199</v>
      </c>
    </row>
    <row r="913" spans="11:19" x14ac:dyDescent="0.2">
      <c r="K913" s="355">
        <v>44326</v>
      </c>
      <c r="L913" s="169">
        <v>119.800003</v>
      </c>
      <c r="M913" s="169">
        <v>120.449997</v>
      </c>
      <c r="N913" s="169">
        <v>109.620003</v>
      </c>
      <c r="O913" s="169">
        <v>110.55999799999999</v>
      </c>
      <c r="P913" s="169">
        <v>89.614693000000003</v>
      </c>
      <c r="Q913" s="169">
        <v>159303600</v>
      </c>
      <c r="R913" s="53">
        <f t="shared" si="17"/>
        <v>-4.2356048357364839E-2</v>
      </c>
      <c r="S913" s="146">
        <f>(P913/P912)*('16. câmbio USD-BRL'!O913/'16. câmbio USD-BRL'!O912)^-1 -1</f>
        <v>-4.8948789534656867E-2</v>
      </c>
    </row>
    <row r="914" spans="11:19" x14ac:dyDescent="0.2">
      <c r="K914" s="355">
        <v>44333</v>
      </c>
      <c r="L914" s="169">
        <v>111.5</v>
      </c>
      <c r="M914" s="169">
        <v>115.400002</v>
      </c>
      <c r="N914" s="169">
        <v>108.5</v>
      </c>
      <c r="O914" s="169">
        <v>109.400002</v>
      </c>
      <c r="P914" s="169">
        <v>88.674453999999997</v>
      </c>
      <c r="Q914" s="169">
        <v>134819300</v>
      </c>
      <c r="R914" s="53">
        <f t="shared" si="17"/>
        <v>-1.0492018312220353E-2</v>
      </c>
      <c r="S914" s="146">
        <f>(P914/P913)*('16. câmbio USD-BRL'!O914/'16. câmbio USD-BRL'!O913)^-1 -1</f>
        <v>-2.7960868441938458E-2</v>
      </c>
    </row>
    <row r="915" spans="11:19" x14ac:dyDescent="0.2">
      <c r="K915" s="355">
        <v>44340</v>
      </c>
      <c r="L915" s="169">
        <v>108</v>
      </c>
      <c r="M915" s="169">
        <v>112.75</v>
      </c>
      <c r="N915" s="169">
        <v>106.029999</v>
      </c>
      <c r="O915" s="169">
        <v>111.589996</v>
      </c>
      <c r="P915" s="169">
        <v>90.449562</v>
      </c>
      <c r="Q915" s="169">
        <v>151486600</v>
      </c>
      <c r="R915" s="53">
        <f t="shared" si="17"/>
        <v>2.0018256892791353E-2</v>
      </c>
      <c r="S915" s="146">
        <f>(P915/P914)*('16. câmbio USD-BRL'!O915/'16. câmbio USD-BRL'!O914)^-1 -1</f>
        <v>4.7393172592709032E-2</v>
      </c>
    </row>
    <row r="916" spans="11:19" x14ac:dyDescent="0.2">
      <c r="K916" s="355">
        <v>44347</v>
      </c>
      <c r="L916" s="169">
        <v>112.5</v>
      </c>
      <c r="M916" s="169">
        <v>118</v>
      </c>
      <c r="N916" s="169">
        <v>112.389999</v>
      </c>
      <c r="O916" s="169">
        <v>112.900002</v>
      </c>
      <c r="P916" s="169">
        <v>91.511391000000003</v>
      </c>
      <c r="Q916" s="169">
        <v>88074400</v>
      </c>
      <c r="R916" s="53">
        <f t="shared" si="17"/>
        <v>1.17394598328735E-2</v>
      </c>
      <c r="S916" s="146">
        <f>(P916/P915)*('16. câmbio USD-BRL'!O916/'16. câmbio USD-BRL'!O915)^-1 -1</f>
        <v>4.730450960387822E-2</v>
      </c>
    </row>
    <row r="917" spans="11:19" x14ac:dyDescent="0.2">
      <c r="K917" s="355">
        <v>44354</v>
      </c>
      <c r="L917" s="169">
        <v>112.199997</v>
      </c>
      <c r="M917" s="169">
        <v>114.760002</v>
      </c>
      <c r="N917" s="169">
        <v>109.199997</v>
      </c>
      <c r="O917" s="169">
        <v>114.339996</v>
      </c>
      <c r="P917" s="169">
        <v>92.678589000000002</v>
      </c>
      <c r="Q917" s="169">
        <v>117050300</v>
      </c>
      <c r="R917" s="53">
        <f t="shared" si="17"/>
        <v>1.2754674442660319E-2</v>
      </c>
      <c r="S917" s="146">
        <f>(P917/P916)*('16. câmbio USD-BRL'!O917/'16. câmbio USD-BRL'!O916)^-1 -1</f>
        <v>-4.193649498918095E-4</v>
      </c>
    </row>
    <row r="918" spans="11:19" x14ac:dyDescent="0.2">
      <c r="K918" s="355">
        <v>44361</v>
      </c>
      <c r="L918" s="169">
        <v>114.910004</v>
      </c>
      <c r="M918" s="169">
        <v>115.279999</v>
      </c>
      <c r="N918" s="169">
        <v>104.900002</v>
      </c>
      <c r="O918" s="169">
        <v>109.089996</v>
      </c>
      <c r="P918" s="169">
        <v>88.423186999999999</v>
      </c>
      <c r="Q918" s="169">
        <v>171518300</v>
      </c>
      <c r="R918" s="53">
        <f t="shared" si="17"/>
        <v>-4.5915696882264823E-2</v>
      </c>
      <c r="S918" s="146">
        <f>(P918/P917)*('16. câmbio USD-BRL'!O918/'16. câmbio USD-BRL'!O917)^-1 -1</f>
        <v>-4.1338672100353913E-2</v>
      </c>
    </row>
    <row r="919" spans="11:19" x14ac:dyDescent="0.2">
      <c r="K919" s="355">
        <v>44368</v>
      </c>
      <c r="L919" s="169">
        <v>107.75</v>
      </c>
      <c r="M919" s="169">
        <v>114.25</v>
      </c>
      <c r="N919" s="169">
        <v>107.139999</v>
      </c>
      <c r="O919" s="169">
        <v>112.400002</v>
      </c>
      <c r="P919" s="169">
        <v>91.106110000000001</v>
      </c>
      <c r="Q919" s="169">
        <v>120017000</v>
      </c>
      <c r="R919" s="53">
        <f t="shared" si="17"/>
        <v>3.0341849135114396E-2</v>
      </c>
      <c r="S919" s="146">
        <f>(P919/P918)*('16. câmbio USD-BRL'!O919/'16. câmbio USD-BRL'!O918)^-1 -1</f>
        <v>6.305641971854925E-2</v>
      </c>
    </row>
    <row r="920" spans="11:19" x14ac:dyDescent="0.2">
      <c r="K920" s="355">
        <v>44375</v>
      </c>
      <c r="L920" s="169">
        <v>113.239998</v>
      </c>
      <c r="M920" s="169">
        <v>114.360001</v>
      </c>
      <c r="N920" s="169">
        <v>110.010002</v>
      </c>
      <c r="O920" s="169">
        <v>113.58000199999999</v>
      </c>
      <c r="P920" s="169">
        <v>93.880629999999996</v>
      </c>
      <c r="Q920" s="169">
        <v>99177000</v>
      </c>
      <c r="R920" s="53">
        <f t="shared" si="17"/>
        <v>3.0453720392627837E-2</v>
      </c>
      <c r="S920" s="146">
        <f>(P920/P919)*('16. câmbio USD-BRL'!O920/'16. câmbio USD-BRL'!O919)^-1 -1</f>
        <v>5.3890161021818983E-3</v>
      </c>
    </row>
    <row r="921" spans="11:19" x14ac:dyDescent="0.2">
      <c r="K921" s="355">
        <v>44382</v>
      </c>
      <c r="L921" s="169">
        <v>113.900002</v>
      </c>
      <c r="M921" s="169">
        <v>115.58000199999999</v>
      </c>
      <c r="N921" s="169">
        <v>111.5</v>
      </c>
      <c r="O921" s="169">
        <v>113.660004</v>
      </c>
      <c r="P921" s="169">
        <v>93.946747000000002</v>
      </c>
      <c r="Q921" s="169">
        <v>76045400</v>
      </c>
      <c r="R921" s="53">
        <f t="shared" si="17"/>
        <v>7.042666841925449E-4</v>
      </c>
      <c r="S921" s="146">
        <f>(P921/P920)*('16. câmbio USD-BRL'!O921/'16. câmbio USD-BRL'!O920)^-1 -1</f>
        <v>-3.7437699959293358E-2</v>
      </c>
    </row>
    <row r="922" spans="11:19" x14ac:dyDescent="0.2">
      <c r="K922" s="355">
        <v>44389</v>
      </c>
      <c r="L922" s="169">
        <v>115.30999799999999</v>
      </c>
      <c r="M922" s="169">
        <v>116.43</v>
      </c>
      <c r="N922" s="169">
        <v>113</v>
      </c>
      <c r="O922" s="169">
        <v>113.400002</v>
      </c>
      <c r="P922" s="169">
        <v>93.731842</v>
      </c>
      <c r="Q922" s="169">
        <v>92328300</v>
      </c>
      <c r="R922" s="53">
        <f t="shared" si="17"/>
        <v>-2.2875193326279408E-3</v>
      </c>
      <c r="S922" s="146">
        <f>(P922/P921)*('16. câmbio USD-BRL'!O922/'16. câmbio USD-BRL'!O921)^-1 -1</f>
        <v>2.5649369246737441E-2</v>
      </c>
    </row>
    <row r="923" spans="11:19" x14ac:dyDescent="0.2">
      <c r="K923" s="355">
        <v>44396</v>
      </c>
      <c r="L923" s="169">
        <v>112</v>
      </c>
      <c r="M923" s="169">
        <v>114.870003</v>
      </c>
      <c r="N923" s="169">
        <v>110.209999</v>
      </c>
      <c r="O923" s="169">
        <v>114.120003</v>
      </c>
      <c r="P923" s="169">
        <v>94.326965000000001</v>
      </c>
      <c r="Q923" s="169">
        <v>76565100</v>
      </c>
      <c r="R923" s="53">
        <f t="shared" si="17"/>
        <v>6.3492084152150241E-3</v>
      </c>
      <c r="S923" s="146">
        <f>(P923/P922)*('16. câmbio USD-BRL'!O923/'16. câmbio USD-BRL'!O922)^-1 -1</f>
        <v>-1.1021965985180016E-2</v>
      </c>
    </row>
    <row r="924" spans="11:19" x14ac:dyDescent="0.2">
      <c r="K924" s="355">
        <v>44403</v>
      </c>
      <c r="L924" s="169">
        <v>114.44000200000001</v>
      </c>
      <c r="M924" s="169">
        <v>117.599998</v>
      </c>
      <c r="N924" s="169">
        <v>108.760002</v>
      </c>
      <c r="O924" s="169">
        <v>108.760002</v>
      </c>
      <c r="P924" s="169">
        <v>89.896614</v>
      </c>
      <c r="Q924" s="169">
        <v>136269100</v>
      </c>
      <c r="R924" s="53">
        <f t="shared" si="17"/>
        <v>-4.6968022346526306E-2</v>
      </c>
      <c r="S924" s="146">
        <f>(P924/P923)*('16. câmbio USD-BRL'!O924/'16. câmbio USD-BRL'!O923)^-1 -1</f>
        <v>-4.7075001678965611E-2</v>
      </c>
    </row>
    <row r="925" spans="11:19" x14ac:dyDescent="0.2">
      <c r="K925" s="355">
        <v>44410</v>
      </c>
      <c r="L925" s="169">
        <v>110.900002</v>
      </c>
      <c r="M925" s="169">
        <v>113.25</v>
      </c>
      <c r="N925" s="169">
        <v>107.900002</v>
      </c>
      <c r="O925" s="169">
        <v>109.699997</v>
      </c>
      <c r="P925" s="169">
        <v>90.673575999999997</v>
      </c>
      <c r="Q925" s="169">
        <v>130067300</v>
      </c>
      <c r="R925" s="53">
        <f t="shared" si="17"/>
        <v>8.6428394288575738E-3</v>
      </c>
      <c r="S925" s="146">
        <f>(P925/P924)*('16. câmbio USD-BRL'!O925/'16. câmbio USD-BRL'!O924)^-1 -1</f>
        <v>2.1278335253995806E-3</v>
      </c>
    </row>
    <row r="926" spans="11:19" x14ac:dyDescent="0.2">
      <c r="K926" s="355">
        <v>44417</v>
      </c>
      <c r="L926" s="169">
        <v>108.199997</v>
      </c>
      <c r="M926" s="169">
        <v>110.739998</v>
      </c>
      <c r="N926" s="169">
        <v>107.68</v>
      </c>
      <c r="O926" s="169">
        <v>108.300003</v>
      </c>
      <c r="P926" s="169">
        <v>89.516388000000006</v>
      </c>
      <c r="Q926" s="169">
        <v>80328100</v>
      </c>
      <c r="R926" s="53">
        <f t="shared" si="17"/>
        <v>-1.2762130391769211E-2</v>
      </c>
      <c r="S926" s="146">
        <f>(P926/P925)*('16. câmbio USD-BRL'!O926/'16. câmbio USD-BRL'!O925)^-1 -1</f>
        <v>-1.4752222815410443E-2</v>
      </c>
    </row>
    <row r="927" spans="11:19" x14ac:dyDescent="0.2">
      <c r="K927" s="355">
        <v>44424</v>
      </c>
      <c r="L927" s="169">
        <v>107.239998</v>
      </c>
      <c r="M927" s="169">
        <v>109.32</v>
      </c>
      <c r="N927" s="169">
        <v>97.300003000000004</v>
      </c>
      <c r="O927" s="169">
        <v>97.550003000000004</v>
      </c>
      <c r="P927" s="169">
        <v>80.630882</v>
      </c>
      <c r="Q927" s="169">
        <v>172446500</v>
      </c>
      <c r="R927" s="53">
        <f t="shared" si="17"/>
        <v>-9.9261221308438063E-2</v>
      </c>
      <c r="S927" s="146">
        <f>(P927/P926)*('16. câmbio USD-BRL'!O927/'16. câmbio USD-BRL'!O926)^-1 -1</f>
        <v>-0.12092038919962367</v>
      </c>
    </row>
    <row r="928" spans="11:19" x14ac:dyDescent="0.2">
      <c r="K928" s="355">
        <v>44431</v>
      </c>
      <c r="L928" s="169">
        <v>97.559997999999993</v>
      </c>
      <c r="M928" s="169">
        <v>101.269997</v>
      </c>
      <c r="N928" s="169">
        <v>96.160004000000001</v>
      </c>
      <c r="O928" s="169">
        <v>100.69000200000001</v>
      </c>
      <c r="P928" s="169">
        <v>83.226273000000006</v>
      </c>
      <c r="Q928" s="169">
        <v>102246400</v>
      </c>
      <c r="R928" s="53">
        <f t="shared" si="17"/>
        <v>3.218854780727809E-2</v>
      </c>
      <c r="S928" s="146">
        <f>(P928/P927)*('16. câmbio USD-BRL'!O928/'16. câmbio USD-BRL'!O927)^-1 -1</f>
        <v>6.6584516601936983E-2</v>
      </c>
    </row>
    <row r="929" spans="11:19" x14ac:dyDescent="0.2">
      <c r="K929" s="355">
        <v>44438</v>
      </c>
      <c r="L929" s="169">
        <v>100.82</v>
      </c>
      <c r="M929" s="169">
        <v>101.639999</v>
      </c>
      <c r="N929" s="169">
        <v>95.720000999999996</v>
      </c>
      <c r="O929" s="169">
        <v>98.610000999999997</v>
      </c>
      <c r="P929" s="169">
        <v>81.507026999999994</v>
      </c>
      <c r="Q929" s="169">
        <v>117477800</v>
      </c>
      <c r="R929" s="53">
        <f t="shared" si="17"/>
        <v>-2.0657491174692066E-2</v>
      </c>
      <c r="S929" s="146">
        <f>(P929/P928)*('16. câmbio USD-BRL'!O929/'16. câmbio USD-BRL'!O928)^-1 -1</f>
        <v>-1.8015159442811846E-2</v>
      </c>
    </row>
    <row r="930" spans="11:19" x14ac:dyDescent="0.2">
      <c r="K930" s="355">
        <v>44445</v>
      </c>
      <c r="L930" s="169">
        <v>96.889999000000003</v>
      </c>
      <c r="M930" s="169">
        <v>97.550003000000004</v>
      </c>
      <c r="N930" s="169">
        <v>93.169998000000007</v>
      </c>
      <c r="O930" s="169">
        <v>94.809997999999993</v>
      </c>
      <c r="P930" s="169">
        <v>78.366104000000007</v>
      </c>
      <c r="Q930" s="169">
        <v>81570900</v>
      </c>
      <c r="R930" s="53">
        <f t="shared" si="17"/>
        <v>-3.8535609941950044E-2</v>
      </c>
      <c r="S930" s="146">
        <f>(P930/P929)*('16. câmbio USD-BRL'!O930/'16. câmbio USD-BRL'!O929)^-1 -1</f>
        <v>-4.858352431065549E-2</v>
      </c>
    </row>
    <row r="931" spans="11:19" x14ac:dyDescent="0.2">
      <c r="K931" s="355">
        <v>44452</v>
      </c>
      <c r="L931" s="169">
        <v>94.699996999999996</v>
      </c>
      <c r="M931" s="169">
        <v>95.580001999999993</v>
      </c>
      <c r="N931" s="169">
        <v>85.080001999999993</v>
      </c>
      <c r="O931" s="169">
        <v>86.150002000000001</v>
      </c>
      <c r="P931" s="169">
        <v>71.208099000000004</v>
      </c>
      <c r="Q931" s="169">
        <v>193864100</v>
      </c>
      <c r="R931" s="53">
        <f t="shared" si="17"/>
        <v>-9.1340575001661484E-2</v>
      </c>
      <c r="S931" s="146">
        <f>(P931/P930)*('16. câmbio USD-BRL'!O931/'16. câmbio USD-BRL'!O930)^-1 -1</f>
        <v>-9.8867626125052066E-2</v>
      </c>
    </row>
    <row r="932" spans="11:19" x14ac:dyDescent="0.2">
      <c r="K932" s="355">
        <v>44459</v>
      </c>
      <c r="L932" s="169">
        <v>82.800003000000004</v>
      </c>
      <c r="M932" s="169">
        <v>89.480002999999996</v>
      </c>
      <c r="N932" s="169">
        <v>77</v>
      </c>
      <c r="O932" s="169">
        <v>77.690002000000007</v>
      </c>
      <c r="P932" s="169">
        <v>64.215407999999996</v>
      </c>
      <c r="Q932" s="169">
        <v>218294400</v>
      </c>
      <c r="R932" s="53">
        <f t="shared" si="17"/>
        <v>-9.8200781908249102E-2</v>
      </c>
      <c r="S932" s="146">
        <f>(P932/P931)*('16. câmbio USD-BRL'!O932/'16. câmbio USD-BRL'!O931)^-1 -1</f>
        <v>-0.10065007532014325</v>
      </c>
    </row>
    <row r="933" spans="11:19" x14ac:dyDescent="0.2">
      <c r="K933" s="355">
        <v>44466</v>
      </c>
      <c r="L933" s="169">
        <v>78.599997999999999</v>
      </c>
      <c r="M933" s="169">
        <v>79.330001999999993</v>
      </c>
      <c r="N933" s="169">
        <v>74.559997999999993</v>
      </c>
      <c r="O933" s="169">
        <v>76.199996999999996</v>
      </c>
      <c r="P933" s="169">
        <v>69.526420999999999</v>
      </c>
      <c r="Q933" s="169">
        <v>176329900</v>
      </c>
      <c r="R933" s="53">
        <f t="shared" si="17"/>
        <v>8.2706209699703326E-2</v>
      </c>
      <c r="S933" s="146">
        <f>(P933/P932)*('16. câmbio USD-BRL'!O933/'16. câmbio USD-BRL'!O932)^-1 -1</f>
        <v>7.0051831116365815E-2</v>
      </c>
    </row>
    <row r="934" spans="11:19" x14ac:dyDescent="0.2">
      <c r="K934" s="355">
        <v>44473</v>
      </c>
      <c r="L934" s="169">
        <v>76.589995999999999</v>
      </c>
      <c r="M934" s="169">
        <v>81.839995999999999</v>
      </c>
      <c r="N934" s="169">
        <v>73.919998000000007</v>
      </c>
      <c r="O934" s="169">
        <v>79.849997999999999</v>
      </c>
      <c r="P934" s="169">
        <v>72.856750000000005</v>
      </c>
      <c r="Q934" s="169">
        <v>144585700</v>
      </c>
      <c r="R934" s="53">
        <f t="shared" si="17"/>
        <v>4.7900193222947696E-2</v>
      </c>
      <c r="S934" s="146">
        <f>(P934/P933)*('16. câmbio USD-BRL'!O934/'16. câmbio USD-BRL'!O933)^-1 -1</f>
        <v>2.0568046954085206E-2</v>
      </c>
    </row>
    <row r="935" spans="11:19" x14ac:dyDescent="0.2">
      <c r="K935" s="355">
        <v>44480</v>
      </c>
      <c r="L935" s="169">
        <v>81.900002000000001</v>
      </c>
      <c r="M935" s="169">
        <v>83.099997999999999</v>
      </c>
      <c r="N935" s="169">
        <v>79.129997000000003</v>
      </c>
      <c r="O935" s="169">
        <v>80.680000000000007</v>
      </c>
      <c r="P935" s="169">
        <v>73.614058999999997</v>
      </c>
      <c r="Q935" s="169">
        <v>111337900</v>
      </c>
      <c r="R935" s="53">
        <f t="shared" si="17"/>
        <v>1.0394493303640173E-2</v>
      </c>
      <c r="S935" s="146">
        <f>(P935/P934)*('16. câmbio USD-BRL'!O935/'16. câmbio USD-BRL'!O934)^-1 -1</f>
        <v>1.9962373277157219E-2</v>
      </c>
    </row>
    <row r="936" spans="11:19" x14ac:dyDescent="0.2">
      <c r="K936" s="355">
        <v>44487</v>
      </c>
      <c r="L936" s="169">
        <v>79.910004000000001</v>
      </c>
      <c r="M936" s="169">
        <v>80.400002000000001</v>
      </c>
      <c r="N936" s="169">
        <v>72.949996999999996</v>
      </c>
      <c r="O936" s="169">
        <v>76.080001999999993</v>
      </c>
      <c r="P936" s="169">
        <v>69.416931000000005</v>
      </c>
      <c r="Q936" s="169">
        <v>141993000</v>
      </c>
      <c r="R936" s="53">
        <f t="shared" si="17"/>
        <v>-5.7015304644456477E-2</v>
      </c>
      <c r="S936" s="146">
        <f>(P936/P935)*('16. câmbio USD-BRL'!O936/'16. câmbio USD-BRL'!O935)^-1 -1</f>
        <v>-8.9110609022086673E-2</v>
      </c>
    </row>
    <row r="937" spans="11:19" x14ac:dyDescent="0.2">
      <c r="K937" s="355">
        <v>44494</v>
      </c>
      <c r="L937" s="169">
        <v>77.199996999999996</v>
      </c>
      <c r="M937" s="169">
        <v>77.569999999999993</v>
      </c>
      <c r="N937" s="169">
        <v>71.019997000000004</v>
      </c>
      <c r="O937" s="169">
        <v>71.610000999999997</v>
      </c>
      <c r="P937" s="169">
        <v>65.338408999999999</v>
      </c>
      <c r="Q937" s="169">
        <v>107698900</v>
      </c>
      <c r="R937" s="53">
        <f t="shared" si="17"/>
        <v>-5.8753994756697181E-2</v>
      </c>
      <c r="S937" s="146">
        <f>(P937/P936)*('16. câmbio USD-BRL'!O937/'16. câmbio USD-BRL'!O936)^-1 -1</f>
        <v>-5.6220481359904984E-2</v>
      </c>
    </row>
    <row r="938" spans="11:19" x14ac:dyDescent="0.2">
      <c r="K938" s="355">
        <v>44501</v>
      </c>
      <c r="L938" s="169">
        <v>72</v>
      </c>
      <c r="M938" s="169">
        <v>72.860000999999997</v>
      </c>
      <c r="N938" s="169">
        <v>64</v>
      </c>
      <c r="O938" s="169">
        <v>64.110000999999997</v>
      </c>
      <c r="P938" s="169">
        <v>58.495258</v>
      </c>
      <c r="Q938" s="169">
        <v>163043200</v>
      </c>
      <c r="R938" s="53">
        <f t="shared" si="17"/>
        <v>-0.10473397048893551</v>
      </c>
      <c r="S938" s="146">
        <f>(P938/P937)*('16. câmbio USD-BRL'!O938/'16. câmbio USD-BRL'!O937)^-1 -1</f>
        <v>-8.9772747206063097E-2</v>
      </c>
    </row>
    <row r="939" spans="11:19" x14ac:dyDescent="0.2">
      <c r="K939" s="355">
        <v>44508</v>
      </c>
      <c r="L939" s="169">
        <v>64.400002000000001</v>
      </c>
      <c r="M939" s="169">
        <v>69.589995999999999</v>
      </c>
      <c r="N939" s="169">
        <v>64.330001999999993</v>
      </c>
      <c r="O939" s="169">
        <v>68.300003000000004</v>
      </c>
      <c r="P939" s="169">
        <v>62.318302000000003</v>
      </c>
      <c r="Q939" s="169">
        <v>124513700</v>
      </c>
      <c r="R939" s="53">
        <f t="shared" si="17"/>
        <v>6.535647727205518E-2</v>
      </c>
      <c r="S939" s="146">
        <f>(P939/P938)*('16. câmbio USD-BRL'!O939/'16. câmbio USD-BRL'!O938)^-1 -1</f>
        <v>8.1656181510588066E-2</v>
      </c>
    </row>
    <row r="940" spans="11:19" x14ac:dyDescent="0.2">
      <c r="K940" s="355">
        <v>44515</v>
      </c>
      <c r="L940" s="169">
        <v>68.300003000000004</v>
      </c>
      <c r="M940" s="169">
        <v>68.300003000000004</v>
      </c>
      <c r="N940" s="169">
        <v>61.849997999999999</v>
      </c>
      <c r="O940" s="169">
        <v>64.029999000000004</v>
      </c>
      <c r="P940" s="169">
        <v>58.422263999999998</v>
      </c>
      <c r="Q940" s="169">
        <v>120888900</v>
      </c>
      <c r="R940" s="53">
        <f t="shared" si="17"/>
        <v>-6.2518359373784027E-2</v>
      </c>
      <c r="S940" s="146">
        <f>(P940/P939)*('16. câmbio USD-BRL'!O940/'16. câmbio USD-BRL'!O939)^-1 -1</f>
        <v>-7.9187999085444383E-2</v>
      </c>
    </row>
    <row r="941" spans="11:19" x14ac:dyDescent="0.2">
      <c r="K941" s="355">
        <v>44522</v>
      </c>
      <c r="L941" s="169">
        <v>65.550003000000004</v>
      </c>
      <c r="M941" s="169">
        <v>71.970000999999996</v>
      </c>
      <c r="N941" s="169">
        <v>65.150002000000001</v>
      </c>
      <c r="O941" s="169">
        <v>68.639999000000003</v>
      </c>
      <c r="P941" s="169">
        <v>62.628525000000003</v>
      </c>
      <c r="Q941" s="169">
        <v>135712600</v>
      </c>
      <c r="R941" s="53">
        <f t="shared" si="17"/>
        <v>7.1997569282833851E-2</v>
      </c>
      <c r="S941" s="146">
        <f>(P941/P940)*('16. câmbio USD-BRL'!O941/'16. câmbio USD-BRL'!O940)^-1 -1</f>
        <v>6.2171848846809263E-2</v>
      </c>
    </row>
    <row r="942" spans="11:19" x14ac:dyDescent="0.2">
      <c r="K942" s="355">
        <v>44529</v>
      </c>
      <c r="L942" s="169">
        <v>70.279999000000004</v>
      </c>
      <c r="M942" s="169">
        <v>74.339995999999999</v>
      </c>
      <c r="N942" s="169">
        <v>68.690002000000007</v>
      </c>
      <c r="O942" s="169">
        <v>71.870002999999997</v>
      </c>
      <c r="P942" s="169">
        <v>65.575644999999994</v>
      </c>
      <c r="Q942" s="169">
        <v>148367300</v>
      </c>
      <c r="R942" s="53">
        <f t="shared" si="17"/>
        <v>4.7057151673298936E-2</v>
      </c>
      <c r="S942" s="146">
        <f>(P942/P941)*('16. câmbio USD-BRL'!O942/'16. câmbio USD-BRL'!O941)^-1 -1</f>
        <v>3.9218444695132693E-2</v>
      </c>
    </row>
    <row r="943" spans="11:19" x14ac:dyDescent="0.2">
      <c r="K943" s="355">
        <v>44536</v>
      </c>
      <c r="L943" s="169">
        <v>72.870002999999997</v>
      </c>
      <c r="M943" s="169">
        <v>79.809997999999993</v>
      </c>
      <c r="N943" s="169">
        <v>71.959998999999996</v>
      </c>
      <c r="O943" s="169">
        <v>75.650002000000001</v>
      </c>
      <c r="P943" s="169">
        <v>69.024590000000003</v>
      </c>
      <c r="Q943" s="169">
        <v>124007200</v>
      </c>
      <c r="R943" s="53">
        <f t="shared" si="17"/>
        <v>5.2594907758818144E-2</v>
      </c>
      <c r="S943" s="146">
        <f>(P943/P942)*('16. câmbio USD-BRL'!O943/'16. câmbio USD-BRL'!O942)^-1 -1</f>
        <v>6.0029996731679747E-2</v>
      </c>
    </row>
    <row r="944" spans="11:19" x14ac:dyDescent="0.2">
      <c r="K944" s="355">
        <v>44543</v>
      </c>
      <c r="L944" s="169">
        <v>77.5</v>
      </c>
      <c r="M944" s="169">
        <v>80.669998000000007</v>
      </c>
      <c r="N944" s="169">
        <v>76.199996999999996</v>
      </c>
      <c r="O944" s="169">
        <v>79.169998000000007</v>
      </c>
      <c r="P944" s="169">
        <v>72.236305000000002</v>
      </c>
      <c r="Q944" s="169">
        <v>143745000</v>
      </c>
      <c r="R944" s="53">
        <f t="shared" si="17"/>
        <v>4.6530011985583597E-2</v>
      </c>
      <c r="S944" s="146">
        <f>(P944/P943)*('16. câmbio USD-BRL'!O944/'16. câmbio USD-BRL'!O943)^-1 -1</f>
        <v>3.1347674153222593E-2</v>
      </c>
    </row>
    <row r="945" spans="11:19" x14ac:dyDescent="0.2">
      <c r="K945" s="355">
        <v>44550</v>
      </c>
      <c r="L945" s="169">
        <v>78</v>
      </c>
      <c r="M945" s="169">
        <v>80.389999000000003</v>
      </c>
      <c r="N945" s="169">
        <v>77.279999000000004</v>
      </c>
      <c r="O945" s="169">
        <v>79.150002000000001</v>
      </c>
      <c r="P945" s="169">
        <v>72.218056000000004</v>
      </c>
      <c r="Q945" s="169">
        <v>70562500</v>
      </c>
      <c r="R945" s="53">
        <f t="shared" si="17"/>
        <v>-2.5262920078761297E-4</v>
      </c>
      <c r="S945" s="146">
        <f>(P945/P944)*('16. câmbio USD-BRL'!O945/'16. câmbio USD-BRL'!O944)^-1 -1</f>
        <v>3.6186571921079658E-3</v>
      </c>
    </row>
    <row r="946" spans="11:19" x14ac:dyDescent="0.2">
      <c r="K946" s="355">
        <v>44557</v>
      </c>
      <c r="L946" s="169">
        <v>78.870002999999997</v>
      </c>
      <c r="M946" s="169">
        <v>79.449996999999996</v>
      </c>
      <c r="N946" s="169">
        <v>76.349997999999999</v>
      </c>
      <c r="O946" s="169">
        <v>78.75</v>
      </c>
      <c r="P946" s="169">
        <v>71.853088</v>
      </c>
      <c r="Q946" s="169">
        <v>68977100</v>
      </c>
      <c r="R946" s="53">
        <f t="shared" si="17"/>
        <v>-5.0536946051276121E-3</v>
      </c>
      <c r="S946" s="146">
        <f>(P946/P945)*('16. câmbio USD-BRL'!O946/'16. câmbio USD-BRL'!O945)^-1 -1</f>
        <v>1.3132708334056442E-2</v>
      </c>
    </row>
    <row r="947" spans="11:19" x14ac:dyDescent="0.2">
      <c r="K947" s="355">
        <v>44564</v>
      </c>
      <c r="L947" s="169">
        <v>79</v>
      </c>
      <c r="M947" s="169">
        <v>84</v>
      </c>
      <c r="N947" s="169">
        <v>76.900002000000001</v>
      </c>
      <c r="O947" s="169">
        <v>84</v>
      </c>
      <c r="P947" s="169">
        <v>76.643294999999995</v>
      </c>
      <c r="Q947" s="169">
        <v>116032100</v>
      </c>
      <c r="R947" s="53">
        <f t="shared" si="17"/>
        <v>6.6666682439591174E-2</v>
      </c>
      <c r="S947" s="146">
        <f>(P947/P946)*('16. câmbio USD-BRL'!O947/'16. câmbio USD-BRL'!O946)^-1 -1</f>
        <v>5.4754226503109793E-2</v>
      </c>
    </row>
    <row r="948" spans="11:19" x14ac:dyDescent="0.2">
      <c r="K948" s="355">
        <v>44571</v>
      </c>
      <c r="L948" s="169">
        <v>82.489998</v>
      </c>
      <c r="M948" s="169">
        <v>86.580001999999993</v>
      </c>
      <c r="N948" s="169">
        <v>82.300003000000004</v>
      </c>
      <c r="O948" s="169">
        <v>84.690002000000007</v>
      </c>
      <c r="P948" s="169">
        <v>77.272864999999996</v>
      </c>
      <c r="Q948" s="169">
        <v>125148500</v>
      </c>
      <c r="R948" s="53">
        <f t="shared" si="17"/>
        <v>8.2142867161438815E-3</v>
      </c>
      <c r="S948" s="146">
        <f>(P948/P947)*('16. câmbio USD-BRL'!O948/'16. câmbio USD-BRL'!O947)^-1 -1</f>
        <v>2.6234707252935197E-2</v>
      </c>
    </row>
    <row r="949" spans="11:19" x14ac:dyDescent="0.2">
      <c r="K949" s="355">
        <v>44578</v>
      </c>
      <c r="L949" s="169">
        <v>84</v>
      </c>
      <c r="M949" s="169">
        <v>89</v>
      </c>
      <c r="N949" s="169">
        <v>84</v>
      </c>
      <c r="O949" s="169">
        <v>84.910004000000001</v>
      </c>
      <c r="P949" s="169">
        <v>77.473595000000003</v>
      </c>
      <c r="Q949" s="169">
        <v>118602300</v>
      </c>
      <c r="R949" s="53">
        <f t="shared" si="17"/>
        <v>2.5976777229628212E-3</v>
      </c>
      <c r="S949" s="146">
        <f>(P949/P948)*('16. câmbio USD-BRL'!O949/'16. câmbio USD-BRL'!O948)^-1 -1</f>
        <v>1.6597410739123353E-2</v>
      </c>
    </row>
    <row r="950" spans="11:19" x14ac:dyDescent="0.2">
      <c r="K950" s="355">
        <v>44585</v>
      </c>
      <c r="L950" s="169">
        <v>83.699996999999996</v>
      </c>
      <c r="M950" s="169">
        <v>86.559997999999993</v>
      </c>
      <c r="N950" s="169">
        <v>82.080001999999993</v>
      </c>
      <c r="O950" s="169">
        <v>83.660004000000001</v>
      </c>
      <c r="P950" s="169">
        <v>76.333076000000005</v>
      </c>
      <c r="Q950" s="169">
        <v>126785300</v>
      </c>
      <c r="R950" s="53">
        <f t="shared" si="17"/>
        <v>-1.4721389913556981E-2</v>
      </c>
      <c r="S950" s="146">
        <f>(P950/P949)*('16. câmbio USD-BRL'!O950/'16. câmbio USD-BRL'!O949)^-1 -1</f>
        <v>2.2113931485634453E-3</v>
      </c>
    </row>
    <row r="951" spans="11:19" x14ac:dyDescent="0.2">
      <c r="K951" s="355">
        <v>44592</v>
      </c>
      <c r="L951" s="169">
        <v>82.940002000000007</v>
      </c>
      <c r="M951" s="169">
        <v>88.169998000000007</v>
      </c>
      <c r="N951" s="169">
        <v>80.870002999999997</v>
      </c>
      <c r="O951" s="169">
        <v>88</v>
      </c>
      <c r="P951" s="169">
        <v>80.292975999999996</v>
      </c>
      <c r="Q951" s="169">
        <v>116732800</v>
      </c>
      <c r="R951" s="53">
        <f t="shared" si="17"/>
        <v>5.1876594099260265E-2</v>
      </c>
      <c r="S951" s="146">
        <f>(P951/P950)*('16. câmbio USD-BRL'!O951/'16. câmbio USD-BRL'!O950)^-1 -1</f>
        <v>5.9380266136612292E-2</v>
      </c>
    </row>
    <row r="952" spans="11:19" x14ac:dyDescent="0.2">
      <c r="K952" s="355">
        <v>44599</v>
      </c>
      <c r="L952" s="169">
        <v>88.150002000000001</v>
      </c>
      <c r="M952" s="169">
        <v>94.480002999999996</v>
      </c>
      <c r="N952" s="169">
        <v>88.150002000000001</v>
      </c>
      <c r="O952" s="169">
        <v>91.970000999999996</v>
      </c>
      <c r="P952" s="169">
        <v>83.915283000000002</v>
      </c>
      <c r="Q952" s="169">
        <v>158773900</v>
      </c>
      <c r="R952" s="53">
        <f t="shared" si="17"/>
        <v>4.5113622392075836E-2</v>
      </c>
      <c r="S952" s="146">
        <f>(P952/P951)*('16. câmbio USD-BRL'!O952/'16. câmbio USD-BRL'!O951)^-1 -1</f>
        <v>6.0430936015530179E-2</v>
      </c>
    </row>
    <row r="953" spans="11:19" x14ac:dyDescent="0.2">
      <c r="K953" s="355">
        <v>44606</v>
      </c>
      <c r="L953" s="169">
        <v>91.110000999999997</v>
      </c>
      <c r="M953" s="169">
        <v>92.169998000000007</v>
      </c>
      <c r="N953" s="169">
        <v>85.370002999999997</v>
      </c>
      <c r="O953" s="169">
        <v>85.830001999999993</v>
      </c>
      <c r="P953" s="169">
        <v>78.313025999999994</v>
      </c>
      <c r="Q953" s="169">
        <v>132153900</v>
      </c>
      <c r="R953" s="53">
        <f t="shared" ref="R953:R1008" si="18">P953/P952-1</f>
        <v>-6.6760866432399535E-2</v>
      </c>
      <c r="S953" s="146">
        <f>(P953/P952)*('16. câmbio USD-BRL'!O953/'16. câmbio USD-BRL'!O952)^-1 -1</f>
        <v>-4.6332965701600837E-2</v>
      </c>
    </row>
    <row r="954" spans="11:19" x14ac:dyDescent="0.2">
      <c r="K954" s="355">
        <v>44613</v>
      </c>
      <c r="L954" s="169">
        <v>86.599997999999999</v>
      </c>
      <c r="M954" s="169">
        <v>92.410004000000001</v>
      </c>
      <c r="N954" s="169">
        <v>83.730002999999996</v>
      </c>
      <c r="O954" s="169">
        <v>92.279999000000004</v>
      </c>
      <c r="P954" s="169">
        <v>84.198134999999994</v>
      </c>
      <c r="Q954" s="169">
        <v>150806800</v>
      </c>
      <c r="R954" s="53">
        <f t="shared" si="18"/>
        <v>7.5148532761331488E-2</v>
      </c>
      <c r="S954" s="146">
        <f>(P954/P953)*('16. câmbio USD-BRL'!O954/'16. câmbio USD-BRL'!O953)^-1 -1</f>
        <v>7.0513495836487472E-2</v>
      </c>
    </row>
    <row r="955" spans="11:19" x14ac:dyDescent="0.2">
      <c r="K955" s="355">
        <v>44620</v>
      </c>
      <c r="L955" s="169">
        <v>92.279999000000004</v>
      </c>
      <c r="M955" s="169">
        <v>102.089996</v>
      </c>
      <c r="N955" s="169">
        <v>92.279999000000004</v>
      </c>
      <c r="O955" s="169">
        <v>101.970001</v>
      </c>
      <c r="P955" s="169">
        <v>93.039490000000001</v>
      </c>
      <c r="Q955" s="169">
        <v>111346100</v>
      </c>
      <c r="R955" s="53">
        <f t="shared" si="18"/>
        <v>0.10500654200951143</v>
      </c>
      <c r="S955" s="146">
        <f>(P955/P954)*('16. câmbio USD-BRL'!O955/'16. câmbio USD-BRL'!O954)^-1 -1</f>
        <v>0.13266783857840858</v>
      </c>
    </row>
    <row r="956" spans="11:19" x14ac:dyDescent="0.2">
      <c r="K956" s="355">
        <v>44627</v>
      </c>
      <c r="L956" s="169">
        <v>104.44000200000001</v>
      </c>
      <c r="M956" s="169">
        <v>107.110001</v>
      </c>
      <c r="N956" s="169">
        <v>92.559997999999993</v>
      </c>
      <c r="O956" s="169">
        <v>96.790001000000004</v>
      </c>
      <c r="P956" s="169">
        <v>88.313147999999998</v>
      </c>
      <c r="Q956" s="169">
        <v>206845200</v>
      </c>
      <c r="R956" s="53">
        <f t="shared" si="18"/>
        <v>-5.0799311131219715E-2</v>
      </c>
      <c r="S956" s="146">
        <f>(P956/P955)*('16. câmbio USD-BRL'!O956/'16. câmbio USD-BRL'!O955)^-1 -1</f>
        <v>-5.8238754551379057E-2</v>
      </c>
    </row>
    <row r="957" spans="11:19" x14ac:dyDescent="0.2">
      <c r="K957" s="355">
        <v>44634</v>
      </c>
      <c r="L957" s="169">
        <v>94.980002999999996</v>
      </c>
      <c r="M957" s="169">
        <v>96.089995999999999</v>
      </c>
      <c r="N957" s="169">
        <v>87.279999000000004</v>
      </c>
      <c r="O957" s="169">
        <v>96.089995999999999</v>
      </c>
      <c r="P957" s="169">
        <v>91.045151000000004</v>
      </c>
      <c r="Q957" s="169">
        <v>208951800</v>
      </c>
      <c r="R957" s="53">
        <f t="shared" si="18"/>
        <v>3.093540499767955E-2</v>
      </c>
      <c r="S957" s="146">
        <f>(P957/P956)*('16. câmbio USD-BRL'!O957/'16. câmbio USD-BRL'!O956)^-1 -1</f>
        <v>4.1445309371349159E-2</v>
      </c>
    </row>
    <row r="958" spans="11:19" x14ac:dyDescent="0.2">
      <c r="K958" s="355">
        <v>44641</v>
      </c>
      <c r="L958" s="169">
        <v>97.330001999999993</v>
      </c>
      <c r="M958" s="169">
        <v>99.43</v>
      </c>
      <c r="N958" s="169">
        <v>94.300003000000004</v>
      </c>
      <c r="O958" s="169">
        <v>95.230002999999996</v>
      </c>
      <c r="P958" s="169">
        <v>90.230300999999997</v>
      </c>
      <c r="Q958" s="169">
        <v>126802300</v>
      </c>
      <c r="R958" s="53">
        <f t="shared" si="18"/>
        <v>-8.9499549514724386E-3</v>
      </c>
      <c r="S958" s="146">
        <f>(P958/P957)*('16. câmbio USD-BRL'!O958/'16. câmbio USD-BRL'!O957)^-1 -1</f>
        <v>4.9697501159335467E-2</v>
      </c>
    </row>
    <row r="959" spans="11:19" x14ac:dyDescent="0.2">
      <c r="K959" s="355">
        <v>44648</v>
      </c>
      <c r="L959" s="169">
        <v>95.699996999999996</v>
      </c>
      <c r="M959" s="169">
        <v>97.5</v>
      </c>
      <c r="N959" s="169">
        <v>93.400002000000001</v>
      </c>
      <c r="O959" s="169">
        <v>96.959998999999996</v>
      </c>
      <c r="P959" s="169">
        <v>91.869468999999995</v>
      </c>
      <c r="Q959" s="169">
        <v>116949600</v>
      </c>
      <c r="R959" s="53">
        <f t="shared" si="18"/>
        <v>1.8166491542569441E-2</v>
      </c>
      <c r="S959" s="146">
        <f>(P959/P958)*('16. câmbio USD-BRL'!O959/'16. câmbio USD-BRL'!O958)^-1 -1</f>
        <v>3.6890525377576866E-2</v>
      </c>
    </row>
    <row r="960" spans="11:19" x14ac:dyDescent="0.2">
      <c r="K960" s="355">
        <v>44655</v>
      </c>
      <c r="L960" s="169">
        <v>96.769997000000004</v>
      </c>
      <c r="M960" s="169">
        <v>98.25</v>
      </c>
      <c r="N960" s="169">
        <v>94.620002999999997</v>
      </c>
      <c r="O960" s="169">
        <v>95.150002000000001</v>
      </c>
      <c r="P960" s="169">
        <v>90.154503000000005</v>
      </c>
      <c r="Q960" s="169">
        <v>112128200</v>
      </c>
      <c r="R960" s="53">
        <f t="shared" si="18"/>
        <v>-1.8667420402745494E-2</v>
      </c>
      <c r="S960" s="146">
        <f>(P960/P959)*('16. câmbio USD-BRL'!O960/'16. câmbio USD-BRL'!O959)^-1 -1</f>
        <v>-2.7321321863057579E-2</v>
      </c>
    </row>
    <row r="961" spans="11:19" x14ac:dyDescent="0.2">
      <c r="K961" s="355">
        <v>44662</v>
      </c>
      <c r="L961" s="169">
        <v>93.809997999999993</v>
      </c>
      <c r="M961" s="169">
        <v>95.610000999999997</v>
      </c>
      <c r="N961" s="169">
        <v>91.360000999999997</v>
      </c>
      <c r="O961" s="169">
        <v>92.089995999999999</v>
      </c>
      <c r="P961" s="169">
        <v>87.25515</v>
      </c>
      <c r="Q961" s="169">
        <v>81993800</v>
      </c>
      <c r="R961" s="53">
        <f t="shared" si="18"/>
        <v>-3.2159824562506878E-2</v>
      </c>
      <c r="S961" s="146">
        <f>(P961/P960)*('16. câmbio USD-BRL'!O961/'16. câmbio USD-BRL'!O960)^-1 -1</f>
        <v>-3.2798105748707673E-2</v>
      </c>
    </row>
    <row r="962" spans="11:19" x14ac:dyDescent="0.2">
      <c r="K962" s="355">
        <v>44669</v>
      </c>
      <c r="L962" s="169">
        <v>91.610000999999997</v>
      </c>
      <c r="M962" s="169">
        <v>92</v>
      </c>
      <c r="N962" s="169">
        <v>80.080001999999993</v>
      </c>
      <c r="O962" s="169">
        <v>80.449996999999996</v>
      </c>
      <c r="P962" s="169">
        <v>76.226264999999998</v>
      </c>
      <c r="Q962" s="169">
        <v>118057400</v>
      </c>
      <c r="R962" s="53">
        <f t="shared" si="18"/>
        <v>-0.1263980979919237</v>
      </c>
      <c r="S962" s="146">
        <f>(P962/P961)*('16. câmbio USD-BRL'!O962/'16. câmbio USD-BRL'!O961)^-1 -1</f>
        <v>-0.14357648949752655</v>
      </c>
    </row>
    <row r="963" spans="11:19" x14ac:dyDescent="0.2">
      <c r="K963" s="355">
        <v>44676</v>
      </c>
      <c r="L963" s="169">
        <v>77.940002000000007</v>
      </c>
      <c r="M963" s="169">
        <v>87.199996999999996</v>
      </c>
      <c r="N963" s="169">
        <v>77.540001000000004</v>
      </c>
      <c r="O963" s="169">
        <v>83.290001000000004</v>
      </c>
      <c r="P963" s="169">
        <v>78.917159999999996</v>
      </c>
      <c r="Q963" s="169">
        <v>228946900</v>
      </c>
      <c r="R963" s="53">
        <f t="shared" si="18"/>
        <v>3.5301414807612508E-2</v>
      </c>
      <c r="S963" s="146">
        <f>(P963/P962)*('16. câmbio USD-BRL'!O963/'16. câmbio USD-BRL'!O962)^-1 -1</f>
        <v>-1.2368952294200541E-3</v>
      </c>
    </row>
    <row r="964" spans="11:19" x14ac:dyDescent="0.2">
      <c r="K964" s="355">
        <v>44683</v>
      </c>
      <c r="L964" s="169">
        <v>83.160004000000001</v>
      </c>
      <c r="M964" s="169">
        <v>84.209998999999996</v>
      </c>
      <c r="N964" s="169">
        <v>78.25</v>
      </c>
      <c r="O964" s="169">
        <v>79.760002</v>
      </c>
      <c r="P964" s="169">
        <v>75.572502</v>
      </c>
      <c r="Q964" s="169">
        <v>148981100</v>
      </c>
      <c r="R964" s="53">
        <f t="shared" si="18"/>
        <v>-4.2381885004478037E-2</v>
      </c>
      <c r="S964" s="146">
        <f>(P964/P963)*('16. câmbio USD-BRL'!O964/'16. câmbio USD-BRL'!O963)^-1 -1</f>
        <v>-6.3042714037236491E-2</v>
      </c>
    </row>
    <row r="965" spans="11:19" x14ac:dyDescent="0.2">
      <c r="K965" s="355">
        <v>44690</v>
      </c>
      <c r="L965" s="169">
        <v>77.529999000000004</v>
      </c>
      <c r="M965" s="169">
        <v>79.889999000000003</v>
      </c>
      <c r="N965" s="169">
        <v>74.870002999999997</v>
      </c>
      <c r="O965" s="169">
        <v>77.809997999999993</v>
      </c>
      <c r="P965" s="169">
        <v>73.724868999999998</v>
      </c>
      <c r="Q965" s="169">
        <v>156712600</v>
      </c>
      <c r="R965" s="53">
        <f t="shared" si="18"/>
        <v>-2.444848259754584E-2</v>
      </c>
      <c r="S965" s="146">
        <f>(P965/P964)*('16. câmbio USD-BRL'!O965/'16. câmbio USD-BRL'!O964)^-1 -1</f>
        <v>-2.0147075044936735E-2</v>
      </c>
    </row>
    <row r="966" spans="11:19" x14ac:dyDescent="0.2">
      <c r="K966" s="355">
        <v>44697</v>
      </c>
      <c r="L966" s="169">
        <v>78.680000000000007</v>
      </c>
      <c r="M966" s="169">
        <v>82.459998999999996</v>
      </c>
      <c r="N966" s="169">
        <v>77.419998000000007</v>
      </c>
      <c r="O966" s="169">
        <v>81.260002</v>
      </c>
      <c r="P966" s="169">
        <v>76.993744000000007</v>
      </c>
      <c r="Q966" s="169">
        <v>152122100</v>
      </c>
      <c r="R966" s="53">
        <f t="shared" si="18"/>
        <v>4.4338837685829136E-2</v>
      </c>
      <c r="S966" s="146">
        <f>(P966/P965)*('16. câmbio USD-BRL'!O966/'16. câmbio USD-BRL'!O965)^-1 -1</f>
        <v>8.2456830716231E-2</v>
      </c>
    </row>
    <row r="967" spans="11:19" x14ac:dyDescent="0.2">
      <c r="K967" s="355">
        <v>44704</v>
      </c>
      <c r="L967" s="169">
        <v>82.300003000000004</v>
      </c>
      <c r="M967" s="169">
        <v>85.879997000000003</v>
      </c>
      <c r="N967" s="169">
        <v>81</v>
      </c>
      <c r="O967" s="169">
        <v>85.720000999999996</v>
      </c>
      <c r="P967" s="169">
        <v>81.219588999999999</v>
      </c>
      <c r="Q967" s="169">
        <v>134702400</v>
      </c>
      <c r="R967" s="53">
        <f t="shared" si="18"/>
        <v>5.4885563169911444E-2</v>
      </c>
      <c r="S967" s="146">
        <f>(P967/P966)*('16. câmbio USD-BRL'!O967/'16. câmbio USD-BRL'!O966)^-1 -1</f>
        <v>8.8365142615888459E-2</v>
      </c>
    </row>
    <row r="968" spans="11:19" x14ac:dyDescent="0.2">
      <c r="K968" s="355">
        <v>44711</v>
      </c>
      <c r="L968" s="169">
        <v>86.279999000000004</v>
      </c>
      <c r="M968" s="169">
        <v>90.279999000000004</v>
      </c>
      <c r="N968" s="169">
        <v>85.010002</v>
      </c>
      <c r="O968" s="169">
        <v>88.459998999999996</v>
      </c>
      <c r="P968" s="169">
        <v>83.815735000000004</v>
      </c>
      <c r="Q968" s="169">
        <v>127350900</v>
      </c>
      <c r="R968" s="53">
        <f t="shared" si="18"/>
        <v>3.1964530133241631E-2</v>
      </c>
      <c r="S968" s="146">
        <f>(P968/P967)*('16. câmbio USD-BRL'!O968/'16. câmbio USD-BRL'!O967)^-1 -1</f>
        <v>3.3647425463742442E-2</v>
      </c>
    </row>
    <row r="969" spans="11:19" x14ac:dyDescent="0.2">
      <c r="K969" s="355">
        <v>44718</v>
      </c>
      <c r="L969" s="169">
        <v>89.639999000000003</v>
      </c>
      <c r="M969" s="169">
        <v>90.889999000000003</v>
      </c>
      <c r="N969" s="169">
        <v>82.379997000000003</v>
      </c>
      <c r="O969" s="169">
        <v>84.559997999999993</v>
      </c>
      <c r="P969" s="169">
        <v>80.120491000000001</v>
      </c>
      <c r="Q969" s="169">
        <v>133877300</v>
      </c>
      <c r="R969" s="53">
        <f t="shared" si="18"/>
        <v>-4.4087712170035931E-2</v>
      </c>
      <c r="S969" s="146">
        <f>(P969/P968)*('16. câmbio USD-BRL'!O969/'16. câmbio USD-BRL'!O968)^-1 -1</f>
        <v>-9.4250471695548788E-2</v>
      </c>
    </row>
    <row r="970" spans="11:19" x14ac:dyDescent="0.2">
      <c r="K970" s="355">
        <v>44725</v>
      </c>
      <c r="L970" s="169">
        <v>82.099997999999999</v>
      </c>
      <c r="M970" s="169">
        <v>83.769997000000004</v>
      </c>
      <c r="N970" s="169">
        <v>76.110000999999997</v>
      </c>
      <c r="O970" s="169">
        <v>77.410004000000001</v>
      </c>
      <c r="P970" s="169">
        <v>73.345878999999996</v>
      </c>
      <c r="Q970" s="169">
        <v>144209900</v>
      </c>
      <c r="R970" s="53">
        <f t="shared" si="18"/>
        <v>-8.4555298094715958E-2</v>
      </c>
      <c r="S970" s="146">
        <f>(P970/P969)*('16. câmbio USD-BRL'!O970/'16. câmbio USD-BRL'!O969)^-1 -1</f>
        <v>-0.11454890556397301</v>
      </c>
    </row>
    <row r="971" spans="11:19" x14ac:dyDescent="0.2">
      <c r="K971" s="355">
        <v>44732</v>
      </c>
      <c r="L971" s="169">
        <v>75.599997999999999</v>
      </c>
      <c r="M971" s="169">
        <v>77.639999000000003</v>
      </c>
      <c r="N971" s="169">
        <v>72.430000000000007</v>
      </c>
      <c r="O971" s="169">
        <v>74.620002999999997</v>
      </c>
      <c r="P971" s="169">
        <v>70.702354</v>
      </c>
      <c r="Q971" s="169">
        <v>134272600</v>
      </c>
      <c r="R971" s="53">
        <f t="shared" si="18"/>
        <v>-3.6041902231480516E-2</v>
      </c>
      <c r="S971" s="146">
        <f>(P971/P970)*('16. câmbio USD-BRL'!O971/'16. câmbio USD-BRL'!O970)^-1 -1</f>
        <v>-5.2483664726330259E-2</v>
      </c>
    </row>
    <row r="972" spans="11:19" x14ac:dyDescent="0.2">
      <c r="K972" s="355">
        <v>44739</v>
      </c>
      <c r="L972" s="169">
        <v>76.5</v>
      </c>
      <c r="M972" s="169">
        <v>80.230002999999996</v>
      </c>
      <c r="N972" s="169">
        <v>73.800003000000004</v>
      </c>
      <c r="O972" s="169">
        <v>75.099997999999999</v>
      </c>
      <c r="P972" s="169">
        <v>71.157150000000001</v>
      </c>
      <c r="Q972" s="169">
        <v>127706600</v>
      </c>
      <c r="R972" s="53">
        <f t="shared" si="18"/>
        <v>6.4325439574473009E-3</v>
      </c>
      <c r="S972" s="146">
        <f>(P972/P971)*('16. câmbio USD-BRL'!O972/'16. câmbio USD-BRL'!O971)^-1 -1</f>
        <v>-1.0482923297962077E-2</v>
      </c>
    </row>
    <row r="973" spans="11:19" x14ac:dyDescent="0.2">
      <c r="K973" s="355">
        <v>44746</v>
      </c>
      <c r="L973" s="169">
        <v>74</v>
      </c>
      <c r="M973" s="169">
        <v>78.220000999999996</v>
      </c>
      <c r="N973" s="169">
        <v>72.569999999999993</v>
      </c>
      <c r="O973" s="169">
        <v>75.400002000000001</v>
      </c>
      <c r="P973" s="169">
        <v>71.441399000000004</v>
      </c>
      <c r="Q973" s="169">
        <v>120485600</v>
      </c>
      <c r="R973" s="53">
        <f t="shared" si="18"/>
        <v>3.9946653287827871E-3</v>
      </c>
      <c r="S973" s="146">
        <f>(P973/P972)*('16. câmbio USD-BRL'!O973/'16. câmbio USD-BRL'!O972)^-1 -1</f>
        <v>1.9251896874569852E-2</v>
      </c>
    </row>
    <row r="974" spans="11:19" x14ac:dyDescent="0.2">
      <c r="K974" s="355">
        <v>44753</v>
      </c>
      <c r="L974" s="169">
        <v>74.150002000000001</v>
      </c>
      <c r="M974" s="169">
        <v>74.160004000000001</v>
      </c>
      <c r="N974" s="169">
        <v>66.650002000000001</v>
      </c>
      <c r="O974" s="169">
        <v>68.370002999999997</v>
      </c>
      <c r="P974" s="169">
        <v>64.780486999999994</v>
      </c>
      <c r="Q974" s="169">
        <v>161822400</v>
      </c>
      <c r="R974" s="53">
        <f t="shared" si="18"/>
        <v>-9.323602411537335E-2</v>
      </c>
      <c r="S974" s="146">
        <f>(P974/P973)*('16. câmbio USD-BRL'!O974/'16. câmbio USD-BRL'!O973)^-1 -1</f>
        <v>-0.12034010896631231</v>
      </c>
    </row>
    <row r="975" spans="11:19" x14ac:dyDescent="0.2">
      <c r="K975" s="355">
        <v>44760</v>
      </c>
      <c r="L975" s="169">
        <v>70.389999000000003</v>
      </c>
      <c r="M975" s="169">
        <v>70.75</v>
      </c>
      <c r="N975" s="169">
        <v>66.180000000000007</v>
      </c>
      <c r="O975" s="169">
        <v>69.209998999999996</v>
      </c>
      <c r="P975" s="169">
        <v>65.576385000000002</v>
      </c>
      <c r="Q975" s="169">
        <v>139215500</v>
      </c>
      <c r="R975" s="53">
        <f t="shared" si="18"/>
        <v>1.2286076206867724E-2</v>
      </c>
      <c r="S975" s="146">
        <f>(P975/P974)*('16. câmbio USD-BRL'!O975/'16. câmbio USD-BRL'!O974)^-1 -1</f>
        <v>-2.3842022889387637E-3</v>
      </c>
    </row>
    <row r="976" spans="11:19" x14ac:dyDescent="0.2">
      <c r="K976" s="355">
        <v>44767</v>
      </c>
      <c r="L976" s="169">
        <v>70.660004000000001</v>
      </c>
      <c r="M976" s="169">
        <v>71.970000999999996</v>
      </c>
      <c r="N976" s="169">
        <v>68.029999000000004</v>
      </c>
      <c r="O976" s="169">
        <v>69.75</v>
      </c>
      <c r="P976" s="169">
        <v>66.088036000000002</v>
      </c>
      <c r="Q976" s="169">
        <v>160076900</v>
      </c>
      <c r="R976" s="53">
        <f t="shared" si="18"/>
        <v>7.8023666598883157E-3</v>
      </c>
      <c r="S976" s="146">
        <f>(P976/P975)*('16. câmbio USD-BRL'!O976/'16. câmbio USD-BRL'!O975)^-1 -1</f>
        <v>7.0522023500445341E-2</v>
      </c>
    </row>
    <row r="977" spans="11:19" x14ac:dyDescent="0.2">
      <c r="K977" s="355">
        <v>44774</v>
      </c>
      <c r="L977" s="169">
        <v>68.940002000000007</v>
      </c>
      <c r="M977" s="169">
        <v>70.470000999999996</v>
      </c>
      <c r="N977" s="169">
        <v>66.819999999999993</v>
      </c>
      <c r="O977" s="169">
        <v>68</v>
      </c>
      <c r="P977" s="169">
        <v>64.429908999999995</v>
      </c>
      <c r="Q977" s="169">
        <v>180115600</v>
      </c>
      <c r="R977" s="53">
        <f t="shared" si="18"/>
        <v>-2.5089669785314905E-2</v>
      </c>
      <c r="S977" s="146">
        <f>(P977/P976)*('16. câmbio USD-BRL'!O977/'16. câmbio USD-BRL'!O976)^-1 -1</f>
        <v>-2.3087024635848552E-2</v>
      </c>
    </row>
    <row r="978" spans="11:19" x14ac:dyDescent="0.2">
      <c r="K978" s="355">
        <v>44781</v>
      </c>
      <c r="L978" s="169">
        <v>68.830001999999993</v>
      </c>
      <c r="M978" s="169">
        <v>73.650002000000001</v>
      </c>
      <c r="N978" s="169">
        <v>67.760002</v>
      </c>
      <c r="O978" s="169">
        <v>69.800003000000004</v>
      </c>
      <c r="P978" s="169">
        <v>66.135413999999997</v>
      </c>
      <c r="Q978" s="169">
        <v>187849100</v>
      </c>
      <c r="R978" s="53">
        <f t="shared" si="18"/>
        <v>2.6470703225733194E-2</v>
      </c>
      <c r="S978" s="146">
        <f>(P978/P977)*('16. câmbio USD-BRL'!O978/'16. câmbio USD-BRL'!O977)^-1 -1</f>
        <v>4.3826683506508868E-2</v>
      </c>
    </row>
    <row r="979" spans="11:19" x14ac:dyDescent="0.2">
      <c r="K979" s="355">
        <v>44788</v>
      </c>
      <c r="L979" s="169">
        <v>68</v>
      </c>
      <c r="M979" s="169">
        <v>70.349997999999999</v>
      </c>
      <c r="N979" s="169">
        <v>66.480002999999996</v>
      </c>
      <c r="O979" s="169">
        <v>66.959998999999996</v>
      </c>
      <c r="P979" s="169">
        <v>66.732879999999994</v>
      </c>
      <c r="Q979" s="169">
        <v>151533500</v>
      </c>
      <c r="R979" s="53">
        <f t="shared" si="18"/>
        <v>9.0339798885963329E-3</v>
      </c>
      <c r="S979" s="146">
        <f>(P979/P978)*('16. câmbio USD-BRL'!O979/'16. câmbio USD-BRL'!O978)^-1 -1</f>
        <v>-8.3968495726443049E-3</v>
      </c>
    </row>
    <row r="980" spans="11:19" x14ac:dyDescent="0.2">
      <c r="K980" s="355">
        <v>44795</v>
      </c>
      <c r="L980" s="169">
        <v>66.800003000000004</v>
      </c>
      <c r="M980" s="169">
        <v>71.199996999999996</v>
      </c>
      <c r="N980" s="169">
        <v>65.830001999999993</v>
      </c>
      <c r="O980" s="169">
        <v>68.230002999999996</v>
      </c>
      <c r="P980" s="169">
        <v>67.998572999999993</v>
      </c>
      <c r="Q980" s="169">
        <v>138799800</v>
      </c>
      <c r="R980" s="53">
        <f t="shared" si="18"/>
        <v>1.8966557415175167E-2</v>
      </c>
      <c r="S980" s="146">
        <f>(P980/P979)*('16. câmbio USD-BRL'!O980/'16. câmbio USD-BRL'!O979)^-1 -1</f>
        <v>4.0158096605448002E-2</v>
      </c>
    </row>
    <row r="981" spans="11:19" x14ac:dyDescent="0.2">
      <c r="K981" s="355">
        <v>44802</v>
      </c>
      <c r="L981" s="169">
        <v>67.5</v>
      </c>
      <c r="M981" s="169">
        <v>67.900002000000001</v>
      </c>
      <c r="N981" s="169">
        <v>61.900002000000001</v>
      </c>
      <c r="O981" s="169">
        <v>62.919998</v>
      </c>
      <c r="P981" s="169">
        <v>62.706577000000003</v>
      </c>
      <c r="Q981" s="169">
        <v>180672800</v>
      </c>
      <c r="R981" s="53">
        <f t="shared" si="18"/>
        <v>-7.7825103770927551E-2</v>
      </c>
      <c r="S981" s="146">
        <f>(P981/P980)*('16. câmbio USD-BRL'!O981/'16. câmbio USD-BRL'!O980)^-1 -1</f>
        <v>-9.7835938752729001E-2</v>
      </c>
    </row>
    <row r="982" spans="11:19" x14ac:dyDescent="0.2">
      <c r="K982" s="355">
        <v>44809</v>
      </c>
      <c r="L982" s="169">
        <v>64.449996999999996</v>
      </c>
      <c r="M982" s="169">
        <v>69.639999000000003</v>
      </c>
      <c r="N982" s="169">
        <v>63.560001</v>
      </c>
      <c r="O982" s="169">
        <v>69.550003000000004</v>
      </c>
      <c r="P982" s="169">
        <v>69.314094999999995</v>
      </c>
      <c r="Q982" s="169">
        <v>122262800</v>
      </c>
      <c r="R982" s="53">
        <f t="shared" si="18"/>
        <v>0.105372009063738</v>
      </c>
      <c r="S982" s="146">
        <f>(P982/P981)*('16. câmbio USD-BRL'!O982/'16. câmbio USD-BRL'!O981)^-1 -1</f>
        <v>0.11067772596921133</v>
      </c>
    </row>
    <row r="983" spans="11:19" x14ac:dyDescent="0.2">
      <c r="K983" s="355">
        <v>44816</v>
      </c>
      <c r="L983" s="169">
        <v>70.089995999999999</v>
      </c>
      <c r="M983" s="169">
        <v>71</v>
      </c>
      <c r="N983" s="169">
        <v>66.470000999999996</v>
      </c>
      <c r="O983" s="169">
        <v>68.25</v>
      </c>
      <c r="P983" s="169">
        <v>68.018501000000001</v>
      </c>
      <c r="Q983" s="169">
        <v>187410500</v>
      </c>
      <c r="R983" s="53">
        <f t="shared" si="18"/>
        <v>-1.8691638403415589E-2</v>
      </c>
      <c r="S983" s="146">
        <f>(P983/P982)*('16. câmbio USD-BRL'!O983/'16. câmbio USD-BRL'!O982)^-1 -1</f>
        <v>-3.7728014570218682E-2</v>
      </c>
    </row>
    <row r="984" spans="11:19" x14ac:dyDescent="0.2">
      <c r="K984" s="355">
        <v>44823</v>
      </c>
      <c r="L984" s="169">
        <v>67.430000000000007</v>
      </c>
      <c r="M984" s="169">
        <v>70.699996999999996</v>
      </c>
      <c r="N984" s="169">
        <v>67.330001999999993</v>
      </c>
      <c r="O984" s="169">
        <v>68.569999999999993</v>
      </c>
      <c r="P984" s="169">
        <v>68.337418</v>
      </c>
      <c r="Q984" s="169">
        <v>192598700</v>
      </c>
      <c r="R984" s="53">
        <f t="shared" si="18"/>
        <v>4.6886802165782004E-3</v>
      </c>
      <c r="S984" s="146">
        <f>(P984/P983)*('16. câmbio USD-BRL'!O984/'16. câmbio USD-BRL'!O983)^-1 -1</f>
        <v>2.1487905669146379E-3</v>
      </c>
    </row>
    <row r="985" spans="11:19" x14ac:dyDescent="0.2">
      <c r="K985" s="355">
        <v>44830</v>
      </c>
      <c r="L985" s="169">
        <v>67.699996999999996</v>
      </c>
      <c r="M985" s="169">
        <v>72.900002000000001</v>
      </c>
      <c r="N985" s="169">
        <v>67.190002000000007</v>
      </c>
      <c r="O985" s="169">
        <v>72.040001000000004</v>
      </c>
      <c r="P985" s="169">
        <v>71.795647000000002</v>
      </c>
      <c r="Q985" s="169">
        <v>164985500</v>
      </c>
      <c r="R985" s="53">
        <f t="shared" si="18"/>
        <v>5.0605204311348073E-2</v>
      </c>
      <c r="S985" s="146">
        <f>(P985/P984)*('16. câmbio USD-BRL'!O985/'16. câmbio USD-BRL'!O984)^-1 -1</f>
        <v>2.2123304216658424E-2</v>
      </c>
    </row>
    <row r="986" spans="11:19" x14ac:dyDescent="0.2">
      <c r="K986" s="355">
        <v>44837</v>
      </c>
      <c r="L986" s="169">
        <v>73.239998</v>
      </c>
      <c r="M986" s="169">
        <v>79.440002000000007</v>
      </c>
      <c r="N986" s="169">
        <v>71.129997000000003</v>
      </c>
      <c r="O986" s="169">
        <v>75.510002</v>
      </c>
      <c r="P986" s="169">
        <v>75.253876000000005</v>
      </c>
      <c r="Q986" s="169">
        <v>287472400</v>
      </c>
      <c r="R986" s="53">
        <f t="shared" si="18"/>
        <v>4.8167669552445114E-2</v>
      </c>
      <c r="S986" s="146">
        <f>(P986/P985)*('16. câmbio USD-BRL'!O986/'16. câmbio USD-BRL'!O985)^-1 -1</f>
        <v>8.9469013545496967E-2</v>
      </c>
    </row>
    <row r="987" spans="11:19" x14ac:dyDescent="0.2">
      <c r="K987" s="355">
        <v>44844</v>
      </c>
      <c r="L987" s="169">
        <v>76.410004000000001</v>
      </c>
      <c r="M987" s="169">
        <v>77.019997000000004</v>
      </c>
      <c r="N987" s="169">
        <v>69.599997999999999</v>
      </c>
      <c r="O987" s="169">
        <v>69.830001999999993</v>
      </c>
      <c r="P987" s="169">
        <v>69.593147000000002</v>
      </c>
      <c r="Q987" s="169">
        <v>146453400</v>
      </c>
      <c r="R987" s="53">
        <f t="shared" si="18"/>
        <v>-7.5221760006089267E-2</v>
      </c>
      <c r="S987" s="146">
        <f>(P987/P986)*('16. câmbio USD-BRL'!O987/'16. câmbio USD-BRL'!O986)^-1 -1</f>
        <v>-9.6122175619996475E-2</v>
      </c>
    </row>
    <row r="988" spans="11:19" x14ac:dyDescent="0.2">
      <c r="K988" s="355">
        <v>44851</v>
      </c>
      <c r="L988" s="169">
        <v>70.209998999999996</v>
      </c>
      <c r="M988" s="169">
        <v>74.680000000000007</v>
      </c>
      <c r="N988" s="169">
        <v>69.260002</v>
      </c>
      <c r="O988" s="169">
        <v>74.129997000000003</v>
      </c>
      <c r="P988" s="169">
        <v>73.878555000000006</v>
      </c>
      <c r="Q988" s="169">
        <v>150073000</v>
      </c>
      <c r="R988" s="53">
        <f t="shared" si="18"/>
        <v>6.157801715735034E-2</v>
      </c>
      <c r="S988" s="146">
        <f>(P988/P987)*('16. câmbio USD-BRL'!O988/'16. câmbio USD-BRL'!O987)^-1 -1</f>
        <v>9.5537646624956007E-2</v>
      </c>
    </row>
    <row r="989" spans="11:19" x14ac:dyDescent="0.2">
      <c r="K989" s="355">
        <v>44858</v>
      </c>
      <c r="L989" s="169">
        <v>73.269997000000004</v>
      </c>
      <c r="M989" s="169">
        <v>74.849997999999999</v>
      </c>
      <c r="N989" s="169">
        <v>66.650002000000001</v>
      </c>
      <c r="O989" s="169">
        <v>67.449996999999996</v>
      </c>
      <c r="P989" s="169">
        <v>67.221214000000003</v>
      </c>
      <c r="Q989" s="169">
        <v>206446100</v>
      </c>
      <c r="R989" s="53">
        <f t="shared" si="18"/>
        <v>-9.0111954680218154E-2</v>
      </c>
      <c r="S989" s="146">
        <f>(P989/P988)*('16. câmbio USD-BRL'!O989/'16. câmbio USD-BRL'!O988)^-1 -1</f>
        <v>-0.11258172469416605</v>
      </c>
    </row>
    <row r="990" spans="11:19" x14ac:dyDescent="0.2">
      <c r="K990" s="355">
        <v>44865</v>
      </c>
      <c r="L990" s="169">
        <v>66</v>
      </c>
      <c r="M990" s="169">
        <v>73.389999000000003</v>
      </c>
      <c r="N990" s="169">
        <v>65.519997000000004</v>
      </c>
      <c r="O990" s="169">
        <v>72.25</v>
      </c>
      <c r="P990" s="169">
        <v>72.004936000000001</v>
      </c>
      <c r="Q990" s="169">
        <v>177435500</v>
      </c>
      <c r="R990" s="53">
        <f t="shared" si="18"/>
        <v>7.1163873952053258E-2</v>
      </c>
      <c r="S990" s="146">
        <f>(P990/P989)*('16. câmbio USD-BRL'!O990/'16. câmbio USD-BRL'!O989)^-1 -1</f>
        <v>0.12337639506522957</v>
      </c>
    </row>
    <row r="991" spans="11:19" x14ac:dyDescent="0.2">
      <c r="K991" s="355">
        <v>44872</v>
      </c>
      <c r="L991" s="169">
        <v>72</v>
      </c>
      <c r="M991" s="169">
        <v>82.989998</v>
      </c>
      <c r="N991" s="169">
        <v>71.379997000000003</v>
      </c>
      <c r="O991" s="169">
        <v>82.300003000000004</v>
      </c>
      <c r="P991" s="169">
        <v>82.020850999999993</v>
      </c>
      <c r="Q991" s="169">
        <v>239242700</v>
      </c>
      <c r="R991" s="53">
        <f t="shared" si="18"/>
        <v>0.13910039445073585</v>
      </c>
      <c r="S991" s="146">
        <f>(P991/P990)*('16. câmbio USD-BRL'!O991/'16. câmbio USD-BRL'!O990)^-1 -1</f>
        <v>8.8091068382248006E-2</v>
      </c>
    </row>
    <row r="992" spans="11:19" x14ac:dyDescent="0.2">
      <c r="K992" s="355">
        <v>44879</v>
      </c>
      <c r="L992" s="169">
        <v>82.389999000000003</v>
      </c>
      <c r="M992" s="169">
        <v>84.769997000000004</v>
      </c>
      <c r="N992" s="169">
        <v>80.699996999999996</v>
      </c>
      <c r="O992" s="169">
        <v>80.830001999999993</v>
      </c>
      <c r="P992" s="169">
        <v>80.555831999999995</v>
      </c>
      <c r="Q992" s="169">
        <v>152872700</v>
      </c>
      <c r="R992" s="53">
        <f t="shared" si="18"/>
        <v>-1.7861543523853496E-2</v>
      </c>
      <c r="S992" s="146">
        <f>(P992/P991)*('16. câmbio USD-BRL'!O992/'16. câmbio USD-BRL'!O991)^-1 -1</f>
        <v>-3.6514016021551576E-2</v>
      </c>
    </row>
    <row r="993" spans="11:19" x14ac:dyDescent="0.2">
      <c r="K993" s="355">
        <v>44886</v>
      </c>
      <c r="L993" s="169">
        <v>79.099997999999999</v>
      </c>
      <c r="M993" s="169">
        <v>82.879997000000003</v>
      </c>
      <c r="N993" s="169">
        <v>78.279999000000004</v>
      </c>
      <c r="O993" s="169">
        <v>80.900002000000001</v>
      </c>
      <c r="P993" s="169">
        <v>80.625595000000004</v>
      </c>
      <c r="Q993" s="169">
        <v>110164700</v>
      </c>
      <c r="R993" s="53">
        <f t="shared" si="18"/>
        <v>8.6602047633266288E-4</v>
      </c>
      <c r="S993" s="146">
        <f>(P993/P992)*('16. câmbio USD-BRL'!O993/'16. câmbio USD-BRL'!O992)^-1 -1</f>
        <v>-4.1674556736083224E-3</v>
      </c>
    </row>
    <row r="994" spans="11:19" x14ac:dyDescent="0.2">
      <c r="K994" s="355">
        <v>44893</v>
      </c>
      <c r="L994" s="169">
        <v>80.599997999999999</v>
      </c>
      <c r="M994" s="169">
        <v>87.739998</v>
      </c>
      <c r="N994" s="169">
        <v>79.519997000000004</v>
      </c>
      <c r="O994" s="169">
        <v>86.800003000000004</v>
      </c>
      <c r="P994" s="169">
        <v>86.505584999999996</v>
      </c>
      <c r="Q994" s="169">
        <v>183206300</v>
      </c>
      <c r="R994" s="53">
        <f t="shared" si="18"/>
        <v>7.2929570318209569E-2</v>
      </c>
      <c r="S994" s="146">
        <f>(P994/P993)*('16. câmbio USD-BRL'!O994/'16. câmbio USD-BRL'!O993)^-1 -1</f>
        <v>0.11220691539358607</v>
      </c>
    </row>
    <row r="995" spans="11:19" x14ac:dyDescent="0.2">
      <c r="K995" s="355">
        <v>44900</v>
      </c>
      <c r="L995" s="169">
        <v>87.900002000000001</v>
      </c>
      <c r="M995" s="169">
        <v>89.540001000000004</v>
      </c>
      <c r="N995" s="169">
        <v>83.860000999999997</v>
      </c>
      <c r="O995" s="169">
        <v>88.739998</v>
      </c>
      <c r="P995" s="169">
        <v>88.438995000000006</v>
      </c>
      <c r="Q995" s="169">
        <v>156214100</v>
      </c>
      <c r="R995" s="53">
        <f t="shared" si="18"/>
        <v>2.2350117625353327E-2</v>
      </c>
      <c r="S995" s="146">
        <f>(P995/P994)*('16. câmbio USD-BRL'!O995/'16. câmbio USD-BRL'!O994)^-1 -1</f>
        <v>1.8932519333387132E-2</v>
      </c>
    </row>
    <row r="996" spans="11:19" x14ac:dyDescent="0.2">
      <c r="K996" s="355">
        <v>44907</v>
      </c>
      <c r="L996" s="169">
        <v>88.150002000000001</v>
      </c>
      <c r="M996" s="169">
        <v>88.300003000000004</v>
      </c>
      <c r="N996" s="169">
        <v>84.510002</v>
      </c>
      <c r="O996" s="169">
        <v>85.68</v>
      </c>
      <c r="P996" s="169">
        <v>85.389381</v>
      </c>
      <c r="Q996" s="169">
        <v>163662600</v>
      </c>
      <c r="R996" s="53">
        <f t="shared" si="18"/>
        <v>-3.4482684928746732E-2</v>
      </c>
      <c r="S996" s="146">
        <f>(P996/P995)*('16. câmbio USD-BRL'!O996/'16. câmbio USD-BRL'!O995)^-1 -1</f>
        <v>-4.7492105079051994E-2</v>
      </c>
    </row>
    <row r="997" spans="11:19" x14ac:dyDescent="0.2">
      <c r="K997" s="355">
        <v>44914</v>
      </c>
      <c r="L997" s="169">
        <v>85</v>
      </c>
      <c r="M997" s="169">
        <v>87.400002000000001</v>
      </c>
      <c r="N997" s="169">
        <v>84.239998</v>
      </c>
      <c r="O997" s="169">
        <v>86.32</v>
      </c>
      <c r="P997" s="169">
        <v>86.32</v>
      </c>
      <c r="Q997" s="169">
        <v>127435200</v>
      </c>
      <c r="R997" s="53">
        <f t="shared" si="18"/>
        <v>1.0898533156013857E-2</v>
      </c>
      <c r="S997" s="146">
        <f>(P997/P996)*('16. câmbio USD-BRL'!O997/'16. câmbio USD-BRL'!O996)^-1 -1</f>
        <v>3.8733819916036527E-2</v>
      </c>
    </row>
    <row r="998" spans="11:19" x14ac:dyDescent="0.2">
      <c r="K998" s="355">
        <v>44921</v>
      </c>
      <c r="L998" s="169">
        <v>86.419998000000007</v>
      </c>
      <c r="M998" s="169">
        <v>90.209998999999996</v>
      </c>
      <c r="N998" s="169">
        <v>86.330001999999993</v>
      </c>
      <c r="O998" s="169">
        <v>88.879997000000003</v>
      </c>
      <c r="P998" s="169">
        <v>88.879997000000003</v>
      </c>
      <c r="Q998" s="169">
        <v>108553100</v>
      </c>
      <c r="R998" s="53">
        <f t="shared" si="18"/>
        <v>2.9657055143651689E-2</v>
      </c>
      <c r="S998" s="480">
        <f>(P998/P997)*('16. câmbio USD-BRL'!O998/'16. câmbio USD-BRL'!O997)^-1 -1</f>
        <v>6.0463399637422643E-3</v>
      </c>
    </row>
    <row r="999" spans="11:19" x14ac:dyDescent="0.2">
      <c r="K999" s="355">
        <v>44928</v>
      </c>
      <c r="L999" s="169">
        <v>88.68</v>
      </c>
      <c r="M999" s="169">
        <v>92.739998</v>
      </c>
      <c r="N999" s="169">
        <v>87.949996999999996</v>
      </c>
      <c r="O999" s="169">
        <v>92.339995999999999</v>
      </c>
      <c r="P999" s="169">
        <v>92.339995999999999</v>
      </c>
      <c r="Q999" s="169">
        <v>125017900</v>
      </c>
      <c r="R999" s="53">
        <f t="shared" si="18"/>
        <v>3.8928882952145027E-2</v>
      </c>
      <c r="S999" s="146">
        <f>(P999/P998)*('16. câmbio USD-BRL'!O999/'16. câmbio USD-BRL'!O998)^-1 -1</f>
        <v>5.1079283906967587E-2</v>
      </c>
    </row>
    <row r="1000" spans="11:19" x14ac:dyDescent="0.2">
      <c r="K1000" s="355">
        <v>44935</v>
      </c>
      <c r="L1000" s="169">
        <v>91.529999000000004</v>
      </c>
      <c r="M1000" s="169">
        <v>94.480002999999996</v>
      </c>
      <c r="N1000" s="169">
        <v>91.25</v>
      </c>
      <c r="O1000" s="169">
        <v>93.82</v>
      </c>
      <c r="P1000" s="169">
        <v>93.82</v>
      </c>
      <c r="Q1000" s="169">
        <v>97905400</v>
      </c>
      <c r="R1000" s="53">
        <f t="shared" si="18"/>
        <v>1.6027767642528223E-2</v>
      </c>
      <c r="S1000" s="146">
        <f>(P1000/P999)*('16. câmbio USD-BRL'!O1000/'16. câmbio USD-BRL'!O999)^-1 -1</f>
        <v>4.476459331816951E-2</v>
      </c>
    </row>
    <row r="1001" spans="11:19" x14ac:dyDescent="0.2">
      <c r="K1001" s="355">
        <v>44942</v>
      </c>
      <c r="L1001" s="169">
        <v>92</v>
      </c>
      <c r="M1001" s="169">
        <v>94.57</v>
      </c>
      <c r="N1001" s="169">
        <v>90.830001999999993</v>
      </c>
      <c r="O1001" s="169">
        <v>93.989998</v>
      </c>
      <c r="P1001" s="169">
        <v>93.989998</v>
      </c>
      <c r="Q1001" s="169">
        <v>103837100</v>
      </c>
      <c r="R1001" s="53">
        <f t="shared" si="18"/>
        <v>1.8119590705607536E-3</v>
      </c>
      <c r="S1001" s="146">
        <f>(P1001/P1000)*('16. câmbio USD-BRL'!O1001/'16. câmbio USD-BRL'!O1000)^-1 -1</f>
        <v>-2.2356372001268054E-2</v>
      </c>
    </row>
    <row r="1002" spans="11:19" x14ac:dyDescent="0.2">
      <c r="K1002" s="355">
        <v>44949</v>
      </c>
      <c r="L1002" s="169">
        <v>94.349997999999999</v>
      </c>
      <c r="M1002" s="169">
        <v>98.290001000000004</v>
      </c>
      <c r="N1002" s="169">
        <v>93.199996999999996</v>
      </c>
      <c r="O1002" s="169">
        <v>95.32</v>
      </c>
      <c r="P1002" s="169">
        <v>95.32</v>
      </c>
      <c r="Q1002" s="169">
        <v>110815400</v>
      </c>
      <c r="R1002" s="53">
        <f t="shared" si="18"/>
        <v>1.415046311629875E-2</v>
      </c>
      <c r="S1002" s="146">
        <f>(P1002/P1001)*('16. câmbio USD-BRL'!O1002/'16. câmbio USD-BRL'!O1001)^-1 -1</f>
        <v>3.3829017097898317E-2</v>
      </c>
    </row>
    <row r="1003" spans="11:19" x14ac:dyDescent="0.2">
      <c r="K1003" s="355">
        <v>44956</v>
      </c>
      <c r="L1003" s="169">
        <v>95.900002000000001</v>
      </c>
      <c r="M1003" s="169">
        <v>96.300003000000004</v>
      </c>
      <c r="N1003" s="169">
        <v>88.690002000000007</v>
      </c>
      <c r="O1003" s="169">
        <v>88.949996999999996</v>
      </c>
      <c r="P1003" s="169">
        <v>88.949996999999996</v>
      </c>
      <c r="Q1003" s="169">
        <v>133686700</v>
      </c>
      <c r="R1003" s="53">
        <f t="shared" si="18"/>
        <v>-6.6827559798573244E-2</v>
      </c>
      <c r="S1003" s="146">
        <f>(P1003/P1002)*('16. câmbio USD-BRL'!O1003/'16. câmbio USD-BRL'!O1002)^-1 -1</f>
        <v>-7.4546917045957839E-2</v>
      </c>
    </row>
    <row r="1004" spans="11:19" x14ac:dyDescent="0.2">
      <c r="K1004" s="355">
        <v>44963</v>
      </c>
      <c r="L1004" s="169">
        <v>88.199996999999996</v>
      </c>
      <c r="M1004" s="169">
        <v>89.550003000000004</v>
      </c>
      <c r="N1004" s="169">
        <v>86.360000999999997</v>
      </c>
      <c r="O1004" s="169">
        <v>86.800003000000004</v>
      </c>
      <c r="P1004" s="169">
        <v>86.800003000000004</v>
      </c>
      <c r="Q1004" s="169">
        <v>86440700</v>
      </c>
      <c r="R1004" s="53">
        <f t="shared" si="18"/>
        <v>-2.4170815879847596E-2</v>
      </c>
      <c r="S1004" s="146">
        <f>(P1004/P1003)*('16. câmbio USD-BRL'!O1004/'16. câmbio USD-BRL'!O1003)^-1 -1</f>
        <v>-3.6093769563256717E-2</v>
      </c>
    </row>
    <row r="1005" spans="11:19" x14ac:dyDescent="0.2">
      <c r="K1005" s="355">
        <v>44970</v>
      </c>
      <c r="L1005" s="169">
        <v>85.919998000000007</v>
      </c>
      <c r="M1005" s="169">
        <v>90.260002</v>
      </c>
      <c r="N1005" s="169">
        <v>85.300003000000004</v>
      </c>
      <c r="O1005" s="169">
        <v>88.029999000000004</v>
      </c>
      <c r="P1005" s="169">
        <v>88.029999000000004</v>
      </c>
      <c r="Q1005" s="169">
        <v>117458900</v>
      </c>
      <c r="R1005" s="53">
        <f t="shared" si="18"/>
        <v>1.4170460339730573E-2</v>
      </c>
      <c r="S1005" s="146">
        <f>(P1005/P1004)*('16. câmbio USD-BRL'!O1005/'16. câmbio USD-BRL'!O1004)^-1 -1</f>
        <v>2.4149707513740015E-2</v>
      </c>
    </row>
    <row r="1006" spans="11:19" x14ac:dyDescent="0.2">
      <c r="K1006" s="355">
        <v>44977</v>
      </c>
      <c r="L1006" s="169">
        <v>88.029999000000004</v>
      </c>
      <c r="M1006" s="169">
        <v>88.449996999999996</v>
      </c>
      <c r="N1006" s="169">
        <v>84.650002000000001</v>
      </c>
      <c r="O1006" s="169">
        <v>85.040001000000004</v>
      </c>
      <c r="P1006" s="169">
        <v>85.040001000000004</v>
      </c>
      <c r="Q1006" s="169">
        <v>55533400</v>
      </c>
      <c r="R1006" s="53">
        <f t="shared" si="18"/>
        <v>-3.3965671179889467E-2</v>
      </c>
      <c r="S1006" s="146">
        <f>(P1006/P1005)*('16. câmbio USD-BRL'!O1006/'16. câmbio USD-BRL'!O1005)^-1 -1</f>
        <v>-4.2331612312380362E-2</v>
      </c>
    </row>
    <row r="1007" spans="11:19" x14ac:dyDescent="0.2">
      <c r="K1007" s="355">
        <v>44984</v>
      </c>
      <c r="L1007" s="169">
        <v>84.559997999999993</v>
      </c>
      <c r="M1007" s="169">
        <v>90.300003000000004</v>
      </c>
      <c r="N1007" s="169">
        <v>83.650002000000001</v>
      </c>
      <c r="O1007" s="169">
        <v>89.300003000000004</v>
      </c>
      <c r="P1007" s="169">
        <v>89.300003000000004</v>
      </c>
      <c r="Q1007" s="169">
        <v>107990400</v>
      </c>
      <c r="R1007" s="53">
        <f t="shared" si="18"/>
        <v>5.0094096306513514E-2</v>
      </c>
      <c r="S1007" s="146">
        <f>(P1007/P1006)*('16. câmbio USD-BRL'!O1007/'16. câmbio USD-BRL'!O1006)^-1 -1</f>
        <v>5.28030253243994E-2</v>
      </c>
    </row>
    <row r="1008" spans="11:19" x14ac:dyDescent="0.2">
      <c r="K1008" s="355">
        <v>44991</v>
      </c>
      <c r="L1008" s="169">
        <v>87.43</v>
      </c>
      <c r="M1008" s="169">
        <v>87.900002000000001</v>
      </c>
      <c r="N1008" s="169">
        <v>84.800003000000004</v>
      </c>
      <c r="O1008" s="169">
        <v>86.110000999999997</v>
      </c>
      <c r="P1008" s="169">
        <v>86.110000999999997</v>
      </c>
      <c r="Q1008" s="169">
        <v>70471600</v>
      </c>
      <c r="R1008" s="53">
        <f t="shared" si="18"/>
        <v>-3.5722305630829676E-2</v>
      </c>
      <c r="S1008" s="146">
        <f>(P1008/P1007)*('16. câmbio USD-BRL'!O1008/'16. câmbio USD-BRL'!O1007)^-1 -1</f>
        <v>-3.9641833033357998E-2</v>
      </c>
    </row>
  </sheetData>
  <mergeCells count="2">
    <mergeCell ref="A1:G1"/>
    <mergeCell ref="K1:Q1"/>
  </mergeCells>
  <hyperlinks>
    <hyperlink ref="U1" r:id="rId1" display="https://br.financas.yahoo.com/quote/VALE3.SA/history?period1=946944000&amp;period2=1678320000&amp;interval=1mo&amp;filter=history&amp;frequency=1mo&amp;includeAdjustedClose=true" xr:uid="{7E6D3F9E-C60A-4AF3-8EF3-78C9F3A7522B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7506-1CEE-488D-A84A-9769DEF93356}">
  <sheetPr>
    <tabColor theme="7" tint="0.79998168889431442"/>
  </sheetPr>
  <dimension ref="A1:U1063"/>
  <sheetViews>
    <sheetView topLeftCell="A133" workbookViewId="0">
      <selection activeCell="S148" sqref="S148"/>
    </sheetView>
  </sheetViews>
  <sheetFormatPr baseColWidth="10" defaultColWidth="9.1640625" defaultRowHeight="15" x14ac:dyDescent="0.2"/>
  <cols>
    <col min="1" max="1" width="10.6640625" style="29" bestFit="1" customWidth="1"/>
    <col min="2" max="7" width="9.1640625" style="29"/>
    <col min="8" max="8" width="15.5" style="50" bestFit="1" customWidth="1"/>
    <col min="9" max="9" width="14" style="50" bestFit="1" customWidth="1"/>
    <col min="10" max="10" width="9.1640625" style="29"/>
    <col min="11" max="11" width="10.6640625" style="29" bestFit="1" customWidth="1"/>
    <col min="12" max="17" width="9.1640625" style="29"/>
    <col min="18" max="18" width="9.1640625" style="50"/>
    <col min="19" max="19" width="17" style="29" bestFit="1" customWidth="1"/>
    <col min="20" max="16384" width="9.1640625" style="29"/>
  </cols>
  <sheetData>
    <row r="1" spans="1:21" x14ac:dyDescent="0.2">
      <c r="A1" s="529" t="s">
        <v>102</v>
      </c>
      <c r="B1" s="529"/>
      <c r="C1" s="529"/>
      <c r="D1" s="529"/>
      <c r="E1" s="529"/>
      <c r="F1" s="529"/>
      <c r="G1" s="529"/>
      <c r="J1"/>
      <c r="K1" s="529" t="s">
        <v>103</v>
      </c>
      <c r="L1" s="529"/>
      <c r="M1" s="529"/>
      <c r="N1" s="529"/>
      <c r="O1" s="529"/>
      <c r="P1" s="529"/>
      <c r="Q1" s="529"/>
      <c r="T1" s="47" t="s">
        <v>61</v>
      </c>
      <c r="U1" s="154" t="s">
        <v>112</v>
      </c>
    </row>
    <row r="2" spans="1:21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H2" s="48" t="s">
        <v>598</v>
      </c>
      <c r="I2" s="48" t="s">
        <v>3100</v>
      </c>
      <c r="K2" s="169" t="s">
        <v>104</v>
      </c>
      <c r="L2" s="169" t="s">
        <v>105</v>
      </c>
      <c r="M2" s="169" t="s">
        <v>106</v>
      </c>
      <c r="N2" s="169" t="s">
        <v>107</v>
      </c>
      <c r="O2" s="169" t="s">
        <v>108</v>
      </c>
      <c r="P2" s="169" t="s">
        <v>109</v>
      </c>
      <c r="Q2" s="169" t="s">
        <v>75</v>
      </c>
      <c r="R2" s="48" t="s">
        <v>110</v>
      </c>
      <c r="S2" s="147" t="s">
        <v>111</v>
      </c>
    </row>
    <row r="3" spans="1:21" x14ac:dyDescent="0.2">
      <c r="A3" s="354">
        <v>42125</v>
      </c>
      <c r="B3">
        <v>9.6001460000000005</v>
      </c>
      <c r="C3">
        <v>10.338619</v>
      </c>
      <c r="D3">
        <v>8.6401310000000002</v>
      </c>
      <c r="E3">
        <v>9.3047570000000004</v>
      </c>
      <c r="F3">
        <v>9.2945899999999995</v>
      </c>
      <c r="G3">
        <v>62971461</v>
      </c>
      <c r="K3" s="355">
        <v>42093</v>
      </c>
      <c r="L3" s="169">
        <v>10.190924000000001</v>
      </c>
      <c r="M3" s="169">
        <v>12.701732</v>
      </c>
      <c r="N3" s="169">
        <v>10.190924000000001</v>
      </c>
      <c r="O3" s="169">
        <v>12.701732</v>
      </c>
      <c r="P3" s="169">
        <v>12.687853</v>
      </c>
      <c r="Q3" s="169">
        <v>3613105</v>
      </c>
    </row>
    <row r="4" spans="1:21" x14ac:dyDescent="0.2">
      <c r="A4" s="354">
        <v>42156</v>
      </c>
      <c r="B4">
        <v>9.3786039999999993</v>
      </c>
      <c r="C4">
        <v>10.707855</v>
      </c>
      <c r="D4">
        <v>9.0093680000000003</v>
      </c>
      <c r="E4">
        <v>9.3786039999999993</v>
      </c>
      <c r="F4">
        <v>9.3683560000000003</v>
      </c>
      <c r="G4">
        <v>58815087</v>
      </c>
      <c r="H4" s="53">
        <f>F4/F3-1</f>
        <v>7.9364447490422041E-3</v>
      </c>
      <c r="I4" s="53"/>
      <c r="K4" s="355">
        <v>42100</v>
      </c>
      <c r="L4" s="169">
        <v>12.997121</v>
      </c>
      <c r="M4" s="169">
        <v>13.661746000000001</v>
      </c>
      <c r="N4" s="169">
        <v>11.298633000000001</v>
      </c>
      <c r="O4" s="169">
        <v>12.332495</v>
      </c>
      <c r="P4" s="169">
        <v>12.319019000000001</v>
      </c>
      <c r="Q4" s="169">
        <v>14689719</v>
      </c>
      <c r="R4" s="53">
        <f>P4/P3-1</f>
        <v>-2.9069851297930382E-2</v>
      </c>
      <c r="S4" s="59">
        <f>(P4/P3)*('16. câmbio USD-BRL'!O595/'16. câmbio USD-BRL'!O594)^-1 -1</f>
        <v>-7.8099989272405468E-3</v>
      </c>
    </row>
    <row r="5" spans="1:21" x14ac:dyDescent="0.2">
      <c r="A5" s="354">
        <v>42186</v>
      </c>
      <c r="B5">
        <v>9.4524509999999999</v>
      </c>
      <c r="C5">
        <v>9.9693819999999995</v>
      </c>
      <c r="D5">
        <v>6.3508659999999999</v>
      </c>
      <c r="E5">
        <v>6.7201019999999998</v>
      </c>
      <c r="F5">
        <v>6.7127590000000001</v>
      </c>
      <c r="G5">
        <v>64959550</v>
      </c>
      <c r="H5" s="53">
        <f t="shared" ref="H5:H68" si="0">F5/F4-1</f>
        <v>-0.28346456945060583</v>
      </c>
      <c r="I5" s="53"/>
      <c r="K5" s="355">
        <v>42107</v>
      </c>
      <c r="L5" s="169">
        <v>12.406343</v>
      </c>
      <c r="M5" s="169">
        <v>12.775579</v>
      </c>
      <c r="N5" s="169">
        <v>11.889412</v>
      </c>
      <c r="O5" s="169">
        <v>12.406343</v>
      </c>
      <c r="P5" s="169">
        <v>12.392787</v>
      </c>
      <c r="Q5" s="169">
        <v>13095416</v>
      </c>
      <c r="R5" s="53">
        <f t="shared" ref="R5:R68" si="1">P5/P4-1</f>
        <v>5.9881391529632566E-3</v>
      </c>
      <c r="S5" s="59">
        <f>(P5/P4)*('16. câmbio USD-BRL'!O596/'16. câmbio USD-BRL'!O595)^-1 -1</f>
        <v>1.2149886901586804E-2</v>
      </c>
    </row>
    <row r="6" spans="1:21" x14ac:dyDescent="0.2">
      <c r="A6" s="354">
        <v>42217</v>
      </c>
      <c r="B6">
        <v>6.4985600000000003</v>
      </c>
      <c r="C6">
        <v>7.2887259999999996</v>
      </c>
      <c r="D6">
        <v>4.918228</v>
      </c>
      <c r="E6">
        <v>5.8191649999999999</v>
      </c>
      <c r="F6">
        <v>5.8128070000000003</v>
      </c>
      <c r="G6">
        <v>39659270</v>
      </c>
      <c r="H6" s="53">
        <f t="shared" si="0"/>
        <v>-0.13406588855640433</v>
      </c>
      <c r="I6" s="53"/>
      <c r="K6" s="355">
        <v>42114</v>
      </c>
      <c r="L6" s="169">
        <v>12.406343</v>
      </c>
      <c r="M6" s="169">
        <v>12.48019</v>
      </c>
      <c r="N6" s="169">
        <v>11.003244</v>
      </c>
      <c r="O6" s="169">
        <v>11.150938999999999</v>
      </c>
      <c r="P6" s="169">
        <v>11.138755</v>
      </c>
      <c r="Q6" s="169">
        <v>8496181</v>
      </c>
      <c r="R6" s="53">
        <f t="shared" si="1"/>
        <v>-0.1011904747495459</v>
      </c>
      <c r="S6" s="59">
        <f>(P6/P5)*('16. câmbio USD-BRL'!O597/'16. câmbio USD-BRL'!O596)^-1 -1</f>
        <v>-7.4241126978918714E-2</v>
      </c>
    </row>
    <row r="7" spans="1:21" x14ac:dyDescent="0.2">
      <c r="A7" s="354">
        <v>42248</v>
      </c>
      <c r="B7">
        <v>5.7970110000000004</v>
      </c>
      <c r="C7">
        <v>6.0628609999999998</v>
      </c>
      <c r="D7">
        <v>4.1206779999999998</v>
      </c>
      <c r="E7">
        <v>4.4382210000000004</v>
      </c>
      <c r="F7">
        <v>4.4333720000000003</v>
      </c>
      <c r="G7">
        <v>66186720</v>
      </c>
      <c r="H7" s="53">
        <f t="shared" si="0"/>
        <v>-0.23730961650713678</v>
      </c>
      <c r="I7" s="53"/>
      <c r="K7" s="355">
        <v>42121</v>
      </c>
      <c r="L7" s="169">
        <v>11.298633000000001</v>
      </c>
      <c r="M7" s="169">
        <v>11.298633000000001</v>
      </c>
      <c r="N7" s="169">
        <v>9.1570619999999998</v>
      </c>
      <c r="O7" s="169">
        <v>9.6001460000000005</v>
      </c>
      <c r="P7" s="169">
        <v>9.5896570000000008</v>
      </c>
      <c r="Q7" s="169">
        <v>15653343</v>
      </c>
      <c r="R7" s="53">
        <f t="shared" si="1"/>
        <v>-0.1390728137929238</v>
      </c>
      <c r="S7" s="59">
        <f>(P7/P6)*('16. câmbio USD-BRL'!O598/'16. câmbio USD-BRL'!O597)^-1 -1</f>
        <v>-0.15702845368990637</v>
      </c>
    </row>
    <row r="8" spans="1:21" x14ac:dyDescent="0.2">
      <c r="A8" s="354">
        <v>42278</v>
      </c>
      <c r="B8">
        <v>4.4677600000000002</v>
      </c>
      <c r="C8">
        <v>6.6388699999999998</v>
      </c>
      <c r="D8">
        <v>4.3126810000000004</v>
      </c>
      <c r="E8">
        <v>5.4203900000000003</v>
      </c>
      <c r="F8">
        <v>5.4144670000000001</v>
      </c>
      <c r="G8">
        <v>83819732</v>
      </c>
      <c r="H8" s="53">
        <f t="shared" si="0"/>
        <v>0.22129769394492493</v>
      </c>
      <c r="I8" s="53"/>
      <c r="K8" s="355">
        <v>42128</v>
      </c>
      <c r="L8" s="169">
        <v>9.8955350000000006</v>
      </c>
      <c r="M8" s="169">
        <v>10.338619</v>
      </c>
      <c r="N8" s="169">
        <v>8.6401310000000002</v>
      </c>
      <c r="O8" s="169">
        <v>9.2309099999999997</v>
      </c>
      <c r="P8" s="169">
        <v>9.2208240000000004</v>
      </c>
      <c r="Q8" s="169">
        <v>12932295</v>
      </c>
      <c r="R8" s="53">
        <f t="shared" si="1"/>
        <v>-3.846154247226985E-2</v>
      </c>
      <c r="S8" s="59">
        <f>(P8/P7)*('16. câmbio USD-BRL'!O599/'16. câmbio USD-BRL'!O598)^-1 -1</f>
        <v>-4.1707725329577228E-2</v>
      </c>
    </row>
    <row r="9" spans="1:21" x14ac:dyDescent="0.2">
      <c r="A9" s="354">
        <v>42309</v>
      </c>
      <c r="B9">
        <v>5.4203900000000003</v>
      </c>
      <c r="C9">
        <v>5.9373209999999998</v>
      </c>
      <c r="D9">
        <v>4.3200649999999996</v>
      </c>
      <c r="E9">
        <v>4.4308360000000002</v>
      </c>
      <c r="F9">
        <v>4.4259950000000003</v>
      </c>
      <c r="G9">
        <v>19418309</v>
      </c>
      <c r="H9" s="53">
        <f t="shared" si="0"/>
        <v>-0.18256127519107601</v>
      </c>
      <c r="I9" s="53"/>
      <c r="K9" s="355">
        <v>42135</v>
      </c>
      <c r="L9" s="169">
        <v>9.3047570000000004</v>
      </c>
      <c r="M9" s="169">
        <v>10.117077</v>
      </c>
      <c r="N9" s="169">
        <v>8.7139790000000001</v>
      </c>
      <c r="O9" s="169">
        <v>9.8955350000000006</v>
      </c>
      <c r="P9" s="169">
        <v>9.8847229999999993</v>
      </c>
      <c r="Q9" s="169">
        <v>19267843</v>
      </c>
      <c r="R9" s="53">
        <f t="shared" si="1"/>
        <v>7.1999964428341556E-2</v>
      </c>
      <c r="S9" s="59">
        <f>(P9/P8)*('16. câmbio USD-BRL'!O600/'16. câmbio USD-BRL'!O599)^-1 -1</f>
        <v>8.3258133224304753E-2</v>
      </c>
    </row>
    <row r="10" spans="1:21" x14ac:dyDescent="0.2">
      <c r="A10" s="354">
        <v>42339</v>
      </c>
      <c r="B10">
        <v>4.4086819999999998</v>
      </c>
      <c r="C10">
        <v>6.4</v>
      </c>
      <c r="D10">
        <v>4.2462179999999998</v>
      </c>
      <c r="E10">
        <v>6.24</v>
      </c>
      <c r="F10">
        <v>6.2331810000000001</v>
      </c>
      <c r="G10">
        <v>22118689</v>
      </c>
      <c r="H10" s="53">
        <f t="shared" si="0"/>
        <v>0.40831180333461736</v>
      </c>
      <c r="I10" s="53"/>
      <c r="K10" s="355">
        <v>42142</v>
      </c>
      <c r="L10" s="169">
        <v>9.9693819999999995</v>
      </c>
      <c r="M10" s="169">
        <v>10.264772000000001</v>
      </c>
      <c r="N10" s="169">
        <v>9.0093680000000003</v>
      </c>
      <c r="O10" s="169">
        <v>9.5262989999999999</v>
      </c>
      <c r="P10" s="169">
        <v>9.5158900000000006</v>
      </c>
      <c r="Q10" s="169">
        <v>13010212</v>
      </c>
      <c r="R10" s="53">
        <f t="shared" si="1"/>
        <v>-3.7313438120622933E-2</v>
      </c>
      <c r="S10" s="59">
        <f>(P10/P9)*('16. câmbio USD-BRL'!O601/'16. câmbio USD-BRL'!O600)^-1 -1</f>
        <v>-5.2149849717407326E-2</v>
      </c>
    </row>
    <row r="11" spans="1:21" x14ac:dyDescent="0.2">
      <c r="A11" s="354">
        <v>42370</v>
      </c>
      <c r="B11">
        <v>6.24</v>
      </c>
      <c r="C11">
        <v>6.24</v>
      </c>
      <c r="D11">
        <v>1.33</v>
      </c>
      <c r="E11">
        <v>1.89</v>
      </c>
      <c r="F11">
        <v>1.8879349999999999</v>
      </c>
      <c r="G11">
        <v>84705300</v>
      </c>
      <c r="H11" s="53">
        <f t="shared" si="0"/>
        <v>-0.69711532522479303</v>
      </c>
      <c r="I11" s="53"/>
      <c r="K11" s="355">
        <v>42149</v>
      </c>
      <c r="L11" s="169">
        <v>9.3786039999999993</v>
      </c>
      <c r="M11" s="169">
        <v>9.8955350000000006</v>
      </c>
      <c r="N11" s="169">
        <v>8.8616729999999997</v>
      </c>
      <c r="O11" s="169">
        <v>9.3047570000000004</v>
      </c>
      <c r="P11" s="169">
        <v>9.2945899999999995</v>
      </c>
      <c r="Q11" s="169">
        <v>17761111</v>
      </c>
      <c r="R11" s="53">
        <f t="shared" si="1"/>
        <v>-2.3255838392415296E-2</v>
      </c>
      <c r="S11" s="59">
        <f>(P11/P10)*('16. câmbio USD-BRL'!O602/'16. câmbio USD-BRL'!O601)^-1 -1</f>
        <v>-6.0891908702585984E-2</v>
      </c>
    </row>
    <row r="12" spans="1:21" x14ac:dyDescent="0.2">
      <c r="A12" s="354">
        <v>42401</v>
      </c>
      <c r="B12">
        <v>1.9</v>
      </c>
      <c r="C12">
        <v>2.72</v>
      </c>
      <c r="D12">
        <v>1.8</v>
      </c>
      <c r="E12">
        <v>2.63</v>
      </c>
      <c r="F12">
        <v>2.6271260000000001</v>
      </c>
      <c r="G12">
        <v>53519700</v>
      </c>
      <c r="H12" s="53">
        <f t="shared" si="0"/>
        <v>0.39153413650364022</v>
      </c>
      <c r="I12" s="53"/>
      <c r="K12" s="355">
        <v>42156</v>
      </c>
      <c r="L12" s="169">
        <v>9.3786039999999993</v>
      </c>
      <c r="M12" s="169">
        <v>10.707855</v>
      </c>
      <c r="N12" s="169">
        <v>9.0093680000000003</v>
      </c>
      <c r="O12" s="169">
        <v>9.821688</v>
      </c>
      <c r="P12" s="169">
        <v>9.8109559999999991</v>
      </c>
      <c r="Q12" s="169">
        <v>14107613</v>
      </c>
      <c r="R12" s="53">
        <f t="shared" si="1"/>
        <v>5.5555543601170099E-2</v>
      </c>
      <c r="S12" s="59">
        <f>(P12/P11)*('16. câmbio USD-BRL'!O603/'16. câmbio USD-BRL'!O602)^-1 -1</f>
        <v>6.1673342115131424E-2</v>
      </c>
    </row>
    <row r="13" spans="1:21" x14ac:dyDescent="0.2">
      <c r="A13" s="354">
        <v>42430</v>
      </c>
      <c r="B13">
        <v>2.72</v>
      </c>
      <c r="C13">
        <v>4.0199999999999996</v>
      </c>
      <c r="D13">
        <v>2.58</v>
      </c>
      <c r="E13">
        <v>3.33</v>
      </c>
      <c r="F13">
        <v>3.3263609999999999</v>
      </c>
      <c r="G13">
        <v>65051900</v>
      </c>
      <c r="H13" s="53">
        <f t="shared" si="0"/>
        <v>0.26615967410775121</v>
      </c>
      <c r="I13" s="53"/>
      <c r="K13" s="355">
        <v>42163</v>
      </c>
      <c r="L13" s="169">
        <v>10.190924000000001</v>
      </c>
      <c r="M13" s="169">
        <v>10.634008</v>
      </c>
      <c r="N13" s="169">
        <v>9.3047570000000004</v>
      </c>
      <c r="O13" s="169">
        <v>9.6001460000000005</v>
      </c>
      <c r="P13" s="169">
        <v>9.5896570000000008</v>
      </c>
      <c r="Q13" s="169">
        <v>21364020</v>
      </c>
      <c r="R13" s="53">
        <f t="shared" si="1"/>
        <v>-2.2556313574334519E-2</v>
      </c>
      <c r="S13" s="59">
        <f>(P13/P12)*('16. câmbio USD-BRL'!O604/'16. câmbio USD-BRL'!O603)^-1 -1</f>
        <v>-5.7436869185075734E-3</v>
      </c>
    </row>
    <row r="14" spans="1:21" x14ac:dyDescent="0.2">
      <c r="A14" s="354">
        <v>42461</v>
      </c>
      <c r="B14">
        <v>3.46</v>
      </c>
      <c r="C14">
        <v>4.37</v>
      </c>
      <c r="D14">
        <v>2.7</v>
      </c>
      <c r="E14">
        <v>4.28</v>
      </c>
      <c r="F14">
        <v>4.2753230000000002</v>
      </c>
      <c r="G14">
        <v>215001900</v>
      </c>
      <c r="H14" s="53">
        <f t="shared" si="0"/>
        <v>0.28528533132753786</v>
      </c>
      <c r="I14" s="53"/>
      <c r="K14" s="355">
        <v>42170</v>
      </c>
      <c r="L14" s="169">
        <v>9.5262989999999999</v>
      </c>
      <c r="M14" s="169">
        <v>9.8955350000000006</v>
      </c>
      <c r="N14" s="169">
        <v>9.2309099999999997</v>
      </c>
      <c r="O14" s="169">
        <v>9.3786039999999993</v>
      </c>
      <c r="P14" s="169">
        <v>9.3683560000000003</v>
      </c>
      <c r="Q14" s="169">
        <v>11905542</v>
      </c>
      <c r="R14" s="53">
        <f t="shared" si="1"/>
        <v>-2.307705061818166E-2</v>
      </c>
      <c r="S14" s="59">
        <f>(P14/P13)*('16. câmbio USD-BRL'!O605/'16. câmbio USD-BRL'!O604)^-1 -1</f>
        <v>-1.3716123671721037E-2</v>
      </c>
    </row>
    <row r="15" spans="1:21" x14ac:dyDescent="0.2">
      <c r="A15" s="354">
        <v>42491</v>
      </c>
      <c r="B15">
        <v>4.28</v>
      </c>
      <c r="C15">
        <v>4.74</v>
      </c>
      <c r="D15">
        <v>3.63</v>
      </c>
      <c r="E15">
        <v>4.74</v>
      </c>
      <c r="F15">
        <v>4.73482</v>
      </c>
      <c r="G15">
        <v>221798200</v>
      </c>
      <c r="H15" s="53">
        <f t="shared" si="0"/>
        <v>0.10747655791153088</v>
      </c>
      <c r="I15" s="53">
        <f t="shared" ref="I15:I76" si="2">F15/F3-1</f>
        <v>-0.49058323175094321</v>
      </c>
      <c r="K15" s="355">
        <v>42177</v>
      </c>
      <c r="L15" s="169">
        <v>9.4524509999999999</v>
      </c>
      <c r="M15" s="169">
        <v>9.821688</v>
      </c>
      <c r="N15" s="169">
        <v>9.3047570000000004</v>
      </c>
      <c r="O15" s="169">
        <v>9.3786039999999993</v>
      </c>
      <c r="P15" s="169">
        <v>9.3683560000000003</v>
      </c>
      <c r="Q15" s="169">
        <v>8781065</v>
      </c>
      <c r="R15" s="53">
        <f t="shared" si="1"/>
        <v>0</v>
      </c>
      <c r="S15" s="59">
        <f>(P15/P14)*('16. câmbio USD-BRL'!O606/'16. câmbio USD-BRL'!O605)^-1 -1</f>
        <v>-2.1316092689796506E-2</v>
      </c>
    </row>
    <row r="16" spans="1:21" x14ac:dyDescent="0.2">
      <c r="A16" s="354">
        <v>42522</v>
      </c>
      <c r="B16">
        <v>4.8499999999999996</v>
      </c>
      <c r="C16">
        <v>5.05</v>
      </c>
      <c r="D16">
        <v>4.26</v>
      </c>
      <c r="E16">
        <v>4.9000000000000004</v>
      </c>
      <c r="F16">
        <v>4.8946459999999998</v>
      </c>
      <c r="G16">
        <v>203368500</v>
      </c>
      <c r="H16" s="53">
        <f t="shared" si="0"/>
        <v>3.3755454272812901E-2</v>
      </c>
      <c r="I16" s="53">
        <f t="shared" si="2"/>
        <v>-0.47753415860797777</v>
      </c>
      <c r="K16" s="355">
        <v>42184</v>
      </c>
      <c r="L16" s="169">
        <v>9.3047570000000004</v>
      </c>
      <c r="M16" s="169">
        <v>9.9693819999999995</v>
      </c>
      <c r="N16" s="169">
        <v>9.2309099999999997</v>
      </c>
      <c r="O16" s="169">
        <v>9.821688</v>
      </c>
      <c r="P16" s="169">
        <v>9.8109559999999991</v>
      </c>
      <c r="Q16" s="169">
        <v>12259109</v>
      </c>
      <c r="R16" s="53">
        <f t="shared" si="1"/>
        <v>4.7244148279591336E-2</v>
      </c>
      <c r="S16" s="59">
        <f>(P16/P15)*('16. câmbio USD-BRL'!O607/'16. câmbio USD-BRL'!O606)^-1 -1</f>
        <v>5.7533812826359165E-2</v>
      </c>
    </row>
    <row r="17" spans="1:19" x14ac:dyDescent="0.2">
      <c r="A17" s="354">
        <v>42552</v>
      </c>
      <c r="B17">
        <v>4.93</v>
      </c>
      <c r="C17">
        <v>6.18</v>
      </c>
      <c r="D17">
        <v>4.8</v>
      </c>
      <c r="E17">
        <v>6.12</v>
      </c>
      <c r="F17">
        <v>6.1133129999999998</v>
      </c>
      <c r="G17">
        <v>275350200</v>
      </c>
      <c r="H17" s="53">
        <f t="shared" si="0"/>
        <v>0.24897959934181135</v>
      </c>
      <c r="I17" s="53">
        <f t="shared" si="2"/>
        <v>-8.9299496674914214E-2</v>
      </c>
      <c r="K17" s="355">
        <v>42191</v>
      </c>
      <c r="L17" s="169">
        <v>9.7478409999999993</v>
      </c>
      <c r="M17" s="169">
        <v>9.9693819999999995</v>
      </c>
      <c r="N17" s="169">
        <v>8.9355200000000004</v>
      </c>
      <c r="O17" s="169">
        <v>9.1570619999999998</v>
      </c>
      <c r="P17" s="169">
        <v>9.1470559999999992</v>
      </c>
      <c r="Q17" s="169">
        <v>6005228</v>
      </c>
      <c r="R17" s="53">
        <f t="shared" si="1"/>
        <v>-6.7669246503602731E-2</v>
      </c>
      <c r="S17" s="59">
        <f>(P17/P16)*('16. câmbio USD-BRL'!O608/'16. câmbio USD-BRL'!O607)^-1 -1</f>
        <v>-0.10445768485366713</v>
      </c>
    </row>
    <row r="18" spans="1:19" x14ac:dyDescent="0.2">
      <c r="A18" s="354">
        <v>42583</v>
      </c>
      <c r="B18">
        <v>6.1</v>
      </c>
      <c r="C18">
        <v>7.75</v>
      </c>
      <c r="D18">
        <v>6</v>
      </c>
      <c r="E18">
        <v>7.2</v>
      </c>
      <c r="F18">
        <v>7.192132</v>
      </c>
      <c r="G18">
        <v>243347400</v>
      </c>
      <c r="H18" s="53">
        <f t="shared" si="0"/>
        <v>0.17647043428007048</v>
      </c>
      <c r="I18" s="53">
        <f t="shared" si="2"/>
        <v>0.23729069277545256</v>
      </c>
      <c r="K18" s="355">
        <v>42198</v>
      </c>
      <c r="L18" s="169">
        <v>9.2309099999999997</v>
      </c>
      <c r="M18" s="169">
        <v>9.4524509999999999</v>
      </c>
      <c r="N18" s="169">
        <v>8.8616729999999997</v>
      </c>
      <c r="O18" s="169">
        <v>9.0093680000000003</v>
      </c>
      <c r="P18" s="169">
        <v>8.9995239999999992</v>
      </c>
      <c r="Q18" s="169">
        <v>10097743</v>
      </c>
      <c r="R18" s="53">
        <f t="shared" si="1"/>
        <v>-1.6128905300240914E-2</v>
      </c>
      <c r="S18" s="59">
        <f>(P18/P17)*('16. câmbio USD-BRL'!O609/'16. câmbio USD-BRL'!O608)^-1 -1</f>
        <v>-5.0398144112164811E-3</v>
      </c>
    </row>
    <row r="19" spans="1:19" x14ac:dyDescent="0.2">
      <c r="A19" s="354">
        <v>42614</v>
      </c>
      <c r="B19">
        <v>7.2</v>
      </c>
      <c r="C19">
        <v>7.43</v>
      </c>
      <c r="D19">
        <v>5.96</v>
      </c>
      <c r="E19">
        <v>6.32</v>
      </c>
      <c r="F19">
        <v>6.3130949999999997</v>
      </c>
      <c r="G19">
        <v>198137000</v>
      </c>
      <c r="H19" s="53">
        <f t="shared" si="0"/>
        <v>-0.12222203374465324</v>
      </c>
      <c r="I19" s="53">
        <f t="shared" si="2"/>
        <v>0.4239939711804015</v>
      </c>
      <c r="K19" s="355">
        <v>42205</v>
      </c>
      <c r="L19" s="169">
        <v>9.0093680000000003</v>
      </c>
      <c r="M19" s="169">
        <v>9.0093680000000003</v>
      </c>
      <c r="N19" s="169">
        <v>6.646255</v>
      </c>
      <c r="O19" s="169">
        <v>6.7939489999999996</v>
      </c>
      <c r="P19" s="169">
        <v>6.7865260000000003</v>
      </c>
      <c r="Q19" s="169">
        <v>21815303</v>
      </c>
      <c r="R19" s="53">
        <f t="shared" si="1"/>
        <v>-0.24590167213288161</v>
      </c>
      <c r="S19" s="59">
        <f>(P19/P18)*('16. câmbio USD-BRL'!O610/'16. câmbio USD-BRL'!O609)^-1 -1</f>
        <v>-0.26863345900909019</v>
      </c>
    </row>
    <row r="20" spans="1:19" x14ac:dyDescent="0.2">
      <c r="A20" s="354">
        <v>42644</v>
      </c>
      <c r="B20">
        <v>6.31</v>
      </c>
      <c r="C20">
        <v>7.24</v>
      </c>
      <c r="D20">
        <v>6.1</v>
      </c>
      <c r="E20">
        <v>7.14</v>
      </c>
      <c r="F20">
        <v>7.1321979999999998</v>
      </c>
      <c r="G20">
        <v>147965100</v>
      </c>
      <c r="H20" s="53">
        <f t="shared" si="0"/>
        <v>0.1297466615027969</v>
      </c>
      <c r="I20" s="53">
        <f t="shared" si="2"/>
        <v>0.31724840136619159</v>
      </c>
      <c r="K20" s="355">
        <v>42212</v>
      </c>
      <c r="L20" s="169">
        <v>6.7201019999999998</v>
      </c>
      <c r="M20" s="169">
        <v>7.4585749999999997</v>
      </c>
      <c r="N20" s="169">
        <v>6.3508659999999999</v>
      </c>
      <c r="O20" s="169">
        <v>6.7201019999999998</v>
      </c>
      <c r="P20" s="169">
        <v>6.7127590000000001</v>
      </c>
      <c r="Q20" s="169">
        <v>17439014</v>
      </c>
      <c r="R20" s="53">
        <f t="shared" si="1"/>
        <v>-1.086962607967612E-2</v>
      </c>
      <c r="S20" s="59">
        <f>(P20/P19)*('16. câmbio USD-BRL'!O611/'16. câmbio USD-BRL'!O610)^-1 -1</f>
        <v>-3.6281602578281835E-2</v>
      </c>
    </row>
    <row r="21" spans="1:19" x14ac:dyDescent="0.2">
      <c r="A21" s="354">
        <v>42675</v>
      </c>
      <c r="B21">
        <v>7.2</v>
      </c>
      <c r="C21">
        <v>7.28</v>
      </c>
      <c r="D21">
        <v>5.08</v>
      </c>
      <c r="E21">
        <v>6.36</v>
      </c>
      <c r="F21">
        <v>6.3530509999999998</v>
      </c>
      <c r="G21">
        <v>199340500</v>
      </c>
      <c r="H21" s="53">
        <f t="shared" si="0"/>
        <v>-0.10924360204245598</v>
      </c>
      <c r="I21" s="53">
        <f t="shared" si="2"/>
        <v>0.43539497898212698</v>
      </c>
      <c r="K21" s="355">
        <v>42219</v>
      </c>
      <c r="L21" s="169">
        <v>6.4985600000000003</v>
      </c>
      <c r="M21" s="169">
        <v>7.2887259999999996</v>
      </c>
      <c r="N21" s="169">
        <v>6.3804049999999997</v>
      </c>
      <c r="O21" s="169">
        <v>6.6388699999999998</v>
      </c>
      <c r="P21" s="169">
        <v>6.6316160000000002</v>
      </c>
      <c r="Q21" s="169">
        <v>5783284</v>
      </c>
      <c r="R21" s="53">
        <f t="shared" si="1"/>
        <v>-1.208787623687968E-2</v>
      </c>
      <c r="S21" s="59">
        <f>(P21/P20)*('16. câmbio USD-BRL'!O612/'16. câmbio USD-BRL'!O611)^-1 -1</f>
        <v>-5.7069264135030551E-2</v>
      </c>
    </row>
    <row r="22" spans="1:19" x14ac:dyDescent="0.2">
      <c r="A22" s="354">
        <v>42705</v>
      </c>
      <c r="B22">
        <v>6.43</v>
      </c>
      <c r="C22">
        <v>6.48</v>
      </c>
      <c r="D22">
        <v>5.56</v>
      </c>
      <c r="E22">
        <v>6.14</v>
      </c>
      <c r="F22">
        <v>6.1332909999999998</v>
      </c>
      <c r="G22">
        <v>137006400</v>
      </c>
      <c r="H22" s="53">
        <f t="shared" si="0"/>
        <v>-3.4591253871565031E-2</v>
      </c>
      <c r="I22" s="53">
        <f t="shared" si="2"/>
        <v>-1.6025525329683266E-2</v>
      </c>
      <c r="K22" s="355">
        <v>42226</v>
      </c>
      <c r="L22" s="169">
        <v>6.7053330000000004</v>
      </c>
      <c r="M22" s="169">
        <v>6.9416440000000001</v>
      </c>
      <c r="N22" s="169">
        <v>6.1662470000000003</v>
      </c>
      <c r="O22" s="169">
        <v>6.5354840000000003</v>
      </c>
      <c r="P22" s="169">
        <v>6.5283429999999996</v>
      </c>
      <c r="Q22" s="169">
        <v>6977099</v>
      </c>
      <c r="R22" s="53">
        <f t="shared" si="1"/>
        <v>-1.5572825688339065E-2</v>
      </c>
      <c r="S22" s="59">
        <f>(P22/P21)*('16. câmbio USD-BRL'!O613/'16. câmbio USD-BRL'!O612)^-1 -1</f>
        <v>-1.2132239707026482E-2</v>
      </c>
    </row>
    <row r="23" spans="1:19" x14ac:dyDescent="0.2">
      <c r="A23" s="354">
        <v>42736</v>
      </c>
      <c r="B23">
        <v>6.14</v>
      </c>
      <c r="C23">
        <v>7.7</v>
      </c>
      <c r="D23">
        <v>6.06</v>
      </c>
      <c r="E23">
        <v>7.5</v>
      </c>
      <c r="F23">
        <v>7.4918050000000003</v>
      </c>
      <c r="G23">
        <v>180599700</v>
      </c>
      <c r="H23" s="53">
        <f t="shared" si="0"/>
        <v>0.22149837664640404</v>
      </c>
      <c r="I23" s="53">
        <f t="shared" si="2"/>
        <v>2.968253673987717</v>
      </c>
      <c r="K23" s="355">
        <v>42233</v>
      </c>
      <c r="L23" s="169">
        <v>6.4616369999999996</v>
      </c>
      <c r="M23" s="169">
        <v>6.7201019999999998</v>
      </c>
      <c r="N23" s="169">
        <v>5.6197780000000002</v>
      </c>
      <c r="O23" s="169">
        <v>5.6345470000000004</v>
      </c>
      <c r="P23" s="169">
        <v>5.6283899999999996</v>
      </c>
      <c r="Q23" s="169">
        <v>9016986</v>
      </c>
      <c r="R23" s="53">
        <f t="shared" si="1"/>
        <v>-0.13785320409788515</v>
      </c>
      <c r="S23" s="59">
        <f>(P23/P22)*('16. câmbio USD-BRL'!O614/'16. câmbio USD-BRL'!O613)^-1 -1</f>
        <v>-0.1225191685990189</v>
      </c>
    </row>
    <row r="24" spans="1:19" x14ac:dyDescent="0.2">
      <c r="A24" s="354">
        <v>42767</v>
      </c>
      <c r="B24">
        <v>7.6</v>
      </c>
      <c r="C24">
        <v>9.51</v>
      </c>
      <c r="D24">
        <v>7.39</v>
      </c>
      <c r="E24">
        <v>8.58</v>
      </c>
      <c r="F24">
        <v>8.5706240000000005</v>
      </c>
      <c r="G24">
        <v>196969100</v>
      </c>
      <c r="H24" s="53">
        <f t="shared" si="0"/>
        <v>0.14399987719915286</v>
      </c>
      <c r="I24" s="53">
        <f t="shared" si="2"/>
        <v>2.2623574202379331</v>
      </c>
      <c r="K24" s="355">
        <v>42240</v>
      </c>
      <c r="L24" s="169">
        <v>4.9477669999999998</v>
      </c>
      <c r="M24" s="169">
        <v>6.0554769999999998</v>
      </c>
      <c r="N24" s="169">
        <v>4.918228</v>
      </c>
      <c r="O24" s="169">
        <v>5.9668599999999996</v>
      </c>
      <c r="P24" s="169">
        <v>5.9603400000000004</v>
      </c>
      <c r="Q24" s="169">
        <v>16844761</v>
      </c>
      <c r="R24" s="53">
        <f t="shared" si="1"/>
        <v>5.8977789385597168E-2</v>
      </c>
      <c r="S24" s="59">
        <f>(P24/P23)*('16. câmbio USD-BRL'!O615/'16. câmbio USD-BRL'!O614)^-1 -1</f>
        <v>3.1416089273144543E-2</v>
      </c>
    </row>
    <row r="25" spans="1:19" x14ac:dyDescent="0.2">
      <c r="A25" s="354">
        <v>42795</v>
      </c>
      <c r="B25">
        <v>8.75</v>
      </c>
      <c r="C25">
        <v>8.9600000000000009</v>
      </c>
      <c r="D25">
        <v>7.86</v>
      </c>
      <c r="E25">
        <v>8.5500000000000007</v>
      </c>
      <c r="F25">
        <v>8.5406580000000005</v>
      </c>
      <c r="G25">
        <v>101736000</v>
      </c>
      <c r="H25" s="53">
        <f t="shared" si="0"/>
        <v>-3.4963615251351055E-3</v>
      </c>
      <c r="I25" s="53">
        <f t="shared" si="2"/>
        <v>1.5675679819478407</v>
      </c>
      <c r="K25" s="355">
        <v>42247</v>
      </c>
      <c r="L25" s="169">
        <v>5.7970110000000004</v>
      </c>
      <c r="M25" s="169">
        <v>5.8708580000000001</v>
      </c>
      <c r="N25" s="169">
        <v>5.3317730000000001</v>
      </c>
      <c r="O25" s="169">
        <v>5.5385460000000002</v>
      </c>
      <c r="P25" s="169">
        <v>5.5324939999999998</v>
      </c>
      <c r="Q25" s="169">
        <v>13572333</v>
      </c>
      <c r="R25" s="53">
        <f t="shared" si="1"/>
        <v>-7.1782146656063306E-2</v>
      </c>
      <c r="S25" s="59">
        <f>(P25/P24)*('16. câmbio USD-BRL'!O616/'16. câmbio USD-BRL'!O615)^-1 -1</f>
        <v>-0.1177084275925987</v>
      </c>
    </row>
    <row r="26" spans="1:19" x14ac:dyDescent="0.2">
      <c r="A26" s="354">
        <v>42826</v>
      </c>
      <c r="B26">
        <v>8.5500000000000007</v>
      </c>
      <c r="C26">
        <v>9.18</v>
      </c>
      <c r="D26">
        <v>8.32</v>
      </c>
      <c r="E26">
        <v>8.73</v>
      </c>
      <c r="F26">
        <v>8.7204610000000002</v>
      </c>
      <c r="G26">
        <v>147920500</v>
      </c>
      <c r="H26" s="53">
        <f t="shared" si="0"/>
        <v>2.1052593371611472E-2</v>
      </c>
      <c r="I26" s="53">
        <f t="shared" si="2"/>
        <v>1.0397198059655377</v>
      </c>
      <c r="K26" s="355">
        <v>42254</v>
      </c>
      <c r="L26" s="169">
        <v>5.5385460000000002</v>
      </c>
      <c r="M26" s="169">
        <v>5.7305479999999998</v>
      </c>
      <c r="N26" s="169">
        <v>5.2726949999999997</v>
      </c>
      <c r="O26" s="169">
        <v>5.6714710000000004</v>
      </c>
      <c r="P26" s="169">
        <v>5.6652740000000001</v>
      </c>
      <c r="Q26" s="169">
        <v>8812645</v>
      </c>
      <c r="R26" s="53">
        <f t="shared" si="1"/>
        <v>2.400002602804463E-2</v>
      </c>
      <c r="S26" s="59">
        <f>(P26/P25)*('16. câmbio USD-BRL'!O617/'16. câmbio USD-BRL'!O616)^-1 -1</f>
        <v>-6.0964899002763362E-3</v>
      </c>
    </row>
    <row r="27" spans="1:19" x14ac:dyDescent="0.2">
      <c r="A27" s="354">
        <v>42856</v>
      </c>
      <c r="B27">
        <v>8.73</v>
      </c>
      <c r="C27">
        <v>10.55</v>
      </c>
      <c r="D27">
        <v>7.65</v>
      </c>
      <c r="E27">
        <v>8.48</v>
      </c>
      <c r="F27">
        <v>8.4707340000000002</v>
      </c>
      <c r="G27">
        <v>251635600</v>
      </c>
      <c r="H27" s="53">
        <f t="shared" si="0"/>
        <v>-2.8636903484804299E-2</v>
      </c>
      <c r="I27" s="53">
        <f t="shared" si="2"/>
        <v>0.7890297836031781</v>
      </c>
      <c r="K27" s="355">
        <v>42261</v>
      </c>
      <c r="L27" s="169">
        <v>5.6936249999999999</v>
      </c>
      <c r="M27" s="169">
        <v>6.0628609999999998</v>
      </c>
      <c r="N27" s="169">
        <v>5.4277749999999996</v>
      </c>
      <c r="O27" s="169">
        <v>5.4646980000000003</v>
      </c>
      <c r="P27" s="169">
        <v>5.4587269999999997</v>
      </c>
      <c r="Q27" s="169">
        <v>18181031</v>
      </c>
      <c r="R27" s="53">
        <f t="shared" si="1"/>
        <v>-3.6458430783753881E-2</v>
      </c>
      <c r="S27" s="59">
        <f>(P27/P26)*('16. câmbio USD-BRL'!O618/'16. câmbio USD-BRL'!O617)^-1 -1</f>
        <v>-4.7179854936260313E-2</v>
      </c>
    </row>
    <row r="28" spans="1:19" x14ac:dyDescent="0.2">
      <c r="A28" s="354">
        <v>42887</v>
      </c>
      <c r="B28">
        <v>8.4600000000000009</v>
      </c>
      <c r="C28">
        <v>8.65</v>
      </c>
      <c r="D28">
        <v>7.5</v>
      </c>
      <c r="E28">
        <v>8.65</v>
      </c>
      <c r="F28">
        <v>8.6405480000000008</v>
      </c>
      <c r="G28">
        <v>152203700</v>
      </c>
      <c r="H28" s="53">
        <f t="shared" si="0"/>
        <v>2.0047141133224144E-2</v>
      </c>
      <c r="I28" s="53">
        <f t="shared" si="2"/>
        <v>0.7653060098728286</v>
      </c>
      <c r="K28" s="355">
        <v>42268</v>
      </c>
      <c r="L28" s="169">
        <v>5.449929</v>
      </c>
      <c r="M28" s="169">
        <v>5.4794679999999998</v>
      </c>
      <c r="N28" s="169">
        <v>4.1871400000000003</v>
      </c>
      <c r="O28" s="169">
        <v>4.2831419999999998</v>
      </c>
      <c r="P28" s="169">
        <v>4.2784620000000002</v>
      </c>
      <c r="Q28" s="169">
        <v>17287568</v>
      </c>
      <c r="R28" s="53">
        <f t="shared" si="1"/>
        <v>-0.2162161617534637</v>
      </c>
      <c r="S28" s="59">
        <f>(P28/P27)*('16. câmbio USD-BRL'!O619/'16. câmbio USD-BRL'!O618)^-1 -1</f>
        <v>-0.22450637473873092</v>
      </c>
    </row>
    <row r="29" spans="1:19" x14ac:dyDescent="0.2">
      <c r="A29" s="354">
        <v>42917</v>
      </c>
      <c r="B29">
        <v>8.66</v>
      </c>
      <c r="C29">
        <v>10.5</v>
      </c>
      <c r="D29">
        <v>8.5399999999999991</v>
      </c>
      <c r="E29">
        <v>10.34</v>
      </c>
      <c r="F29">
        <v>10.328702</v>
      </c>
      <c r="G29">
        <v>125209100</v>
      </c>
      <c r="H29" s="53">
        <f t="shared" si="0"/>
        <v>0.19537580255326392</v>
      </c>
      <c r="I29" s="53">
        <f t="shared" si="2"/>
        <v>0.68954247884903008</v>
      </c>
      <c r="K29" s="355">
        <v>42275</v>
      </c>
      <c r="L29" s="169">
        <v>4.209295</v>
      </c>
      <c r="M29" s="169">
        <v>4.7336099999999997</v>
      </c>
      <c r="N29" s="169">
        <v>4.1206779999999998</v>
      </c>
      <c r="O29" s="169">
        <v>4.6523779999999997</v>
      </c>
      <c r="P29" s="169">
        <v>4.6472949999999997</v>
      </c>
      <c r="Q29" s="169">
        <v>11655945</v>
      </c>
      <c r="R29" s="53">
        <f t="shared" si="1"/>
        <v>8.6206912670955038E-2</v>
      </c>
      <c r="S29" s="59">
        <f>(P29/P28)*('16. câmbio USD-BRL'!O620/'16. câmbio USD-BRL'!O619)^-1 -1</f>
        <v>6.833344691779164E-2</v>
      </c>
    </row>
    <row r="30" spans="1:19" x14ac:dyDescent="0.2">
      <c r="A30" s="354">
        <v>42948</v>
      </c>
      <c r="B30">
        <v>10.3</v>
      </c>
      <c r="C30">
        <v>10.97</v>
      </c>
      <c r="D30">
        <v>9.82</v>
      </c>
      <c r="E30">
        <v>10.33</v>
      </c>
      <c r="F30">
        <v>10.318712</v>
      </c>
      <c r="G30">
        <v>149027700</v>
      </c>
      <c r="H30" s="53">
        <f t="shared" si="0"/>
        <v>-9.6720768979496885E-4</v>
      </c>
      <c r="I30" s="53">
        <f t="shared" si="2"/>
        <v>0.434722277066105</v>
      </c>
      <c r="K30" s="355">
        <v>42282</v>
      </c>
      <c r="L30" s="169">
        <v>4.6966869999999998</v>
      </c>
      <c r="M30" s="169">
        <v>6.6388699999999998</v>
      </c>
      <c r="N30" s="169">
        <v>4.5342229999999999</v>
      </c>
      <c r="O30" s="169">
        <v>6.6388699999999998</v>
      </c>
      <c r="P30" s="169">
        <v>6.6316160000000002</v>
      </c>
      <c r="Q30" s="169">
        <v>58959516</v>
      </c>
      <c r="R30" s="53">
        <f t="shared" si="1"/>
        <v>0.42698408428989354</v>
      </c>
      <c r="S30" s="59">
        <f>(P30/P29)*('16. câmbio USD-BRL'!O621/'16. câmbio USD-BRL'!O620)^-1 -1</f>
        <v>0.51797609966705505</v>
      </c>
    </row>
    <row r="31" spans="1:19" x14ac:dyDescent="0.2">
      <c r="A31" s="354">
        <v>42979</v>
      </c>
      <c r="B31">
        <v>10.35</v>
      </c>
      <c r="C31">
        <v>12.14</v>
      </c>
      <c r="D31">
        <v>9.35</v>
      </c>
      <c r="E31">
        <v>12.09</v>
      </c>
      <c r="F31">
        <v>12.076790000000001</v>
      </c>
      <c r="G31">
        <v>271545400</v>
      </c>
      <c r="H31" s="53">
        <f t="shared" si="0"/>
        <v>0.17037765953735318</v>
      </c>
      <c r="I31" s="53">
        <f t="shared" si="2"/>
        <v>0.91297453942955098</v>
      </c>
      <c r="K31" s="355">
        <v>42289</v>
      </c>
      <c r="L31" s="169">
        <v>6.6388699999999998</v>
      </c>
      <c r="M31" s="169">
        <v>6.6388699999999998</v>
      </c>
      <c r="N31" s="169">
        <v>5.2874650000000001</v>
      </c>
      <c r="O31" s="169">
        <v>5.3686970000000001</v>
      </c>
      <c r="P31" s="169">
        <v>5.3628309999999999</v>
      </c>
      <c r="Q31" s="169">
        <v>10945967</v>
      </c>
      <c r="R31" s="53">
        <f t="shared" si="1"/>
        <v>-0.19132365323927081</v>
      </c>
      <c r="S31" s="59">
        <f>(P31/P30)*('16. câmbio USD-BRL'!O622/'16. câmbio USD-BRL'!O621)^-1 -1</f>
        <v>-0.19844554908154066</v>
      </c>
    </row>
    <row r="32" spans="1:19" x14ac:dyDescent="0.2">
      <c r="A32" s="354">
        <v>43009</v>
      </c>
      <c r="B32">
        <v>12.01</v>
      </c>
      <c r="C32">
        <v>13.57</v>
      </c>
      <c r="D32">
        <v>11.91</v>
      </c>
      <c r="E32">
        <v>12.7</v>
      </c>
      <c r="F32">
        <v>12.686123</v>
      </c>
      <c r="G32">
        <v>290843400</v>
      </c>
      <c r="H32" s="53">
        <f t="shared" si="0"/>
        <v>5.0454880808559199E-2</v>
      </c>
      <c r="I32" s="53">
        <f t="shared" si="2"/>
        <v>0.77871155568031059</v>
      </c>
      <c r="K32" s="355">
        <v>42296</v>
      </c>
      <c r="L32" s="169">
        <v>5.3539269999999997</v>
      </c>
      <c r="M32" s="169">
        <v>5.9077820000000001</v>
      </c>
      <c r="N32" s="169">
        <v>5.2505410000000001</v>
      </c>
      <c r="O32" s="169">
        <v>5.6862399999999997</v>
      </c>
      <c r="P32" s="169">
        <v>5.6800269999999999</v>
      </c>
      <c r="Q32" s="169">
        <v>7133096</v>
      </c>
      <c r="R32" s="53">
        <f t="shared" si="1"/>
        <v>5.9147118378334085E-2</v>
      </c>
      <c r="S32" s="59">
        <f>(P32/P31)*('16. câmbio USD-BRL'!O623/'16. câmbio USD-BRL'!O622)^-1 -1</f>
        <v>2.9345628590788042E-2</v>
      </c>
    </row>
    <row r="33" spans="1:19" x14ac:dyDescent="0.2">
      <c r="A33" s="354">
        <v>43040</v>
      </c>
      <c r="B33">
        <v>12.78</v>
      </c>
      <c r="C33">
        <v>13.47</v>
      </c>
      <c r="D33">
        <v>11.07</v>
      </c>
      <c r="E33">
        <v>13.02</v>
      </c>
      <c r="F33">
        <v>13.005774000000001</v>
      </c>
      <c r="G33">
        <v>163573800</v>
      </c>
      <c r="H33" s="53">
        <f t="shared" si="0"/>
        <v>2.519690215836623E-2</v>
      </c>
      <c r="I33" s="53">
        <f t="shared" si="2"/>
        <v>1.047169777166908</v>
      </c>
      <c r="K33" s="355">
        <v>42303</v>
      </c>
      <c r="L33" s="169">
        <v>5.6419319999999997</v>
      </c>
      <c r="M33" s="169">
        <v>5.7231639999999997</v>
      </c>
      <c r="N33" s="169">
        <v>5.1250010000000001</v>
      </c>
      <c r="O33" s="169">
        <v>5.4203900000000003</v>
      </c>
      <c r="P33" s="169">
        <v>5.4144670000000001</v>
      </c>
      <c r="Q33" s="169">
        <v>4495491</v>
      </c>
      <c r="R33" s="53">
        <f t="shared" si="1"/>
        <v>-4.675329888396651E-2</v>
      </c>
      <c r="S33" s="59">
        <f>(P33/P32)*('16. câmbio USD-BRL'!O624/'16. câmbio USD-BRL'!O623)^-1 -1</f>
        <v>-3.2472077986553605E-2</v>
      </c>
    </row>
    <row r="34" spans="1:19" x14ac:dyDescent="0.2">
      <c r="A34" s="354">
        <v>43070</v>
      </c>
      <c r="B34">
        <v>12.93</v>
      </c>
      <c r="C34">
        <v>13.18</v>
      </c>
      <c r="D34">
        <v>11.16</v>
      </c>
      <c r="E34">
        <v>12.97</v>
      </c>
      <c r="F34">
        <v>12.955829</v>
      </c>
      <c r="G34">
        <v>137235100</v>
      </c>
      <c r="H34" s="53">
        <f t="shared" si="0"/>
        <v>-3.8402174295817382E-3</v>
      </c>
      <c r="I34" s="53">
        <f t="shared" si="2"/>
        <v>1.1123780039133964</v>
      </c>
      <c r="K34" s="355">
        <v>42310</v>
      </c>
      <c r="L34" s="169">
        <v>5.4203900000000003</v>
      </c>
      <c r="M34" s="169">
        <v>5.9373209999999998</v>
      </c>
      <c r="N34" s="169">
        <v>5.3539269999999997</v>
      </c>
      <c r="O34" s="169">
        <v>5.4425439999999998</v>
      </c>
      <c r="P34" s="169">
        <v>5.4365969999999999</v>
      </c>
      <c r="Q34" s="169">
        <v>4501992</v>
      </c>
      <c r="R34" s="53">
        <f t="shared" si="1"/>
        <v>4.0871982413042129E-3</v>
      </c>
      <c r="S34" s="59">
        <f>(P34/P33)*('16. câmbio USD-BRL'!O625/'16. câmbio USD-BRL'!O624)^-1 -1</f>
        <v>2.124654138206461E-2</v>
      </c>
    </row>
    <row r="35" spans="1:19" x14ac:dyDescent="0.2">
      <c r="A35" s="354">
        <v>43101</v>
      </c>
      <c r="B35">
        <v>12.97</v>
      </c>
      <c r="C35">
        <v>14.34</v>
      </c>
      <c r="D35">
        <v>12.1</v>
      </c>
      <c r="E35">
        <v>14.27</v>
      </c>
      <c r="F35">
        <v>14.254408</v>
      </c>
      <c r="G35">
        <v>170797600</v>
      </c>
      <c r="H35" s="53">
        <f t="shared" si="0"/>
        <v>0.10023125498183094</v>
      </c>
      <c r="I35" s="53">
        <f t="shared" si="2"/>
        <v>0.90266671382931074</v>
      </c>
      <c r="K35" s="355">
        <v>42317</v>
      </c>
      <c r="L35" s="169">
        <v>5.4130050000000001</v>
      </c>
      <c r="M35" s="169">
        <v>5.4720829999999996</v>
      </c>
      <c r="N35" s="169">
        <v>5.0659229999999997</v>
      </c>
      <c r="O35" s="169">
        <v>5.161924</v>
      </c>
      <c r="P35" s="169">
        <v>5.1562830000000002</v>
      </c>
      <c r="Q35" s="169">
        <v>5786535</v>
      </c>
      <c r="R35" s="53">
        <f t="shared" si="1"/>
        <v>-5.1560562609293981E-2</v>
      </c>
      <c r="S35" s="59">
        <f>(P35/P34)*('16. câmbio USD-BRL'!O626/'16. câmbio USD-BRL'!O625)^-1 -1</f>
        <v>-4.8237033826061815E-2</v>
      </c>
    </row>
    <row r="36" spans="1:19" x14ac:dyDescent="0.2">
      <c r="A36" s="354">
        <v>43132</v>
      </c>
      <c r="B36">
        <v>14.35</v>
      </c>
      <c r="C36">
        <v>14.47</v>
      </c>
      <c r="D36">
        <v>12.6</v>
      </c>
      <c r="E36">
        <v>14.24</v>
      </c>
      <c r="F36">
        <v>14.224441000000001</v>
      </c>
      <c r="G36">
        <v>159385200</v>
      </c>
      <c r="H36" s="53">
        <f t="shared" si="0"/>
        <v>-2.1022970578644662E-3</v>
      </c>
      <c r="I36" s="53">
        <f t="shared" si="2"/>
        <v>0.65967390472385667</v>
      </c>
      <c r="K36" s="355">
        <v>42324</v>
      </c>
      <c r="L36" s="169">
        <v>5.1693090000000002</v>
      </c>
      <c r="M36" s="169">
        <v>5.3465429999999996</v>
      </c>
      <c r="N36" s="169">
        <v>5.0437690000000002</v>
      </c>
      <c r="O36" s="169">
        <v>5.1323860000000003</v>
      </c>
      <c r="P36" s="169">
        <v>5.1267779999999998</v>
      </c>
      <c r="Q36" s="169">
        <v>2687707</v>
      </c>
      <c r="R36" s="53">
        <f t="shared" si="1"/>
        <v>-5.7221451964526437E-3</v>
      </c>
      <c r="S36" s="59">
        <f>(P36/P35)*('16. câmbio USD-BRL'!O627/'16. câmbio USD-BRL'!O626)^-1 -1</f>
        <v>-4.2153431725293622E-3</v>
      </c>
    </row>
    <row r="37" spans="1:19" x14ac:dyDescent="0.2">
      <c r="A37" s="354">
        <v>43160</v>
      </c>
      <c r="B37">
        <v>14.25</v>
      </c>
      <c r="C37">
        <v>14.35</v>
      </c>
      <c r="D37">
        <v>12.61</v>
      </c>
      <c r="E37">
        <v>13.15</v>
      </c>
      <c r="F37">
        <v>13.135631</v>
      </c>
      <c r="G37">
        <v>123031900</v>
      </c>
      <c r="H37" s="53">
        <f t="shared" si="0"/>
        <v>-7.6545011505197325E-2</v>
      </c>
      <c r="I37" s="53">
        <f t="shared" si="2"/>
        <v>0.53801159114438257</v>
      </c>
      <c r="K37" s="355">
        <v>42331</v>
      </c>
      <c r="L37" s="169">
        <v>5.1766940000000004</v>
      </c>
      <c r="M37" s="169">
        <v>5.1840789999999997</v>
      </c>
      <c r="N37" s="169">
        <v>4.379143</v>
      </c>
      <c r="O37" s="169">
        <v>4.4382210000000004</v>
      </c>
      <c r="P37" s="169">
        <v>4.4333720000000003</v>
      </c>
      <c r="Q37" s="169">
        <v>4983119</v>
      </c>
      <c r="R37" s="53">
        <f t="shared" si="1"/>
        <v>-0.13525180922598945</v>
      </c>
      <c r="S37" s="59">
        <f>(P37/P36)*('16. câmbio USD-BRL'!O628/'16. câmbio USD-BRL'!O627)^-1 -1</f>
        <v>-0.12997782603808883</v>
      </c>
    </row>
    <row r="38" spans="1:19" x14ac:dyDescent="0.2">
      <c r="A38" s="354">
        <v>43191</v>
      </c>
      <c r="B38">
        <v>13.03</v>
      </c>
      <c r="C38">
        <v>14.92</v>
      </c>
      <c r="D38">
        <v>12.26</v>
      </c>
      <c r="E38">
        <v>14.85</v>
      </c>
      <c r="F38">
        <v>14.833774999999999</v>
      </c>
      <c r="G38">
        <v>137199500</v>
      </c>
      <c r="H38" s="53">
        <f t="shared" si="0"/>
        <v>0.12927768753552837</v>
      </c>
      <c r="I38" s="53">
        <f t="shared" si="2"/>
        <v>0.70103105787641251</v>
      </c>
      <c r="K38" s="355">
        <v>42338</v>
      </c>
      <c r="L38" s="169">
        <v>4.371759</v>
      </c>
      <c r="M38" s="169">
        <v>4.7188410000000003</v>
      </c>
      <c r="N38" s="169">
        <v>4.2462179999999998</v>
      </c>
      <c r="O38" s="169">
        <v>4.371759</v>
      </c>
      <c r="P38" s="169">
        <v>4.3669820000000001</v>
      </c>
      <c r="Q38" s="169">
        <v>5569735</v>
      </c>
      <c r="R38" s="53">
        <f t="shared" si="1"/>
        <v>-1.4975057360402055E-2</v>
      </c>
      <c r="S38" s="59">
        <f>(P38/P37)*('16. câmbio USD-BRL'!O629/'16. câmbio USD-BRL'!O628)^-1 -1</f>
        <v>-1.956461951493027E-2</v>
      </c>
    </row>
    <row r="39" spans="1:19" x14ac:dyDescent="0.2">
      <c r="A39" s="354">
        <v>43221</v>
      </c>
      <c r="B39">
        <v>14.85</v>
      </c>
      <c r="C39">
        <v>14.99</v>
      </c>
      <c r="D39">
        <v>13.06</v>
      </c>
      <c r="E39">
        <v>13.81</v>
      </c>
      <c r="F39">
        <v>13.79491</v>
      </c>
      <c r="G39">
        <v>145751800</v>
      </c>
      <c r="H39" s="53">
        <f t="shared" si="0"/>
        <v>-7.003375742182949E-2</v>
      </c>
      <c r="I39" s="53">
        <f t="shared" si="2"/>
        <v>0.62853773946862224</v>
      </c>
      <c r="K39" s="355">
        <v>42345</v>
      </c>
      <c r="L39" s="169">
        <v>4.4086819999999998</v>
      </c>
      <c r="M39" s="169">
        <v>4.7188410000000003</v>
      </c>
      <c r="N39" s="169">
        <v>4.334835</v>
      </c>
      <c r="O39" s="169">
        <v>4.4825290000000004</v>
      </c>
      <c r="P39" s="169">
        <v>4.4776309999999997</v>
      </c>
      <c r="Q39" s="169">
        <v>4154381</v>
      </c>
      <c r="R39" s="53">
        <f t="shared" si="1"/>
        <v>2.5337635923390556E-2</v>
      </c>
      <c r="S39" s="59">
        <f>(P39/P38)*('16. câmbio USD-BRL'!O630/'16. câmbio USD-BRL'!O629)^-1 -1</f>
        <v>1.1362368497469078E-2</v>
      </c>
    </row>
    <row r="40" spans="1:19" x14ac:dyDescent="0.2">
      <c r="A40" s="354">
        <v>43252</v>
      </c>
      <c r="B40">
        <v>14</v>
      </c>
      <c r="C40">
        <v>14.7</v>
      </c>
      <c r="D40">
        <v>11.93</v>
      </c>
      <c r="E40">
        <v>14.1</v>
      </c>
      <c r="F40">
        <v>14.084593999999999</v>
      </c>
      <c r="G40">
        <v>172310900</v>
      </c>
      <c r="H40" s="53">
        <f t="shared" si="0"/>
        <v>2.099933961149425E-2</v>
      </c>
      <c r="I40" s="53">
        <f t="shared" si="2"/>
        <v>0.63005795465750536</v>
      </c>
      <c r="K40" s="355">
        <v>42352</v>
      </c>
      <c r="L40" s="169">
        <v>4.4456059999999997</v>
      </c>
      <c r="M40" s="169">
        <v>4.6893019999999996</v>
      </c>
      <c r="N40" s="169">
        <v>4.3274499999999998</v>
      </c>
      <c r="O40" s="169">
        <v>4.4308360000000002</v>
      </c>
      <c r="P40" s="169">
        <v>4.4259950000000003</v>
      </c>
      <c r="Q40" s="169">
        <v>7085703</v>
      </c>
      <c r="R40" s="53">
        <f t="shared" si="1"/>
        <v>-1.1531990912158507E-2</v>
      </c>
      <c r="S40" s="59">
        <f>(P40/P39)*('16. câmbio USD-BRL'!O631/'16. câmbio USD-BRL'!O630)^-1 -1</f>
        <v>-2.8999694294899014E-2</v>
      </c>
    </row>
    <row r="41" spans="1:19" x14ac:dyDescent="0.2">
      <c r="A41" s="354">
        <v>43282</v>
      </c>
      <c r="B41">
        <v>13.9</v>
      </c>
      <c r="C41">
        <v>15.5</v>
      </c>
      <c r="D41">
        <v>13.25</v>
      </c>
      <c r="E41">
        <v>14.85</v>
      </c>
      <c r="F41">
        <v>14.833774999999999</v>
      </c>
      <c r="G41">
        <v>102477200</v>
      </c>
      <c r="H41" s="53">
        <f t="shared" si="0"/>
        <v>5.3191522595539498E-2</v>
      </c>
      <c r="I41" s="53">
        <f t="shared" si="2"/>
        <v>0.43617029516390349</v>
      </c>
      <c r="K41" s="355">
        <v>42359</v>
      </c>
      <c r="L41" s="169">
        <v>4.4308360000000002</v>
      </c>
      <c r="M41" s="169">
        <v>4.6449930000000004</v>
      </c>
      <c r="N41" s="169">
        <v>4.3496040000000002</v>
      </c>
      <c r="O41" s="169">
        <v>4.5268379999999997</v>
      </c>
      <c r="P41" s="169">
        <v>4.5218920000000002</v>
      </c>
      <c r="Q41" s="169">
        <v>4493326</v>
      </c>
      <c r="R41" s="53">
        <f t="shared" si="1"/>
        <v>2.1666766455904263E-2</v>
      </c>
      <c r="S41" s="59">
        <f>(P41/P40)*('16. câmbio USD-BRL'!O632/'16. câmbio USD-BRL'!O631)^-1 -1</f>
        <v>1.2084560902893449E-2</v>
      </c>
    </row>
    <row r="42" spans="1:19" x14ac:dyDescent="0.2">
      <c r="A42" s="354">
        <v>43313</v>
      </c>
      <c r="B42">
        <v>14.87</v>
      </c>
      <c r="C42">
        <v>15.52</v>
      </c>
      <c r="D42">
        <v>13.21</v>
      </c>
      <c r="E42">
        <v>14.23</v>
      </c>
      <c r="F42">
        <v>14.214451</v>
      </c>
      <c r="G42">
        <v>142329100</v>
      </c>
      <c r="H42" s="53">
        <f t="shared" si="0"/>
        <v>-4.175093662941487E-2</v>
      </c>
      <c r="I42" s="53">
        <f t="shared" si="2"/>
        <v>0.3775412086314649</v>
      </c>
      <c r="K42" s="355">
        <v>42366</v>
      </c>
      <c r="L42" s="169">
        <v>6.05</v>
      </c>
      <c r="M42" s="169">
        <v>6.4</v>
      </c>
      <c r="N42" s="169">
        <v>5.93</v>
      </c>
      <c r="O42" s="169">
        <v>6.24</v>
      </c>
      <c r="P42" s="169">
        <v>6.2331810000000001</v>
      </c>
      <c r="Q42" s="169">
        <v>2274500</v>
      </c>
      <c r="R42" s="53">
        <f t="shared" si="1"/>
        <v>0.37844534986682565</v>
      </c>
      <c r="S42" s="59">
        <f>(P42/P41)*('16. câmbio USD-BRL'!O633/'16. câmbio USD-BRL'!O632)^-1 -1</f>
        <v>0.36553333013389566</v>
      </c>
    </row>
    <row r="43" spans="1:19" x14ac:dyDescent="0.2">
      <c r="A43" s="354">
        <v>43344</v>
      </c>
      <c r="B43">
        <v>14.06</v>
      </c>
      <c r="C43">
        <v>15.17</v>
      </c>
      <c r="D43">
        <v>13.35</v>
      </c>
      <c r="E43">
        <v>14.98</v>
      </c>
      <c r="F43">
        <v>14.963632</v>
      </c>
      <c r="G43">
        <v>80004800</v>
      </c>
      <c r="H43" s="53">
        <f t="shared" si="0"/>
        <v>5.2705588137030412E-2</v>
      </c>
      <c r="I43" s="53">
        <f t="shared" si="2"/>
        <v>0.23904050662469079</v>
      </c>
      <c r="K43" s="355">
        <v>42373</v>
      </c>
      <c r="L43" s="169">
        <v>6.12</v>
      </c>
      <c r="M43" s="169">
        <v>6.18</v>
      </c>
      <c r="N43" s="169">
        <v>4.0999999999999996</v>
      </c>
      <c r="O43" s="169">
        <v>4.3</v>
      </c>
      <c r="P43" s="169">
        <v>4.2953020000000004</v>
      </c>
      <c r="Q43" s="169">
        <v>5818800</v>
      </c>
      <c r="R43" s="53">
        <f t="shared" si="1"/>
        <v>-0.31089727700832037</v>
      </c>
      <c r="S43" s="59">
        <f>(P43/P42)*('16. câmbio USD-BRL'!O634/'16. câmbio USD-BRL'!O633)^-1 -1</f>
        <v>-0.32649863767978859</v>
      </c>
    </row>
    <row r="44" spans="1:19" x14ac:dyDescent="0.2">
      <c r="A44" s="354">
        <v>43374</v>
      </c>
      <c r="B44">
        <v>14.94</v>
      </c>
      <c r="C44">
        <v>16.68</v>
      </c>
      <c r="D44">
        <v>14.53</v>
      </c>
      <c r="E44">
        <v>16.649999999999999</v>
      </c>
      <c r="F44">
        <v>16.631806999999998</v>
      </c>
      <c r="G44">
        <v>205953600</v>
      </c>
      <c r="H44" s="53">
        <f t="shared" si="0"/>
        <v>0.1114819583908504</v>
      </c>
      <c r="I44" s="53">
        <f t="shared" si="2"/>
        <v>0.31102362794369864</v>
      </c>
      <c r="K44" s="355">
        <v>42380</v>
      </c>
      <c r="L44" s="169">
        <v>4.3</v>
      </c>
      <c r="M44" s="169">
        <v>4.46</v>
      </c>
      <c r="N44" s="169">
        <v>2.0099999999999998</v>
      </c>
      <c r="O44" s="169">
        <v>3</v>
      </c>
      <c r="P44" s="169">
        <v>2.9967220000000001</v>
      </c>
      <c r="Q44" s="169">
        <v>29499400</v>
      </c>
      <c r="R44" s="53">
        <f t="shared" si="1"/>
        <v>-0.30232565719476767</v>
      </c>
      <c r="S44" s="59">
        <f>(P44/P43)*('16. câmbio USD-BRL'!O635/'16. câmbio USD-BRL'!O634)^-1 -1</f>
        <v>-0.29612550077452093</v>
      </c>
    </row>
    <row r="45" spans="1:19" x14ac:dyDescent="0.2">
      <c r="A45" s="354">
        <v>43405</v>
      </c>
      <c r="B45">
        <v>16.610001</v>
      </c>
      <c r="C45">
        <v>17.91</v>
      </c>
      <c r="D45">
        <v>15.85</v>
      </c>
      <c r="E45">
        <v>17.440000999999999</v>
      </c>
      <c r="F45">
        <v>17.420943999999999</v>
      </c>
      <c r="G45">
        <v>160366200</v>
      </c>
      <c r="H45" s="53">
        <f t="shared" si="0"/>
        <v>4.7447460158718702E-2</v>
      </c>
      <c r="I45" s="53">
        <f t="shared" si="2"/>
        <v>0.33947768122066391</v>
      </c>
      <c r="K45" s="355">
        <v>42387</v>
      </c>
      <c r="L45" s="169">
        <v>3.05</v>
      </c>
      <c r="M45" s="169">
        <v>3.3</v>
      </c>
      <c r="N45" s="169">
        <v>1.5</v>
      </c>
      <c r="O45" s="169">
        <v>1.5</v>
      </c>
      <c r="P45" s="169">
        <v>1.4983610000000001</v>
      </c>
      <c r="Q45" s="169">
        <v>28069600</v>
      </c>
      <c r="R45" s="53">
        <f t="shared" si="1"/>
        <v>-0.5</v>
      </c>
      <c r="S45" s="59">
        <f>(P45/P44)*('16. câmbio USD-BRL'!O636/'16. câmbio USD-BRL'!O635)^-1 -1</f>
        <v>-0.51022129844724295</v>
      </c>
    </row>
    <row r="46" spans="1:19" x14ac:dyDescent="0.2">
      <c r="A46" s="354">
        <v>43435</v>
      </c>
      <c r="B46">
        <v>17.41</v>
      </c>
      <c r="C46">
        <v>17.579999999999998</v>
      </c>
      <c r="D46">
        <v>15.8</v>
      </c>
      <c r="E46">
        <v>17</v>
      </c>
      <c r="F46">
        <v>16.981424000000001</v>
      </c>
      <c r="G46">
        <v>162041700</v>
      </c>
      <c r="H46" s="53">
        <f t="shared" si="0"/>
        <v>-2.5229402034700144E-2</v>
      </c>
      <c r="I46" s="53">
        <f t="shared" si="2"/>
        <v>0.31071689816220949</v>
      </c>
      <c r="K46" s="355">
        <v>42394</v>
      </c>
      <c r="L46" s="169">
        <v>1.5</v>
      </c>
      <c r="M46" s="169">
        <v>1.93</v>
      </c>
      <c r="N46" s="169">
        <v>1.33</v>
      </c>
      <c r="O46" s="169">
        <v>1.89</v>
      </c>
      <c r="P46" s="169">
        <v>1.8879349999999999</v>
      </c>
      <c r="Q46" s="169">
        <v>21317500</v>
      </c>
      <c r="R46" s="53">
        <f t="shared" si="1"/>
        <v>0.26000009343542696</v>
      </c>
      <c r="S46" s="59">
        <f>(P46/P45)*('16. câmbio USD-BRL'!O637/'16. câmbio USD-BRL'!O636)^-1 -1</f>
        <v>0.26697083405561295</v>
      </c>
    </row>
    <row r="47" spans="1:19" x14ac:dyDescent="0.2">
      <c r="A47" s="354">
        <v>43466</v>
      </c>
      <c r="B47">
        <v>17</v>
      </c>
      <c r="C47">
        <v>19.870000999999998</v>
      </c>
      <c r="D47">
        <v>16.639999</v>
      </c>
      <c r="E47">
        <v>19.649999999999999</v>
      </c>
      <c r="F47">
        <v>19.628529</v>
      </c>
      <c r="G47">
        <v>190511000</v>
      </c>
      <c r="H47" s="53">
        <f t="shared" si="0"/>
        <v>0.15588239243069357</v>
      </c>
      <c r="I47" s="53">
        <f t="shared" si="2"/>
        <v>0.37701467503946851</v>
      </c>
      <c r="K47" s="355">
        <v>42401</v>
      </c>
      <c r="L47" s="169">
        <v>1.9</v>
      </c>
      <c r="M47" s="169">
        <v>2.4500000000000002</v>
      </c>
      <c r="N47" s="169">
        <v>1.8</v>
      </c>
      <c r="O47" s="169">
        <v>2.2999999999999998</v>
      </c>
      <c r="P47" s="169">
        <v>2.2974869999999998</v>
      </c>
      <c r="Q47" s="169">
        <v>16191000</v>
      </c>
      <c r="R47" s="53">
        <f t="shared" si="1"/>
        <v>0.21693119731346688</v>
      </c>
      <c r="S47" s="59">
        <f>(P47/P46)*('16. câmbio USD-BRL'!O638/'16. câmbio USD-BRL'!O637)^-1 -1</f>
        <v>0.26952909567112227</v>
      </c>
    </row>
    <row r="48" spans="1:19" x14ac:dyDescent="0.2">
      <c r="A48" s="354">
        <v>43497</v>
      </c>
      <c r="B48">
        <v>19.559999000000001</v>
      </c>
      <c r="C48">
        <v>20.09</v>
      </c>
      <c r="D48">
        <v>18.510000000000002</v>
      </c>
      <c r="E48">
        <v>19.459999</v>
      </c>
      <c r="F48">
        <v>19.438735999999999</v>
      </c>
      <c r="G48">
        <v>172076800</v>
      </c>
      <c r="H48" s="53">
        <f t="shared" si="0"/>
        <v>-9.6692421525832462E-3</v>
      </c>
      <c r="I48" s="53">
        <f t="shared" si="2"/>
        <v>0.36657292894673321</v>
      </c>
      <c r="K48" s="355">
        <v>42408</v>
      </c>
      <c r="L48" s="169">
        <v>2.2999999999999998</v>
      </c>
      <c r="M48" s="169">
        <v>2.35</v>
      </c>
      <c r="N48" s="169">
        <v>2.0099999999999998</v>
      </c>
      <c r="O48" s="169">
        <v>2.14</v>
      </c>
      <c r="P48" s="169">
        <v>2.1376620000000002</v>
      </c>
      <c r="Q48" s="169">
        <v>8309100</v>
      </c>
      <c r="R48" s="53">
        <f t="shared" si="1"/>
        <v>-6.9565137909376462E-2</v>
      </c>
      <c r="S48" s="59">
        <f>(P48/P47)*('16. câmbio USD-BRL'!O639/'16. câmbio USD-BRL'!O638)^-1 -1</f>
        <v>-8.5907890262512887E-2</v>
      </c>
    </row>
    <row r="49" spans="1:19" x14ac:dyDescent="0.2">
      <c r="A49" s="354">
        <v>43525</v>
      </c>
      <c r="B49">
        <v>19.399999999999999</v>
      </c>
      <c r="C49">
        <v>20.66</v>
      </c>
      <c r="D49">
        <v>17.620000999999998</v>
      </c>
      <c r="E49">
        <v>19.149999999999999</v>
      </c>
      <c r="F49">
        <v>19.129073999999999</v>
      </c>
      <c r="G49">
        <v>208430100</v>
      </c>
      <c r="H49" s="53">
        <f t="shared" si="0"/>
        <v>-1.5930151013934246E-2</v>
      </c>
      <c r="I49" s="53">
        <f t="shared" si="2"/>
        <v>0.45627370318182647</v>
      </c>
      <c r="K49" s="355">
        <v>42415</v>
      </c>
      <c r="L49" s="169">
        <v>2.31</v>
      </c>
      <c r="M49" s="169">
        <v>2.41</v>
      </c>
      <c r="N49" s="169">
        <v>2.0699999999999998</v>
      </c>
      <c r="O49" s="169">
        <v>2.16</v>
      </c>
      <c r="P49" s="169">
        <v>2.1576399999999998</v>
      </c>
      <c r="Q49" s="169">
        <v>12939000</v>
      </c>
      <c r="R49" s="53">
        <f t="shared" si="1"/>
        <v>9.3457244410013462E-3</v>
      </c>
      <c r="S49" s="59">
        <f>(P49/P48)*('16. câmbio USD-BRL'!O640/'16. câmbio USD-BRL'!O639)^-1 -1</f>
        <v>-2.767228431734492E-3</v>
      </c>
    </row>
    <row r="50" spans="1:19" x14ac:dyDescent="0.2">
      <c r="A50" s="354">
        <v>43556</v>
      </c>
      <c r="B50">
        <v>19.280000999999999</v>
      </c>
      <c r="C50">
        <v>19.450001</v>
      </c>
      <c r="D50">
        <v>16.93</v>
      </c>
      <c r="E50">
        <v>18.100000000000001</v>
      </c>
      <c r="F50">
        <v>18.080223</v>
      </c>
      <c r="G50">
        <v>199199400</v>
      </c>
      <c r="H50" s="53">
        <f t="shared" si="0"/>
        <v>-5.4830202444718368E-2</v>
      </c>
      <c r="I50" s="53">
        <f t="shared" si="2"/>
        <v>0.21885514644788673</v>
      </c>
      <c r="K50" s="355">
        <v>42422</v>
      </c>
      <c r="L50" s="169">
        <v>2.2599999999999998</v>
      </c>
      <c r="M50" s="169">
        <v>2.4700000000000002</v>
      </c>
      <c r="N50" s="169">
        <v>2.1</v>
      </c>
      <c r="O50" s="169">
        <v>2.34</v>
      </c>
      <c r="P50" s="169">
        <v>2.3374429999999999</v>
      </c>
      <c r="Q50" s="169">
        <v>11885500</v>
      </c>
      <c r="R50" s="53">
        <f t="shared" si="1"/>
        <v>8.3333178843551403E-2</v>
      </c>
      <c r="S50" s="59">
        <f>(P50/P49)*('16. câmbio USD-BRL'!O641/'16. câmbio USD-BRL'!O640)^-1 -1</f>
        <v>0.10101454477776239</v>
      </c>
    </row>
    <row r="51" spans="1:19" x14ac:dyDescent="0.2">
      <c r="A51" s="354">
        <v>43586</v>
      </c>
      <c r="B51">
        <v>18.100000000000001</v>
      </c>
      <c r="C51">
        <v>19.77</v>
      </c>
      <c r="D51">
        <v>16.510000000000002</v>
      </c>
      <c r="E51">
        <v>19.360001</v>
      </c>
      <c r="F51">
        <v>19.338846</v>
      </c>
      <c r="G51">
        <v>191284000</v>
      </c>
      <c r="H51" s="53">
        <f t="shared" si="0"/>
        <v>6.961324536760416E-2</v>
      </c>
      <c r="I51" s="53">
        <f t="shared" si="2"/>
        <v>0.40188272341030129</v>
      </c>
      <c r="K51" s="355">
        <v>42429</v>
      </c>
      <c r="L51" s="169">
        <v>2.39</v>
      </c>
      <c r="M51" s="169">
        <v>3.25</v>
      </c>
      <c r="N51" s="169">
        <v>2.37</v>
      </c>
      <c r="O51" s="169">
        <v>3.1</v>
      </c>
      <c r="P51" s="169">
        <v>3.0966130000000001</v>
      </c>
      <c r="Q51" s="169">
        <v>19943900</v>
      </c>
      <c r="R51" s="53">
        <f t="shared" si="1"/>
        <v>0.32478652955387588</v>
      </c>
      <c r="S51" s="59">
        <f>(P51/P50)*('16. câmbio USD-BRL'!O642/'16. câmbio USD-BRL'!O641)^-1 -1</f>
        <v>0.37915858015962756</v>
      </c>
    </row>
    <row r="52" spans="1:19" x14ac:dyDescent="0.2">
      <c r="A52" s="354">
        <v>43617</v>
      </c>
      <c r="B52">
        <v>19.309999000000001</v>
      </c>
      <c r="C52">
        <v>21.08</v>
      </c>
      <c r="D52">
        <v>18.690000999999999</v>
      </c>
      <c r="E52">
        <v>20.73</v>
      </c>
      <c r="F52">
        <v>20.707348</v>
      </c>
      <c r="G52">
        <v>153903200</v>
      </c>
      <c r="H52" s="53">
        <f t="shared" si="0"/>
        <v>7.0764408589840233E-2</v>
      </c>
      <c r="I52" s="53">
        <f t="shared" si="2"/>
        <v>0.47021263090721677</v>
      </c>
      <c r="K52" s="355">
        <v>42436</v>
      </c>
      <c r="L52" s="169">
        <v>3.13</v>
      </c>
      <c r="M52" s="169">
        <v>4.0199999999999996</v>
      </c>
      <c r="N52" s="169">
        <v>2.96</v>
      </c>
      <c r="O52" s="169">
        <v>3.56</v>
      </c>
      <c r="P52" s="169">
        <v>3.5561099999999999</v>
      </c>
      <c r="Q52" s="169">
        <v>15536600</v>
      </c>
      <c r="R52" s="53">
        <f t="shared" si="1"/>
        <v>0.14838696343391944</v>
      </c>
      <c r="S52" s="59">
        <f>(P52/P51)*('16. câmbio USD-BRL'!O643/'16. câmbio USD-BRL'!O642)^-1 -1</f>
        <v>0.20625117650567271</v>
      </c>
    </row>
    <row r="53" spans="1:19" x14ac:dyDescent="0.2">
      <c r="A53" s="354">
        <v>43647</v>
      </c>
      <c r="B53">
        <v>21.049999</v>
      </c>
      <c r="C53">
        <v>22.66</v>
      </c>
      <c r="D53">
        <v>20.450001</v>
      </c>
      <c r="E53">
        <v>21.92</v>
      </c>
      <c r="F53">
        <v>21.896049000000001</v>
      </c>
      <c r="G53">
        <v>142321900</v>
      </c>
      <c r="H53" s="53">
        <f t="shared" si="0"/>
        <v>5.7404791767637242E-2</v>
      </c>
      <c r="I53" s="53">
        <f t="shared" si="2"/>
        <v>0.47609418371250767</v>
      </c>
      <c r="K53" s="355">
        <v>42443</v>
      </c>
      <c r="L53" s="169">
        <v>3.61</v>
      </c>
      <c r="M53" s="169">
        <v>3.69</v>
      </c>
      <c r="N53" s="169">
        <v>2.58</v>
      </c>
      <c r="O53" s="169">
        <v>3.43</v>
      </c>
      <c r="P53" s="169">
        <v>3.4262519999999999</v>
      </c>
      <c r="Q53" s="169">
        <v>12740900</v>
      </c>
      <c r="R53" s="53">
        <f t="shared" si="1"/>
        <v>-3.6516868150872739E-2</v>
      </c>
      <c r="S53" s="59">
        <f>(P53/P52)*('16. câmbio USD-BRL'!O644/'16. câmbio USD-BRL'!O643)^-1 -1</f>
        <v>-3.8405998590829826E-2</v>
      </c>
    </row>
    <row r="54" spans="1:19" x14ac:dyDescent="0.2">
      <c r="A54" s="354">
        <v>43678</v>
      </c>
      <c r="B54">
        <v>22.07</v>
      </c>
      <c r="C54">
        <v>23.57</v>
      </c>
      <c r="D54">
        <v>21.16</v>
      </c>
      <c r="E54">
        <v>22.1</v>
      </c>
      <c r="F54">
        <v>22.075851</v>
      </c>
      <c r="G54">
        <v>183918400</v>
      </c>
      <c r="H54" s="53">
        <f t="shared" si="0"/>
        <v>8.2116184522604829E-3</v>
      </c>
      <c r="I54" s="53">
        <f t="shared" si="2"/>
        <v>0.55305688555963228</v>
      </c>
      <c r="K54" s="355">
        <v>42450</v>
      </c>
      <c r="L54" s="169">
        <v>3.5</v>
      </c>
      <c r="M54" s="169">
        <v>3.52</v>
      </c>
      <c r="N54" s="169">
        <v>3.25</v>
      </c>
      <c r="O54" s="169">
        <v>3.31</v>
      </c>
      <c r="P54" s="169">
        <v>3.3063829999999998</v>
      </c>
      <c r="Q54" s="169">
        <v>6283900</v>
      </c>
      <c r="R54" s="53">
        <f t="shared" si="1"/>
        <v>-3.4985459329903379E-2</v>
      </c>
      <c r="S54" s="59">
        <f>(P54/P53)*('16. câmbio USD-BRL'!O645/'16. câmbio USD-BRL'!O644)^-1 -1</f>
        <v>-4.9707888278992973E-2</v>
      </c>
    </row>
    <row r="55" spans="1:19" x14ac:dyDescent="0.2">
      <c r="A55" s="354">
        <v>43709</v>
      </c>
      <c r="B55">
        <v>22.200001</v>
      </c>
      <c r="C55">
        <v>24.58</v>
      </c>
      <c r="D55">
        <v>22.120000999999998</v>
      </c>
      <c r="E55">
        <v>24.5</v>
      </c>
      <c r="F55">
        <v>24.473230000000001</v>
      </c>
      <c r="G55">
        <v>136397700</v>
      </c>
      <c r="H55" s="53">
        <f t="shared" si="0"/>
        <v>0.10859735373281887</v>
      </c>
      <c r="I55" s="53">
        <f t="shared" si="2"/>
        <v>0.63551402493726128</v>
      </c>
      <c r="K55" s="355">
        <v>42457</v>
      </c>
      <c r="L55" s="169">
        <v>3.38</v>
      </c>
      <c r="M55" s="169">
        <v>3.92</v>
      </c>
      <c r="N55" s="169">
        <v>3.18</v>
      </c>
      <c r="O55" s="169">
        <v>3.46</v>
      </c>
      <c r="P55" s="169">
        <v>3.4562189999999999</v>
      </c>
      <c r="Q55" s="169">
        <v>14775500</v>
      </c>
      <c r="R55" s="53">
        <f t="shared" si="1"/>
        <v>4.531719404557788E-2</v>
      </c>
      <c r="S55" s="59">
        <f>(P55/P54)*('16. câmbio USD-BRL'!O646/'16. câmbio USD-BRL'!O645)^-1 -1</f>
        <v>8.3199116819139718E-2</v>
      </c>
    </row>
    <row r="56" spans="1:19" x14ac:dyDescent="0.2">
      <c r="A56" s="354">
        <v>43739</v>
      </c>
      <c r="B56">
        <v>24.57</v>
      </c>
      <c r="C56">
        <v>24.639999</v>
      </c>
      <c r="D56">
        <v>21.92</v>
      </c>
      <c r="E56">
        <v>22.799999</v>
      </c>
      <c r="F56">
        <v>22.775085000000001</v>
      </c>
      <c r="G56">
        <v>162205900</v>
      </c>
      <c r="H56" s="53">
        <f t="shared" si="0"/>
        <v>-6.9387857671423081E-2</v>
      </c>
      <c r="I56" s="53">
        <f t="shared" si="2"/>
        <v>0.36936924532613946</v>
      </c>
      <c r="K56" s="355">
        <v>42464</v>
      </c>
      <c r="L56" s="169">
        <v>3.6</v>
      </c>
      <c r="M56" s="169">
        <v>3.6</v>
      </c>
      <c r="N56" s="169">
        <v>2.7</v>
      </c>
      <c r="O56" s="169">
        <v>3.15</v>
      </c>
      <c r="P56" s="169">
        <v>3.1465580000000002</v>
      </c>
      <c r="Q56" s="169">
        <v>24177500</v>
      </c>
      <c r="R56" s="53">
        <f t="shared" si="1"/>
        <v>-8.9595306315948031E-2</v>
      </c>
      <c r="S56" s="59">
        <f>(P56/P55)*('16. câmbio USD-BRL'!O647/'16. câmbio USD-BRL'!O646)^-1 -1</f>
        <v>-9.9140567729845808E-2</v>
      </c>
    </row>
    <row r="57" spans="1:19" x14ac:dyDescent="0.2">
      <c r="A57" s="354">
        <v>43770</v>
      </c>
      <c r="B57">
        <v>22.99</v>
      </c>
      <c r="C57">
        <v>24.49</v>
      </c>
      <c r="D57">
        <v>22.6</v>
      </c>
      <c r="E57">
        <v>24.43</v>
      </c>
      <c r="F57">
        <v>24.403307000000002</v>
      </c>
      <c r="G57">
        <v>136759500</v>
      </c>
      <c r="H57" s="53">
        <f t="shared" si="0"/>
        <v>7.14913687479104E-2</v>
      </c>
      <c r="I57" s="53">
        <f t="shared" si="2"/>
        <v>0.40080279231711002</v>
      </c>
      <c r="K57" s="355">
        <v>42471</v>
      </c>
      <c r="L57" s="169">
        <v>3.35</v>
      </c>
      <c r="M57" s="169">
        <v>4.05</v>
      </c>
      <c r="N57" s="169">
        <v>3.35</v>
      </c>
      <c r="O57" s="169">
        <v>3.75</v>
      </c>
      <c r="P57" s="169">
        <v>3.7459030000000002</v>
      </c>
      <c r="Q57" s="169">
        <v>64740200</v>
      </c>
      <c r="R57" s="53">
        <f t="shared" si="1"/>
        <v>0.19047638721421944</v>
      </c>
      <c r="S57" s="59">
        <f>(P57/P56)*('16. câmbio USD-BRL'!O648/'16. câmbio USD-BRL'!O647)^-1 -1</f>
        <v>0.20908706310609815</v>
      </c>
    </row>
    <row r="58" spans="1:19" x14ac:dyDescent="0.2">
      <c r="A58" s="354">
        <v>43800</v>
      </c>
      <c r="B58">
        <v>24.52</v>
      </c>
      <c r="C58">
        <v>26.889999</v>
      </c>
      <c r="D58">
        <v>24.5</v>
      </c>
      <c r="E58">
        <v>26.1</v>
      </c>
      <c r="F58">
        <v>26.071482</v>
      </c>
      <c r="G58">
        <v>139454400</v>
      </c>
      <c r="H58" s="53">
        <f t="shared" si="0"/>
        <v>6.8358563042295817E-2</v>
      </c>
      <c r="I58" s="53">
        <f t="shared" si="2"/>
        <v>0.53529421325325832</v>
      </c>
      <c r="K58" s="355">
        <v>42478</v>
      </c>
      <c r="L58" s="169">
        <v>3.75</v>
      </c>
      <c r="M58" s="169">
        <v>3.98</v>
      </c>
      <c r="N58" s="169">
        <v>3.66</v>
      </c>
      <c r="O58" s="169">
        <v>3.95</v>
      </c>
      <c r="P58" s="169">
        <v>3.945684</v>
      </c>
      <c r="Q58" s="169">
        <v>48797600</v>
      </c>
      <c r="R58" s="53">
        <f t="shared" si="1"/>
        <v>5.3333201633891658E-2</v>
      </c>
      <c r="S58" s="59">
        <f>(P58/P57)*('16. câmbio USD-BRL'!O649/'16. câmbio USD-BRL'!O648)^-1 -1</f>
        <v>5.5305735719348492E-2</v>
      </c>
    </row>
    <row r="59" spans="1:19" x14ac:dyDescent="0.2">
      <c r="A59" s="354">
        <v>43831</v>
      </c>
      <c r="B59">
        <v>26.1</v>
      </c>
      <c r="C59">
        <v>26.59</v>
      </c>
      <c r="D59">
        <v>22.700001</v>
      </c>
      <c r="E59">
        <v>23.200001</v>
      </c>
      <c r="F59">
        <v>23.17465</v>
      </c>
      <c r="G59">
        <v>214224800</v>
      </c>
      <c r="H59" s="53">
        <f t="shared" si="0"/>
        <v>-0.11111113668183492</v>
      </c>
      <c r="I59" s="53">
        <f t="shared" si="2"/>
        <v>0.18066157683033701</v>
      </c>
      <c r="K59" s="355">
        <v>42485</v>
      </c>
      <c r="L59" s="169">
        <v>3.97</v>
      </c>
      <c r="M59" s="169">
        <v>4.37</v>
      </c>
      <c r="N59" s="169">
        <v>3.92</v>
      </c>
      <c r="O59" s="169">
        <v>4.28</v>
      </c>
      <c r="P59" s="169">
        <v>4.2753230000000002</v>
      </c>
      <c r="Q59" s="169">
        <v>77252800</v>
      </c>
      <c r="R59" s="53">
        <f t="shared" si="1"/>
        <v>8.3544196646259561E-2</v>
      </c>
      <c r="S59" s="59">
        <f>(P59/P58)*('16. câmbio USD-BRL'!O650/'16. câmbio USD-BRL'!O649)^-1 -1</f>
        <v>0.11245722636334099</v>
      </c>
    </row>
    <row r="60" spans="1:19" x14ac:dyDescent="0.2">
      <c r="A60" s="354">
        <v>43862</v>
      </c>
      <c r="B60">
        <v>23.200001</v>
      </c>
      <c r="C60">
        <v>24.450001</v>
      </c>
      <c r="D60">
        <v>20.65</v>
      </c>
      <c r="E60">
        <v>21.120000999999998</v>
      </c>
      <c r="F60">
        <v>21.096924000000001</v>
      </c>
      <c r="G60">
        <v>148510900</v>
      </c>
      <c r="H60" s="53">
        <f t="shared" si="0"/>
        <v>-8.9655118847533743E-2</v>
      </c>
      <c r="I60" s="53">
        <f t="shared" si="2"/>
        <v>8.5303283094127158E-2</v>
      </c>
      <c r="K60" s="355">
        <v>42492</v>
      </c>
      <c r="L60" s="169">
        <v>4.28</v>
      </c>
      <c r="M60" s="169">
        <v>4.5999999999999996</v>
      </c>
      <c r="N60" s="169">
        <v>4.1500000000000004</v>
      </c>
      <c r="O60" s="169">
        <v>4.5</v>
      </c>
      <c r="P60" s="169">
        <v>4.4950830000000002</v>
      </c>
      <c r="Q60" s="169">
        <v>42844200</v>
      </c>
      <c r="R60" s="53">
        <f t="shared" si="1"/>
        <v>5.140196424925092E-2</v>
      </c>
      <c r="S60" s="59">
        <f>(P60/P59)*('16. câmbio USD-BRL'!O651/'16. câmbio USD-BRL'!O650)^-1 -1</f>
        <v>2.155406381784486E-2</v>
      </c>
    </row>
    <row r="61" spans="1:19" x14ac:dyDescent="0.2">
      <c r="A61" s="354">
        <v>43891</v>
      </c>
      <c r="B61">
        <v>21.120000999999998</v>
      </c>
      <c r="C61">
        <v>22.41</v>
      </c>
      <c r="D61">
        <v>13.5</v>
      </c>
      <c r="E61">
        <v>19.649999999999999</v>
      </c>
      <c r="F61">
        <v>19.628529</v>
      </c>
      <c r="G61">
        <v>438560700</v>
      </c>
      <c r="H61" s="53">
        <f t="shared" si="0"/>
        <v>-6.9602326860541464E-2</v>
      </c>
      <c r="I61" s="53">
        <f t="shared" si="2"/>
        <v>2.6109732232725946E-2</v>
      </c>
      <c r="K61" s="355">
        <v>42499</v>
      </c>
      <c r="L61" s="169">
        <v>4.47</v>
      </c>
      <c r="M61" s="169">
        <v>4.5999999999999996</v>
      </c>
      <c r="N61" s="169">
        <v>4.08</v>
      </c>
      <c r="O61" s="169">
        <v>4.4800000000000004</v>
      </c>
      <c r="P61" s="169">
        <v>4.4751050000000001</v>
      </c>
      <c r="Q61" s="169">
        <v>49755200</v>
      </c>
      <c r="R61" s="53">
        <f t="shared" si="1"/>
        <v>-4.4444118162000334E-3</v>
      </c>
      <c r="S61" s="59">
        <f>(P61/P60)*('16. câmbio USD-BRL'!O652/'16. câmbio USD-BRL'!O651)^-1 -1</f>
        <v>1.1589384433057237E-2</v>
      </c>
    </row>
    <row r="62" spans="1:19" x14ac:dyDescent="0.2">
      <c r="A62" s="354">
        <v>43922</v>
      </c>
      <c r="B62">
        <v>18.68</v>
      </c>
      <c r="C62">
        <v>21.889999</v>
      </c>
      <c r="D62">
        <v>18.459999</v>
      </c>
      <c r="E62">
        <v>19.790001</v>
      </c>
      <c r="F62">
        <v>19.768377000000001</v>
      </c>
      <c r="G62">
        <v>211825200</v>
      </c>
      <c r="H62" s="53">
        <f t="shared" si="0"/>
        <v>7.1247315578257808E-3</v>
      </c>
      <c r="I62" s="53">
        <f t="shared" si="2"/>
        <v>9.3370197922890696E-2</v>
      </c>
      <c r="K62" s="355">
        <v>42506</v>
      </c>
      <c r="L62" s="169">
        <v>4.49</v>
      </c>
      <c r="M62" s="169">
        <v>4.5199999999999996</v>
      </c>
      <c r="N62" s="169">
        <v>3.63</v>
      </c>
      <c r="O62" s="169">
        <v>4.0599999999999996</v>
      </c>
      <c r="P62" s="169">
        <v>4.0555640000000004</v>
      </c>
      <c r="Q62" s="169">
        <v>51011000</v>
      </c>
      <c r="R62" s="53">
        <f t="shared" si="1"/>
        <v>-9.374997905077076E-2</v>
      </c>
      <c r="S62" s="59">
        <f>(P62/P61)*('16. câmbio USD-BRL'!O653/'16. câmbio USD-BRL'!O652)^-1 -1</f>
        <v>-0.1141815568429525</v>
      </c>
    </row>
    <row r="63" spans="1:19" x14ac:dyDescent="0.2">
      <c r="A63" s="354">
        <v>43952</v>
      </c>
      <c r="B63">
        <v>19.790001</v>
      </c>
      <c r="C63">
        <v>23.66</v>
      </c>
      <c r="D63">
        <v>18.77</v>
      </c>
      <c r="E63">
        <v>22.530000999999999</v>
      </c>
      <c r="F63">
        <v>22.505382999999998</v>
      </c>
      <c r="G63">
        <v>171576900</v>
      </c>
      <c r="H63" s="53">
        <f t="shared" si="0"/>
        <v>0.1384537536895416</v>
      </c>
      <c r="I63" s="53">
        <f t="shared" si="2"/>
        <v>0.16373970815011396</v>
      </c>
      <c r="K63" s="355">
        <v>42513</v>
      </c>
      <c r="L63" s="169">
        <v>3.94</v>
      </c>
      <c r="M63" s="169">
        <v>4.54</v>
      </c>
      <c r="N63" s="169">
        <v>3.84</v>
      </c>
      <c r="O63" s="169">
        <v>4.4800000000000004</v>
      </c>
      <c r="P63" s="169">
        <v>4.4751050000000001</v>
      </c>
      <c r="Q63" s="169">
        <v>46385700</v>
      </c>
      <c r="R63" s="53">
        <f t="shared" si="1"/>
        <v>0.10344825035432792</v>
      </c>
      <c r="S63" s="59">
        <f>(P63/P62)*('16. câmbio USD-BRL'!O654/'16. câmbio USD-BRL'!O653)^-1 -1</f>
        <v>8.7671163231303417E-2</v>
      </c>
    </row>
    <row r="64" spans="1:19" x14ac:dyDescent="0.2">
      <c r="A64" s="354">
        <v>43983</v>
      </c>
      <c r="B64">
        <v>22.48</v>
      </c>
      <c r="C64">
        <v>24.700001</v>
      </c>
      <c r="D64">
        <v>21.83</v>
      </c>
      <c r="E64">
        <v>22.49</v>
      </c>
      <c r="F64">
        <v>22.465425</v>
      </c>
      <c r="G64">
        <v>188422400</v>
      </c>
      <c r="H64" s="53">
        <f t="shared" si="0"/>
        <v>-1.7754863358689921E-3</v>
      </c>
      <c r="I64" s="53">
        <f t="shared" si="2"/>
        <v>8.4901118192440617E-2</v>
      </c>
      <c r="K64" s="355">
        <v>42520</v>
      </c>
      <c r="L64" s="169">
        <v>4.4800000000000004</v>
      </c>
      <c r="M64" s="169">
        <v>4.96</v>
      </c>
      <c r="N64" s="169">
        <v>4.42</v>
      </c>
      <c r="O64" s="169">
        <v>4.93</v>
      </c>
      <c r="P64" s="169">
        <v>4.9246129999999999</v>
      </c>
      <c r="Q64" s="169">
        <v>54002400</v>
      </c>
      <c r="R64" s="53">
        <f t="shared" si="1"/>
        <v>0.10044635824187353</v>
      </c>
      <c r="S64" s="59">
        <f>(P64/P63)*('16. câmbio USD-BRL'!O655/'16. câmbio USD-BRL'!O654)^-1 -1</f>
        <v>0.10929886379126219</v>
      </c>
    </row>
    <row r="65" spans="1:19" x14ac:dyDescent="0.2">
      <c r="A65" s="354">
        <v>44013</v>
      </c>
      <c r="B65">
        <v>22.5</v>
      </c>
      <c r="C65">
        <v>24.379999000000002</v>
      </c>
      <c r="D65">
        <v>21.719999000000001</v>
      </c>
      <c r="E65">
        <v>22.219999000000001</v>
      </c>
      <c r="F65">
        <v>22.195720999999999</v>
      </c>
      <c r="G65">
        <v>176023800</v>
      </c>
      <c r="H65" s="53">
        <f t="shared" si="0"/>
        <v>-1.2005292577371707E-2</v>
      </c>
      <c r="I65" s="53">
        <f t="shared" si="2"/>
        <v>1.3686122094447084E-2</v>
      </c>
      <c r="K65" s="355">
        <v>42527</v>
      </c>
      <c r="L65" s="169">
        <v>4.9400000000000004</v>
      </c>
      <c r="M65" s="169">
        <v>5.05</v>
      </c>
      <c r="N65" s="169">
        <v>4.5</v>
      </c>
      <c r="O65" s="169">
        <v>4.5</v>
      </c>
      <c r="P65" s="169">
        <v>4.4950830000000002</v>
      </c>
      <c r="Q65" s="169">
        <v>41753600</v>
      </c>
      <c r="R65" s="53">
        <f t="shared" si="1"/>
        <v>-8.7221066914293544E-2</v>
      </c>
      <c r="S65" s="59">
        <f>(P65/P64)*('16. câmbio USD-BRL'!O656/'16. câmbio USD-BRL'!O655)^-1 -1</f>
        <v>-3.771022163781701E-2</v>
      </c>
    </row>
    <row r="66" spans="1:19" x14ac:dyDescent="0.2">
      <c r="A66" s="354">
        <v>44044</v>
      </c>
      <c r="B66">
        <v>22.42</v>
      </c>
      <c r="C66">
        <v>24.35</v>
      </c>
      <c r="D66">
        <v>21.139999</v>
      </c>
      <c r="E66">
        <v>22.6</v>
      </c>
      <c r="F66">
        <v>22.575306000000001</v>
      </c>
      <c r="G66">
        <v>246345400</v>
      </c>
      <c r="H66" s="53">
        <f t="shared" si="0"/>
        <v>1.7101719741386301E-2</v>
      </c>
      <c r="I66" s="53">
        <f t="shared" si="2"/>
        <v>2.2624495880136264E-2</v>
      </c>
      <c r="K66" s="355">
        <v>42534</v>
      </c>
      <c r="L66" s="169">
        <v>4.46</v>
      </c>
      <c r="M66" s="169">
        <v>4.6900000000000004</v>
      </c>
      <c r="N66" s="169">
        <v>4.26</v>
      </c>
      <c r="O66" s="169">
        <v>4.43</v>
      </c>
      <c r="P66" s="169">
        <v>4.4251589999999998</v>
      </c>
      <c r="Q66" s="169">
        <v>44702100</v>
      </c>
      <c r="R66" s="53">
        <f t="shared" si="1"/>
        <v>-1.5555663822002908E-2</v>
      </c>
      <c r="S66" s="59">
        <f>(P66/P65)*('16. câmbio USD-BRL'!O657/'16. câmbio USD-BRL'!O656)^-1 -1</f>
        <v>-2.043057863723019E-2</v>
      </c>
    </row>
    <row r="67" spans="1:19" x14ac:dyDescent="0.2">
      <c r="A67" s="354">
        <v>44075</v>
      </c>
      <c r="B67">
        <v>22.799999</v>
      </c>
      <c r="C67">
        <v>23</v>
      </c>
      <c r="D67">
        <v>18.790001</v>
      </c>
      <c r="E67">
        <v>19.059999000000001</v>
      </c>
      <c r="F67">
        <v>19.039173000000002</v>
      </c>
      <c r="G67">
        <v>195875200</v>
      </c>
      <c r="H67" s="53">
        <f t="shared" si="0"/>
        <v>-0.15663721235938066</v>
      </c>
      <c r="I67" s="53">
        <f t="shared" si="2"/>
        <v>-0.22204085852173983</v>
      </c>
      <c r="K67" s="355">
        <v>42541</v>
      </c>
      <c r="L67" s="169">
        <v>4.47</v>
      </c>
      <c r="M67" s="169">
        <v>4.9400000000000004</v>
      </c>
      <c r="N67" s="169">
        <v>4.46</v>
      </c>
      <c r="O67" s="169">
        <v>4.78</v>
      </c>
      <c r="P67" s="169">
        <v>4.7747770000000003</v>
      </c>
      <c r="Q67" s="169">
        <v>59346000</v>
      </c>
      <c r="R67" s="53">
        <f t="shared" si="1"/>
        <v>7.9006878622892573E-2</v>
      </c>
      <c r="S67" s="59">
        <f>(P67/P66)*('16. câmbio USD-BRL'!O658/'16. câmbio USD-BRL'!O657)^-1 -1</f>
        <v>0.10351653442139863</v>
      </c>
    </row>
    <row r="68" spans="1:19" x14ac:dyDescent="0.2">
      <c r="A68" s="354">
        <v>44105</v>
      </c>
      <c r="B68">
        <v>19.100000000000001</v>
      </c>
      <c r="C68">
        <v>19.739999999999998</v>
      </c>
      <c r="D68">
        <v>17.309999000000001</v>
      </c>
      <c r="E68">
        <v>18.34</v>
      </c>
      <c r="F68">
        <v>18.319959999999998</v>
      </c>
      <c r="G68">
        <v>211854900</v>
      </c>
      <c r="H68" s="53">
        <f t="shared" si="0"/>
        <v>-3.7775432787968466E-2</v>
      </c>
      <c r="I68" s="53">
        <f t="shared" si="2"/>
        <v>-0.19561397904771827</v>
      </c>
      <c r="K68" s="355">
        <v>42548</v>
      </c>
      <c r="L68" s="169">
        <v>4.78</v>
      </c>
      <c r="M68" s="169">
        <v>5.0199999999999996</v>
      </c>
      <c r="N68" s="169">
        <v>4.5999999999999996</v>
      </c>
      <c r="O68" s="169">
        <v>4.8499999999999996</v>
      </c>
      <c r="P68" s="169">
        <v>4.8446999999999996</v>
      </c>
      <c r="Q68" s="169">
        <v>46504400</v>
      </c>
      <c r="R68" s="53">
        <f t="shared" si="1"/>
        <v>1.4644244118625638E-2</v>
      </c>
      <c r="S68" s="59">
        <f>(P68/P67)*('16. câmbio USD-BRL'!O659/'16. câmbio USD-BRL'!O658)^-1 -1</f>
        <v>4.8061611658470227E-2</v>
      </c>
    </row>
    <row r="69" spans="1:19" x14ac:dyDescent="0.2">
      <c r="A69" s="354">
        <v>44136</v>
      </c>
      <c r="B69">
        <v>18.34</v>
      </c>
      <c r="C69">
        <v>20.700001</v>
      </c>
      <c r="D69">
        <v>18.139999</v>
      </c>
      <c r="E69">
        <v>18.959999</v>
      </c>
      <c r="F69">
        <v>18.939281000000001</v>
      </c>
      <c r="G69">
        <v>228631000</v>
      </c>
      <c r="H69" s="53">
        <f t="shared" ref="H69:H97" si="3">F69/F68-1</f>
        <v>3.3805805252850041E-2</v>
      </c>
      <c r="I69" s="53">
        <f t="shared" si="2"/>
        <v>-0.22390514531493622</v>
      </c>
      <c r="K69" s="355">
        <v>42555</v>
      </c>
      <c r="L69" s="169">
        <v>4.97</v>
      </c>
      <c r="M69" s="169">
        <v>5.57</v>
      </c>
      <c r="N69" s="169">
        <v>4.95</v>
      </c>
      <c r="O69" s="169">
        <v>5.54</v>
      </c>
      <c r="P69" s="169">
        <v>5.5339470000000004</v>
      </c>
      <c r="Q69" s="169">
        <v>52676000</v>
      </c>
      <c r="R69" s="53">
        <f t="shared" ref="R69:R132" si="4">P69/P68-1</f>
        <v>0.14226825190414294</v>
      </c>
      <c r="S69" s="59">
        <f>(P69/P68)*('16. câmbio USD-BRL'!O660/'16. câmbio USD-BRL'!O659)^-1 -1</f>
        <v>0.1190259315891451</v>
      </c>
    </row>
    <row r="70" spans="1:19" x14ac:dyDescent="0.2">
      <c r="A70" s="354">
        <v>44166</v>
      </c>
      <c r="B70">
        <v>19.219999000000001</v>
      </c>
      <c r="C70">
        <v>21</v>
      </c>
      <c r="D70">
        <v>18.549999</v>
      </c>
      <c r="E70">
        <v>19.239999999999998</v>
      </c>
      <c r="F70">
        <v>19.218976999999999</v>
      </c>
      <c r="G70">
        <v>223428300</v>
      </c>
      <c r="H70" s="53">
        <f t="shared" si="3"/>
        <v>1.4768036864757361E-2</v>
      </c>
      <c r="I70" s="53">
        <f t="shared" si="2"/>
        <v>-0.26283526958689962</v>
      </c>
      <c r="K70" s="355">
        <v>42562</v>
      </c>
      <c r="L70" s="169">
        <v>5.59</v>
      </c>
      <c r="M70" s="169">
        <v>5.7</v>
      </c>
      <c r="N70" s="169">
        <v>5.0599999999999996</v>
      </c>
      <c r="O70" s="169">
        <v>5.4</v>
      </c>
      <c r="P70" s="169">
        <v>5.3940999999999999</v>
      </c>
      <c r="Q70" s="169">
        <v>68514800</v>
      </c>
      <c r="R70" s="53">
        <f t="shared" si="4"/>
        <v>-2.5270751599175134E-2</v>
      </c>
      <c r="S70" s="59">
        <f>(P70/P69)*('16. câmbio USD-BRL'!O661/'16. câmbio USD-BRL'!O660)^-1 -1</f>
        <v>-1.8993883155893343E-2</v>
      </c>
    </row>
    <row r="71" spans="1:19" x14ac:dyDescent="0.2">
      <c r="A71" s="354">
        <v>44197</v>
      </c>
      <c r="B71">
        <v>19.239999999999998</v>
      </c>
      <c r="C71">
        <v>21.42</v>
      </c>
      <c r="D71">
        <v>18.790001</v>
      </c>
      <c r="E71">
        <v>20.299999</v>
      </c>
      <c r="F71">
        <v>20.277819000000001</v>
      </c>
      <c r="G71">
        <v>232781500</v>
      </c>
      <c r="H71" s="53">
        <f t="shared" si="3"/>
        <v>5.5093567155005241E-2</v>
      </c>
      <c r="I71" s="53">
        <f t="shared" si="2"/>
        <v>-0.12499998921235056</v>
      </c>
      <c r="K71" s="355">
        <v>42569</v>
      </c>
      <c r="L71" s="169">
        <v>5.46</v>
      </c>
      <c r="M71" s="169">
        <v>6.03</v>
      </c>
      <c r="N71" s="169">
        <v>5.38</v>
      </c>
      <c r="O71" s="169">
        <v>6</v>
      </c>
      <c r="P71" s="169">
        <v>5.9934440000000002</v>
      </c>
      <c r="Q71" s="169">
        <v>78201400</v>
      </c>
      <c r="R71" s="53">
        <f t="shared" si="4"/>
        <v>0.11111102871656064</v>
      </c>
      <c r="S71" s="59">
        <f>(P71/P70)*('16. câmbio USD-BRL'!O662/'16. câmbio USD-BRL'!O661)^-1 -1</f>
        <v>0.11383050746273105</v>
      </c>
    </row>
    <row r="72" spans="1:19" x14ac:dyDescent="0.2">
      <c r="A72" s="354">
        <v>44228</v>
      </c>
      <c r="B72">
        <v>20.879999000000002</v>
      </c>
      <c r="C72">
        <v>21.98</v>
      </c>
      <c r="D72">
        <v>18.100000000000001</v>
      </c>
      <c r="E72">
        <v>18.100000000000001</v>
      </c>
      <c r="F72">
        <v>18.080223</v>
      </c>
      <c r="G72">
        <v>267418700</v>
      </c>
      <c r="H72" s="53">
        <f t="shared" si="3"/>
        <v>-0.10837437694852692</v>
      </c>
      <c r="I72" s="53">
        <f t="shared" si="2"/>
        <v>-0.14299245709943309</v>
      </c>
      <c r="K72" s="355">
        <v>42576</v>
      </c>
      <c r="L72" s="169">
        <v>6.06</v>
      </c>
      <c r="M72" s="169">
        <v>6.18</v>
      </c>
      <c r="N72" s="169">
        <v>5.89</v>
      </c>
      <c r="O72" s="169">
        <v>6.12</v>
      </c>
      <c r="P72" s="169">
        <v>6.1133129999999998</v>
      </c>
      <c r="Q72" s="169">
        <v>64820100</v>
      </c>
      <c r="R72" s="53">
        <f t="shared" si="4"/>
        <v>2.0000020021877063E-2</v>
      </c>
      <c r="S72" s="59">
        <f>(P72/P71)*('16. câmbio USD-BRL'!O663/'16. câmbio USD-BRL'!O662)^-1 -1</f>
        <v>2.7038403500556862E-2</v>
      </c>
    </row>
    <row r="73" spans="1:19" x14ac:dyDescent="0.2">
      <c r="A73" s="354">
        <v>44256</v>
      </c>
      <c r="B73">
        <v>18.129999000000002</v>
      </c>
      <c r="C73">
        <v>20.98</v>
      </c>
      <c r="D73">
        <v>17.43</v>
      </c>
      <c r="E73">
        <v>20.25</v>
      </c>
      <c r="F73">
        <v>20.227872999999999</v>
      </c>
      <c r="G73">
        <v>279842600</v>
      </c>
      <c r="H73" s="53">
        <f t="shared" si="3"/>
        <v>0.11878448623117088</v>
      </c>
      <c r="I73" s="53">
        <f t="shared" si="2"/>
        <v>3.0534330922098007E-2</v>
      </c>
      <c r="K73" s="355">
        <v>42583</v>
      </c>
      <c r="L73" s="169">
        <v>6.1</v>
      </c>
      <c r="M73" s="169">
        <v>6.7</v>
      </c>
      <c r="N73" s="169">
        <v>6</v>
      </c>
      <c r="O73" s="169">
        <v>6.66</v>
      </c>
      <c r="P73" s="169">
        <v>6.6527229999999999</v>
      </c>
      <c r="Q73" s="169">
        <v>50984200</v>
      </c>
      <c r="R73" s="53">
        <f t="shared" si="4"/>
        <v>8.8235298928747818E-2</v>
      </c>
      <c r="S73" s="59">
        <f>(P73/P72)*('16. câmbio USD-BRL'!O664/'16. câmbio USD-BRL'!O663)^-1 -1</f>
        <v>0.10848455470284635</v>
      </c>
    </row>
    <row r="74" spans="1:19" x14ac:dyDescent="0.2">
      <c r="A74" s="354">
        <v>44287</v>
      </c>
      <c r="B74">
        <v>20.200001</v>
      </c>
      <c r="C74">
        <v>21.4</v>
      </c>
      <c r="D74">
        <v>19.670000000000002</v>
      </c>
      <c r="E74">
        <v>20</v>
      </c>
      <c r="F74">
        <v>19.978145999999999</v>
      </c>
      <c r="G74">
        <v>166925600</v>
      </c>
      <c r="H74" s="53">
        <f t="shared" si="3"/>
        <v>-1.2345687556966523E-2</v>
      </c>
      <c r="I74" s="53">
        <f t="shared" si="2"/>
        <v>1.061134153805332E-2</v>
      </c>
      <c r="K74" s="355">
        <v>42590</v>
      </c>
      <c r="L74" s="169">
        <v>6.7</v>
      </c>
      <c r="M74" s="169">
        <v>7.14</v>
      </c>
      <c r="N74" s="169">
        <v>6.15</v>
      </c>
      <c r="O74" s="169">
        <v>6.85</v>
      </c>
      <c r="P74" s="169">
        <v>6.8425149999999997</v>
      </c>
      <c r="Q74" s="169">
        <v>52627200</v>
      </c>
      <c r="R74" s="53">
        <f t="shared" si="4"/>
        <v>2.852846871874859E-2</v>
      </c>
      <c r="S74" s="59">
        <f>(P74/P73)*('16. câmbio USD-BRL'!O665/'16. câmbio USD-BRL'!O664)^-1 -1</f>
        <v>2.7367928838671007E-2</v>
      </c>
    </row>
    <row r="75" spans="1:19" x14ac:dyDescent="0.2">
      <c r="A75" s="354">
        <v>44317</v>
      </c>
      <c r="B75">
        <v>20.02</v>
      </c>
      <c r="C75">
        <v>21.65</v>
      </c>
      <c r="D75">
        <v>19.809999000000001</v>
      </c>
      <c r="E75">
        <v>20.67</v>
      </c>
      <c r="F75">
        <v>20.647414999999999</v>
      </c>
      <c r="G75">
        <v>160612200</v>
      </c>
      <c r="H75" s="53">
        <f t="shared" si="3"/>
        <v>3.3500055510656601E-2</v>
      </c>
      <c r="I75" s="53">
        <f t="shared" si="2"/>
        <v>-8.2556604346613383E-2</v>
      </c>
      <c r="K75" s="355">
        <v>42597</v>
      </c>
      <c r="L75" s="169">
        <v>6.97</v>
      </c>
      <c r="M75" s="169">
        <v>7.62</v>
      </c>
      <c r="N75" s="169">
        <v>6.69</v>
      </c>
      <c r="O75" s="169">
        <v>7.57</v>
      </c>
      <c r="P75" s="169">
        <v>7.5617279999999996</v>
      </c>
      <c r="Q75" s="169">
        <v>67559100</v>
      </c>
      <c r="R75" s="53">
        <f t="shared" si="4"/>
        <v>0.10510945171475683</v>
      </c>
      <c r="S75" s="59">
        <f>(P75/P74)*('16. câmbio USD-BRL'!O666/'16. câmbio USD-BRL'!O665)^-1 -1</f>
        <v>0.10028138732904712</v>
      </c>
    </row>
    <row r="76" spans="1:19" x14ac:dyDescent="0.2">
      <c r="A76" s="354">
        <v>44348</v>
      </c>
      <c r="B76">
        <v>20.790001</v>
      </c>
      <c r="C76">
        <v>22</v>
      </c>
      <c r="D76">
        <v>19.149999999999999</v>
      </c>
      <c r="E76">
        <v>19.149999999999999</v>
      </c>
      <c r="F76">
        <v>19.129073999999999</v>
      </c>
      <c r="G76">
        <v>174230700</v>
      </c>
      <c r="H76" s="53">
        <f t="shared" si="3"/>
        <v>-7.3536614631904307E-2</v>
      </c>
      <c r="I76" s="53">
        <f t="shared" si="2"/>
        <v>-0.1485104777675027</v>
      </c>
      <c r="K76" s="355">
        <v>42604</v>
      </c>
      <c r="L76" s="169">
        <v>7.64</v>
      </c>
      <c r="M76" s="169">
        <v>7.75</v>
      </c>
      <c r="N76" s="169">
        <v>7.07</v>
      </c>
      <c r="O76" s="169">
        <v>7.2</v>
      </c>
      <c r="P76" s="169">
        <v>7.192132</v>
      </c>
      <c r="Q76" s="169">
        <v>40622700</v>
      </c>
      <c r="R76" s="53">
        <f t="shared" si="4"/>
        <v>-4.8877187859706073E-2</v>
      </c>
      <c r="S76" s="59">
        <f>(P76/P75)*('16. câmbio USD-BRL'!O667/'16. câmbio USD-BRL'!O666)^-1 -1</f>
        <v>-6.6243971844131111E-2</v>
      </c>
    </row>
    <row r="77" spans="1:19" x14ac:dyDescent="0.2">
      <c r="A77" s="354">
        <v>44378</v>
      </c>
      <c r="B77">
        <v>19.209999</v>
      </c>
      <c r="C77">
        <v>21.860001</v>
      </c>
      <c r="D77">
        <v>19.059999000000001</v>
      </c>
      <c r="E77">
        <v>20.66</v>
      </c>
      <c r="F77">
        <v>20.637423999999999</v>
      </c>
      <c r="G77">
        <v>190111700</v>
      </c>
      <c r="H77" s="53">
        <f t="shared" si="3"/>
        <v>7.8851177009404694E-2</v>
      </c>
      <c r="I77" s="53">
        <f t="shared" ref="I77:I96" si="5">F77/F65-1</f>
        <v>-7.0207090817189455E-2</v>
      </c>
      <c r="K77" s="355">
        <v>42611</v>
      </c>
      <c r="L77" s="169">
        <v>7.21</v>
      </c>
      <c r="M77" s="169">
        <v>7.45</v>
      </c>
      <c r="N77" s="169">
        <v>6.96</v>
      </c>
      <c r="O77" s="169">
        <v>7.21</v>
      </c>
      <c r="P77" s="169">
        <v>7.2021220000000001</v>
      </c>
      <c r="Q77" s="169">
        <v>51580100</v>
      </c>
      <c r="R77" s="53">
        <f t="shared" si="4"/>
        <v>1.3890178878808168E-3</v>
      </c>
      <c r="S77" s="59">
        <f>(P77/P76)*('16. câmbio USD-BRL'!O668/'16. câmbio USD-BRL'!O667)^-1 -1</f>
        <v>3.8493576019875686E-3</v>
      </c>
    </row>
    <row r="78" spans="1:19" x14ac:dyDescent="0.2">
      <c r="A78" s="354">
        <v>44409</v>
      </c>
      <c r="B78">
        <v>20.790001</v>
      </c>
      <c r="C78">
        <v>21.25</v>
      </c>
      <c r="D78">
        <v>17.5</v>
      </c>
      <c r="E78">
        <v>18.719999000000001</v>
      </c>
      <c r="F78">
        <v>18.699545000000001</v>
      </c>
      <c r="G78">
        <v>209559400</v>
      </c>
      <c r="H78" s="53">
        <f t="shared" si="3"/>
        <v>-9.3901205886936179E-2</v>
      </c>
      <c r="I78" s="53">
        <f t="shared" si="5"/>
        <v>-0.17168143811649772</v>
      </c>
      <c r="K78" s="355">
        <v>42618</v>
      </c>
      <c r="L78" s="169">
        <v>7.23</v>
      </c>
      <c r="M78" s="169">
        <v>7.43</v>
      </c>
      <c r="N78" s="169">
        <v>6.96</v>
      </c>
      <c r="O78" s="169">
        <v>6.96</v>
      </c>
      <c r="P78" s="169">
        <v>6.9523950000000001</v>
      </c>
      <c r="Q78" s="169">
        <v>28193300</v>
      </c>
      <c r="R78" s="53">
        <f t="shared" si="4"/>
        <v>-3.4674086331778375E-2</v>
      </c>
      <c r="S78" s="59">
        <f>(P78/P77)*('16. câmbio USD-BRL'!O669/'16. câmbio USD-BRL'!O668)^-1 -1</f>
        <v>-3.9276917964637281E-2</v>
      </c>
    </row>
    <row r="79" spans="1:19" x14ac:dyDescent="0.2">
      <c r="A79" s="354">
        <v>44440</v>
      </c>
      <c r="B79">
        <v>18.739999999999998</v>
      </c>
      <c r="C79">
        <v>19.540001</v>
      </c>
      <c r="D79">
        <v>16.760000000000002</v>
      </c>
      <c r="E79">
        <v>16.790001</v>
      </c>
      <c r="F79">
        <v>16.771654000000002</v>
      </c>
      <c r="G79">
        <v>230575700</v>
      </c>
      <c r="H79" s="53">
        <f t="shared" si="3"/>
        <v>-0.10309828394220277</v>
      </c>
      <c r="I79" s="53">
        <f t="shared" si="5"/>
        <v>-0.11909755744117667</v>
      </c>
      <c r="K79" s="355">
        <v>42625</v>
      </c>
      <c r="L79" s="169">
        <v>6.78</v>
      </c>
      <c r="M79" s="169">
        <v>7.03</v>
      </c>
      <c r="N79" s="169">
        <v>6.4</v>
      </c>
      <c r="O79" s="169">
        <v>6.6</v>
      </c>
      <c r="P79" s="169">
        <v>6.5927879999999996</v>
      </c>
      <c r="Q79" s="169">
        <v>53861000</v>
      </c>
      <c r="R79" s="53">
        <f t="shared" si="4"/>
        <v>-5.1724190009342141E-2</v>
      </c>
      <c r="S79" s="59">
        <f>(P79/P78)*('16. câmbio USD-BRL'!O670/'16. câmbio USD-BRL'!O669)^-1 -1</f>
        <v>-4.9923758215760117E-2</v>
      </c>
    </row>
    <row r="80" spans="1:19" x14ac:dyDescent="0.2">
      <c r="A80" s="354">
        <v>44470</v>
      </c>
      <c r="B80">
        <v>16.739999999999998</v>
      </c>
      <c r="C80">
        <v>18.75</v>
      </c>
      <c r="D80">
        <v>15.63</v>
      </c>
      <c r="E80">
        <v>15.99</v>
      </c>
      <c r="F80">
        <v>15.972528000000001</v>
      </c>
      <c r="G80">
        <v>261038200</v>
      </c>
      <c r="H80" s="53">
        <f t="shared" si="3"/>
        <v>-4.7647417481901377E-2</v>
      </c>
      <c r="I80" s="53">
        <f t="shared" si="5"/>
        <v>-0.12813521426902663</v>
      </c>
      <c r="K80" s="355">
        <v>42632</v>
      </c>
      <c r="L80" s="169">
        <v>6.67</v>
      </c>
      <c r="M80" s="169">
        <v>6.76</v>
      </c>
      <c r="N80" s="169">
        <v>5.96</v>
      </c>
      <c r="O80" s="169">
        <v>6.29</v>
      </c>
      <c r="P80" s="169">
        <v>6.2831270000000004</v>
      </c>
      <c r="Q80" s="169">
        <v>62239900</v>
      </c>
      <c r="R80" s="53">
        <f t="shared" si="4"/>
        <v>-4.6969658360013877E-2</v>
      </c>
      <c r="S80" s="59">
        <f>(P80/P79)*('16. câmbio USD-BRL'!O671/'16. câmbio USD-BRL'!O670)^-1 -1</f>
        <v>-4.0416693196418718E-2</v>
      </c>
    </row>
    <row r="81" spans="1:19" x14ac:dyDescent="0.2">
      <c r="A81" s="354">
        <v>44501</v>
      </c>
      <c r="B81">
        <v>16.23</v>
      </c>
      <c r="C81">
        <v>17.98</v>
      </c>
      <c r="D81">
        <v>16.040001</v>
      </c>
      <c r="E81">
        <v>17.57</v>
      </c>
      <c r="F81">
        <v>17.550802000000001</v>
      </c>
      <c r="G81">
        <v>268080200</v>
      </c>
      <c r="H81" s="53">
        <f t="shared" si="3"/>
        <v>9.8811784834560878E-2</v>
      </c>
      <c r="I81" s="53">
        <f t="shared" si="5"/>
        <v>-7.3312128374883878E-2</v>
      </c>
      <c r="K81" s="355">
        <v>42639</v>
      </c>
      <c r="L81" s="169">
        <v>6.2</v>
      </c>
      <c r="M81" s="169">
        <v>6.48</v>
      </c>
      <c r="N81" s="169">
        <v>6.01</v>
      </c>
      <c r="O81" s="169">
        <v>6.32</v>
      </c>
      <c r="P81" s="169">
        <v>6.3130949999999997</v>
      </c>
      <c r="Q81" s="169">
        <v>33816900</v>
      </c>
      <c r="R81" s="53">
        <f t="shared" si="4"/>
        <v>4.7695995958698667E-3</v>
      </c>
      <c r="S81" s="59">
        <f>(P81/P80)*('16. câmbio USD-BRL'!O672/'16. câmbio USD-BRL'!O671)^-1 -1</f>
        <v>-3.4702576559131337E-4</v>
      </c>
    </row>
    <row r="82" spans="1:19" x14ac:dyDescent="0.2">
      <c r="A82" s="354">
        <v>44531</v>
      </c>
      <c r="B82">
        <v>17.829999999999998</v>
      </c>
      <c r="C82">
        <v>19.129999000000002</v>
      </c>
      <c r="D82">
        <v>17.049999</v>
      </c>
      <c r="E82">
        <v>17.760000000000002</v>
      </c>
      <c r="F82">
        <v>17.740594999999999</v>
      </c>
      <c r="G82">
        <v>239882400</v>
      </c>
      <c r="H82" s="53">
        <f t="shared" si="3"/>
        <v>1.0813921779756708E-2</v>
      </c>
      <c r="I82" s="53">
        <f t="shared" si="5"/>
        <v>-7.6923032896079713E-2</v>
      </c>
      <c r="K82" s="355">
        <v>42646</v>
      </c>
      <c r="L82" s="169">
        <v>6.31</v>
      </c>
      <c r="M82" s="169">
        <v>6.39</v>
      </c>
      <c r="N82" s="169">
        <v>6.1</v>
      </c>
      <c r="O82" s="169">
        <v>6.19</v>
      </c>
      <c r="P82" s="169">
        <v>6.1832370000000001</v>
      </c>
      <c r="Q82" s="169">
        <v>39706300</v>
      </c>
      <c r="R82" s="53">
        <f t="shared" si="4"/>
        <v>-2.056962551648589E-2</v>
      </c>
      <c r="S82" s="59">
        <f>(P82/P81)*('16. câmbio USD-BRL'!O673/'16. câmbio USD-BRL'!O672)^-1 -1</f>
        <v>-8.2480244955863702E-3</v>
      </c>
    </row>
    <row r="83" spans="1:19" x14ac:dyDescent="0.2">
      <c r="A83" s="354">
        <v>44562</v>
      </c>
      <c r="B83">
        <v>17.899999999999999</v>
      </c>
      <c r="C83">
        <v>17.899999999999999</v>
      </c>
      <c r="D83">
        <v>15.39</v>
      </c>
      <c r="E83">
        <v>15.62</v>
      </c>
      <c r="F83">
        <v>15.602931999999999</v>
      </c>
      <c r="G83">
        <v>228186900</v>
      </c>
      <c r="H83" s="53">
        <f t="shared" si="3"/>
        <v>-0.12049556398756633</v>
      </c>
      <c r="I83" s="53">
        <f t="shared" si="5"/>
        <v>-0.23054190393947205</v>
      </c>
      <c r="K83" s="355">
        <v>42653</v>
      </c>
      <c r="L83" s="169">
        <v>6.19</v>
      </c>
      <c r="M83" s="169">
        <v>6.74</v>
      </c>
      <c r="N83" s="169">
        <v>6.11</v>
      </c>
      <c r="O83" s="169">
        <v>6.58</v>
      </c>
      <c r="P83" s="169">
        <v>6.5728099999999996</v>
      </c>
      <c r="Q83" s="169">
        <v>32348700</v>
      </c>
      <c r="R83" s="53">
        <f t="shared" si="4"/>
        <v>6.3004701259227192E-2</v>
      </c>
      <c r="S83" s="59">
        <f>(P83/P82)*('16. câmbio USD-BRL'!O674/'16. câmbio USD-BRL'!O673)^-1 -1</f>
        <v>6.8747980875649484E-2</v>
      </c>
    </row>
    <row r="84" spans="1:19" x14ac:dyDescent="0.2">
      <c r="A84" s="354">
        <v>44593</v>
      </c>
      <c r="B84">
        <v>15.76</v>
      </c>
      <c r="C84">
        <v>16.98</v>
      </c>
      <c r="D84">
        <v>14.72</v>
      </c>
      <c r="E84">
        <v>15.5</v>
      </c>
      <c r="F84">
        <v>15.483064000000001</v>
      </c>
      <c r="G84">
        <v>290608700</v>
      </c>
      <c r="H84" s="53">
        <f t="shared" si="3"/>
        <v>-7.682402256191212E-3</v>
      </c>
      <c r="I84" s="53">
        <f t="shared" si="5"/>
        <v>-0.14364640303385634</v>
      </c>
      <c r="K84" s="355">
        <v>42660</v>
      </c>
      <c r="L84" s="169">
        <v>6.58</v>
      </c>
      <c r="M84" s="169">
        <v>7.07</v>
      </c>
      <c r="N84" s="169">
        <v>6.5</v>
      </c>
      <c r="O84" s="169">
        <v>6.77</v>
      </c>
      <c r="P84" s="169">
        <v>6.7626030000000004</v>
      </c>
      <c r="Q84" s="169">
        <v>38246300</v>
      </c>
      <c r="R84" s="53">
        <f t="shared" si="4"/>
        <v>2.8875473351580361E-2</v>
      </c>
      <c r="S84" s="59">
        <f>(P84/P83)*('16. câmbio USD-BRL'!O675/'16. câmbio USD-BRL'!O674)^-1 -1</f>
        <v>4.622543290411274E-2</v>
      </c>
    </row>
    <row r="85" spans="1:19" x14ac:dyDescent="0.2">
      <c r="A85" s="354">
        <v>44621</v>
      </c>
      <c r="B85">
        <v>15.5</v>
      </c>
      <c r="C85">
        <v>19.23</v>
      </c>
      <c r="D85">
        <v>14.98</v>
      </c>
      <c r="E85">
        <v>18.549999</v>
      </c>
      <c r="F85">
        <v>18.529730000000001</v>
      </c>
      <c r="G85">
        <v>256168700</v>
      </c>
      <c r="H85" s="53">
        <f t="shared" si="3"/>
        <v>0.19677410104356596</v>
      </c>
      <c r="I85" s="53">
        <f t="shared" si="5"/>
        <v>-8.3950645725331507E-2</v>
      </c>
      <c r="K85" s="355">
        <v>42667</v>
      </c>
      <c r="L85" s="169">
        <v>6.81</v>
      </c>
      <c r="M85" s="169">
        <v>6.89</v>
      </c>
      <c r="N85" s="169">
        <v>6.66</v>
      </c>
      <c r="O85" s="169">
        <v>6.85</v>
      </c>
      <c r="P85" s="169">
        <v>6.8425149999999997</v>
      </c>
      <c r="Q85" s="169">
        <v>24860100</v>
      </c>
      <c r="R85" s="53">
        <f t="shared" si="4"/>
        <v>1.1816751626555488E-2</v>
      </c>
      <c r="S85" s="59">
        <f>(P85/P84)*('16. câmbio USD-BRL'!O676/'16. câmbio USD-BRL'!O675)^-1 -1</f>
        <v>-5.3043085770472231E-3</v>
      </c>
    </row>
    <row r="86" spans="1:19" x14ac:dyDescent="0.2">
      <c r="A86" s="354">
        <v>44652</v>
      </c>
      <c r="B86">
        <v>18.700001</v>
      </c>
      <c r="C86">
        <v>19.09</v>
      </c>
      <c r="D86">
        <v>16.370000999999998</v>
      </c>
      <c r="E86">
        <v>16.370000999999998</v>
      </c>
      <c r="F86">
        <v>16.352114</v>
      </c>
      <c r="G86">
        <v>164512300</v>
      </c>
      <c r="H86" s="53">
        <f t="shared" si="3"/>
        <v>-0.11752011497199366</v>
      </c>
      <c r="I86" s="53">
        <f t="shared" si="5"/>
        <v>-0.18149992496801248</v>
      </c>
      <c r="K86" s="355">
        <v>42674</v>
      </c>
      <c r="L86" s="169">
        <v>6.88</v>
      </c>
      <c r="M86" s="169">
        <v>7.28</v>
      </c>
      <c r="N86" s="169">
        <v>6.06</v>
      </c>
      <c r="O86" s="169">
        <v>6.1</v>
      </c>
      <c r="P86" s="169">
        <v>6.0933349999999997</v>
      </c>
      <c r="Q86" s="169">
        <v>42893700</v>
      </c>
      <c r="R86" s="53">
        <f t="shared" si="4"/>
        <v>-0.1094889817559771</v>
      </c>
      <c r="S86" s="59">
        <f>(P86/P85)*('16. câmbio USD-BRL'!O677/'16. câmbio USD-BRL'!O676)^-1 -1</f>
        <v>-0.11753369348840459</v>
      </c>
    </row>
    <row r="87" spans="1:19" x14ac:dyDescent="0.2">
      <c r="A87" s="354">
        <v>44682</v>
      </c>
      <c r="B87">
        <v>16.360001</v>
      </c>
      <c r="C87">
        <v>17.82</v>
      </c>
      <c r="D87">
        <v>14.98</v>
      </c>
      <c r="E87">
        <v>17.68</v>
      </c>
      <c r="F87">
        <v>17.68</v>
      </c>
      <c r="G87">
        <v>266364400</v>
      </c>
      <c r="H87" s="53">
        <f t="shared" si="3"/>
        <v>8.1205769480325207E-2</v>
      </c>
      <c r="I87" s="53">
        <f t="shared" si="5"/>
        <v>-0.14371847516989411</v>
      </c>
      <c r="K87" s="355">
        <v>42681</v>
      </c>
      <c r="L87" s="169">
        <v>6.28</v>
      </c>
      <c r="M87" s="169">
        <v>6.9</v>
      </c>
      <c r="N87" s="169">
        <v>5.19</v>
      </c>
      <c r="O87" s="169">
        <v>5.51</v>
      </c>
      <c r="P87" s="169">
        <v>5.5039800000000003</v>
      </c>
      <c r="Q87" s="169">
        <v>53899700</v>
      </c>
      <c r="R87" s="53">
        <f t="shared" si="4"/>
        <v>-9.6721253632042092E-2</v>
      </c>
      <c r="S87" s="59">
        <f>(P87/P86)*('16. câmbio USD-BRL'!O678/'16. câmbio USD-BRL'!O677)^-1 -1</f>
        <v>-0.13874103484213873</v>
      </c>
    </row>
    <row r="88" spans="1:19" x14ac:dyDescent="0.2">
      <c r="A88" s="354">
        <v>44713</v>
      </c>
      <c r="B88">
        <v>17.68</v>
      </c>
      <c r="C88">
        <v>18.73</v>
      </c>
      <c r="D88">
        <v>15.83</v>
      </c>
      <c r="E88">
        <v>15.97</v>
      </c>
      <c r="F88">
        <v>15.97</v>
      </c>
      <c r="G88">
        <v>217792700</v>
      </c>
      <c r="H88" s="53">
        <f t="shared" si="3"/>
        <v>-9.671945701357465E-2</v>
      </c>
      <c r="I88" s="53">
        <f t="shared" si="5"/>
        <v>-0.16514516071190899</v>
      </c>
      <c r="K88" s="355">
        <v>42688</v>
      </c>
      <c r="L88" s="169">
        <v>5.44</v>
      </c>
      <c r="M88" s="169">
        <v>6</v>
      </c>
      <c r="N88" s="169">
        <v>5.08</v>
      </c>
      <c r="O88" s="169">
        <v>5.75</v>
      </c>
      <c r="P88" s="169">
        <v>5.7437170000000002</v>
      </c>
      <c r="Q88" s="169">
        <v>56606500</v>
      </c>
      <c r="R88" s="53">
        <f t="shared" si="4"/>
        <v>4.3557026006635136E-2</v>
      </c>
      <c r="S88" s="59">
        <f>(P88/P87)*('16. câmbio USD-BRL'!O679/'16. câmbio USD-BRL'!O678)^-1 -1</f>
        <v>4.5932743447504309E-2</v>
      </c>
    </row>
    <row r="89" spans="1:19" x14ac:dyDescent="0.2">
      <c r="A89" s="354">
        <v>44743</v>
      </c>
      <c r="B89">
        <v>15.82</v>
      </c>
      <c r="C89">
        <v>17.73</v>
      </c>
      <c r="D89">
        <v>15.22</v>
      </c>
      <c r="E89">
        <v>17.540001</v>
      </c>
      <c r="F89">
        <v>17.540001</v>
      </c>
      <c r="G89">
        <v>154505500</v>
      </c>
      <c r="H89" s="53">
        <f t="shared" si="3"/>
        <v>9.8309392611145796E-2</v>
      </c>
      <c r="I89" s="53">
        <f t="shared" si="5"/>
        <v>-0.15008767567114967</v>
      </c>
      <c r="K89" s="355">
        <v>42695</v>
      </c>
      <c r="L89" s="169">
        <v>5.87</v>
      </c>
      <c r="M89" s="169">
        <v>6.39</v>
      </c>
      <c r="N89" s="169">
        <v>5.76</v>
      </c>
      <c r="O89" s="169">
        <v>6.18</v>
      </c>
      <c r="P89" s="169">
        <v>6.1732469999999999</v>
      </c>
      <c r="Q89" s="169">
        <v>29060100</v>
      </c>
      <c r="R89" s="53">
        <f t="shared" si="4"/>
        <v>7.4782584169797994E-2</v>
      </c>
      <c r="S89" s="59">
        <f>(P89/P88)*('16. câmbio USD-BRL'!O680/'16. câmbio USD-BRL'!O679)^-1 -1</f>
        <v>6.2624125822130505E-2</v>
      </c>
    </row>
    <row r="90" spans="1:19" x14ac:dyDescent="0.2">
      <c r="A90" s="354">
        <v>44774</v>
      </c>
      <c r="B90">
        <v>17.489999999999998</v>
      </c>
      <c r="C90">
        <v>20.82</v>
      </c>
      <c r="D90">
        <v>17.370000999999998</v>
      </c>
      <c r="E90">
        <v>20.209999</v>
      </c>
      <c r="F90">
        <v>20.209999</v>
      </c>
      <c r="G90">
        <v>235806100</v>
      </c>
      <c r="H90" s="53">
        <f t="shared" si="3"/>
        <v>0.15222336646389012</v>
      </c>
      <c r="I90" s="53">
        <f t="shared" si="5"/>
        <v>8.0774906555213022E-2</v>
      </c>
      <c r="K90" s="355">
        <v>42702</v>
      </c>
      <c r="L90" s="169">
        <v>6.23</v>
      </c>
      <c r="M90" s="169">
        <v>6.72</v>
      </c>
      <c r="N90" s="169">
        <v>5.56</v>
      </c>
      <c r="O90" s="169">
        <v>5.83</v>
      </c>
      <c r="P90" s="169">
        <v>5.8236299999999996</v>
      </c>
      <c r="Q90" s="169">
        <v>50039500</v>
      </c>
      <c r="R90" s="53">
        <f t="shared" si="4"/>
        <v>-5.6634215348908001E-2</v>
      </c>
      <c r="S90" s="59">
        <f>(P90/P89)*('16. câmbio USD-BRL'!O681/'16. câmbio USD-BRL'!O680)^-1 -1</f>
        <v>-7.1213529429480116E-2</v>
      </c>
    </row>
    <row r="91" spans="1:19" x14ac:dyDescent="0.2">
      <c r="A91" s="354">
        <v>44805</v>
      </c>
      <c r="B91">
        <v>20.5</v>
      </c>
      <c r="C91">
        <v>20.91</v>
      </c>
      <c r="D91">
        <v>17.98</v>
      </c>
      <c r="E91">
        <v>18.48</v>
      </c>
      <c r="F91">
        <v>18.48</v>
      </c>
      <c r="G91">
        <v>271635800</v>
      </c>
      <c r="H91" s="53">
        <f t="shared" si="3"/>
        <v>-8.5601142286053533E-2</v>
      </c>
      <c r="I91" s="53">
        <f t="shared" si="5"/>
        <v>0.10185912492590177</v>
      </c>
      <c r="K91" s="355">
        <v>42709</v>
      </c>
      <c r="L91" s="169">
        <v>5.89</v>
      </c>
      <c r="M91" s="169">
        <v>6.14</v>
      </c>
      <c r="N91" s="169">
        <v>5.71</v>
      </c>
      <c r="O91" s="169">
        <v>6.02</v>
      </c>
      <c r="P91" s="169">
        <v>6.0134220000000003</v>
      </c>
      <c r="Q91" s="169">
        <v>25784900</v>
      </c>
      <c r="R91" s="53">
        <f t="shared" si="4"/>
        <v>3.2589982536665341E-2</v>
      </c>
      <c r="S91" s="59">
        <f>(P91/P90)*('16. câmbio USD-BRL'!O682/'16. câmbio USD-BRL'!O681)^-1 -1</f>
        <v>6.2463847296461816E-2</v>
      </c>
    </row>
    <row r="92" spans="1:19" x14ac:dyDescent="0.2">
      <c r="A92" s="354">
        <v>44835</v>
      </c>
      <c r="B92">
        <v>18.950001</v>
      </c>
      <c r="C92">
        <v>22.299999</v>
      </c>
      <c r="D92">
        <v>18.07</v>
      </c>
      <c r="E92">
        <v>22.139999</v>
      </c>
      <c r="F92">
        <v>22.139999</v>
      </c>
      <c r="G92">
        <v>282972200</v>
      </c>
      <c r="H92" s="53">
        <f t="shared" si="3"/>
        <v>0.19805189393939382</v>
      </c>
      <c r="I92" s="53">
        <f t="shared" si="5"/>
        <v>0.38612992257706469</v>
      </c>
      <c r="K92" s="355">
        <v>42716</v>
      </c>
      <c r="L92" s="169">
        <v>5.9</v>
      </c>
      <c r="M92" s="169">
        <v>6.08</v>
      </c>
      <c r="N92" s="169">
        <v>5.65</v>
      </c>
      <c r="O92" s="169">
        <v>5.94</v>
      </c>
      <c r="P92" s="169">
        <v>5.9335089999999999</v>
      </c>
      <c r="Q92" s="169">
        <v>38047000</v>
      </c>
      <c r="R92" s="53">
        <f t="shared" si="4"/>
        <v>-1.3289105604097018E-2</v>
      </c>
      <c r="S92" s="59">
        <f>(P92/P91)*('16. câmbio USD-BRL'!O683/'16. câmbio USD-BRL'!O682)^-1 -1</f>
        <v>-1.7188918601060643E-2</v>
      </c>
    </row>
    <row r="93" spans="1:19" x14ac:dyDescent="0.2">
      <c r="A93" s="354">
        <v>44866</v>
      </c>
      <c r="B93">
        <v>22.34</v>
      </c>
      <c r="C93">
        <v>22.34</v>
      </c>
      <c r="D93">
        <v>18</v>
      </c>
      <c r="E93">
        <v>19.459999</v>
      </c>
      <c r="F93">
        <v>19.459999</v>
      </c>
      <c r="G93">
        <v>287666600</v>
      </c>
      <c r="H93" s="53">
        <f t="shared" si="3"/>
        <v>-0.12104788261282218</v>
      </c>
      <c r="I93" s="53">
        <f t="shared" si="5"/>
        <v>0.10878118276304405</v>
      </c>
      <c r="K93" s="355">
        <v>42723</v>
      </c>
      <c r="L93" s="169">
        <v>5.95</v>
      </c>
      <c r="M93" s="169">
        <v>6</v>
      </c>
      <c r="N93" s="169">
        <v>5.81</v>
      </c>
      <c r="O93" s="169">
        <v>5.92</v>
      </c>
      <c r="P93" s="169">
        <v>5.9135309999999999</v>
      </c>
      <c r="Q93" s="169">
        <v>34120000</v>
      </c>
      <c r="R93" s="53">
        <f t="shared" si="4"/>
        <v>-3.3669789664092509E-3</v>
      </c>
      <c r="S93" s="59">
        <f>(P93/P92)*('16. câmbio USD-BRL'!O684/'16. câmbio USD-BRL'!O683)^-1 -1</f>
        <v>3.3486647656304047E-2</v>
      </c>
    </row>
    <row r="94" spans="1:19" x14ac:dyDescent="0.2">
      <c r="A94" s="354">
        <v>44896</v>
      </c>
      <c r="B94">
        <v>19.129999000000002</v>
      </c>
      <c r="C94">
        <v>19.549999</v>
      </c>
      <c r="D94">
        <v>16.209999</v>
      </c>
      <c r="E94">
        <v>18.610001</v>
      </c>
      <c r="F94">
        <v>18.610001</v>
      </c>
      <c r="G94">
        <v>231241800</v>
      </c>
      <c r="H94" s="53">
        <f t="shared" si="3"/>
        <v>-4.3679241710135708E-2</v>
      </c>
      <c r="I94" s="53">
        <f t="shared" si="5"/>
        <v>4.9006586306716393E-2</v>
      </c>
      <c r="K94" s="355">
        <v>42730</v>
      </c>
      <c r="L94" s="169">
        <v>5.96</v>
      </c>
      <c r="M94" s="169">
        <v>6.27</v>
      </c>
      <c r="N94" s="169">
        <v>5.91</v>
      </c>
      <c r="O94" s="169">
        <v>6.14</v>
      </c>
      <c r="P94" s="169">
        <v>6.1332909999999998</v>
      </c>
      <c r="Q94" s="169">
        <v>18699200</v>
      </c>
      <c r="R94" s="53">
        <f t="shared" si="4"/>
        <v>3.7162230146421837E-2</v>
      </c>
      <c r="S94" s="59">
        <f>(P94/P93)*('16. câmbio USD-BRL'!O685/'16. câmbio USD-BRL'!O684)^-1 -1</f>
        <v>4.2358880936839372E-2</v>
      </c>
    </row>
    <row r="95" spans="1:19" x14ac:dyDescent="0.2">
      <c r="A95" s="354">
        <v>44927</v>
      </c>
      <c r="B95">
        <v>18.309999000000001</v>
      </c>
      <c r="C95">
        <v>19.25</v>
      </c>
      <c r="D95">
        <v>17.110001</v>
      </c>
      <c r="E95">
        <v>18.379999000000002</v>
      </c>
      <c r="F95">
        <v>18.379999000000002</v>
      </c>
      <c r="G95">
        <v>186687600</v>
      </c>
      <c r="H95" s="53">
        <f t="shared" si="3"/>
        <v>-1.235905360778855E-2</v>
      </c>
      <c r="I95" s="53">
        <f t="shared" si="5"/>
        <v>0.17798366358322926</v>
      </c>
      <c r="K95" s="355">
        <v>42737</v>
      </c>
      <c r="L95" s="169">
        <v>6.14</v>
      </c>
      <c r="M95" s="169">
        <v>6.43</v>
      </c>
      <c r="N95" s="169">
        <v>6.06</v>
      </c>
      <c r="O95" s="169">
        <v>6.35</v>
      </c>
      <c r="P95" s="169">
        <v>6.3430609999999996</v>
      </c>
      <c r="Q95" s="169">
        <v>38239700</v>
      </c>
      <c r="R95" s="53">
        <f t="shared" si="4"/>
        <v>3.4201866502013401E-2</v>
      </c>
      <c r="S95" s="59">
        <f>(P95/P94)*('16. câmbio USD-BRL'!O686/'16. câmbio USD-BRL'!O685)^-1 -1</f>
        <v>4.415167031976619E-2</v>
      </c>
    </row>
    <row r="96" spans="1:19" x14ac:dyDescent="0.2">
      <c r="A96" s="354">
        <v>44958</v>
      </c>
      <c r="B96">
        <v>18.329999999999998</v>
      </c>
      <c r="C96">
        <v>18.670000000000002</v>
      </c>
      <c r="D96">
        <v>16.93</v>
      </c>
      <c r="E96">
        <v>17.959999</v>
      </c>
      <c r="F96">
        <v>17.959999</v>
      </c>
      <c r="G96">
        <v>189853400</v>
      </c>
      <c r="H96" s="53">
        <f t="shared" si="3"/>
        <v>-2.2850926161639196E-2</v>
      </c>
      <c r="I96" s="53">
        <f t="shared" si="5"/>
        <v>0.15997705622091329</v>
      </c>
      <c r="K96" s="355">
        <v>42744</v>
      </c>
      <c r="L96" s="169">
        <v>6.35</v>
      </c>
      <c r="M96" s="169">
        <v>6.99</v>
      </c>
      <c r="N96" s="169">
        <v>6.28</v>
      </c>
      <c r="O96" s="169">
        <v>6.75</v>
      </c>
      <c r="P96" s="169">
        <v>6.7426240000000002</v>
      </c>
      <c r="Q96" s="169">
        <v>45011700</v>
      </c>
      <c r="R96" s="53">
        <f t="shared" si="4"/>
        <v>6.2992142121918837E-2</v>
      </c>
      <c r="S96" s="59">
        <f>(P96/P95)*('16. câmbio USD-BRL'!O687/'16. câmbio USD-BRL'!O686)^-1 -1</f>
        <v>7.4800200936753658E-2</v>
      </c>
    </row>
    <row r="97" spans="1:19" x14ac:dyDescent="0.2">
      <c r="A97" s="354">
        <v>44986</v>
      </c>
      <c r="B97">
        <v>18.059999000000001</v>
      </c>
      <c r="C97">
        <v>19.100000000000001</v>
      </c>
      <c r="D97">
        <v>17.16</v>
      </c>
      <c r="E97">
        <v>19</v>
      </c>
      <c r="F97">
        <v>19</v>
      </c>
      <c r="G97">
        <v>75695000</v>
      </c>
      <c r="H97" s="53">
        <f t="shared" si="3"/>
        <v>5.7906517700808235E-2</v>
      </c>
      <c r="I97" s="53">
        <f>F97/F85-1</f>
        <v>2.5379214915705717E-2</v>
      </c>
      <c r="K97" s="355">
        <v>42751</v>
      </c>
      <c r="L97" s="169">
        <v>6.8</v>
      </c>
      <c r="M97" s="169">
        <v>7.27</v>
      </c>
      <c r="N97" s="169">
        <v>6.66</v>
      </c>
      <c r="O97" s="169">
        <v>7.26</v>
      </c>
      <c r="P97" s="169">
        <v>7.2520680000000004</v>
      </c>
      <c r="Q97" s="169">
        <v>34973200</v>
      </c>
      <c r="R97" s="53">
        <f t="shared" si="4"/>
        <v>7.5555748029253911E-2</v>
      </c>
      <c r="S97" s="59">
        <f>(P97/P96)*('16. câmbio USD-BRL'!O688/'16. câmbio USD-BRL'!O687)^-1 -1</f>
        <v>9.0787339789207389E-2</v>
      </c>
    </row>
    <row r="98" spans="1:19" x14ac:dyDescent="0.2">
      <c r="A98" s="52"/>
      <c r="B98" s="51"/>
      <c r="C98" s="51"/>
      <c r="D98" s="51"/>
      <c r="E98" s="51"/>
      <c r="F98" s="51"/>
      <c r="G98" s="51"/>
      <c r="H98" s="53"/>
      <c r="I98" s="53"/>
      <c r="K98" s="355">
        <v>42758</v>
      </c>
      <c r="L98" s="169">
        <v>7.28</v>
      </c>
      <c r="M98" s="169">
        <v>7.7</v>
      </c>
      <c r="N98" s="169">
        <v>7.21</v>
      </c>
      <c r="O98" s="169">
        <v>7.67</v>
      </c>
      <c r="P98" s="169">
        <v>7.661619</v>
      </c>
      <c r="Q98" s="169">
        <v>46329200</v>
      </c>
      <c r="R98" s="53">
        <f t="shared" si="4"/>
        <v>5.6473684471794794E-2</v>
      </c>
      <c r="S98" s="59">
        <f>(P98/P97)*('16. câmbio USD-BRL'!O689/'16. câmbio USD-BRL'!O688)^-1 -1</f>
        <v>6.7583373654399592E-2</v>
      </c>
    </row>
    <row r="99" spans="1:19" x14ac:dyDescent="0.2">
      <c r="A99" s="52"/>
      <c r="B99" s="51"/>
      <c r="C99" s="51"/>
      <c r="D99" s="51"/>
      <c r="E99" s="51"/>
      <c r="F99" s="51"/>
      <c r="G99" s="51"/>
      <c r="H99" s="53"/>
      <c r="I99" s="53"/>
      <c r="K99" s="355">
        <v>42765</v>
      </c>
      <c r="L99" s="169">
        <v>7.63</v>
      </c>
      <c r="M99" s="169">
        <v>7.87</v>
      </c>
      <c r="N99" s="169">
        <v>7.08</v>
      </c>
      <c r="O99" s="169">
        <v>7.75</v>
      </c>
      <c r="P99" s="169">
        <v>7.7415320000000003</v>
      </c>
      <c r="Q99" s="169">
        <v>67786500</v>
      </c>
      <c r="R99" s="53">
        <f t="shared" si="4"/>
        <v>1.043030200274897E-2</v>
      </c>
      <c r="S99" s="59">
        <f>(P99/P98)*('16. câmbio USD-BRL'!O690/'16. câmbio USD-BRL'!O689)^-1 -1</f>
        <v>7.223615036944242E-3</v>
      </c>
    </row>
    <row r="100" spans="1:19" x14ac:dyDescent="0.2">
      <c r="A100" s="52"/>
      <c r="B100" s="51"/>
      <c r="C100" s="51"/>
      <c r="D100" s="51"/>
      <c r="E100" s="51"/>
      <c r="F100" s="51"/>
      <c r="G100" s="51"/>
      <c r="H100" s="53"/>
      <c r="I100" s="53"/>
      <c r="K100" s="355">
        <v>42772</v>
      </c>
      <c r="L100" s="169">
        <v>7.81</v>
      </c>
      <c r="M100" s="169">
        <v>8.4</v>
      </c>
      <c r="N100" s="169">
        <v>7.77</v>
      </c>
      <c r="O100" s="169">
        <v>8.34</v>
      </c>
      <c r="P100" s="169">
        <v>8.3308870000000006</v>
      </c>
      <c r="Q100" s="169">
        <v>42155600</v>
      </c>
      <c r="R100" s="53">
        <f t="shared" si="4"/>
        <v>7.6128988422446753E-2</v>
      </c>
      <c r="S100" s="59">
        <f>(P100/P99)*('16. câmbio USD-BRL'!O691/'16. câmbio USD-BRL'!O690)^-1 -1</f>
        <v>8.0423668174124607E-2</v>
      </c>
    </row>
    <row r="101" spans="1:19" x14ac:dyDescent="0.2">
      <c r="A101" s="52"/>
      <c r="B101" s="51"/>
      <c r="C101" s="51"/>
      <c r="D101" s="51"/>
      <c r="E101" s="51"/>
      <c r="F101" s="51"/>
      <c r="G101" s="51"/>
      <c r="H101" s="53"/>
      <c r="I101" s="53"/>
      <c r="K101" s="355">
        <v>42779</v>
      </c>
      <c r="L101" s="169">
        <v>8.48</v>
      </c>
      <c r="M101" s="169">
        <v>9.24</v>
      </c>
      <c r="N101" s="169">
        <v>8.4499999999999993</v>
      </c>
      <c r="O101" s="169">
        <v>9.15</v>
      </c>
      <c r="P101" s="169">
        <v>9.1400009999999998</v>
      </c>
      <c r="Q101" s="169">
        <v>49405500</v>
      </c>
      <c r="R101" s="53">
        <f t="shared" si="4"/>
        <v>9.712219119044585E-2</v>
      </c>
      <c r="S101" s="59">
        <f>(P101/P100)*('16. câmbio USD-BRL'!O692/'16. câmbio USD-BRL'!O691)^-1 -1</f>
        <v>0.10123351970532535</v>
      </c>
    </row>
    <row r="102" spans="1:19" x14ac:dyDescent="0.2">
      <c r="A102" s="52"/>
      <c r="B102" s="51"/>
      <c r="C102" s="51"/>
      <c r="D102" s="51"/>
      <c r="E102" s="51"/>
      <c r="F102" s="51"/>
      <c r="G102" s="51"/>
      <c r="H102" s="53"/>
      <c r="I102" s="53"/>
      <c r="K102" s="355">
        <v>42786</v>
      </c>
      <c r="L102" s="169">
        <v>9.25</v>
      </c>
      <c r="M102" s="169">
        <v>9.51</v>
      </c>
      <c r="N102" s="169">
        <v>8.2799999999999994</v>
      </c>
      <c r="O102" s="169">
        <v>8.58</v>
      </c>
      <c r="P102" s="169">
        <v>8.5706240000000005</v>
      </c>
      <c r="Q102" s="169">
        <v>53667400</v>
      </c>
      <c r="R102" s="53">
        <f t="shared" si="4"/>
        <v>-6.2295069770780032E-2</v>
      </c>
      <c r="S102" s="59">
        <f>(P102/P101)*('16. câmbio USD-BRL'!O693/'16. câmbio USD-BRL'!O692)^-1 -1</f>
        <v>-6.2022357808908857E-2</v>
      </c>
    </row>
    <row r="103" spans="1:19" x14ac:dyDescent="0.2">
      <c r="A103" s="52"/>
      <c r="B103" s="51"/>
      <c r="C103" s="51"/>
      <c r="D103" s="51"/>
      <c r="E103" s="51"/>
      <c r="F103" s="51"/>
      <c r="G103" s="51"/>
      <c r="H103" s="53"/>
      <c r="I103" s="53"/>
      <c r="K103" s="355">
        <v>42793</v>
      </c>
      <c r="L103" s="169">
        <v>8.58</v>
      </c>
      <c r="M103" s="169">
        <v>8.8699999999999992</v>
      </c>
      <c r="N103" s="169">
        <v>8.1300000000000008</v>
      </c>
      <c r="O103" s="169">
        <v>8.49</v>
      </c>
      <c r="P103" s="169">
        <v>8.4807229999999993</v>
      </c>
      <c r="Q103" s="169">
        <v>22349800</v>
      </c>
      <c r="R103" s="53">
        <f t="shared" si="4"/>
        <v>-1.0489434608262016E-2</v>
      </c>
      <c r="S103" s="59">
        <f>(P103/P102)*('16. câmbio USD-BRL'!O694/'16. câmbio USD-BRL'!O693)^-1 -1</f>
        <v>-1.8545065493182022E-2</v>
      </c>
    </row>
    <row r="104" spans="1:19" x14ac:dyDescent="0.2">
      <c r="A104" s="52"/>
      <c r="B104" s="51"/>
      <c r="C104" s="51"/>
      <c r="D104" s="51"/>
      <c r="E104" s="51"/>
      <c r="F104" s="51"/>
      <c r="G104" s="51"/>
      <c r="H104" s="53"/>
      <c r="I104" s="53"/>
      <c r="K104" s="355">
        <v>42800</v>
      </c>
      <c r="L104" s="169">
        <v>8.49</v>
      </c>
      <c r="M104" s="169">
        <v>8.8699999999999992</v>
      </c>
      <c r="N104" s="169">
        <v>7.86</v>
      </c>
      <c r="O104" s="169">
        <v>8.41</v>
      </c>
      <c r="P104" s="169">
        <v>8.4008099999999999</v>
      </c>
      <c r="Q104" s="169">
        <v>36558600</v>
      </c>
      <c r="R104" s="53">
        <f t="shared" si="4"/>
        <v>-9.4228994391161169E-3</v>
      </c>
      <c r="S104" s="59">
        <f>(P104/P103)*('16. câmbio USD-BRL'!O695/'16. câmbio USD-BRL'!O694)^-1 -1</f>
        <v>-1.8077663621935525E-2</v>
      </c>
    </row>
    <row r="105" spans="1:19" x14ac:dyDescent="0.2">
      <c r="A105" s="52"/>
      <c r="B105" s="51"/>
      <c r="C105" s="51"/>
      <c r="D105" s="51"/>
      <c r="E105" s="51"/>
      <c r="F105" s="51"/>
      <c r="G105" s="51"/>
      <c r="H105" s="53"/>
      <c r="I105" s="53"/>
      <c r="K105" s="355">
        <v>42807</v>
      </c>
      <c r="L105" s="169">
        <v>8.41</v>
      </c>
      <c r="M105" s="169">
        <v>8.41</v>
      </c>
      <c r="N105" s="169">
        <v>8.41</v>
      </c>
      <c r="O105" s="169">
        <v>8.41</v>
      </c>
      <c r="P105" s="169">
        <v>8.4008099999999999</v>
      </c>
      <c r="Q105" s="169">
        <v>0</v>
      </c>
      <c r="R105" s="53">
        <f t="shared" si="4"/>
        <v>0</v>
      </c>
      <c r="S105" s="59">
        <f>(P105/P104)*('16. câmbio USD-BRL'!O696/'16. câmbio USD-BRL'!O695)^-1 -1</f>
        <v>1.9730447741851842E-2</v>
      </c>
    </row>
    <row r="106" spans="1:19" x14ac:dyDescent="0.2">
      <c r="A106" s="52"/>
      <c r="B106" s="51"/>
      <c r="C106" s="51"/>
      <c r="D106" s="51"/>
      <c r="E106" s="51"/>
      <c r="F106" s="51"/>
      <c r="G106" s="51"/>
      <c r="H106" s="53"/>
      <c r="I106" s="53"/>
      <c r="K106" s="355">
        <v>42814</v>
      </c>
      <c r="L106" s="169">
        <v>8.41</v>
      </c>
      <c r="M106" s="169">
        <v>8.9600000000000009</v>
      </c>
      <c r="N106" s="169">
        <v>8.16</v>
      </c>
      <c r="O106" s="169">
        <v>8.5500000000000007</v>
      </c>
      <c r="P106" s="169">
        <v>8.5406580000000005</v>
      </c>
      <c r="Q106" s="169">
        <v>26110200</v>
      </c>
      <c r="R106" s="53">
        <f t="shared" si="4"/>
        <v>1.6646966185403622E-2</v>
      </c>
      <c r="S106" s="59">
        <f>(P106/P105)*('16. câmbio USD-BRL'!O697/'16. câmbio USD-BRL'!O696)^-1 -1</f>
        <v>9.0949370768453885E-3</v>
      </c>
    </row>
    <row r="107" spans="1:19" x14ac:dyDescent="0.2">
      <c r="A107" s="52"/>
      <c r="B107" s="51"/>
      <c r="C107" s="51"/>
      <c r="D107" s="51"/>
      <c r="E107" s="51"/>
      <c r="F107" s="51"/>
      <c r="G107" s="51"/>
      <c r="H107" s="53"/>
      <c r="I107" s="53"/>
      <c r="K107" s="355">
        <v>42821</v>
      </c>
      <c r="L107" s="169">
        <v>8.4499999999999993</v>
      </c>
      <c r="M107" s="169">
        <v>8.6</v>
      </c>
      <c r="N107" s="169">
        <v>8.2799999999999994</v>
      </c>
      <c r="O107" s="169">
        <v>8.5500000000000007</v>
      </c>
      <c r="P107" s="169">
        <v>8.5406580000000005</v>
      </c>
      <c r="Q107" s="169">
        <v>16717400</v>
      </c>
      <c r="R107" s="53">
        <f t="shared" si="4"/>
        <v>0</v>
      </c>
      <c r="S107" s="59">
        <f>(P107/P106)*('16. câmbio USD-BRL'!O698/'16. câmbio USD-BRL'!O697)^-1 -1</f>
        <v>-3.8759689922480689E-3</v>
      </c>
    </row>
    <row r="108" spans="1:19" x14ac:dyDescent="0.2">
      <c r="A108" s="52"/>
      <c r="B108" s="51"/>
      <c r="C108" s="51"/>
      <c r="D108" s="51"/>
      <c r="E108" s="51"/>
      <c r="F108" s="51"/>
      <c r="G108" s="51"/>
      <c r="H108" s="53"/>
      <c r="I108" s="53"/>
      <c r="K108" s="355">
        <v>42828</v>
      </c>
      <c r="L108" s="169">
        <v>8.5500000000000007</v>
      </c>
      <c r="M108" s="169">
        <v>9.0399999999999991</v>
      </c>
      <c r="N108" s="169">
        <v>8.4600000000000009</v>
      </c>
      <c r="O108" s="169">
        <v>8.75</v>
      </c>
      <c r="P108" s="169">
        <v>8.7404390000000003</v>
      </c>
      <c r="Q108" s="169">
        <v>70642700</v>
      </c>
      <c r="R108" s="53">
        <f t="shared" si="4"/>
        <v>2.339175740323518E-2</v>
      </c>
      <c r="S108" s="59">
        <f>(P108/P107)*('16. câmbio USD-BRL'!O699/'16. câmbio USD-BRL'!O698)^-1 -1</f>
        <v>1.5939322753019125E-2</v>
      </c>
    </row>
    <row r="109" spans="1:19" x14ac:dyDescent="0.2">
      <c r="A109" s="52"/>
      <c r="B109" s="51"/>
      <c r="C109" s="51"/>
      <c r="D109" s="51"/>
      <c r="E109" s="51"/>
      <c r="F109" s="51"/>
      <c r="G109" s="51"/>
      <c r="H109" s="53"/>
      <c r="I109" s="53"/>
      <c r="K109" s="355">
        <v>42835</v>
      </c>
      <c r="L109" s="169">
        <v>8.82</v>
      </c>
      <c r="M109" s="169">
        <v>8.99</v>
      </c>
      <c r="N109" s="169">
        <v>8.61</v>
      </c>
      <c r="O109" s="169">
        <v>8.61</v>
      </c>
      <c r="P109" s="169">
        <v>8.6005920000000007</v>
      </c>
      <c r="Q109" s="169">
        <v>29865100</v>
      </c>
      <c r="R109" s="53">
        <f t="shared" si="4"/>
        <v>-1.5999997254142473E-2</v>
      </c>
      <c r="S109" s="59">
        <f>(P109/P108)*('16. câmbio USD-BRL'!O700/'16. câmbio USD-BRL'!O699)^-1 -1</f>
        <v>-1.5686990286955527E-2</v>
      </c>
    </row>
    <row r="110" spans="1:19" x14ac:dyDescent="0.2">
      <c r="A110" s="52"/>
      <c r="B110" s="51"/>
      <c r="C110" s="51"/>
      <c r="D110" s="51"/>
      <c r="E110" s="51"/>
      <c r="F110" s="51"/>
      <c r="G110" s="51"/>
      <c r="H110" s="53"/>
      <c r="I110" s="53"/>
      <c r="K110" s="355">
        <v>42842</v>
      </c>
      <c r="L110" s="169">
        <v>8.65</v>
      </c>
      <c r="M110" s="169">
        <v>9.18</v>
      </c>
      <c r="N110" s="169">
        <v>8.56</v>
      </c>
      <c r="O110" s="169">
        <v>8.69</v>
      </c>
      <c r="P110" s="169">
        <v>8.6805040000000009</v>
      </c>
      <c r="Q110" s="169">
        <v>21937100</v>
      </c>
      <c r="R110" s="53">
        <f t="shared" si="4"/>
        <v>9.291453425531726E-3</v>
      </c>
      <c r="S110" s="59">
        <f>(P110/P109)*('16. câmbio USD-BRL'!O701/'16. câmbio USD-BRL'!O700)^-1 -1</f>
        <v>8.2971724081111198E-3</v>
      </c>
    </row>
    <row r="111" spans="1:19" x14ac:dyDescent="0.2">
      <c r="A111" s="52"/>
      <c r="B111" s="51"/>
      <c r="C111" s="51"/>
      <c r="D111" s="51"/>
      <c r="E111" s="51"/>
      <c r="F111" s="51"/>
      <c r="G111" s="51"/>
      <c r="H111" s="53"/>
      <c r="I111" s="53"/>
      <c r="K111" s="355">
        <v>42849</v>
      </c>
      <c r="L111" s="169">
        <v>8.8699999999999992</v>
      </c>
      <c r="M111" s="169">
        <v>8.89</v>
      </c>
      <c r="N111" s="169">
        <v>8.32</v>
      </c>
      <c r="O111" s="169">
        <v>8.73</v>
      </c>
      <c r="P111" s="169">
        <v>8.7204610000000002</v>
      </c>
      <c r="Q111" s="169">
        <v>25475600</v>
      </c>
      <c r="R111" s="53">
        <f t="shared" si="4"/>
        <v>4.6030737385753806E-3</v>
      </c>
      <c r="S111" s="59">
        <f>(P111/P110)*('16. câmbio USD-BRL'!O702/'16. câmbio USD-BRL'!O701)^-1 -1</f>
        <v>-4.6645406503105225E-3</v>
      </c>
    </row>
    <row r="112" spans="1:19" x14ac:dyDescent="0.2">
      <c r="A112" s="52"/>
      <c r="B112" s="51"/>
      <c r="C112" s="51"/>
      <c r="D112" s="51"/>
      <c r="E112" s="51"/>
      <c r="F112" s="51"/>
      <c r="G112" s="51"/>
      <c r="H112" s="53"/>
      <c r="I112" s="53"/>
      <c r="K112" s="355">
        <v>42856</v>
      </c>
      <c r="L112" s="169">
        <v>8.73</v>
      </c>
      <c r="M112" s="169">
        <v>9.5</v>
      </c>
      <c r="N112" s="169">
        <v>8.73</v>
      </c>
      <c r="O112" s="169">
        <v>9.23</v>
      </c>
      <c r="P112" s="169">
        <v>9.2199139999999993</v>
      </c>
      <c r="Q112" s="169">
        <v>28137600</v>
      </c>
      <c r="R112" s="53">
        <f t="shared" si="4"/>
        <v>5.7273692296771817E-2</v>
      </c>
      <c r="S112" s="59">
        <f>(P112/P111)*('16. câmbio USD-BRL'!O703/'16. câmbio USD-BRL'!O702)^-1 -1</f>
        <v>5.6741345659998332E-2</v>
      </c>
    </row>
    <row r="113" spans="1:19" x14ac:dyDescent="0.2">
      <c r="A113" s="52"/>
      <c r="B113" s="51"/>
      <c r="C113" s="51"/>
      <c r="D113" s="51"/>
      <c r="E113" s="51"/>
      <c r="F113" s="51"/>
      <c r="G113" s="51"/>
      <c r="H113" s="53"/>
      <c r="I113" s="53"/>
      <c r="K113" s="355">
        <v>42863</v>
      </c>
      <c r="L113" s="169">
        <v>9.1999999999999993</v>
      </c>
      <c r="M113" s="169">
        <v>10.050000000000001</v>
      </c>
      <c r="N113" s="169">
        <v>9.1</v>
      </c>
      <c r="O113" s="169">
        <v>9.92</v>
      </c>
      <c r="P113" s="169">
        <v>9.9091609999999992</v>
      </c>
      <c r="Q113" s="169">
        <v>38031000</v>
      </c>
      <c r="R113" s="53">
        <f t="shared" si="4"/>
        <v>7.4756337206616008E-2</v>
      </c>
      <c r="S113" s="59">
        <f>(P113/P112)*('16. câmbio USD-BRL'!O704/'16. câmbio USD-BRL'!O703)^-1 -1</f>
        <v>7.4756337206616008E-2</v>
      </c>
    </row>
    <row r="114" spans="1:19" x14ac:dyDescent="0.2">
      <c r="A114" s="52"/>
      <c r="B114" s="51"/>
      <c r="C114" s="51"/>
      <c r="D114" s="51"/>
      <c r="E114" s="51"/>
      <c r="F114" s="51"/>
      <c r="G114" s="51"/>
      <c r="H114" s="53"/>
      <c r="I114" s="53"/>
      <c r="K114" s="355">
        <v>42870</v>
      </c>
      <c r="L114" s="169">
        <v>9.85</v>
      </c>
      <c r="M114" s="169">
        <v>10.55</v>
      </c>
      <c r="N114" s="169">
        <v>7.65</v>
      </c>
      <c r="O114" s="169">
        <v>8.8699999999999992</v>
      </c>
      <c r="P114" s="169">
        <v>8.8603079999999999</v>
      </c>
      <c r="Q114" s="169">
        <v>77844400</v>
      </c>
      <c r="R114" s="53">
        <f t="shared" si="4"/>
        <v>-0.10584680176253058</v>
      </c>
      <c r="S114" s="59">
        <f>(P114/P113)*('16. câmbio USD-BRL'!O705/'16. câmbio USD-BRL'!O704)^-1 -1</f>
        <v>-0.12662508282691198</v>
      </c>
    </row>
    <row r="115" spans="1:19" x14ac:dyDescent="0.2">
      <c r="A115" s="52"/>
      <c r="B115" s="51"/>
      <c r="C115" s="51"/>
      <c r="D115" s="51"/>
      <c r="E115" s="51"/>
      <c r="F115" s="51"/>
      <c r="G115" s="51"/>
      <c r="H115" s="53"/>
      <c r="I115" s="53"/>
      <c r="K115" s="355">
        <v>42877</v>
      </c>
      <c r="L115" s="169">
        <v>8.6999999999999993</v>
      </c>
      <c r="M115" s="169">
        <v>8.94</v>
      </c>
      <c r="N115" s="169">
        <v>7.65</v>
      </c>
      <c r="O115" s="169">
        <v>8.7799999999999994</v>
      </c>
      <c r="P115" s="169">
        <v>8.7704059999999995</v>
      </c>
      <c r="Q115" s="169">
        <v>89526600</v>
      </c>
      <c r="R115" s="53">
        <f t="shared" si="4"/>
        <v>-1.0146599869891748E-2</v>
      </c>
      <c r="S115" s="59">
        <f>(P115/P114)*('16. câmbio USD-BRL'!O706/'16. câmbio USD-BRL'!O705)^-1 -1</f>
        <v>1.3402796564584873E-2</v>
      </c>
    </row>
    <row r="116" spans="1:19" x14ac:dyDescent="0.2">
      <c r="A116" s="52"/>
      <c r="B116" s="51"/>
      <c r="C116" s="51"/>
      <c r="D116" s="51"/>
      <c r="E116" s="51"/>
      <c r="F116" s="51"/>
      <c r="G116" s="51"/>
      <c r="H116" s="53"/>
      <c r="I116" s="53"/>
      <c r="K116" s="355">
        <v>42884</v>
      </c>
      <c r="L116" s="169">
        <v>8.7799999999999994</v>
      </c>
      <c r="M116" s="169">
        <v>8.7799999999999994</v>
      </c>
      <c r="N116" s="169">
        <v>8.0500000000000007</v>
      </c>
      <c r="O116" s="169">
        <v>8.18</v>
      </c>
      <c r="P116" s="169">
        <v>8.1710619999999992</v>
      </c>
      <c r="Q116" s="169">
        <v>33905300</v>
      </c>
      <c r="R116" s="53">
        <f t="shared" si="4"/>
        <v>-6.8337087245447958E-2</v>
      </c>
      <c r="S116" s="59">
        <f>(P116/P115)*('16. câmbio USD-BRL'!O707/'16. câmbio USD-BRL'!O706)^-1 -1</f>
        <v>-8.8838717881281393E-2</v>
      </c>
    </row>
    <row r="117" spans="1:19" x14ac:dyDescent="0.2">
      <c r="A117" s="52"/>
      <c r="B117" s="51"/>
      <c r="C117" s="51"/>
      <c r="D117" s="51"/>
      <c r="E117" s="51"/>
      <c r="F117" s="51"/>
      <c r="G117" s="51"/>
      <c r="H117" s="53"/>
      <c r="I117" s="53"/>
      <c r="K117" s="355">
        <v>42891</v>
      </c>
      <c r="L117" s="169">
        <v>8.08</v>
      </c>
      <c r="M117" s="169">
        <v>8.33</v>
      </c>
      <c r="N117" s="169">
        <v>7.68</v>
      </c>
      <c r="O117" s="169">
        <v>7.88</v>
      </c>
      <c r="P117" s="169">
        <v>7.8713899999999999</v>
      </c>
      <c r="Q117" s="169">
        <v>45293900</v>
      </c>
      <c r="R117" s="53">
        <f t="shared" si="4"/>
        <v>-3.6674792089449237E-2</v>
      </c>
      <c r="S117" s="59">
        <f>(P117/P116)*('16. câmbio USD-BRL'!O708/'16. câmbio USD-BRL'!O707)^-1 -1</f>
        <v>-1.4999444395959016E-2</v>
      </c>
    </row>
    <row r="118" spans="1:19" x14ac:dyDescent="0.2">
      <c r="A118" s="52"/>
      <c r="B118" s="51"/>
      <c r="C118" s="51"/>
      <c r="D118" s="51"/>
      <c r="E118" s="51"/>
      <c r="F118" s="51"/>
      <c r="G118" s="51"/>
      <c r="H118" s="53"/>
      <c r="I118" s="53"/>
      <c r="K118" s="355">
        <v>42898</v>
      </c>
      <c r="L118" s="169">
        <v>7.9</v>
      </c>
      <c r="M118" s="169">
        <v>8.3000000000000007</v>
      </c>
      <c r="N118" s="169">
        <v>7.5</v>
      </c>
      <c r="O118" s="169">
        <v>8.3000000000000007</v>
      </c>
      <c r="P118" s="169">
        <v>8.2909310000000005</v>
      </c>
      <c r="Q118" s="169">
        <v>33891400</v>
      </c>
      <c r="R118" s="53">
        <f t="shared" si="4"/>
        <v>5.3299480777855068E-2</v>
      </c>
      <c r="S118" s="59">
        <f>(P118/P117)*('16. câmbio USD-BRL'!O709/'16. câmbio USD-BRL'!O708)^-1 -1</f>
        <v>1.7779529303591168E-2</v>
      </c>
    </row>
    <row r="119" spans="1:19" x14ac:dyDescent="0.2">
      <c r="A119" s="52"/>
      <c r="B119" s="51"/>
      <c r="C119" s="51"/>
      <c r="D119" s="51"/>
      <c r="E119" s="51"/>
      <c r="F119" s="51"/>
      <c r="G119" s="51"/>
      <c r="H119" s="53"/>
      <c r="I119" s="53"/>
      <c r="K119" s="355">
        <v>42905</v>
      </c>
      <c r="L119" s="169">
        <v>8.25</v>
      </c>
      <c r="M119" s="169">
        <v>8.4499999999999993</v>
      </c>
      <c r="N119" s="169">
        <v>7.97</v>
      </c>
      <c r="O119" s="169">
        <v>8.25</v>
      </c>
      <c r="P119" s="169">
        <v>8.2409859999999995</v>
      </c>
      <c r="Q119" s="169">
        <v>31357800</v>
      </c>
      <c r="R119" s="53">
        <f t="shared" si="4"/>
        <v>-6.024052063634433E-3</v>
      </c>
      <c r="S119" s="59">
        <f>(P119/P118)*('16. câmbio USD-BRL'!O710/'16. câmbio USD-BRL'!O709)^-1 -1</f>
        <v>-2.175989753597718E-2</v>
      </c>
    </row>
    <row r="120" spans="1:19" x14ac:dyDescent="0.2">
      <c r="A120" s="52"/>
      <c r="B120" s="51"/>
      <c r="C120" s="51"/>
      <c r="D120" s="51"/>
      <c r="E120" s="51"/>
      <c r="F120" s="51"/>
      <c r="G120" s="51"/>
      <c r="H120" s="53"/>
      <c r="I120" s="53"/>
      <c r="K120" s="355">
        <v>42912</v>
      </c>
      <c r="L120" s="169">
        <v>8.2799999999999994</v>
      </c>
      <c r="M120" s="169">
        <v>8.65</v>
      </c>
      <c r="N120" s="169">
        <v>8.1</v>
      </c>
      <c r="O120" s="169">
        <v>8.65</v>
      </c>
      <c r="P120" s="169">
        <v>8.6405480000000008</v>
      </c>
      <c r="Q120" s="169">
        <v>25851300</v>
      </c>
      <c r="R120" s="53">
        <f t="shared" si="4"/>
        <v>4.8484732288102572E-2</v>
      </c>
      <c r="S120" s="59">
        <f>(P120/P119)*('16. câmbio USD-BRL'!O711/'16. câmbio USD-BRL'!O710)^-1 -1</f>
        <v>0.1025306772007093</v>
      </c>
    </row>
    <row r="121" spans="1:19" x14ac:dyDescent="0.2">
      <c r="A121" s="52"/>
      <c r="B121" s="51"/>
      <c r="C121" s="51"/>
      <c r="D121" s="51"/>
      <c r="E121" s="51"/>
      <c r="F121" s="51"/>
      <c r="G121" s="51"/>
      <c r="H121" s="53"/>
      <c r="I121" s="53"/>
      <c r="K121" s="355">
        <v>42919</v>
      </c>
      <c r="L121" s="169">
        <v>8.66</v>
      </c>
      <c r="M121" s="169">
        <v>9</v>
      </c>
      <c r="N121" s="169">
        <v>8.5399999999999991</v>
      </c>
      <c r="O121" s="169">
        <v>8.8000000000000007</v>
      </c>
      <c r="P121" s="169">
        <v>8.7903839999999995</v>
      </c>
      <c r="Q121" s="169">
        <v>21811800</v>
      </c>
      <c r="R121" s="53">
        <f t="shared" si="4"/>
        <v>1.7341029758760618E-2</v>
      </c>
      <c r="S121" s="59">
        <f>(P121/P120)*('16. câmbio USD-BRL'!O712/'16. câmbio USD-BRL'!O711)^-1 -1</f>
        <v>1.7341029758760618E-2</v>
      </c>
    </row>
    <row r="122" spans="1:19" x14ac:dyDescent="0.2">
      <c r="A122" s="52"/>
      <c r="B122" s="51"/>
      <c r="C122" s="51"/>
      <c r="D122" s="51"/>
      <c r="E122" s="51"/>
      <c r="F122" s="51"/>
      <c r="G122" s="51"/>
      <c r="H122" s="53"/>
      <c r="I122" s="53"/>
      <c r="K122" s="355">
        <v>42926</v>
      </c>
      <c r="L122" s="169">
        <v>8.82</v>
      </c>
      <c r="M122" s="169">
        <v>9.68</v>
      </c>
      <c r="N122" s="169">
        <v>8.67</v>
      </c>
      <c r="O122" s="169">
        <v>9.59</v>
      </c>
      <c r="P122" s="169">
        <v>9.5795209999999997</v>
      </c>
      <c r="Q122" s="169">
        <v>37555700</v>
      </c>
      <c r="R122" s="53">
        <f t="shared" si="4"/>
        <v>8.9772756229989481E-2</v>
      </c>
      <c r="S122" s="59">
        <f>(P122/P121)*('16. câmbio USD-BRL'!O713/'16. câmbio USD-BRL'!O712)^-1 -1</f>
        <v>8.9772756229989481E-2</v>
      </c>
    </row>
    <row r="123" spans="1:19" x14ac:dyDescent="0.2">
      <c r="A123" s="52"/>
      <c r="B123" s="51"/>
      <c r="C123" s="51"/>
      <c r="D123" s="51"/>
      <c r="E123" s="51"/>
      <c r="F123" s="51"/>
      <c r="G123" s="51"/>
      <c r="H123" s="53"/>
      <c r="I123" s="53"/>
      <c r="K123" s="355">
        <v>42933</v>
      </c>
      <c r="L123" s="169">
        <v>9.5500000000000007</v>
      </c>
      <c r="M123" s="169">
        <v>9.9499999999999993</v>
      </c>
      <c r="N123" s="169">
        <v>9.32</v>
      </c>
      <c r="O123" s="169">
        <v>9.9499999999999993</v>
      </c>
      <c r="P123" s="169">
        <v>9.9391280000000002</v>
      </c>
      <c r="Q123" s="169">
        <v>26760500</v>
      </c>
      <c r="R123" s="53">
        <f t="shared" si="4"/>
        <v>3.7539142092803957E-2</v>
      </c>
      <c r="S123" s="59">
        <f>(P123/P122)*('16. câmbio USD-BRL'!O714/'16. câmbio USD-BRL'!O713)^-1 -1</f>
        <v>3.7539142092803957E-2</v>
      </c>
    </row>
    <row r="124" spans="1:19" x14ac:dyDescent="0.2">
      <c r="A124" s="52"/>
      <c r="B124" s="51"/>
      <c r="C124" s="51"/>
      <c r="D124" s="51"/>
      <c r="E124" s="51"/>
      <c r="F124" s="51"/>
      <c r="G124" s="51"/>
      <c r="H124" s="53"/>
      <c r="I124" s="53"/>
      <c r="K124" s="355">
        <v>42940</v>
      </c>
      <c r="L124" s="169">
        <v>9.9700000000000006</v>
      </c>
      <c r="M124" s="169">
        <v>10.42</v>
      </c>
      <c r="N124" s="169">
        <v>9.8699999999999992</v>
      </c>
      <c r="O124" s="169">
        <v>10.42</v>
      </c>
      <c r="P124" s="169">
        <v>10.408614</v>
      </c>
      <c r="Q124" s="169">
        <v>32191300</v>
      </c>
      <c r="R124" s="53">
        <f t="shared" si="4"/>
        <v>4.7236135805877488E-2</v>
      </c>
      <c r="S124" s="59">
        <f>(P124/P123)*('16. câmbio USD-BRL'!O715/'16. câmbio USD-BRL'!O714)^-1 -1</f>
        <v>4.7236135805877488E-2</v>
      </c>
    </row>
    <row r="125" spans="1:19" x14ac:dyDescent="0.2">
      <c r="A125" s="52"/>
      <c r="B125" s="51"/>
      <c r="C125" s="51"/>
      <c r="D125" s="51"/>
      <c r="E125" s="51"/>
      <c r="F125" s="51"/>
      <c r="G125" s="51"/>
      <c r="H125" s="53"/>
      <c r="I125" s="53"/>
      <c r="K125" s="355">
        <v>42947</v>
      </c>
      <c r="L125" s="169">
        <v>10.42</v>
      </c>
      <c r="M125" s="169">
        <v>10.97</v>
      </c>
      <c r="N125" s="169">
        <v>10.130000000000001</v>
      </c>
      <c r="O125" s="169">
        <v>10.83</v>
      </c>
      <c r="P125" s="169">
        <v>10.818167000000001</v>
      </c>
      <c r="Q125" s="169">
        <v>44770900</v>
      </c>
      <c r="R125" s="53">
        <f t="shared" si="4"/>
        <v>3.9347505825463536E-2</v>
      </c>
      <c r="S125" s="59">
        <f>(P125/P124)*('16. câmbio USD-BRL'!O716/'16. câmbio USD-BRL'!O715)^-1 -1</f>
        <v>5.5422800390367177E-2</v>
      </c>
    </row>
    <row r="126" spans="1:19" x14ac:dyDescent="0.2">
      <c r="A126" s="52"/>
      <c r="B126" s="51"/>
      <c r="C126" s="51"/>
      <c r="D126" s="51"/>
      <c r="E126" s="51"/>
      <c r="F126" s="51"/>
      <c r="G126" s="51"/>
      <c r="H126" s="53"/>
      <c r="I126" s="53"/>
      <c r="K126" s="355">
        <v>42954</v>
      </c>
      <c r="L126" s="169">
        <v>10.84</v>
      </c>
      <c r="M126" s="169">
        <v>10.95</v>
      </c>
      <c r="N126" s="169">
        <v>10.15</v>
      </c>
      <c r="O126" s="169">
        <v>10.38</v>
      </c>
      <c r="P126" s="169">
        <v>10.368658</v>
      </c>
      <c r="Q126" s="169">
        <v>27217000</v>
      </c>
      <c r="R126" s="53">
        <f t="shared" si="4"/>
        <v>-4.1551309015658622E-2</v>
      </c>
      <c r="S126" s="59">
        <f>(P126/P125)*('16. câmbio USD-BRL'!O717/'16. câmbio USD-BRL'!O716)^-1 -1</f>
        <v>-5.6149577147843077E-2</v>
      </c>
    </row>
    <row r="127" spans="1:19" x14ac:dyDescent="0.2">
      <c r="A127" s="52"/>
      <c r="B127" s="51"/>
      <c r="C127" s="51"/>
      <c r="D127" s="51"/>
      <c r="E127" s="51"/>
      <c r="F127" s="51"/>
      <c r="G127" s="51"/>
      <c r="H127" s="53"/>
      <c r="I127" s="53"/>
      <c r="K127" s="355">
        <v>42961</v>
      </c>
      <c r="L127" s="169">
        <v>10.4</v>
      </c>
      <c r="M127" s="169">
        <v>10.5</v>
      </c>
      <c r="N127" s="169">
        <v>10.01</v>
      </c>
      <c r="O127" s="169">
        <v>10.23</v>
      </c>
      <c r="P127" s="169">
        <v>10.218821999999999</v>
      </c>
      <c r="Q127" s="169">
        <v>30476000</v>
      </c>
      <c r="R127" s="53">
        <f t="shared" si="4"/>
        <v>-1.4450857574818343E-2</v>
      </c>
      <c r="S127" s="59">
        <f>(P127/P126)*('16. câmbio USD-BRL'!O718/'16. câmbio USD-BRL'!O717)^-1 -1</f>
        <v>-1.4450857574818343E-2</v>
      </c>
    </row>
    <row r="128" spans="1:19" x14ac:dyDescent="0.2">
      <c r="A128" s="52"/>
      <c r="B128" s="51"/>
      <c r="C128" s="51"/>
      <c r="D128" s="51"/>
      <c r="E128" s="51"/>
      <c r="F128" s="51"/>
      <c r="G128" s="51"/>
      <c r="H128" s="53"/>
      <c r="I128" s="53"/>
      <c r="K128" s="355">
        <v>42968</v>
      </c>
      <c r="L128" s="169">
        <v>10.25</v>
      </c>
      <c r="M128" s="169">
        <v>10.58</v>
      </c>
      <c r="N128" s="169">
        <v>9.82</v>
      </c>
      <c r="O128" s="169">
        <v>10.32</v>
      </c>
      <c r="P128" s="169">
        <v>10.308723000000001</v>
      </c>
      <c r="Q128" s="169">
        <v>30025600</v>
      </c>
      <c r="R128" s="53">
        <f t="shared" si="4"/>
        <v>8.7975893894620683E-3</v>
      </c>
      <c r="S128" s="59">
        <f>(P128/P127)*('16. câmbio USD-BRL'!O719/'16. câmbio USD-BRL'!O718)^-1 -1</f>
        <v>1.4865640865828977E-2</v>
      </c>
    </row>
    <row r="129" spans="1:19" x14ac:dyDescent="0.2">
      <c r="A129" s="52"/>
      <c r="B129" s="51"/>
      <c r="C129" s="51"/>
      <c r="D129" s="51"/>
      <c r="E129" s="51"/>
      <c r="F129" s="51"/>
      <c r="G129" s="51"/>
      <c r="H129" s="53"/>
      <c r="I129" s="53"/>
      <c r="K129" s="355">
        <v>42975</v>
      </c>
      <c r="L129" s="169">
        <v>10.3</v>
      </c>
      <c r="M129" s="169">
        <v>10.53</v>
      </c>
      <c r="N129" s="169">
        <v>10.17</v>
      </c>
      <c r="O129" s="169">
        <v>10.35</v>
      </c>
      <c r="P129" s="169">
        <v>10.338691000000001</v>
      </c>
      <c r="Q129" s="169">
        <v>31723300</v>
      </c>
      <c r="R129" s="53">
        <f t="shared" si="4"/>
        <v>2.9070526000165575E-3</v>
      </c>
      <c r="S129" s="59">
        <f>(P129/P128)*('16. câmbio USD-BRL'!O720/'16. câmbio USD-BRL'!O719)^-1 -1</f>
        <v>-3.0894964761707389E-3</v>
      </c>
    </row>
    <row r="130" spans="1:19" x14ac:dyDescent="0.2">
      <c r="A130" s="52"/>
      <c r="B130" s="51"/>
      <c r="C130" s="51"/>
      <c r="D130" s="51"/>
      <c r="E130" s="51"/>
      <c r="F130" s="51"/>
      <c r="G130" s="51"/>
      <c r="H130" s="53"/>
      <c r="I130" s="53"/>
      <c r="K130" s="355">
        <v>42982</v>
      </c>
      <c r="L130" s="169">
        <v>10.31</v>
      </c>
      <c r="M130" s="169">
        <v>10.37</v>
      </c>
      <c r="N130" s="169">
        <v>9.35</v>
      </c>
      <c r="O130" s="169">
        <v>9.86</v>
      </c>
      <c r="P130" s="169">
        <v>9.8492259999999998</v>
      </c>
      <c r="Q130" s="169">
        <v>57816900</v>
      </c>
      <c r="R130" s="53">
        <f t="shared" si="4"/>
        <v>-4.7343034045606025E-2</v>
      </c>
      <c r="S130" s="59">
        <f>(P130/P129)*('16. câmbio USD-BRL'!O721/'16. câmbio USD-BRL'!O720)^-1 -1</f>
        <v>-4.7343034045606025E-2</v>
      </c>
    </row>
    <row r="131" spans="1:19" x14ac:dyDescent="0.2">
      <c r="A131" s="52"/>
      <c r="B131" s="51"/>
      <c r="C131" s="51"/>
      <c r="D131" s="51"/>
      <c r="E131" s="51"/>
      <c r="F131" s="51"/>
      <c r="G131" s="51"/>
      <c r="H131" s="53"/>
      <c r="I131" s="53"/>
      <c r="K131" s="355">
        <v>42989</v>
      </c>
      <c r="L131" s="169">
        <v>9.8699999999999992</v>
      </c>
      <c r="M131" s="169">
        <v>10.25</v>
      </c>
      <c r="N131" s="169">
        <v>9.73</v>
      </c>
      <c r="O131" s="169">
        <v>10.199999999999999</v>
      </c>
      <c r="P131" s="169">
        <v>10.188853999999999</v>
      </c>
      <c r="Q131" s="169">
        <v>42355300</v>
      </c>
      <c r="R131" s="53">
        <f t="shared" si="4"/>
        <v>3.448270960581068E-2</v>
      </c>
      <c r="S131" s="59">
        <f>(P131/P130)*('16. câmbio USD-BRL'!O722/'16. câmbio USD-BRL'!O721)^-1 -1</f>
        <v>5.710380625603273E-2</v>
      </c>
    </row>
    <row r="132" spans="1:19" x14ac:dyDescent="0.2">
      <c r="A132" s="52"/>
      <c r="B132" s="51"/>
      <c r="C132" s="51"/>
      <c r="D132" s="51"/>
      <c r="E132" s="51"/>
      <c r="F132" s="51"/>
      <c r="G132" s="51"/>
      <c r="H132" s="53"/>
      <c r="I132" s="53"/>
      <c r="K132" s="355">
        <v>42996</v>
      </c>
      <c r="L132" s="169">
        <v>10.3</v>
      </c>
      <c r="M132" s="169">
        <v>11.08</v>
      </c>
      <c r="N132" s="169">
        <v>10.11</v>
      </c>
      <c r="O132" s="169">
        <v>10.84</v>
      </c>
      <c r="P132" s="169">
        <v>10.828156</v>
      </c>
      <c r="Q132" s="169">
        <v>85236000</v>
      </c>
      <c r="R132" s="53">
        <f t="shared" si="4"/>
        <v>6.2745231210497243E-2</v>
      </c>
      <c r="S132" s="59">
        <f>(P132/P131)*('16. câmbio USD-BRL'!O723/'16. câmbio USD-BRL'!O722)^-1 -1</f>
        <v>5.8049894507854471E-2</v>
      </c>
    </row>
    <row r="133" spans="1:19" x14ac:dyDescent="0.2">
      <c r="A133" s="52"/>
      <c r="B133" s="51"/>
      <c r="C133" s="51"/>
      <c r="D133" s="51"/>
      <c r="E133" s="51"/>
      <c r="F133" s="51"/>
      <c r="G133" s="51"/>
      <c r="H133" s="53"/>
      <c r="I133" s="53"/>
      <c r="K133" s="355">
        <v>43003</v>
      </c>
      <c r="L133" s="169">
        <v>10.85</v>
      </c>
      <c r="M133" s="169">
        <v>12.14</v>
      </c>
      <c r="N133" s="169">
        <v>10.85</v>
      </c>
      <c r="O133" s="169">
        <v>12.09</v>
      </c>
      <c r="P133" s="169">
        <v>12.076790000000001</v>
      </c>
      <c r="Q133" s="169">
        <v>77841900</v>
      </c>
      <c r="R133" s="53">
        <f t="shared" ref="R133:R196" si="6">P133/P132-1</f>
        <v>0.11531363234885061</v>
      </c>
      <c r="S133" s="59">
        <f>(P133/P132)*('16. câmbio USD-BRL'!O724/'16. câmbio USD-BRL'!O723)^-1 -1</f>
        <v>0.10124616888209981</v>
      </c>
    </row>
    <row r="134" spans="1:19" x14ac:dyDescent="0.2">
      <c r="A134" s="52"/>
      <c r="B134" s="51"/>
      <c r="C134" s="51"/>
      <c r="D134" s="51"/>
      <c r="E134" s="51"/>
      <c r="F134" s="51"/>
      <c r="G134" s="51"/>
      <c r="H134" s="53"/>
      <c r="I134" s="53"/>
      <c r="K134" s="355">
        <v>43010</v>
      </c>
      <c r="L134" s="169">
        <v>12.01</v>
      </c>
      <c r="M134" s="169">
        <v>12.95</v>
      </c>
      <c r="N134" s="169">
        <v>11.91</v>
      </c>
      <c r="O134" s="169">
        <v>12.15</v>
      </c>
      <c r="P134" s="169">
        <v>12.136723999999999</v>
      </c>
      <c r="Q134" s="169">
        <v>81686800</v>
      </c>
      <c r="R134" s="53">
        <f t="shared" si="6"/>
        <v>4.9627425830869321E-3</v>
      </c>
      <c r="S134" s="59">
        <f>(P134/P133)*('16. câmbio USD-BRL'!O725/'16. câmbio USD-BRL'!O724)^-1 -1</f>
        <v>7.4787323363452174E-3</v>
      </c>
    </row>
    <row r="135" spans="1:19" x14ac:dyDescent="0.2">
      <c r="A135" s="52"/>
      <c r="B135" s="51"/>
      <c r="C135" s="51"/>
      <c r="D135" s="51"/>
      <c r="E135" s="51"/>
      <c r="F135" s="51"/>
      <c r="G135" s="51"/>
      <c r="H135" s="53"/>
      <c r="I135" s="53"/>
      <c r="K135" s="355">
        <v>43017</v>
      </c>
      <c r="L135" s="169">
        <v>12.2</v>
      </c>
      <c r="M135" s="169">
        <v>13.2</v>
      </c>
      <c r="N135" s="169">
        <v>12.12</v>
      </c>
      <c r="O135" s="169">
        <v>13.08</v>
      </c>
      <c r="P135" s="169">
        <v>13.065708000000001</v>
      </c>
      <c r="Q135" s="169">
        <v>82663400</v>
      </c>
      <c r="R135" s="53">
        <f t="shared" si="6"/>
        <v>7.6543225338238097E-2</v>
      </c>
      <c r="S135" s="59">
        <f>(P135/P134)*('16. câmbio USD-BRL'!O726/'16. câmbio USD-BRL'!O725)^-1 -1</f>
        <v>8.0652822508290312E-2</v>
      </c>
    </row>
    <row r="136" spans="1:19" x14ac:dyDescent="0.2">
      <c r="A136" s="52"/>
      <c r="B136" s="51"/>
      <c r="C136" s="51"/>
      <c r="D136" s="51"/>
      <c r="E136" s="51"/>
      <c r="F136" s="51"/>
      <c r="G136" s="51"/>
      <c r="H136" s="53"/>
      <c r="I136" s="53"/>
      <c r="K136" s="355">
        <v>43024</v>
      </c>
      <c r="L136" s="169">
        <v>13.12</v>
      </c>
      <c r="M136" s="169">
        <v>13.55</v>
      </c>
      <c r="N136" s="169">
        <v>12.9</v>
      </c>
      <c r="O136" s="169">
        <v>13.52</v>
      </c>
      <c r="P136" s="169">
        <v>13.505227</v>
      </c>
      <c r="Q136" s="169">
        <v>60519900</v>
      </c>
      <c r="R136" s="53">
        <f t="shared" si="6"/>
        <v>3.3639126176706169E-2</v>
      </c>
      <c r="S136" s="59">
        <f>(P136/P135)*('16. câmbio USD-BRL'!O727/'16. câmbio USD-BRL'!O726)^-1 -1</f>
        <v>1.7869993464217915E-2</v>
      </c>
    </row>
    <row r="137" spans="1:19" x14ac:dyDescent="0.2">
      <c r="A137" s="52"/>
      <c r="B137" s="51"/>
      <c r="C137" s="51"/>
      <c r="D137" s="51"/>
      <c r="E137" s="51"/>
      <c r="F137" s="51"/>
      <c r="G137" s="51"/>
      <c r="H137" s="53"/>
      <c r="I137" s="53"/>
      <c r="K137" s="355">
        <v>43031</v>
      </c>
      <c r="L137" s="169">
        <v>13.55</v>
      </c>
      <c r="M137" s="169">
        <v>13.57</v>
      </c>
      <c r="N137" s="169">
        <v>12.75</v>
      </c>
      <c r="O137" s="169">
        <v>13.27</v>
      </c>
      <c r="P137" s="169">
        <v>13.255501000000001</v>
      </c>
      <c r="Q137" s="169">
        <v>36197100</v>
      </c>
      <c r="R137" s="53">
        <f t="shared" si="6"/>
        <v>-1.8491062756664456E-2</v>
      </c>
      <c r="S137" s="59">
        <f>(P137/P136)*('16. câmbio USD-BRL'!O728/'16. câmbio USD-BRL'!O727)^-1 -1</f>
        <v>-3.0367706660422766E-2</v>
      </c>
    </row>
    <row r="138" spans="1:19" x14ac:dyDescent="0.2">
      <c r="A138" s="52"/>
      <c r="B138" s="51"/>
      <c r="C138" s="51"/>
      <c r="D138" s="51"/>
      <c r="E138" s="51"/>
      <c r="F138" s="51"/>
      <c r="G138" s="51"/>
      <c r="H138" s="53"/>
      <c r="I138" s="53"/>
      <c r="K138" s="355">
        <v>43038</v>
      </c>
      <c r="L138" s="169">
        <v>13.27</v>
      </c>
      <c r="M138" s="169">
        <v>13.27</v>
      </c>
      <c r="N138" s="169">
        <v>12.12</v>
      </c>
      <c r="O138" s="169">
        <v>12.3</v>
      </c>
      <c r="P138" s="169">
        <v>12.28656</v>
      </c>
      <c r="Q138" s="169">
        <v>50624900</v>
      </c>
      <c r="R138" s="53">
        <f t="shared" si="6"/>
        <v>-7.3097274859697969E-2</v>
      </c>
      <c r="S138" s="59">
        <f>(P138/P137)*('16. câmbio USD-BRL'!O729/'16. câmbio USD-BRL'!O728)^-1 -1</f>
        <v>-9.5927804719171172E-2</v>
      </c>
    </row>
    <row r="139" spans="1:19" x14ac:dyDescent="0.2">
      <c r="A139" s="52"/>
      <c r="B139" s="51"/>
      <c r="C139" s="51"/>
      <c r="D139" s="51"/>
      <c r="E139" s="51"/>
      <c r="F139" s="51"/>
      <c r="G139" s="51"/>
      <c r="H139" s="53"/>
      <c r="I139" s="53"/>
      <c r="K139" s="355">
        <v>43045</v>
      </c>
      <c r="L139" s="169">
        <v>12.3</v>
      </c>
      <c r="M139" s="169">
        <v>12.76</v>
      </c>
      <c r="N139" s="169">
        <v>11.45</v>
      </c>
      <c r="O139" s="169">
        <v>11.45</v>
      </c>
      <c r="P139" s="169">
        <v>11.437488999999999</v>
      </c>
      <c r="Q139" s="169">
        <v>39620000</v>
      </c>
      <c r="R139" s="53">
        <f t="shared" si="6"/>
        <v>-6.9105673190868799E-2</v>
      </c>
      <c r="S139" s="59">
        <f>(P139/P138)*('16. câmbio USD-BRL'!O730/'16. câmbio USD-BRL'!O729)^-1 -1</f>
        <v>-5.7728676315814575E-2</v>
      </c>
    </row>
    <row r="140" spans="1:19" x14ac:dyDescent="0.2">
      <c r="A140" s="52"/>
      <c r="B140" s="51"/>
      <c r="C140" s="51"/>
      <c r="D140" s="51"/>
      <c r="E140" s="51"/>
      <c r="F140" s="51"/>
      <c r="G140" s="51"/>
      <c r="H140" s="53"/>
      <c r="I140" s="53"/>
      <c r="K140" s="355">
        <v>43052</v>
      </c>
      <c r="L140" s="169">
        <v>11.53</v>
      </c>
      <c r="M140" s="169">
        <v>12.54</v>
      </c>
      <c r="N140" s="169">
        <v>11.07</v>
      </c>
      <c r="O140" s="169">
        <v>12.25</v>
      </c>
      <c r="P140" s="169">
        <v>12.236615</v>
      </c>
      <c r="Q140" s="169">
        <v>30933100</v>
      </c>
      <c r="R140" s="53">
        <f t="shared" si="6"/>
        <v>6.9869007087132617E-2</v>
      </c>
      <c r="S140" s="59">
        <f>(P140/P139)*('16. câmbio USD-BRL'!O731/'16. câmbio USD-BRL'!O730)^-1 -1</f>
        <v>7.6612431833561701E-2</v>
      </c>
    </row>
    <row r="141" spans="1:19" x14ac:dyDescent="0.2">
      <c r="A141" s="52"/>
      <c r="B141" s="51"/>
      <c r="C141" s="51"/>
      <c r="D141" s="51"/>
      <c r="E141" s="51"/>
      <c r="F141" s="51"/>
      <c r="G141" s="51"/>
      <c r="H141" s="53"/>
      <c r="I141" s="53"/>
      <c r="K141" s="355">
        <v>43059</v>
      </c>
      <c r="L141" s="169">
        <v>12.25</v>
      </c>
      <c r="M141" s="169">
        <v>13.35</v>
      </c>
      <c r="N141" s="169">
        <v>12.25</v>
      </c>
      <c r="O141" s="169">
        <v>12.89</v>
      </c>
      <c r="P141" s="169">
        <v>12.875916</v>
      </c>
      <c r="Q141" s="169">
        <v>32892300</v>
      </c>
      <c r="R141" s="53">
        <f t="shared" si="6"/>
        <v>5.2244922308988251E-2</v>
      </c>
      <c r="S141" s="59">
        <f>(P141/P140)*('16. câmbio USD-BRL'!O732/'16. câmbio USD-BRL'!O731)^-1 -1</f>
        <v>5.9050405482826474E-2</v>
      </c>
    </row>
    <row r="142" spans="1:19" x14ac:dyDescent="0.2">
      <c r="A142" s="52"/>
      <c r="B142" s="51"/>
      <c r="C142" s="51"/>
      <c r="D142" s="51"/>
      <c r="E142" s="51"/>
      <c r="F142" s="51"/>
      <c r="G142" s="51"/>
      <c r="H142" s="53"/>
      <c r="I142" s="53"/>
      <c r="K142" s="355">
        <v>43066</v>
      </c>
      <c r="L142" s="169">
        <v>12.81</v>
      </c>
      <c r="M142" s="169">
        <v>13.47</v>
      </c>
      <c r="N142" s="169">
        <v>12.47</v>
      </c>
      <c r="O142" s="169">
        <v>12.75</v>
      </c>
      <c r="P142" s="169">
        <v>12.736069000000001</v>
      </c>
      <c r="Q142" s="169">
        <v>46236600</v>
      </c>
      <c r="R142" s="53">
        <f t="shared" si="6"/>
        <v>-1.0861130190659818E-2</v>
      </c>
      <c r="S142" s="59">
        <f>(P142/P141)*('16. câmbio USD-BRL'!O733/'16. câmbio USD-BRL'!O732)^-1 -1</f>
        <v>-1.7398629637601415E-2</v>
      </c>
    </row>
    <row r="143" spans="1:19" x14ac:dyDescent="0.2">
      <c r="A143" s="52"/>
      <c r="B143" s="51"/>
      <c r="C143" s="51"/>
      <c r="D143" s="51"/>
      <c r="E143" s="51"/>
      <c r="F143" s="51"/>
      <c r="G143" s="51"/>
      <c r="H143" s="53"/>
      <c r="I143" s="53"/>
      <c r="K143" s="355">
        <v>43073</v>
      </c>
      <c r="L143" s="169">
        <v>12.89</v>
      </c>
      <c r="M143" s="169">
        <v>13</v>
      </c>
      <c r="N143" s="169">
        <v>12.16</v>
      </c>
      <c r="O143" s="169">
        <v>12.48</v>
      </c>
      <c r="P143" s="169">
        <v>12.466362999999999</v>
      </c>
      <c r="Q143" s="169">
        <v>29474900</v>
      </c>
      <c r="R143" s="53">
        <f t="shared" si="6"/>
        <v>-2.1176549844382997E-2</v>
      </c>
      <c r="S143" s="59">
        <f>(P143/P142)*('16. câmbio USD-BRL'!O734/'16. câmbio USD-BRL'!O733)^-1 -1</f>
        <v>-3.1536990280362942E-2</v>
      </c>
    </row>
    <row r="144" spans="1:19" x14ac:dyDescent="0.2">
      <c r="A144" s="52"/>
      <c r="B144" s="51"/>
      <c r="C144" s="51"/>
      <c r="D144" s="51"/>
      <c r="E144" s="51"/>
      <c r="F144" s="51"/>
      <c r="G144" s="51"/>
      <c r="H144" s="53"/>
      <c r="I144" s="53"/>
      <c r="K144" s="355">
        <v>43080</v>
      </c>
      <c r="L144" s="169">
        <v>12.54</v>
      </c>
      <c r="M144" s="169">
        <v>12.64</v>
      </c>
      <c r="N144" s="169">
        <v>11.16</v>
      </c>
      <c r="O144" s="169">
        <v>11.33</v>
      </c>
      <c r="P144" s="169">
        <v>11.31762</v>
      </c>
      <c r="Q144" s="169">
        <v>53082600</v>
      </c>
      <c r="R144" s="53">
        <f t="shared" si="6"/>
        <v>-9.2147404980907344E-2</v>
      </c>
      <c r="S144" s="59">
        <f>(P144/P143)*('16. câmbio USD-BRL'!O735/'16. câmbio USD-BRL'!O734)^-1 -1</f>
        <v>-9.2671744565226977E-2</v>
      </c>
    </row>
    <row r="145" spans="1:19" x14ac:dyDescent="0.2">
      <c r="A145" s="52"/>
      <c r="B145" s="51"/>
      <c r="C145" s="51"/>
      <c r="D145" s="51"/>
      <c r="E145" s="51"/>
      <c r="F145" s="51"/>
      <c r="G145" s="51"/>
      <c r="H145" s="53"/>
      <c r="I145" s="53"/>
      <c r="K145" s="355">
        <v>43087</v>
      </c>
      <c r="L145" s="169">
        <v>11.39</v>
      </c>
      <c r="M145" s="169">
        <v>12.4</v>
      </c>
      <c r="N145" s="169">
        <v>11.39</v>
      </c>
      <c r="O145" s="169">
        <v>12.32</v>
      </c>
      <c r="P145" s="169">
        <v>12.306538</v>
      </c>
      <c r="Q145" s="169">
        <v>36060400</v>
      </c>
      <c r="R145" s="53">
        <f t="shared" si="6"/>
        <v>8.7378618472788494E-2</v>
      </c>
      <c r="S145" s="59">
        <f>(P145/P144)*('16. câmbio USD-BRL'!O736/'16. câmbio USD-BRL'!O735)^-1 -1</f>
        <v>7.2447741325118109E-2</v>
      </c>
    </row>
    <row r="146" spans="1:19" x14ac:dyDescent="0.2">
      <c r="A146" s="52"/>
      <c r="B146" s="51"/>
      <c r="C146" s="51"/>
      <c r="D146" s="51"/>
      <c r="E146" s="51"/>
      <c r="F146" s="51"/>
      <c r="G146" s="51"/>
      <c r="H146" s="53"/>
      <c r="I146" s="53"/>
      <c r="K146" s="355">
        <v>43094</v>
      </c>
      <c r="L146" s="169">
        <v>12.32</v>
      </c>
      <c r="M146" s="169">
        <v>13</v>
      </c>
      <c r="N146" s="169">
        <v>12.05</v>
      </c>
      <c r="O146" s="169">
        <v>12.97</v>
      </c>
      <c r="P146" s="169">
        <v>12.955829</v>
      </c>
      <c r="Q146" s="169">
        <v>11660300</v>
      </c>
      <c r="R146" s="53">
        <f t="shared" si="6"/>
        <v>5.2759841963678111E-2</v>
      </c>
      <c r="S146" s="59">
        <f>(P146/P145)*('16. câmbio USD-BRL'!O737/'16. câmbio USD-BRL'!O736)^-1 -1</f>
        <v>6.0549819652627068E-2</v>
      </c>
    </row>
    <row r="147" spans="1:19" x14ac:dyDescent="0.2">
      <c r="A147" s="52"/>
      <c r="B147" s="51"/>
      <c r="C147" s="51"/>
      <c r="D147" s="51"/>
      <c r="E147" s="51"/>
      <c r="F147" s="51"/>
      <c r="G147" s="51"/>
      <c r="H147" s="53"/>
      <c r="I147" s="53"/>
      <c r="K147" s="355">
        <v>43101</v>
      </c>
      <c r="L147" s="169">
        <v>12.97</v>
      </c>
      <c r="M147" s="169">
        <v>13.15</v>
      </c>
      <c r="N147" s="169">
        <v>12.52</v>
      </c>
      <c r="O147" s="169">
        <v>12.6</v>
      </c>
      <c r="P147" s="169">
        <v>12.586233</v>
      </c>
      <c r="Q147" s="169">
        <v>27156100</v>
      </c>
      <c r="R147" s="53">
        <f t="shared" si="6"/>
        <v>-2.8527391029937177E-2</v>
      </c>
      <c r="S147" s="59">
        <f>(P147/P146)*('16. câmbio USD-BRL'!O738/'16. câmbio USD-BRL'!O737)^-1 -1</f>
        <v>-2.899715335293207E-3</v>
      </c>
    </row>
    <row r="148" spans="1:19" x14ac:dyDescent="0.2">
      <c r="A148" s="52"/>
      <c r="B148" s="51"/>
      <c r="C148" s="51"/>
      <c r="D148" s="51"/>
      <c r="E148" s="51"/>
      <c r="F148" s="51"/>
      <c r="G148" s="51"/>
      <c r="H148" s="53"/>
      <c r="I148" s="53"/>
      <c r="K148" s="355">
        <v>43108</v>
      </c>
      <c r="L148" s="169">
        <v>12.6</v>
      </c>
      <c r="M148" s="169">
        <v>12.94</v>
      </c>
      <c r="N148" s="169">
        <v>12.1</v>
      </c>
      <c r="O148" s="169">
        <v>12.63</v>
      </c>
      <c r="P148" s="169">
        <v>12.616199</v>
      </c>
      <c r="Q148" s="169">
        <v>32698400</v>
      </c>
      <c r="R148" s="53">
        <f t="shared" si="6"/>
        <v>2.3808553361439611E-3</v>
      </c>
      <c r="S148" s="59">
        <f>(P148/P147)*('16. câmbio USD-BRL'!O739/'16. câmbio USD-BRL'!O738)^-1 -1</f>
        <v>1.0272878191916357E-2</v>
      </c>
    </row>
    <row r="149" spans="1:19" x14ac:dyDescent="0.2">
      <c r="A149" s="46"/>
      <c r="H149" s="53"/>
      <c r="I149" s="53"/>
      <c r="K149" s="355">
        <v>43115</v>
      </c>
      <c r="L149" s="169">
        <v>12.73</v>
      </c>
      <c r="M149" s="169">
        <v>13.09</v>
      </c>
      <c r="N149" s="169">
        <v>12.7</v>
      </c>
      <c r="O149" s="169">
        <v>12.9</v>
      </c>
      <c r="P149" s="169">
        <v>12.885904</v>
      </c>
      <c r="Q149" s="169">
        <v>24772700</v>
      </c>
      <c r="R149" s="53">
        <f t="shared" si="6"/>
        <v>2.1377674844856198E-2</v>
      </c>
      <c r="S149" s="59">
        <f>(P149/P148)*('16. câmbio USD-BRL'!O740/'16. câmbio USD-BRL'!O739)^-1 -1</f>
        <v>2.4418251402585689E-2</v>
      </c>
    </row>
    <row r="150" spans="1:19" x14ac:dyDescent="0.2">
      <c r="A150" s="46"/>
      <c r="H150" s="53"/>
      <c r="I150" s="53"/>
      <c r="K150" s="355">
        <v>43122</v>
      </c>
      <c r="L150" s="169">
        <v>12.94</v>
      </c>
      <c r="M150" s="169">
        <v>13.99</v>
      </c>
      <c r="N150" s="169">
        <v>12.28</v>
      </c>
      <c r="O150" s="169">
        <v>13.98</v>
      </c>
      <c r="P150" s="169">
        <v>13.964724</v>
      </c>
      <c r="Q150" s="169">
        <v>42107100</v>
      </c>
      <c r="R150" s="53">
        <f t="shared" si="6"/>
        <v>8.3720940339149008E-2</v>
      </c>
      <c r="S150" s="59">
        <f>(P150/P149)*('16. câmbio USD-BRL'!O741/'16. câmbio USD-BRL'!O740)^-1 -1</f>
        <v>9.8976854939874848E-2</v>
      </c>
    </row>
    <row r="151" spans="1:19" x14ac:dyDescent="0.2">
      <c r="A151" s="46"/>
      <c r="H151" s="53"/>
      <c r="I151" s="53"/>
      <c r="K151" s="355">
        <v>43129</v>
      </c>
      <c r="L151" s="169">
        <v>13.98</v>
      </c>
      <c r="M151" s="169">
        <v>14.47</v>
      </c>
      <c r="N151" s="169">
        <v>13.41</v>
      </c>
      <c r="O151" s="169">
        <v>13.75</v>
      </c>
      <c r="P151" s="169">
        <v>13.734976</v>
      </c>
      <c r="Q151" s="169">
        <v>63888300</v>
      </c>
      <c r="R151" s="53">
        <f t="shared" si="6"/>
        <v>-1.6452025833092021E-2</v>
      </c>
      <c r="S151" s="59">
        <f>(P151/P150)*('16. câmbio USD-BRL'!O742/'16. câmbio USD-BRL'!O741)^-1 -1</f>
        <v>-3.7854108021435851E-2</v>
      </c>
    </row>
    <row r="152" spans="1:19" x14ac:dyDescent="0.2">
      <c r="A152" s="46"/>
      <c r="H152" s="53"/>
      <c r="I152" s="53"/>
      <c r="K152" s="355">
        <v>43136</v>
      </c>
      <c r="L152" s="169">
        <v>13.6</v>
      </c>
      <c r="M152" s="169">
        <v>13.89</v>
      </c>
      <c r="N152" s="169">
        <v>12.6</v>
      </c>
      <c r="O152" s="169">
        <v>12.86</v>
      </c>
      <c r="P152" s="169">
        <v>12.845948</v>
      </c>
      <c r="Q152" s="169">
        <v>50113600</v>
      </c>
      <c r="R152" s="53">
        <f t="shared" si="6"/>
        <v>-6.4727306403738916E-2</v>
      </c>
      <c r="S152" s="59">
        <f>(P152/P151)*('16. câmbio USD-BRL'!O743/'16. câmbio USD-BRL'!O742)^-1 -1</f>
        <v>-8.6285614665387533E-2</v>
      </c>
    </row>
    <row r="153" spans="1:19" x14ac:dyDescent="0.2">
      <c r="A153" s="46"/>
      <c r="H153" s="53"/>
      <c r="I153" s="53"/>
      <c r="K153" s="355">
        <v>43143</v>
      </c>
      <c r="L153" s="169">
        <v>12.86</v>
      </c>
      <c r="M153" s="169">
        <v>13.5</v>
      </c>
      <c r="N153" s="169">
        <v>12.86</v>
      </c>
      <c r="O153" s="169">
        <v>13.33</v>
      </c>
      <c r="P153" s="169">
        <v>13.315434</v>
      </c>
      <c r="Q153" s="169">
        <v>28801800</v>
      </c>
      <c r="R153" s="53">
        <f t="shared" si="6"/>
        <v>3.6547400005044306E-2</v>
      </c>
      <c r="S153" s="59">
        <f>(P153/P152)*('16. câmbio USD-BRL'!O744/'16. câmbio USD-BRL'!O743)^-1 -1</f>
        <v>5.6766139927119319E-2</v>
      </c>
    </row>
    <row r="154" spans="1:19" x14ac:dyDescent="0.2">
      <c r="A154" s="46"/>
      <c r="H154" s="53"/>
      <c r="I154" s="53"/>
      <c r="K154" s="355">
        <v>43150</v>
      </c>
      <c r="L154" s="169">
        <v>13.3</v>
      </c>
      <c r="M154" s="169">
        <v>14.26</v>
      </c>
      <c r="N154" s="169">
        <v>13.03</v>
      </c>
      <c r="O154" s="169">
        <v>14.26</v>
      </c>
      <c r="P154" s="169">
        <v>14.244419000000001</v>
      </c>
      <c r="Q154" s="169">
        <v>36063000</v>
      </c>
      <c r="R154" s="53">
        <f t="shared" si="6"/>
        <v>6.9767534426591116E-2</v>
      </c>
      <c r="S154" s="59">
        <f>(P154/P153)*('16. câmbio USD-BRL'!O745/'16. câmbio USD-BRL'!O744)^-1 -1</f>
        <v>6.8741743540166489E-2</v>
      </c>
    </row>
    <row r="155" spans="1:19" x14ac:dyDescent="0.2">
      <c r="A155" s="46"/>
      <c r="H155" s="53"/>
      <c r="I155" s="53"/>
      <c r="K155" s="355">
        <v>43157</v>
      </c>
      <c r="L155" s="169">
        <v>14.3</v>
      </c>
      <c r="M155" s="169">
        <v>14.36</v>
      </c>
      <c r="N155" s="169">
        <v>13.07</v>
      </c>
      <c r="O155" s="169">
        <v>13.8</v>
      </c>
      <c r="P155" s="169">
        <v>13.784922</v>
      </c>
      <c r="Q155" s="169">
        <v>41135100</v>
      </c>
      <c r="R155" s="53">
        <f t="shared" si="6"/>
        <v>-3.2258037340800017E-2</v>
      </c>
      <c r="S155" s="59">
        <f>(P155/P154)*('16. câmbio USD-BRL'!O746/'16. câmbio USD-BRL'!O745)^-1 -1</f>
        <v>-3.7497926140308446E-2</v>
      </c>
    </row>
    <row r="156" spans="1:19" x14ac:dyDescent="0.2">
      <c r="A156" s="46"/>
      <c r="H156" s="53"/>
      <c r="I156" s="53"/>
      <c r="K156" s="355">
        <v>43164</v>
      </c>
      <c r="L156" s="169">
        <v>13.7</v>
      </c>
      <c r="M156" s="169">
        <v>13.75</v>
      </c>
      <c r="N156" s="169">
        <v>13.15</v>
      </c>
      <c r="O156" s="169">
        <v>13.4</v>
      </c>
      <c r="P156" s="169">
        <v>13.385358</v>
      </c>
      <c r="Q156" s="169">
        <v>24930600</v>
      </c>
      <c r="R156" s="53">
        <f t="shared" si="6"/>
        <v>-2.8985582943450772E-2</v>
      </c>
      <c r="S156" s="59">
        <f>(P156/P155)*('16. câmbio USD-BRL'!O747/'16. câmbio USD-BRL'!O746)^-1 -1</f>
        <v>-3.3623476733010693E-2</v>
      </c>
    </row>
    <row r="157" spans="1:19" x14ac:dyDescent="0.2">
      <c r="A157" s="46"/>
      <c r="H157" s="53"/>
      <c r="I157" s="53"/>
      <c r="K157" s="355">
        <v>43171</v>
      </c>
      <c r="L157" s="169">
        <v>13.55</v>
      </c>
      <c r="M157" s="169">
        <v>13.71</v>
      </c>
      <c r="N157" s="169">
        <v>13.25</v>
      </c>
      <c r="O157" s="169">
        <v>13.42</v>
      </c>
      <c r="P157" s="169">
        <v>13.405336</v>
      </c>
      <c r="Q157" s="169">
        <v>31103600</v>
      </c>
      <c r="R157" s="53">
        <f t="shared" si="6"/>
        <v>1.4925263859211224E-3</v>
      </c>
      <c r="S157" s="59">
        <f>(P157/P156)*('16. câmbio USD-BRL'!O748/'16. câmbio USD-BRL'!O747)^-1 -1</f>
        <v>-3.3896772100006078E-3</v>
      </c>
    </row>
    <row r="158" spans="1:19" x14ac:dyDescent="0.2">
      <c r="A158" s="46"/>
      <c r="H158" s="53"/>
      <c r="I158" s="53"/>
      <c r="K158" s="355">
        <v>43178</v>
      </c>
      <c r="L158" s="169">
        <v>13.25</v>
      </c>
      <c r="M158" s="169">
        <v>13.37</v>
      </c>
      <c r="N158" s="169">
        <v>12.72</v>
      </c>
      <c r="O158" s="169">
        <v>13.06</v>
      </c>
      <c r="P158" s="169">
        <v>13.045731</v>
      </c>
      <c r="Q158" s="169">
        <v>33868300</v>
      </c>
      <c r="R158" s="53">
        <f t="shared" si="6"/>
        <v>-2.6825511870795293E-2</v>
      </c>
      <c r="S158" s="59">
        <f>(P158/P157)*('16. câmbio USD-BRL'!O749/'16. câmbio USD-BRL'!O748)^-1 -1</f>
        <v>-3.5174146657948269E-2</v>
      </c>
    </row>
    <row r="159" spans="1:19" x14ac:dyDescent="0.2">
      <c r="A159" s="46"/>
      <c r="H159" s="53"/>
      <c r="I159" s="53"/>
      <c r="K159" s="355">
        <v>43185</v>
      </c>
      <c r="L159" s="169">
        <v>13.23</v>
      </c>
      <c r="M159" s="169">
        <v>13.29</v>
      </c>
      <c r="N159" s="169">
        <v>12.61</v>
      </c>
      <c r="O159" s="169">
        <v>13.15</v>
      </c>
      <c r="P159" s="169">
        <v>13.135631</v>
      </c>
      <c r="Q159" s="169">
        <v>16576100</v>
      </c>
      <c r="R159" s="53">
        <f t="shared" si="6"/>
        <v>6.8911431639975262E-3</v>
      </c>
      <c r="S159" s="59">
        <f>(P159/P158)*('16. câmbio USD-BRL'!O750/'16. câmbio USD-BRL'!O749)^-1 -1</f>
        <v>8.994166801190806E-3</v>
      </c>
    </row>
    <row r="160" spans="1:19" x14ac:dyDescent="0.2">
      <c r="A160" s="46"/>
      <c r="H160" s="53"/>
      <c r="I160" s="53"/>
      <c r="K160" s="355">
        <v>43192</v>
      </c>
      <c r="L160" s="169">
        <v>13.03</v>
      </c>
      <c r="M160" s="169">
        <v>13.6</v>
      </c>
      <c r="N160" s="169">
        <v>12.26</v>
      </c>
      <c r="O160" s="169">
        <v>13.6</v>
      </c>
      <c r="P160" s="169">
        <v>13.585140000000001</v>
      </c>
      <c r="Q160" s="169">
        <v>39248700</v>
      </c>
      <c r="R160" s="53">
        <f t="shared" si="6"/>
        <v>3.4220586738467285E-2</v>
      </c>
      <c r="S160" s="59">
        <f>(P160/P159)*('16. câmbio USD-BRL'!O751/'16. câmbio USD-BRL'!O750)^-1 -1</f>
        <v>1.489711283208095E-2</v>
      </c>
    </row>
    <row r="161" spans="1:19" x14ac:dyDescent="0.2">
      <c r="A161" s="46"/>
      <c r="H161" s="53"/>
      <c r="I161" s="53"/>
      <c r="K161" s="355">
        <v>43199</v>
      </c>
      <c r="L161" s="169">
        <v>13.63</v>
      </c>
      <c r="M161" s="169">
        <v>14.15</v>
      </c>
      <c r="N161" s="169">
        <v>13.44</v>
      </c>
      <c r="O161" s="169">
        <v>13.97</v>
      </c>
      <c r="P161" s="169">
        <v>13.954736</v>
      </c>
      <c r="Q161" s="169">
        <v>43976000</v>
      </c>
      <c r="R161" s="53">
        <f t="shared" si="6"/>
        <v>2.7205902920396818E-2</v>
      </c>
      <c r="S161" s="59">
        <f>(P161/P160)*('16. câmbio USD-BRL'!O752/'16. câmbio USD-BRL'!O751)^-1 -1</f>
        <v>1.0782378165999029E-2</v>
      </c>
    </row>
    <row r="162" spans="1:19" x14ac:dyDescent="0.2">
      <c r="A162" s="46"/>
      <c r="H162" s="53"/>
      <c r="I162" s="53"/>
      <c r="K162" s="355">
        <v>43206</v>
      </c>
      <c r="L162" s="169">
        <v>13.9</v>
      </c>
      <c r="M162" s="169">
        <v>14.29</v>
      </c>
      <c r="N162" s="169">
        <v>13.68</v>
      </c>
      <c r="O162" s="169">
        <v>14.29</v>
      </c>
      <c r="P162" s="169">
        <v>14.274385000000001</v>
      </c>
      <c r="Q162" s="169">
        <v>17765000</v>
      </c>
      <c r="R162" s="53">
        <f t="shared" si="6"/>
        <v>2.290613021987653E-2</v>
      </c>
      <c r="S162" s="59">
        <f>(P162/P161)*('16. câmbio USD-BRL'!O753/'16. câmbio USD-BRL'!O752)^-1 -1</f>
        <v>2.6175542535331608E-2</v>
      </c>
    </row>
    <row r="163" spans="1:19" x14ac:dyDescent="0.2">
      <c r="A163" s="46"/>
      <c r="H163" s="53"/>
      <c r="I163" s="53"/>
      <c r="K163" s="355">
        <v>43213</v>
      </c>
      <c r="L163" s="169">
        <v>14.25</v>
      </c>
      <c r="M163" s="169">
        <v>14.4</v>
      </c>
      <c r="N163" s="169">
        <v>13.71</v>
      </c>
      <c r="O163" s="169">
        <v>14.36</v>
      </c>
      <c r="P163" s="169">
        <v>14.344309000000001</v>
      </c>
      <c r="Q163" s="169">
        <v>28948400</v>
      </c>
      <c r="R163" s="53">
        <f t="shared" si="6"/>
        <v>4.8985648068200494E-3</v>
      </c>
      <c r="S163" s="59">
        <f>(P163/P162)*('16. câmbio USD-BRL'!O754/'16. câmbio USD-BRL'!O753)^-1 -1</f>
        <v>-8.3608971438124957E-3</v>
      </c>
    </row>
    <row r="164" spans="1:19" x14ac:dyDescent="0.2">
      <c r="A164" s="46"/>
      <c r="H164" s="53"/>
      <c r="I164" s="53"/>
      <c r="K164" s="355">
        <v>43220</v>
      </c>
      <c r="L164" s="169">
        <v>14.35</v>
      </c>
      <c r="M164" s="169">
        <v>14.96</v>
      </c>
      <c r="N164" s="169">
        <v>14.27</v>
      </c>
      <c r="O164" s="169">
        <v>14.39</v>
      </c>
      <c r="P164" s="169">
        <v>14.374276999999999</v>
      </c>
      <c r="Q164" s="169">
        <v>37342700</v>
      </c>
      <c r="R164" s="53">
        <f t="shared" si="6"/>
        <v>2.08919091188009E-3</v>
      </c>
      <c r="S164" s="59">
        <f>(P164/P163)*('16. câmbio USD-BRL'!O755/'16. câmbio USD-BRL'!O754)^-1 -1</f>
        <v>-1.8501293823725562E-2</v>
      </c>
    </row>
    <row r="165" spans="1:19" x14ac:dyDescent="0.2">
      <c r="A165" s="46"/>
      <c r="H165" s="53"/>
      <c r="I165" s="53"/>
      <c r="K165" s="355">
        <v>43227</v>
      </c>
      <c r="L165" s="169">
        <v>14.38</v>
      </c>
      <c r="M165" s="169">
        <v>14.99</v>
      </c>
      <c r="N165" s="169">
        <v>14.09</v>
      </c>
      <c r="O165" s="169">
        <v>14.54</v>
      </c>
      <c r="P165" s="169">
        <v>14.524113</v>
      </c>
      <c r="Q165" s="169">
        <v>25011800</v>
      </c>
      <c r="R165" s="53">
        <f t="shared" si="6"/>
        <v>1.0423898189801273E-2</v>
      </c>
      <c r="S165" s="59">
        <f>(P165/P164)*('16. câmbio USD-BRL'!O756/'16. câmbio USD-BRL'!O755)^-1 -1</f>
        <v>-9.5347458333394641E-3</v>
      </c>
    </row>
    <row r="166" spans="1:19" x14ac:dyDescent="0.2">
      <c r="A166" s="46"/>
      <c r="H166" s="53"/>
      <c r="I166" s="53"/>
      <c r="K166" s="355">
        <v>43234</v>
      </c>
      <c r="L166" s="169">
        <v>14.52</v>
      </c>
      <c r="M166" s="169">
        <v>14.71</v>
      </c>
      <c r="N166" s="169">
        <v>13.44</v>
      </c>
      <c r="O166" s="169">
        <v>13.66</v>
      </c>
      <c r="P166" s="169">
        <v>13.645073999999999</v>
      </c>
      <c r="Q166" s="169">
        <v>33493900</v>
      </c>
      <c r="R166" s="53">
        <f t="shared" si="6"/>
        <v>-6.0522732093863496E-2</v>
      </c>
      <c r="S166" s="59">
        <f>(P166/P165)*('16. câmbio USD-BRL'!O757/'16. câmbio USD-BRL'!O756)^-1 -1</f>
        <v>-9.4847851759063739E-2</v>
      </c>
    </row>
    <row r="167" spans="1:19" x14ac:dyDescent="0.2">
      <c r="A167" s="46"/>
      <c r="H167" s="53"/>
      <c r="I167" s="53"/>
      <c r="K167" s="355">
        <v>43241</v>
      </c>
      <c r="L167" s="169">
        <v>13.74</v>
      </c>
      <c r="M167" s="169">
        <v>14.9</v>
      </c>
      <c r="N167" s="169">
        <v>13.53</v>
      </c>
      <c r="O167" s="169">
        <v>14.22</v>
      </c>
      <c r="P167" s="169">
        <v>14.204461999999999</v>
      </c>
      <c r="Q167" s="169">
        <v>32375100</v>
      </c>
      <c r="R167" s="53">
        <f t="shared" si="6"/>
        <v>4.0995600317008218E-2</v>
      </c>
      <c r="S167" s="59">
        <f>(P167/P166)*('16. câmbio USD-BRL'!O758/'16. câmbio USD-BRL'!O757)^-1 -1</f>
        <v>5.8822129205396978E-2</v>
      </c>
    </row>
    <row r="168" spans="1:19" x14ac:dyDescent="0.2">
      <c r="A168" s="46"/>
      <c r="H168" s="53"/>
      <c r="I168" s="53"/>
      <c r="K168" s="355">
        <v>43248</v>
      </c>
      <c r="L168" s="169">
        <v>14</v>
      </c>
      <c r="M168" s="169">
        <v>14.34</v>
      </c>
      <c r="N168" s="169">
        <v>13.06</v>
      </c>
      <c r="O168" s="169">
        <v>13.94</v>
      </c>
      <c r="P168" s="169">
        <v>13.924766999999999</v>
      </c>
      <c r="Q168" s="169">
        <v>32510000</v>
      </c>
      <c r="R168" s="53">
        <f t="shared" si="6"/>
        <v>-1.9690643686469778E-2</v>
      </c>
      <c r="S168" s="59">
        <f>(P168/P167)*('16. câmbio USD-BRL'!O759/'16. câmbio USD-BRL'!O758)^-1 -1</f>
        <v>-4.2016043665302427E-2</v>
      </c>
    </row>
    <row r="169" spans="1:19" x14ac:dyDescent="0.2">
      <c r="A169" s="46"/>
      <c r="H169" s="53"/>
      <c r="I169" s="53"/>
      <c r="K169" s="355">
        <v>43255</v>
      </c>
      <c r="L169" s="169">
        <v>14.01</v>
      </c>
      <c r="M169" s="169">
        <v>14.7</v>
      </c>
      <c r="N169" s="169">
        <v>11.93</v>
      </c>
      <c r="O169" s="169">
        <v>13.64</v>
      </c>
      <c r="P169" s="169">
        <v>13.625095999999999</v>
      </c>
      <c r="Q169" s="169">
        <v>62365700</v>
      </c>
      <c r="R169" s="53">
        <f t="shared" si="6"/>
        <v>-2.1520719161764124E-2</v>
      </c>
      <c r="S169" s="59">
        <f>(P169/P168)*('16. câmbio USD-BRL'!O760/'16. câmbio USD-BRL'!O759)^-1 -1</f>
        <v>-6.9366618369981481E-3</v>
      </c>
    </row>
    <row r="170" spans="1:19" x14ac:dyDescent="0.2">
      <c r="A170" s="46"/>
      <c r="H170" s="53"/>
      <c r="I170" s="53"/>
      <c r="K170" s="355">
        <v>43262</v>
      </c>
      <c r="L170" s="169">
        <v>13.64</v>
      </c>
      <c r="M170" s="169">
        <v>13.75</v>
      </c>
      <c r="N170" s="169">
        <v>12.72</v>
      </c>
      <c r="O170" s="169">
        <v>13.03</v>
      </c>
      <c r="P170" s="169">
        <v>13.015762</v>
      </c>
      <c r="Q170" s="169">
        <v>32761600</v>
      </c>
      <c r="R170" s="53">
        <f t="shared" si="6"/>
        <v>-4.4721446366322803E-2</v>
      </c>
      <c r="S170" s="59">
        <f>(P170/P169)*('16. câmbio USD-BRL'!O761/'16. câmbio USD-BRL'!O760)^-1 -1</f>
        <v>-5.1101243594484536E-2</v>
      </c>
    </row>
    <row r="171" spans="1:19" x14ac:dyDescent="0.2">
      <c r="A171" s="46"/>
      <c r="H171" s="53"/>
      <c r="I171" s="53"/>
      <c r="K171" s="355">
        <v>43269</v>
      </c>
      <c r="L171" s="169">
        <v>12.85</v>
      </c>
      <c r="M171" s="169">
        <v>13.66</v>
      </c>
      <c r="N171" s="169">
        <v>12.23</v>
      </c>
      <c r="O171" s="169">
        <v>13.08</v>
      </c>
      <c r="P171" s="169">
        <v>13.065708000000001</v>
      </c>
      <c r="Q171" s="169">
        <v>37966000</v>
      </c>
      <c r="R171" s="53">
        <f t="shared" si="6"/>
        <v>3.837347363911503E-3</v>
      </c>
      <c r="S171" s="59">
        <f>(P171/P170)*('16. câmbio USD-BRL'!O762/'16. câmbio USD-BRL'!O761)^-1 -1</f>
        <v>-5.947473928552327E-3</v>
      </c>
    </row>
    <row r="172" spans="1:19" x14ac:dyDescent="0.2">
      <c r="A172" s="46"/>
      <c r="H172" s="53"/>
      <c r="I172" s="53"/>
      <c r="K172" s="355">
        <v>43276</v>
      </c>
      <c r="L172" s="169">
        <v>13.08</v>
      </c>
      <c r="M172" s="169">
        <v>14.14</v>
      </c>
      <c r="N172" s="169">
        <v>12.92</v>
      </c>
      <c r="O172" s="169">
        <v>14.1</v>
      </c>
      <c r="P172" s="169">
        <v>14.084593999999999</v>
      </c>
      <c r="Q172" s="169">
        <v>31497300</v>
      </c>
      <c r="R172" s="53">
        <f t="shared" si="6"/>
        <v>7.7981690697511263E-2</v>
      </c>
      <c r="S172" s="59">
        <f>(P172/P171)*('16. câmbio USD-BRL'!O763/'16. câmbio USD-BRL'!O762)^-1 -1</f>
        <v>4.7273606926899525E-2</v>
      </c>
    </row>
    <row r="173" spans="1:19" x14ac:dyDescent="0.2">
      <c r="A173" s="46"/>
      <c r="H173" s="53"/>
      <c r="I173" s="53"/>
      <c r="K173" s="355">
        <v>43283</v>
      </c>
      <c r="L173" s="169">
        <v>13.9</v>
      </c>
      <c r="M173" s="169">
        <v>14.15</v>
      </c>
      <c r="N173" s="169">
        <v>13.25</v>
      </c>
      <c r="O173" s="169">
        <v>13.69</v>
      </c>
      <c r="P173" s="169">
        <v>13.675041</v>
      </c>
      <c r="Q173" s="169">
        <v>27427300</v>
      </c>
      <c r="R173" s="53">
        <f t="shared" si="6"/>
        <v>-2.9078083471912541E-2</v>
      </c>
      <c r="S173" s="59">
        <f>(P173/P172)*('16. câmbio USD-BRL'!O764/'16. câmbio USD-BRL'!O763)^-1 -1</f>
        <v>-2.5557972936785411E-2</v>
      </c>
    </row>
    <row r="174" spans="1:19" x14ac:dyDescent="0.2">
      <c r="A174" s="46"/>
      <c r="H174" s="53"/>
      <c r="I174" s="53"/>
      <c r="K174" s="355">
        <v>43290</v>
      </c>
      <c r="L174" s="169">
        <v>13.69</v>
      </c>
      <c r="M174" s="169">
        <v>14.85</v>
      </c>
      <c r="N174" s="169">
        <v>13.69</v>
      </c>
      <c r="O174" s="169">
        <v>14.69</v>
      </c>
      <c r="P174" s="169">
        <v>14.673947999999999</v>
      </c>
      <c r="Q174" s="169">
        <v>24556000</v>
      </c>
      <c r="R174" s="53">
        <f t="shared" si="6"/>
        <v>7.3045996717669759E-2</v>
      </c>
      <c r="S174" s="59">
        <f>(P174/P173)*('16. câmbio USD-BRL'!O765/'16. câmbio USD-BRL'!O764)^-1 -1</f>
        <v>7.6558787270462281E-2</v>
      </c>
    </row>
    <row r="175" spans="1:19" x14ac:dyDescent="0.2">
      <c r="A175" s="46"/>
      <c r="H175" s="53"/>
      <c r="I175" s="53"/>
      <c r="K175" s="355">
        <v>43297</v>
      </c>
      <c r="L175" s="169">
        <v>14.7</v>
      </c>
      <c r="M175" s="169">
        <v>15.5</v>
      </c>
      <c r="N175" s="169">
        <v>14.33</v>
      </c>
      <c r="O175" s="169">
        <v>15.27</v>
      </c>
      <c r="P175" s="169">
        <v>15.253315000000001</v>
      </c>
      <c r="Q175" s="169">
        <v>21265700</v>
      </c>
      <c r="R175" s="53">
        <f t="shared" si="6"/>
        <v>3.9482694091596882E-2</v>
      </c>
      <c r="S175" s="59">
        <f>(P175/P174)*('16. câmbio USD-BRL'!O766/'16. câmbio USD-BRL'!O765)^-1 -1</f>
        <v>6.3437600682884288E-2</v>
      </c>
    </row>
    <row r="176" spans="1:19" x14ac:dyDescent="0.2">
      <c r="A176" s="46"/>
      <c r="H176" s="53"/>
      <c r="I176" s="53"/>
      <c r="K176" s="355">
        <v>43304</v>
      </c>
      <c r="L176" s="169">
        <v>15.14</v>
      </c>
      <c r="M176" s="169">
        <v>15.34</v>
      </c>
      <c r="N176" s="169">
        <v>14.28</v>
      </c>
      <c r="O176" s="169">
        <v>14.4</v>
      </c>
      <c r="P176" s="169">
        <v>14.384264999999999</v>
      </c>
      <c r="Q176" s="169">
        <v>21275900</v>
      </c>
      <c r="R176" s="53">
        <f t="shared" si="6"/>
        <v>-5.6974500297148567E-2</v>
      </c>
      <c r="S176" s="59">
        <f>(P176/P175)*('16. câmbio USD-BRL'!O767/'16. câmbio USD-BRL'!O766)^-1 -1</f>
        <v>-4.4169800371230306E-2</v>
      </c>
    </row>
    <row r="177" spans="1:19" x14ac:dyDescent="0.2">
      <c r="A177" s="46"/>
      <c r="H177" s="53"/>
      <c r="I177" s="53"/>
      <c r="K177" s="355">
        <v>43311</v>
      </c>
      <c r="L177" s="169">
        <v>14.5</v>
      </c>
      <c r="M177" s="169">
        <v>15.39</v>
      </c>
      <c r="N177" s="169">
        <v>14.37</v>
      </c>
      <c r="O177" s="169">
        <v>15.27</v>
      </c>
      <c r="P177" s="169">
        <v>15.253315000000001</v>
      </c>
      <c r="Q177" s="169">
        <v>19393100</v>
      </c>
      <c r="R177" s="53">
        <f t="shared" si="6"/>
        <v>6.0416712289435903E-2</v>
      </c>
      <c r="S177" s="59">
        <f>(P177/P176)*('16. câmbio USD-BRL'!O768/'16. câmbio USD-BRL'!O767)^-1 -1</f>
        <v>6.2219606713245001E-2</v>
      </c>
    </row>
    <row r="178" spans="1:19" x14ac:dyDescent="0.2">
      <c r="A178" s="46"/>
      <c r="H178" s="53"/>
      <c r="I178" s="53"/>
      <c r="K178" s="355">
        <v>43318</v>
      </c>
      <c r="L178" s="169">
        <v>15.29</v>
      </c>
      <c r="M178" s="169">
        <v>15.52</v>
      </c>
      <c r="N178" s="169">
        <v>13.95</v>
      </c>
      <c r="O178" s="169">
        <v>14.23</v>
      </c>
      <c r="P178" s="169">
        <v>14.214451</v>
      </c>
      <c r="Q178" s="169">
        <v>30711600</v>
      </c>
      <c r="R178" s="53">
        <f t="shared" si="6"/>
        <v>-6.8107424517227955E-2</v>
      </c>
      <c r="S178" s="59">
        <f>(P178/P177)*('16. câmbio USD-BRL'!O769/'16. câmbio USD-BRL'!O768)^-1 -1</f>
        <v>-0.10531455631376008</v>
      </c>
    </row>
    <row r="179" spans="1:19" x14ac:dyDescent="0.2">
      <c r="A179" s="46"/>
      <c r="H179" s="53"/>
      <c r="I179" s="53"/>
      <c r="K179" s="355">
        <v>43325</v>
      </c>
      <c r="L179" s="169">
        <v>14.17</v>
      </c>
      <c r="M179" s="169">
        <v>14.66</v>
      </c>
      <c r="N179" s="169">
        <v>13.31</v>
      </c>
      <c r="O179" s="169">
        <v>13.58</v>
      </c>
      <c r="P179" s="169">
        <v>13.565162000000001</v>
      </c>
      <c r="Q179" s="169">
        <v>45052000</v>
      </c>
      <c r="R179" s="53">
        <f t="shared" si="6"/>
        <v>-4.5678091964297396E-2</v>
      </c>
      <c r="S179" s="59">
        <f>(P179/P178)*('16. câmbio USD-BRL'!O770/'16. câmbio USD-BRL'!O769)^-1 -1</f>
        <v>-5.7762442440818074E-2</v>
      </c>
    </row>
    <row r="180" spans="1:19" x14ac:dyDescent="0.2">
      <c r="A180" s="46"/>
      <c r="H180" s="53"/>
      <c r="I180" s="53"/>
      <c r="K180" s="355">
        <v>43332</v>
      </c>
      <c r="L180" s="169">
        <v>13.57</v>
      </c>
      <c r="M180" s="169">
        <v>14.03</v>
      </c>
      <c r="N180" s="169">
        <v>13.35</v>
      </c>
      <c r="O180" s="169">
        <v>13.35</v>
      </c>
      <c r="P180" s="169">
        <v>13.335413000000001</v>
      </c>
      <c r="Q180" s="169">
        <v>24520000</v>
      </c>
      <c r="R180" s="53">
        <f t="shared" si="6"/>
        <v>-1.6936694158167787E-2</v>
      </c>
      <c r="S180" s="59">
        <f>(P180/P179)*('16. câmbio USD-BRL'!O771/'16. câmbio USD-BRL'!O770)^-1 -1</f>
        <v>-6.5512543134910728E-2</v>
      </c>
    </row>
    <row r="181" spans="1:19" x14ac:dyDescent="0.2">
      <c r="A181" s="46"/>
      <c r="H181" s="53"/>
      <c r="I181" s="53"/>
      <c r="K181" s="355">
        <v>43339</v>
      </c>
      <c r="L181" s="169">
        <v>13.36</v>
      </c>
      <c r="M181" s="169">
        <v>14.29</v>
      </c>
      <c r="N181" s="169">
        <v>13.21</v>
      </c>
      <c r="O181" s="169">
        <v>14.23</v>
      </c>
      <c r="P181" s="169">
        <v>14.214451</v>
      </c>
      <c r="Q181" s="169">
        <v>30604700</v>
      </c>
      <c r="R181" s="53">
        <f t="shared" si="6"/>
        <v>6.5917568507251945E-2</v>
      </c>
      <c r="S181" s="59">
        <f>(P181/P180)*('16. câmbio USD-BRL'!O772/'16. câmbio USD-BRL'!O771)^-1 -1</f>
        <v>8.1299722969158106E-2</v>
      </c>
    </row>
    <row r="182" spans="1:19" x14ac:dyDescent="0.2">
      <c r="A182" s="46"/>
      <c r="H182" s="53"/>
      <c r="I182" s="53"/>
      <c r="K182" s="355">
        <v>43346</v>
      </c>
      <c r="L182" s="169">
        <v>14.06</v>
      </c>
      <c r="M182" s="169">
        <v>14.19</v>
      </c>
      <c r="N182" s="169">
        <v>13.42</v>
      </c>
      <c r="O182" s="169">
        <v>13.99</v>
      </c>
      <c r="P182" s="169">
        <v>13.974712999999999</v>
      </c>
      <c r="Q182" s="169">
        <v>10818900</v>
      </c>
      <c r="R182" s="53">
        <f t="shared" si="6"/>
        <v>-1.6865793831925102E-2</v>
      </c>
      <c r="S182" s="59">
        <f>(P182/P181)*('16. câmbio USD-BRL'!O773/'16. câmbio USD-BRL'!O772)^-1 -1</f>
        <v>-1.7907531858716519E-2</v>
      </c>
    </row>
    <row r="183" spans="1:19" x14ac:dyDescent="0.2">
      <c r="A183" s="46"/>
      <c r="H183" s="53"/>
      <c r="I183" s="53"/>
      <c r="K183" s="355">
        <v>43353</v>
      </c>
      <c r="L183" s="169">
        <v>14.18</v>
      </c>
      <c r="M183" s="169">
        <v>14.2</v>
      </c>
      <c r="N183" s="169">
        <v>13.35</v>
      </c>
      <c r="O183" s="169">
        <v>13.85</v>
      </c>
      <c r="P183" s="169">
        <v>13.834866999999999</v>
      </c>
      <c r="Q183" s="169">
        <v>21754000</v>
      </c>
      <c r="R183" s="53">
        <f t="shared" si="6"/>
        <v>-1.0007074921681736E-2</v>
      </c>
      <c r="S183" s="59">
        <f>(P183/P182)*('16. câmbio USD-BRL'!O774/'16. câmbio USD-BRL'!O773)^-1 -1</f>
        <v>-4.4592083410149086E-2</v>
      </c>
    </row>
    <row r="184" spans="1:19" x14ac:dyDescent="0.2">
      <c r="A184" s="46"/>
      <c r="H184" s="53"/>
      <c r="I184" s="53"/>
      <c r="K184" s="355">
        <v>43360</v>
      </c>
      <c r="L184" s="169">
        <v>13.77</v>
      </c>
      <c r="M184" s="169">
        <v>15.17</v>
      </c>
      <c r="N184" s="169">
        <v>13.77</v>
      </c>
      <c r="O184" s="169">
        <v>14.92</v>
      </c>
      <c r="P184" s="169">
        <v>14.903696999999999</v>
      </c>
      <c r="Q184" s="169">
        <v>26177500</v>
      </c>
      <c r="R184" s="53">
        <f t="shared" si="6"/>
        <v>7.7256254071687236E-2</v>
      </c>
      <c r="S184" s="59">
        <f>(P184/P183)*('16. câmbio USD-BRL'!O775/'16. câmbio USD-BRL'!O774)^-1 -1</f>
        <v>0.11867793158606288</v>
      </c>
    </row>
    <row r="185" spans="1:19" x14ac:dyDescent="0.2">
      <c r="A185" s="46"/>
      <c r="H185" s="53"/>
      <c r="I185" s="53"/>
      <c r="K185" s="355">
        <v>43367</v>
      </c>
      <c r="L185" s="169">
        <v>14.78</v>
      </c>
      <c r="M185" s="169">
        <v>15.03</v>
      </c>
      <c r="N185" s="169">
        <v>14.3</v>
      </c>
      <c r="O185" s="169">
        <v>14.98</v>
      </c>
      <c r="P185" s="169">
        <v>14.963632</v>
      </c>
      <c r="Q185" s="169">
        <v>21254400</v>
      </c>
      <c r="R185" s="53">
        <f t="shared" si="6"/>
        <v>4.0214854072786466E-3</v>
      </c>
      <c r="S185" s="59">
        <f>(P185/P184)*('16. câmbio USD-BRL'!O776/'16. câmbio USD-BRL'!O775)^-1 -1</f>
        <v>4.3439231372759401E-3</v>
      </c>
    </row>
    <row r="186" spans="1:19" x14ac:dyDescent="0.2">
      <c r="A186" s="46"/>
      <c r="H186" s="53"/>
      <c r="I186" s="53"/>
      <c r="K186" s="355">
        <v>43374</v>
      </c>
      <c r="L186" s="169">
        <v>14.94</v>
      </c>
      <c r="M186" s="169">
        <v>15.48</v>
      </c>
      <c r="N186" s="169">
        <v>14.53</v>
      </c>
      <c r="O186" s="169">
        <v>14.9</v>
      </c>
      <c r="P186" s="169">
        <v>14.883718</v>
      </c>
      <c r="Q186" s="169">
        <v>54415500</v>
      </c>
      <c r="R186" s="53">
        <f t="shared" si="6"/>
        <v>-5.3405483374624474E-3</v>
      </c>
      <c r="S186" s="59">
        <f>(P186/P185)*('16. câmbio USD-BRL'!O777/'16. câmbio USD-BRL'!O776)^-1 -1</f>
        <v>5.0095574245612617E-2</v>
      </c>
    </row>
    <row r="187" spans="1:19" x14ac:dyDescent="0.2">
      <c r="A187" s="46"/>
      <c r="H187" s="53"/>
      <c r="I187" s="53"/>
      <c r="K187" s="355">
        <v>43381</v>
      </c>
      <c r="L187" s="169">
        <v>15.47</v>
      </c>
      <c r="M187" s="169">
        <v>15.74</v>
      </c>
      <c r="N187" s="169">
        <v>14.83</v>
      </c>
      <c r="O187" s="169">
        <v>15.36</v>
      </c>
      <c r="P187" s="169">
        <v>15.343216</v>
      </c>
      <c r="Q187" s="169">
        <v>42643800</v>
      </c>
      <c r="R187" s="53">
        <f t="shared" si="6"/>
        <v>3.0872527953028861E-2</v>
      </c>
      <c r="S187" s="59">
        <f>(P187/P186)*('16. câmbio USD-BRL'!O778/'16. câmbio USD-BRL'!O777)^-1 -1</f>
        <v>4.526630541591925E-2</v>
      </c>
    </row>
    <row r="188" spans="1:19" x14ac:dyDescent="0.2">
      <c r="A188" s="46"/>
      <c r="H188" s="53"/>
      <c r="I188" s="53"/>
      <c r="K188" s="355">
        <v>43388</v>
      </c>
      <c r="L188" s="169">
        <v>15.52</v>
      </c>
      <c r="M188" s="169">
        <v>15.95</v>
      </c>
      <c r="N188" s="169">
        <v>15.09</v>
      </c>
      <c r="O188" s="169">
        <v>15.55</v>
      </c>
      <c r="P188" s="169">
        <v>15.533010000000001</v>
      </c>
      <c r="Q188" s="169">
        <v>28778400</v>
      </c>
      <c r="R188" s="53">
        <f t="shared" si="6"/>
        <v>1.2369896897756139E-2</v>
      </c>
      <c r="S188" s="59">
        <f>(P188/P187)*('16. câmbio USD-BRL'!O779/'16. câmbio USD-BRL'!O778)^-1 -1</f>
        <v>2.9023671510056914E-2</v>
      </c>
    </row>
    <row r="189" spans="1:19" x14ac:dyDescent="0.2">
      <c r="A189" s="46"/>
      <c r="H189" s="53"/>
      <c r="I189" s="53"/>
      <c r="K189" s="355">
        <v>43395</v>
      </c>
      <c r="L189" s="169">
        <v>15.65</v>
      </c>
      <c r="M189" s="169">
        <v>16.25</v>
      </c>
      <c r="N189" s="169">
        <v>14.84</v>
      </c>
      <c r="O189" s="169">
        <v>15.74</v>
      </c>
      <c r="P189" s="169">
        <v>15.722801</v>
      </c>
      <c r="Q189" s="169">
        <v>46325600</v>
      </c>
      <c r="R189" s="53">
        <f t="shared" si="6"/>
        <v>1.2218559055843015E-2</v>
      </c>
      <c r="S189" s="59">
        <f>(P189/P188)*('16. câmbio USD-BRL'!O780/'16. câmbio USD-BRL'!O779)^-1 -1</f>
        <v>3.4122396060813465E-2</v>
      </c>
    </row>
    <row r="190" spans="1:19" x14ac:dyDescent="0.2">
      <c r="A190" s="46"/>
      <c r="H190" s="53"/>
      <c r="I190" s="53"/>
      <c r="K190" s="355">
        <v>43402</v>
      </c>
      <c r="L190" s="169">
        <v>15.58</v>
      </c>
      <c r="M190" s="169">
        <v>16.989999999999998</v>
      </c>
      <c r="N190" s="169">
        <v>15.14</v>
      </c>
      <c r="O190" s="169">
        <v>16.690000999999999</v>
      </c>
      <c r="P190" s="169">
        <v>16.671764</v>
      </c>
      <c r="Q190" s="169">
        <v>46996000</v>
      </c>
      <c r="R190" s="53">
        <f t="shared" si="6"/>
        <v>6.0355848808364199E-2</v>
      </c>
      <c r="S190" s="59">
        <f>(P190/P189)*('16. câmbio USD-BRL'!O781/'16. câmbio USD-BRL'!O780)^-1 -1</f>
        <v>4.5342417953234904E-2</v>
      </c>
    </row>
    <row r="191" spans="1:19" x14ac:dyDescent="0.2">
      <c r="A191" s="46"/>
      <c r="H191" s="53"/>
      <c r="I191" s="53"/>
      <c r="K191" s="355">
        <v>43409</v>
      </c>
      <c r="L191" s="169">
        <v>16.719999000000001</v>
      </c>
      <c r="M191" s="169">
        <v>16.950001</v>
      </c>
      <c r="N191" s="169">
        <v>16.129999000000002</v>
      </c>
      <c r="O191" s="169">
        <v>16.48</v>
      </c>
      <c r="P191" s="169">
        <v>16.461991999999999</v>
      </c>
      <c r="Q191" s="169">
        <v>43045500</v>
      </c>
      <c r="R191" s="53">
        <f t="shared" si="6"/>
        <v>-1.2582471776831805E-2</v>
      </c>
      <c r="S191" s="59">
        <f>(P191/P190)*('16. câmbio USD-BRL'!O782/'16. câmbio USD-BRL'!O781)^-1 -1</f>
        <v>-2.2768034254819214E-2</v>
      </c>
    </row>
    <row r="192" spans="1:19" x14ac:dyDescent="0.2">
      <c r="A192" s="46"/>
      <c r="H192" s="53"/>
      <c r="I192" s="53"/>
      <c r="K192" s="355">
        <v>43416</v>
      </c>
      <c r="L192" s="169">
        <v>16.469999000000001</v>
      </c>
      <c r="M192" s="169">
        <v>17.559999000000001</v>
      </c>
      <c r="N192" s="169">
        <v>15.85</v>
      </c>
      <c r="O192" s="169">
        <v>17.559999000000001</v>
      </c>
      <c r="P192" s="169">
        <v>17.540811999999999</v>
      </c>
      <c r="Q192" s="169">
        <v>39189500</v>
      </c>
      <c r="R192" s="53">
        <f t="shared" si="6"/>
        <v>6.5533988839260759E-2</v>
      </c>
      <c r="S192" s="59">
        <f>(P192/P191)*('16. câmbio USD-BRL'!O783/'16. câmbio USD-BRL'!O782)^-1 -1</f>
        <v>6.3766886864991879E-2</v>
      </c>
    </row>
    <row r="193" spans="1:19" x14ac:dyDescent="0.2">
      <c r="A193" s="46"/>
      <c r="H193" s="53"/>
      <c r="I193" s="53"/>
      <c r="K193" s="355">
        <v>43423</v>
      </c>
      <c r="L193" s="169">
        <v>17.399999999999999</v>
      </c>
      <c r="M193" s="169">
        <v>17.91</v>
      </c>
      <c r="N193" s="169">
        <v>17.049999</v>
      </c>
      <c r="O193" s="169">
        <v>17.299999</v>
      </c>
      <c r="P193" s="169">
        <v>17.281096000000002</v>
      </c>
      <c r="Q193" s="169">
        <v>25955500</v>
      </c>
      <c r="R193" s="53">
        <f t="shared" si="6"/>
        <v>-1.4806384105821135E-2</v>
      </c>
      <c r="S193" s="59">
        <f>(P193/P192)*('16. câmbio USD-BRL'!O784/'16. câmbio USD-BRL'!O783)^-1 -1</f>
        <v>-3.6657773907255997E-2</v>
      </c>
    </row>
    <row r="194" spans="1:19" x14ac:dyDescent="0.2">
      <c r="A194" s="46"/>
      <c r="H194" s="53"/>
      <c r="I194" s="53"/>
      <c r="K194" s="355">
        <v>43430</v>
      </c>
      <c r="L194" s="169">
        <v>17.41</v>
      </c>
      <c r="M194" s="169">
        <v>17.799999</v>
      </c>
      <c r="N194" s="169">
        <v>16.739999999999998</v>
      </c>
      <c r="O194" s="169">
        <v>17.440000999999999</v>
      </c>
      <c r="P194" s="169">
        <v>17.420943999999999</v>
      </c>
      <c r="Q194" s="169">
        <v>38970000</v>
      </c>
      <c r="R194" s="53">
        <f t="shared" si="6"/>
        <v>8.0925422785682599E-3</v>
      </c>
      <c r="S194" s="59">
        <f>(P194/P193)*('16. câmbio USD-BRL'!O785/'16. câmbio USD-BRL'!O784)^-1 -1</f>
        <v>-1.9834234719566801E-3</v>
      </c>
    </row>
    <row r="195" spans="1:19" x14ac:dyDescent="0.2">
      <c r="A195" s="46"/>
      <c r="H195" s="53"/>
      <c r="I195" s="53"/>
      <c r="K195" s="355">
        <v>43437</v>
      </c>
      <c r="L195" s="169">
        <v>17.41</v>
      </c>
      <c r="M195" s="169">
        <v>17.579999999999998</v>
      </c>
      <c r="N195" s="169">
        <v>16.100000000000001</v>
      </c>
      <c r="O195" s="169">
        <v>16.209999</v>
      </c>
      <c r="P195" s="169">
        <v>16.192287</v>
      </c>
      <c r="Q195" s="169">
        <v>50658000</v>
      </c>
      <c r="R195" s="53">
        <f t="shared" si="6"/>
        <v>-7.0527578758074139E-2</v>
      </c>
      <c r="S195" s="59">
        <f>(P195/P194)*('16. câmbio USD-BRL'!O786/'16. câmbio USD-BRL'!O785)^-1 -1</f>
        <v>-7.4338660169634085E-2</v>
      </c>
    </row>
    <row r="196" spans="1:19" x14ac:dyDescent="0.2">
      <c r="A196" s="46"/>
      <c r="H196" s="53"/>
      <c r="I196" s="53"/>
      <c r="K196" s="355">
        <v>43444</v>
      </c>
      <c r="L196" s="169">
        <v>16.209999</v>
      </c>
      <c r="M196" s="169">
        <v>16.639999</v>
      </c>
      <c r="N196" s="169">
        <v>15.8</v>
      </c>
      <c r="O196" s="169">
        <v>16.25</v>
      </c>
      <c r="P196" s="169">
        <v>16.232244000000001</v>
      </c>
      <c r="Q196" s="169">
        <v>41173500</v>
      </c>
      <c r="R196" s="53">
        <f t="shared" si="6"/>
        <v>2.4676563600929402E-3</v>
      </c>
      <c r="S196" s="59">
        <f>(P196/P195)*('16. câmbio USD-BRL'!O787/'16. câmbio USD-BRL'!O786)^-1 -1</f>
        <v>-8.5612413365998563E-4</v>
      </c>
    </row>
    <row r="197" spans="1:19" x14ac:dyDescent="0.2">
      <c r="A197" s="46"/>
      <c r="H197" s="53"/>
      <c r="I197" s="53"/>
      <c r="K197" s="355">
        <v>43451</v>
      </c>
      <c r="L197" s="169">
        <v>16.280000999999999</v>
      </c>
      <c r="M197" s="169">
        <v>17.129999000000002</v>
      </c>
      <c r="N197" s="169">
        <v>15.85</v>
      </c>
      <c r="O197" s="169">
        <v>16.41</v>
      </c>
      <c r="P197" s="169">
        <v>16.392068999999999</v>
      </c>
      <c r="Q197" s="169">
        <v>53157600</v>
      </c>
      <c r="R197" s="53">
        <f t="shared" ref="R197:R260" si="7">P197/P196-1</f>
        <v>9.8461432689156414E-3</v>
      </c>
      <c r="S197" s="59">
        <f>(P197/P196)*('16. câmbio USD-BRL'!O788/'16. câmbio USD-BRL'!O787)^-1 -1</f>
        <v>6.7410740298692318E-3</v>
      </c>
    </row>
    <row r="198" spans="1:19" x14ac:dyDescent="0.2">
      <c r="A198" s="46"/>
      <c r="H198" s="53"/>
      <c r="I198" s="53"/>
      <c r="K198" s="355">
        <v>43458</v>
      </c>
      <c r="L198" s="169">
        <v>16.41</v>
      </c>
      <c r="M198" s="169">
        <v>17</v>
      </c>
      <c r="N198" s="169">
        <v>16.049999</v>
      </c>
      <c r="O198" s="169">
        <v>17</v>
      </c>
      <c r="P198" s="169">
        <v>16.981424000000001</v>
      </c>
      <c r="Q198" s="169">
        <v>17052600</v>
      </c>
      <c r="R198" s="53">
        <f t="shared" si="7"/>
        <v>3.5953667593761507E-2</v>
      </c>
      <c r="S198" s="59">
        <f>(P198/P197)*('16. câmbio USD-BRL'!O789/'16. câmbio USD-BRL'!O788)^-1 -1</f>
        <v>4.2041387282706344E-2</v>
      </c>
    </row>
    <row r="199" spans="1:19" x14ac:dyDescent="0.2">
      <c r="A199" s="46"/>
      <c r="H199" s="53"/>
      <c r="I199" s="53"/>
      <c r="K199" s="355">
        <v>43465</v>
      </c>
      <c r="L199" s="169">
        <v>17</v>
      </c>
      <c r="M199" s="169">
        <v>17.450001</v>
      </c>
      <c r="N199" s="169">
        <v>16.639999</v>
      </c>
      <c r="O199" s="169">
        <v>17.200001</v>
      </c>
      <c r="P199" s="169">
        <v>17.181208000000002</v>
      </c>
      <c r="Q199" s="169">
        <v>35617400</v>
      </c>
      <c r="R199" s="53">
        <f t="shared" si="7"/>
        <v>1.1764855526839257E-2</v>
      </c>
      <c r="S199" s="59">
        <f>(P199/P198)*('16. câmbio USD-BRL'!O790/'16. câmbio USD-BRL'!O789)^-1 -1</f>
        <v>5.7016119058264758E-2</v>
      </c>
    </row>
    <row r="200" spans="1:19" x14ac:dyDescent="0.2">
      <c r="A200" s="46"/>
      <c r="H200" s="53"/>
      <c r="I200" s="53"/>
      <c r="K200" s="355">
        <v>43472</v>
      </c>
      <c r="L200" s="169">
        <v>17.260000000000002</v>
      </c>
      <c r="M200" s="169">
        <v>17.639999</v>
      </c>
      <c r="N200" s="169">
        <v>16.68</v>
      </c>
      <c r="O200" s="169">
        <v>17.420000000000002</v>
      </c>
      <c r="P200" s="169">
        <v>17.400967000000001</v>
      </c>
      <c r="Q200" s="169">
        <v>30068600</v>
      </c>
      <c r="R200" s="53">
        <f t="shared" si="7"/>
        <v>1.2790660586845748E-2</v>
      </c>
      <c r="S200" s="59">
        <f>(P200/P199)*('16. câmbio USD-BRL'!O791/'16. câmbio USD-BRL'!O790)^-1 -1</f>
        <v>1.3855347930517681E-2</v>
      </c>
    </row>
    <row r="201" spans="1:19" x14ac:dyDescent="0.2">
      <c r="A201" s="46"/>
      <c r="H201" s="53"/>
      <c r="I201" s="53"/>
      <c r="K201" s="355">
        <v>43479</v>
      </c>
      <c r="L201" s="169">
        <v>17.549999</v>
      </c>
      <c r="M201" s="169">
        <v>18.950001</v>
      </c>
      <c r="N201" s="169">
        <v>17.290001</v>
      </c>
      <c r="O201" s="169">
        <v>18.57</v>
      </c>
      <c r="P201" s="169">
        <v>18.549709</v>
      </c>
      <c r="Q201" s="169">
        <v>64159500</v>
      </c>
      <c r="R201" s="53">
        <f t="shared" si="7"/>
        <v>6.6015986352942146E-2</v>
      </c>
      <c r="S201" s="59">
        <f>(P201/P200)*('16. câmbio USD-BRL'!O792/'16. câmbio USD-BRL'!O791)^-1 -1</f>
        <v>5.4926167081218447E-2</v>
      </c>
    </row>
    <row r="202" spans="1:19" x14ac:dyDescent="0.2">
      <c r="A202" s="46"/>
      <c r="H202" s="53"/>
      <c r="I202" s="53"/>
      <c r="K202" s="355">
        <v>43486</v>
      </c>
      <c r="L202" s="169">
        <v>18.469999000000001</v>
      </c>
      <c r="M202" s="169">
        <v>19.360001</v>
      </c>
      <c r="N202" s="169">
        <v>18.16</v>
      </c>
      <c r="O202" s="169">
        <v>19.309999000000001</v>
      </c>
      <c r="P202" s="169">
        <v>19.288900000000002</v>
      </c>
      <c r="Q202" s="169">
        <v>23803400</v>
      </c>
      <c r="R202" s="53">
        <f t="shared" si="7"/>
        <v>3.9849196556129396E-2</v>
      </c>
      <c r="S202" s="59">
        <f>(P202/P201)*('16. câmbio USD-BRL'!O793/'16. câmbio USD-BRL'!O792)^-1 -1</f>
        <v>3.4139073898894701E-2</v>
      </c>
    </row>
    <row r="203" spans="1:19" x14ac:dyDescent="0.2">
      <c r="A203" s="46"/>
      <c r="H203" s="53"/>
      <c r="I203" s="53"/>
      <c r="K203" s="355">
        <v>43493</v>
      </c>
      <c r="L203" s="169">
        <v>19.260000000000002</v>
      </c>
      <c r="M203" s="169">
        <v>19.870000999999998</v>
      </c>
      <c r="N203" s="169">
        <v>19.010000000000002</v>
      </c>
      <c r="O203" s="169">
        <v>19.34</v>
      </c>
      <c r="P203" s="169">
        <v>19.318868999999999</v>
      </c>
      <c r="Q203" s="169">
        <v>47779300</v>
      </c>
      <c r="R203" s="53">
        <f t="shared" si="7"/>
        <v>1.5536915013296682E-3</v>
      </c>
      <c r="S203" s="59">
        <f>(P203/P202)*('16. câmbio USD-BRL'!O794/'16. câmbio USD-BRL'!O793)^-1 -1</f>
        <v>3.202492837750115E-2</v>
      </c>
    </row>
    <row r="204" spans="1:19" x14ac:dyDescent="0.2">
      <c r="A204" s="46"/>
      <c r="H204" s="53"/>
      <c r="I204" s="53"/>
      <c r="K204" s="355">
        <v>43500</v>
      </c>
      <c r="L204" s="169">
        <v>19.219999000000001</v>
      </c>
      <c r="M204" s="169">
        <v>19.649999999999999</v>
      </c>
      <c r="N204" s="169">
        <v>18.510000000000002</v>
      </c>
      <c r="O204" s="169">
        <v>19.440000999999999</v>
      </c>
      <c r="P204" s="169">
        <v>19.418758</v>
      </c>
      <c r="Q204" s="169">
        <v>39747900</v>
      </c>
      <c r="R204" s="53">
        <f t="shared" si="7"/>
        <v>5.1705407806224013E-3</v>
      </c>
      <c r="S204" s="59">
        <f>(P204/P203)*('16. câmbio USD-BRL'!O795/'16. câmbio USD-BRL'!O794)^-1 -1</f>
        <v>-1.3781207601311185E-2</v>
      </c>
    </row>
    <row r="205" spans="1:19" x14ac:dyDescent="0.2">
      <c r="A205" s="46"/>
      <c r="H205" s="53"/>
      <c r="I205" s="53"/>
      <c r="K205" s="355">
        <v>43507</v>
      </c>
      <c r="L205" s="169">
        <v>19.280000999999999</v>
      </c>
      <c r="M205" s="169">
        <v>19.84</v>
      </c>
      <c r="N205" s="169">
        <v>18.809999000000001</v>
      </c>
      <c r="O205" s="169">
        <v>19.77</v>
      </c>
      <c r="P205" s="169">
        <v>19.748398000000002</v>
      </c>
      <c r="Q205" s="169">
        <v>59048300</v>
      </c>
      <c r="R205" s="53">
        <f t="shared" si="7"/>
        <v>1.6975338999538625E-2</v>
      </c>
      <c r="S205" s="59">
        <f>(P205/P204)*('16. câmbio USD-BRL'!O796/'16. câmbio USD-BRL'!O795)^-1 -1</f>
        <v>2.5113341171581594E-2</v>
      </c>
    </row>
    <row r="206" spans="1:19" x14ac:dyDescent="0.2">
      <c r="A206" s="46"/>
      <c r="H206" s="53"/>
      <c r="I206" s="53"/>
      <c r="K206" s="355">
        <v>43514</v>
      </c>
      <c r="L206" s="169">
        <v>19.549999</v>
      </c>
      <c r="M206" s="169">
        <v>20.09</v>
      </c>
      <c r="N206" s="169">
        <v>19.139999</v>
      </c>
      <c r="O206" s="169">
        <v>19.700001</v>
      </c>
      <c r="P206" s="169">
        <v>19.678474000000001</v>
      </c>
      <c r="Q206" s="169">
        <v>30633500</v>
      </c>
      <c r="R206" s="53">
        <f t="shared" si="7"/>
        <v>-3.5407428997531465E-3</v>
      </c>
      <c r="S206" s="59">
        <f>(P206/P205)*('16. câmbio USD-BRL'!O797/'16. câmbio USD-BRL'!O796)^-1 -1</f>
        <v>-1.538592439860742E-2</v>
      </c>
    </row>
    <row r="207" spans="1:19" x14ac:dyDescent="0.2">
      <c r="A207" s="46"/>
      <c r="H207" s="53"/>
      <c r="I207" s="53"/>
      <c r="K207" s="355">
        <v>43521</v>
      </c>
      <c r="L207" s="169">
        <v>19.57</v>
      </c>
      <c r="M207" s="169">
        <v>19.899999999999999</v>
      </c>
      <c r="N207" s="169">
        <v>18.959999</v>
      </c>
      <c r="O207" s="169">
        <v>19.100000000000001</v>
      </c>
      <c r="P207" s="169">
        <v>19.079129999999999</v>
      </c>
      <c r="Q207" s="169">
        <v>40859000</v>
      </c>
      <c r="R207" s="53">
        <f t="shared" si="7"/>
        <v>-3.0456833187370247E-2</v>
      </c>
      <c r="S207" s="59">
        <f>(P207/P206)*('16. câmbio USD-BRL'!O798/'16. câmbio USD-BRL'!O797)^-1 -1</f>
        <v>-3.7960917920036197E-2</v>
      </c>
    </row>
    <row r="208" spans="1:19" x14ac:dyDescent="0.2">
      <c r="A208" s="46"/>
      <c r="H208" s="53"/>
      <c r="I208" s="53"/>
      <c r="K208" s="355">
        <v>43528</v>
      </c>
      <c r="L208" s="169">
        <v>19.100000000000001</v>
      </c>
      <c r="M208" s="169">
        <v>19.780000999999999</v>
      </c>
      <c r="N208" s="169">
        <v>18.989999999999998</v>
      </c>
      <c r="O208" s="169">
        <v>19.719999000000001</v>
      </c>
      <c r="P208" s="169">
        <v>19.698452</v>
      </c>
      <c r="Q208" s="169">
        <v>22788000</v>
      </c>
      <c r="R208" s="53">
        <f t="shared" si="7"/>
        <v>3.2460704445118838E-2</v>
      </c>
      <c r="S208" s="59">
        <f>(P208/P207)*('16. câmbio USD-BRL'!O799/'16. câmbio USD-BRL'!O798)^-1 -1</f>
        <v>6.996845908869842E-3</v>
      </c>
    </row>
    <row r="209" spans="1:19" x14ac:dyDescent="0.2">
      <c r="A209" s="46"/>
      <c r="H209" s="53"/>
      <c r="I209" s="53"/>
      <c r="K209" s="355">
        <v>43535</v>
      </c>
      <c r="L209" s="169">
        <v>19.790001</v>
      </c>
      <c r="M209" s="169">
        <v>20.65</v>
      </c>
      <c r="N209" s="169">
        <v>19.540001</v>
      </c>
      <c r="O209" s="169">
        <v>20.540001</v>
      </c>
      <c r="P209" s="169">
        <v>20.517557</v>
      </c>
      <c r="Q209" s="169">
        <v>39799500</v>
      </c>
      <c r="R209" s="53">
        <f t="shared" si="7"/>
        <v>4.158220148466496E-2</v>
      </c>
      <c r="S209" s="59">
        <f>(P209/P208)*('16. câmbio USD-BRL'!O800/'16. câmbio USD-BRL'!O799)^-1 -1</f>
        <v>4.9067598896714637E-2</v>
      </c>
    </row>
    <row r="210" spans="1:19" x14ac:dyDescent="0.2">
      <c r="A210" s="46"/>
      <c r="H210" s="53"/>
      <c r="I210" s="53"/>
      <c r="K210" s="355">
        <v>43542</v>
      </c>
      <c r="L210" s="169">
        <v>20.610001</v>
      </c>
      <c r="M210" s="169">
        <v>20.66</v>
      </c>
      <c r="N210" s="169">
        <v>18.389999</v>
      </c>
      <c r="O210" s="169">
        <v>18.52</v>
      </c>
      <c r="P210" s="169">
        <v>18.499763000000002</v>
      </c>
      <c r="Q210" s="169">
        <v>77067900</v>
      </c>
      <c r="R210" s="53">
        <f t="shared" si="7"/>
        <v>-9.8344749328587167E-2</v>
      </c>
      <c r="S210" s="59">
        <f>(P210/P209)*('16. câmbio USD-BRL'!O801/'16. câmbio USD-BRL'!O800)^-1 -1</f>
        <v>-0.11346467224691226</v>
      </c>
    </row>
    <row r="211" spans="1:19" x14ac:dyDescent="0.2">
      <c r="A211" s="46"/>
      <c r="H211" s="53"/>
      <c r="I211" s="53"/>
      <c r="K211" s="355">
        <v>43549</v>
      </c>
      <c r="L211" s="169">
        <v>18.41</v>
      </c>
      <c r="M211" s="169">
        <v>19.32</v>
      </c>
      <c r="N211" s="169">
        <v>17.620000999999998</v>
      </c>
      <c r="O211" s="169">
        <v>19.149999999999999</v>
      </c>
      <c r="P211" s="169">
        <v>19.129073999999999</v>
      </c>
      <c r="Q211" s="169">
        <v>59645600</v>
      </c>
      <c r="R211" s="53">
        <f t="shared" si="7"/>
        <v>3.4017246599321149E-2</v>
      </c>
      <c r="S211" s="59">
        <f>(P211/P210)*('16. câmbio USD-BRL'!O802/'16. câmbio USD-BRL'!O801)^-1 -1</f>
        <v>2.9903958898650718E-2</v>
      </c>
    </row>
    <row r="212" spans="1:19" x14ac:dyDescent="0.2">
      <c r="A212" s="46"/>
      <c r="H212" s="53"/>
      <c r="I212" s="53"/>
      <c r="K212" s="355">
        <v>43556</v>
      </c>
      <c r="L212" s="169">
        <v>19.280000999999999</v>
      </c>
      <c r="M212" s="169">
        <v>19.450001</v>
      </c>
      <c r="N212" s="169">
        <v>18.459999</v>
      </c>
      <c r="O212" s="169">
        <v>18.5</v>
      </c>
      <c r="P212" s="169">
        <v>18.479786000000001</v>
      </c>
      <c r="Q212" s="169">
        <v>35628100</v>
      </c>
      <c r="R212" s="53">
        <f t="shared" si="7"/>
        <v>-3.3942468934983427E-2</v>
      </c>
      <c r="S212" s="59">
        <f>(P212/P211)*('16. câmbio USD-BRL'!O803/'16. câmbio USD-BRL'!O802)^-1 -1</f>
        <v>-1.7481985055481597E-2</v>
      </c>
    </row>
    <row r="213" spans="1:19" x14ac:dyDescent="0.2">
      <c r="A213" s="46"/>
      <c r="H213" s="53"/>
      <c r="I213" s="53"/>
      <c r="K213" s="355">
        <v>43563</v>
      </c>
      <c r="L213" s="169">
        <v>18.540001</v>
      </c>
      <c r="M213" s="169">
        <v>18.540001</v>
      </c>
      <c r="N213" s="169">
        <v>17.709999</v>
      </c>
      <c r="O213" s="169">
        <v>18.190000999999999</v>
      </c>
      <c r="P213" s="169">
        <v>18.170124000000001</v>
      </c>
      <c r="Q213" s="169">
        <v>46206400</v>
      </c>
      <c r="R213" s="53">
        <f t="shared" si="7"/>
        <v>-1.6756795776747602E-2</v>
      </c>
      <c r="S213" s="59">
        <f>(P213/P212)*('16. câmbio USD-BRL'!O804/'16. câmbio USD-BRL'!O803)^-1 -1</f>
        <v>-2.0921036292529172E-2</v>
      </c>
    </row>
    <row r="214" spans="1:19" x14ac:dyDescent="0.2">
      <c r="A214" s="46"/>
      <c r="H214" s="53"/>
      <c r="I214" s="53"/>
      <c r="K214" s="355">
        <v>43570</v>
      </c>
      <c r="L214" s="169">
        <v>18.290001</v>
      </c>
      <c r="M214" s="169">
        <v>18.440000999999999</v>
      </c>
      <c r="N214" s="169">
        <v>17.459999</v>
      </c>
      <c r="O214" s="169">
        <v>17.860001</v>
      </c>
      <c r="P214" s="169">
        <v>17.840485000000001</v>
      </c>
      <c r="Q214" s="169">
        <v>38979500</v>
      </c>
      <c r="R214" s="53">
        <f t="shared" si="7"/>
        <v>-1.8141813451575839E-2</v>
      </c>
      <c r="S214" s="59">
        <f>(P214/P213)*('16. câmbio USD-BRL'!O805/'16. câmbio USD-BRL'!O804)^-1 -1</f>
        <v>-3.1744351294607842E-2</v>
      </c>
    </row>
    <row r="215" spans="1:19" x14ac:dyDescent="0.2">
      <c r="A215" s="46"/>
      <c r="H215" s="53"/>
      <c r="I215" s="53"/>
      <c r="K215" s="355">
        <v>43577</v>
      </c>
      <c r="L215" s="169">
        <v>17.860001</v>
      </c>
      <c r="M215" s="169">
        <v>17.860001</v>
      </c>
      <c r="N215" s="169">
        <v>16.93</v>
      </c>
      <c r="O215" s="169">
        <v>17.649999999999999</v>
      </c>
      <c r="P215" s="169">
        <v>17.630714000000001</v>
      </c>
      <c r="Q215" s="169">
        <v>55633600</v>
      </c>
      <c r="R215" s="53">
        <f t="shared" si="7"/>
        <v>-1.1758144467485021E-2</v>
      </c>
      <c r="S215" s="59">
        <f>(P215/P214)*('16. câmbio USD-BRL'!O806/'16. câmbio USD-BRL'!O805)^-1 -1</f>
        <v>-1.2185802331858619E-2</v>
      </c>
    </row>
    <row r="216" spans="1:19" x14ac:dyDescent="0.2">
      <c r="A216" s="46"/>
      <c r="H216" s="53"/>
      <c r="I216" s="53"/>
      <c r="K216" s="355">
        <v>43584</v>
      </c>
      <c r="L216" s="169">
        <v>17.829999999999998</v>
      </c>
      <c r="M216" s="169">
        <v>18.149999999999999</v>
      </c>
      <c r="N216" s="169">
        <v>17.440000999999999</v>
      </c>
      <c r="O216" s="169">
        <v>17.649999999999999</v>
      </c>
      <c r="P216" s="169">
        <v>17.630714000000001</v>
      </c>
      <c r="Q216" s="169">
        <v>53986400</v>
      </c>
      <c r="R216" s="53">
        <f t="shared" si="7"/>
        <v>0</v>
      </c>
      <c r="S216" s="59">
        <f>(P216/P215)*('16. câmbio USD-BRL'!O807/'16. câmbio USD-BRL'!O806)^-1 -1</f>
        <v>-9.5305330038829572E-3</v>
      </c>
    </row>
    <row r="217" spans="1:19" x14ac:dyDescent="0.2">
      <c r="A217" s="46"/>
      <c r="H217" s="53"/>
      <c r="I217" s="53"/>
      <c r="K217" s="355">
        <v>43591</v>
      </c>
      <c r="L217" s="169">
        <v>17.540001</v>
      </c>
      <c r="M217" s="169">
        <v>17.91</v>
      </c>
      <c r="N217" s="169">
        <v>17.149999999999999</v>
      </c>
      <c r="O217" s="169">
        <v>17.280000999999999</v>
      </c>
      <c r="P217" s="169">
        <v>17.261119999999998</v>
      </c>
      <c r="Q217" s="169">
        <v>36002200</v>
      </c>
      <c r="R217" s="53">
        <f t="shared" si="7"/>
        <v>-2.0963076140875669E-2</v>
      </c>
      <c r="S217" s="59">
        <f>(P217/P216)*('16. câmbio USD-BRL'!O808/'16. câmbio USD-BRL'!O807)^-1 -1</f>
        <v>-1.5801630402479061E-2</v>
      </c>
    </row>
    <row r="218" spans="1:19" x14ac:dyDescent="0.2">
      <c r="A218" s="46"/>
      <c r="H218" s="53"/>
      <c r="I218" s="53"/>
      <c r="K218" s="355">
        <v>43598</v>
      </c>
      <c r="L218" s="169">
        <v>16.91</v>
      </c>
      <c r="M218" s="169">
        <v>17.5</v>
      </c>
      <c r="N218" s="169">
        <v>16.510000000000002</v>
      </c>
      <c r="O218" s="169">
        <v>16.899999999999999</v>
      </c>
      <c r="P218" s="169">
        <v>16.881533000000001</v>
      </c>
      <c r="Q218" s="169">
        <v>47298400</v>
      </c>
      <c r="R218" s="53">
        <f t="shared" si="7"/>
        <v>-2.1990867336534214E-2</v>
      </c>
      <c r="S218" s="59">
        <f>(P218/P217)*('16. câmbio USD-BRL'!O809/'16. câmbio USD-BRL'!O808)^-1 -1</f>
        <v>-4.6355288416183527E-2</v>
      </c>
    </row>
    <row r="219" spans="1:19" x14ac:dyDescent="0.2">
      <c r="A219" s="46"/>
      <c r="H219" s="53"/>
      <c r="I219" s="53"/>
      <c r="K219" s="355">
        <v>43605</v>
      </c>
      <c r="L219" s="169">
        <v>16.91</v>
      </c>
      <c r="M219" s="169">
        <v>18.100000000000001</v>
      </c>
      <c r="N219" s="169">
        <v>16.709999</v>
      </c>
      <c r="O219" s="169">
        <v>18.100000000000001</v>
      </c>
      <c r="P219" s="169">
        <v>18.080223</v>
      </c>
      <c r="Q219" s="169">
        <v>34979700</v>
      </c>
      <c r="R219" s="53">
        <f t="shared" si="7"/>
        <v>7.1005992169075993E-2</v>
      </c>
      <c r="S219" s="59">
        <f>(P219/P218)*('16. câmbio USD-BRL'!O810/'16. câmbio USD-BRL'!O809)^-1 -1</f>
        <v>7.8334895741039245E-2</v>
      </c>
    </row>
    <row r="220" spans="1:19" x14ac:dyDescent="0.2">
      <c r="A220" s="46"/>
      <c r="H220" s="53"/>
      <c r="I220" s="53"/>
      <c r="K220" s="355">
        <v>43612</v>
      </c>
      <c r="L220" s="169">
        <v>18.16</v>
      </c>
      <c r="M220" s="169">
        <v>19.77</v>
      </c>
      <c r="N220" s="169">
        <v>18.02</v>
      </c>
      <c r="O220" s="169">
        <v>19.360001</v>
      </c>
      <c r="P220" s="169">
        <v>19.338846</v>
      </c>
      <c r="Q220" s="169">
        <v>41769100</v>
      </c>
      <c r="R220" s="53">
        <f t="shared" si="7"/>
        <v>6.961324536760416E-2</v>
      </c>
      <c r="S220" s="59">
        <f>(P220/P219)*('16. câmbio USD-BRL'!O811/'16. câmbio USD-BRL'!O810)^-1 -1</f>
        <v>8.0013756070048014E-2</v>
      </c>
    </row>
    <row r="221" spans="1:19" x14ac:dyDescent="0.2">
      <c r="A221" s="46"/>
      <c r="H221" s="53"/>
      <c r="I221" s="53"/>
      <c r="K221" s="355">
        <v>43619</v>
      </c>
      <c r="L221" s="169">
        <v>19.309999000000001</v>
      </c>
      <c r="M221" s="169">
        <v>19.649999999999999</v>
      </c>
      <c r="N221" s="169">
        <v>18.690000999999999</v>
      </c>
      <c r="O221" s="169">
        <v>19.100000000000001</v>
      </c>
      <c r="P221" s="169">
        <v>19.079129999999999</v>
      </c>
      <c r="Q221" s="169">
        <v>33776600</v>
      </c>
      <c r="R221" s="53">
        <f t="shared" si="7"/>
        <v>-1.3429756873807319E-2</v>
      </c>
      <c r="S221" s="59">
        <f>(P221/P220)*('16. câmbio USD-BRL'!O812/'16. câmbio USD-BRL'!O811)^-1 -1</f>
        <v>1.2414801887955518E-2</v>
      </c>
    </row>
    <row r="222" spans="1:19" x14ac:dyDescent="0.2">
      <c r="A222" s="46"/>
      <c r="H222" s="53"/>
      <c r="I222" s="53"/>
      <c r="K222" s="355">
        <v>43626</v>
      </c>
      <c r="L222" s="169">
        <v>18.98</v>
      </c>
      <c r="M222" s="169">
        <v>20.110001</v>
      </c>
      <c r="N222" s="169">
        <v>18.739999999999998</v>
      </c>
      <c r="O222" s="169">
        <v>19.77</v>
      </c>
      <c r="P222" s="169">
        <v>19.748398000000002</v>
      </c>
      <c r="Q222" s="169">
        <v>33655200</v>
      </c>
      <c r="R222" s="53">
        <f t="shared" si="7"/>
        <v>3.5078538696471151E-2</v>
      </c>
      <c r="S222" s="59">
        <f>(P222/P221)*('16. câmbio USD-BRL'!O813/'16. câmbio USD-BRL'!O812)^-1 -1</f>
        <v>3.0667164179818851E-2</v>
      </c>
    </row>
    <row r="223" spans="1:19" x14ac:dyDescent="0.2">
      <c r="A223" s="46"/>
      <c r="H223" s="53"/>
      <c r="I223" s="53"/>
      <c r="K223" s="355">
        <v>43633</v>
      </c>
      <c r="L223" s="169">
        <v>19.690000999999999</v>
      </c>
      <c r="M223" s="169">
        <v>21</v>
      </c>
      <c r="N223" s="169">
        <v>19.190000999999999</v>
      </c>
      <c r="O223" s="169">
        <v>20.879999000000002</v>
      </c>
      <c r="P223" s="169">
        <v>20.857182999999999</v>
      </c>
      <c r="Q223" s="169">
        <v>42139500</v>
      </c>
      <c r="R223" s="53">
        <f t="shared" si="7"/>
        <v>5.6145566845472672E-2</v>
      </c>
      <c r="S223" s="59">
        <f>(P223/P222)*('16. câmbio USD-BRL'!O814/'16. câmbio USD-BRL'!O813)^-1 -1</f>
        <v>7.1914684019885877E-2</v>
      </c>
    </row>
    <row r="224" spans="1:19" x14ac:dyDescent="0.2">
      <c r="A224" s="46"/>
      <c r="H224" s="53"/>
      <c r="I224" s="53"/>
      <c r="K224" s="355">
        <v>43640</v>
      </c>
      <c r="L224" s="169">
        <v>20.870000999999998</v>
      </c>
      <c r="M224" s="169">
        <v>21.08</v>
      </c>
      <c r="N224" s="169">
        <v>19.639999</v>
      </c>
      <c r="O224" s="169">
        <v>20.73</v>
      </c>
      <c r="P224" s="169">
        <v>20.707348</v>
      </c>
      <c r="Q224" s="169">
        <v>44331900</v>
      </c>
      <c r="R224" s="53">
        <f t="shared" si="7"/>
        <v>-7.1838560365510284E-3</v>
      </c>
      <c r="S224" s="59">
        <f>(P224/P223)*('16. câmbio USD-BRL'!O815/'16. câmbio USD-BRL'!O814)^-1 -1</f>
        <v>-1.5381248195681652E-3</v>
      </c>
    </row>
    <row r="225" spans="1:19" x14ac:dyDescent="0.2">
      <c r="A225" s="46"/>
      <c r="H225" s="53"/>
      <c r="I225" s="53"/>
      <c r="K225" s="355">
        <v>43647</v>
      </c>
      <c r="L225" s="169">
        <v>21.049999</v>
      </c>
      <c r="M225" s="169">
        <v>21.610001</v>
      </c>
      <c r="N225" s="169">
        <v>20.450001</v>
      </c>
      <c r="O225" s="169">
        <v>21.59</v>
      </c>
      <c r="P225" s="169">
        <v>21.566410000000001</v>
      </c>
      <c r="Q225" s="169">
        <v>35756000</v>
      </c>
      <c r="R225" s="53">
        <f t="shared" si="7"/>
        <v>4.1485853234320524E-2</v>
      </c>
      <c r="S225" s="59">
        <f>(P225/P224)*('16. câmbio USD-BRL'!O816/'16. câmbio USD-BRL'!O815)^-1 -1</f>
        <v>4.0259132559132826E-2</v>
      </c>
    </row>
    <row r="226" spans="1:19" x14ac:dyDescent="0.2">
      <c r="A226" s="46"/>
      <c r="H226" s="53"/>
      <c r="I226" s="53"/>
      <c r="K226" s="355">
        <v>43654</v>
      </c>
      <c r="L226" s="169">
        <v>21.6</v>
      </c>
      <c r="M226" s="169">
        <v>22.200001</v>
      </c>
      <c r="N226" s="169">
        <v>21.24</v>
      </c>
      <c r="O226" s="169">
        <v>21.49</v>
      </c>
      <c r="P226" s="169">
        <v>21.466518000000001</v>
      </c>
      <c r="Q226" s="169">
        <v>30772400</v>
      </c>
      <c r="R226" s="53">
        <f t="shared" si="7"/>
        <v>-4.6318325581309328E-3</v>
      </c>
      <c r="S226" s="59">
        <f>(P226/P225)*('16. câmbio USD-BRL'!O817/'16. câmbio USD-BRL'!O816)^-1 -1</f>
        <v>1.7636030857572038E-2</v>
      </c>
    </row>
    <row r="227" spans="1:19" x14ac:dyDescent="0.2">
      <c r="A227" s="46"/>
      <c r="H227" s="53"/>
      <c r="I227" s="53"/>
      <c r="K227" s="355">
        <v>43661</v>
      </c>
      <c r="L227" s="169">
        <v>21.6</v>
      </c>
      <c r="M227" s="169">
        <v>22.66</v>
      </c>
      <c r="N227" s="169">
        <v>21.51</v>
      </c>
      <c r="O227" s="169">
        <v>22.379999000000002</v>
      </c>
      <c r="P227" s="169">
        <v>22.355544999999999</v>
      </c>
      <c r="Q227" s="169">
        <v>26112900</v>
      </c>
      <c r="R227" s="53">
        <f t="shared" si="7"/>
        <v>4.1414588057550716E-2</v>
      </c>
      <c r="S227" s="59">
        <f>(P227/P226)*('16. câmbio USD-BRL'!O818/'16. câmbio USD-BRL'!O817)^-1 -1</f>
        <v>3.8690627515483245E-2</v>
      </c>
    </row>
    <row r="228" spans="1:19" x14ac:dyDescent="0.2">
      <c r="A228" s="46"/>
      <c r="H228" s="53"/>
      <c r="I228" s="53"/>
      <c r="K228" s="355">
        <v>43668</v>
      </c>
      <c r="L228" s="169">
        <v>22.440000999999999</v>
      </c>
      <c r="M228" s="169">
        <v>22.549999</v>
      </c>
      <c r="N228" s="169">
        <v>21.870000999999998</v>
      </c>
      <c r="O228" s="169">
        <v>22.120000999999998</v>
      </c>
      <c r="P228" s="169">
        <v>22.095831</v>
      </c>
      <c r="Q228" s="169">
        <v>31805000</v>
      </c>
      <c r="R228" s="53">
        <f t="shared" si="7"/>
        <v>-1.1617430932683526E-2</v>
      </c>
      <c r="S228" s="59">
        <f>(P228/P227)*('16. câmbio USD-BRL'!O819/'16. câmbio USD-BRL'!O818)^-1 -1</f>
        <v>-1.9078996735400811E-2</v>
      </c>
    </row>
    <row r="229" spans="1:19" x14ac:dyDescent="0.2">
      <c r="A229" s="46"/>
      <c r="H229" s="53"/>
      <c r="I229" s="53"/>
      <c r="K229" s="355">
        <v>43675</v>
      </c>
      <c r="L229" s="169">
        <v>22.049999</v>
      </c>
      <c r="M229" s="169">
        <v>22.200001</v>
      </c>
      <c r="N229" s="169">
        <v>21.4</v>
      </c>
      <c r="O229" s="169">
        <v>21.950001</v>
      </c>
      <c r="P229" s="169">
        <v>21.926016000000001</v>
      </c>
      <c r="Q229" s="169">
        <v>35958200</v>
      </c>
      <c r="R229" s="53">
        <f t="shared" si="7"/>
        <v>-7.685386442356501E-3</v>
      </c>
      <c r="S229" s="59">
        <f>(P229/P228)*('16. câmbio USD-BRL'!O820/'16. câmbio USD-BRL'!O819)^-1 -1</f>
        <v>-2.374426573298527E-2</v>
      </c>
    </row>
    <row r="230" spans="1:19" x14ac:dyDescent="0.2">
      <c r="A230" s="46"/>
      <c r="H230" s="53"/>
      <c r="I230" s="53"/>
      <c r="K230" s="355">
        <v>43682</v>
      </c>
      <c r="L230" s="169">
        <v>21.68</v>
      </c>
      <c r="M230" s="169">
        <v>23.09</v>
      </c>
      <c r="N230" s="169">
        <v>21.469999000000001</v>
      </c>
      <c r="O230" s="169">
        <v>22.9</v>
      </c>
      <c r="P230" s="169">
        <v>22.874977000000001</v>
      </c>
      <c r="Q230" s="169">
        <v>33597600</v>
      </c>
      <c r="R230" s="53">
        <f t="shared" si="7"/>
        <v>4.3280138078892305E-2</v>
      </c>
      <c r="S230" s="59">
        <f>(P230/P229)*('16. câmbio USD-BRL'!O821/'16. câmbio USD-BRL'!O820)^-1 -1</f>
        <v>2.1895771352392623E-2</v>
      </c>
    </row>
    <row r="231" spans="1:19" x14ac:dyDescent="0.2">
      <c r="A231" s="46"/>
      <c r="H231" s="53"/>
      <c r="I231" s="53"/>
      <c r="K231" s="355">
        <v>43689</v>
      </c>
      <c r="L231" s="169">
        <v>22.85</v>
      </c>
      <c r="M231" s="169">
        <v>23.34</v>
      </c>
      <c r="N231" s="169">
        <v>21.82</v>
      </c>
      <c r="O231" s="169">
        <v>23.200001</v>
      </c>
      <c r="P231" s="169">
        <v>23.17465</v>
      </c>
      <c r="Q231" s="169">
        <v>51580500</v>
      </c>
      <c r="R231" s="53">
        <f t="shared" si="7"/>
        <v>1.3100472188452894E-2</v>
      </c>
      <c r="S231" s="59">
        <f>(P231/P230)*('16. câmbio USD-BRL'!O822/'16. câmbio USD-BRL'!O821)^-1 -1</f>
        <v>-5.3075336844983223E-3</v>
      </c>
    </row>
    <row r="232" spans="1:19" x14ac:dyDescent="0.2">
      <c r="A232" s="46"/>
      <c r="H232" s="53"/>
      <c r="I232" s="53"/>
      <c r="K232" s="355">
        <v>43696</v>
      </c>
      <c r="L232" s="169">
        <v>23.219999000000001</v>
      </c>
      <c r="M232" s="169">
        <v>23.57</v>
      </c>
      <c r="N232" s="169">
        <v>21.870000999999998</v>
      </c>
      <c r="O232" s="169">
        <v>21.950001</v>
      </c>
      <c r="P232" s="169">
        <v>21.926016000000001</v>
      </c>
      <c r="Q232" s="169">
        <v>40193600</v>
      </c>
      <c r="R232" s="53">
        <f t="shared" si="7"/>
        <v>-5.3879303463051142E-2</v>
      </c>
      <c r="S232" s="59">
        <f>(P232/P231)*('16. câmbio USD-BRL'!O823/'16. câmbio USD-BRL'!O822)^-1 -1</f>
        <v>-8.3420450323626327E-2</v>
      </c>
    </row>
    <row r="233" spans="1:19" x14ac:dyDescent="0.2">
      <c r="A233" s="46"/>
      <c r="H233" s="53"/>
      <c r="I233" s="53"/>
      <c r="K233" s="355">
        <v>43703</v>
      </c>
      <c r="L233" s="169">
        <v>22</v>
      </c>
      <c r="M233" s="169">
        <v>22.860001</v>
      </c>
      <c r="N233" s="169">
        <v>21.16</v>
      </c>
      <c r="O233" s="169">
        <v>22.1</v>
      </c>
      <c r="P233" s="169">
        <v>22.075851</v>
      </c>
      <c r="Q233" s="169">
        <v>40464100</v>
      </c>
      <c r="R233" s="53">
        <f t="shared" si="7"/>
        <v>6.8336628049527892E-3</v>
      </c>
      <c r="S233" s="59">
        <f>(P233/P232)*('16. câmbio USD-BRL'!O824/'16. câmbio USD-BRL'!O823)^-1 -1</f>
        <v>-5.0992521785084843E-3</v>
      </c>
    </row>
    <row r="234" spans="1:19" x14ac:dyDescent="0.2">
      <c r="A234" s="46"/>
      <c r="H234" s="53"/>
      <c r="I234" s="53"/>
      <c r="K234" s="355">
        <v>43710</v>
      </c>
      <c r="L234" s="169">
        <v>22.200001</v>
      </c>
      <c r="M234" s="169">
        <v>23.639999</v>
      </c>
      <c r="N234" s="169">
        <v>22.120000999999998</v>
      </c>
      <c r="O234" s="169">
        <v>23.32</v>
      </c>
      <c r="P234" s="169">
        <v>23.294519000000001</v>
      </c>
      <c r="Q234" s="169">
        <v>37578200</v>
      </c>
      <c r="R234" s="53">
        <f t="shared" si="7"/>
        <v>5.520367029112494E-2</v>
      </c>
      <c r="S234" s="59">
        <f>(P234/P233)*('16. câmbio USD-BRL'!O825/'16. câmbio USD-BRL'!O824)^-1 -1</f>
        <v>8.3192399305594966E-2</v>
      </c>
    </row>
    <row r="235" spans="1:19" x14ac:dyDescent="0.2">
      <c r="A235" s="46"/>
      <c r="H235" s="53"/>
      <c r="I235" s="53"/>
      <c r="K235" s="355">
        <v>43717</v>
      </c>
      <c r="L235" s="169">
        <v>23.23</v>
      </c>
      <c r="M235" s="169">
        <v>23.92</v>
      </c>
      <c r="N235" s="169">
        <v>22.639999</v>
      </c>
      <c r="O235" s="169">
        <v>23.49</v>
      </c>
      <c r="P235" s="169">
        <v>23.464333</v>
      </c>
      <c r="Q235" s="169">
        <v>34954000</v>
      </c>
      <c r="R235" s="53">
        <f t="shared" si="7"/>
        <v>7.2898693465186515E-3</v>
      </c>
      <c r="S235" s="59">
        <f>(P235/P234)*('16. câmbio USD-BRL'!O826/'16. câmbio USD-BRL'!O825)^-1 -1</f>
        <v>1.5671920596052047E-3</v>
      </c>
    </row>
    <row r="236" spans="1:19" x14ac:dyDescent="0.2">
      <c r="A236" s="46"/>
      <c r="H236" s="53"/>
      <c r="I236" s="53"/>
      <c r="K236" s="355">
        <v>43724</v>
      </c>
      <c r="L236" s="169">
        <v>23.549999</v>
      </c>
      <c r="M236" s="169">
        <v>24.15</v>
      </c>
      <c r="N236" s="169">
        <v>22.879999000000002</v>
      </c>
      <c r="O236" s="169">
        <v>24.02</v>
      </c>
      <c r="P236" s="169">
        <v>23.993755</v>
      </c>
      <c r="Q236" s="169">
        <v>30410200</v>
      </c>
      <c r="R236" s="53">
        <f t="shared" si="7"/>
        <v>2.2562840375645932E-2</v>
      </c>
      <c r="S236" s="59">
        <f>(P236/P235)*('16. câmbio USD-BRL'!O827/'16. câmbio USD-BRL'!O826)^-1 -1</f>
        <v>2.1930626789199437E-3</v>
      </c>
    </row>
    <row r="237" spans="1:19" x14ac:dyDescent="0.2">
      <c r="A237" s="46"/>
      <c r="H237" s="53"/>
      <c r="I237" s="53"/>
      <c r="K237" s="355">
        <v>43731</v>
      </c>
      <c r="L237" s="169">
        <v>24.02</v>
      </c>
      <c r="M237" s="169">
        <v>24.209999</v>
      </c>
      <c r="N237" s="169">
        <v>23.110001</v>
      </c>
      <c r="O237" s="169">
        <v>23.91</v>
      </c>
      <c r="P237" s="169">
        <v>23.883875</v>
      </c>
      <c r="Q237" s="169">
        <v>22883500</v>
      </c>
      <c r="R237" s="53">
        <f t="shared" si="7"/>
        <v>-4.5795249638916902E-3</v>
      </c>
      <c r="S237" s="59">
        <f>(P237/P236)*('16. câmbio USD-BRL'!O828/'16. câmbio USD-BRL'!O827)^-1 -1</f>
        <v>-2.4247278994015131E-3</v>
      </c>
    </row>
    <row r="238" spans="1:19" x14ac:dyDescent="0.2">
      <c r="A238" s="46"/>
      <c r="H238" s="53"/>
      <c r="I238" s="53"/>
      <c r="K238" s="355">
        <v>43738</v>
      </c>
      <c r="L238" s="169">
        <v>23.92</v>
      </c>
      <c r="M238" s="169">
        <v>24.639999</v>
      </c>
      <c r="N238" s="169">
        <v>23.530000999999999</v>
      </c>
      <c r="O238" s="169">
        <v>24.49</v>
      </c>
      <c r="P238" s="169">
        <v>24.463239999999999</v>
      </c>
      <c r="Q238" s="169">
        <v>39475900</v>
      </c>
      <c r="R238" s="53">
        <f t="shared" si="7"/>
        <v>2.4257579643169214E-2</v>
      </c>
      <c r="S238" s="59">
        <f>(P238/P237)*('16. câmbio USD-BRL'!O829/'16. câmbio USD-BRL'!O828)^-1 -1</f>
        <v>5.0018077010661965E-2</v>
      </c>
    </row>
    <row r="239" spans="1:19" x14ac:dyDescent="0.2">
      <c r="A239" s="46"/>
      <c r="H239" s="53"/>
      <c r="I239" s="53"/>
      <c r="K239" s="355">
        <v>43745</v>
      </c>
      <c r="L239" s="169">
        <v>24.4</v>
      </c>
      <c r="M239" s="169">
        <v>24.469999000000001</v>
      </c>
      <c r="N239" s="169">
        <v>23.43</v>
      </c>
      <c r="O239" s="169">
        <v>24.17</v>
      </c>
      <c r="P239" s="169">
        <v>24.143591000000001</v>
      </c>
      <c r="Q239" s="169">
        <v>36741900</v>
      </c>
      <c r="R239" s="53">
        <f t="shared" si="7"/>
        <v>-1.3066503047020728E-2</v>
      </c>
      <c r="S239" s="59">
        <f>(P239/P238)*('16. câmbio USD-BRL'!O830/'16. câmbio USD-BRL'!O829)^-1 -1</f>
        <v>-2.6058473795531945E-2</v>
      </c>
    </row>
    <row r="240" spans="1:19" x14ac:dyDescent="0.2">
      <c r="A240" s="46"/>
      <c r="H240" s="53"/>
      <c r="I240" s="53"/>
      <c r="K240" s="355">
        <v>43752</v>
      </c>
      <c r="L240" s="169">
        <v>24.309999000000001</v>
      </c>
      <c r="M240" s="169">
        <v>24.33</v>
      </c>
      <c r="N240" s="169">
        <v>22.549999</v>
      </c>
      <c r="O240" s="169">
        <v>22.98</v>
      </c>
      <c r="P240" s="169">
        <v>22.954889000000001</v>
      </c>
      <c r="Q240" s="169">
        <v>38544200</v>
      </c>
      <c r="R240" s="53">
        <f t="shared" si="7"/>
        <v>-4.9234680955289489E-2</v>
      </c>
      <c r="S240" s="59">
        <f>(P240/P239)*('16. câmbio USD-BRL'!O831/'16. câmbio USD-BRL'!O830)^-1 -1</f>
        <v>-6.0979012357778806E-2</v>
      </c>
    </row>
    <row r="241" spans="1:19" x14ac:dyDescent="0.2">
      <c r="A241" s="46"/>
      <c r="H241" s="53"/>
      <c r="I241" s="53"/>
      <c r="K241" s="355">
        <v>43759</v>
      </c>
      <c r="L241" s="169">
        <v>23.07</v>
      </c>
      <c r="M241" s="169">
        <v>23.33</v>
      </c>
      <c r="N241" s="169">
        <v>21.92</v>
      </c>
      <c r="O241" s="169">
        <v>22.82</v>
      </c>
      <c r="P241" s="169">
        <v>22.795065000000001</v>
      </c>
      <c r="Q241" s="169">
        <v>38576100</v>
      </c>
      <c r="R241" s="53">
        <f t="shared" si="7"/>
        <v>-6.9625254994698516E-3</v>
      </c>
      <c r="S241" s="59">
        <f>(P241/P240)*('16. câmbio USD-BRL'!O832/'16. câmbio USD-BRL'!O831)^-1 -1</f>
        <v>3.225786538699893E-2</v>
      </c>
    </row>
    <row r="242" spans="1:19" x14ac:dyDescent="0.2">
      <c r="A242" s="46"/>
      <c r="H242" s="53"/>
      <c r="I242" s="53"/>
      <c r="K242" s="355">
        <v>43766</v>
      </c>
      <c r="L242" s="169">
        <v>22.9</v>
      </c>
      <c r="M242" s="169">
        <v>23.25</v>
      </c>
      <c r="N242" s="169">
        <v>22.66</v>
      </c>
      <c r="O242" s="169">
        <v>22.91</v>
      </c>
      <c r="P242" s="169">
        <v>22.884965999999999</v>
      </c>
      <c r="Q242" s="169">
        <v>25130400</v>
      </c>
      <c r="R242" s="53">
        <f t="shared" si="7"/>
        <v>3.9438799582276474E-3</v>
      </c>
      <c r="S242" s="59">
        <f>(P242/P241)*('16. câmbio USD-BRL'!O833/'16. câmbio USD-BRL'!O832)^-1 -1</f>
        <v>7.6947296890212957E-3</v>
      </c>
    </row>
    <row r="243" spans="1:19" x14ac:dyDescent="0.2">
      <c r="A243" s="46"/>
      <c r="H243" s="53"/>
      <c r="I243" s="53"/>
      <c r="K243" s="355">
        <v>43773</v>
      </c>
      <c r="L243" s="169">
        <v>23.1</v>
      </c>
      <c r="M243" s="169">
        <v>24</v>
      </c>
      <c r="N243" s="169">
        <v>22.6</v>
      </c>
      <c r="O243" s="169">
        <v>23.49</v>
      </c>
      <c r="P243" s="169">
        <v>23.464333</v>
      </c>
      <c r="Q243" s="169">
        <v>45328300</v>
      </c>
      <c r="R243" s="53">
        <f t="shared" si="7"/>
        <v>2.5316489436777001E-2</v>
      </c>
      <c r="S243" s="59">
        <f>(P243/P242)*('16. câmbio USD-BRL'!O834/'16. câmbio USD-BRL'!O833)^-1 -1</f>
        <v>-2.5455076173166447E-3</v>
      </c>
    </row>
    <row r="244" spans="1:19" x14ac:dyDescent="0.2">
      <c r="A244" s="46"/>
      <c r="H244" s="53"/>
      <c r="I244" s="53"/>
      <c r="K244" s="355">
        <v>43780</v>
      </c>
      <c r="L244" s="169">
        <v>23.309999000000001</v>
      </c>
      <c r="M244" s="169">
        <v>24.23</v>
      </c>
      <c r="N244" s="169">
        <v>22.82</v>
      </c>
      <c r="O244" s="169">
        <v>24.02</v>
      </c>
      <c r="P244" s="169">
        <v>23.993755</v>
      </c>
      <c r="Q244" s="169">
        <v>30395300</v>
      </c>
      <c r="R244" s="53">
        <f t="shared" si="7"/>
        <v>2.2562840375645932E-2</v>
      </c>
      <c r="S244" s="59">
        <f>(P244/P243)*('16. câmbio USD-BRL'!O835/'16. câmbio USD-BRL'!O834)^-1 -1</f>
        <v>-2.3482955921794169E-4</v>
      </c>
    </row>
    <row r="245" spans="1:19" x14ac:dyDescent="0.2">
      <c r="A245" s="46"/>
      <c r="H245" s="53"/>
      <c r="I245" s="53"/>
      <c r="K245" s="355">
        <v>43787</v>
      </c>
      <c r="L245" s="169">
        <v>24.16</v>
      </c>
      <c r="M245" s="169">
        <v>24.25</v>
      </c>
      <c r="N245" s="169">
        <v>23.709999</v>
      </c>
      <c r="O245" s="169">
        <v>24.190000999999999</v>
      </c>
      <c r="P245" s="169">
        <v>24.163568000000001</v>
      </c>
      <c r="Q245" s="169">
        <v>23495700</v>
      </c>
      <c r="R245" s="53">
        <f t="shared" si="7"/>
        <v>7.0773832607693432E-3</v>
      </c>
      <c r="S245" s="59">
        <f>(P245/P244)*('16. câmbio USD-BRL'!O836/'16. câmbio USD-BRL'!O835)^-1 -1</f>
        <v>6.6166853899076727E-3</v>
      </c>
    </row>
    <row r="246" spans="1:19" x14ac:dyDescent="0.2">
      <c r="A246" s="46"/>
      <c r="H246" s="53"/>
      <c r="I246" s="53"/>
      <c r="K246" s="355">
        <v>43794</v>
      </c>
      <c r="L246" s="169">
        <v>24.200001</v>
      </c>
      <c r="M246" s="169">
        <v>24.49</v>
      </c>
      <c r="N246" s="169">
        <v>23.540001</v>
      </c>
      <c r="O246" s="169">
        <v>24.43</v>
      </c>
      <c r="P246" s="169">
        <v>24.403307000000002</v>
      </c>
      <c r="Q246" s="169">
        <v>31849400</v>
      </c>
      <c r="R246" s="53">
        <f t="shared" si="7"/>
        <v>9.9215066251805428E-3</v>
      </c>
      <c r="S246" s="59">
        <f>(P246/P245)*('16. câmbio USD-BRL'!O837/'16. câmbio USD-BRL'!O836)^-1 -1</f>
        <v>4.5594227491019268E-4</v>
      </c>
    </row>
    <row r="247" spans="1:19" x14ac:dyDescent="0.2">
      <c r="K247" s="355">
        <v>43801</v>
      </c>
      <c r="L247" s="169">
        <v>24.52</v>
      </c>
      <c r="M247" s="169">
        <v>25.549999</v>
      </c>
      <c r="N247" s="169">
        <v>24.5</v>
      </c>
      <c r="O247" s="169">
        <v>25.200001</v>
      </c>
      <c r="P247" s="169">
        <v>25.172466</v>
      </c>
      <c r="Q247" s="169">
        <v>35725100</v>
      </c>
      <c r="R247" s="53">
        <f t="shared" si="7"/>
        <v>3.1518638027214774E-2</v>
      </c>
      <c r="S247" s="59">
        <f>(P247/P246)*('16. câmbio USD-BRL'!O838/'16. câmbio USD-BRL'!O837)^-1 -1</f>
        <v>5.5111833108293817E-2</v>
      </c>
    </row>
    <row r="248" spans="1:19" x14ac:dyDescent="0.2">
      <c r="K248" s="355">
        <v>43808</v>
      </c>
      <c r="L248" s="169">
        <v>25.25</v>
      </c>
      <c r="M248" s="169">
        <v>26.030000999999999</v>
      </c>
      <c r="N248" s="169">
        <v>24.85</v>
      </c>
      <c r="O248" s="169">
        <v>25.41</v>
      </c>
      <c r="P248" s="169">
        <v>25.382235000000001</v>
      </c>
      <c r="Q248" s="169">
        <v>35597900</v>
      </c>
      <c r="R248" s="53">
        <f t="shared" si="7"/>
        <v>8.3332717581185989E-3</v>
      </c>
      <c r="S248" s="59">
        <f>(P248/P247)*('16. câmbio USD-BRL'!O839/'16. câmbio USD-BRL'!O838)^-1 -1</f>
        <v>1.6435489481466448E-2</v>
      </c>
    </row>
    <row r="249" spans="1:19" x14ac:dyDescent="0.2">
      <c r="K249" s="355">
        <v>43815</v>
      </c>
      <c r="L249" s="169">
        <v>25.549999</v>
      </c>
      <c r="M249" s="169">
        <v>25.67</v>
      </c>
      <c r="N249" s="169">
        <v>24.530000999999999</v>
      </c>
      <c r="O249" s="169">
        <v>25.67</v>
      </c>
      <c r="P249" s="169">
        <v>25.641950999999999</v>
      </c>
      <c r="Q249" s="169">
        <v>51498300</v>
      </c>
      <c r="R249" s="53">
        <f t="shared" si="7"/>
        <v>1.0232195864548377E-2</v>
      </c>
      <c r="S249" s="59">
        <f>(P249/P248)*('16. câmbio USD-BRL'!O840/'16. câmbio USD-BRL'!O839)^-1 -1</f>
        <v>1.2414350733840562E-2</v>
      </c>
    </row>
    <row r="250" spans="1:19" x14ac:dyDescent="0.2">
      <c r="K250" s="355">
        <v>43822</v>
      </c>
      <c r="L250" s="169">
        <v>25.66</v>
      </c>
      <c r="M250" s="169">
        <v>26.870000999999998</v>
      </c>
      <c r="N250" s="169">
        <v>25.52</v>
      </c>
      <c r="O250" s="169">
        <v>26.870000999999998</v>
      </c>
      <c r="P250" s="169">
        <v>26.840641000000002</v>
      </c>
      <c r="Q250" s="169">
        <v>10812800</v>
      </c>
      <c r="R250" s="53">
        <f t="shared" si="7"/>
        <v>4.6747222939471422E-2</v>
      </c>
      <c r="S250" s="59">
        <f>(P250/P249)*('16. câmbio USD-BRL'!O841/'16. câmbio USD-BRL'!O840)^-1 -1</f>
        <v>6.0748525323385261E-2</v>
      </c>
    </row>
    <row r="251" spans="1:19" x14ac:dyDescent="0.2">
      <c r="K251" s="355">
        <v>43829</v>
      </c>
      <c r="L251" s="169">
        <v>26.870000999999998</v>
      </c>
      <c r="M251" s="169">
        <v>26.889999</v>
      </c>
      <c r="N251" s="169">
        <v>25.629999000000002</v>
      </c>
      <c r="O251" s="169">
        <v>25.629999000000002</v>
      </c>
      <c r="P251" s="169">
        <v>25.601994000000001</v>
      </c>
      <c r="Q251" s="169">
        <v>39248500</v>
      </c>
      <c r="R251" s="53">
        <f t="shared" si="7"/>
        <v>-4.6148189978026277E-2</v>
      </c>
      <c r="S251" s="59">
        <f>(P251/P250)*('16. câmbio USD-BRL'!O842/'16. câmbio USD-BRL'!O841)^-1 -1</f>
        <v>-5.1156187673918052E-2</v>
      </c>
    </row>
    <row r="252" spans="1:19" x14ac:dyDescent="0.2">
      <c r="K252" s="355">
        <v>43836</v>
      </c>
      <c r="L252" s="169">
        <v>25.6</v>
      </c>
      <c r="M252" s="169">
        <v>26.27</v>
      </c>
      <c r="N252" s="169">
        <v>24.33</v>
      </c>
      <c r="O252" s="169">
        <v>25.67</v>
      </c>
      <c r="P252" s="169">
        <v>25.641950999999999</v>
      </c>
      <c r="Q252" s="169">
        <v>69443300</v>
      </c>
      <c r="R252" s="53">
        <f t="shared" si="7"/>
        <v>1.5606987486989077E-3</v>
      </c>
      <c r="S252" s="59">
        <f>(P252/P251)*('16. câmbio USD-BRL'!O843/'16. câmbio USD-BRL'!O842)^-1 -1</f>
        <v>3.3169291050099137E-3</v>
      </c>
    </row>
    <row r="253" spans="1:19" x14ac:dyDescent="0.2">
      <c r="K253" s="355">
        <v>43843</v>
      </c>
      <c r="L253" s="169">
        <v>25.780000999999999</v>
      </c>
      <c r="M253" s="169">
        <v>26.09</v>
      </c>
      <c r="N253" s="169">
        <v>23.879999000000002</v>
      </c>
      <c r="O253" s="169">
        <v>24.299999</v>
      </c>
      <c r="P253" s="169">
        <v>24.273447000000001</v>
      </c>
      <c r="Q253" s="169">
        <v>44022900</v>
      </c>
      <c r="R253" s="53">
        <f t="shared" si="7"/>
        <v>-5.3369729939816146E-2</v>
      </c>
      <c r="S253" s="59">
        <f>(P253/P252)*('16. câmbio USD-BRL'!O844/'16. câmbio USD-BRL'!O843)^-1 -1</f>
        <v>-7.6516306672295809E-2</v>
      </c>
    </row>
    <row r="254" spans="1:19" x14ac:dyDescent="0.2">
      <c r="K254" s="355">
        <v>43850</v>
      </c>
      <c r="L254" s="169">
        <v>24.299999</v>
      </c>
      <c r="M254" s="169">
        <v>24.85</v>
      </c>
      <c r="N254" s="169">
        <v>23.700001</v>
      </c>
      <c r="O254" s="169">
        <v>24.33</v>
      </c>
      <c r="P254" s="169">
        <v>24.303415000000001</v>
      </c>
      <c r="Q254" s="169">
        <v>30756100</v>
      </c>
      <c r="R254" s="53">
        <f t="shared" si="7"/>
        <v>1.2346000961462877E-3</v>
      </c>
      <c r="S254" s="59">
        <f>(P254/P253)*('16. câmbio USD-BRL'!O845/'16. câmbio USD-BRL'!O844)^-1 -1</f>
        <v>-3.5322711756641256E-3</v>
      </c>
    </row>
    <row r="255" spans="1:19" x14ac:dyDescent="0.2">
      <c r="K255" s="355">
        <v>43857</v>
      </c>
      <c r="L255" s="169">
        <v>23.950001</v>
      </c>
      <c r="M255" s="169">
        <v>24.23</v>
      </c>
      <c r="N255" s="169">
        <v>22.700001</v>
      </c>
      <c r="O255" s="169">
        <v>23.200001</v>
      </c>
      <c r="P255" s="169">
        <v>23.17465</v>
      </c>
      <c r="Q255" s="169">
        <v>36574300</v>
      </c>
      <c r="R255" s="53">
        <f t="shared" si="7"/>
        <v>-4.6444707461893775E-2</v>
      </c>
      <c r="S255" s="59">
        <f>(P255/P254)*('16. câmbio USD-BRL'!O846/'16. câmbio USD-BRL'!O845)^-1 -1</f>
        <v>-6.8986121992343663E-2</v>
      </c>
    </row>
    <row r="256" spans="1:19" x14ac:dyDescent="0.2">
      <c r="K256" s="355">
        <v>43864</v>
      </c>
      <c r="L256" s="169">
        <v>23.200001</v>
      </c>
      <c r="M256" s="169">
        <v>24.27</v>
      </c>
      <c r="N256" s="169">
        <v>22.879999000000002</v>
      </c>
      <c r="O256" s="169">
        <v>23.200001</v>
      </c>
      <c r="P256" s="169">
        <v>23.17465</v>
      </c>
      <c r="Q256" s="169">
        <v>29358800</v>
      </c>
      <c r="R256" s="53">
        <f t="shared" si="7"/>
        <v>0</v>
      </c>
      <c r="S256" s="59">
        <f>(P256/P255)*('16. câmbio USD-BRL'!O847/'16. câmbio USD-BRL'!O846)^-1 -1</f>
        <v>-8.7983329474414784E-3</v>
      </c>
    </row>
    <row r="257" spans="11:19" x14ac:dyDescent="0.2">
      <c r="K257" s="355">
        <v>43871</v>
      </c>
      <c r="L257" s="169">
        <v>23.18</v>
      </c>
      <c r="M257" s="169">
        <v>24.450001</v>
      </c>
      <c r="N257" s="169">
        <v>22.459999</v>
      </c>
      <c r="O257" s="169">
        <v>23.02</v>
      </c>
      <c r="P257" s="169">
        <v>22.994845999999999</v>
      </c>
      <c r="Q257" s="169">
        <v>40515300</v>
      </c>
      <c r="R257" s="53">
        <f t="shared" si="7"/>
        <v>-7.7586500767001798E-3</v>
      </c>
      <c r="S257" s="59">
        <f>(P257/P256)*('16. câmbio USD-BRL'!O848/'16. câmbio USD-BRL'!O847)^-1 -1</f>
        <v>-2.4463709686378676E-3</v>
      </c>
    </row>
    <row r="258" spans="11:19" x14ac:dyDescent="0.2">
      <c r="K258" s="355">
        <v>43878</v>
      </c>
      <c r="L258" s="169">
        <v>23.040001</v>
      </c>
      <c r="M258" s="169">
        <v>24.32</v>
      </c>
      <c r="N258" s="169">
        <v>22.129999000000002</v>
      </c>
      <c r="O258" s="169">
        <v>23.889999</v>
      </c>
      <c r="P258" s="169">
        <v>23.863894999999999</v>
      </c>
      <c r="Q258" s="169">
        <v>34385200</v>
      </c>
      <c r="R258" s="53">
        <f t="shared" si="7"/>
        <v>3.7793208095414199E-2</v>
      </c>
      <c r="S258" s="59">
        <f>(P258/P257)*('16. câmbio USD-BRL'!O849/'16. câmbio USD-BRL'!O848)^-1 -1</f>
        <v>1.6011399461703268E-2</v>
      </c>
    </row>
    <row r="259" spans="11:19" x14ac:dyDescent="0.2">
      <c r="K259" s="355">
        <v>43885</v>
      </c>
      <c r="L259" s="169">
        <v>23.889999</v>
      </c>
      <c r="M259" s="169">
        <v>23.889999</v>
      </c>
      <c r="N259" s="169">
        <v>20.65</v>
      </c>
      <c r="O259" s="169">
        <v>21.120000999999998</v>
      </c>
      <c r="P259" s="169">
        <v>21.096924000000001</v>
      </c>
      <c r="Q259" s="169">
        <v>44251600</v>
      </c>
      <c r="R259" s="53">
        <f t="shared" si="7"/>
        <v>-0.11594800429686769</v>
      </c>
      <c r="S259" s="59">
        <f>(P259/P258)*('16. câmbio USD-BRL'!O850/'16. câmbio USD-BRL'!O849)^-1 -1</f>
        <v>-0.13224435291360292</v>
      </c>
    </row>
    <row r="260" spans="11:19" x14ac:dyDescent="0.2">
      <c r="K260" s="355">
        <v>43892</v>
      </c>
      <c r="L260" s="169">
        <v>21.120000999999998</v>
      </c>
      <c r="M260" s="169">
        <v>22.41</v>
      </c>
      <c r="N260" s="169">
        <v>18.879999000000002</v>
      </c>
      <c r="O260" s="169">
        <v>19.299999</v>
      </c>
      <c r="P260" s="169">
        <v>19.278911999999998</v>
      </c>
      <c r="Q260" s="169">
        <v>77400000</v>
      </c>
      <c r="R260" s="53">
        <f t="shared" si="7"/>
        <v>-8.6174268817577504E-2</v>
      </c>
      <c r="S260" s="59">
        <f>(P260/P259)*('16. câmbio USD-BRL'!O851/'16. câmbio USD-BRL'!O850)^-1 -1</f>
        <v>-0.11685216787218011</v>
      </c>
    </row>
    <row r="261" spans="11:19" x14ac:dyDescent="0.2">
      <c r="K261" s="355">
        <v>43899</v>
      </c>
      <c r="L261" s="169">
        <v>17.100000000000001</v>
      </c>
      <c r="M261" s="169">
        <v>18.84</v>
      </c>
      <c r="N261" s="169">
        <v>13.5</v>
      </c>
      <c r="O261" s="169">
        <v>17.450001</v>
      </c>
      <c r="P261" s="169">
        <v>17.430933</v>
      </c>
      <c r="Q261" s="169">
        <v>115241100</v>
      </c>
      <c r="R261" s="53">
        <f t="shared" ref="R261:R324" si="8">P261/P260-1</f>
        <v>-9.5854942436585544E-2</v>
      </c>
      <c r="S261" s="59">
        <f>(P261/P260)*('16. câmbio USD-BRL'!O852/'16. câmbio USD-BRL'!O851)^-1 -1</f>
        <v>-0.13908848988764289</v>
      </c>
    </row>
    <row r="262" spans="11:19" x14ac:dyDescent="0.2">
      <c r="K262" s="355">
        <v>43906</v>
      </c>
      <c r="L262" s="169">
        <v>14.33</v>
      </c>
      <c r="M262" s="169">
        <v>19.200001</v>
      </c>
      <c r="N262" s="169">
        <v>13.63</v>
      </c>
      <c r="O262" s="169">
        <v>18.41</v>
      </c>
      <c r="P262" s="169">
        <v>18.389883000000001</v>
      </c>
      <c r="Q262" s="169">
        <v>143554300</v>
      </c>
      <c r="R262" s="53">
        <f t="shared" si="8"/>
        <v>5.5014266878313567E-2</v>
      </c>
      <c r="S262" s="59">
        <f>(P262/P261)*('16. câmbio USD-BRL'!O853/'16. câmbio USD-BRL'!O852)^-1 -1</f>
        <v>6.1177044327931362E-3</v>
      </c>
    </row>
    <row r="263" spans="11:19" x14ac:dyDescent="0.2">
      <c r="K263" s="355">
        <v>43913</v>
      </c>
      <c r="L263" s="169">
        <v>18.200001</v>
      </c>
      <c r="M263" s="169">
        <v>21.4</v>
      </c>
      <c r="N263" s="169">
        <v>16.799999</v>
      </c>
      <c r="O263" s="169">
        <v>19.149999999999999</v>
      </c>
      <c r="P263" s="169">
        <v>19.129073999999999</v>
      </c>
      <c r="Q263" s="169">
        <v>75438700</v>
      </c>
      <c r="R263" s="53">
        <f t="shared" si="8"/>
        <v>4.0195524898119173E-2</v>
      </c>
      <c r="S263" s="59">
        <f>(P263/P262)*('16. câmbio USD-BRL'!O854/'16. câmbio USD-BRL'!O853)^-1 -1</f>
        <v>3.9216325345361458E-2</v>
      </c>
    </row>
    <row r="264" spans="11:19" x14ac:dyDescent="0.2">
      <c r="K264" s="355">
        <v>43920</v>
      </c>
      <c r="L264" s="169">
        <v>19.190000999999999</v>
      </c>
      <c r="M264" s="169">
        <v>20.700001</v>
      </c>
      <c r="N264" s="169">
        <v>18.459999</v>
      </c>
      <c r="O264" s="169">
        <v>20.639999</v>
      </c>
      <c r="P264" s="169">
        <v>20.617446999999999</v>
      </c>
      <c r="Q264" s="169">
        <v>58154600</v>
      </c>
      <c r="R264" s="53">
        <f t="shared" si="8"/>
        <v>7.7806850451830556E-2</v>
      </c>
      <c r="S264" s="59">
        <f>(P264/P263)*('16. câmbio USD-BRL'!O855/'16. câmbio USD-BRL'!O854)^-1 -1</f>
        <v>4.5751361569060567E-2</v>
      </c>
    </row>
    <row r="265" spans="11:19" x14ac:dyDescent="0.2">
      <c r="K265" s="355">
        <v>43927</v>
      </c>
      <c r="L265" s="169">
        <v>21.209999</v>
      </c>
      <c r="M265" s="169">
        <v>21.889999</v>
      </c>
      <c r="N265" s="169">
        <v>18.850000000000001</v>
      </c>
      <c r="O265" s="169">
        <v>19.469999000000001</v>
      </c>
      <c r="P265" s="169">
        <v>19.448725</v>
      </c>
      <c r="Q265" s="169">
        <v>50652500</v>
      </c>
      <c r="R265" s="53">
        <f t="shared" si="8"/>
        <v>-5.6686067872515844E-2</v>
      </c>
      <c r="S265" s="59">
        <f>(P265/P264)*('16. câmbio USD-BRL'!O856/'16. câmbio USD-BRL'!O855)^-1 -1</f>
        <v>-2.9008381645369119E-2</v>
      </c>
    </row>
    <row r="266" spans="11:19" x14ac:dyDescent="0.2">
      <c r="K266" s="355">
        <v>43934</v>
      </c>
      <c r="L266" s="169">
        <v>19.239999999999998</v>
      </c>
      <c r="M266" s="169">
        <v>20.68</v>
      </c>
      <c r="N266" s="169">
        <v>19.010000000000002</v>
      </c>
      <c r="O266" s="169">
        <v>20.239999999999998</v>
      </c>
      <c r="P266" s="169">
        <v>20.217884000000002</v>
      </c>
      <c r="Q266" s="169">
        <v>45643600</v>
      </c>
      <c r="R266" s="53">
        <f t="shared" si="8"/>
        <v>3.9548042352390844E-2</v>
      </c>
      <c r="S266" s="59">
        <f>(P266/P265)*('16. câmbio USD-BRL'!O857/'16. câmbio USD-BRL'!O856)^-1 -1</f>
        <v>1.3754924214029796E-2</v>
      </c>
    </row>
    <row r="267" spans="11:19" x14ac:dyDescent="0.2">
      <c r="K267" s="355">
        <v>43941</v>
      </c>
      <c r="L267" s="169">
        <v>19.549999</v>
      </c>
      <c r="M267" s="169">
        <v>21.26</v>
      </c>
      <c r="N267" s="169">
        <v>18.68</v>
      </c>
      <c r="O267" s="169">
        <v>20.549999</v>
      </c>
      <c r="P267" s="169">
        <v>20.527543999999999</v>
      </c>
      <c r="Q267" s="169">
        <v>43343100</v>
      </c>
      <c r="R267" s="53">
        <f t="shared" si="8"/>
        <v>1.5316142876277139E-2</v>
      </c>
      <c r="S267" s="59">
        <f>(P267/P266)*('16. câmbio USD-BRL'!O858/'16. câmbio USD-BRL'!O857)^-1 -1</f>
        <v>-4.9396234769759073E-2</v>
      </c>
    </row>
    <row r="268" spans="11:19" x14ac:dyDescent="0.2">
      <c r="K268" s="355">
        <v>43948</v>
      </c>
      <c r="L268" s="169">
        <v>20.85</v>
      </c>
      <c r="M268" s="169">
        <v>21.299999</v>
      </c>
      <c r="N268" s="169">
        <v>19.34</v>
      </c>
      <c r="O268" s="169">
        <v>19.790001</v>
      </c>
      <c r="P268" s="169">
        <v>19.768377000000001</v>
      </c>
      <c r="Q268" s="169">
        <v>40958000</v>
      </c>
      <c r="R268" s="53">
        <f t="shared" si="8"/>
        <v>-3.6982846072574405E-2</v>
      </c>
      <c r="S268" s="59">
        <f>(P268/P267)*('16. câmbio USD-BRL'!O859/'16. câmbio USD-BRL'!O858)^-1 -1</f>
        <v>-1.83927302117467E-2</v>
      </c>
    </row>
    <row r="269" spans="11:19" x14ac:dyDescent="0.2">
      <c r="K269" s="355">
        <v>43955</v>
      </c>
      <c r="L269" s="169">
        <v>18.959999</v>
      </c>
      <c r="M269" s="169">
        <v>20.65</v>
      </c>
      <c r="N269" s="169">
        <v>18.77</v>
      </c>
      <c r="O269" s="169">
        <v>20.299999</v>
      </c>
      <c r="P269" s="169">
        <v>20.277819000000001</v>
      </c>
      <c r="Q269" s="169">
        <v>43990900</v>
      </c>
      <c r="R269" s="53">
        <f t="shared" si="8"/>
        <v>2.5770552635656419E-2</v>
      </c>
      <c r="S269" s="59">
        <f>(P269/P268)*('16. câmbio USD-BRL'!O860/'16. câmbio USD-BRL'!O859)^-1 -1</f>
        <v>-1.806472487192945E-2</v>
      </c>
    </row>
    <row r="270" spans="11:19" x14ac:dyDescent="0.2">
      <c r="K270" s="355">
        <v>43962</v>
      </c>
      <c r="L270" s="169">
        <v>19.77</v>
      </c>
      <c r="M270" s="169">
        <v>20.75</v>
      </c>
      <c r="N270" s="169">
        <v>19.129999000000002</v>
      </c>
      <c r="O270" s="169">
        <v>19.66</v>
      </c>
      <c r="P270" s="169">
        <v>19.638517</v>
      </c>
      <c r="Q270" s="169">
        <v>34550500</v>
      </c>
      <c r="R270" s="53">
        <f t="shared" si="8"/>
        <v>-3.1527157826983343E-2</v>
      </c>
      <c r="S270" s="59">
        <f>(P270/P269)*('16. câmbio USD-BRL'!O861/'16. câmbio USD-BRL'!O860)^-1 -1</f>
        <v>-5.1753914643851262E-2</v>
      </c>
    </row>
    <row r="271" spans="11:19" x14ac:dyDescent="0.2">
      <c r="K271" s="355">
        <v>43969</v>
      </c>
      <c r="L271" s="169">
        <v>20.16</v>
      </c>
      <c r="M271" s="169">
        <v>21.450001</v>
      </c>
      <c r="N271" s="169">
        <v>20</v>
      </c>
      <c r="O271" s="169">
        <v>20.889999</v>
      </c>
      <c r="P271" s="169">
        <v>20.867173999999999</v>
      </c>
      <c r="Q271" s="169">
        <v>31768600</v>
      </c>
      <c r="R271" s="53">
        <f t="shared" si="8"/>
        <v>6.2563634514764876E-2</v>
      </c>
      <c r="S271" s="59">
        <f>(P271/P270)*('16. câmbio USD-BRL'!O862/'16. câmbio USD-BRL'!O861)^-1 -1</f>
        <v>0.12510258886834835</v>
      </c>
    </row>
    <row r="272" spans="11:19" x14ac:dyDescent="0.2">
      <c r="K272" s="355">
        <v>43976</v>
      </c>
      <c r="L272" s="169">
        <v>21.5</v>
      </c>
      <c r="M272" s="169">
        <v>23.66</v>
      </c>
      <c r="N272" s="169">
        <v>20.91</v>
      </c>
      <c r="O272" s="169">
        <v>22.530000999999999</v>
      </c>
      <c r="P272" s="169">
        <v>22.505382999999998</v>
      </c>
      <c r="Q272" s="169">
        <v>61266900</v>
      </c>
      <c r="R272" s="53">
        <f t="shared" si="8"/>
        <v>7.8506509793803358E-2</v>
      </c>
      <c r="S272" s="59">
        <f>(P272/P271)*('16. câmbio USD-BRL'!O863/'16. câmbio USD-BRL'!O862)^-1 -1</f>
        <v>0.11802794932528315</v>
      </c>
    </row>
    <row r="273" spans="11:19" x14ac:dyDescent="0.2">
      <c r="K273" s="355">
        <v>43983</v>
      </c>
      <c r="L273" s="169">
        <v>22.48</v>
      </c>
      <c r="M273" s="169">
        <v>23.629999000000002</v>
      </c>
      <c r="N273" s="169">
        <v>21.83</v>
      </c>
      <c r="O273" s="169">
        <v>23.110001</v>
      </c>
      <c r="P273" s="169">
        <v>23.084748999999999</v>
      </c>
      <c r="Q273" s="169">
        <v>52845000</v>
      </c>
      <c r="R273" s="53">
        <f t="shared" si="8"/>
        <v>2.5743441024753899E-2</v>
      </c>
      <c r="S273" s="59">
        <f>(P273/P272)*('16. câmbio USD-BRL'!O864/'16. câmbio USD-BRL'!O863)^-1 -1</f>
        <v>0.10243484857290919</v>
      </c>
    </row>
    <row r="274" spans="11:19" x14ac:dyDescent="0.2">
      <c r="K274" s="355">
        <v>43990</v>
      </c>
      <c r="L274" s="169">
        <v>23.530000999999999</v>
      </c>
      <c r="M274" s="169">
        <v>24.700001</v>
      </c>
      <c r="N274" s="169">
        <v>22.91</v>
      </c>
      <c r="O274" s="169">
        <v>24.07</v>
      </c>
      <c r="P274" s="169">
        <v>24.043699</v>
      </c>
      <c r="Q274" s="169">
        <v>36999600</v>
      </c>
      <c r="R274" s="53">
        <f t="shared" si="8"/>
        <v>4.1540412676785099E-2</v>
      </c>
      <c r="S274" s="59">
        <f>(P274/P273)*('16. câmbio USD-BRL'!O865/'16. câmbio USD-BRL'!O864)^-1 -1</f>
        <v>2.3785072646599126E-2</v>
      </c>
    </row>
    <row r="275" spans="11:19" x14ac:dyDescent="0.2">
      <c r="K275" s="355">
        <v>43997</v>
      </c>
      <c r="L275" s="169">
        <v>23.27</v>
      </c>
      <c r="M275" s="169">
        <v>24.6</v>
      </c>
      <c r="N275" s="169">
        <v>22.91</v>
      </c>
      <c r="O275" s="169">
        <v>23.83</v>
      </c>
      <c r="P275" s="169">
        <v>23.803961000000001</v>
      </c>
      <c r="Q275" s="169">
        <v>50422600</v>
      </c>
      <c r="R275" s="53">
        <f t="shared" si="8"/>
        <v>-9.970928350084507E-3</v>
      </c>
      <c r="S275" s="59">
        <f>(P275/P274)*('16. câmbio USD-BRL'!O866/'16. câmbio USD-BRL'!O865)^-1 -1</f>
        <v>-5.8637224140021371E-2</v>
      </c>
    </row>
    <row r="276" spans="11:19" x14ac:dyDescent="0.2">
      <c r="K276" s="355">
        <v>44004</v>
      </c>
      <c r="L276" s="169">
        <v>24.049999</v>
      </c>
      <c r="M276" s="169">
        <v>24.049999</v>
      </c>
      <c r="N276" s="169">
        <v>22.559999000000001</v>
      </c>
      <c r="O276" s="169">
        <v>22.790001</v>
      </c>
      <c r="P276" s="169">
        <v>22.765098999999999</v>
      </c>
      <c r="Q276" s="169">
        <v>30003100</v>
      </c>
      <c r="R276" s="53">
        <f t="shared" si="8"/>
        <v>-4.3642400523173475E-2</v>
      </c>
      <c r="S276" s="59">
        <f>(P276/P275)*('16. câmbio USD-BRL'!O867/'16. câmbio USD-BRL'!O866)^-1 -1</f>
        <v>-7.2991318521434034E-2</v>
      </c>
    </row>
    <row r="277" spans="11:19" x14ac:dyDescent="0.2">
      <c r="K277" s="355">
        <v>44011</v>
      </c>
      <c r="L277" s="169">
        <v>22.879999000000002</v>
      </c>
      <c r="M277" s="169">
        <v>23.290001</v>
      </c>
      <c r="N277" s="169">
        <v>22.17</v>
      </c>
      <c r="O277" s="169">
        <v>22.49</v>
      </c>
      <c r="P277" s="169">
        <v>22.465425</v>
      </c>
      <c r="Q277" s="169">
        <v>37598300</v>
      </c>
      <c r="R277" s="53">
        <f t="shared" si="8"/>
        <v>-1.3163746838966039E-2</v>
      </c>
      <c r="S277" s="59">
        <f>(P277/P276)*('16. câmbio USD-BRL'!O868/'16. câmbio USD-BRL'!O867)^-1 -1</f>
        <v>1.7626688913153776E-2</v>
      </c>
    </row>
    <row r="278" spans="11:19" x14ac:dyDescent="0.2">
      <c r="K278" s="355">
        <v>44018</v>
      </c>
      <c r="L278" s="169">
        <v>23.02</v>
      </c>
      <c r="M278" s="169">
        <v>23.75</v>
      </c>
      <c r="N278" s="169">
        <v>22.549999</v>
      </c>
      <c r="O278" s="169">
        <v>22.84</v>
      </c>
      <c r="P278" s="169">
        <v>22.815044</v>
      </c>
      <c r="Q278" s="169">
        <v>38554500</v>
      </c>
      <c r="R278" s="53">
        <f t="shared" si="8"/>
        <v>1.5562536653546566E-2</v>
      </c>
      <c r="S278" s="59">
        <f>(P278/P277)*('16. câmbio USD-BRL'!O869/'16. câmbio USD-BRL'!O868)^-1 -1</f>
        <v>1.4486100557242754E-2</v>
      </c>
    </row>
    <row r="279" spans="11:19" x14ac:dyDescent="0.2">
      <c r="K279" s="355">
        <v>44025</v>
      </c>
      <c r="L279" s="169">
        <v>22.99</v>
      </c>
      <c r="M279" s="169">
        <v>23.48</v>
      </c>
      <c r="N279" s="169">
        <v>21.719999000000001</v>
      </c>
      <c r="O279" s="169">
        <v>23.469999000000001</v>
      </c>
      <c r="P279" s="169">
        <v>23.444355000000002</v>
      </c>
      <c r="Q279" s="169">
        <v>39846100</v>
      </c>
      <c r="R279" s="53">
        <f t="shared" si="8"/>
        <v>2.758315960293567E-2</v>
      </c>
      <c r="S279" s="59">
        <f>(P279/P278)*('16. câmbio USD-BRL'!O870/'16. câmbio USD-BRL'!O869)^-1 -1</f>
        <v>1.4532845212903878E-2</v>
      </c>
    </row>
    <row r="280" spans="11:19" x14ac:dyDescent="0.2">
      <c r="K280" s="355">
        <v>44032</v>
      </c>
      <c r="L280" s="169">
        <v>23.389999</v>
      </c>
      <c r="M280" s="169">
        <v>24.379999000000002</v>
      </c>
      <c r="N280" s="169">
        <v>22.27</v>
      </c>
      <c r="O280" s="169">
        <v>22.299999</v>
      </c>
      <c r="P280" s="169">
        <v>22.275632999999999</v>
      </c>
      <c r="Q280" s="169">
        <v>43752000</v>
      </c>
      <c r="R280" s="53">
        <f t="shared" si="8"/>
        <v>-4.9850891611221693E-2</v>
      </c>
      <c r="S280" s="59">
        <f>(P280/P279)*('16. câmbio USD-BRL'!O871/'16. câmbio USD-BRL'!O870)^-1 -1</f>
        <v>-2.1311885327709779E-2</v>
      </c>
    </row>
    <row r="281" spans="11:19" x14ac:dyDescent="0.2">
      <c r="K281" s="355">
        <v>44039</v>
      </c>
      <c r="L281" s="169">
        <v>22.620000999999998</v>
      </c>
      <c r="M281" s="169">
        <v>23.040001</v>
      </c>
      <c r="N281" s="169">
        <v>22.08</v>
      </c>
      <c r="O281" s="169">
        <v>22.219999000000001</v>
      </c>
      <c r="P281" s="169">
        <v>22.195720999999999</v>
      </c>
      <c r="Q281" s="169">
        <v>34425000</v>
      </c>
      <c r="R281" s="53">
        <f t="shared" si="8"/>
        <v>-3.5874176953804016E-3</v>
      </c>
      <c r="S281" s="59">
        <f>(P281/P280)*('16. câmbio USD-BRL'!O872/'16. câmbio USD-BRL'!O871)^-1 -1</f>
        <v>-2.2896327235037983E-3</v>
      </c>
    </row>
    <row r="282" spans="11:19" x14ac:dyDescent="0.2">
      <c r="K282" s="355">
        <v>44046</v>
      </c>
      <c r="L282" s="169">
        <v>22.42</v>
      </c>
      <c r="M282" s="169">
        <v>23.52</v>
      </c>
      <c r="N282" s="169">
        <v>21.139999</v>
      </c>
      <c r="O282" s="169">
        <v>23.33</v>
      </c>
      <c r="P282" s="169">
        <v>23.304507999999998</v>
      </c>
      <c r="Q282" s="169">
        <v>40146000</v>
      </c>
      <c r="R282" s="53">
        <f t="shared" si="8"/>
        <v>4.9954989071992806E-2</v>
      </c>
      <c r="S282" s="59">
        <f>(P282/P281)*('16. câmbio USD-BRL'!O873/'16. câmbio USD-BRL'!O872)^-1 -1</f>
        <v>8.6163804591061766E-3</v>
      </c>
    </row>
    <row r="283" spans="11:19" x14ac:dyDescent="0.2">
      <c r="K283" s="355">
        <v>44053</v>
      </c>
      <c r="L283" s="169">
        <v>23.41</v>
      </c>
      <c r="M283" s="169">
        <v>23.49</v>
      </c>
      <c r="N283" s="169">
        <v>21.98</v>
      </c>
      <c r="O283" s="169">
        <v>22.809999000000001</v>
      </c>
      <c r="P283" s="169">
        <v>22.785076</v>
      </c>
      <c r="Q283" s="169">
        <v>31364100</v>
      </c>
      <c r="R283" s="53">
        <f t="shared" si="8"/>
        <v>-2.2288906506844008E-2</v>
      </c>
      <c r="S283" s="59">
        <f>(P283/P282)*('16. câmbio USD-BRL'!O874/'16. câmbio USD-BRL'!O873)^-1 -1</f>
        <v>-1.958644153671163E-2</v>
      </c>
    </row>
    <row r="284" spans="11:19" x14ac:dyDescent="0.2">
      <c r="K284" s="355">
        <v>44060</v>
      </c>
      <c r="L284" s="169">
        <v>22.77</v>
      </c>
      <c r="M284" s="169">
        <v>22.99</v>
      </c>
      <c r="N284" s="169">
        <v>21.860001</v>
      </c>
      <c r="O284" s="169">
        <v>22.559999000000001</v>
      </c>
      <c r="P284" s="169">
        <v>22.535349</v>
      </c>
      <c r="Q284" s="169">
        <v>44567500</v>
      </c>
      <c r="R284" s="53">
        <f t="shared" si="8"/>
        <v>-1.0960112663218724E-2</v>
      </c>
      <c r="S284" s="59">
        <f>(P284/P283)*('16. câmbio USD-BRL'!O875/'16. câmbio USD-BRL'!O874)^-1 -1</f>
        <v>-4.578434494960204E-2</v>
      </c>
    </row>
    <row r="285" spans="11:19" x14ac:dyDescent="0.2">
      <c r="K285" s="355">
        <v>44067</v>
      </c>
      <c r="L285" s="169">
        <v>22.610001</v>
      </c>
      <c r="M285" s="169">
        <v>24.35</v>
      </c>
      <c r="N285" s="169">
        <v>21.93</v>
      </c>
      <c r="O285" s="169">
        <v>23.76</v>
      </c>
      <c r="P285" s="169">
        <v>23.734037000000001</v>
      </c>
      <c r="Q285" s="169">
        <v>106994200</v>
      </c>
      <c r="R285" s="53">
        <f t="shared" si="8"/>
        <v>5.3191454900476609E-2</v>
      </c>
      <c r="S285" s="59">
        <f>(P285/P284)*('16. câmbio USD-BRL'!O876/'16. câmbio USD-BRL'!O875)^-1 -1</f>
        <v>9.7825995248809194E-2</v>
      </c>
    </row>
    <row r="286" spans="11:19" x14ac:dyDescent="0.2">
      <c r="K286" s="355">
        <v>44074</v>
      </c>
      <c r="L286" s="169">
        <v>23.6</v>
      </c>
      <c r="M286" s="169">
        <v>23.75</v>
      </c>
      <c r="N286" s="169">
        <v>21.59</v>
      </c>
      <c r="O286" s="169">
        <v>22.34</v>
      </c>
      <c r="P286" s="169">
        <v>22.31559</v>
      </c>
      <c r="Q286" s="169">
        <v>74425500</v>
      </c>
      <c r="R286" s="53">
        <f t="shared" si="8"/>
        <v>-5.9764253337938222E-2</v>
      </c>
      <c r="S286" s="59">
        <f>(P286/P285)*('16. câmbio USD-BRL'!O877/'16. câmbio USD-BRL'!O876)^-1 -1</f>
        <v>-4.3904128476792037E-2</v>
      </c>
    </row>
    <row r="287" spans="11:19" x14ac:dyDescent="0.2">
      <c r="K287" s="355">
        <v>44081</v>
      </c>
      <c r="L287" s="169">
        <v>22.34</v>
      </c>
      <c r="M287" s="169">
        <v>22.51</v>
      </c>
      <c r="N287" s="169">
        <v>20.75</v>
      </c>
      <c r="O287" s="169">
        <v>21.02</v>
      </c>
      <c r="P287" s="169">
        <v>20.997032000000001</v>
      </c>
      <c r="Q287" s="169">
        <v>30574500</v>
      </c>
      <c r="R287" s="53">
        <f t="shared" si="8"/>
        <v>-5.9086853630130332E-2</v>
      </c>
      <c r="S287" s="59">
        <f>(P287/P286)*('16. câmbio USD-BRL'!O878/'16. câmbio USD-BRL'!O877)^-1 -1</f>
        <v>-6.1954142238544674E-2</v>
      </c>
    </row>
    <row r="288" spans="11:19" x14ac:dyDescent="0.2">
      <c r="K288" s="355">
        <v>44088</v>
      </c>
      <c r="L288" s="169">
        <v>21.139999</v>
      </c>
      <c r="M288" s="169">
        <v>21.83</v>
      </c>
      <c r="N288" s="169">
        <v>20.799999</v>
      </c>
      <c r="O288" s="169">
        <v>21.35</v>
      </c>
      <c r="P288" s="169">
        <v>21.326671999999999</v>
      </c>
      <c r="Q288" s="169">
        <v>40052200</v>
      </c>
      <c r="R288" s="53">
        <f t="shared" si="8"/>
        <v>1.5699361700262982E-2</v>
      </c>
      <c r="S288" s="59">
        <f>(P288/P287)*('16. câmbio USD-BRL'!O879/'16. câmbio USD-BRL'!O878)^-1 -1</f>
        <v>1.8850663774756526E-3</v>
      </c>
    </row>
    <row r="289" spans="11:19" x14ac:dyDescent="0.2">
      <c r="K289" s="355">
        <v>44095</v>
      </c>
      <c r="L289" s="169">
        <v>21.1</v>
      </c>
      <c r="M289" s="169">
        <v>21.280000999999999</v>
      </c>
      <c r="N289" s="169">
        <v>20.219999000000001</v>
      </c>
      <c r="O289" s="169">
        <v>20.84</v>
      </c>
      <c r="P289" s="169">
        <v>20.817228</v>
      </c>
      <c r="Q289" s="169">
        <v>36689100</v>
      </c>
      <c r="R289" s="53">
        <f t="shared" si="8"/>
        <v>-2.3887646417593777E-2</v>
      </c>
      <c r="S289" s="59">
        <f>(P289/P288)*('16. câmbio USD-BRL'!O880/'16. câmbio USD-BRL'!O879)^-1 -1</f>
        <v>-5.3736029356221904E-2</v>
      </c>
    </row>
    <row r="290" spans="11:19" x14ac:dyDescent="0.2">
      <c r="K290" s="355">
        <v>44102</v>
      </c>
      <c r="L290" s="169">
        <v>20.85</v>
      </c>
      <c r="M290" s="169">
        <v>20.92</v>
      </c>
      <c r="N290" s="169">
        <v>18.790001</v>
      </c>
      <c r="O290" s="169">
        <v>18.950001</v>
      </c>
      <c r="P290" s="169">
        <v>18.929295</v>
      </c>
      <c r="Q290" s="169">
        <v>57962000</v>
      </c>
      <c r="R290" s="53">
        <f t="shared" si="8"/>
        <v>-9.0690893139086515E-2</v>
      </c>
      <c r="S290" s="59">
        <f>(P290/P289)*('16. câmbio USD-BRL'!O881/'16. câmbio USD-BRL'!O880)^-1 -1</f>
        <v>-0.1099506930502383</v>
      </c>
    </row>
    <row r="291" spans="11:19" x14ac:dyDescent="0.2">
      <c r="K291" s="355">
        <v>44109</v>
      </c>
      <c r="L291" s="169">
        <v>18.84</v>
      </c>
      <c r="M291" s="169">
        <v>19.18</v>
      </c>
      <c r="N291" s="169">
        <v>17.739999999999998</v>
      </c>
      <c r="O291" s="169">
        <v>18.02</v>
      </c>
      <c r="P291" s="169">
        <v>18.000311</v>
      </c>
      <c r="Q291" s="169">
        <v>56879600</v>
      </c>
      <c r="R291" s="53">
        <f t="shared" si="8"/>
        <v>-4.9076523980422948E-2</v>
      </c>
      <c r="S291" s="59">
        <f>(P291/P290)*('16. câmbio USD-BRL'!O882/'16. câmbio USD-BRL'!O881)^-1 -1</f>
        <v>-2.2875119088831775E-2</v>
      </c>
    </row>
    <row r="292" spans="11:19" x14ac:dyDescent="0.2">
      <c r="K292" s="355">
        <v>44116</v>
      </c>
      <c r="L292" s="169">
        <v>18.02</v>
      </c>
      <c r="M292" s="169">
        <v>19.139999</v>
      </c>
      <c r="N292" s="169">
        <v>17.940000999999999</v>
      </c>
      <c r="O292" s="169">
        <v>18.75</v>
      </c>
      <c r="P292" s="169">
        <v>18.729513000000001</v>
      </c>
      <c r="Q292" s="169">
        <v>52968900</v>
      </c>
      <c r="R292" s="53">
        <f t="shared" si="8"/>
        <v>4.0510522290420514E-2</v>
      </c>
      <c r="S292" s="59">
        <f>(P292/P291)*('16. câmbio USD-BRL'!O883/'16. câmbio USD-BRL'!O882)^-1 -1</f>
        <v>1.9104786197939205E-2</v>
      </c>
    </row>
    <row r="293" spans="11:19" x14ac:dyDescent="0.2">
      <c r="K293" s="355">
        <v>44123</v>
      </c>
      <c r="L293" s="169">
        <v>18.59</v>
      </c>
      <c r="M293" s="169">
        <v>18.950001</v>
      </c>
      <c r="N293" s="169">
        <v>18.059999000000001</v>
      </c>
      <c r="O293" s="169">
        <v>18.129999000000002</v>
      </c>
      <c r="P293" s="169">
        <v>18.110188999999998</v>
      </c>
      <c r="Q293" s="169">
        <v>32345800</v>
      </c>
      <c r="R293" s="53">
        <f t="shared" si="8"/>
        <v>-3.3066743379819963E-2</v>
      </c>
      <c r="S293" s="59">
        <f>(P293/P292)*('16. câmbio USD-BRL'!O884/'16. câmbio USD-BRL'!O883)^-1 -1</f>
        <v>-2.8366540768493542E-2</v>
      </c>
    </row>
    <row r="294" spans="11:19" x14ac:dyDescent="0.2">
      <c r="K294" s="355">
        <v>44130</v>
      </c>
      <c r="L294" s="169">
        <v>18.129999000000002</v>
      </c>
      <c r="M294" s="169">
        <v>18.700001</v>
      </c>
      <c r="N294" s="169">
        <v>17.309999000000001</v>
      </c>
      <c r="O294" s="169">
        <v>18.34</v>
      </c>
      <c r="P294" s="169">
        <v>18.319959999999998</v>
      </c>
      <c r="Q294" s="169">
        <v>49106100</v>
      </c>
      <c r="R294" s="53">
        <f t="shared" si="8"/>
        <v>1.158303759281587E-2</v>
      </c>
      <c r="S294" s="59">
        <f>(P294/P293)*('16. câmbio USD-BRL'!O885/'16. câmbio USD-BRL'!O884)^-1 -1</f>
        <v>-1.6710053008277659E-2</v>
      </c>
    </row>
    <row r="295" spans="11:19" x14ac:dyDescent="0.2">
      <c r="K295" s="355">
        <v>44137</v>
      </c>
      <c r="L295" s="169">
        <v>18.34</v>
      </c>
      <c r="M295" s="169">
        <v>20</v>
      </c>
      <c r="N295" s="169">
        <v>18.139999</v>
      </c>
      <c r="O295" s="169">
        <v>19.209999</v>
      </c>
      <c r="P295" s="169">
        <v>19.189008999999999</v>
      </c>
      <c r="Q295" s="169">
        <v>40054000</v>
      </c>
      <c r="R295" s="53">
        <f t="shared" si="8"/>
        <v>4.7437276063921674E-2</v>
      </c>
      <c r="S295" s="59">
        <f>(P295/P294)*('16. câmbio USD-BRL'!O886/'16. câmbio USD-BRL'!O885)^-1 -1</f>
        <v>0.12851419875102588</v>
      </c>
    </row>
    <row r="296" spans="11:19" x14ac:dyDescent="0.2">
      <c r="K296" s="355">
        <v>44144</v>
      </c>
      <c r="L296" s="169">
        <v>19.709999</v>
      </c>
      <c r="M296" s="169">
        <v>20.700001</v>
      </c>
      <c r="N296" s="169">
        <v>18.670000000000002</v>
      </c>
      <c r="O296" s="169">
        <v>19.299999</v>
      </c>
      <c r="P296" s="169">
        <v>19.278911999999998</v>
      </c>
      <c r="Q296" s="169">
        <v>73553200</v>
      </c>
      <c r="R296" s="53">
        <f t="shared" si="8"/>
        <v>4.685129909522745E-3</v>
      </c>
      <c r="S296" s="59">
        <f>(P296/P295)*('16. câmbio USD-BRL'!O887/'16. câmbio USD-BRL'!O886)^-1 -1</f>
        <v>-1.2676388827964513E-2</v>
      </c>
    </row>
    <row r="297" spans="11:19" x14ac:dyDescent="0.2">
      <c r="K297" s="355">
        <v>44151</v>
      </c>
      <c r="L297" s="169">
        <v>19.59</v>
      </c>
      <c r="M297" s="169">
        <v>19.690000999999999</v>
      </c>
      <c r="N297" s="169">
        <v>18.209999</v>
      </c>
      <c r="O297" s="169">
        <v>18.5</v>
      </c>
      <c r="P297" s="169">
        <v>18.479786000000001</v>
      </c>
      <c r="Q297" s="169">
        <v>48772200</v>
      </c>
      <c r="R297" s="53">
        <f t="shared" si="8"/>
        <v>-4.1450783114731715E-2</v>
      </c>
      <c r="S297" s="59">
        <f>(P297/P296)*('16. câmbio USD-BRL'!O888/'16. câmbio USD-BRL'!O887)^-1 -1</f>
        <v>-2.7388282749872706E-2</v>
      </c>
    </row>
    <row r="298" spans="11:19" x14ac:dyDescent="0.2">
      <c r="K298" s="355">
        <v>44158</v>
      </c>
      <c r="L298" s="169">
        <v>18.700001</v>
      </c>
      <c r="M298" s="169">
        <v>19.799999</v>
      </c>
      <c r="N298" s="169">
        <v>18.389999</v>
      </c>
      <c r="O298" s="169">
        <v>19.370000999999998</v>
      </c>
      <c r="P298" s="169">
        <v>19.348835000000001</v>
      </c>
      <c r="Q298" s="169">
        <v>54082500</v>
      </c>
      <c r="R298" s="53">
        <f t="shared" si="8"/>
        <v>4.7027005615757789E-2</v>
      </c>
      <c r="S298" s="59">
        <f>(P298/P297)*('16. câmbio USD-BRL'!O889/'16. câmbio USD-BRL'!O888)^-1 -1</f>
        <v>5.4003919307834547E-2</v>
      </c>
    </row>
    <row r="299" spans="11:19" x14ac:dyDescent="0.2">
      <c r="K299" s="355">
        <v>44165</v>
      </c>
      <c r="L299" s="169">
        <v>19.309999000000001</v>
      </c>
      <c r="M299" s="169">
        <v>21</v>
      </c>
      <c r="N299" s="169">
        <v>18.780000999999999</v>
      </c>
      <c r="O299" s="169">
        <v>20.639999</v>
      </c>
      <c r="P299" s="169">
        <v>20.617446999999999</v>
      </c>
      <c r="Q299" s="169">
        <v>60071300</v>
      </c>
      <c r="R299" s="53">
        <f t="shared" si="8"/>
        <v>6.5565291140267545E-2</v>
      </c>
      <c r="S299" s="59">
        <f>(P299/P298)*('16. câmbio USD-BRL'!O890/'16. câmbio USD-BRL'!O889)^-1 -1</f>
        <v>0.10445106470527699</v>
      </c>
    </row>
    <row r="300" spans="11:19" x14ac:dyDescent="0.2">
      <c r="K300" s="355">
        <v>44172</v>
      </c>
      <c r="L300" s="169">
        <v>20.620000999999998</v>
      </c>
      <c r="M300" s="169">
        <v>20.620000999999998</v>
      </c>
      <c r="N300" s="169">
        <v>18.649999999999999</v>
      </c>
      <c r="O300" s="169">
        <v>18.77</v>
      </c>
      <c r="P300" s="169">
        <v>18.749490999999999</v>
      </c>
      <c r="Q300" s="169">
        <v>52082600</v>
      </c>
      <c r="R300" s="53">
        <f t="shared" si="8"/>
        <v>-9.0600742177244342E-2</v>
      </c>
      <c r="S300" s="59">
        <f>(P300/P299)*('16. câmbio USD-BRL'!O891/'16. câmbio USD-BRL'!O890)^-1 -1</f>
        <v>-7.4403156565378215E-2</v>
      </c>
    </row>
    <row r="301" spans="11:19" x14ac:dyDescent="0.2">
      <c r="K301" s="355">
        <v>44179</v>
      </c>
      <c r="L301" s="169">
        <v>18.870000999999998</v>
      </c>
      <c r="M301" s="169">
        <v>19.98</v>
      </c>
      <c r="N301" s="169">
        <v>18.549999</v>
      </c>
      <c r="O301" s="169">
        <v>19.379999000000002</v>
      </c>
      <c r="P301" s="169">
        <v>19.358823999999998</v>
      </c>
      <c r="Q301" s="169">
        <v>67945400</v>
      </c>
      <c r="R301" s="53">
        <f t="shared" si="8"/>
        <v>3.2498642229807695E-2</v>
      </c>
      <c r="S301" s="59">
        <f>(P301/P300)*('16. câmbio USD-BRL'!O892/'16. câmbio USD-BRL'!O891)^-1 -1</f>
        <v>2.5130303097712359E-2</v>
      </c>
    </row>
    <row r="302" spans="11:19" x14ac:dyDescent="0.2">
      <c r="K302" s="355">
        <v>44186</v>
      </c>
      <c r="L302" s="169">
        <v>18.989999999999998</v>
      </c>
      <c r="M302" s="169">
        <v>19.459999</v>
      </c>
      <c r="N302" s="169">
        <v>18.670000000000002</v>
      </c>
      <c r="O302" s="169">
        <v>19.200001</v>
      </c>
      <c r="P302" s="169">
        <v>19.179022</v>
      </c>
      <c r="Q302" s="169">
        <v>25041000</v>
      </c>
      <c r="R302" s="53">
        <f t="shared" si="8"/>
        <v>-9.2878575682076026E-3</v>
      </c>
      <c r="S302" s="59">
        <f>(P302/P301)*('16. câmbio USD-BRL'!O893/'16. câmbio USD-BRL'!O892)^-1 -1</f>
        <v>-3.1076572069181019E-2</v>
      </c>
    </row>
    <row r="303" spans="11:19" x14ac:dyDescent="0.2">
      <c r="K303" s="355">
        <v>44193</v>
      </c>
      <c r="L303" s="169">
        <v>19.350000000000001</v>
      </c>
      <c r="M303" s="169">
        <v>19.84</v>
      </c>
      <c r="N303" s="169">
        <v>19.16</v>
      </c>
      <c r="O303" s="169">
        <v>19.239999999999998</v>
      </c>
      <c r="P303" s="169">
        <v>19.218976999999999</v>
      </c>
      <c r="Q303" s="169">
        <v>30457100</v>
      </c>
      <c r="R303" s="53">
        <f t="shared" si="8"/>
        <v>2.0832657681919553E-3</v>
      </c>
      <c r="S303" s="59">
        <f>(P303/P302)*('16. câmbio USD-BRL'!O894/'16. câmbio USD-BRL'!O893)^-1 -1</f>
        <v>6.5996756410660051E-3</v>
      </c>
    </row>
    <row r="304" spans="11:19" x14ac:dyDescent="0.2">
      <c r="K304" s="355">
        <v>44200</v>
      </c>
      <c r="L304" s="169">
        <v>19.360001</v>
      </c>
      <c r="M304" s="169">
        <v>20.219999000000001</v>
      </c>
      <c r="N304" s="169">
        <v>18.790001</v>
      </c>
      <c r="O304" s="169">
        <v>20</v>
      </c>
      <c r="P304" s="169">
        <v>19.978145999999999</v>
      </c>
      <c r="Q304" s="169">
        <v>72673100</v>
      </c>
      <c r="R304" s="53">
        <f t="shared" si="8"/>
        <v>3.9501009861242942E-2</v>
      </c>
      <c r="S304" s="59">
        <f>(P304/P303)*('16. câmbio USD-BRL'!O895/'16. câmbio USD-BRL'!O894)^-1 -1</f>
        <v>-2.8089761296934412E-3</v>
      </c>
    </row>
    <row r="305" spans="11:19" x14ac:dyDescent="0.2">
      <c r="K305" s="355">
        <v>44207</v>
      </c>
      <c r="L305" s="169">
        <v>19.780000999999999</v>
      </c>
      <c r="M305" s="169">
        <v>21.379999000000002</v>
      </c>
      <c r="N305" s="169">
        <v>19.399999999999999</v>
      </c>
      <c r="O305" s="169">
        <v>21.209999</v>
      </c>
      <c r="P305" s="169">
        <v>21.186823</v>
      </c>
      <c r="Q305" s="169">
        <v>57776000</v>
      </c>
      <c r="R305" s="53">
        <f t="shared" si="8"/>
        <v>6.0499958304439438E-2</v>
      </c>
      <c r="S305" s="59">
        <f>(P305/P304)*('16. câmbio USD-BRL'!O896/'16. câmbio USD-BRL'!O895)^-1 -1</f>
        <v>8.4728733644999998E-2</v>
      </c>
    </row>
    <row r="306" spans="11:19" x14ac:dyDescent="0.2">
      <c r="K306" s="355">
        <v>44214</v>
      </c>
      <c r="L306" s="169">
        <v>21.23</v>
      </c>
      <c r="M306" s="169">
        <v>21.42</v>
      </c>
      <c r="N306" s="169">
        <v>20.34</v>
      </c>
      <c r="O306" s="169">
        <v>20.85</v>
      </c>
      <c r="P306" s="169">
        <v>20.827218999999999</v>
      </c>
      <c r="Q306" s="169">
        <v>58866900</v>
      </c>
      <c r="R306" s="53">
        <f t="shared" si="8"/>
        <v>-1.6973002511985857E-2</v>
      </c>
      <c r="S306" s="59">
        <f>(P306/P305)*('16. câmbio USD-BRL'!O897/'16. câmbio USD-BRL'!O896)^-1 -1</f>
        <v>-2.7667865817678328E-2</v>
      </c>
    </row>
    <row r="307" spans="11:19" x14ac:dyDescent="0.2">
      <c r="K307" s="355">
        <v>44221</v>
      </c>
      <c r="L307" s="169">
        <v>20.85</v>
      </c>
      <c r="M307" s="169">
        <v>21.17</v>
      </c>
      <c r="N307" s="169">
        <v>20.079999999999998</v>
      </c>
      <c r="O307" s="169">
        <v>20.299999</v>
      </c>
      <c r="P307" s="169">
        <v>20.277819000000001</v>
      </c>
      <c r="Q307" s="169">
        <v>43465500</v>
      </c>
      <c r="R307" s="53">
        <f t="shared" si="8"/>
        <v>-2.6378941902901132E-2</v>
      </c>
      <c r="S307" s="59">
        <f>(P307/P306)*('16. câmbio USD-BRL'!O898/'16. câmbio USD-BRL'!O897)^-1 -1</f>
        <v>-4.6222925159238426E-2</v>
      </c>
    </row>
    <row r="308" spans="11:19" x14ac:dyDescent="0.2">
      <c r="K308" s="355">
        <v>44228</v>
      </c>
      <c r="L308" s="169">
        <v>20.879999000000002</v>
      </c>
      <c r="M308" s="169">
        <v>21.98</v>
      </c>
      <c r="N308" s="169">
        <v>20.48</v>
      </c>
      <c r="O308" s="169">
        <v>21.35</v>
      </c>
      <c r="P308" s="169">
        <v>21.326671999999999</v>
      </c>
      <c r="Q308" s="169">
        <v>57305600</v>
      </c>
      <c r="R308" s="53">
        <f t="shared" si="8"/>
        <v>5.1724152385421496E-2</v>
      </c>
      <c r="S308" s="59">
        <f>(P308/P307)*('16. câmbio USD-BRL'!O899/'16. câmbio USD-BRL'!O898)^-1 -1</f>
        <v>6.9666850060774221E-2</v>
      </c>
    </row>
    <row r="309" spans="11:19" x14ac:dyDescent="0.2">
      <c r="K309" s="355">
        <v>44235</v>
      </c>
      <c r="L309" s="169">
        <v>21.32</v>
      </c>
      <c r="M309" s="169">
        <v>21.67</v>
      </c>
      <c r="N309" s="169">
        <v>18.82</v>
      </c>
      <c r="O309" s="169">
        <v>20.18</v>
      </c>
      <c r="P309" s="169">
        <v>20.157948999999999</v>
      </c>
      <c r="Q309" s="169">
        <v>77653200</v>
      </c>
      <c r="R309" s="53">
        <f t="shared" si="8"/>
        <v>-5.4801002237948815E-2</v>
      </c>
      <c r="S309" s="59">
        <f>(P309/P308)*('16. câmbio USD-BRL'!O900/'16. câmbio USD-BRL'!O899)^-1 -1</f>
        <v>-5.4677757514388525E-2</v>
      </c>
    </row>
    <row r="310" spans="11:19" x14ac:dyDescent="0.2">
      <c r="K310" s="355">
        <v>44242</v>
      </c>
      <c r="L310" s="169">
        <v>20.18</v>
      </c>
      <c r="M310" s="169">
        <v>20.43</v>
      </c>
      <c r="N310" s="169">
        <v>19.209999</v>
      </c>
      <c r="O310" s="169">
        <v>19.57</v>
      </c>
      <c r="P310" s="169">
        <v>19.548615999999999</v>
      </c>
      <c r="Q310" s="169">
        <v>56307500</v>
      </c>
      <c r="R310" s="53">
        <f t="shared" si="8"/>
        <v>-3.0227926462161325E-2</v>
      </c>
      <c r="S310" s="59">
        <f>(P310/P309)*('16. câmbio USD-BRL'!O901/'16. câmbio USD-BRL'!O900)^-1 -1</f>
        <v>-3.2223868964317726E-2</v>
      </c>
    </row>
    <row r="311" spans="11:19" x14ac:dyDescent="0.2">
      <c r="K311" s="355">
        <v>44249</v>
      </c>
      <c r="L311" s="169">
        <v>18.969999000000001</v>
      </c>
      <c r="M311" s="169">
        <v>19.600000000000001</v>
      </c>
      <c r="N311" s="169">
        <v>18.100000000000001</v>
      </c>
      <c r="O311" s="169">
        <v>18.100000000000001</v>
      </c>
      <c r="P311" s="169">
        <v>18.080223</v>
      </c>
      <c r="Q311" s="169">
        <v>76152400</v>
      </c>
      <c r="R311" s="53">
        <f t="shared" si="8"/>
        <v>-7.5114933967703856E-2</v>
      </c>
      <c r="S311" s="59">
        <f>(P311/P310)*('16. câmbio USD-BRL'!O902/'16. câmbio USD-BRL'!O901)^-1 -1</f>
        <v>-0.11113945182837448</v>
      </c>
    </row>
    <row r="312" spans="11:19" x14ac:dyDescent="0.2">
      <c r="K312" s="355">
        <v>44256</v>
      </c>
      <c r="L312" s="169">
        <v>18.129999000000002</v>
      </c>
      <c r="M312" s="169">
        <v>20.84</v>
      </c>
      <c r="N312" s="169">
        <v>17.43</v>
      </c>
      <c r="O312" s="169">
        <v>20.309999000000001</v>
      </c>
      <c r="P312" s="169">
        <v>20.287807000000001</v>
      </c>
      <c r="Q312" s="169">
        <v>84547800</v>
      </c>
      <c r="R312" s="53">
        <f t="shared" si="8"/>
        <v>0.12209937897336776</v>
      </c>
      <c r="S312" s="59">
        <f>(P312/P311)*('16. câmbio USD-BRL'!O903/'16. câmbio USD-BRL'!O902)^-1 -1</f>
        <v>0.10397459947997612</v>
      </c>
    </row>
    <row r="313" spans="11:19" x14ac:dyDescent="0.2">
      <c r="K313" s="355">
        <v>44263</v>
      </c>
      <c r="L313" s="169">
        <v>19.98</v>
      </c>
      <c r="M313" s="169">
        <v>20.07</v>
      </c>
      <c r="N313" s="169">
        <v>18.280000999999999</v>
      </c>
      <c r="O313" s="169">
        <v>19.709999</v>
      </c>
      <c r="P313" s="169">
        <v>19.688462999999999</v>
      </c>
      <c r="Q313" s="169">
        <v>73331100</v>
      </c>
      <c r="R313" s="53">
        <f t="shared" si="8"/>
        <v>-2.9542079141427258E-2</v>
      </c>
      <c r="S313" s="59">
        <f>(P313/P312)*('16. câmbio USD-BRL'!O904/'16. câmbio USD-BRL'!O903)^-1 -1</f>
        <v>-5.3645444723933178E-3</v>
      </c>
    </row>
    <row r="314" spans="11:19" x14ac:dyDescent="0.2">
      <c r="K314" s="355">
        <v>44270</v>
      </c>
      <c r="L314" s="169">
        <v>19.700001</v>
      </c>
      <c r="M314" s="169">
        <v>20.98</v>
      </c>
      <c r="N314" s="169">
        <v>19.129999000000002</v>
      </c>
      <c r="O314" s="169">
        <v>20.77</v>
      </c>
      <c r="P314" s="169">
        <v>20.747305000000001</v>
      </c>
      <c r="Q314" s="169">
        <v>59299500</v>
      </c>
      <c r="R314" s="53">
        <f t="shared" si="8"/>
        <v>5.3779820192160432E-2</v>
      </c>
      <c r="S314" s="59">
        <f>(P314/P313)*('16. câmbio USD-BRL'!O905/'16. câmbio USD-BRL'!O904)^-1 -1</f>
        <v>6.5623925284765683E-2</v>
      </c>
    </row>
    <row r="315" spans="11:19" x14ac:dyDescent="0.2">
      <c r="K315" s="355">
        <v>44277</v>
      </c>
      <c r="L315" s="169">
        <v>20.450001</v>
      </c>
      <c r="M315" s="169">
        <v>20.74</v>
      </c>
      <c r="N315" s="169">
        <v>19.139999</v>
      </c>
      <c r="O315" s="169">
        <v>19.700001</v>
      </c>
      <c r="P315" s="169">
        <v>19.678474000000001</v>
      </c>
      <c r="Q315" s="169">
        <v>37829100</v>
      </c>
      <c r="R315" s="53">
        <f t="shared" si="8"/>
        <v>-5.1516618664448233E-2</v>
      </c>
      <c r="S315" s="59">
        <f>(P315/P314)*('16. câmbio USD-BRL'!O906/'16. câmbio USD-BRL'!O905)^-1 -1</f>
        <v>-9.5226593594538222E-2</v>
      </c>
    </row>
    <row r="316" spans="11:19" x14ac:dyDescent="0.2">
      <c r="K316" s="355">
        <v>44284</v>
      </c>
      <c r="L316" s="169">
        <v>19.600000000000001</v>
      </c>
      <c r="M316" s="169">
        <v>20.370000999999998</v>
      </c>
      <c r="N316" s="169">
        <v>19.5</v>
      </c>
      <c r="O316" s="169">
        <v>20.16</v>
      </c>
      <c r="P316" s="169">
        <v>20.137972000000001</v>
      </c>
      <c r="Q316" s="169">
        <v>28768600</v>
      </c>
      <c r="R316" s="53">
        <f t="shared" si="8"/>
        <v>2.3350286206135662E-2</v>
      </c>
      <c r="S316" s="59">
        <f>(P316/P315)*('16. câmbio USD-BRL'!O907/'16. câmbio USD-BRL'!O906)^-1 -1</f>
        <v>3.1994022961613577E-2</v>
      </c>
    </row>
    <row r="317" spans="11:19" x14ac:dyDescent="0.2">
      <c r="K317" s="355">
        <v>44291</v>
      </c>
      <c r="L317" s="169">
        <v>20.299999</v>
      </c>
      <c r="M317" s="169">
        <v>20.959999</v>
      </c>
      <c r="N317" s="169">
        <v>20.16</v>
      </c>
      <c r="O317" s="169">
        <v>20.309999000000001</v>
      </c>
      <c r="P317" s="169">
        <v>20.287807000000001</v>
      </c>
      <c r="Q317" s="169">
        <v>33605100</v>
      </c>
      <c r="R317" s="53">
        <f t="shared" si="8"/>
        <v>7.4404215081835812E-3</v>
      </c>
      <c r="S317" s="59">
        <f>(P317/P316)*('16. câmbio USD-BRL'!O908/'16. câmbio USD-BRL'!O907)^-1 -1</f>
        <v>1.0450613469803915E-2</v>
      </c>
    </row>
    <row r="318" spans="11:19" x14ac:dyDescent="0.2">
      <c r="K318" s="355">
        <v>44298</v>
      </c>
      <c r="L318" s="169">
        <v>20.370000999999998</v>
      </c>
      <c r="M318" s="169">
        <v>21.24</v>
      </c>
      <c r="N318" s="169">
        <v>19.860001</v>
      </c>
      <c r="O318" s="169">
        <v>21.01</v>
      </c>
      <c r="P318" s="169">
        <v>20.987043</v>
      </c>
      <c r="Q318" s="169">
        <v>48227700</v>
      </c>
      <c r="R318" s="53">
        <f t="shared" si="8"/>
        <v>3.4465824719251303E-2</v>
      </c>
      <c r="S318" s="59">
        <f>(P318/P317)*('16. câmbio USD-BRL'!O909/'16. câmbio USD-BRL'!O908)^-1 -1</f>
        <v>5.1232516825647778E-2</v>
      </c>
    </row>
    <row r="319" spans="11:19" x14ac:dyDescent="0.2">
      <c r="K319" s="355">
        <v>44305</v>
      </c>
      <c r="L319" s="169">
        <v>21.110001</v>
      </c>
      <c r="M319" s="169">
        <v>21.35</v>
      </c>
      <c r="N319" s="169">
        <v>20.459999</v>
      </c>
      <c r="O319" s="169">
        <v>21.059999000000001</v>
      </c>
      <c r="P319" s="169">
        <v>21.036987</v>
      </c>
      <c r="Q319" s="169">
        <v>36571300</v>
      </c>
      <c r="R319" s="53">
        <f t="shared" si="8"/>
        <v>2.3797540225176661E-3</v>
      </c>
      <c r="S319" s="59">
        <f>(P319/P318)*('16. câmbio USD-BRL'!O910/'16. câmbio USD-BRL'!O909)^-1 -1</f>
        <v>2.5391730827177383E-2</v>
      </c>
    </row>
    <row r="320" spans="11:19" x14ac:dyDescent="0.2">
      <c r="K320" s="355">
        <v>44312</v>
      </c>
      <c r="L320" s="169">
        <v>21.09</v>
      </c>
      <c r="M320" s="169">
        <v>21.4</v>
      </c>
      <c r="N320" s="169">
        <v>19.670000000000002</v>
      </c>
      <c r="O320" s="169">
        <v>20</v>
      </c>
      <c r="P320" s="169">
        <v>19.978145999999999</v>
      </c>
      <c r="Q320" s="169">
        <v>44588000</v>
      </c>
      <c r="R320" s="53">
        <f t="shared" si="8"/>
        <v>-5.0332350350361543E-2</v>
      </c>
      <c r="S320" s="59">
        <f>(P320/P319)*('16. câmbio USD-BRL'!O911/'16. câmbio USD-BRL'!O910)^-1 -1</f>
        <v>-4.3884945187634194E-2</v>
      </c>
    </row>
    <row r="321" spans="11:19" x14ac:dyDescent="0.2">
      <c r="K321" s="355">
        <v>44319</v>
      </c>
      <c r="L321" s="169">
        <v>20.02</v>
      </c>
      <c r="M321" s="169">
        <v>21.389999</v>
      </c>
      <c r="N321" s="169">
        <v>19.809999000000001</v>
      </c>
      <c r="O321" s="169">
        <v>21.34</v>
      </c>
      <c r="P321" s="169">
        <v>21.316683000000001</v>
      </c>
      <c r="Q321" s="169">
        <v>39264600</v>
      </c>
      <c r="R321" s="53">
        <f t="shared" si="8"/>
        <v>6.7000060966618369E-2</v>
      </c>
      <c r="S321" s="59">
        <f>(P321/P320)*('16. câmbio USD-BRL'!O912/'16. câmbio USD-BRL'!O911)^-1 -1</f>
        <v>0.10838497259274682</v>
      </c>
    </row>
    <row r="322" spans="11:19" x14ac:dyDescent="0.2">
      <c r="K322" s="355">
        <v>44326</v>
      </c>
      <c r="L322" s="169">
        <v>21.139999</v>
      </c>
      <c r="M322" s="169">
        <v>21.65</v>
      </c>
      <c r="N322" s="169">
        <v>20.200001</v>
      </c>
      <c r="O322" s="169">
        <v>20.950001</v>
      </c>
      <c r="P322" s="169">
        <v>20.927109000000002</v>
      </c>
      <c r="Q322" s="169">
        <v>36439600</v>
      </c>
      <c r="R322" s="53">
        <f t="shared" si="8"/>
        <v>-1.8275545027338413E-2</v>
      </c>
      <c r="S322" s="59">
        <f>(P322/P321)*('16. câmbio USD-BRL'!O913/'16. câmbio USD-BRL'!O912)^-1 -1</f>
        <v>-2.5034064441522563E-2</v>
      </c>
    </row>
    <row r="323" spans="11:19" x14ac:dyDescent="0.2">
      <c r="K323" s="355">
        <v>44333</v>
      </c>
      <c r="L323" s="169">
        <v>20.92</v>
      </c>
      <c r="M323" s="169">
        <v>21.030000999999999</v>
      </c>
      <c r="N323" s="169">
        <v>19.860001</v>
      </c>
      <c r="O323" s="169">
        <v>19.969999000000001</v>
      </c>
      <c r="P323" s="169">
        <v>19.948179</v>
      </c>
      <c r="Q323" s="169">
        <v>45129700</v>
      </c>
      <c r="R323" s="53">
        <f t="shared" si="8"/>
        <v>-4.6778081004882344E-2</v>
      </c>
      <c r="S323" s="59">
        <f>(P323/P322)*('16. câmbio USD-BRL'!O914/'16. câmbio USD-BRL'!O913)^-1 -1</f>
        <v>-6.3606334188738067E-2</v>
      </c>
    </row>
    <row r="324" spans="11:19" x14ac:dyDescent="0.2">
      <c r="K324" s="355">
        <v>44340</v>
      </c>
      <c r="L324" s="169">
        <v>20</v>
      </c>
      <c r="M324" s="169">
        <v>20.99</v>
      </c>
      <c r="N324" s="169">
        <v>20</v>
      </c>
      <c r="O324" s="169">
        <v>20.879999000000002</v>
      </c>
      <c r="P324" s="169">
        <v>20.857182999999999</v>
      </c>
      <c r="Q324" s="169">
        <v>33309900</v>
      </c>
      <c r="R324" s="53">
        <f t="shared" si="8"/>
        <v>4.5568269665115846E-2</v>
      </c>
      <c r="S324" s="59">
        <f>(P324/P323)*('16. câmbio USD-BRL'!O915/'16. câmbio USD-BRL'!O914)^-1 -1</f>
        <v>7.3628888234612333E-2</v>
      </c>
    </row>
    <row r="325" spans="11:19" x14ac:dyDescent="0.2">
      <c r="K325" s="355">
        <v>44347</v>
      </c>
      <c r="L325" s="169">
        <v>20.799999</v>
      </c>
      <c r="M325" s="169">
        <v>22</v>
      </c>
      <c r="N325" s="169">
        <v>20.459999</v>
      </c>
      <c r="O325" s="169">
        <v>21.290001</v>
      </c>
      <c r="P325" s="169">
        <v>21.266736999999999</v>
      </c>
      <c r="Q325" s="169">
        <v>33427600</v>
      </c>
      <c r="R325" s="53">
        <f t="shared" ref="R325:R388" si="9">P325/P324-1</f>
        <v>1.9636112892138957E-2</v>
      </c>
      <c r="S325" s="59">
        <f>(P325/P324)*('16. câmbio USD-BRL'!O916/'16. câmbio USD-BRL'!O915)^-1 -1</f>
        <v>5.5478748810790401E-2</v>
      </c>
    </row>
    <row r="326" spans="11:19" x14ac:dyDescent="0.2">
      <c r="K326" s="355">
        <v>44354</v>
      </c>
      <c r="L326" s="169">
        <v>21.290001</v>
      </c>
      <c r="M326" s="169">
        <v>21.440000999999999</v>
      </c>
      <c r="N326" s="169">
        <v>20.299999</v>
      </c>
      <c r="O326" s="169">
        <v>20.58</v>
      </c>
      <c r="P326" s="169">
        <v>20.557511999999999</v>
      </c>
      <c r="Q326" s="169">
        <v>31096800</v>
      </c>
      <c r="R326" s="53">
        <f t="shared" si="9"/>
        <v>-3.334902763879577E-2</v>
      </c>
      <c r="S326" s="59">
        <f>(P326/P325)*('16. câmbio USD-BRL'!O917/'16. câmbio USD-BRL'!O916)^-1 -1</f>
        <v>-4.592334431202505E-2</v>
      </c>
    </row>
    <row r="327" spans="11:19" x14ac:dyDescent="0.2">
      <c r="K327" s="355">
        <v>44361</v>
      </c>
      <c r="L327" s="169">
        <v>20.73</v>
      </c>
      <c r="M327" s="169">
        <v>21.02</v>
      </c>
      <c r="N327" s="169">
        <v>19.870000999999998</v>
      </c>
      <c r="O327" s="169">
        <v>20.329999999999998</v>
      </c>
      <c r="P327" s="169">
        <v>20.307784999999999</v>
      </c>
      <c r="Q327" s="169">
        <v>49282400</v>
      </c>
      <c r="R327" s="53">
        <f t="shared" si="9"/>
        <v>-1.2147724880326005E-2</v>
      </c>
      <c r="S327" s="59">
        <f>(P327/P326)*('16. câmbio USD-BRL'!O918/'16. câmbio USD-BRL'!O917)^-1 -1</f>
        <v>-7.4087051424319705E-3</v>
      </c>
    </row>
    <row r="328" spans="11:19" x14ac:dyDescent="0.2">
      <c r="K328" s="355">
        <v>44368</v>
      </c>
      <c r="L328" s="169">
        <v>20.32</v>
      </c>
      <c r="M328" s="169">
        <v>20.32</v>
      </c>
      <c r="N328" s="169">
        <v>19.260000000000002</v>
      </c>
      <c r="O328" s="169">
        <v>19.540001</v>
      </c>
      <c r="P328" s="169">
        <v>19.518650000000001</v>
      </c>
      <c r="Q328" s="169">
        <v>45409500</v>
      </c>
      <c r="R328" s="53">
        <f t="shared" si="9"/>
        <v>-3.8858743087933911E-2</v>
      </c>
      <c r="S328" s="59">
        <f>(P328/P327)*('16. câmbio USD-BRL'!O919/'16. câmbio USD-BRL'!O918)^-1 -1</f>
        <v>-8.3413730361446836E-3</v>
      </c>
    </row>
    <row r="329" spans="11:19" x14ac:dyDescent="0.2">
      <c r="K329" s="355">
        <v>44375</v>
      </c>
      <c r="L329" s="169">
        <v>19.57</v>
      </c>
      <c r="M329" s="169">
        <v>20.049999</v>
      </c>
      <c r="N329" s="169">
        <v>19.059999000000001</v>
      </c>
      <c r="O329" s="169">
        <v>19.75</v>
      </c>
      <c r="P329" s="169">
        <v>19.72842</v>
      </c>
      <c r="Q329" s="169">
        <v>44966400</v>
      </c>
      <c r="R329" s="53">
        <f t="shared" si="9"/>
        <v>1.0747157206056679E-2</v>
      </c>
      <c r="S329" s="59">
        <f>(P329/P328)*('16. câmbio USD-BRL'!O920/'16. câmbio USD-BRL'!O919)^-1 -1</f>
        <v>-1.3838205635979262E-2</v>
      </c>
    </row>
    <row r="330" spans="11:19" x14ac:dyDescent="0.2">
      <c r="K330" s="355">
        <v>44382</v>
      </c>
      <c r="L330" s="169">
        <v>19.57</v>
      </c>
      <c r="M330" s="169">
        <v>20.389999</v>
      </c>
      <c r="N330" s="169">
        <v>19.309999000000001</v>
      </c>
      <c r="O330" s="169">
        <v>20</v>
      </c>
      <c r="P330" s="169">
        <v>19.978145999999999</v>
      </c>
      <c r="Q330" s="169">
        <v>30514700</v>
      </c>
      <c r="R330" s="53">
        <f t="shared" si="9"/>
        <v>1.2658185500916908E-2</v>
      </c>
      <c r="S330" s="59">
        <f>(P330/P329)*('16. câmbio USD-BRL'!O921/'16. câmbio USD-BRL'!O920)^-1 -1</f>
        <v>-2.5939406233763229E-2</v>
      </c>
    </row>
    <row r="331" spans="11:19" x14ac:dyDescent="0.2">
      <c r="K331" s="355">
        <v>44389</v>
      </c>
      <c r="L331" s="169">
        <v>20.149999999999999</v>
      </c>
      <c r="M331" s="169">
        <v>20.98</v>
      </c>
      <c r="N331" s="169">
        <v>19.850000000000001</v>
      </c>
      <c r="O331" s="169">
        <v>20.459999</v>
      </c>
      <c r="P331" s="169">
        <v>20.437643000000001</v>
      </c>
      <c r="Q331" s="169">
        <v>36652500</v>
      </c>
      <c r="R331" s="53">
        <f t="shared" si="9"/>
        <v>2.2999982080419423E-2</v>
      </c>
      <c r="S331" s="59">
        <f>(P331/P330)*('16. câmbio USD-BRL'!O922/'16. câmbio USD-BRL'!O921)^-1 -1</f>
        <v>5.1644944501814116E-2</v>
      </c>
    </row>
    <row r="332" spans="11:19" x14ac:dyDescent="0.2">
      <c r="K332" s="355">
        <v>44396</v>
      </c>
      <c r="L332" s="169">
        <v>20.120000999999998</v>
      </c>
      <c r="M332" s="169">
        <v>21.860001</v>
      </c>
      <c r="N332" s="169">
        <v>20.09</v>
      </c>
      <c r="O332" s="169">
        <v>21.35</v>
      </c>
      <c r="P332" s="169">
        <v>21.326671999999999</v>
      </c>
      <c r="Q332" s="169">
        <v>68494400</v>
      </c>
      <c r="R332" s="53">
        <f t="shared" si="9"/>
        <v>4.3499585544184205E-2</v>
      </c>
      <c r="S332" s="59">
        <f>(P332/P331)*('16. câmbio USD-BRL'!O923/'16. câmbio USD-BRL'!O922)^-1 -1</f>
        <v>2.5487137046536157E-2</v>
      </c>
    </row>
    <row r="333" spans="11:19" x14ac:dyDescent="0.2">
      <c r="K333" s="355">
        <v>44403</v>
      </c>
      <c r="L333" s="169">
        <v>21.32</v>
      </c>
      <c r="M333" s="169">
        <v>21.530000999999999</v>
      </c>
      <c r="N333" s="169">
        <v>20.549999</v>
      </c>
      <c r="O333" s="169">
        <v>20.66</v>
      </c>
      <c r="P333" s="169">
        <v>20.637423999999999</v>
      </c>
      <c r="Q333" s="169">
        <v>30966500</v>
      </c>
      <c r="R333" s="53">
        <f t="shared" si="9"/>
        <v>-3.2318591480189673E-2</v>
      </c>
      <c r="S333" s="59">
        <f>(P333/P332)*('16. câmbio USD-BRL'!O924/'16. câmbio USD-BRL'!O923)^-1 -1</f>
        <v>-3.2427215234192452E-2</v>
      </c>
    </row>
    <row r="334" spans="11:19" x14ac:dyDescent="0.2">
      <c r="K334" s="355">
        <v>44410</v>
      </c>
      <c r="L334" s="169">
        <v>20.790001</v>
      </c>
      <c r="M334" s="169">
        <v>21.25</v>
      </c>
      <c r="N334" s="169">
        <v>19.93</v>
      </c>
      <c r="O334" s="169">
        <v>20.190000999999999</v>
      </c>
      <c r="P334" s="169">
        <v>20.167940000000002</v>
      </c>
      <c r="Q334" s="169">
        <v>26480300</v>
      </c>
      <c r="R334" s="53">
        <f t="shared" si="9"/>
        <v>-2.2749157065339087E-2</v>
      </c>
      <c r="S334" s="59">
        <f>(P334/P333)*('16. câmbio USD-BRL'!O925/'16. câmbio USD-BRL'!O924)^-1 -1</f>
        <v>-2.9061396405167028E-2</v>
      </c>
    </row>
    <row r="335" spans="11:19" x14ac:dyDescent="0.2">
      <c r="K335" s="355">
        <v>44417</v>
      </c>
      <c r="L335" s="169">
        <v>20.139999</v>
      </c>
      <c r="M335" s="169">
        <v>20.379999000000002</v>
      </c>
      <c r="N335" s="169">
        <v>18.889999</v>
      </c>
      <c r="O335" s="169">
        <v>19.120000999999998</v>
      </c>
      <c r="P335" s="169">
        <v>19.09911</v>
      </c>
      <c r="Q335" s="169">
        <v>40521200</v>
      </c>
      <c r="R335" s="53">
        <f t="shared" si="9"/>
        <v>-5.2996488486181659E-2</v>
      </c>
      <c r="S335" s="59">
        <f>(P335/P334)*('16. câmbio USD-BRL'!O926/'16. câmbio USD-BRL'!O925)^-1 -1</f>
        <v>-5.4905475743906251E-2</v>
      </c>
    </row>
    <row r="336" spans="11:19" x14ac:dyDescent="0.2">
      <c r="K336" s="355">
        <v>44424</v>
      </c>
      <c r="L336" s="169">
        <v>19.079999999999998</v>
      </c>
      <c r="M336" s="169">
        <v>19.079999999999998</v>
      </c>
      <c r="N336" s="169">
        <v>17.5</v>
      </c>
      <c r="O336" s="169">
        <v>18.120000999999998</v>
      </c>
      <c r="P336" s="169">
        <v>18.100203</v>
      </c>
      <c r="Q336" s="169">
        <v>64448900</v>
      </c>
      <c r="R336" s="53">
        <f t="shared" si="9"/>
        <v>-5.2301232884673587E-2</v>
      </c>
      <c r="S336" s="59">
        <f>(P336/P335)*('16. câmbio USD-BRL'!O927/'16. câmbio USD-BRL'!O926)^-1 -1</f>
        <v>-7.5089600825307357E-2</v>
      </c>
    </row>
    <row r="337" spans="11:19" x14ac:dyDescent="0.2">
      <c r="K337" s="355">
        <v>44431</v>
      </c>
      <c r="L337" s="169">
        <v>18.049999</v>
      </c>
      <c r="M337" s="169">
        <v>19.059999000000001</v>
      </c>
      <c r="N337" s="169">
        <v>18.049999</v>
      </c>
      <c r="O337" s="169">
        <v>19.010000000000002</v>
      </c>
      <c r="P337" s="169">
        <v>18.989229000000002</v>
      </c>
      <c r="Q337" s="169">
        <v>56274100</v>
      </c>
      <c r="R337" s="53">
        <f t="shared" si="9"/>
        <v>4.9116907694350287E-2</v>
      </c>
      <c r="S337" s="59">
        <f>(P337/P336)*('16. câmbio USD-BRL'!O928/'16. câmbio USD-BRL'!O927)^-1 -1</f>
        <v>8.4076985962668438E-2</v>
      </c>
    </row>
    <row r="338" spans="11:19" x14ac:dyDescent="0.2">
      <c r="K338" s="355">
        <v>44438</v>
      </c>
      <c r="L338" s="169">
        <v>18.920000000000002</v>
      </c>
      <c r="M338" s="169">
        <v>19.540001</v>
      </c>
      <c r="N338" s="169">
        <v>18.18</v>
      </c>
      <c r="O338" s="169">
        <v>18.989999999999998</v>
      </c>
      <c r="P338" s="169">
        <v>18.969249999999999</v>
      </c>
      <c r="Q338" s="169">
        <v>69728800</v>
      </c>
      <c r="R338" s="53">
        <f t="shared" si="9"/>
        <v>-1.0521227586439696E-3</v>
      </c>
      <c r="S338" s="59">
        <f>(P338/P337)*('16. câmbio USD-BRL'!O929/'16. câmbio USD-BRL'!O928)^-1 -1</f>
        <v>1.6431055713252984E-3</v>
      </c>
    </row>
    <row r="339" spans="11:19" x14ac:dyDescent="0.2">
      <c r="K339" s="355">
        <v>44445</v>
      </c>
      <c r="L339" s="169">
        <v>18.899999999999999</v>
      </c>
      <c r="M339" s="169">
        <v>19</v>
      </c>
      <c r="N339" s="169">
        <v>17.870000999999998</v>
      </c>
      <c r="O339" s="169">
        <v>18.120000999999998</v>
      </c>
      <c r="P339" s="169">
        <v>18.100203</v>
      </c>
      <c r="Q339" s="169">
        <v>38186200</v>
      </c>
      <c r="R339" s="53">
        <f t="shared" si="9"/>
        <v>-4.5813461259670119E-2</v>
      </c>
      <c r="S339" s="59">
        <f>(P339/P338)*('16. câmbio USD-BRL'!O930/'16. câmbio USD-BRL'!O929)^-1 -1</f>
        <v>-5.5785317453382444E-2</v>
      </c>
    </row>
    <row r="340" spans="11:19" x14ac:dyDescent="0.2">
      <c r="K340" s="355">
        <v>44452</v>
      </c>
      <c r="L340" s="169">
        <v>18.579999999999998</v>
      </c>
      <c r="M340" s="169">
        <v>18.68</v>
      </c>
      <c r="N340" s="169">
        <v>17.399999999999999</v>
      </c>
      <c r="O340" s="169">
        <v>17.530000999999999</v>
      </c>
      <c r="P340" s="169">
        <v>17.510846999999998</v>
      </c>
      <c r="Q340" s="169">
        <v>38266000</v>
      </c>
      <c r="R340" s="53">
        <f t="shared" si="9"/>
        <v>-3.2560739788388138E-2</v>
      </c>
      <c r="S340" s="59">
        <f>(P340/P339)*('16. câmbio USD-BRL'!O931/'16. câmbio USD-BRL'!O930)^-1 -1</f>
        <v>-4.0574704724041899E-2</v>
      </c>
    </row>
    <row r="341" spans="11:19" x14ac:dyDescent="0.2">
      <c r="K341" s="355">
        <v>44459</v>
      </c>
      <c r="L341" s="169">
        <v>17.48</v>
      </c>
      <c r="M341" s="169">
        <v>18.030000999999999</v>
      </c>
      <c r="N341" s="169">
        <v>17.030000999999999</v>
      </c>
      <c r="O341" s="169">
        <v>17.700001</v>
      </c>
      <c r="P341" s="169">
        <v>17.68066</v>
      </c>
      <c r="Q341" s="169">
        <v>62469900</v>
      </c>
      <c r="R341" s="53">
        <f t="shared" si="9"/>
        <v>9.697589157166453E-3</v>
      </c>
      <c r="S341" s="59">
        <f>(P341/P340)*('16. câmbio USD-BRL'!O932/'16. câmbio USD-BRL'!O931)^-1 -1</f>
        <v>6.9552429635633128E-3</v>
      </c>
    </row>
    <row r="342" spans="11:19" x14ac:dyDescent="0.2">
      <c r="K342" s="355">
        <v>44466</v>
      </c>
      <c r="L342" s="169">
        <v>17.629999000000002</v>
      </c>
      <c r="M342" s="169">
        <v>17.950001</v>
      </c>
      <c r="N342" s="169">
        <v>16.670000000000002</v>
      </c>
      <c r="O342" s="169">
        <v>17.309999000000001</v>
      </c>
      <c r="P342" s="169">
        <v>17.291086</v>
      </c>
      <c r="Q342" s="169">
        <v>67134300</v>
      </c>
      <c r="R342" s="53">
        <f t="shared" si="9"/>
        <v>-2.2033905974098267E-2</v>
      </c>
      <c r="S342" s="59">
        <f>(P342/P341)*('16. câmbio USD-BRL'!O933/'16. câmbio USD-BRL'!O932)^-1 -1</f>
        <v>-3.3464110294163962E-2</v>
      </c>
    </row>
    <row r="343" spans="11:19" x14ac:dyDescent="0.2">
      <c r="K343" s="355">
        <v>44473</v>
      </c>
      <c r="L343" s="169">
        <v>17.02</v>
      </c>
      <c r="M343" s="169">
        <v>18.530000999999999</v>
      </c>
      <c r="N343" s="169">
        <v>16.690000999999999</v>
      </c>
      <c r="O343" s="169">
        <v>18.239999999999998</v>
      </c>
      <c r="P343" s="169">
        <v>18.22007</v>
      </c>
      <c r="Q343" s="169">
        <v>67699200</v>
      </c>
      <c r="R343" s="53">
        <f t="shared" si="9"/>
        <v>5.3726180067579232E-2</v>
      </c>
      <c r="S343" s="59">
        <f>(P343/P342)*('16. câmbio USD-BRL'!O934/'16. câmbio USD-BRL'!O933)^-1 -1</f>
        <v>2.6242075887431104E-2</v>
      </c>
    </row>
    <row r="344" spans="11:19" x14ac:dyDescent="0.2">
      <c r="K344" s="355">
        <v>44480</v>
      </c>
      <c r="L344" s="169">
        <v>18.149999999999999</v>
      </c>
      <c r="M344" s="169">
        <v>18.75</v>
      </c>
      <c r="N344" s="169">
        <v>17.969999000000001</v>
      </c>
      <c r="O344" s="169">
        <v>18.350000000000001</v>
      </c>
      <c r="P344" s="169">
        <v>18.32995</v>
      </c>
      <c r="Q344" s="169">
        <v>30078300</v>
      </c>
      <c r="R344" s="53">
        <f t="shared" si="9"/>
        <v>6.030712285957307E-3</v>
      </c>
      <c r="S344" s="59">
        <f>(P344/P343)*('16. câmbio USD-BRL'!O935/'16. câmbio USD-BRL'!O934)^-1 -1</f>
        <v>1.5557269654012051E-2</v>
      </c>
    </row>
    <row r="345" spans="11:19" x14ac:dyDescent="0.2">
      <c r="K345" s="355">
        <v>44487</v>
      </c>
      <c r="L345" s="169">
        <v>18.209999</v>
      </c>
      <c r="M345" s="169">
        <v>18.34</v>
      </c>
      <c r="N345" s="169">
        <v>15.63</v>
      </c>
      <c r="O345" s="169">
        <v>16.579999999999998</v>
      </c>
      <c r="P345" s="169">
        <v>16.561883999999999</v>
      </c>
      <c r="Q345" s="169">
        <v>83853800</v>
      </c>
      <c r="R345" s="53">
        <f t="shared" si="9"/>
        <v>-9.6457764478353747E-2</v>
      </c>
      <c r="S345" s="59">
        <f>(P345/P344)*('16. câmbio USD-BRL'!O936/'16. câmbio USD-BRL'!O935)^-1 -1</f>
        <v>-0.12721061042584569</v>
      </c>
    </row>
    <row r="346" spans="11:19" x14ac:dyDescent="0.2">
      <c r="K346" s="355">
        <v>44494</v>
      </c>
      <c r="L346" s="169">
        <v>16.370000999999998</v>
      </c>
      <c r="M346" s="169">
        <v>16.93</v>
      </c>
      <c r="N346" s="169">
        <v>15.72</v>
      </c>
      <c r="O346" s="169">
        <v>15.99</v>
      </c>
      <c r="P346" s="169">
        <v>15.972528000000001</v>
      </c>
      <c r="Q346" s="169">
        <v>56032300</v>
      </c>
      <c r="R346" s="53">
        <f t="shared" si="9"/>
        <v>-3.5585081987049239E-2</v>
      </c>
      <c r="S346" s="59">
        <f>(P346/P345)*('16. câmbio USD-BRL'!O937/'16. câmbio USD-BRL'!O936)^-1 -1</f>
        <v>-3.2989205774835662E-2</v>
      </c>
    </row>
    <row r="347" spans="11:19" x14ac:dyDescent="0.2">
      <c r="K347" s="355">
        <v>44501</v>
      </c>
      <c r="L347" s="169">
        <v>16.23</v>
      </c>
      <c r="M347" s="169">
        <v>17.57</v>
      </c>
      <c r="N347" s="169">
        <v>16.040001</v>
      </c>
      <c r="O347" s="169">
        <v>16.989999999999998</v>
      </c>
      <c r="P347" s="169">
        <v>16.971436000000001</v>
      </c>
      <c r="Q347" s="169">
        <v>59870700</v>
      </c>
      <c r="R347" s="53">
        <f t="shared" si="9"/>
        <v>6.2539129685670325E-2</v>
      </c>
      <c r="S347" s="59">
        <f>(P347/P346)*('16. câmbio USD-BRL'!O938/'16. câmbio USD-BRL'!O937)^-1 -1</f>
        <v>8.0295734585219769E-2</v>
      </c>
    </row>
    <row r="348" spans="11:19" x14ac:dyDescent="0.2">
      <c r="K348" s="355">
        <v>44508</v>
      </c>
      <c r="L348" s="169">
        <v>17.07</v>
      </c>
      <c r="M348" s="169">
        <v>17.5</v>
      </c>
      <c r="N348" s="169">
        <v>16.559999000000001</v>
      </c>
      <c r="O348" s="169">
        <v>16.77</v>
      </c>
      <c r="P348" s="169">
        <v>16.751677000000001</v>
      </c>
      <c r="Q348" s="169">
        <v>68740600</v>
      </c>
      <c r="R348" s="53">
        <f t="shared" si="9"/>
        <v>-1.2948756958456542E-2</v>
      </c>
      <c r="S348" s="59">
        <f>(P348/P347)*('16. câmbio USD-BRL'!O939/'16. câmbio USD-BRL'!O938)^-1 -1</f>
        <v>2.15289556169318E-3</v>
      </c>
    </row>
    <row r="349" spans="11:19" x14ac:dyDescent="0.2">
      <c r="K349" s="355">
        <v>44515</v>
      </c>
      <c r="L349" s="169">
        <v>16.77</v>
      </c>
      <c r="M349" s="169">
        <v>17.23</v>
      </c>
      <c r="N349" s="169">
        <v>16.52</v>
      </c>
      <c r="O349" s="169">
        <v>17.02</v>
      </c>
      <c r="P349" s="169">
        <v>17.001404000000001</v>
      </c>
      <c r="Q349" s="169">
        <v>45069200</v>
      </c>
      <c r="R349" s="53">
        <f t="shared" si="9"/>
        <v>1.4907582088647064E-2</v>
      </c>
      <c r="S349" s="59">
        <f>(P349/P348)*('16. câmbio USD-BRL'!O940/'16. câmbio USD-BRL'!O939)^-1 -1</f>
        <v>-3.138791302461863E-3</v>
      </c>
    </row>
    <row r="350" spans="11:19" x14ac:dyDescent="0.2">
      <c r="K350" s="355">
        <v>44522</v>
      </c>
      <c r="L350" s="169">
        <v>17.02</v>
      </c>
      <c r="M350" s="169">
        <v>17.98</v>
      </c>
      <c r="N350" s="169">
        <v>16.68</v>
      </c>
      <c r="O350" s="169">
        <v>17.620000999999998</v>
      </c>
      <c r="P350" s="169">
        <v>17.600747999999999</v>
      </c>
      <c r="Q350" s="169">
        <v>58237300</v>
      </c>
      <c r="R350" s="53">
        <f t="shared" si="9"/>
        <v>3.5252617960257693E-2</v>
      </c>
      <c r="S350" s="59">
        <f>(P350/P349)*('16. câmbio USD-BRL'!O941/'16. câmbio USD-BRL'!O940)^-1 -1</f>
        <v>2.5763694574409746E-2</v>
      </c>
    </row>
    <row r="351" spans="11:19" x14ac:dyDescent="0.2">
      <c r="K351" s="355">
        <v>44529</v>
      </c>
      <c r="L351" s="169">
        <v>17.84</v>
      </c>
      <c r="M351" s="169">
        <v>18.540001</v>
      </c>
      <c r="N351" s="169">
        <v>17.200001</v>
      </c>
      <c r="O351" s="169">
        <v>18.100000000000001</v>
      </c>
      <c r="P351" s="169">
        <v>18.080223</v>
      </c>
      <c r="Q351" s="169">
        <v>82233000</v>
      </c>
      <c r="R351" s="53">
        <f t="shared" si="9"/>
        <v>2.7241739953324684E-2</v>
      </c>
      <c r="S351" s="59">
        <f>(P351/P350)*('16. câmbio USD-BRL'!O942/'16. câmbio USD-BRL'!O941)^-1 -1</f>
        <v>1.9551379420122306E-2</v>
      </c>
    </row>
    <row r="352" spans="11:19" x14ac:dyDescent="0.2">
      <c r="K352" s="355">
        <v>44536</v>
      </c>
      <c r="L352" s="169">
        <v>18.23</v>
      </c>
      <c r="M352" s="169">
        <v>18.370000999999998</v>
      </c>
      <c r="N352" s="169">
        <v>17.049999</v>
      </c>
      <c r="O352" s="169">
        <v>18.02</v>
      </c>
      <c r="P352" s="169">
        <v>18.000311</v>
      </c>
      <c r="Q352" s="169">
        <v>62791500</v>
      </c>
      <c r="R352" s="53">
        <f t="shared" si="9"/>
        <v>-4.419856989595794E-3</v>
      </c>
      <c r="S352" s="59">
        <f>(P352/P351)*('16. câmbio USD-BRL'!O943/'16. câmbio USD-BRL'!O942)^-1 -1</f>
        <v>2.6125035969259969E-3</v>
      </c>
    </row>
    <row r="353" spans="11:19" x14ac:dyDescent="0.2">
      <c r="K353" s="355">
        <v>44543</v>
      </c>
      <c r="L353" s="169">
        <v>17.899999999999999</v>
      </c>
      <c r="M353" s="169">
        <v>19.129999000000002</v>
      </c>
      <c r="N353" s="169">
        <v>17.809999000000001</v>
      </c>
      <c r="O353" s="169">
        <v>18.239999999999998</v>
      </c>
      <c r="P353" s="169">
        <v>18.22007</v>
      </c>
      <c r="Q353" s="169">
        <v>73346700</v>
      </c>
      <c r="R353" s="53">
        <f t="shared" si="9"/>
        <v>1.2208622395468494E-2</v>
      </c>
      <c r="S353" s="59">
        <f>(P353/P352)*('16. câmbio USD-BRL'!O944/'16. câmbio USD-BRL'!O943)^-1 -1</f>
        <v>-2.4758043156962728E-3</v>
      </c>
    </row>
    <row r="354" spans="11:19" x14ac:dyDescent="0.2">
      <c r="K354" s="355">
        <v>44550</v>
      </c>
      <c r="L354" s="169">
        <v>18.129999000000002</v>
      </c>
      <c r="M354" s="169">
        <v>18.27</v>
      </c>
      <c r="N354" s="169">
        <v>17.670000000000002</v>
      </c>
      <c r="O354" s="169">
        <v>17.670000000000002</v>
      </c>
      <c r="P354" s="169">
        <v>17.650691999999999</v>
      </c>
      <c r="Q354" s="169">
        <v>30092000</v>
      </c>
      <c r="R354" s="53">
        <f t="shared" si="9"/>
        <v>-3.1250044593681636E-2</v>
      </c>
      <c r="S354" s="59">
        <f>(P354/P353)*('16. câmbio USD-BRL'!O945/'16. câmbio USD-BRL'!O944)^-1 -1</f>
        <v>-2.7498788396343787E-2</v>
      </c>
    </row>
    <row r="355" spans="11:19" x14ac:dyDescent="0.2">
      <c r="K355" s="355">
        <v>44557</v>
      </c>
      <c r="L355" s="169">
        <v>17.780000999999999</v>
      </c>
      <c r="M355" s="169">
        <v>17.950001</v>
      </c>
      <c r="N355" s="169">
        <v>17.299999</v>
      </c>
      <c r="O355" s="169">
        <v>17.760000000000002</v>
      </c>
      <c r="P355" s="169">
        <v>17.740594999999999</v>
      </c>
      <c r="Q355" s="169">
        <v>27581600</v>
      </c>
      <c r="R355" s="53">
        <f t="shared" si="9"/>
        <v>5.0934546928811386E-3</v>
      </c>
      <c r="S355" s="59">
        <f>(P355/P354)*('16. câmbio USD-BRL'!O946/'16. câmbio USD-BRL'!O945)^-1 -1</f>
        <v>2.3465335124485565E-2</v>
      </c>
    </row>
    <row r="356" spans="11:19" x14ac:dyDescent="0.2">
      <c r="K356" s="355">
        <v>44564</v>
      </c>
      <c r="L356" s="169">
        <v>17.899999999999999</v>
      </c>
      <c r="M356" s="169">
        <v>17.899999999999999</v>
      </c>
      <c r="N356" s="169">
        <v>15.69</v>
      </c>
      <c r="O356" s="169">
        <v>15.86</v>
      </c>
      <c r="P356" s="169">
        <v>15.842669000000001</v>
      </c>
      <c r="Q356" s="169">
        <v>55435600</v>
      </c>
      <c r="R356" s="53">
        <f t="shared" si="9"/>
        <v>-0.10698209389256663</v>
      </c>
      <c r="S356" s="59">
        <f>(P356/P355)*('16. câmbio USD-BRL'!O947/'16. câmbio USD-BRL'!O946)^-1 -1</f>
        <v>-0.11695525292352393</v>
      </c>
    </row>
    <row r="357" spans="11:19" x14ac:dyDescent="0.2">
      <c r="K357" s="355">
        <v>44571</v>
      </c>
      <c r="L357" s="169">
        <v>15.82</v>
      </c>
      <c r="M357" s="169">
        <v>16.5</v>
      </c>
      <c r="N357" s="169">
        <v>15.39</v>
      </c>
      <c r="O357" s="169">
        <v>16.309999000000001</v>
      </c>
      <c r="P357" s="169">
        <v>16.292176999999999</v>
      </c>
      <c r="Q357" s="169">
        <v>42075800</v>
      </c>
      <c r="R357" s="53">
        <f t="shared" si="9"/>
        <v>2.8373249482142038E-2</v>
      </c>
      <c r="S357" s="59">
        <f>(P357/P356)*('16. câmbio USD-BRL'!O948/'16. câmbio USD-BRL'!O947)^-1 -1</f>
        <v>4.675398328905378E-2</v>
      </c>
    </row>
    <row r="358" spans="11:19" x14ac:dyDescent="0.2">
      <c r="K358" s="355">
        <v>44578</v>
      </c>
      <c r="L358" s="169">
        <v>16.129999000000002</v>
      </c>
      <c r="M358" s="169">
        <v>17.620000999999998</v>
      </c>
      <c r="N358" s="169">
        <v>16.129999000000002</v>
      </c>
      <c r="O358" s="169">
        <v>16.98</v>
      </c>
      <c r="P358" s="169">
        <v>16.961447</v>
      </c>
      <c r="Q358" s="169">
        <v>36304900</v>
      </c>
      <c r="R358" s="53">
        <f t="shared" si="9"/>
        <v>4.1079224710117046E-2</v>
      </c>
      <c r="S358" s="59">
        <f>(P358/P357)*('16. câmbio USD-BRL'!O949/'16. câmbio USD-BRL'!O948)^-1 -1</f>
        <v>5.5616293285534413E-2</v>
      </c>
    </row>
    <row r="359" spans="11:19" x14ac:dyDescent="0.2">
      <c r="K359" s="355">
        <v>44585</v>
      </c>
      <c r="L359" s="169">
        <v>16.98</v>
      </c>
      <c r="M359" s="169">
        <v>17.27</v>
      </c>
      <c r="N359" s="169">
        <v>15.69</v>
      </c>
      <c r="O359" s="169">
        <v>15.76</v>
      </c>
      <c r="P359" s="169">
        <v>15.74278</v>
      </c>
      <c r="Q359" s="169">
        <v>77843300</v>
      </c>
      <c r="R359" s="53">
        <f t="shared" si="9"/>
        <v>-7.1849235504494402E-2</v>
      </c>
      <c r="S359" s="59">
        <f>(P359/P358)*('16. câmbio USD-BRL'!O950/'16. câmbio USD-BRL'!O949)^-1 -1</f>
        <v>-5.589823912311076E-2</v>
      </c>
    </row>
    <row r="360" spans="11:19" x14ac:dyDescent="0.2">
      <c r="K360" s="355">
        <v>44592</v>
      </c>
      <c r="L360" s="169">
        <v>15.78</v>
      </c>
      <c r="M360" s="169">
        <v>15.95</v>
      </c>
      <c r="N360" s="169">
        <v>14.79</v>
      </c>
      <c r="O360" s="169">
        <v>15.26</v>
      </c>
      <c r="P360" s="169">
        <v>15.243326</v>
      </c>
      <c r="Q360" s="169">
        <v>65480300</v>
      </c>
      <c r="R360" s="53">
        <f t="shared" si="9"/>
        <v>-3.1725908638753797E-2</v>
      </c>
      <c r="S360" s="59">
        <f>(P360/P359)*('16. câmbio USD-BRL'!O951/'16. câmbio USD-BRL'!O950)^-1 -1</f>
        <v>-2.4818623825499042E-2</v>
      </c>
    </row>
    <row r="361" spans="11:19" x14ac:dyDescent="0.2">
      <c r="K361" s="355">
        <v>44599</v>
      </c>
      <c r="L361" s="169">
        <v>15.15</v>
      </c>
      <c r="M361" s="169">
        <v>16.25</v>
      </c>
      <c r="N361" s="169">
        <v>14.72</v>
      </c>
      <c r="O361" s="169">
        <v>16.059999000000001</v>
      </c>
      <c r="P361" s="169">
        <v>16.042452000000001</v>
      </c>
      <c r="Q361" s="169">
        <v>73971500</v>
      </c>
      <c r="R361" s="53">
        <f t="shared" si="9"/>
        <v>5.2424648006609731E-2</v>
      </c>
      <c r="S361" s="59">
        <f>(P361/P360)*('16. câmbio USD-BRL'!O952/'16. câmbio USD-BRL'!O951)^-1 -1</f>
        <v>6.7849112919500465E-2</v>
      </c>
    </row>
    <row r="362" spans="11:19" x14ac:dyDescent="0.2">
      <c r="K362" s="355">
        <v>44606</v>
      </c>
      <c r="L362" s="169">
        <v>16.079999999999998</v>
      </c>
      <c r="M362" s="169">
        <v>16.98</v>
      </c>
      <c r="N362" s="169">
        <v>14.96</v>
      </c>
      <c r="O362" s="169">
        <v>15.21</v>
      </c>
      <c r="P362" s="169">
        <v>15.193379999999999</v>
      </c>
      <c r="Q362" s="169">
        <v>78616300</v>
      </c>
      <c r="R362" s="53">
        <f t="shared" si="9"/>
        <v>-5.292657257132527E-2</v>
      </c>
      <c r="S362" s="59">
        <f>(P362/P361)*('16. câmbio USD-BRL'!O953/'16. câmbio USD-BRL'!O952)^-1 -1</f>
        <v>-3.2195849582533187E-2</v>
      </c>
    </row>
    <row r="363" spans="11:19" x14ac:dyDescent="0.2">
      <c r="K363" s="355">
        <v>44613</v>
      </c>
      <c r="L363" s="169">
        <v>15.32</v>
      </c>
      <c r="M363" s="169">
        <v>16.450001</v>
      </c>
      <c r="N363" s="169">
        <v>15.1</v>
      </c>
      <c r="O363" s="169">
        <v>15.5</v>
      </c>
      <c r="P363" s="169">
        <v>15.483064000000001</v>
      </c>
      <c r="Q363" s="169">
        <v>89067900</v>
      </c>
      <c r="R363" s="53">
        <f t="shared" si="9"/>
        <v>1.9066461840617555E-2</v>
      </c>
      <c r="S363" s="59">
        <f>(P363/P362)*('16. câmbio USD-BRL'!O954/'16. câmbio USD-BRL'!O953)^-1 -1</f>
        <v>1.4673198458329262E-2</v>
      </c>
    </row>
    <row r="364" spans="11:19" x14ac:dyDescent="0.2">
      <c r="K364" s="355">
        <v>44620</v>
      </c>
      <c r="L364" s="169">
        <v>15.5</v>
      </c>
      <c r="M364" s="169">
        <v>15.84</v>
      </c>
      <c r="N364" s="169">
        <v>14.98</v>
      </c>
      <c r="O364" s="169">
        <v>15.25</v>
      </c>
      <c r="P364" s="169">
        <v>15.233336</v>
      </c>
      <c r="Q364" s="169">
        <v>24943200</v>
      </c>
      <c r="R364" s="53">
        <f t="shared" si="9"/>
        <v>-1.6129107261973585E-2</v>
      </c>
      <c r="S364" s="59">
        <f>(P364/P363)*('16. câmbio USD-BRL'!O955/'16. câmbio USD-BRL'!O954)^-1 -1</f>
        <v>8.4998370156230685E-3</v>
      </c>
    </row>
    <row r="365" spans="11:19" x14ac:dyDescent="0.2">
      <c r="K365" s="355">
        <v>44627</v>
      </c>
      <c r="L365" s="169">
        <v>15.19</v>
      </c>
      <c r="M365" s="169">
        <v>16.639999</v>
      </c>
      <c r="N365" s="169">
        <v>15.04</v>
      </c>
      <c r="O365" s="169">
        <v>15.56</v>
      </c>
      <c r="P365" s="169">
        <v>15.542998000000001</v>
      </c>
      <c r="Q365" s="169">
        <v>77502800</v>
      </c>
      <c r="R365" s="53">
        <f t="shared" si="9"/>
        <v>2.0327917666885353E-2</v>
      </c>
      <c r="S365" s="59">
        <f>(P365/P364)*('16. câmbio USD-BRL'!O956/'16. câmbio USD-BRL'!O955)^-1 -1</f>
        <v>1.2331008369929286E-2</v>
      </c>
    </row>
    <row r="366" spans="11:19" x14ac:dyDescent="0.2">
      <c r="K366" s="355">
        <v>44634</v>
      </c>
      <c r="L366" s="169">
        <v>15.92</v>
      </c>
      <c r="M366" s="169">
        <v>17.670000000000002</v>
      </c>
      <c r="N366" s="169">
        <v>15.05</v>
      </c>
      <c r="O366" s="169">
        <v>17.670000000000002</v>
      </c>
      <c r="P366" s="169">
        <v>17.650691999999999</v>
      </c>
      <c r="Q366" s="169">
        <v>71508900</v>
      </c>
      <c r="R366" s="53">
        <f t="shared" si="9"/>
        <v>0.13560408358799236</v>
      </c>
      <c r="S366" s="59">
        <f>(P366/P365)*('16. câmbio USD-BRL'!O957/'16. câmbio USD-BRL'!O956)^-1 -1</f>
        <v>0.14718103619530476</v>
      </c>
    </row>
    <row r="367" spans="11:19" x14ac:dyDescent="0.2">
      <c r="K367" s="355">
        <v>44641</v>
      </c>
      <c r="L367" s="169">
        <v>17.450001</v>
      </c>
      <c r="M367" s="169">
        <v>18.600000000000001</v>
      </c>
      <c r="N367" s="169">
        <v>17.129999000000002</v>
      </c>
      <c r="O367" s="169">
        <v>18.41</v>
      </c>
      <c r="P367" s="169">
        <v>18.389883000000001</v>
      </c>
      <c r="Q367" s="169">
        <v>44072000</v>
      </c>
      <c r="R367" s="53">
        <f t="shared" si="9"/>
        <v>4.1878867978660583E-2</v>
      </c>
      <c r="S367" s="59">
        <f>(P367/P366)*('16. câmbio USD-BRL'!O958/'16. câmbio USD-BRL'!O957)^-1 -1</f>
        <v>0.10353422583656235</v>
      </c>
    </row>
    <row r="368" spans="11:19" x14ac:dyDescent="0.2">
      <c r="K368" s="355">
        <v>44648</v>
      </c>
      <c r="L368" s="169">
        <v>18.549999</v>
      </c>
      <c r="M368" s="169">
        <v>19.23</v>
      </c>
      <c r="N368" s="169">
        <v>18.27</v>
      </c>
      <c r="O368" s="169">
        <v>19</v>
      </c>
      <c r="P368" s="169">
        <v>18.979239</v>
      </c>
      <c r="Q368" s="169">
        <v>55183500</v>
      </c>
      <c r="R368" s="53">
        <f t="shared" si="9"/>
        <v>3.204783847727577E-2</v>
      </c>
      <c r="S368" s="59">
        <f>(P368/P367)*('16. câmbio USD-BRL'!O959/'16. câmbio USD-BRL'!O958)^-1 -1</f>
        <v>5.1027149628753543E-2</v>
      </c>
    </row>
    <row r="369" spans="11:19" x14ac:dyDescent="0.2">
      <c r="K369" s="355">
        <v>44655</v>
      </c>
      <c r="L369" s="169">
        <v>18.950001</v>
      </c>
      <c r="M369" s="169">
        <v>19.079999999999998</v>
      </c>
      <c r="N369" s="169">
        <v>17.780000999999999</v>
      </c>
      <c r="O369" s="169">
        <v>18.27</v>
      </c>
      <c r="P369" s="169">
        <v>18.250038</v>
      </c>
      <c r="Q369" s="169">
        <v>41127300</v>
      </c>
      <c r="R369" s="53">
        <f t="shared" si="9"/>
        <v>-3.8420982000384685E-2</v>
      </c>
      <c r="S369" s="59">
        <f>(P369/P368)*('16. câmbio USD-BRL'!O960/'16. câmbio USD-BRL'!O959)^-1 -1</f>
        <v>-4.6900686273004921E-2</v>
      </c>
    </row>
    <row r="370" spans="11:19" x14ac:dyDescent="0.2">
      <c r="K370" s="355">
        <v>44662</v>
      </c>
      <c r="L370" s="169">
        <v>18</v>
      </c>
      <c r="M370" s="169">
        <v>18.860001</v>
      </c>
      <c r="N370" s="169">
        <v>17.959999</v>
      </c>
      <c r="O370" s="169">
        <v>18.399999999999999</v>
      </c>
      <c r="P370" s="169">
        <v>18.379894</v>
      </c>
      <c r="Q370" s="169">
        <v>28045300</v>
      </c>
      <c r="R370" s="53">
        <f t="shared" si="9"/>
        <v>7.1153824446832381E-3</v>
      </c>
      <c r="S370" s="59">
        <f>(P370/P369)*('16. câmbio USD-BRL'!O961/'16. câmbio USD-BRL'!O960)^-1 -1</f>
        <v>6.4511996413010309E-3</v>
      </c>
    </row>
    <row r="371" spans="11:19" x14ac:dyDescent="0.2">
      <c r="K371" s="355">
        <v>44669</v>
      </c>
      <c r="L371" s="169">
        <v>18.350000000000001</v>
      </c>
      <c r="M371" s="169">
        <v>18.969999000000001</v>
      </c>
      <c r="N371" s="169">
        <v>17.719999000000001</v>
      </c>
      <c r="O371" s="169">
        <v>18.290001</v>
      </c>
      <c r="P371" s="169">
        <v>18.270015999999998</v>
      </c>
      <c r="Q371" s="169">
        <v>36083300</v>
      </c>
      <c r="R371" s="53">
        <f t="shared" si="9"/>
        <v>-5.9781628773267759E-3</v>
      </c>
      <c r="S371" s="59">
        <f>(P371/P370)*('16. câmbio USD-BRL'!O962/'16. câmbio USD-BRL'!O961)^-1 -1</f>
        <v>-2.5524475956500869E-2</v>
      </c>
    </row>
    <row r="372" spans="11:19" x14ac:dyDescent="0.2">
      <c r="K372" s="355">
        <v>44676</v>
      </c>
      <c r="L372" s="169">
        <v>18.290001</v>
      </c>
      <c r="M372" s="169">
        <v>18.290001</v>
      </c>
      <c r="N372" s="169">
        <v>16.370000999999998</v>
      </c>
      <c r="O372" s="169">
        <v>16.370000999999998</v>
      </c>
      <c r="P372" s="169">
        <v>16.352114</v>
      </c>
      <c r="Q372" s="169">
        <v>42214700</v>
      </c>
      <c r="R372" s="53">
        <f t="shared" si="9"/>
        <v>-0.10497538699473485</v>
      </c>
      <c r="S372" s="59">
        <f>(P372/P371)*('16. câmbio USD-BRL'!O963/'16. câmbio USD-BRL'!O962)^-1 -1</f>
        <v>-0.13656298683090284</v>
      </c>
    </row>
    <row r="373" spans="11:19" x14ac:dyDescent="0.2">
      <c r="K373" s="355">
        <v>44683</v>
      </c>
      <c r="L373" s="169">
        <v>16.360001</v>
      </c>
      <c r="M373" s="169">
        <v>16.43</v>
      </c>
      <c r="N373" s="169">
        <v>15.17</v>
      </c>
      <c r="O373" s="169">
        <v>15.35</v>
      </c>
      <c r="P373" s="169">
        <v>15.35</v>
      </c>
      <c r="Q373" s="169">
        <v>57624800</v>
      </c>
      <c r="R373" s="53">
        <f t="shared" si="9"/>
        <v>-6.1283452402545624E-2</v>
      </c>
      <c r="S373" s="59">
        <f>(P373/P372)*('16. câmbio USD-BRL'!O964/'16. câmbio USD-BRL'!O963)^-1 -1</f>
        <v>-8.1536475811802012E-2</v>
      </c>
    </row>
    <row r="374" spans="11:19" x14ac:dyDescent="0.2">
      <c r="K374" s="355">
        <v>44690</v>
      </c>
      <c r="L374" s="169">
        <v>15.17</v>
      </c>
      <c r="M374" s="169">
        <v>15.98</v>
      </c>
      <c r="N374" s="169">
        <v>14.98</v>
      </c>
      <c r="O374" s="169">
        <v>15.54</v>
      </c>
      <c r="P374" s="169">
        <v>15.54</v>
      </c>
      <c r="Q374" s="169">
        <v>61215600</v>
      </c>
      <c r="R374" s="53">
        <f t="shared" si="9"/>
        <v>1.2377850162866411E-2</v>
      </c>
      <c r="S374" s="59">
        <f>(P374/P373)*('16. câmbio USD-BRL'!O965/'16. câmbio USD-BRL'!O964)^-1 -1</f>
        <v>1.6841632600906875E-2</v>
      </c>
    </row>
    <row r="375" spans="11:19" x14ac:dyDescent="0.2">
      <c r="K375" s="355">
        <v>44697</v>
      </c>
      <c r="L375" s="169">
        <v>15.8</v>
      </c>
      <c r="M375" s="169">
        <v>16.350000000000001</v>
      </c>
      <c r="N375" s="169">
        <v>15.42</v>
      </c>
      <c r="O375" s="169">
        <v>15.87</v>
      </c>
      <c r="P375" s="169">
        <v>15.87</v>
      </c>
      <c r="Q375" s="169">
        <v>51016700</v>
      </c>
      <c r="R375" s="53">
        <f t="shared" si="9"/>
        <v>2.1235521235521304E-2</v>
      </c>
      <c r="S375" s="59">
        <f>(P375/P374)*('16. câmbio USD-BRL'!O966/'16. câmbio USD-BRL'!O965)^-1 -1</f>
        <v>5.8510251501336485E-2</v>
      </c>
    </row>
    <row r="376" spans="11:19" x14ac:dyDescent="0.2">
      <c r="K376" s="355">
        <v>44704</v>
      </c>
      <c r="L376" s="169">
        <v>15.93</v>
      </c>
      <c r="M376" s="169">
        <v>17.25</v>
      </c>
      <c r="N376" s="169">
        <v>15.73</v>
      </c>
      <c r="O376" s="169">
        <v>17.079999999999998</v>
      </c>
      <c r="P376" s="169">
        <v>17.079999999999998</v>
      </c>
      <c r="Q376" s="169">
        <v>65153700</v>
      </c>
      <c r="R376" s="53">
        <f t="shared" si="9"/>
        <v>7.6244486452425875E-2</v>
      </c>
      <c r="S376" s="59">
        <f>(P376/P375)*('16. câmbio USD-BRL'!O967/'16. câmbio USD-BRL'!O966)^-1 -1</f>
        <v>0.11040194774064616</v>
      </c>
    </row>
    <row r="377" spans="11:19" x14ac:dyDescent="0.2">
      <c r="K377" s="355">
        <v>44711</v>
      </c>
      <c r="L377" s="169">
        <v>17.25</v>
      </c>
      <c r="M377" s="169">
        <v>18.540001</v>
      </c>
      <c r="N377" s="169">
        <v>17.030000999999999</v>
      </c>
      <c r="O377" s="169">
        <v>18.389999</v>
      </c>
      <c r="P377" s="169">
        <v>18.389999</v>
      </c>
      <c r="Q377" s="169">
        <v>64537000</v>
      </c>
      <c r="R377" s="53">
        <f t="shared" si="9"/>
        <v>7.6697833723653464E-2</v>
      </c>
      <c r="S377" s="59">
        <f>(P377/P376)*('16. câmbio USD-BRL'!O968/'16. câmbio USD-BRL'!O967)^-1 -1</f>
        <v>7.845367872008957E-2</v>
      </c>
    </row>
    <row r="378" spans="11:19" x14ac:dyDescent="0.2">
      <c r="K378" s="355">
        <v>44718</v>
      </c>
      <c r="L378" s="169">
        <v>18.52</v>
      </c>
      <c r="M378" s="169">
        <v>18.73</v>
      </c>
      <c r="N378" s="169">
        <v>17.079999999999998</v>
      </c>
      <c r="O378" s="169">
        <v>17.459999</v>
      </c>
      <c r="P378" s="169">
        <v>17.459999</v>
      </c>
      <c r="Q378" s="169">
        <v>60857500</v>
      </c>
      <c r="R378" s="53">
        <f t="shared" si="9"/>
        <v>-5.0570965229524978E-2</v>
      </c>
      <c r="S378" s="59">
        <f>(P378/P377)*('16. câmbio USD-BRL'!O969/'16. câmbio USD-BRL'!O968)^-1 -1</f>
        <v>-0.10039350749001608</v>
      </c>
    </row>
    <row r="379" spans="11:19" x14ac:dyDescent="0.2">
      <c r="K379" s="355">
        <v>44725</v>
      </c>
      <c r="L379" s="169">
        <v>17.23</v>
      </c>
      <c r="M379" s="169">
        <v>17.379999000000002</v>
      </c>
      <c r="N379" s="169">
        <v>16.420000000000002</v>
      </c>
      <c r="O379" s="169">
        <v>16.889999</v>
      </c>
      <c r="P379" s="169">
        <v>16.889999</v>
      </c>
      <c r="Q379" s="169">
        <v>39497200</v>
      </c>
      <c r="R379" s="53">
        <f t="shared" si="9"/>
        <v>-3.2646049979727976E-2</v>
      </c>
      <c r="S379" s="59">
        <f>(P379/P378)*('16. câmbio USD-BRL'!O970/'16. câmbio USD-BRL'!O969)^-1 -1</f>
        <v>-6.4340410764553768E-2</v>
      </c>
    </row>
    <row r="380" spans="11:19" x14ac:dyDescent="0.2">
      <c r="K380" s="355">
        <v>44732</v>
      </c>
      <c r="L380" s="169">
        <v>17</v>
      </c>
      <c r="M380" s="169">
        <v>17.25</v>
      </c>
      <c r="N380" s="169">
        <v>16.16</v>
      </c>
      <c r="O380" s="169">
        <v>16.629999000000002</v>
      </c>
      <c r="P380" s="169">
        <v>16.629999000000002</v>
      </c>
      <c r="Q380" s="169">
        <v>46727700</v>
      </c>
      <c r="R380" s="53">
        <f t="shared" si="9"/>
        <v>-1.5393725008509329E-2</v>
      </c>
      <c r="S380" s="59">
        <f>(P380/P379)*('16. câmbio USD-BRL'!O971/'16. câmbio USD-BRL'!O970)^-1 -1</f>
        <v>-3.2187673378074488E-2</v>
      </c>
    </row>
    <row r="381" spans="11:19" x14ac:dyDescent="0.2">
      <c r="K381" s="355">
        <v>44739</v>
      </c>
      <c r="L381" s="169">
        <v>16.600000000000001</v>
      </c>
      <c r="M381" s="169">
        <v>17.100000000000001</v>
      </c>
      <c r="N381" s="169">
        <v>15.62</v>
      </c>
      <c r="O381" s="169">
        <v>15.99</v>
      </c>
      <c r="P381" s="169">
        <v>15.99</v>
      </c>
      <c r="Q381" s="169">
        <v>47949900</v>
      </c>
      <c r="R381" s="53">
        <f t="shared" si="9"/>
        <v>-3.8484608447661439E-2</v>
      </c>
      <c r="S381" s="59">
        <f>(P381/P380)*('16. câmbio USD-BRL'!O972/'16. câmbio USD-BRL'!O971)^-1 -1</f>
        <v>-5.4645137257094967E-2</v>
      </c>
    </row>
    <row r="382" spans="11:19" x14ac:dyDescent="0.2">
      <c r="K382" s="355">
        <v>44746</v>
      </c>
      <c r="L382" s="169">
        <v>15.82</v>
      </c>
      <c r="M382" s="169">
        <v>16.41</v>
      </c>
      <c r="N382" s="169">
        <v>15.76</v>
      </c>
      <c r="O382" s="169">
        <v>16.079999999999998</v>
      </c>
      <c r="P382" s="169">
        <v>16.079999999999998</v>
      </c>
      <c r="Q382" s="169">
        <v>42605300</v>
      </c>
      <c r="R382" s="53">
        <f t="shared" si="9"/>
        <v>5.6285178236397115E-3</v>
      </c>
      <c r="S382" s="59">
        <f>(P382/P381)*('16. câmbio USD-BRL'!O973/'16. câmbio USD-BRL'!O972)^-1 -1</f>
        <v>2.091057825217546E-2</v>
      </c>
    </row>
    <row r="383" spans="11:19" x14ac:dyDescent="0.2">
      <c r="K383" s="355">
        <v>44753</v>
      </c>
      <c r="L383" s="169">
        <v>15.95</v>
      </c>
      <c r="M383" s="169">
        <v>16.07</v>
      </c>
      <c r="N383" s="169">
        <v>15.22</v>
      </c>
      <c r="O383" s="169">
        <v>15.34</v>
      </c>
      <c r="P383" s="169">
        <v>15.34</v>
      </c>
      <c r="Q383" s="169">
        <v>25247400</v>
      </c>
      <c r="R383" s="53">
        <f t="shared" si="9"/>
        <v>-4.6019900497512367E-2</v>
      </c>
      <c r="S383" s="59">
        <f>(P383/P382)*('16. câmbio USD-BRL'!O974/'16. câmbio USD-BRL'!O973)^-1 -1</f>
        <v>-7.4535322647799163E-2</v>
      </c>
    </row>
    <row r="384" spans="11:19" x14ac:dyDescent="0.2">
      <c r="K384" s="355">
        <v>44760</v>
      </c>
      <c r="L384" s="169">
        <v>15.58</v>
      </c>
      <c r="M384" s="169">
        <v>16.170000000000002</v>
      </c>
      <c r="N384" s="169">
        <v>15.5</v>
      </c>
      <c r="O384" s="169">
        <v>16.09</v>
      </c>
      <c r="P384" s="169">
        <v>16.09</v>
      </c>
      <c r="Q384" s="169">
        <v>36609700</v>
      </c>
      <c r="R384" s="53">
        <f t="shared" si="9"/>
        <v>4.8891786179921848E-2</v>
      </c>
      <c r="S384" s="59">
        <f>(P384/P383)*('16. câmbio USD-BRL'!O975/'16. câmbio USD-BRL'!O974)^-1 -1</f>
        <v>3.3691009465811605E-2</v>
      </c>
    </row>
    <row r="385" spans="11:19" x14ac:dyDescent="0.2">
      <c r="K385" s="355">
        <v>44767</v>
      </c>
      <c r="L385" s="169">
        <v>16.16</v>
      </c>
      <c r="M385" s="169">
        <v>17.73</v>
      </c>
      <c r="N385" s="169">
        <v>16.129999000000002</v>
      </c>
      <c r="O385" s="169">
        <v>17.540001</v>
      </c>
      <c r="P385" s="169">
        <v>17.540001</v>
      </c>
      <c r="Q385" s="169">
        <v>39620100</v>
      </c>
      <c r="R385" s="53">
        <f t="shared" si="9"/>
        <v>9.0118147917961577E-2</v>
      </c>
      <c r="S385" s="59">
        <f>(P385/P384)*('16. câmbio USD-BRL'!O976/'16. câmbio USD-BRL'!O975)^-1 -1</f>
        <v>0.15796065197922871</v>
      </c>
    </row>
    <row r="386" spans="11:19" x14ac:dyDescent="0.2">
      <c r="K386" s="355">
        <v>44774</v>
      </c>
      <c r="L386" s="169">
        <v>17.489999999999998</v>
      </c>
      <c r="M386" s="169">
        <v>18.66</v>
      </c>
      <c r="N386" s="169">
        <v>17.370000999999998</v>
      </c>
      <c r="O386" s="169">
        <v>18.309999000000001</v>
      </c>
      <c r="P386" s="169">
        <v>18.309999000000001</v>
      </c>
      <c r="Q386" s="169">
        <v>48771400</v>
      </c>
      <c r="R386" s="53">
        <f t="shared" si="9"/>
        <v>4.3899541396833497E-2</v>
      </c>
      <c r="S386" s="59">
        <f>(P386/P385)*('16. câmbio USD-BRL'!O977/'16. câmbio USD-BRL'!O976)^-1 -1</f>
        <v>4.6043903076382175E-2</v>
      </c>
    </row>
    <row r="387" spans="11:19" x14ac:dyDescent="0.2">
      <c r="K387" s="355">
        <v>44781</v>
      </c>
      <c r="L387" s="169">
        <v>18.450001</v>
      </c>
      <c r="M387" s="169">
        <v>19.48</v>
      </c>
      <c r="N387" s="169">
        <v>17.829999999999998</v>
      </c>
      <c r="O387" s="169">
        <v>19.379999000000002</v>
      </c>
      <c r="P387" s="169">
        <v>19.379999000000002</v>
      </c>
      <c r="Q387" s="169">
        <v>57775900</v>
      </c>
      <c r="R387" s="53">
        <f t="shared" si="9"/>
        <v>5.843801520688241E-2</v>
      </c>
      <c r="S387" s="59">
        <f>(P387/P386)*('16. câmbio USD-BRL'!O978/'16. câmbio USD-BRL'!O977)^-1 -1</f>
        <v>7.6334511680308026E-2</v>
      </c>
    </row>
    <row r="388" spans="11:19" x14ac:dyDescent="0.2">
      <c r="K388" s="355">
        <v>44788</v>
      </c>
      <c r="L388" s="169">
        <v>19.200001</v>
      </c>
      <c r="M388" s="169">
        <v>20.030000999999999</v>
      </c>
      <c r="N388" s="169">
        <v>19.040001</v>
      </c>
      <c r="O388" s="169">
        <v>19.329999999999998</v>
      </c>
      <c r="P388" s="169">
        <v>19.329999999999998</v>
      </c>
      <c r="Q388" s="169">
        <v>47029200</v>
      </c>
      <c r="R388" s="53">
        <f t="shared" si="9"/>
        <v>-2.579927893701317E-3</v>
      </c>
      <c r="S388" s="59">
        <f>(P388/P387)*('16. câmbio USD-BRL'!O979/'16. câmbio USD-BRL'!O978)^-1 -1</f>
        <v>-1.9810129774536667E-2</v>
      </c>
    </row>
    <row r="389" spans="11:19" x14ac:dyDescent="0.2">
      <c r="K389" s="355">
        <v>44795</v>
      </c>
      <c r="L389" s="169">
        <v>19.309999000000001</v>
      </c>
      <c r="M389" s="169">
        <v>20.52</v>
      </c>
      <c r="N389" s="169">
        <v>19.100000000000001</v>
      </c>
      <c r="O389" s="169">
        <v>20.030000999999999</v>
      </c>
      <c r="P389" s="169">
        <v>20.030000999999999</v>
      </c>
      <c r="Q389" s="169">
        <v>48171000</v>
      </c>
      <c r="R389" s="53">
        <f t="shared" ref="R389:R417" si="10">P389/P388-1</f>
        <v>3.6213191929643118E-2</v>
      </c>
      <c r="S389" s="59">
        <f>(P389/P388)*('16. câmbio USD-BRL'!O980/'16. câmbio USD-BRL'!O979)^-1 -1</f>
        <v>5.7763410929919434E-2</v>
      </c>
    </row>
    <row r="390" spans="11:19" x14ac:dyDescent="0.2">
      <c r="K390" s="355">
        <v>44802</v>
      </c>
      <c r="L390" s="169">
        <v>19.989999999999998</v>
      </c>
      <c r="M390" s="169">
        <v>20.870000999999998</v>
      </c>
      <c r="N390" s="169">
        <v>19.850000000000001</v>
      </c>
      <c r="O390" s="169">
        <v>20.260000000000002</v>
      </c>
      <c r="P390" s="169">
        <v>20.260000000000002</v>
      </c>
      <c r="Q390" s="169">
        <v>62940000</v>
      </c>
      <c r="R390" s="53">
        <f t="shared" si="10"/>
        <v>1.1482725337857103E-2</v>
      </c>
      <c r="S390" s="59">
        <f>(P390/P389)*('16. câmbio USD-BRL'!O981/'16. câmbio USD-BRL'!O980)^-1 -1</f>
        <v>-1.0466054645686063E-2</v>
      </c>
    </row>
    <row r="391" spans="11:19" x14ac:dyDescent="0.2">
      <c r="K391" s="355">
        <v>44809</v>
      </c>
      <c r="L391" s="169">
        <v>20.620000999999998</v>
      </c>
      <c r="M391" s="169">
        <v>20.84</v>
      </c>
      <c r="N391" s="169">
        <v>20.02</v>
      </c>
      <c r="O391" s="169">
        <v>20.73</v>
      </c>
      <c r="P391" s="169">
        <v>20.73</v>
      </c>
      <c r="Q391" s="169">
        <v>37781700</v>
      </c>
      <c r="R391" s="53">
        <f t="shared" si="10"/>
        <v>2.3198420533069974E-2</v>
      </c>
      <c r="S391" s="59">
        <f>(P391/P390)*('16. câmbio USD-BRL'!O982/'16. câmbio USD-BRL'!O981)^-1 -1</f>
        <v>2.81097093235958E-2</v>
      </c>
    </row>
    <row r="392" spans="11:19" x14ac:dyDescent="0.2">
      <c r="K392" s="355">
        <v>44816</v>
      </c>
      <c r="L392" s="169">
        <v>20.799999</v>
      </c>
      <c r="M392" s="169">
        <v>20.91</v>
      </c>
      <c r="N392" s="169">
        <v>19.309999000000001</v>
      </c>
      <c r="O392" s="169">
        <v>19.66</v>
      </c>
      <c r="P392" s="169">
        <v>19.66</v>
      </c>
      <c r="Q392" s="169">
        <v>64637900</v>
      </c>
      <c r="R392" s="53">
        <f t="shared" si="10"/>
        <v>-5.1616015436565355E-2</v>
      </c>
      <c r="S392" s="59">
        <f>(P392/P391)*('16. câmbio USD-BRL'!O983/'16. câmbio USD-BRL'!O982)^-1 -1</f>
        <v>-7.0013692443360309E-2</v>
      </c>
    </row>
    <row r="393" spans="11:19" x14ac:dyDescent="0.2">
      <c r="K393" s="355">
        <v>44823</v>
      </c>
      <c r="L393" s="169">
        <v>19.620000999999998</v>
      </c>
      <c r="M393" s="169">
        <v>20.209999</v>
      </c>
      <c r="N393" s="169">
        <v>19.049999</v>
      </c>
      <c r="O393" s="169">
        <v>19.350000000000001</v>
      </c>
      <c r="P393" s="169">
        <v>19.350000000000001</v>
      </c>
      <c r="Q393" s="169">
        <v>51813000</v>
      </c>
      <c r="R393" s="53">
        <f t="shared" si="10"/>
        <v>-1.5768056968463839E-2</v>
      </c>
      <c r="S393" s="59">
        <f>(P393/P392)*('16. câmbio USD-BRL'!O984/'16. câmbio USD-BRL'!O983)^-1 -1</f>
        <v>-1.8256231239955789E-2</v>
      </c>
    </row>
    <row r="394" spans="11:19" x14ac:dyDescent="0.2">
      <c r="K394" s="355">
        <v>44830</v>
      </c>
      <c r="L394" s="169">
        <v>19.16</v>
      </c>
      <c r="M394" s="169">
        <v>19.440000999999999</v>
      </c>
      <c r="N394" s="169">
        <v>17.98</v>
      </c>
      <c r="O394" s="169">
        <v>18.48</v>
      </c>
      <c r="P394" s="169">
        <v>18.48</v>
      </c>
      <c r="Q394" s="169">
        <v>88521800</v>
      </c>
      <c r="R394" s="53">
        <f t="shared" si="10"/>
        <v>-4.4961240310077533E-2</v>
      </c>
      <c r="S394" s="59">
        <f>(P394/P393)*('16. câmbio USD-BRL'!O985/'16. câmbio USD-BRL'!O984)^-1 -1</f>
        <v>-7.0852334727294464E-2</v>
      </c>
    </row>
    <row r="395" spans="11:19" x14ac:dyDescent="0.2">
      <c r="K395" s="355">
        <v>44837</v>
      </c>
      <c r="L395" s="169">
        <v>18.950001</v>
      </c>
      <c r="M395" s="169">
        <v>20.120000999999998</v>
      </c>
      <c r="N395" s="169">
        <v>18.610001</v>
      </c>
      <c r="O395" s="169">
        <v>19.110001</v>
      </c>
      <c r="P395" s="169">
        <v>19.110001</v>
      </c>
      <c r="Q395" s="169">
        <v>59654400</v>
      </c>
      <c r="R395" s="53">
        <f t="shared" si="10"/>
        <v>3.4090963203463165E-2</v>
      </c>
      <c r="S395" s="59">
        <f>(P395/P394)*('16. câmbio USD-BRL'!O986/'16. câmbio USD-BRL'!O985)^-1 -1</f>
        <v>7.4837637454166606E-2</v>
      </c>
    </row>
    <row r="396" spans="11:19" x14ac:dyDescent="0.2">
      <c r="K396" s="355">
        <v>44844</v>
      </c>
      <c r="L396" s="169">
        <v>19.200001</v>
      </c>
      <c r="M396" s="169">
        <v>19.940000999999999</v>
      </c>
      <c r="N396" s="169">
        <v>18.07</v>
      </c>
      <c r="O396" s="169">
        <v>19.299999</v>
      </c>
      <c r="P396" s="169">
        <v>19.299999</v>
      </c>
      <c r="Q396" s="169">
        <v>73326000</v>
      </c>
      <c r="R396" s="53">
        <f t="shared" si="10"/>
        <v>9.9423333363508615E-3</v>
      </c>
      <c r="S396" s="59">
        <f>(P396/P395)*('16. câmbio USD-BRL'!O987/'16. câmbio USD-BRL'!O986)^-1 -1</f>
        <v>-1.2882830146029423E-2</v>
      </c>
    </row>
    <row r="397" spans="11:19" x14ac:dyDescent="0.2">
      <c r="K397" s="355">
        <v>44851</v>
      </c>
      <c r="L397" s="169">
        <v>19.459999</v>
      </c>
      <c r="M397" s="169">
        <v>21.389999</v>
      </c>
      <c r="N397" s="169">
        <v>19.239999999999998</v>
      </c>
      <c r="O397" s="169">
        <v>21.26</v>
      </c>
      <c r="P397" s="169">
        <v>21.26</v>
      </c>
      <c r="Q397" s="169">
        <v>87117300</v>
      </c>
      <c r="R397" s="53">
        <f t="shared" si="10"/>
        <v>0.10155446122043843</v>
      </c>
      <c r="S397" s="59">
        <f>(P397/P396)*('16. câmbio USD-BRL'!O988/'16. câmbio USD-BRL'!O987)^-1 -1</f>
        <v>0.13679292767022844</v>
      </c>
    </row>
    <row r="398" spans="11:19" x14ac:dyDescent="0.2">
      <c r="K398" s="355">
        <v>44858</v>
      </c>
      <c r="L398" s="169">
        <v>21.049999</v>
      </c>
      <c r="M398" s="169">
        <v>21.24</v>
      </c>
      <c r="N398" s="169">
        <v>20.02</v>
      </c>
      <c r="O398" s="169">
        <v>21.24</v>
      </c>
      <c r="P398" s="169">
        <v>21.24</v>
      </c>
      <c r="Q398" s="169">
        <v>48161900</v>
      </c>
      <c r="R398" s="53">
        <f t="shared" si="10"/>
        <v>-9.4073377234260569E-4</v>
      </c>
      <c r="S398" s="59">
        <f>(P398/P397)*('16. câmbio USD-BRL'!O989/'16. câmbio USD-BRL'!O988)^-1 -1</f>
        <v>-2.5612595390822723E-2</v>
      </c>
    </row>
    <row r="399" spans="11:19" x14ac:dyDescent="0.2">
      <c r="K399" s="355">
        <v>44865</v>
      </c>
      <c r="L399" s="169">
        <v>21</v>
      </c>
      <c r="M399" s="169">
        <v>22.34</v>
      </c>
      <c r="N399" s="169">
        <v>20.129999000000002</v>
      </c>
      <c r="O399" s="169">
        <v>20.459999</v>
      </c>
      <c r="P399" s="169">
        <v>20.459999</v>
      </c>
      <c r="Q399" s="169">
        <v>61909400</v>
      </c>
      <c r="R399" s="53">
        <f t="shared" si="10"/>
        <v>-3.6723210922787186E-2</v>
      </c>
      <c r="S399" s="59">
        <f>(P399/P398)*('16. câmbio USD-BRL'!O990/'16. câmbio USD-BRL'!O989)^-1 -1</f>
        <v>1.0230491410323728E-2</v>
      </c>
    </row>
    <row r="400" spans="11:19" x14ac:dyDescent="0.2">
      <c r="K400" s="355">
        <v>44872</v>
      </c>
      <c r="L400" s="169">
        <v>20.41</v>
      </c>
      <c r="M400" s="169">
        <v>21.09</v>
      </c>
      <c r="N400" s="169">
        <v>19.120000999999998</v>
      </c>
      <c r="O400" s="169">
        <v>19.959999</v>
      </c>
      <c r="P400" s="169">
        <v>19.959999</v>
      </c>
      <c r="Q400" s="169">
        <v>71220700</v>
      </c>
      <c r="R400" s="53">
        <f t="shared" si="10"/>
        <v>-2.4437928858158764E-2</v>
      </c>
      <c r="S400" s="59">
        <f>(P400/P399)*('16. câmbio USD-BRL'!O991/'16. câmbio USD-BRL'!O990)^-1 -1</f>
        <v>-6.8123949887866742E-2</v>
      </c>
    </row>
    <row r="401" spans="11:19" x14ac:dyDescent="0.2">
      <c r="K401" s="355">
        <v>44879</v>
      </c>
      <c r="L401" s="169">
        <v>20.450001</v>
      </c>
      <c r="M401" s="169">
        <v>20.450001</v>
      </c>
      <c r="N401" s="169">
        <v>18</v>
      </c>
      <c r="O401" s="169">
        <v>19.260000000000002</v>
      </c>
      <c r="P401" s="169">
        <v>19.260000000000002</v>
      </c>
      <c r="Q401" s="169">
        <v>70451700</v>
      </c>
      <c r="R401" s="53">
        <f t="shared" si="10"/>
        <v>-3.5070091937379311E-2</v>
      </c>
      <c r="S401" s="59">
        <f>(P401/P400)*('16. câmbio USD-BRL'!O992/'16. câmbio USD-BRL'!O991)^-1 -1</f>
        <v>-5.339574495876831E-2</v>
      </c>
    </row>
    <row r="402" spans="11:19" x14ac:dyDescent="0.2">
      <c r="K402" s="355">
        <v>44886</v>
      </c>
      <c r="L402" s="169">
        <v>19.639999</v>
      </c>
      <c r="M402" s="169">
        <v>20.280000999999999</v>
      </c>
      <c r="N402" s="169">
        <v>18.709999</v>
      </c>
      <c r="O402" s="169">
        <v>18.91</v>
      </c>
      <c r="P402" s="169">
        <v>18.91</v>
      </c>
      <c r="Q402" s="169">
        <v>50835300</v>
      </c>
      <c r="R402" s="53">
        <f t="shared" si="10"/>
        <v>-1.8172377985462118E-2</v>
      </c>
      <c r="S402" s="59">
        <f>(P402/P401)*('16. câmbio USD-BRL'!O993/'16. câmbio USD-BRL'!O992)^-1 -1</f>
        <v>-2.3110107729161E-2</v>
      </c>
    </row>
    <row r="403" spans="11:19" x14ac:dyDescent="0.2">
      <c r="K403" s="355">
        <v>44893</v>
      </c>
      <c r="L403" s="169">
        <v>19.100000000000001</v>
      </c>
      <c r="M403" s="169">
        <v>20.079999999999998</v>
      </c>
      <c r="N403" s="169">
        <v>18.870000999999998</v>
      </c>
      <c r="O403" s="169">
        <v>19.239999999999998</v>
      </c>
      <c r="P403" s="169">
        <v>19.239999999999998</v>
      </c>
      <c r="Q403" s="169">
        <v>74164100</v>
      </c>
      <c r="R403" s="53">
        <f t="shared" si="10"/>
        <v>1.745108408249596E-2</v>
      </c>
      <c r="S403" s="59">
        <f>(P403/P402)*('16. câmbio USD-BRL'!O994/'16. câmbio USD-BRL'!O993)^-1 -1</f>
        <v>5.4697496552022828E-2</v>
      </c>
    </row>
    <row r="404" spans="11:19" x14ac:dyDescent="0.2">
      <c r="K404" s="355">
        <v>44900</v>
      </c>
      <c r="L404" s="169">
        <v>18.98</v>
      </c>
      <c r="M404" s="169">
        <v>19.149999999999999</v>
      </c>
      <c r="N404" s="169">
        <v>17.370000999999998</v>
      </c>
      <c r="O404" s="169">
        <v>17.639999</v>
      </c>
      <c r="P404" s="169">
        <v>17.639999</v>
      </c>
      <c r="Q404" s="169">
        <v>48600200</v>
      </c>
      <c r="R404" s="53">
        <f t="shared" si="10"/>
        <v>-8.3160135135135094E-2</v>
      </c>
      <c r="S404" s="59">
        <f>(P404/P403)*('16. câmbio USD-BRL'!O995/'16. câmbio USD-BRL'!O994)^-1 -1</f>
        <v>-8.6225024845762555E-2</v>
      </c>
    </row>
    <row r="405" spans="11:19" x14ac:dyDescent="0.2">
      <c r="K405" s="355">
        <v>44907</v>
      </c>
      <c r="L405" s="169">
        <v>17.799999</v>
      </c>
      <c r="M405" s="169">
        <v>18</v>
      </c>
      <c r="N405" s="169">
        <v>16.209999</v>
      </c>
      <c r="O405" s="169">
        <v>17.149999999999999</v>
      </c>
      <c r="P405" s="169">
        <v>17.149999999999999</v>
      </c>
      <c r="Q405" s="169">
        <v>72660000</v>
      </c>
      <c r="R405" s="53">
        <f t="shared" si="10"/>
        <v>-2.7777722663136273E-2</v>
      </c>
      <c r="S405" s="59">
        <f>(P405/P404)*('16. câmbio USD-BRL'!O996/'16. câmbio USD-BRL'!O995)^-1 -1</f>
        <v>-4.0877485751723008E-2</v>
      </c>
    </row>
    <row r="406" spans="11:19" x14ac:dyDescent="0.2">
      <c r="K406" s="355">
        <v>44914</v>
      </c>
      <c r="L406" s="169">
        <v>17.219999000000001</v>
      </c>
      <c r="M406" s="169">
        <v>19.52</v>
      </c>
      <c r="N406" s="169">
        <v>17.120000999999998</v>
      </c>
      <c r="O406" s="169">
        <v>19.149999999999999</v>
      </c>
      <c r="P406" s="169">
        <v>19.149999999999999</v>
      </c>
      <c r="Q406" s="169">
        <v>59655900</v>
      </c>
      <c r="R406" s="53">
        <f t="shared" si="10"/>
        <v>0.11661807580174921</v>
      </c>
      <c r="S406" s="59">
        <f>(P406/P405)*('16. câmbio USD-BRL'!O997/'16. câmbio USD-BRL'!O996)^-1 -1</f>
        <v>0.14736437062951069</v>
      </c>
    </row>
    <row r="407" spans="11:19" x14ac:dyDescent="0.2">
      <c r="K407" s="355">
        <v>44921</v>
      </c>
      <c r="L407" s="169">
        <v>19.049999</v>
      </c>
      <c r="M407" s="169">
        <v>19.120000999999998</v>
      </c>
      <c r="N407" s="169">
        <v>17.899999999999999</v>
      </c>
      <c r="O407" s="169">
        <v>18.610001</v>
      </c>
      <c r="P407" s="169">
        <v>18.610001</v>
      </c>
      <c r="Q407" s="169">
        <v>24123700</v>
      </c>
      <c r="R407" s="53">
        <f t="shared" si="10"/>
        <v>-2.8198381201044342E-2</v>
      </c>
      <c r="S407" s="59">
        <f>(P407/P406)*('16. câmbio USD-BRL'!O998/'16. câmbio USD-BRL'!O997)^-1 -1</f>
        <v>-5.0482433078526845E-2</v>
      </c>
    </row>
    <row r="408" spans="11:19" x14ac:dyDescent="0.2">
      <c r="K408" s="355">
        <v>44928</v>
      </c>
      <c r="L408" s="169">
        <v>18.309999000000001</v>
      </c>
      <c r="M408" s="169">
        <v>18.48</v>
      </c>
      <c r="N408" s="169">
        <v>17.110001</v>
      </c>
      <c r="O408" s="169">
        <v>17.799999</v>
      </c>
      <c r="P408" s="169">
        <v>17.799999</v>
      </c>
      <c r="Q408" s="169">
        <v>40196200</v>
      </c>
      <c r="R408" s="53">
        <f t="shared" si="10"/>
        <v>-4.352509169666352E-2</v>
      </c>
      <c r="S408" s="59">
        <f>(P408/P407)*('16. câmbio USD-BRL'!O999/'16. câmbio USD-BRL'!O998)^-1 -1</f>
        <v>-3.2339000107709182E-2</v>
      </c>
    </row>
    <row r="409" spans="11:19" x14ac:dyDescent="0.2">
      <c r="K409" s="355">
        <v>44935</v>
      </c>
      <c r="L409" s="169">
        <v>17.799999</v>
      </c>
      <c r="M409" s="169">
        <v>19.25</v>
      </c>
      <c r="N409" s="169">
        <v>17.459999</v>
      </c>
      <c r="O409" s="169">
        <v>18.370000999999998</v>
      </c>
      <c r="P409" s="169">
        <v>18.370000999999998</v>
      </c>
      <c r="Q409" s="169">
        <v>39910100</v>
      </c>
      <c r="R409" s="53">
        <f t="shared" si="10"/>
        <v>3.2022586068684467E-2</v>
      </c>
      <c r="S409" s="59">
        <f>(P409/P408)*('16. câmbio USD-BRL'!O1000/'16. câmbio USD-BRL'!O999)^-1 -1</f>
        <v>6.1211801259124732E-2</v>
      </c>
    </row>
    <row r="410" spans="11:19" x14ac:dyDescent="0.2">
      <c r="K410" s="355">
        <v>44942</v>
      </c>
      <c r="L410" s="169">
        <v>18.209999</v>
      </c>
      <c r="M410" s="169">
        <v>19.23</v>
      </c>
      <c r="N410" s="169">
        <v>18.149999999999999</v>
      </c>
      <c r="O410" s="169">
        <v>18.360001</v>
      </c>
      <c r="P410" s="169">
        <v>18.360001</v>
      </c>
      <c r="Q410" s="169">
        <v>45358300</v>
      </c>
      <c r="R410" s="53">
        <f t="shared" si="10"/>
        <v>-5.4436578419336801E-4</v>
      </c>
      <c r="S410" s="59">
        <f>(P410/P409)*('16. câmbio USD-BRL'!O1001/'16. câmbio USD-BRL'!O1000)^-1 -1</f>
        <v>-2.4655851418425967E-2</v>
      </c>
    </row>
    <row r="411" spans="11:19" x14ac:dyDescent="0.2">
      <c r="K411" s="355">
        <v>44949</v>
      </c>
      <c r="L411" s="169">
        <v>18.559999000000001</v>
      </c>
      <c r="M411" s="169">
        <v>18.969999000000001</v>
      </c>
      <c r="N411" s="169">
        <v>18.329999999999998</v>
      </c>
      <c r="O411" s="169">
        <v>18.530000999999999</v>
      </c>
      <c r="P411" s="169">
        <v>18.530000999999999</v>
      </c>
      <c r="Q411" s="169">
        <v>41763000</v>
      </c>
      <c r="R411" s="53">
        <f t="shared" si="10"/>
        <v>9.2592587549422678E-3</v>
      </c>
      <c r="S411" s="59">
        <f>(P411/P410)*('16. câmbio USD-BRL'!O1002/'16. câmbio USD-BRL'!O1001)^-1 -1</f>
        <v>2.8842903911312723E-2</v>
      </c>
    </row>
    <row r="412" spans="11:19" x14ac:dyDescent="0.2">
      <c r="K412" s="355">
        <v>44956</v>
      </c>
      <c r="L412" s="169">
        <v>18.57</v>
      </c>
      <c r="M412" s="169">
        <v>18.670000000000002</v>
      </c>
      <c r="N412" s="169">
        <v>17.57</v>
      </c>
      <c r="O412" s="169">
        <v>18.040001</v>
      </c>
      <c r="P412" s="169">
        <v>18.040001</v>
      </c>
      <c r="Q412" s="169">
        <v>52028500</v>
      </c>
      <c r="R412" s="53">
        <f t="shared" si="10"/>
        <v>-2.6443603537851912E-2</v>
      </c>
      <c r="S412" s="59">
        <f>(P412/P411)*('16. câmbio USD-BRL'!O1003/'16. câmbio USD-BRL'!O1002)^-1 -1</f>
        <v>-3.4497023571501306E-2</v>
      </c>
    </row>
    <row r="413" spans="11:19" x14ac:dyDescent="0.2">
      <c r="K413" s="355">
        <v>44963</v>
      </c>
      <c r="L413" s="169">
        <v>18.030000999999999</v>
      </c>
      <c r="M413" s="169">
        <v>18.079999999999998</v>
      </c>
      <c r="N413" s="169">
        <v>16.93</v>
      </c>
      <c r="O413" s="169">
        <v>17.540001</v>
      </c>
      <c r="P413" s="169">
        <v>17.540001</v>
      </c>
      <c r="Q413" s="169">
        <v>73045600</v>
      </c>
      <c r="R413" s="53">
        <f t="shared" si="10"/>
        <v>-2.7716184716397696E-2</v>
      </c>
      <c r="S413" s="59">
        <f>(P413/P412)*('16. câmbio USD-BRL'!O1004/'16. câmbio USD-BRL'!O1003)^-1 -1</f>
        <v>-3.9595820092549028E-2</v>
      </c>
    </row>
    <row r="414" spans="11:19" x14ac:dyDescent="0.2">
      <c r="K414" s="355">
        <v>44970</v>
      </c>
      <c r="L414" s="169">
        <v>17.48</v>
      </c>
      <c r="M414" s="169">
        <v>18.48</v>
      </c>
      <c r="N414" s="169">
        <v>16.969999000000001</v>
      </c>
      <c r="O414" s="169">
        <v>18.260000000000002</v>
      </c>
      <c r="P414" s="169">
        <v>18.260000000000002</v>
      </c>
      <c r="Q414" s="169">
        <v>48717900</v>
      </c>
      <c r="R414" s="53">
        <f t="shared" si="10"/>
        <v>4.1048971433924164E-2</v>
      </c>
      <c r="S414" s="59">
        <f>(P414/P413)*('16. câmbio USD-BRL'!O1005/'16. câmbio USD-BRL'!O1004)^-1 -1</f>
        <v>5.1292698117412217E-2</v>
      </c>
    </row>
    <row r="415" spans="11:19" x14ac:dyDescent="0.2">
      <c r="K415" s="355">
        <v>44977</v>
      </c>
      <c r="L415" s="169">
        <v>18.260000000000002</v>
      </c>
      <c r="M415" s="169">
        <v>18.260000000000002</v>
      </c>
      <c r="N415" s="169">
        <v>17.290001</v>
      </c>
      <c r="O415" s="169">
        <v>18.010000000000002</v>
      </c>
      <c r="P415" s="169">
        <v>18.010000000000002</v>
      </c>
      <c r="Q415" s="169">
        <v>18639600</v>
      </c>
      <c r="R415" s="53">
        <f t="shared" si="10"/>
        <v>-1.3691128148959453E-2</v>
      </c>
      <c r="S415" s="59">
        <f>(P415/P414)*('16. câmbio USD-BRL'!O1006/'16. câmbio USD-BRL'!O1005)^-1 -1</f>
        <v>-2.2232648583784376E-2</v>
      </c>
    </row>
    <row r="416" spans="11:19" x14ac:dyDescent="0.2">
      <c r="K416" s="355">
        <v>44984</v>
      </c>
      <c r="L416" s="169">
        <v>18.010000000000002</v>
      </c>
      <c r="M416" s="169">
        <v>18.239999999999998</v>
      </c>
      <c r="N416" s="169">
        <v>17.16</v>
      </c>
      <c r="O416" s="169">
        <v>17.690000999999999</v>
      </c>
      <c r="P416" s="169">
        <v>17.690000999999999</v>
      </c>
      <c r="Q416" s="169">
        <v>56084200</v>
      </c>
      <c r="R416" s="53">
        <f t="shared" si="10"/>
        <v>-1.7767851193781437E-2</v>
      </c>
      <c r="S416" s="59">
        <f>(P416/P415)*('16. câmbio USD-BRL'!O1007/'16. câmbio USD-BRL'!O1006)^-1 -1</f>
        <v>-1.5233985724429244E-2</v>
      </c>
    </row>
    <row r="417" spans="11:19" x14ac:dyDescent="0.2">
      <c r="K417" s="355">
        <v>44991</v>
      </c>
      <c r="L417" s="169">
        <v>17.850000000000001</v>
      </c>
      <c r="M417" s="169">
        <v>19.100000000000001</v>
      </c>
      <c r="N417" s="169">
        <v>17.66</v>
      </c>
      <c r="O417" s="169">
        <v>19</v>
      </c>
      <c r="P417" s="169">
        <v>19</v>
      </c>
      <c r="Q417" s="169">
        <v>36492600</v>
      </c>
      <c r="R417" s="53">
        <f t="shared" si="10"/>
        <v>7.4053076650476335E-2</v>
      </c>
      <c r="S417" s="59">
        <f>(P417/P416)*('16. câmbio USD-BRL'!O1008/'16. câmbio USD-BRL'!O1007)^-1 -1</f>
        <v>6.9687342080150705E-2</v>
      </c>
    </row>
    <row r="418" spans="11:19" x14ac:dyDescent="0.2">
      <c r="K418" s="52"/>
      <c r="L418" s="51"/>
      <c r="M418" s="51"/>
      <c r="N418" s="51"/>
      <c r="O418" s="51"/>
      <c r="P418" s="51"/>
      <c r="Q418" s="51"/>
      <c r="R418" s="53"/>
      <c r="S418" s="59"/>
    </row>
    <row r="419" spans="11:19" x14ac:dyDescent="0.2">
      <c r="K419" s="52"/>
      <c r="L419" s="51"/>
      <c r="M419" s="51"/>
      <c r="N419" s="51"/>
      <c r="O419" s="51"/>
      <c r="P419" s="51"/>
      <c r="Q419" s="51"/>
      <c r="R419" s="53"/>
      <c r="S419" s="59"/>
    </row>
    <row r="420" spans="11:19" x14ac:dyDescent="0.2">
      <c r="K420" s="52"/>
      <c r="L420" s="51"/>
      <c r="M420" s="51"/>
      <c r="N420" s="51"/>
      <c r="O420" s="51"/>
      <c r="P420" s="51"/>
      <c r="Q420" s="51"/>
      <c r="R420" s="53"/>
      <c r="S420" s="59"/>
    </row>
    <row r="421" spans="11:19" x14ac:dyDescent="0.2">
      <c r="K421" s="52"/>
      <c r="L421" s="51"/>
      <c r="M421" s="51"/>
      <c r="N421" s="51"/>
      <c r="O421" s="51"/>
      <c r="P421" s="51"/>
      <c r="Q421" s="51"/>
      <c r="R421" s="53"/>
      <c r="S421" s="59"/>
    </row>
    <row r="422" spans="11:19" x14ac:dyDescent="0.2">
      <c r="K422" s="52"/>
      <c r="L422" s="51"/>
      <c r="M422" s="51"/>
      <c r="N422" s="51"/>
      <c r="O422" s="51"/>
      <c r="P422" s="51"/>
      <c r="Q422" s="51"/>
      <c r="R422" s="53"/>
      <c r="S422" s="59"/>
    </row>
    <row r="423" spans="11:19" x14ac:dyDescent="0.2">
      <c r="K423" s="52"/>
      <c r="L423" s="51"/>
      <c r="M423" s="51"/>
      <c r="N423" s="51"/>
      <c r="O423" s="51"/>
      <c r="P423" s="51"/>
      <c r="Q423" s="51"/>
      <c r="R423" s="53"/>
      <c r="S423" s="59"/>
    </row>
    <row r="424" spans="11:19" x14ac:dyDescent="0.2">
      <c r="K424" s="52"/>
      <c r="L424" s="51"/>
      <c r="M424" s="51"/>
      <c r="N424" s="51"/>
      <c r="O424" s="51"/>
      <c r="P424" s="51"/>
      <c r="Q424" s="51"/>
      <c r="R424" s="53"/>
      <c r="S424" s="59"/>
    </row>
    <row r="425" spans="11:19" x14ac:dyDescent="0.2">
      <c r="K425" s="52"/>
      <c r="L425" s="51"/>
      <c r="M425" s="51"/>
      <c r="N425" s="51"/>
      <c r="O425" s="51"/>
      <c r="P425" s="51"/>
      <c r="Q425" s="51"/>
      <c r="R425" s="53"/>
      <c r="S425" s="59"/>
    </row>
    <row r="426" spans="11:19" x14ac:dyDescent="0.2">
      <c r="K426" s="52"/>
      <c r="L426" s="51"/>
      <c r="M426" s="51"/>
      <c r="N426" s="51"/>
      <c r="O426" s="51"/>
      <c r="P426" s="51"/>
      <c r="Q426" s="51"/>
      <c r="R426" s="53"/>
      <c r="S426" s="59"/>
    </row>
    <row r="427" spans="11:19" x14ac:dyDescent="0.2">
      <c r="K427" s="52"/>
      <c r="L427" s="51"/>
      <c r="M427" s="51"/>
      <c r="N427" s="51"/>
      <c r="O427" s="51"/>
      <c r="P427" s="51"/>
      <c r="Q427" s="51"/>
      <c r="R427" s="53"/>
      <c r="S427" s="59"/>
    </row>
    <row r="428" spans="11:19" x14ac:dyDescent="0.2">
      <c r="K428" s="52"/>
      <c r="L428" s="51"/>
      <c r="M428" s="51"/>
      <c r="N428" s="51"/>
      <c r="O428" s="51"/>
      <c r="P428" s="51"/>
      <c r="Q428" s="51"/>
      <c r="R428" s="53"/>
      <c r="S428" s="59"/>
    </row>
    <row r="429" spans="11:19" x14ac:dyDescent="0.2">
      <c r="K429" s="52"/>
      <c r="L429" s="51"/>
      <c r="M429" s="51"/>
      <c r="N429" s="51"/>
      <c r="O429" s="51"/>
      <c r="P429" s="51"/>
      <c r="Q429" s="51"/>
      <c r="R429" s="53"/>
      <c r="S429" s="59"/>
    </row>
    <row r="430" spans="11:19" x14ac:dyDescent="0.2">
      <c r="K430" s="52"/>
      <c r="L430" s="51"/>
      <c r="M430" s="51"/>
      <c r="N430" s="51"/>
      <c r="O430" s="51"/>
      <c r="P430" s="51"/>
      <c r="Q430" s="51"/>
      <c r="R430" s="53"/>
      <c r="S430" s="59"/>
    </row>
    <row r="431" spans="11:19" x14ac:dyDescent="0.2">
      <c r="K431" s="52"/>
      <c r="L431" s="51"/>
      <c r="M431" s="51"/>
      <c r="N431" s="51"/>
      <c r="O431" s="51"/>
      <c r="P431" s="51"/>
      <c r="Q431" s="51"/>
      <c r="R431" s="53"/>
      <c r="S431" s="59"/>
    </row>
    <row r="432" spans="11:19" x14ac:dyDescent="0.2">
      <c r="K432" s="52"/>
      <c r="L432" s="51"/>
      <c r="M432" s="51"/>
      <c r="N432" s="51"/>
      <c r="O432" s="51"/>
      <c r="P432" s="51"/>
      <c r="Q432" s="51"/>
      <c r="R432" s="53"/>
      <c r="S432" s="59"/>
    </row>
    <row r="433" spans="11:19" x14ac:dyDescent="0.2">
      <c r="K433" s="52"/>
      <c r="L433" s="51"/>
      <c r="M433" s="51"/>
      <c r="N433" s="51"/>
      <c r="O433" s="51"/>
      <c r="P433" s="51"/>
      <c r="Q433" s="51"/>
      <c r="R433" s="53"/>
      <c r="S433" s="59"/>
    </row>
    <row r="434" spans="11:19" x14ac:dyDescent="0.2">
      <c r="K434" s="52"/>
      <c r="L434" s="51"/>
      <c r="M434" s="51"/>
      <c r="N434" s="51"/>
      <c r="O434" s="51"/>
      <c r="P434" s="51"/>
      <c r="Q434" s="51"/>
      <c r="R434" s="53"/>
      <c r="S434" s="59"/>
    </row>
    <row r="435" spans="11:19" x14ac:dyDescent="0.2">
      <c r="K435" s="52"/>
      <c r="L435" s="51"/>
      <c r="M435" s="51"/>
      <c r="N435" s="51"/>
      <c r="O435" s="51"/>
      <c r="P435" s="51"/>
      <c r="Q435" s="51"/>
      <c r="R435" s="53"/>
      <c r="S435" s="59"/>
    </row>
    <row r="436" spans="11:19" x14ac:dyDescent="0.2">
      <c r="K436" s="52"/>
      <c r="L436" s="51"/>
      <c r="M436" s="51"/>
      <c r="N436" s="51"/>
      <c r="O436" s="51"/>
      <c r="P436" s="51"/>
      <c r="Q436" s="51"/>
      <c r="R436" s="53"/>
      <c r="S436" s="59"/>
    </row>
    <row r="437" spans="11:19" x14ac:dyDescent="0.2">
      <c r="K437" s="52"/>
      <c r="L437" s="51"/>
      <c r="M437" s="51"/>
      <c r="N437" s="51"/>
      <c r="O437" s="51"/>
      <c r="P437" s="51"/>
      <c r="Q437" s="51"/>
      <c r="R437" s="53"/>
      <c r="S437" s="59"/>
    </row>
    <row r="438" spans="11:19" x14ac:dyDescent="0.2">
      <c r="K438" s="52"/>
      <c r="L438" s="51"/>
      <c r="M438" s="51"/>
      <c r="N438" s="51"/>
      <c r="O438" s="51"/>
      <c r="P438" s="51"/>
      <c r="Q438" s="51"/>
      <c r="R438" s="53"/>
      <c r="S438" s="59"/>
    </row>
    <row r="439" spans="11:19" x14ac:dyDescent="0.2">
      <c r="K439" s="52"/>
      <c r="L439" s="51"/>
      <c r="M439" s="51"/>
      <c r="N439" s="51"/>
      <c r="O439" s="51"/>
      <c r="P439" s="51"/>
      <c r="Q439" s="51"/>
      <c r="R439" s="53"/>
      <c r="S439" s="59"/>
    </row>
    <row r="440" spans="11:19" x14ac:dyDescent="0.2">
      <c r="K440" s="52"/>
      <c r="L440" s="51"/>
      <c r="M440" s="51"/>
      <c r="N440" s="51"/>
      <c r="O440" s="51"/>
      <c r="P440" s="51"/>
      <c r="Q440" s="51"/>
      <c r="R440" s="53"/>
      <c r="S440" s="59"/>
    </row>
    <row r="441" spans="11:19" x14ac:dyDescent="0.2">
      <c r="K441" s="52"/>
      <c r="L441" s="51"/>
      <c r="M441" s="51"/>
      <c r="N441" s="51"/>
      <c r="O441" s="51"/>
      <c r="P441" s="51"/>
      <c r="Q441" s="51"/>
      <c r="R441" s="53"/>
      <c r="S441" s="59"/>
    </row>
    <row r="442" spans="11:19" x14ac:dyDescent="0.2">
      <c r="K442" s="52"/>
      <c r="L442" s="51"/>
      <c r="M442" s="51"/>
      <c r="N442" s="51"/>
      <c r="O442" s="51"/>
      <c r="P442" s="51"/>
      <c r="Q442" s="51"/>
      <c r="R442" s="53"/>
      <c r="S442" s="59"/>
    </row>
    <row r="443" spans="11:19" x14ac:dyDescent="0.2">
      <c r="K443" s="52"/>
      <c r="L443" s="51"/>
      <c r="M443" s="51"/>
      <c r="N443" s="51"/>
      <c r="O443" s="51"/>
      <c r="P443" s="51"/>
      <c r="Q443" s="51"/>
      <c r="R443" s="53"/>
      <c r="S443" s="59"/>
    </row>
    <row r="444" spans="11:19" x14ac:dyDescent="0.2">
      <c r="K444" s="52"/>
      <c r="L444" s="51"/>
      <c r="M444" s="51"/>
      <c r="N444" s="51"/>
      <c r="O444" s="51"/>
      <c r="P444" s="51"/>
      <c r="Q444" s="51"/>
      <c r="R444" s="53"/>
      <c r="S444" s="59"/>
    </row>
    <row r="445" spans="11:19" x14ac:dyDescent="0.2">
      <c r="K445" s="52"/>
      <c r="L445" s="51"/>
      <c r="M445" s="51"/>
      <c r="N445" s="51"/>
      <c r="O445" s="51"/>
      <c r="P445" s="51"/>
      <c r="Q445" s="51"/>
      <c r="R445" s="53"/>
      <c r="S445" s="59"/>
    </row>
    <row r="446" spans="11:19" x14ac:dyDescent="0.2">
      <c r="K446" s="52"/>
      <c r="L446" s="51"/>
      <c r="M446" s="51"/>
      <c r="N446" s="51"/>
      <c r="O446" s="51"/>
      <c r="P446" s="51"/>
      <c r="Q446" s="51"/>
      <c r="R446" s="53"/>
      <c r="S446" s="59"/>
    </row>
    <row r="447" spans="11:19" x14ac:dyDescent="0.2">
      <c r="K447" s="52"/>
      <c r="L447" s="51"/>
      <c r="M447" s="51"/>
      <c r="N447" s="51"/>
      <c r="O447" s="51"/>
      <c r="P447" s="51"/>
      <c r="Q447" s="51"/>
      <c r="R447" s="53"/>
      <c r="S447" s="59"/>
    </row>
    <row r="448" spans="11:19" x14ac:dyDescent="0.2">
      <c r="K448" s="52"/>
      <c r="L448" s="51"/>
      <c r="M448" s="51"/>
      <c r="N448" s="51"/>
      <c r="O448" s="51"/>
      <c r="P448" s="51"/>
      <c r="Q448" s="51"/>
      <c r="R448" s="53"/>
      <c r="S448" s="59"/>
    </row>
    <row r="449" spans="11:19" x14ac:dyDescent="0.2">
      <c r="K449" s="52"/>
      <c r="L449" s="51"/>
      <c r="M449" s="51"/>
      <c r="N449" s="51"/>
      <c r="O449" s="51"/>
      <c r="P449" s="51"/>
      <c r="Q449" s="51"/>
      <c r="R449" s="53"/>
      <c r="S449" s="59"/>
    </row>
    <row r="450" spans="11:19" x14ac:dyDescent="0.2">
      <c r="K450" s="52"/>
      <c r="L450" s="51"/>
      <c r="M450" s="51"/>
      <c r="N450" s="51"/>
      <c r="O450" s="51"/>
      <c r="P450" s="51"/>
      <c r="Q450" s="51"/>
      <c r="R450" s="53"/>
      <c r="S450" s="59"/>
    </row>
    <row r="451" spans="11:19" x14ac:dyDescent="0.2">
      <c r="K451" s="52"/>
      <c r="L451" s="51"/>
      <c r="M451" s="51"/>
      <c r="N451" s="51"/>
      <c r="O451" s="51"/>
      <c r="P451" s="51"/>
      <c r="Q451" s="51"/>
      <c r="R451" s="53"/>
      <c r="S451" s="59"/>
    </row>
    <row r="452" spans="11:19" x14ac:dyDescent="0.2">
      <c r="K452" s="52"/>
      <c r="L452" s="51"/>
      <c r="M452" s="51"/>
      <c r="N452" s="51"/>
      <c r="O452" s="51"/>
      <c r="P452" s="51"/>
      <c r="Q452" s="51"/>
      <c r="R452" s="53"/>
      <c r="S452" s="59"/>
    </row>
    <row r="453" spans="11:19" x14ac:dyDescent="0.2">
      <c r="K453" s="52"/>
      <c r="L453" s="51"/>
      <c r="M453" s="51"/>
      <c r="N453" s="51"/>
      <c r="O453" s="51"/>
      <c r="P453" s="51"/>
      <c r="Q453" s="51"/>
      <c r="R453" s="53"/>
      <c r="S453" s="59"/>
    </row>
    <row r="454" spans="11:19" x14ac:dyDescent="0.2">
      <c r="K454" s="52"/>
      <c r="L454" s="51"/>
      <c r="M454" s="51"/>
      <c r="N454" s="51"/>
      <c r="O454" s="51"/>
      <c r="P454" s="51"/>
      <c r="Q454" s="51"/>
      <c r="R454" s="53"/>
      <c r="S454" s="59"/>
    </row>
    <row r="455" spans="11:19" x14ac:dyDescent="0.2">
      <c r="K455" s="52"/>
      <c r="L455" s="51"/>
      <c r="M455" s="51"/>
      <c r="N455" s="51"/>
      <c r="O455" s="51"/>
      <c r="P455" s="51"/>
      <c r="Q455" s="51"/>
      <c r="R455" s="53"/>
      <c r="S455" s="59"/>
    </row>
    <row r="456" spans="11:19" x14ac:dyDescent="0.2">
      <c r="K456" s="52"/>
      <c r="L456" s="51"/>
      <c r="M456" s="51"/>
      <c r="N456" s="51"/>
      <c r="O456" s="51"/>
      <c r="P456" s="51"/>
      <c r="Q456" s="51"/>
      <c r="R456" s="53"/>
      <c r="S456" s="59"/>
    </row>
    <row r="457" spans="11:19" x14ac:dyDescent="0.2">
      <c r="K457" s="52"/>
      <c r="L457" s="51"/>
      <c r="M457" s="51"/>
      <c r="N457" s="51"/>
      <c r="O457" s="51"/>
      <c r="P457" s="51"/>
      <c r="Q457" s="51"/>
      <c r="R457" s="53"/>
      <c r="S457" s="59"/>
    </row>
    <row r="458" spans="11:19" x14ac:dyDescent="0.2">
      <c r="K458" s="52"/>
      <c r="L458" s="51"/>
      <c r="M458" s="51"/>
      <c r="N458" s="51"/>
      <c r="O458" s="51"/>
      <c r="P458" s="51"/>
      <c r="Q458" s="51"/>
      <c r="R458" s="53"/>
      <c r="S458" s="59"/>
    </row>
    <row r="459" spans="11:19" x14ac:dyDescent="0.2">
      <c r="K459" s="52"/>
      <c r="L459" s="51"/>
      <c r="M459" s="51"/>
      <c r="N459" s="51"/>
      <c r="O459" s="51"/>
      <c r="P459" s="51"/>
      <c r="Q459" s="51"/>
      <c r="R459" s="53"/>
      <c r="S459" s="59"/>
    </row>
    <row r="460" spans="11:19" x14ac:dyDescent="0.2">
      <c r="K460" s="52"/>
      <c r="L460" s="51"/>
      <c r="M460" s="51"/>
      <c r="N460" s="51"/>
      <c r="O460" s="51"/>
      <c r="P460" s="51"/>
      <c r="Q460" s="51"/>
      <c r="R460" s="53"/>
      <c r="S460" s="59"/>
    </row>
    <row r="461" spans="11:19" x14ac:dyDescent="0.2">
      <c r="K461" s="52"/>
      <c r="L461" s="51"/>
      <c r="M461" s="51"/>
      <c r="N461" s="51"/>
      <c r="O461" s="51"/>
      <c r="P461" s="51"/>
      <c r="Q461" s="51"/>
      <c r="R461" s="53"/>
      <c r="S461" s="59"/>
    </row>
    <row r="462" spans="11:19" x14ac:dyDescent="0.2">
      <c r="K462" s="52"/>
      <c r="L462" s="51"/>
      <c r="M462" s="51"/>
      <c r="N462" s="51"/>
      <c r="O462" s="51"/>
      <c r="P462" s="51"/>
      <c r="Q462" s="51"/>
      <c r="R462" s="53"/>
      <c r="S462" s="59"/>
    </row>
    <row r="463" spans="11:19" x14ac:dyDescent="0.2">
      <c r="K463" s="52"/>
      <c r="L463" s="51"/>
      <c r="M463" s="51"/>
      <c r="N463" s="51"/>
      <c r="O463" s="51"/>
      <c r="P463" s="51"/>
      <c r="Q463" s="51"/>
      <c r="R463" s="53"/>
      <c r="S463" s="59"/>
    </row>
    <row r="464" spans="11:19" x14ac:dyDescent="0.2">
      <c r="K464" s="52"/>
      <c r="L464" s="51"/>
      <c r="M464" s="51"/>
      <c r="N464" s="51"/>
      <c r="O464" s="51"/>
      <c r="P464" s="51"/>
      <c r="Q464" s="51"/>
      <c r="R464" s="53"/>
      <c r="S464" s="59"/>
    </row>
    <row r="465" spans="11:19" x14ac:dyDescent="0.2">
      <c r="K465" s="52"/>
      <c r="L465" s="51"/>
      <c r="M465" s="51"/>
      <c r="N465" s="51"/>
      <c r="O465" s="51"/>
      <c r="P465" s="51"/>
      <c r="Q465" s="51"/>
      <c r="R465" s="53"/>
      <c r="S465" s="59"/>
    </row>
    <row r="466" spans="11:19" x14ac:dyDescent="0.2">
      <c r="K466" s="52"/>
      <c r="L466" s="51"/>
      <c r="M466" s="51"/>
      <c r="N466" s="51"/>
      <c r="O466" s="51"/>
      <c r="P466" s="51"/>
      <c r="Q466" s="51"/>
      <c r="R466" s="53"/>
      <c r="S466" s="59"/>
    </row>
    <row r="467" spans="11:19" x14ac:dyDescent="0.2">
      <c r="K467" s="52"/>
      <c r="L467" s="51"/>
      <c r="M467" s="51"/>
      <c r="N467" s="51"/>
      <c r="O467" s="51"/>
      <c r="P467" s="51"/>
      <c r="Q467" s="51"/>
      <c r="R467" s="53"/>
      <c r="S467" s="59"/>
    </row>
    <row r="468" spans="11:19" x14ac:dyDescent="0.2">
      <c r="K468" s="52"/>
      <c r="L468" s="51"/>
      <c r="M468" s="51"/>
      <c r="N468" s="51"/>
      <c r="O468" s="51"/>
      <c r="P468" s="51"/>
      <c r="Q468" s="51"/>
      <c r="R468" s="53"/>
      <c r="S468" s="59"/>
    </row>
    <row r="469" spans="11:19" x14ac:dyDescent="0.2">
      <c r="K469" s="52"/>
      <c r="L469" s="51"/>
      <c r="M469" s="51"/>
      <c r="N469" s="51"/>
      <c r="O469" s="51"/>
      <c r="P469" s="51"/>
      <c r="Q469" s="51"/>
      <c r="R469" s="53"/>
      <c r="S469" s="59"/>
    </row>
    <row r="470" spans="11:19" x14ac:dyDescent="0.2">
      <c r="K470" s="52"/>
      <c r="L470" s="51"/>
      <c r="M470" s="51"/>
      <c r="N470" s="51"/>
      <c r="O470" s="51"/>
      <c r="P470" s="51"/>
      <c r="Q470" s="51"/>
      <c r="R470" s="53"/>
      <c r="S470" s="59"/>
    </row>
    <row r="471" spans="11:19" x14ac:dyDescent="0.2">
      <c r="K471" s="52"/>
      <c r="L471" s="51"/>
      <c r="M471" s="51"/>
      <c r="N471" s="51"/>
      <c r="O471" s="51"/>
      <c r="P471" s="51"/>
      <c r="Q471" s="51"/>
      <c r="R471" s="53"/>
      <c r="S471" s="59"/>
    </row>
    <row r="472" spans="11:19" x14ac:dyDescent="0.2">
      <c r="K472" s="52"/>
      <c r="L472" s="51"/>
      <c r="M472" s="51"/>
      <c r="N472" s="51"/>
      <c r="O472" s="51"/>
      <c r="P472" s="51"/>
      <c r="Q472" s="51"/>
      <c r="R472" s="53"/>
      <c r="S472" s="59"/>
    </row>
    <row r="473" spans="11:19" x14ac:dyDescent="0.2">
      <c r="K473" s="52"/>
      <c r="L473" s="51"/>
      <c r="M473" s="51"/>
      <c r="N473" s="51"/>
      <c r="O473" s="51"/>
      <c r="P473" s="51"/>
      <c r="Q473" s="51"/>
      <c r="R473" s="53"/>
      <c r="S473" s="59"/>
    </row>
    <row r="474" spans="11:19" x14ac:dyDescent="0.2">
      <c r="K474" s="52"/>
      <c r="L474" s="51"/>
      <c r="M474" s="51"/>
      <c r="N474" s="51"/>
      <c r="O474" s="51"/>
      <c r="P474" s="51"/>
      <c r="Q474" s="51"/>
      <c r="R474" s="53"/>
      <c r="S474" s="59"/>
    </row>
    <row r="475" spans="11:19" x14ac:dyDescent="0.2">
      <c r="K475" s="52"/>
      <c r="L475" s="51"/>
      <c r="M475" s="51"/>
      <c r="N475" s="51"/>
      <c r="O475" s="51"/>
      <c r="P475" s="51"/>
      <c r="Q475" s="51"/>
      <c r="R475" s="53"/>
      <c r="S475" s="59"/>
    </row>
    <row r="476" spans="11:19" x14ac:dyDescent="0.2">
      <c r="K476" s="52"/>
      <c r="L476" s="51"/>
      <c r="M476" s="51"/>
      <c r="N476" s="51"/>
      <c r="O476" s="51"/>
      <c r="P476" s="51"/>
      <c r="Q476" s="51"/>
      <c r="R476" s="53"/>
      <c r="S476" s="59"/>
    </row>
    <row r="477" spans="11:19" x14ac:dyDescent="0.2">
      <c r="K477" s="52"/>
      <c r="L477" s="51"/>
      <c r="M477" s="51"/>
      <c r="N477" s="51"/>
      <c r="O477" s="51"/>
      <c r="P477" s="51"/>
      <c r="Q477" s="51"/>
      <c r="R477" s="53"/>
      <c r="S477" s="59"/>
    </row>
    <row r="478" spans="11:19" x14ac:dyDescent="0.2">
      <c r="K478" s="52"/>
      <c r="L478" s="51"/>
      <c r="M478" s="51"/>
      <c r="N478" s="51"/>
      <c r="O478" s="51"/>
      <c r="P478" s="51"/>
      <c r="Q478" s="51"/>
      <c r="R478" s="53"/>
      <c r="S478" s="59"/>
    </row>
    <row r="479" spans="11:19" x14ac:dyDescent="0.2">
      <c r="K479" s="52"/>
      <c r="L479" s="51"/>
      <c r="M479" s="51"/>
      <c r="N479" s="51"/>
      <c r="O479" s="51"/>
      <c r="P479" s="51"/>
      <c r="Q479" s="51"/>
      <c r="R479" s="53"/>
      <c r="S479" s="59"/>
    </row>
    <row r="480" spans="11:19" x14ac:dyDescent="0.2">
      <c r="K480" s="52"/>
      <c r="L480" s="51"/>
      <c r="M480" s="51"/>
      <c r="N480" s="51"/>
      <c r="O480" s="51"/>
      <c r="P480" s="51"/>
      <c r="Q480" s="51"/>
      <c r="R480" s="53"/>
      <c r="S480" s="59"/>
    </row>
    <row r="481" spans="11:19" x14ac:dyDescent="0.2">
      <c r="K481" s="52"/>
      <c r="L481" s="51"/>
      <c r="M481" s="51"/>
      <c r="N481" s="51"/>
      <c r="O481" s="51"/>
      <c r="P481" s="51"/>
      <c r="Q481" s="51"/>
      <c r="R481" s="53"/>
      <c r="S481" s="59"/>
    </row>
    <row r="482" spans="11:19" x14ac:dyDescent="0.2">
      <c r="K482" s="52"/>
      <c r="L482" s="51"/>
      <c r="M482" s="51"/>
      <c r="N482" s="51"/>
      <c r="O482" s="51"/>
      <c r="P482" s="51"/>
      <c r="Q482" s="51"/>
      <c r="R482" s="53"/>
      <c r="S482" s="59"/>
    </row>
    <row r="483" spans="11:19" x14ac:dyDescent="0.2">
      <c r="K483" s="52"/>
      <c r="L483" s="51"/>
      <c r="M483" s="51"/>
      <c r="N483" s="51"/>
      <c r="O483" s="51"/>
      <c r="P483" s="51"/>
      <c r="Q483" s="51"/>
      <c r="R483" s="53"/>
      <c r="S483" s="59"/>
    </row>
    <row r="484" spans="11:19" x14ac:dyDescent="0.2">
      <c r="K484" s="52"/>
      <c r="L484" s="51"/>
      <c r="M484" s="51"/>
      <c r="N484" s="51"/>
      <c r="O484" s="51"/>
      <c r="P484" s="51"/>
      <c r="Q484" s="51"/>
      <c r="R484" s="53"/>
      <c r="S484" s="59"/>
    </row>
    <row r="485" spans="11:19" x14ac:dyDescent="0.2">
      <c r="K485" s="52"/>
      <c r="L485" s="51"/>
      <c r="M485" s="51"/>
      <c r="N485" s="51"/>
      <c r="O485" s="51"/>
      <c r="P485" s="51"/>
      <c r="Q485" s="51"/>
      <c r="R485" s="53"/>
      <c r="S485" s="59"/>
    </row>
    <row r="486" spans="11:19" x14ac:dyDescent="0.2">
      <c r="K486" s="52"/>
      <c r="L486" s="51"/>
      <c r="M486" s="51"/>
      <c r="N486" s="51"/>
      <c r="O486" s="51"/>
      <c r="P486" s="51"/>
      <c r="Q486" s="51"/>
      <c r="R486" s="53"/>
      <c r="S486" s="59"/>
    </row>
    <row r="487" spans="11:19" x14ac:dyDescent="0.2">
      <c r="K487" s="52"/>
      <c r="L487" s="51"/>
      <c r="M487" s="51"/>
      <c r="N487" s="51"/>
      <c r="O487" s="51"/>
      <c r="P487" s="51"/>
      <c r="Q487" s="51"/>
      <c r="R487" s="53"/>
      <c r="S487" s="59"/>
    </row>
    <row r="488" spans="11:19" x14ac:dyDescent="0.2">
      <c r="K488" s="52"/>
      <c r="L488" s="51"/>
      <c r="M488" s="51"/>
      <c r="N488" s="51"/>
      <c r="O488" s="51"/>
      <c r="P488" s="51"/>
      <c r="Q488" s="51"/>
      <c r="R488" s="53"/>
      <c r="S488" s="59"/>
    </row>
    <row r="489" spans="11:19" x14ac:dyDescent="0.2">
      <c r="K489" s="52"/>
      <c r="L489" s="51"/>
      <c r="M489" s="51"/>
      <c r="N489" s="51"/>
      <c r="O489" s="51"/>
      <c r="P489" s="51"/>
      <c r="Q489" s="51"/>
      <c r="R489" s="53"/>
      <c r="S489" s="59"/>
    </row>
    <row r="490" spans="11:19" x14ac:dyDescent="0.2">
      <c r="K490" s="52"/>
      <c r="L490" s="51"/>
      <c r="M490" s="51"/>
      <c r="N490" s="51"/>
      <c r="O490" s="51"/>
      <c r="P490" s="51"/>
      <c r="Q490" s="51"/>
      <c r="R490" s="53"/>
      <c r="S490" s="59"/>
    </row>
    <row r="491" spans="11:19" x14ac:dyDescent="0.2">
      <c r="K491" s="52"/>
      <c r="L491" s="51"/>
      <c r="M491" s="51"/>
      <c r="N491" s="51"/>
      <c r="O491" s="51"/>
      <c r="P491" s="51"/>
      <c r="Q491" s="51"/>
      <c r="R491" s="53"/>
      <c r="S491" s="59"/>
    </row>
    <row r="492" spans="11:19" x14ac:dyDescent="0.2">
      <c r="K492" s="52"/>
      <c r="L492" s="51"/>
      <c r="M492" s="51"/>
      <c r="N492" s="51"/>
      <c r="O492" s="51"/>
      <c r="P492" s="51"/>
      <c r="Q492" s="51"/>
      <c r="R492" s="53"/>
      <c r="S492" s="59"/>
    </row>
    <row r="493" spans="11:19" x14ac:dyDescent="0.2">
      <c r="K493" s="52"/>
      <c r="L493" s="51"/>
      <c r="M493" s="51"/>
      <c r="N493" s="51"/>
      <c r="O493" s="51"/>
      <c r="P493" s="51"/>
      <c r="Q493" s="51"/>
      <c r="R493" s="53"/>
      <c r="S493" s="59"/>
    </row>
    <row r="494" spans="11:19" x14ac:dyDescent="0.2">
      <c r="K494" s="52"/>
      <c r="L494" s="51"/>
      <c r="M494" s="51"/>
      <c r="N494" s="51"/>
      <c r="O494" s="51"/>
      <c r="P494" s="51"/>
      <c r="Q494" s="51"/>
      <c r="R494" s="53"/>
      <c r="S494" s="59"/>
    </row>
    <row r="495" spans="11:19" x14ac:dyDescent="0.2">
      <c r="K495" s="52"/>
      <c r="L495" s="51"/>
      <c r="M495" s="51"/>
      <c r="N495" s="51"/>
      <c r="O495" s="51"/>
      <c r="P495" s="51"/>
      <c r="Q495" s="51"/>
      <c r="R495" s="53"/>
      <c r="S495" s="59"/>
    </row>
    <row r="496" spans="11:19" x14ac:dyDescent="0.2">
      <c r="K496" s="52"/>
      <c r="L496" s="51"/>
      <c r="M496" s="51"/>
      <c r="N496" s="51"/>
      <c r="O496" s="51"/>
      <c r="P496" s="51"/>
      <c r="Q496" s="51"/>
      <c r="R496" s="53"/>
      <c r="S496" s="59"/>
    </row>
    <row r="497" spans="11:19" x14ac:dyDescent="0.2">
      <c r="K497" s="52"/>
      <c r="L497" s="51"/>
      <c r="M497" s="51"/>
      <c r="N497" s="51"/>
      <c r="O497" s="51"/>
      <c r="P497" s="51"/>
      <c r="Q497" s="51"/>
      <c r="R497" s="53"/>
      <c r="S497" s="59"/>
    </row>
    <row r="498" spans="11:19" x14ac:dyDescent="0.2">
      <c r="K498" s="52"/>
      <c r="L498" s="51"/>
      <c r="M498" s="51"/>
      <c r="N498" s="51"/>
      <c r="O498" s="51"/>
      <c r="P498" s="51"/>
      <c r="Q498" s="51"/>
      <c r="R498" s="53"/>
      <c r="S498" s="59"/>
    </row>
    <row r="499" spans="11:19" x14ac:dyDescent="0.2">
      <c r="K499" s="52"/>
      <c r="L499" s="51"/>
      <c r="M499" s="51"/>
      <c r="N499" s="51"/>
      <c r="O499" s="51"/>
      <c r="P499" s="51"/>
      <c r="Q499" s="51"/>
      <c r="R499" s="53"/>
      <c r="S499" s="59"/>
    </row>
    <row r="500" spans="11:19" x14ac:dyDescent="0.2">
      <c r="K500" s="52"/>
      <c r="L500" s="51"/>
      <c r="M500" s="51"/>
      <c r="N500" s="51"/>
      <c r="O500" s="51"/>
      <c r="P500" s="51"/>
      <c r="Q500" s="51"/>
      <c r="R500" s="53"/>
      <c r="S500" s="59"/>
    </row>
    <row r="501" spans="11:19" x14ac:dyDescent="0.2">
      <c r="K501" s="52"/>
      <c r="L501" s="51"/>
      <c r="M501" s="51"/>
      <c r="N501" s="51"/>
      <c r="O501" s="51"/>
      <c r="P501" s="51"/>
      <c r="Q501" s="51"/>
      <c r="R501" s="53"/>
      <c r="S501" s="59"/>
    </row>
    <row r="502" spans="11:19" x14ac:dyDescent="0.2">
      <c r="K502" s="52"/>
      <c r="L502" s="51"/>
      <c r="M502" s="51"/>
      <c r="N502" s="51"/>
      <c r="O502" s="51"/>
      <c r="P502" s="51"/>
      <c r="Q502" s="51"/>
      <c r="R502" s="53"/>
      <c r="S502" s="59"/>
    </row>
    <row r="503" spans="11:19" x14ac:dyDescent="0.2">
      <c r="K503" s="52"/>
      <c r="L503" s="51"/>
      <c r="M503" s="51"/>
      <c r="N503" s="51"/>
      <c r="O503" s="51"/>
      <c r="P503" s="51"/>
      <c r="Q503" s="51"/>
      <c r="R503" s="53"/>
      <c r="S503" s="59"/>
    </row>
    <row r="504" spans="11:19" x14ac:dyDescent="0.2">
      <c r="K504" s="52"/>
      <c r="L504" s="51"/>
      <c r="M504" s="51"/>
      <c r="N504" s="51"/>
      <c r="O504" s="51"/>
      <c r="P504" s="51"/>
      <c r="Q504" s="51"/>
      <c r="R504" s="53"/>
      <c r="S504" s="59"/>
    </row>
    <row r="505" spans="11:19" x14ac:dyDescent="0.2">
      <c r="K505" s="52"/>
      <c r="L505" s="51"/>
      <c r="M505" s="51"/>
      <c r="N505" s="51"/>
      <c r="O505" s="51"/>
      <c r="P505" s="51"/>
      <c r="Q505" s="51"/>
      <c r="R505" s="53"/>
      <c r="S505" s="59"/>
    </row>
    <row r="506" spans="11:19" x14ac:dyDescent="0.2">
      <c r="K506" s="52"/>
      <c r="L506" s="51"/>
      <c r="M506" s="51"/>
      <c r="N506" s="51"/>
      <c r="O506" s="51"/>
      <c r="P506" s="51"/>
      <c r="Q506" s="51"/>
      <c r="R506" s="53"/>
      <c r="S506" s="59"/>
    </row>
    <row r="507" spans="11:19" x14ac:dyDescent="0.2">
      <c r="K507" s="52"/>
      <c r="L507" s="51"/>
      <c r="M507" s="51"/>
      <c r="N507" s="51"/>
      <c r="O507" s="51"/>
      <c r="P507" s="51"/>
      <c r="Q507" s="51"/>
      <c r="R507" s="53"/>
      <c r="S507" s="59"/>
    </row>
    <row r="508" spans="11:19" x14ac:dyDescent="0.2">
      <c r="K508" s="52"/>
      <c r="L508" s="51"/>
      <c r="M508" s="51"/>
      <c r="N508" s="51"/>
      <c r="O508" s="51"/>
      <c r="P508" s="51"/>
      <c r="Q508" s="51"/>
      <c r="R508" s="53"/>
      <c r="S508" s="59"/>
    </row>
    <row r="509" spans="11:19" x14ac:dyDescent="0.2">
      <c r="K509" s="52"/>
      <c r="L509" s="51"/>
      <c r="M509" s="51"/>
      <c r="N509" s="51"/>
      <c r="O509" s="51"/>
      <c r="P509" s="51"/>
      <c r="Q509" s="51"/>
      <c r="R509" s="53"/>
      <c r="S509" s="59"/>
    </row>
    <row r="510" spans="11:19" x14ac:dyDescent="0.2">
      <c r="K510" s="52"/>
      <c r="L510" s="51"/>
      <c r="M510" s="51"/>
      <c r="N510" s="51"/>
      <c r="O510" s="51"/>
      <c r="P510" s="51"/>
      <c r="Q510" s="51"/>
      <c r="R510" s="53"/>
      <c r="S510" s="59"/>
    </row>
    <row r="511" spans="11:19" x14ac:dyDescent="0.2">
      <c r="K511" s="52"/>
      <c r="L511" s="51"/>
      <c r="M511" s="51"/>
      <c r="N511" s="51"/>
      <c r="O511" s="51"/>
      <c r="P511" s="51"/>
      <c r="Q511" s="51"/>
      <c r="R511" s="53"/>
      <c r="S511" s="59"/>
    </row>
    <row r="512" spans="11:19" x14ac:dyDescent="0.2">
      <c r="K512" s="52"/>
      <c r="L512" s="51"/>
      <c r="M512" s="51"/>
      <c r="N512" s="51"/>
      <c r="O512" s="51"/>
      <c r="P512" s="51"/>
      <c r="Q512" s="51"/>
      <c r="R512" s="53"/>
      <c r="S512" s="59"/>
    </row>
    <row r="513" spans="11:19" x14ac:dyDescent="0.2">
      <c r="K513" s="52"/>
      <c r="L513" s="51"/>
      <c r="M513" s="51"/>
      <c r="N513" s="51"/>
      <c r="O513" s="51"/>
      <c r="P513" s="51"/>
      <c r="Q513" s="51"/>
      <c r="R513" s="53"/>
      <c r="S513" s="59"/>
    </row>
    <row r="514" spans="11:19" x14ac:dyDescent="0.2">
      <c r="K514" s="52"/>
      <c r="L514" s="51"/>
      <c r="M514" s="51"/>
      <c r="N514" s="51"/>
      <c r="O514" s="51"/>
      <c r="P514" s="51"/>
      <c r="Q514" s="51"/>
      <c r="R514" s="53"/>
      <c r="S514" s="59"/>
    </row>
    <row r="515" spans="11:19" x14ac:dyDescent="0.2">
      <c r="K515" s="52"/>
      <c r="L515" s="51"/>
      <c r="M515" s="51"/>
      <c r="N515" s="51"/>
      <c r="O515" s="51"/>
      <c r="P515" s="51"/>
      <c r="Q515" s="51"/>
      <c r="R515" s="53"/>
      <c r="S515" s="59"/>
    </row>
    <row r="516" spans="11:19" x14ac:dyDescent="0.2">
      <c r="K516" s="52"/>
      <c r="L516" s="51"/>
      <c r="M516" s="51"/>
      <c r="N516" s="51"/>
      <c r="O516" s="51"/>
      <c r="P516" s="51"/>
      <c r="Q516" s="51"/>
      <c r="R516" s="53"/>
      <c r="S516" s="59"/>
    </row>
    <row r="517" spans="11:19" x14ac:dyDescent="0.2">
      <c r="K517" s="52"/>
      <c r="L517" s="51"/>
      <c r="M517" s="51"/>
      <c r="N517" s="51"/>
      <c r="O517" s="51"/>
      <c r="P517" s="51"/>
      <c r="Q517" s="51"/>
      <c r="R517" s="53"/>
      <c r="S517" s="59"/>
    </row>
    <row r="518" spans="11:19" x14ac:dyDescent="0.2">
      <c r="K518" s="52"/>
      <c r="L518" s="51"/>
      <c r="M518" s="51"/>
      <c r="N518" s="51"/>
      <c r="O518" s="51"/>
      <c r="P518" s="51"/>
      <c r="Q518" s="51"/>
      <c r="R518" s="53"/>
      <c r="S518" s="59"/>
    </row>
    <row r="519" spans="11:19" x14ac:dyDescent="0.2">
      <c r="K519" s="52"/>
      <c r="L519" s="51"/>
      <c r="M519" s="51"/>
      <c r="N519" s="51"/>
      <c r="O519" s="51"/>
      <c r="P519" s="51"/>
      <c r="Q519" s="51"/>
      <c r="R519" s="53"/>
      <c r="S519" s="59"/>
    </row>
    <row r="520" spans="11:19" x14ac:dyDescent="0.2">
      <c r="K520" s="52"/>
      <c r="L520" s="51"/>
      <c r="M520" s="51"/>
      <c r="N520" s="51"/>
      <c r="O520" s="51"/>
      <c r="P520" s="51"/>
      <c r="Q520" s="51"/>
      <c r="R520" s="53"/>
      <c r="S520" s="59"/>
    </row>
    <row r="521" spans="11:19" x14ac:dyDescent="0.2">
      <c r="K521" s="52"/>
      <c r="L521" s="51"/>
      <c r="M521" s="51"/>
      <c r="N521" s="51"/>
      <c r="O521" s="51"/>
      <c r="P521" s="51"/>
      <c r="Q521" s="51"/>
      <c r="R521" s="53"/>
      <c r="S521" s="59"/>
    </row>
    <row r="522" spans="11:19" x14ac:dyDescent="0.2">
      <c r="K522" s="52"/>
      <c r="L522" s="51"/>
      <c r="M522" s="51"/>
      <c r="N522" s="51"/>
      <c r="O522" s="51"/>
      <c r="P522" s="51"/>
      <c r="Q522" s="51"/>
      <c r="R522" s="53"/>
      <c r="S522" s="59"/>
    </row>
    <row r="523" spans="11:19" x14ac:dyDescent="0.2">
      <c r="K523" s="52"/>
      <c r="L523" s="51"/>
      <c r="M523" s="51"/>
      <c r="N523" s="51"/>
      <c r="O523" s="51"/>
      <c r="P523" s="51"/>
      <c r="Q523" s="51"/>
      <c r="R523" s="53"/>
      <c r="S523" s="59"/>
    </row>
    <row r="524" spans="11:19" x14ac:dyDescent="0.2">
      <c r="K524" s="52"/>
      <c r="L524" s="51"/>
      <c r="M524" s="51"/>
      <c r="N524" s="51"/>
      <c r="O524" s="51"/>
      <c r="P524" s="51"/>
      <c r="Q524" s="51"/>
      <c r="R524" s="53"/>
      <c r="S524" s="59"/>
    </row>
    <row r="525" spans="11:19" x14ac:dyDescent="0.2">
      <c r="K525" s="52"/>
      <c r="L525" s="51"/>
      <c r="M525" s="51"/>
      <c r="N525" s="51"/>
      <c r="O525" s="51"/>
      <c r="P525" s="51"/>
      <c r="Q525" s="51"/>
      <c r="R525" s="53"/>
      <c r="S525" s="59"/>
    </row>
    <row r="526" spans="11:19" x14ac:dyDescent="0.2">
      <c r="K526" s="52"/>
      <c r="L526" s="51"/>
      <c r="M526" s="51"/>
      <c r="N526" s="51"/>
      <c r="O526" s="51"/>
      <c r="P526" s="51"/>
      <c r="Q526" s="51"/>
      <c r="R526" s="53"/>
      <c r="S526" s="59"/>
    </row>
    <row r="527" spans="11:19" x14ac:dyDescent="0.2">
      <c r="K527" s="52"/>
      <c r="L527" s="51"/>
      <c r="M527" s="51"/>
      <c r="N527" s="51"/>
      <c r="O527" s="51"/>
      <c r="P527" s="51"/>
      <c r="Q527" s="51"/>
      <c r="R527" s="53"/>
      <c r="S527" s="59"/>
    </row>
    <row r="528" spans="11:19" x14ac:dyDescent="0.2">
      <c r="K528" s="52"/>
      <c r="L528" s="51"/>
      <c r="M528" s="51"/>
      <c r="N528" s="51"/>
      <c r="O528" s="51"/>
      <c r="P528" s="51"/>
      <c r="Q528" s="51"/>
      <c r="R528" s="53"/>
      <c r="S528" s="59"/>
    </row>
    <row r="529" spans="11:19" x14ac:dyDescent="0.2">
      <c r="K529" s="52"/>
      <c r="L529" s="51"/>
      <c r="M529" s="51"/>
      <c r="N529" s="51"/>
      <c r="O529" s="51"/>
      <c r="P529" s="51"/>
      <c r="Q529" s="51"/>
      <c r="R529" s="53"/>
      <c r="S529" s="59"/>
    </row>
    <row r="530" spans="11:19" x14ac:dyDescent="0.2">
      <c r="K530" s="52"/>
      <c r="L530" s="51"/>
      <c r="M530" s="51"/>
      <c r="N530" s="51"/>
      <c r="O530" s="51"/>
      <c r="P530" s="51"/>
      <c r="Q530" s="51"/>
      <c r="R530" s="53"/>
      <c r="S530" s="59"/>
    </row>
    <row r="531" spans="11:19" x14ac:dyDescent="0.2">
      <c r="K531" s="52"/>
      <c r="L531" s="51"/>
      <c r="M531" s="51"/>
      <c r="N531" s="51"/>
      <c r="O531" s="51"/>
      <c r="P531" s="51"/>
      <c r="Q531" s="51"/>
      <c r="R531" s="53"/>
      <c r="S531" s="59"/>
    </row>
    <row r="532" spans="11:19" x14ac:dyDescent="0.2">
      <c r="K532" s="52"/>
      <c r="L532" s="51"/>
      <c r="M532" s="51"/>
      <c r="N532" s="51"/>
      <c r="O532" s="51"/>
      <c r="P532" s="51"/>
      <c r="Q532" s="51"/>
      <c r="R532" s="53"/>
      <c r="S532" s="59"/>
    </row>
    <row r="533" spans="11:19" x14ac:dyDescent="0.2">
      <c r="K533" s="52"/>
      <c r="L533" s="51"/>
      <c r="M533" s="51"/>
      <c r="N533" s="51"/>
      <c r="O533" s="51"/>
      <c r="P533" s="51"/>
      <c r="Q533" s="51"/>
      <c r="R533" s="53"/>
      <c r="S533" s="59"/>
    </row>
    <row r="534" spans="11:19" x14ac:dyDescent="0.2">
      <c r="K534" s="52"/>
      <c r="L534" s="51"/>
      <c r="M534" s="51"/>
      <c r="N534" s="51"/>
      <c r="O534" s="51"/>
      <c r="P534" s="51"/>
      <c r="Q534" s="51"/>
      <c r="R534" s="53"/>
      <c r="S534" s="59"/>
    </row>
    <row r="535" spans="11:19" x14ac:dyDescent="0.2">
      <c r="K535" s="52"/>
      <c r="L535" s="51"/>
      <c r="M535" s="51"/>
      <c r="N535" s="51"/>
      <c r="O535" s="51"/>
      <c r="P535" s="51"/>
      <c r="Q535" s="51"/>
      <c r="R535" s="53"/>
      <c r="S535" s="59"/>
    </row>
    <row r="536" spans="11:19" x14ac:dyDescent="0.2">
      <c r="K536" s="52"/>
      <c r="L536" s="51"/>
      <c r="M536" s="51"/>
      <c r="N536" s="51"/>
      <c r="O536" s="51"/>
      <c r="P536" s="51"/>
      <c r="Q536" s="51"/>
      <c r="R536" s="53"/>
      <c r="S536" s="59"/>
    </row>
    <row r="537" spans="11:19" x14ac:dyDescent="0.2">
      <c r="K537" s="52"/>
      <c r="L537" s="51"/>
      <c r="M537" s="51"/>
      <c r="N537" s="51"/>
      <c r="O537" s="51"/>
      <c r="P537" s="51"/>
      <c r="Q537" s="51"/>
      <c r="R537" s="53"/>
      <c r="S537" s="59"/>
    </row>
    <row r="538" spans="11:19" x14ac:dyDescent="0.2">
      <c r="K538" s="52"/>
      <c r="L538" s="51"/>
      <c r="M538" s="51"/>
      <c r="N538" s="51"/>
      <c r="O538" s="51"/>
      <c r="P538" s="51"/>
      <c r="Q538" s="51"/>
      <c r="R538" s="53"/>
      <c r="S538" s="59"/>
    </row>
    <row r="539" spans="11:19" x14ac:dyDescent="0.2">
      <c r="K539" s="52"/>
      <c r="L539" s="51"/>
      <c r="M539" s="51"/>
      <c r="N539" s="51"/>
      <c r="O539" s="51"/>
      <c r="P539" s="51"/>
      <c r="Q539" s="51"/>
      <c r="R539" s="53"/>
      <c r="S539" s="59"/>
    </row>
    <row r="540" spans="11:19" x14ac:dyDescent="0.2">
      <c r="K540" s="52"/>
      <c r="L540" s="51"/>
      <c r="M540" s="51"/>
      <c r="N540" s="51"/>
      <c r="O540" s="51"/>
      <c r="P540" s="51"/>
      <c r="Q540" s="51"/>
      <c r="R540" s="53"/>
      <c r="S540" s="59"/>
    </row>
    <row r="541" spans="11:19" x14ac:dyDescent="0.2">
      <c r="K541" s="52"/>
      <c r="L541" s="51"/>
      <c r="M541" s="51"/>
      <c r="N541" s="51"/>
      <c r="O541" s="51"/>
      <c r="P541" s="51"/>
      <c r="Q541" s="51"/>
      <c r="R541" s="53"/>
      <c r="S541" s="59"/>
    </row>
    <row r="542" spans="11:19" x14ac:dyDescent="0.2">
      <c r="K542" s="52"/>
      <c r="L542" s="51"/>
      <c r="M542" s="51"/>
      <c r="N542" s="51"/>
      <c r="O542" s="51"/>
      <c r="P542" s="51"/>
      <c r="Q542" s="51"/>
      <c r="R542" s="53"/>
      <c r="S542" s="59"/>
    </row>
    <row r="543" spans="11:19" x14ac:dyDescent="0.2">
      <c r="K543" s="52"/>
      <c r="L543" s="51"/>
      <c r="M543" s="51"/>
      <c r="N543" s="51"/>
      <c r="O543" s="51"/>
      <c r="P543" s="51"/>
      <c r="Q543" s="51"/>
      <c r="R543" s="53"/>
      <c r="S543" s="59"/>
    </row>
    <row r="544" spans="11:19" x14ac:dyDescent="0.2">
      <c r="K544" s="52"/>
      <c r="L544" s="51"/>
      <c r="M544" s="51"/>
      <c r="N544" s="51"/>
      <c r="O544" s="51"/>
      <c r="P544" s="51"/>
      <c r="Q544" s="51"/>
      <c r="R544" s="53"/>
      <c r="S544" s="59"/>
    </row>
    <row r="545" spans="11:19" x14ac:dyDescent="0.2">
      <c r="K545" s="52"/>
      <c r="L545" s="51"/>
      <c r="M545" s="51"/>
      <c r="N545" s="51"/>
      <c r="O545" s="51"/>
      <c r="P545" s="51"/>
      <c r="Q545" s="51"/>
      <c r="R545" s="53"/>
      <c r="S545" s="59"/>
    </row>
    <row r="546" spans="11:19" x14ac:dyDescent="0.2">
      <c r="K546" s="52"/>
      <c r="L546" s="51"/>
      <c r="M546" s="51"/>
      <c r="N546" s="51"/>
      <c r="O546" s="51"/>
      <c r="P546" s="51"/>
      <c r="Q546" s="51"/>
      <c r="R546" s="53"/>
      <c r="S546" s="59"/>
    </row>
    <row r="547" spans="11:19" x14ac:dyDescent="0.2">
      <c r="K547" s="52"/>
      <c r="L547" s="51"/>
      <c r="M547" s="51"/>
      <c r="N547" s="51"/>
      <c r="O547" s="51"/>
      <c r="P547" s="51"/>
      <c r="Q547" s="51"/>
      <c r="R547" s="53"/>
      <c r="S547" s="59"/>
    </row>
    <row r="548" spans="11:19" x14ac:dyDescent="0.2">
      <c r="K548" s="52"/>
      <c r="L548" s="51"/>
      <c r="M548" s="51"/>
      <c r="N548" s="51"/>
      <c r="O548" s="51"/>
      <c r="P548" s="51"/>
      <c r="Q548" s="51"/>
      <c r="R548" s="53"/>
      <c r="S548" s="59"/>
    </row>
    <row r="549" spans="11:19" x14ac:dyDescent="0.2">
      <c r="K549" s="52"/>
      <c r="L549" s="51"/>
      <c r="M549" s="51"/>
      <c r="N549" s="51"/>
      <c r="O549" s="51"/>
      <c r="P549" s="51"/>
      <c r="Q549" s="51"/>
      <c r="R549" s="53"/>
      <c r="S549" s="59"/>
    </row>
    <row r="550" spans="11:19" x14ac:dyDescent="0.2">
      <c r="K550" s="52"/>
      <c r="L550" s="51"/>
      <c r="M550" s="51"/>
      <c r="N550" s="51"/>
      <c r="O550" s="51"/>
      <c r="P550" s="51"/>
      <c r="Q550" s="51"/>
      <c r="R550" s="53"/>
      <c r="S550" s="59"/>
    </row>
    <row r="551" spans="11:19" x14ac:dyDescent="0.2">
      <c r="K551" s="52"/>
      <c r="L551" s="51"/>
      <c r="M551" s="51"/>
      <c r="N551" s="51"/>
      <c r="O551" s="51"/>
      <c r="P551" s="51"/>
      <c r="Q551" s="51"/>
      <c r="R551" s="53"/>
      <c r="S551" s="59"/>
    </row>
    <row r="552" spans="11:19" x14ac:dyDescent="0.2">
      <c r="K552" s="52"/>
      <c r="L552" s="51"/>
      <c r="M552" s="51"/>
      <c r="N552" s="51"/>
      <c r="O552" s="51"/>
      <c r="P552" s="51"/>
      <c r="Q552" s="51"/>
      <c r="R552" s="53"/>
      <c r="S552" s="59"/>
    </row>
    <row r="553" spans="11:19" x14ac:dyDescent="0.2">
      <c r="K553" s="52"/>
      <c r="L553" s="51"/>
      <c r="M553" s="51"/>
      <c r="N553" s="51"/>
      <c r="O553" s="51"/>
      <c r="P553" s="51"/>
      <c r="Q553" s="51"/>
      <c r="R553" s="53"/>
      <c r="S553" s="59"/>
    </row>
    <row r="554" spans="11:19" x14ac:dyDescent="0.2">
      <c r="K554" s="52"/>
      <c r="L554" s="51"/>
      <c r="M554" s="51"/>
      <c r="N554" s="51"/>
      <c r="O554" s="51"/>
      <c r="P554" s="51"/>
      <c r="Q554" s="51"/>
      <c r="R554" s="53"/>
      <c r="S554" s="59"/>
    </row>
    <row r="555" spans="11:19" x14ac:dyDescent="0.2">
      <c r="K555" s="52"/>
      <c r="L555" s="51"/>
      <c r="M555" s="51"/>
      <c r="N555" s="51"/>
      <c r="O555" s="51"/>
      <c r="P555" s="51"/>
      <c r="Q555" s="51"/>
      <c r="R555" s="53"/>
      <c r="S555" s="59"/>
    </row>
    <row r="556" spans="11:19" x14ac:dyDescent="0.2">
      <c r="K556" s="52"/>
      <c r="L556" s="51"/>
      <c r="M556" s="51"/>
      <c r="N556" s="51"/>
      <c r="O556" s="51"/>
      <c r="P556" s="51"/>
      <c r="Q556" s="51"/>
      <c r="R556" s="53"/>
      <c r="S556" s="59"/>
    </row>
    <row r="557" spans="11:19" x14ac:dyDescent="0.2">
      <c r="K557" s="52"/>
      <c r="L557" s="51"/>
      <c r="M557" s="51"/>
      <c r="N557" s="51"/>
      <c r="O557" s="51"/>
      <c r="P557" s="51"/>
      <c r="Q557" s="51"/>
      <c r="R557" s="53"/>
      <c r="S557" s="59"/>
    </row>
    <row r="558" spans="11:19" x14ac:dyDescent="0.2">
      <c r="K558" s="52"/>
      <c r="L558" s="51"/>
      <c r="M558" s="51"/>
      <c r="N558" s="51"/>
      <c r="O558" s="51"/>
      <c r="P558" s="51"/>
      <c r="Q558" s="51"/>
      <c r="R558" s="53"/>
      <c r="S558" s="59"/>
    </row>
    <row r="559" spans="11:19" x14ac:dyDescent="0.2">
      <c r="K559" s="52"/>
      <c r="L559" s="51"/>
      <c r="M559" s="51"/>
      <c r="N559" s="51"/>
      <c r="O559" s="51"/>
      <c r="P559" s="51"/>
      <c r="Q559" s="51"/>
      <c r="R559" s="53"/>
      <c r="S559" s="59"/>
    </row>
    <row r="560" spans="11:19" x14ac:dyDescent="0.2">
      <c r="K560" s="52"/>
      <c r="L560" s="51"/>
      <c r="M560" s="51"/>
      <c r="N560" s="51"/>
      <c r="O560" s="51"/>
      <c r="P560" s="51"/>
      <c r="Q560" s="51"/>
      <c r="R560" s="53"/>
      <c r="S560" s="59"/>
    </row>
    <row r="561" spans="11:19" x14ac:dyDescent="0.2">
      <c r="K561" s="52"/>
      <c r="L561" s="51"/>
      <c r="M561" s="51"/>
      <c r="N561" s="51"/>
      <c r="O561" s="51"/>
      <c r="P561" s="51"/>
      <c r="Q561" s="51"/>
      <c r="R561" s="53"/>
      <c r="S561" s="59"/>
    </row>
    <row r="562" spans="11:19" x14ac:dyDescent="0.2">
      <c r="K562" s="52"/>
      <c r="L562" s="51"/>
      <c r="M562" s="51"/>
      <c r="N562" s="51"/>
      <c r="O562" s="51"/>
      <c r="P562" s="51"/>
      <c r="Q562" s="51"/>
      <c r="R562" s="53"/>
      <c r="S562" s="59"/>
    </row>
    <row r="563" spans="11:19" x14ac:dyDescent="0.2">
      <c r="K563" s="52"/>
      <c r="L563" s="51"/>
      <c r="M563" s="51"/>
      <c r="N563" s="51"/>
      <c r="O563" s="51"/>
      <c r="P563" s="51"/>
      <c r="Q563" s="51"/>
      <c r="R563" s="53"/>
      <c r="S563" s="59"/>
    </row>
    <row r="564" spans="11:19" x14ac:dyDescent="0.2">
      <c r="K564" s="52"/>
      <c r="L564" s="51"/>
      <c r="M564" s="51"/>
      <c r="N564" s="51"/>
      <c r="O564" s="51"/>
      <c r="P564" s="51"/>
      <c r="Q564" s="51"/>
      <c r="R564" s="53"/>
      <c r="S564" s="59"/>
    </row>
    <row r="565" spans="11:19" x14ac:dyDescent="0.2">
      <c r="K565" s="52"/>
      <c r="L565" s="51"/>
      <c r="M565" s="51"/>
      <c r="N565" s="51"/>
      <c r="O565" s="51"/>
      <c r="P565" s="51"/>
      <c r="Q565" s="51"/>
      <c r="R565" s="53"/>
      <c r="S565" s="59"/>
    </row>
    <row r="566" spans="11:19" x14ac:dyDescent="0.2">
      <c r="K566" s="52"/>
      <c r="L566" s="51"/>
      <c r="M566" s="51"/>
      <c r="N566" s="51"/>
      <c r="O566" s="51"/>
      <c r="P566" s="51"/>
      <c r="Q566" s="51"/>
      <c r="R566" s="53"/>
      <c r="S566" s="59"/>
    </row>
    <row r="567" spans="11:19" x14ac:dyDescent="0.2">
      <c r="K567" s="52"/>
      <c r="L567" s="51"/>
      <c r="M567" s="51"/>
      <c r="N567" s="51"/>
      <c r="O567" s="51"/>
      <c r="P567" s="51"/>
      <c r="Q567" s="51"/>
      <c r="R567" s="53"/>
      <c r="S567" s="59"/>
    </row>
    <row r="568" spans="11:19" x14ac:dyDescent="0.2">
      <c r="K568" s="52"/>
      <c r="L568" s="51"/>
      <c r="M568" s="51"/>
      <c r="N568" s="51"/>
      <c r="O568" s="51"/>
      <c r="P568" s="51"/>
      <c r="Q568" s="51"/>
      <c r="R568" s="53"/>
      <c r="S568" s="59"/>
    </row>
    <row r="569" spans="11:19" x14ac:dyDescent="0.2">
      <c r="K569" s="52"/>
      <c r="L569" s="51"/>
      <c r="M569" s="51"/>
      <c r="N569" s="51"/>
      <c r="O569" s="51"/>
      <c r="P569" s="51"/>
      <c r="Q569" s="51"/>
      <c r="R569" s="53"/>
      <c r="S569" s="59"/>
    </row>
    <row r="570" spans="11:19" x14ac:dyDescent="0.2">
      <c r="K570" s="52"/>
      <c r="L570" s="51"/>
      <c r="M570" s="51"/>
      <c r="N570" s="51"/>
      <c r="O570" s="51"/>
      <c r="P570" s="51"/>
      <c r="Q570" s="51"/>
      <c r="R570" s="53"/>
      <c r="S570" s="59"/>
    </row>
    <row r="571" spans="11:19" x14ac:dyDescent="0.2">
      <c r="K571" s="52"/>
      <c r="L571" s="51"/>
      <c r="M571" s="51"/>
      <c r="N571" s="51"/>
      <c r="O571" s="51"/>
      <c r="P571" s="51"/>
      <c r="Q571" s="51"/>
      <c r="R571" s="53"/>
      <c r="S571" s="59"/>
    </row>
    <row r="572" spans="11:19" x14ac:dyDescent="0.2">
      <c r="K572" s="52"/>
      <c r="L572" s="51"/>
      <c r="M572" s="51"/>
      <c r="N572" s="51"/>
      <c r="O572" s="51"/>
      <c r="P572" s="51"/>
      <c r="Q572" s="51"/>
      <c r="R572" s="53"/>
      <c r="S572" s="59"/>
    </row>
    <row r="573" spans="11:19" x14ac:dyDescent="0.2">
      <c r="K573" s="52"/>
      <c r="L573" s="51"/>
      <c r="M573" s="51"/>
      <c r="N573" s="51"/>
      <c r="O573" s="51"/>
      <c r="P573" s="51"/>
      <c r="Q573" s="51"/>
      <c r="R573" s="53"/>
      <c r="S573" s="59"/>
    </row>
    <row r="574" spans="11:19" x14ac:dyDescent="0.2">
      <c r="K574" s="52"/>
      <c r="L574" s="51"/>
      <c r="M574" s="51"/>
      <c r="N574" s="51"/>
      <c r="O574" s="51"/>
      <c r="P574" s="51"/>
      <c r="Q574" s="51"/>
      <c r="R574" s="53"/>
      <c r="S574" s="59"/>
    </row>
    <row r="575" spans="11:19" x14ac:dyDescent="0.2">
      <c r="K575" s="52"/>
      <c r="L575" s="51"/>
      <c r="M575" s="51"/>
      <c r="N575" s="51"/>
      <c r="O575" s="51"/>
      <c r="P575" s="51"/>
      <c r="Q575" s="51"/>
      <c r="R575" s="53"/>
      <c r="S575" s="59"/>
    </row>
    <row r="576" spans="11:19" x14ac:dyDescent="0.2">
      <c r="K576" s="52"/>
      <c r="L576" s="51"/>
      <c r="M576" s="51"/>
      <c r="N576" s="51"/>
      <c r="O576" s="51"/>
      <c r="P576" s="51"/>
      <c r="Q576" s="51"/>
      <c r="R576" s="53"/>
      <c r="S576" s="59"/>
    </row>
    <row r="577" spans="11:19" x14ac:dyDescent="0.2">
      <c r="K577" s="52"/>
      <c r="L577" s="51"/>
      <c r="M577" s="51"/>
      <c r="N577" s="51"/>
      <c r="O577" s="51"/>
      <c r="P577" s="51"/>
      <c r="Q577" s="51"/>
      <c r="R577" s="53"/>
      <c r="S577" s="59"/>
    </row>
    <row r="578" spans="11:19" x14ac:dyDescent="0.2">
      <c r="K578" s="52"/>
      <c r="L578" s="51"/>
      <c r="M578" s="51"/>
      <c r="N578" s="51"/>
      <c r="O578" s="51"/>
      <c r="P578" s="51"/>
      <c r="Q578" s="51"/>
      <c r="R578" s="53"/>
      <c r="S578" s="59"/>
    </row>
    <row r="579" spans="11:19" x14ac:dyDescent="0.2">
      <c r="K579" s="52"/>
      <c r="L579" s="51"/>
      <c r="M579" s="51"/>
      <c r="N579" s="51"/>
      <c r="O579" s="51"/>
      <c r="P579" s="51"/>
      <c r="Q579" s="51"/>
      <c r="R579" s="53"/>
      <c r="S579" s="59"/>
    </row>
    <row r="580" spans="11:19" x14ac:dyDescent="0.2">
      <c r="K580" s="52"/>
      <c r="L580" s="51"/>
      <c r="M580" s="51"/>
      <c r="N580" s="51"/>
      <c r="O580" s="51"/>
      <c r="P580" s="51"/>
      <c r="Q580" s="51"/>
      <c r="R580" s="53"/>
      <c r="S580" s="59"/>
    </row>
    <row r="581" spans="11:19" x14ac:dyDescent="0.2">
      <c r="K581" s="52"/>
      <c r="L581" s="51"/>
      <c r="M581" s="51"/>
      <c r="N581" s="51"/>
      <c r="O581" s="51"/>
      <c r="P581" s="51"/>
      <c r="Q581" s="51"/>
      <c r="R581" s="53"/>
      <c r="S581" s="59"/>
    </row>
    <row r="582" spans="11:19" x14ac:dyDescent="0.2">
      <c r="K582" s="52"/>
      <c r="L582" s="51"/>
      <c r="M582" s="51"/>
      <c r="N582" s="51"/>
      <c r="O582" s="51"/>
      <c r="P582" s="51"/>
      <c r="Q582" s="51"/>
      <c r="R582" s="53"/>
      <c r="S582" s="59"/>
    </row>
    <row r="583" spans="11:19" x14ac:dyDescent="0.2">
      <c r="K583" s="52"/>
      <c r="L583" s="51"/>
      <c r="M583" s="51"/>
      <c r="N583" s="51"/>
      <c r="O583" s="51"/>
      <c r="P583" s="51"/>
      <c r="Q583" s="51"/>
      <c r="R583" s="53"/>
      <c r="S583" s="59"/>
    </row>
    <row r="584" spans="11:19" x14ac:dyDescent="0.2">
      <c r="K584" s="52"/>
      <c r="L584" s="51"/>
      <c r="M584" s="51"/>
      <c r="N584" s="51"/>
      <c r="O584" s="51"/>
      <c r="P584" s="51"/>
      <c r="Q584" s="51"/>
      <c r="R584" s="53"/>
      <c r="S584" s="59"/>
    </row>
    <row r="585" spans="11:19" x14ac:dyDescent="0.2">
      <c r="K585" s="52"/>
      <c r="L585" s="51"/>
      <c r="M585" s="51"/>
      <c r="N585" s="51"/>
      <c r="O585" s="51"/>
      <c r="P585" s="51"/>
      <c r="Q585" s="51"/>
      <c r="R585" s="53"/>
      <c r="S585" s="59"/>
    </row>
    <row r="586" spans="11:19" x14ac:dyDescent="0.2">
      <c r="K586" s="52"/>
      <c r="L586" s="51"/>
      <c r="M586" s="51"/>
      <c r="N586" s="51"/>
      <c r="O586" s="51"/>
      <c r="P586" s="51"/>
      <c r="Q586" s="51"/>
      <c r="R586" s="53"/>
      <c r="S586" s="59"/>
    </row>
    <row r="587" spans="11:19" x14ac:dyDescent="0.2">
      <c r="K587" s="52"/>
      <c r="L587" s="51"/>
      <c r="M587" s="51"/>
      <c r="N587" s="51"/>
      <c r="O587" s="51"/>
      <c r="P587" s="51"/>
      <c r="Q587" s="51"/>
      <c r="R587" s="53"/>
      <c r="S587" s="59"/>
    </row>
    <row r="588" spans="11:19" x14ac:dyDescent="0.2">
      <c r="K588" s="52"/>
      <c r="L588" s="51"/>
      <c r="M588" s="51"/>
      <c r="N588" s="51"/>
      <c r="O588" s="51"/>
      <c r="P588" s="51"/>
      <c r="Q588" s="51"/>
      <c r="R588" s="53"/>
      <c r="S588" s="59"/>
    </row>
    <row r="589" spans="11:19" x14ac:dyDescent="0.2">
      <c r="K589" s="52"/>
      <c r="L589" s="51"/>
      <c r="M589" s="51"/>
      <c r="N589" s="51"/>
      <c r="O589" s="51"/>
      <c r="P589" s="51"/>
      <c r="Q589" s="51"/>
      <c r="R589" s="53"/>
      <c r="S589" s="59"/>
    </row>
    <row r="590" spans="11:19" x14ac:dyDescent="0.2">
      <c r="K590" s="52"/>
      <c r="L590" s="51"/>
      <c r="M590" s="51"/>
      <c r="N590" s="51"/>
      <c r="O590" s="51"/>
      <c r="P590" s="51"/>
      <c r="Q590" s="51"/>
      <c r="R590" s="53"/>
      <c r="S590" s="59"/>
    </row>
    <row r="591" spans="11:19" x14ac:dyDescent="0.2">
      <c r="K591" s="52"/>
      <c r="L591" s="51"/>
      <c r="M591" s="51"/>
      <c r="N591" s="51"/>
      <c r="O591" s="51"/>
      <c r="P591" s="51"/>
      <c r="Q591" s="51"/>
      <c r="R591" s="53"/>
      <c r="S591" s="59"/>
    </row>
    <row r="592" spans="11:19" x14ac:dyDescent="0.2">
      <c r="K592" s="52"/>
      <c r="L592" s="51"/>
      <c r="M592" s="51"/>
      <c r="N592" s="51"/>
      <c r="O592" s="51"/>
      <c r="P592" s="51"/>
      <c r="Q592" s="51"/>
      <c r="R592" s="53"/>
      <c r="S592" s="59"/>
    </row>
    <row r="593" spans="11:19" x14ac:dyDescent="0.2">
      <c r="K593" s="52"/>
      <c r="L593" s="51"/>
      <c r="M593" s="51"/>
      <c r="N593" s="51"/>
      <c r="O593" s="51"/>
      <c r="P593" s="51"/>
      <c r="Q593" s="51"/>
      <c r="R593" s="53"/>
      <c r="S593" s="59"/>
    </row>
    <row r="594" spans="11:19" x14ac:dyDescent="0.2">
      <c r="K594" s="52"/>
      <c r="L594" s="51"/>
      <c r="M594" s="51"/>
      <c r="N594" s="51"/>
      <c r="O594" s="51"/>
      <c r="P594" s="51"/>
      <c r="Q594" s="51"/>
      <c r="R594" s="53"/>
      <c r="S594" s="59"/>
    </row>
    <row r="595" spans="11:19" x14ac:dyDescent="0.2">
      <c r="K595" s="52"/>
      <c r="L595" s="51"/>
      <c r="M595" s="51"/>
      <c r="N595" s="51"/>
      <c r="O595" s="51"/>
      <c r="P595" s="51"/>
      <c r="Q595" s="51"/>
      <c r="R595" s="53"/>
      <c r="S595" s="59"/>
    </row>
    <row r="596" spans="11:19" x14ac:dyDescent="0.2">
      <c r="K596" s="52"/>
      <c r="L596" s="51"/>
      <c r="M596" s="51"/>
      <c r="N596" s="51"/>
      <c r="O596" s="51"/>
      <c r="P596" s="51"/>
      <c r="Q596" s="51"/>
      <c r="R596" s="53"/>
      <c r="S596" s="59"/>
    </row>
    <row r="597" spans="11:19" x14ac:dyDescent="0.2">
      <c r="K597" s="52"/>
      <c r="L597" s="51"/>
      <c r="M597" s="51"/>
      <c r="N597" s="51"/>
      <c r="O597" s="51"/>
      <c r="P597" s="51"/>
      <c r="Q597" s="51"/>
      <c r="R597" s="53"/>
      <c r="S597" s="59"/>
    </row>
    <row r="598" spans="11:19" x14ac:dyDescent="0.2">
      <c r="K598" s="52"/>
      <c r="L598" s="51"/>
      <c r="M598" s="51"/>
      <c r="N598" s="51"/>
      <c r="O598" s="51"/>
      <c r="P598" s="51"/>
      <c r="Q598" s="51"/>
      <c r="R598" s="53"/>
      <c r="S598" s="59"/>
    </row>
    <row r="599" spans="11:19" x14ac:dyDescent="0.2">
      <c r="K599" s="52"/>
      <c r="L599" s="51"/>
      <c r="M599" s="51"/>
      <c r="N599" s="51"/>
      <c r="O599" s="51"/>
      <c r="P599" s="51"/>
      <c r="Q599" s="51"/>
      <c r="R599" s="53"/>
      <c r="S599" s="59"/>
    </row>
    <row r="600" spans="11:19" x14ac:dyDescent="0.2">
      <c r="K600" s="52"/>
      <c r="L600" s="51"/>
      <c r="M600" s="51"/>
      <c r="N600" s="51"/>
      <c r="O600" s="51"/>
      <c r="P600" s="51"/>
      <c r="Q600" s="51"/>
      <c r="R600" s="53"/>
      <c r="S600" s="59"/>
    </row>
    <row r="601" spans="11:19" x14ac:dyDescent="0.2">
      <c r="K601" s="52"/>
      <c r="L601" s="51"/>
      <c r="M601" s="51"/>
      <c r="N601" s="51"/>
      <c r="O601" s="51"/>
      <c r="P601" s="51"/>
      <c r="Q601" s="51"/>
      <c r="R601" s="53"/>
      <c r="S601" s="59"/>
    </row>
    <row r="602" spans="11:19" x14ac:dyDescent="0.2">
      <c r="K602" s="52"/>
      <c r="L602" s="51"/>
      <c r="M602" s="51"/>
      <c r="N602" s="51"/>
      <c r="O602" s="51"/>
      <c r="P602" s="51"/>
      <c r="Q602" s="51"/>
      <c r="R602" s="53"/>
      <c r="S602" s="59"/>
    </row>
    <row r="603" spans="11:19" x14ac:dyDescent="0.2">
      <c r="K603" s="52"/>
      <c r="L603" s="51"/>
      <c r="M603" s="51"/>
      <c r="N603" s="51"/>
      <c r="O603" s="51"/>
      <c r="P603" s="51"/>
      <c r="Q603" s="51"/>
      <c r="R603" s="53"/>
      <c r="S603" s="59"/>
    </row>
    <row r="604" spans="11:19" x14ac:dyDescent="0.2">
      <c r="K604" s="52"/>
      <c r="L604" s="51"/>
      <c r="M604" s="51"/>
      <c r="N604" s="51"/>
      <c r="O604" s="51"/>
      <c r="P604" s="51"/>
      <c r="Q604" s="51"/>
      <c r="R604" s="53"/>
      <c r="S604" s="59"/>
    </row>
    <row r="605" spans="11:19" x14ac:dyDescent="0.2">
      <c r="K605" s="52"/>
      <c r="L605" s="51"/>
      <c r="M605" s="51"/>
      <c r="N605" s="51"/>
      <c r="O605" s="51"/>
      <c r="P605" s="51"/>
      <c r="Q605" s="51"/>
      <c r="R605" s="53"/>
      <c r="S605" s="59"/>
    </row>
    <row r="606" spans="11:19" x14ac:dyDescent="0.2">
      <c r="K606" s="52"/>
      <c r="L606" s="51"/>
      <c r="M606" s="51"/>
      <c r="N606" s="51"/>
      <c r="O606" s="51"/>
      <c r="P606" s="51"/>
      <c r="Q606" s="51"/>
      <c r="R606" s="53"/>
      <c r="S606" s="59"/>
    </row>
    <row r="607" spans="11:19" x14ac:dyDescent="0.2">
      <c r="K607" s="52"/>
      <c r="L607" s="51"/>
      <c r="M607" s="51"/>
      <c r="N607" s="51"/>
      <c r="O607" s="51"/>
      <c r="P607" s="51"/>
      <c r="Q607" s="51"/>
      <c r="R607" s="53"/>
      <c r="S607" s="59"/>
    </row>
    <row r="608" spans="11:19" x14ac:dyDescent="0.2">
      <c r="K608" s="52"/>
      <c r="L608" s="51"/>
      <c r="M608" s="51"/>
      <c r="N608" s="51"/>
      <c r="O608" s="51"/>
      <c r="P608" s="51"/>
      <c r="Q608" s="51"/>
      <c r="R608" s="53"/>
      <c r="S608" s="59"/>
    </row>
    <row r="609" spans="11:19" x14ac:dyDescent="0.2">
      <c r="K609" s="52"/>
      <c r="L609" s="51"/>
      <c r="M609" s="51"/>
      <c r="N609" s="51"/>
      <c r="O609" s="51"/>
      <c r="P609" s="51"/>
      <c r="Q609" s="51"/>
      <c r="R609" s="53"/>
      <c r="S609" s="59"/>
    </row>
    <row r="610" spans="11:19" x14ac:dyDescent="0.2">
      <c r="K610" s="52"/>
      <c r="L610" s="51"/>
      <c r="M610" s="51"/>
      <c r="N610" s="51"/>
      <c r="O610" s="51"/>
      <c r="P610" s="51"/>
      <c r="Q610" s="51"/>
      <c r="R610" s="53"/>
      <c r="S610" s="59"/>
    </row>
    <row r="611" spans="11:19" x14ac:dyDescent="0.2">
      <c r="K611" s="52"/>
      <c r="L611" s="51"/>
      <c r="M611" s="51"/>
      <c r="N611" s="51"/>
      <c r="O611" s="51"/>
      <c r="P611" s="51"/>
      <c r="Q611" s="51"/>
      <c r="R611" s="53"/>
      <c r="S611" s="59"/>
    </row>
    <row r="612" spans="11:19" x14ac:dyDescent="0.2">
      <c r="K612" s="52"/>
      <c r="L612" s="51"/>
      <c r="M612" s="51"/>
      <c r="N612" s="51"/>
      <c r="O612" s="51"/>
      <c r="P612" s="51"/>
      <c r="Q612" s="51"/>
      <c r="R612" s="53"/>
      <c r="S612" s="59"/>
    </row>
    <row r="613" spans="11:19" x14ac:dyDescent="0.2">
      <c r="K613" s="52"/>
      <c r="L613" s="51"/>
      <c r="M613" s="51"/>
      <c r="N613" s="51"/>
      <c r="O613" s="51"/>
      <c r="P613" s="51"/>
      <c r="Q613" s="51"/>
      <c r="R613" s="53"/>
      <c r="S613" s="59"/>
    </row>
    <row r="614" spans="11:19" x14ac:dyDescent="0.2">
      <c r="K614" s="52"/>
      <c r="L614" s="51"/>
      <c r="M614" s="51"/>
      <c r="N614" s="51"/>
      <c r="O614" s="51"/>
      <c r="P614" s="51"/>
      <c r="Q614" s="51"/>
      <c r="R614" s="53"/>
      <c r="S614" s="59"/>
    </row>
    <row r="615" spans="11:19" x14ac:dyDescent="0.2">
      <c r="K615" s="52"/>
      <c r="L615" s="51"/>
      <c r="M615" s="51"/>
      <c r="N615" s="51"/>
      <c r="O615" s="51"/>
      <c r="P615" s="51"/>
      <c r="Q615" s="51"/>
      <c r="R615" s="53"/>
      <c r="S615" s="59"/>
    </row>
    <row r="616" spans="11:19" x14ac:dyDescent="0.2">
      <c r="K616" s="52"/>
      <c r="L616" s="51"/>
      <c r="M616" s="51"/>
      <c r="N616" s="51"/>
      <c r="O616" s="51"/>
      <c r="P616" s="51"/>
      <c r="Q616" s="51"/>
      <c r="R616" s="53"/>
      <c r="S616" s="59"/>
    </row>
    <row r="617" spans="11:19" x14ac:dyDescent="0.2">
      <c r="K617" s="52"/>
      <c r="L617" s="51"/>
      <c r="M617" s="51"/>
      <c r="N617" s="51"/>
      <c r="O617" s="51"/>
      <c r="P617" s="51"/>
      <c r="Q617" s="51"/>
      <c r="R617" s="53"/>
      <c r="S617" s="59"/>
    </row>
    <row r="618" spans="11:19" x14ac:dyDescent="0.2">
      <c r="K618" s="52"/>
      <c r="L618" s="51"/>
      <c r="M618" s="51"/>
      <c r="N618" s="51"/>
      <c r="O618" s="51"/>
      <c r="P618" s="51"/>
      <c r="Q618" s="51"/>
      <c r="R618" s="53"/>
      <c r="S618" s="59"/>
    </row>
    <row r="619" spans="11:19" x14ac:dyDescent="0.2">
      <c r="K619" s="52"/>
      <c r="L619" s="51"/>
      <c r="M619" s="51"/>
      <c r="N619" s="51"/>
      <c r="O619" s="51"/>
      <c r="P619" s="51"/>
      <c r="Q619" s="51"/>
      <c r="R619" s="53"/>
      <c r="S619" s="59"/>
    </row>
    <row r="620" spans="11:19" x14ac:dyDescent="0.2">
      <c r="K620" s="52"/>
      <c r="L620" s="51"/>
      <c r="M620" s="51"/>
      <c r="N620" s="51"/>
      <c r="O620" s="51"/>
      <c r="P620" s="51"/>
      <c r="Q620" s="51"/>
      <c r="R620" s="53"/>
      <c r="S620" s="59"/>
    </row>
    <row r="621" spans="11:19" x14ac:dyDescent="0.2">
      <c r="K621" s="52"/>
      <c r="L621" s="51"/>
      <c r="M621" s="51"/>
      <c r="N621" s="51"/>
      <c r="O621" s="51"/>
      <c r="P621" s="51"/>
      <c r="Q621" s="51"/>
      <c r="R621" s="53"/>
      <c r="S621" s="59"/>
    </row>
    <row r="622" spans="11:19" x14ac:dyDescent="0.2">
      <c r="K622" s="52"/>
      <c r="L622" s="51"/>
      <c r="M622" s="51"/>
      <c r="N622" s="51"/>
      <c r="O622" s="51"/>
      <c r="P622" s="51"/>
      <c r="Q622" s="51"/>
      <c r="R622" s="53"/>
      <c r="S622" s="59"/>
    </row>
    <row r="623" spans="11:19" x14ac:dyDescent="0.2">
      <c r="K623" s="52"/>
      <c r="L623" s="51"/>
      <c r="M623" s="51"/>
      <c r="N623" s="51"/>
      <c r="O623" s="51"/>
      <c r="P623" s="51"/>
      <c r="Q623" s="51"/>
      <c r="R623" s="53"/>
      <c r="S623" s="59"/>
    </row>
    <row r="624" spans="11:19" x14ac:dyDescent="0.2">
      <c r="K624" s="52"/>
      <c r="L624" s="51"/>
      <c r="M624" s="51"/>
      <c r="N624" s="51"/>
      <c r="O624" s="51"/>
      <c r="P624" s="51"/>
      <c r="Q624" s="51"/>
      <c r="R624" s="53"/>
      <c r="S624" s="59"/>
    </row>
    <row r="625" spans="11:19" x14ac:dyDescent="0.2">
      <c r="K625" s="52"/>
      <c r="L625" s="51"/>
      <c r="M625" s="51"/>
      <c r="N625" s="51"/>
      <c r="O625" s="51"/>
      <c r="P625" s="51"/>
      <c r="Q625" s="51"/>
      <c r="R625" s="53"/>
      <c r="S625" s="59"/>
    </row>
    <row r="626" spans="11:19" x14ac:dyDescent="0.2">
      <c r="K626" s="52"/>
      <c r="L626" s="51"/>
      <c r="M626" s="51"/>
      <c r="N626" s="51"/>
      <c r="O626" s="51"/>
      <c r="P626" s="51"/>
      <c r="Q626" s="51"/>
      <c r="R626" s="53"/>
      <c r="S626" s="59"/>
    </row>
    <row r="627" spans="11:19" x14ac:dyDescent="0.2">
      <c r="K627" s="52"/>
      <c r="L627" s="51"/>
      <c r="M627" s="51"/>
      <c r="N627" s="51"/>
      <c r="O627" s="51"/>
      <c r="P627" s="51"/>
      <c r="Q627" s="51"/>
      <c r="R627" s="53"/>
      <c r="S627" s="59"/>
    </row>
    <row r="628" spans="11:19" x14ac:dyDescent="0.2">
      <c r="K628" s="52"/>
      <c r="L628" s="51"/>
      <c r="M628" s="51"/>
      <c r="N628" s="51"/>
      <c r="O628" s="51"/>
      <c r="P628" s="51"/>
      <c r="Q628" s="51"/>
      <c r="R628" s="53"/>
      <c r="S628" s="59"/>
    </row>
    <row r="629" spans="11:19" x14ac:dyDescent="0.2">
      <c r="K629" s="52"/>
      <c r="L629" s="51"/>
      <c r="M629" s="51"/>
      <c r="N629" s="51"/>
      <c r="O629" s="51"/>
      <c r="P629" s="51"/>
      <c r="Q629" s="51"/>
      <c r="R629" s="53"/>
      <c r="S629" s="59"/>
    </row>
    <row r="630" spans="11:19" x14ac:dyDescent="0.2">
      <c r="K630" s="52"/>
      <c r="L630" s="51"/>
      <c r="M630" s="51"/>
      <c r="N630" s="51"/>
      <c r="O630" s="51"/>
      <c r="P630" s="51"/>
      <c r="Q630" s="51"/>
      <c r="R630" s="53"/>
      <c r="S630" s="59"/>
    </row>
    <row r="631" spans="11:19" x14ac:dyDescent="0.2">
      <c r="K631" s="52"/>
      <c r="L631" s="51"/>
      <c r="M631" s="51"/>
      <c r="N631" s="51"/>
      <c r="O631" s="51"/>
      <c r="P631" s="51"/>
      <c r="Q631" s="51"/>
      <c r="R631" s="53"/>
      <c r="S631" s="59"/>
    </row>
    <row r="632" spans="11:19" x14ac:dyDescent="0.2">
      <c r="K632" s="52"/>
      <c r="L632" s="51"/>
      <c r="M632" s="51"/>
      <c r="N632" s="51"/>
      <c r="O632" s="51"/>
      <c r="P632" s="51"/>
      <c r="Q632" s="51"/>
      <c r="R632" s="53"/>
      <c r="S632" s="59"/>
    </row>
    <row r="633" spans="11:19" x14ac:dyDescent="0.2">
      <c r="K633" s="52"/>
      <c r="L633" s="51"/>
      <c r="M633" s="51"/>
      <c r="N633" s="51"/>
      <c r="O633" s="51"/>
      <c r="P633" s="51"/>
      <c r="Q633" s="51"/>
      <c r="R633" s="53"/>
      <c r="S633" s="59"/>
    </row>
    <row r="634" spans="11:19" x14ac:dyDescent="0.2">
      <c r="K634" s="52"/>
      <c r="L634" s="51"/>
      <c r="M634" s="51"/>
      <c r="N634" s="51"/>
      <c r="O634" s="51"/>
      <c r="P634" s="51"/>
      <c r="Q634" s="51"/>
      <c r="R634" s="53"/>
      <c r="S634" s="59"/>
    </row>
    <row r="635" spans="11:19" x14ac:dyDescent="0.2">
      <c r="K635" s="52"/>
      <c r="L635" s="51"/>
      <c r="M635" s="51"/>
      <c r="N635" s="51"/>
      <c r="O635" s="51"/>
      <c r="P635" s="51"/>
      <c r="Q635" s="51"/>
      <c r="R635" s="53"/>
      <c r="S635" s="59"/>
    </row>
    <row r="636" spans="11:19" x14ac:dyDescent="0.2">
      <c r="K636" s="52"/>
      <c r="L636" s="51"/>
      <c r="M636" s="51"/>
      <c r="N636" s="51"/>
      <c r="O636" s="51"/>
      <c r="P636" s="51"/>
      <c r="Q636" s="51"/>
      <c r="R636" s="53"/>
      <c r="S636" s="59"/>
    </row>
    <row r="637" spans="11:19" x14ac:dyDescent="0.2">
      <c r="K637" s="52"/>
      <c r="L637" s="51"/>
      <c r="M637" s="51"/>
      <c r="N637" s="51"/>
      <c r="O637" s="51"/>
      <c r="P637" s="51"/>
      <c r="Q637" s="51"/>
      <c r="R637" s="53"/>
      <c r="S637" s="59"/>
    </row>
    <row r="638" spans="11:19" x14ac:dyDescent="0.2">
      <c r="K638" s="46"/>
      <c r="R638" s="53"/>
    </row>
    <row r="639" spans="11:19" x14ac:dyDescent="0.2">
      <c r="K639" s="46"/>
      <c r="R639" s="53"/>
    </row>
    <row r="640" spans="11:19" x14ac:dyDescent="0.2">
      <c r="K640" s="46"/>
      <c r="R640" s="53"/>
    </row>
    <row r="641" spans="11:18" x14ac:dyDescent="0.2">
      <c r="K641" s="46"/>
      <c r="R641" s="53"/>
    </row>
    <row r="642" spans="11:18" x14ac:dyDescent="0.2">
      <c r="K642" s="46"/>
      <c r="R642" s="53"/>
    </row>
    <row r="643" spans="11:18" x14ac:dyDescent="0.2">
      <c r="K643" s="46"/>
      <c r="R643" s="53"/>
    </row>
    <row r="644" spans="11:18" x14ac:dyDescent="0.2">
      <c r="K644" s="46"/>
      <c r="R644" s="53"/>
    </row>
    <row r="645" spans="11:18" x14ac:dyDescent="0.2">
      <c r="K645" s="46"/>
      <c r="R645" s="53"/>
    </row>
    <row r="646" spans="11:18" x14ac:dyDescent="0.2">
      <c r="K646" s="46"/>
      <c r="R646" s="53"/>
    </row>
    <row r="647" spans="11:18" x14ac:dyDescent="0.2">
      <c r="K647" s="46"/>
      <c r="R647" s="53"/>
    </row>
    <row r="648" spans="11:18" x14ac:dyDescent="0.2">
      <c r="K648" s="46"/>
      <c r="R648" s="53"/>
    </row>
    <row r="649" spans="11:18" x14ac:dyDescent="0.2">
      <c r="K649" s="46"/>
      <c r="R649" s="53"/>
    </row>
    <row r="650" spans="11:18" x14ac:dyDescent="0.2">
      <c r="K650" s="46"/>
      <c r="R650" s="53"/>
    </row>
    <row r="651" spans="11:18" x14ac:dyDescent="0.2">
      <c r="K651" s="46"/>
      <c r="R651" s="53"/>
    </row>
    <row r="652" spans="11:18" x14ac:dyDescent="0.2">
      <c r="K652" s="46"/>
      <c r="R652" s="53"/>
    </row>
    <row r="653" spans="11:18" x14ac:dyDescent="0.2">
      <c r="K653" s="46"/>
      <c r="R653" s="53"/>
    </row>
    <row r="654" spans="11:18" x14ac:dyDescent="0.2">
      <c r="K654" s="46"/>
      <c r="R654" s="53"/>
    </row>
    <row r="655" spans="11:18" x14ac:dyDescent="0.2">
      <c r="K655" s="46"/>
      <c r="R655" s="53"/>
    </row>
    <row r="656" spans="11:18" x14ac:dyDescent="0.2">
      <c r="K656" s="46"/>
      <c r="R656" s="53"/>
    </row>
    <row r="657" spans="11:18" x14ac:dyDescent="0.2">
      <c r="K657" s="46"/>
      <c r="R657" s="53"/>
    </row>
    <row r="658" spans="11:18" x14ac:dyDescent="0.2">
      <c r="K658" s="46"/>
      <c r="R658" s="53"/>
    </row>
    <row r="659" spans="11:18" x14ac:dyDescent="0.2">
      <c r="K659" s="46"/>
      <c r="R659" s="53"/>
    </row>
    <row r="660" spans="11:18" x14ac:dyDescent="0.2">
      <c r="K660" s="46"/>
      <c r="R660" s="53"/>
    </row>
    <row r="661" spans="11:18" x14ac:dyDescent="0.2">
      <c r="K661" s="46"/>
      <c r="R661" s="53"/>
    </row>
    <row r="662" spans="11:18" x14ac:dyDescent="0.2">
      <c r="K662" s="46"/>
      <c r="R662" s="53"/>
    </row>
    <row r="663" spans="11:18" x14ac:dyDescent="0.2">
      <c r="K663" s="46"/>
      <c r="R663" s="53"/>
    </row>
    <row r="664" spans="11:18" x14ac:dyDescent="0.2">
      <c r="K664" s="46"/>
      <c r="R664" s="53"/>
    </row>
    <row r="665" spans="11:18" x14ac:dyDescent="0.2">
      <c r="K665" s="46"/>
      <c r="R665" s="53"/>
    </row>
    <row r="666" spans="11:18" x14ac:dyDescent="0.2">
      <c r="K666" s="46"/>
      <c r="R666" s="53"/>
    </row>
    <row r="667" spans="11:18" x14ac:dyDescent="0.2">
      <c r="K667" s="46"/>
      <c r="R667" s="53"/>
    </row>
    <row r="668" spans="11:18" x14ac:dyDescent="0.2">
      <c r="K668" s="46"/>
      <c r="R668" s="53"/>
    </row>
    <row r="669" spans="11:18" x14ac:dyDescent="0.2">
      <c r="K669" s="46"/>
      <c r="R669" s="53"/>
    </row>
    <row r="670" spans="11:18" x14ac:dyDescent="0.2">
      <c r="K670" s="46"/>
      <c r="R670" s="53"/>
    </row>
    <row r="671" spans="11:18" x14ac:dyDescent="0.2">
      <c r="K671" s="46"/>
      <c r="R671" s="53"/>
    </row>
    <row r="672" spans="11:18" x14ac:dyDescent="0.2">
      <c r="K672" s="46"/>
      <c r="R672" s="53"/>
    </row>
    <row r="673" spans="11:18" x14ac:dyDescent="0.2">
      <c r="K673" s="46"/>
      <c r="R673" s="53"/>
    </row>
    <row r="674" spans="11:18" x14ac:dyDescent="0.2">
      <c r="K674" s="46"/>
      <c r="R674" s="53"/>
    </row>
    <row r="675" spans="11:18" x14ac:dyDescent="0.2">
      <c r="K675" s="46"/>
      <c r="R675" s="53"/>
    </row>
    <row r="676" spans="11:18" x14ac:dyDescent="0.2">
      <c r="K676" s="46"/>
      <c r="R676" s="53"/>
    </row>
    <row r="677" spans="11:18" x14ac:dyDescent="0.2">
      <c r="K677" s="46"/>
      <c r="R677" s="53"/>
    </row>
    <row r="678" spans="11:18" x14ac:dyDescent="0.2">
      <c r="K678" s="46"/>
      <c r="R678" s="53"/>
    </row>
    <row r="679" spans="11:18" x14ac:dyDescent="0.2">
      <c r="K679" s="46"/>
      <c r="R679" s="53"/>
    </row>
    <row r="680" spans="11:18" x14ac:dyDescent="0.2">
      <c r="K680" s="46"/>
      <c r="R680" s="53"/>
    </row>
    <row r="681" spans="11:18" x14ac:dyDescent="0.2">
      <c r="K681" s="46"/>
      <c r="R681" s="53"/>
    </row>
    <row r="682" spans="11:18" x14ac:dyDescent="0.2">
      <c r="K682" s="46"/>
      <c r="R682" s="53"/>
    </row>
    <row r="683" spans="11:18" x14ac:dyDescent="0.2">
      <c r="K683" s="46"/>
      <c r="R683" s="53"/>
    </row>
    <row r="684" spans="11:18" x14ac:dyDescent="0.2">
      <c r="K684" s="46"/>
      <c r="R684" s="53"/>
    </row>
    <row r="685" spans="11:18" x14ac:dyDescent="0.2">
      <c r="K685" s="46"/>
      <c r="R685" s="53"/>
    </row>
    <row r="686" spans="11:18" x14ac:dyDescent="0.2">
      <c r="K686" s="46"/>
      <c r="R686" s="53"/>
    </row>
    <row r="687" spans="11:18" x14ac:dyDescent="0.2">
      <c r="K687" s="46"/>
      <c r="R687" s="53"/>
    </row>
    <row r="688" spans="11:18" x14ac:dyDescent="0.2">
      <c r="K688" s="46"/>
      <c r="R688" s="53"/>
    </row>
    <row r="689" spans="11:18" x14ac:dyDescent="0.2">
      <c r="K689" s="46"/>
      <c r="R689" s="53"/>
    </row>
    <row r="690" spans="11:18" x14ac:dyDescent="0.2">
      <c r="K690" s="46"/>
      <c r="R690" s="53"/>
    </row>
    <row r="691" spans="11:18" x14ac:dyDescent="0.2">
      <c r="K691" s="46"/>
      <c r="R691" s="53"/>
    </row>
    <row r="692" spans="11:18" x14ac:dyDescent="0.2">
      <c r="K692" s="46"/>
      <c r="R692" s="53"/>
    </row>
    <row r="693" spans="11:18" x14ac:dyDescent="0.2">
      <c r="K693" s="46"/>
      <c r="R693" s="53"/>
    </row>
    <row r="694" spans="11:18" x14ac:dyDescent="0.2">
      <c r="K694" s="46"/>
      <c r="R694" s="53"/>
    </row>
    <row r="695" spans="11:18" x14ac:dyDescent="0.2">
      <c r="K695" s="46"/>
      <c r="R695" s="53"/>
    </row>
    <row r="696" spans="11:18" x14ac:dyDescent="0.2">
      <c r="K696" s="46"/>
      <c r="R696" s="53"/>
    </row>
    <row r="697" spans="11:18" x14ac:dyDescent="0.2">
      <c r="K697" s="46"/>
      <c r="R697" s="53"/>
    </row>
    <row r="698" spans="11:18" x14ac:dyDescent="0.2">
      <c r="K698" s="46"/>
      <c r="R698" s="53"/>
    </row>
    <row r="699" spans="11:18" x14ac:dyDescent="0.2">
      <c r="K699" s="46"/>
      <c r="R699" s="53"/>
    </row>
    <row r="700" spans="11:18" x14ac:dyDescent="0.2">
      <c r="K700" s="46"/>
      <c r="R700" s="53"/>
    </row>
    <row r="701" spans="11:18" x14ac:dyDescent="0.2">
      <c r="K701" s="46"/>
      <c r="R701" s="53"/>
    </row>
    <row r="702" spans="11:18" x14ac:dyDescent="0.2">
      <c r="K702" s="46"/>
      <c r="R702" s="53"/>
    </row>
    <row r="703" spans="11:18" x14ac:dyDescent="0.2">
      <c r="K703" s="46"/>
      <c r="R703" s="53"/>
    </row>
    <row r="704" spans="11:18" x14ac:dyDescent="0.2">
      <c r="K704" s="46"/>
      <c r="R704" s="53"/>
    </row>
    <row r="705" spans="11:18" x14ac:dyDescent="0.2">
      <c r="K705" s="46"/>
      <c r="R705" s="53"/>
    </row>
    <row r="706" spans="11:18" x14ac:dyDescent="0.2">
      <c r="K706" s="46"/>
      <c r="R706" s="53"/>
    </row>
    <row r="707" spans="11:18" x14ac:dyDescent="0.2">
      <c r="K707" s="46"/>
      <c r="R707" s="53"/>
    </row>
    <row r="708" spans="11:18" x14ac:dyDescent="0.2">
      <c r="K708" s="46"/>
      <c r="R708" s="53"/>
    </row>
    <row r="709" spans="11:18" x14ac:dyDescent="0.2">
      <c r="K709" s="46"/>
      <c r="R709" s="53"/>
    </row>
    <row r="710" spans="11:18" x14ac:dyDescent="0.2">
      <c r="K710" s="46"/>
      <c r="R710" s="53"/>
    </row>
    <row r="711" spans="11:18" x14ac:dyDescent="0.2">
      <c r="K711" s="46"/>
      <c r="R711" s="53"/>
    </row>
    <row r="712" spans="11:18" x14ac:dyDescent="0.2">
      <c r="K712" s="46"/>
      <c r="R712" s="53"/>
    </row>
    <row r="713" spans="11:18" x14ac:dyDescent="0.2">
      <c r="K713" s="46"/>
      <c r="R713" s="53"/>
    </row>
    <row r="714" spans="11:18" x14ac:dyDescent="0.2">
      <c r="K714" s="46"/>
      <c r="R714" s="53"/>
    </row>
    <row r="715" spans="11:18" x14ac:dyDescent="0.2">
      <c r="K715" s="46"/>
      <c r="R715" s="53"/>
    </row>
    <row r="716" spans="11:18" x14ac:dyDescent="0.2">
      <c r="K716" s="46"/>
      <c r="R716" s="53"/>
    </row>
    <row r="717" spans="11:18" x14ac:dyDescent="0.2">
      <c r="K717" s="46"/>
      <c r="R717" s="53"/>
    </row>
    <row r="718" spans="11:18" x14ac:dyDescent="0.2">
      <c r="K718" s="46"/>
      <c r="R718" s="53"/>
    </row>
    <row r="719" spans="11:18" x14ac:dyDescent="0.2">
      <c r="K719" s="46"/>
      <c r="R719" s="53"/>
    </row>
    <row r="720" spans="11:18" x14ac:dyDescent="0.2">
      <c r="K720" s="46"/>
      <c r="R720" s="53"/>
    </row>
    <row r="721" spans="11:18" x14ac:dyDescent="0.2">
      <c r="K721" s="46"/>
      <c r="R721" s="53"/>
    </row>
    <row r="722" spans="11:18" x14ac:dyDescent="0.2">
      <c r="K722" s="46"/>
      <c r="R722" s="53"/>
    </row>
    <row r="723" spans="11:18" x14ac:dyDescent="0.2">
      <c r="K723" s="46"/>
      <c r="R723" s="53"/>
    </row>
    <row r="724" spans="11:18" x14ac:dyDescent="0.2">
      <c r="K724" s="46"/>
      <c r="R724" s="53"/>
    </row>
    <row r="725" spans="11:18" x14ac:dyDescent="0.2">
      <c r="K725" s="46"/>
      <c r="R725" s="53"/>
    </row>
    <row r="726" spans="11:18" x14ac:dyDescent="0.2">
      <c r="K726" s="46"/>
      <c r="R726" s="53"/>
    </row>
    <row r="727" spans="11:18" x14ac:dyDescent="0.2">
      <c r="K727" s="46"/>
      <c r="R727" s="53"/>
    </row>
    <row r="728" spans="11:18" x14ac:dyDescent="0.2">
      <c r="K728" s="46"/>
      <c r="R728" s="53"/>
    </row>
    <row r="729" spans="11:18" x14ac:dyDescent="0.2">
      <c r="K729" s="46"/>
      <c r="R729" s="53"/>
    </row>
    <row r="730" spans="11:18" x14ac:dyDescent="0.2">
      <c r="K730" s="46"/>
      <c r="R730" s="53"/>
    </row>
    <row r="731" spans="11:18" x14ac:dyDescent="0.2">
      <c r="K731" s="46"/>
      <c r="R731" s="53"/>
    </row>
    <row r="732" spans="11:18" x14ac:dyDescent="0.2">
      <c r="K732" s="46"/>
      <c r="R732" s="53"/>
    </row>
    <row r="733" spans="11:18" x14ac:dyDescent="0.2">
      <c r="K733" s="46"/>
      <c r="R733" s="53"/>
    </row>
    <row r="734" spans="11:18" x14ac:dyDescent="0.2">
      <c r="K734" s="46"/>
      <c r="R734" s="53"/>
    </row>
    <row r="735" spans="11:18" x14ac:dyDescent="0.2">
      <c r="K735" s="46"/>
      <c r="R735" s="53"/>
    </row>
    <row r="736" spans="11:18" x14ac:dyDescent="0.2">
      <c r="K736" s="46"/>
      <c r="R736" s="53"/>
    </row>
    <row r="737" spans="11:18" x14ac:dyDescent="0.2">
      <c r="K737" s="46"/>
      <c r="R737" s="53"/>
    </row>
    <row r="738" spans="11:18" x14ac:dyDescent="0.2">
      <c r="K738" s="46"/>
      <c r="R738" s="53"/>
    </row>
    <row r="739" spans="11:18" x14ac:dyDescent="0.2">
      <c r="K739" s="46"/>
      <c r="R739" s="53"/>
    </row>
    <row r="740" spans="11:18" x14ac:dyDescent="0.2">
      <c r="K740" s="46"/>
      <c r="R740" s="53"/>
    </row>
    <row r="741" spans="11:18" x14ac:dyDescent="0.2">
      <c r="K741" s="46"/>
      <c r="R741" s="53"/>
    </row>
    <row r="742" spans="11:18" x14ac:dyDescent="0.2">
      <c r="K742" s="46"/>
      <c r="R742" s="53"/>
    </row>
    <row r="743" spans="11:18" x14ac:dyDescent="0.2">
      <c r="K743" s="46"/>
      <c r="R743" s="53"/>
    </row>
    <row r="744" spans="11:18" x14ac:dyDescent="0.2">
      <c r="K744" s="46"/>
      <c r="R744" s="53"/>
    </row>
    <row r="745" spans="11:18" x14ac:dyDescent="0.2">
      <c r="K745" s="46"/>
      <c r="R745" s="53"/>
    </row>
    <row r="746" spans="11:18" x14ac:dyDescent="0.2">
      <c r="K746" s="46"/>
      <c r="R746" s="53"/>
    </row>
    <row r="747" spans="11:18" x14ac:dyDescent="0.2">
      <c r="K747" s="46"/>
      <c r="R747" s="53"/>
    </row>
    <row r="748" spans="11:18" x14ac:dyDescent="0.2">
      <c r="K748" s="46"/>
      <c r="R748" s="53"/>
    </row>
    <row r="749" spans="11:18" x14ac:dyDescent="0.2">
      <c r="K749" s="46"/>
      <c r="R749" s="53"/>
    </row>
    <row r="750" spans="11:18" x14ac:dyDescent="0.2">
      <c r="K750" s="46"/>
      <c r="R750" s="53"/>
    </row>
    <row r="751" spans="11:18" x14ac:dyDescent="0.2">
      <c r="K751" s="46"/>
      <c r="R751" s="53"/>
    </row>
    <row r="752" spans="11:18" x14ac:dyDescent="0.2">
      <c r="K752" s="46"/>
      <c r="R752" s="53"/>
    </row>
    <row r="753" spans="11:18" x14ac:dyDescent="0.2">
      <c r="K753" s="46"/>
      <c r="R753" s="53"/>
    </row>
    <row r="754" spans="11:18" x14ac:dyDescent="0.2">
      <c r="K754" s="46"/>
      <c r="R754" s="53"/>
    </row>
    <row r="755" spans="11:18" x14ac:dyDescent="0.2">
      <c r="K755" s="46"/>
      <c r="R755" s="53"/>
    </row>
    <row r="756" spans="11:18" x14ac:dyDescent="0.2">
      <c r="K756" s="46"/>
      <c r="R756" s="53"/>
    </row>
    <row r="757" spans="11:18" x14ac:dyDescent="0.2">
      <c r="K757" s="46"/>
      <c r="R757" s="53"/>
    </row>
    <row r="758" spans="11:18" x14ac:dyDescent="0.2">
      <c r="K758" s="46"/>
      <c r="R758" s="53"/>
    </row>
    <row r="759" spans="11:18" x14ac:dyDescent="0.2">
      <c r="K759" s="46"/>
      <c r="R759" s="53"/>
    </row>
    <row r="760" spans="11:18" x14ac:dyDescent="0.2">
      <c r="K760" s="46"/>
      <c r="R760" s="53"/>
    </row>
    <row r="761" spans="11:18" x14ac:dyDescent="0.2">
      <c r="K761" s="46"/>
      <c r="R761" s="53"/>
    </row>
    <row r="762" spans="11:18" x14ac:dyDescent="0.2">
      <c r="K762" s="46"/>
      <c r="R762" s="53"/>
    </row>
    <row r="763" spans="11:18" x14ac:dyDescent="0.2">
      <c r="K763" s="46"/>
      <c r="R763" s="53"/>
    </row>
    <row r="764" spans="11:18" x14ac:dyDescent="0.2">
      <c r="K764" s="46"/>
      <c r="R764" s="53"/>
    </row>
    <row r="765" spans="11:18" x14ac:dyDescent="0.2">
      <c r="K765" s="46"/>
      <c r="R765" s="53"/>
    </row>
    <row r="766" spans="11:18" x14ac:dyDescent="0.2">
      <c r="K766" s="46"/>
      <c r="R766" s="53"/>
    </row>
    <row r="767" spans="11:18" x14ac:dyDescent="0.2">
      <c r="K767" s="46"/>
      <c r="R767" s="53"/>
    </row>
    <row r="768" spans="11:18" x14ac:dyDescent="0.2">
      <c r="K768" s="46"/>
      <c r="R768" s="53"/>
    </row>
    <row r="769" spans="11:18" x14ac:dyDescent="0.2">
      <c r="K769" s="46"/>
      <c r="R769" s="53"/>
    </row>
    <row r="770" spans="11:18" x14ac:dyDescent="0.2">
      <c r="K770" s="46"/>
      <c r="R770" s="53"/>
    </row>
    <row r="771" spans="11:18" x14ac:dyDescent="0.2">
      <c r="K771" s="46"/>
      <c r="R771" s="53"/>
    </row>
    <row r="772" spans="11:18" x14ac:dyDescent="0.2">
      <c r="K772" s="46"/>
      <c r="R772" s="53"/>
    </row>
    <row r="773" spans="11:18" x14ac:dyDescent="0.2">
      <c r="K773" s="46"/>
      <c r="R773" s="53"/>
    </row>
    <row r="774" spans="11:18" x14ac:dyDescent="0.2">
      <c r="K774" s="46"/>
      <c r="R774" s="53"/>
    </row>
    <row r="775" spans="11:18" x14ac:dyDescent="0.2">
      <c r="K775" s="46"/>
      <c r="R775" s="53"/>
    </row>
    <row r="776" spans="11:18" x14ac:dyDescent="0.2">
      <c r="K776" s="46"/>
      <c r="R776" s="53"/>
    </row>
    <row r="777" spans="11:18" x14ac:dyDescent="0.2">
      <c r="K777" s="46"/>
      <c r="R777" s="53"/>
    </row>
    <row r="778" spans="11:18" x14ac:dyDescent="0.2">
      <c r="K778" s="46"/>
      <c r="R778" s="53"/>
    </row>
    <row r="779" spans="11:18" x14ac:dyDescent="0.2">
      <c r="K779" s="46"/>
      <c r="R779" s="53"/>
    </row>
    <row r="780" spans="11:18" x14ac:dyDescent="0.2">
      <c r="K780" s="46"/>
      <c r="R780" s="53"/>
    </row>
    <row r="781" spans="11:18" x14ac:dyDescent="0.2">
      <c r="K781" s="46"/>
      <c r="R781" s="53"/>
    </row>
    <row r="782" spans="11:18" x14ac:dyDescent="0.2">
      <c r="K782" s="46"/>
      <c r="R782" s="53"/>
    </row>
    <row r="783" spans="11:18" x14ac:dyDescent="0.2">
      <c r="K783" s="46"/>
      <c r="R783" s="53"/>
    </row>
    <row r="784" spans="11:18" x14ac:dyDescent="0.2">
      <c r="K784" s="46"/>
      <c r="R784" s="53"/>
    </row>
    <row r="785" spans="11:18" x14ac:dyDescent="0.2">
      <c r="K785" s="46"/>
      <c r="R785" s="53"/>
    </row>
    <row r="786" spans="11:18" x14ac:dyDescent="0.2">
      <c r="K786" s="46"/>
      <c r="R786" s="53"/>
    </row>
    <row r="787" spans="11:18" x14ac:dyDescent="0.2">
      <c r="K787" s="46"/>
      <c r="R787" s="53"/>
    </row>
    <row r="788" spans="11:18" x14ac:dyDescent="0.2">
      <c r="K788" s="46"/>
      <c r="R788" s="53"/>
    </row>
    <row r="789" spans="11:18" x14ac:dyDescent="0.2">
      <c r="K789" s="46"/>
      <c r="R789" s="53"/>
    </row>
    <row r="790" spans="11:18" x14ac:dyDescent="0.2">
      <c r="K790" s="46"/>
      <c r="R790" s="53"/>
    </row>
    <row r="791" spans="11:18" x14ac:dyDescent="0.2">
      <c r="K791" s="46"/>
      <c r="R791" s="53"/>
    </row>
    <row r="792" spans="11:18" x14ac:dyDescent="0.2">
      <c r="K792" s="46"/>
      <c r="R792" s="53"/>
    </row>
    <row r="793" spans="11:18" x14ac:dyDescent="0.2">
      <c r="K793" s="46"/>
      <c r="R793" s="53"/>
    </row>
    <row r="794" spans="11:18" x14ac:dyDescent="0.2">
      <c r="K794" s="46"/>
      <c r="R794" s="53"/>
    </row>
    <row r="795" spans="11:18" x14ac:dyDescent="0.2">
      <c r="K795" s="46"/>
      <c r="R795" s="53"/>
    </row>
    <row r="796" spans="11:18" x14ac:dyDescent="0.2">
      <c r="K796" s="46"/>
      <c r="R796" s="53"/>
    </row>
    <row r="797" spans="11:18" x14ac:dyDescent="0.2">
      <c r="K797" s="46"/>
      <c r="R797" s="53"/>
    </row>
    <row r="798" spans="11:18" x14ac:dyDescent="0.2">
      <c r="K798" s="46"/>
      <c r="R798" s="53"/>
    </row>
    <row r="799" spans="11:18" x14ac:dyDescent="0.2">
      <c r="K799" s="46"/>
      <c r="R799" s="53"/>
    </row>
    <row r="800" spans="11:18" x14ac:dyDescent="0.2">
      <c r="K800" s="46"/>
      <c r="R800" s="53"/>
    </row>
    <row r="801" spans="11:18" x14ac:dyDescent="0.2">
      <c r="K801" s="46"/>
      <c r="R801" s="53"/>
    </row>
    <row r="802" spans="11:18" x14ac:dyDescent="0.2">
      <c r="K802" s="46"/>
      <c r="R802" s="53"/>
    </row>
    <row r="803" spans="11:18" x14ac:dyDescent="0.2">
      <c r="K803" s="46"/>
      <c r="R803" s="53"/>
    </row>
    <row r="804" spans="11:18" x14ac:dyDescent="0.2">
      <c r="K804" s="46"/>
      <c r="R804" s="53"/>
    </row>
    <row r="805" spans="11:18" x14ac:dyDescent="0.2">
      <c r="K805" s="46"/>
      <c r="R805" s="53"/>
    </row>
    <row r="806" spans="11:18" x14ac:dyDescent="0.2">
      <c r="K806" s="46"/>
      <c r="R806" s="53"/>
    </row>
    <row r="807" spans="11:18" x14ac:dyDescent="0.2">
      <c r="K807" s="46"/>
      <c r="R807" s="53"/>
    </row>
    <row r="808" spans="11:18" x14ac:dyDescent="0.2">
      <c r="K808" s="46"/>
      <c r="R808" s="53"/>
    </row>
    <row r="809" spans="11:18" x14ac:dyDescent="0.2">
      <c r="K809" s="46"/>
      <c r="R809" s="53"/>
    </row>
    <row r="810" spans="11:18" x14ac:dyDescent="0.2">
      <c r="K810" s="46"/>
      <c r="R810" s="53"/>
    </row>
    <row r="811" spans="11:18" x14ac:dyDescent="0.2">
      <c r="K811" s="46"/>
      <c r="R811" s="53"/>
    </row>
    <row r="812" spans="11:18" x14ac:dyDescent="0.2">
      <c r="K812" s="46"/>
      <c r="R812" s="53"/>
    </row>
    <row r="813" spans="11:18" x14ac:dyDescent="0.2">
      <c r="K813" s="46"/>
      <c r="R813" s="53"/>
    </row>
    <row r="814" spans="11:18" x14ac:dyDescent="0.2">
      <c r="K814" s="46"/>
      <c r="R814" s="53"/>
    </row>
    <row r="815" spans="11:18" x14ac:dyDescent="0.2">
      <c r="K815" s="46"/>
      <c r="R815" s="53"/>
    </row>
    <row r="816" spans="11:18" x14ac:dyDescent="0.2">
      <c r="K816" s="46"/>
      <c r="R816" s="53"/>
    </row>
    <row r="817" spans="11:18" x14ac:dyDescent="0.2">
      <c r="K817" s="46"/>
      <c r="R817" s="53"/>
    </row>
    <row r="818" spans="11:18" x14ac:dyDescent="0.2">
      <c r="K818" s="46"/>
      <c r="R818" s="53"/>
    </row>
    <row r="819" spans="11:18" x14ac:dyDescent="0.2">
      <c r="K819" s="46"/>
      <c r="R819" s="53"/>
    </row>
    <row r="820" spans="11:18" x14ac:dyDescent="0.2">
      <c r="K820" s="46"/>
      <c r="R820" s="53"/>
    </row>
    <row r="821" spans="11:18" x14ac:dyDescent="0.2">
      <c r="K821" s="46"/>
      <c r="R821" s="53"/>
    </row>
    <row r="822" spans="11:18" x14ac:dyDescent="0.2">
      <c r="K822" s="46"/>
      <c r="R822" s="53"/>
    </row>
    <row r="823" spans="11:18" x14ac:dyDescent="0.2">
      <c r="K823" s="46"/>
      <c r="R823" s="53"/>
    </row>
    <row r="824" spans="11:18" x14ac:dyDescent="0.2">
      <c r="K824" s="46"/>
      <c r="R824" s="53"/>
    </row>
    <row r="825" spans="11:18" x14ac:dyDescent="0.2">
      <c r="K825" s="46"/>
      <c r="R825" s="53"/>
    </row>
    <row r="826" spans="11:18" x14ac:dyDescent="0.2">
      <c r="K826" s="46"/>
      <c r="R826" s="53"/>
    </row>
    <row r="827" spans="11:18" x14ac:dyDescent="0.2">
      <c r="K827" s="46"/>
      <c r="R827" s="53"/>
    </row>
    <row r="828" spans="11:18" x14ac:dyDescent="0.2">
      <c r="K828" s="46"/>
      <c r="R828" s="53"/>
    </row>
    <row r="829" spans="11:18" x14ac:dyDescent="0.2">
      <c r="K829" s="46"/>
      <c r="R829" s="53"/>
    </row>
    <row r="830" spans="11:18" x14ac:dyDescent="0.2">
      <c r="K830" s="46"/>
      <c r="R830" s="53"/>
    </row>
    <row r="831" spans="11:18" x14ac:dyDescent="0.2">
      <c r="K831" s="46"/>
      <c r="R831" s="53"/>
    </row>
    <row r="832" spans="11:18" x14ac:dyDescent="0.2">
      <c r="K832" s="46"/>
      <c r="R832" s="53"/>
    </row>
    <row r="833" spans="11:18" x14ac:dyDescent="0.2">
      <c r="K833" s="46"/>
      <c r="R833" s="53"/>
    </row>
    <row r="834" spans="11:18" x14ac:dyDescent="0.2">
      <c r="K834" s="46"/>
      <c r="R834" s="53"/>
    </row>
    <row r="835" spans="11:18" x14ac:dyDescent="0.2">
      <c r="K835" s="46"/>
      <c r="R835" s="53"/>
    </row>
    <row r="836" spans="11:18" x14ac:dyDescent="0.2">
      <c r="K836" s="46"/>
      <c r="R836" s="53"/>
    </row>
    <row r="837" spans="11:18" x14ac:dyDescent="0.2">
      <c r="K837" s="46"/>
      <c r="R837" s="53"/>
    </row>
    <row r="838" spans="11:18" x14ac:dyDescent="0.2">
      <c r="K838" s="46"/>
      <c r="R838" s="53"/>
    </row>
    <row r="839" spans="11:18" x14ac:dyDescent="0.2">
      <c r="K839" s="46"/>
      <c r="R839" s="53"/>
    </row>
    <row r="840" spans="11:18" x14ac:dyDescent="0.2">
      <c r="K840" s="46"/>
      <c r="R840" s="53"/>
    </row>
    <row r="841" spans="11:18" x14ac:dyDescent="0.2">
      <c r="K841" s="46"/>
      <c r="R841" s="53"/>
    </row>
    <row r="842" spans="11:18" x14ac:dyDescent="0.2">
      <c r="K842" s="46"/>
      <c r="R842" s="53"/>
    </row>
    <row r="843" spans="11:18" x14ac:dyDescent="0.2">
      <c r="K843" s="46"/>
      <c r="R843" s="53"/>
    </row>
    <row r="844" spans="11:18" x14ac:dyDescent="0.2">
      <c r="K844" s="46"/>
      <c r="R844" s="53"/>
    </row>
    <row r="845" spans="11:18" x14ac:dyDescent="0.2">
      <c r="K845" s="46"/>
      <c r="R845" s="53"/>
    </row>
    <row r="846" spans="11:18" x14ac:dyDescent="0.2">
      <c r="K846" s="46"/>
      <c r="R846" s="53"/>
    </row>
    <row r="847" spans="11:18" x14ac:dyDescent="0.2">
      <c r="K847" s="46"/>
      <c r="R847" s="53"/>
    </row>
    <row r="848" spans="11:18" x14ac:dyDescent="0.2">
      <c r="K848" s="46"/>
      <c r="R848" s="53"/>
    </row>
    <row r="849" spans="11:18" x14ac:dyDescent="0.2">
      <c r="K849" s="46"/>
      <c r="R849" s="53"/>
    </row>
    <row r="850" spans="11:18" x14ac:dyDescent="0.2">
      <c r="K850" s="46"/>
      <c r="R850" s="53"/>
    </row>
    <row r="851" spans="11:18" x14ac:dyDescent="0.2">
      <c r="K851" s="46"/>
      <c r="R851" s="53"/>
    </row>
    <row r="852" spans="11:18" x14ac:dyDescent="0.2">
      <c r="K852" s="46"/>
      <c r="R852" s="53"/>
    </row>
    <row r="853" spans="11:18" x14ac:dyDescent="0.2">
      <c r="K853" s="46"/>
      <c r="R853" s="53"/>
    </row>
    <row r="854" spans="11:18" x14ac:dyDescent="0.2">
      <c r="K854" s="46"/>
      <c r="R854" s="53"/>
    </row>
    <row r="855" spans="11:18" x14ac:dyDescent="0.2">
      <c r="K855" s="46"/>
      <c r="R855" s="53"/>
    </row>
    <row r="856" spans="11:18" x14ac:dyDescent="0.2">
      <c r="K856" s="46"/>
      <c r="R856" s="53"/>
    </row>
    <row r="857" spans="11:18" x14ac:dyDescent="0.2">
      <c r="K857" s="46"/>
      <c r="R857" s="53"/>
    </row>
    <row r="858" spans="11:18" x14ac:dyDescent="0.2">
      <c r="K858" s="46"/>
      <c r="R858" s="53"/>
    </row>
    <row r="859" spans="11:18" x14ac:dyDescent="0.2">
      <c r="K859" s="46"/>
      <c r="R859" s="53"/>
    </row>
    <row r="860" spans="11:18" x14ac:dyDescent="0.2">
      <c r="K860" s="46"/>
      <c r="R860" s="53"/>
    </row>
    <row r="861" spans="11:18" x14ac:dyDescent="0.2">
      <c r="K861" s="46"/>
      <c r="R861" s="53"/>
    </row>
    <row r="862" spans="11:18" x14ac:dyDescent="0.2">
      <c r="K862" s="46"/>
      <c r="R862" s="53"/>
    </row>
    <row r="863" spans="11:18" x14ac:dyDescent="0.2">
      <c r="K863" s="46"/>
      <c r="R863" s="53"/>
    </row>
    <row r="864" spans="11:18" x14ac:dyDescent="0.2">
      <c r="K864" s="46"/>
      <c r="R864" s="53"/>
    </row>
    <row r="865" spans="11:18" x14ac:dyDescent="0.2">
      <c r="K865" s="46"/>
      <c r="R865" s="53"/>
    </row>
    <row r="866" spans="11:18" x14ac:dyDescent="0.2">
      <c r="K866" s="46"/>
      <c r="R866" s="53"/>
    </row>
    <row r="867" spans="11:18" x14ac:dyDescent="0.2">
      <c r="K867" s="46"/>
      <c r="R867" s="53"/>
    </row>
    <row r="868" spans="11:18" x14ac:dyDescent="0.2">
      <c r="K868" s="46"/>
      <c r="R868" s="53"/>
    </row>
    <row r="869" spans="11:18" x14ac:dyDescent="0.2">
      <c r="K869" s="46"/>
      <c r="R869" s="53"/>
    </row>
    <row r="870" spans="11:18" x14ac:dyDescent="0.2">
      <c r="K870" s="46"/>
      <c r="R870" s="53"/>
    </row>
    <row r="871" spans="11:18" x14ac:dyDescent="0.2">
      <c r="K871" s="46"/>
      <c r="R871" s="53"/>
    </row>
    <row r="872" spans="11:18" x14ac:dyDescent="0.2">
      <c r="K872" s="46"/>
      <c r="R872" s="53"/>
    </row>
    <row r="873" spans="11:18" x14ac:dyDescent="0.2">
      <c r="K873" s="46"/>
      <c r="R873" s="53"/>
    </row>
    <row r="874" spans="11:18" x14ac:dyDescent="0.2">
      <c r="K874" s="46"/>
      <c r="R874" s="53"/>
    </row>
    <row r="875" spans="11:18" x14ac:dyDescent="0.2">
      <c r="K875" s="46"/>
      <c r="R875" s="53"/>
    </row>
    <row r="876" spans="11:18" x14ac:dyDescent="0.2">
      <c r="K876" s="46"/>
      <c r="R876" s="53"/>
    </row>
    <row r="877" spans="11:18" x14ac:dyDescent="0.2">
      <c r="K877" s="46"/>
      <c r="R877" s="53"/>
    </row>
    <row r="878" spans="11:18" x14ac:dyDescent="0.2">
      <c r="K878" s="46"/>
      <c r="R878" s="53"/>
    </row>
    <row r="879" spans="11:18" x14ac:dyDescent="0.2">
      <c r="K879" s="46"/>
      <c r="R879" s="53"/>
    </row>
    <row r="880" spans="11:18" x14ac:dyDescent="0.2">
      <c r="K880" s="46"/>
      <c r="R880" s="53"/>
    </row>
    <row r="881" spans="11:18" x14ac:dyDescent="0.2">
      <c r="K881" s="46"/>
      <c r="R881" s="53"/>
    </row>
    <row r="882" spans="11:18" x14ac:dyDescent="0.2">
      <c r="K882" s="46"/>
      <c r="R882" s="53"/>
    </row>
    <row r="883" spans="11:18" x14ac:dyDescent="0.2">
      <c r="K883" s="46"/>
      <c r="R883" s="53"/>
    </row>
    <row r="884" spans="11:18" x14ac:dyDescent="0.2">
      <c r="K884" s="46"/>
      <c r="R884" s="53"/>
    </row>
    <row r="885" spans="11:18" x14ac:dyDescent="0.2">
      <c r="K885" s="46"/>
      <c r="R885" s="53"/>
    </row>
    <row r="886" spans="11:18" x14ac:dyDescent="0.2">
      <c r="K886" s="46"/>
      <c r="R886" s="53"/>
    </row>
    <row r="887" spans="11:18" x14ac:dyDescent="0.2">
      <c r="K887" s="46"/>
      <c r="R887" s="53"/>
    </row>
    <row r="888" spans="11:18" x14ac:dyDescent="0.2">
      <c r="K888" s="46"/>
      <c r="R888" s="53"/>
    </row>
    <row r="889" spans="11:18" x14ac:dyDescent="0.2">
      <c r="K889" s="46"/>
      <c r="R889" s="53"/>
    </row>
    <row r="890" spans="11:18" x14ac:dyDescent="0.2">
      <c r="K890" s="46"/>
      <c r="R890" s="53"/>
    </row>
    <row r="891" spans="11:18" x14ac:dyDescent="0.2">
      <c r="K891" s="46"/>
      <c r="R891" s="53"/>
    </row>
    <row r="892" spans="11:18" x14ac:dyDescent="0.2">
      <c r="K892" s="46"/>
      <c r="R892" s="53"/>
    </row>
    <row r="893" spans="11:18" x14ac:dyDescent="0.2">
      <c r="K893" s="46"/>
      <c r="R893" s="53"/>
    </row>
    <row r="894" spans="11:18" x14ac:dyDescent="0.2">
      <c r="K894" s="46"/>
      <c r="R894" s="53"/>
    </row>
    <row r="895" spans="11:18" x14ac:dyDescent="0.2">
      <c r="K895" s="46"/>
      <c r="R895" s="53"/>
    </row>
    <row r="896" spans="11:18" x14ac:dyDescent="0.2">
      <c r="K896" s="46"/>
      <c r="R896" s="53"/>
    </row>
    <row r="897" spans="11:18" x14ac:dyDescent="0.2">
      <c r="K897" s="46"/>
      <c r="R897" s="53"/>
    </row>
    <row r="898" spans="11:18" x14ac:dyDescent="0.2">
      <c r="K898" s="46"/>
      <c r="R898" s="53"/>
    </row>
    <row r="899" spans="11:18" x14ac:dyDescent="0.2">
      <c r="K899" s="46"/>
      <c r="R899" s="53"/>
    </row>
    <row r="900" spans="11:18" x14ac:dyDescent="0.2">
      <c r="K900" s="46"/>
      <c r="R900" s="53"/>
    </row>
    <row r="901" spans="11:18" x14ac:dyDescent="0.2">
      <c r="K901" s="46"/>
      <c r="R901" s="53"/>
    </row>
    <row r="902" spans="11:18" x14ac:dyDescent="0.2">
      <c r="K902" s="46"/>
      <c r="R902" s="53"/>
    </row>
    <row r="903" spans="11:18" x14ac:dyDescent="0.2">
      <c r="K903" s="46"/>
      <c r="R903" s="53"/>
    </row>
    <row r="904" spans="11:18" x14ac:dyDescent="0.2">
      <c r="K904" s="46"/>
      <c r="R904" s="53"/>
    </row>
    <row r="905" spans="11:18" x14ac:dyDescent="0.2">
      <c r="K905" s="46"/>
      <c r="R905" s="53"/>
    </row>
    <row r="906" spans="11:18" x14ac:dyDescent="0.2">
      <c r="K906" s="46"/>
      <c r="R906" s="53"/>
    </row>
    <row r="907" spans="11:18" x14ac:dyDescent="0.2">
      <c r="K907" s="46"/>
      <c r="R907" s="53"/>
    </row>
    <row r="908" spans="11:18" x14ac:dyDescent="0.2">
      <c r="K908" s="46"/>
      <c r="R908" s="53"/>
    </row>
    <row r="909" spans="11:18" x14ac:dyDescent="0.2">
      <c r="K909" s="46"/>
      <c r="R909" s="53"/>
    </row>
    <row r="910" spans="11:18" x14ac:dyDescent="0.2">
      <c r="K910" s="46"/>
      <c r="R910" s="53"/>
    </row>
    <row r="911" spans="11:18" x14ac:dyDescent="0.2">
      <c r="K911" s="46"/>
      <c r="R911" s="53"/>
    </row>
    <row r="912" spans="11:18" x14ac:dyDescent="0.2">
      <c r="K912" s="46"/>
      <c r="R912" s="53"/>
    </row>
    <row r="913" spans="11:18" x14ac:dyDescent="0.2">
      <c r="K913" s="46"/>
      <c r="R913" s="53"/>
    </row>
    <row r="914" spans="11:18" x14ac:dyDescent="0.2">
      <c r="K914" s="46"/>
      <c r="R914" s="53"/>
    </row>
    <row r="915" spans="11:18" x14ac:dyDescent="0.2">
      <c r="K915" s="46"/>
      <c r="R915" s="53"/>
    </row>
    <row r="916" spans="11:18" x14ac:dyDescent="0.2">
      <c r="K916" s="46"/>
      <c r="R916" s="53"/>
    </row>
    <row r="917" spans="11:18" x14ac:dyDescent="0.2">
      <c r="K917" s="46"/>
      <c r="R917" s="53"/>
    </row>
    <row r="918" spans="11:18" x14ac:dyDescent="0.2">
      <c r="K918" s="46"/>
      <c r="R918" s="53"/>
    </row>
    <row r="919" spans="11:18" x14ac:dyDescent="0.2">
      <c r="K919" s="46"/>
      <c r="R919" s="53"/>
    </row>
    <row r="920" spans="11:18" x14ac:dyDescent="0.2">
      <c r="K920" s="46"/>
      <c r="R920" s="53"/>
    </row>
    <row r="921" spans="11:18" x14ac:dyDescent="0.2">
      <c r="K921" s="46"/>
      <c r="R921" s="53"/>
    </row>
    <row r="922" spans="11:18" x14ac:dyDescent="0.2">
      <c r="K922" s="46"/>
      <c r="R922" s="53"/>
    </row>
    <row r="923" spans="11:18" x14ac:dyDescent="0.2">
      <c r="K923" s="46"/>
      <c r="R923" s="53"/>
    </row>
    <row r="924" spans="11:18" x14ac:dyDescent="0.2">
      <c r="K924" s="46"/>
      <c r="R924" s="53"/>
    </row>
    <row r="925" spans="11:18" x14ac:dyDescent="0.2">
      <c r="K925" s="46"/>
      <c r="R925" s="53"/>
    </row>
    <row r="926" spans="11:18" x14ac:dyDescent="0.2">
      <c r="K926" s="46"/>
      <c r="R926" s="53"/>
    </row>
    <row r="927" spans="11:18" x14ac:dyDescent="0.2">
      <c r="K927" s="46"/>
      <c r="R927" s="53"/>
    </row>
    <row r="928" spans="11:18" x14ac:dyDescent="0.2">
      <c r="K928" s="46"/>
      <c r="R928" s="53"/>
    </row>
    <row r="929" spans="11:18" x14ac:dyDescent="0.2">
      <c r="K929" s="46"/>
      <c r="R929" s="53"/>
    </row>
    <row r="930" spans="11:18" x14ac:dyDescent="0.2">
      <c r="K930" s="46"/>
      <c r="R930" s="53"/>
    </row>
    <row r="931" spans="11:18" x14ac:dyDescent="0.2">
      <c r="K931" s="46"/>
      <c r="R931" s="53"/>
    </row>
    <row r="932" spans="11:18" x14ac:dyDescent="0.2">
      <c r="K932" s="46"/>
      <c r="R932" s="53"/>
    </row>
    <row r="933" spans="11:18" x14ac:dyDescent="0.2">
      <c r="K933" s="46"/>
      <c r="R933" s="53"/>
    </row>
    <row r="934" spans="11:18" x14ac:dyDescent="0.2">
      <c r="K934" s="46"/>
      <c r="R934" s="53"/>
    </row>
    <row r="935" spans="11:18" x14ac:dyDescent="0.2">
      <c r="K935" s="46"/>
      <c r="R935" s="53"/>
    </row>
    <row r="936" spans="11:18" x14ac:dyDescent="0.2">
      <c r="K936" s="46"/>
      <c r="R936" s="53"/>
    </row>
    <row r="937" spans="11:18" x14ac:dyDescent="0.2">
      <c r="K937" s="46"/>
      <c r="R937" s="53"/>
    </row>
    <row r="938" spans="11:18" x14ac:dyDescent="0.2">
      <c r="K938" s="46"/>
      <c r="R938" s="53"/>
    </row>
    <row r="939" spans="11:18" x14ac:dyDescent="0.2">
      <c r="K939" s="46"/>
      <c r="R939" s="53"/>
    </row>
    <row r="940" spans="11:18" x14ac:dyDescent="0.2">
      <c r="K940" s="46"/>
      <c r="R940" s="53"/>
    </row>
    <row r="941" spans="11:18" x14ac:dyDescent="0.2">
      <c r="K941" s="46"/>
      <c r="R941" s="53"/>
    </row>
    <row r="942" spans="11:18" x14ac:dyDescent="0.2">
      <c r="K942" s="46"/>
      <c r="R942" s="53"/>
    </row>
    <row r="943" spans="11:18" x14ac:dyDescent="0.2">
      <c r="K943" s="46"/>
      <c r="R943" s="53"/>
    </row>
    <row r="944" spans="11:18" x14ac:dyDescent="0.2">
      <c r="K944" s="46"/>
      <c r="R944" s="53"/>
    </row>
    <row r="945" spans="11:18" x14ac:dyDescent="0.2">
      <c r="K945" s="46"/>
      <c r="R945" s="53"/>
    </row>
    <row r="946" spans="11:18" x14ac:dyDescent="0.2">
      <c r="K946" s="46"/>
      <c r="R946" s="53"/>
    </row>
    <row r="947" spans="11:18" x14ac:dyDescent="0.2">
      <c r="K947" s="46"/>
      <c r="R947" s="53"/>
    </row>
    <row r="948" spans="11:18" x14ac:dyDescent="0.2">
      <c r="K948" s="46"/>
      <c r="R948" s="53"/>
    </row>
    <row r="949" spans="11:18" x14ac:dyDescent="0.2">
      <c r="K949" s="46"/>
      <c r="R949" s="53"/>
    </row>
    <row r="950" spans="11:18" x14ac:dyDescent="0.2">
      <c r="K950" s="46"/>
      <c r="R950" s="53"/>
    </row>
    <row r="951" spans="11:18" x14ac:dyDescent="0.2">
      <c r="K951" s="46"/>
      <c r="R951" s="53"/>
    </row>
    <row r="952" spans="11:18" x14ac:dyDescent="0.2">
      <c r="K952" s="46"/>
      <c r="R952" s="53"/>
    </row>
    <row r="953" spans="11:18" x14ac:dyDescent="0.2">
      <c r="K953" s="46"/>
      <c r="R953" s="53"/>
    </row>
    <row r="954" spans="11:18" x14ac:dyDescent="0.2">
      <c r="K954" s="46"/>
      <c r="R954" s="53"/>
    </row>
    <row r="955" spans="11:18" x14ac:dyDescent="0.2">
      <c r="K955" s="46"/>
      <c r="R955" s="53"/>
    </row>
    <row r="956" spans="11:18" x14ac:dyDescent="0.2">
      <c r="K956" s="46"/>
      <c r="R956" s="53"/>
    </row>
    <row r="957" spans="11:18" x14ac:dyDescent="0.2">
      <c r="K957" s="46"/>
      <c r="R957" s="53"/>
    </row>
    <row r="958" spans="11:18" x14ac:dyDescent="0.2">
      <c r="K958" s="46"/>
      <c r="R958" s="53"/>
    </row>
    <row r="959" spans="11:18" x14ac:dyDescent="0.2">
      <c r="K959" s="46"/>
      <c r="R959" s="53"/>
    </row>
    <row r="960" spans="11:18" x14ac:dyDescent="0.2">
      <c r="K960" s="46"/>
      <c r="R960" s="53"/>
    </row>
    <row r="961" spans="11:18" x14ac:dyDescent="0.2">
      <c r="K961" s="46"/>
      <c r="R961" s="53"/>
    </row>
    <row r="962" spans="11:18" x14ac:dyDescent="0.2">
      <c r="K962" s="46"/>
      <c r="R962" s="53"/>
    </row>
    <row r="963" spans="11:18" x14ac:dyDescent="0.2">
      <c r="K963" s="46"/>
      <c r="R963" s="53"/>
    </row>
    <row r="964" spans="11:18" x14ac:dyDescent="0.2">
      <c r="K964" s="46"/>
      <c r="R964" s="53"/>
    </row>
    <row r="965" spans="11:18" x14ac:dyDescent="0.2">
      <c r="K965" s="46"/>
      <c r="R965" s="53"/>
    </row>
    <row r="966" spans="11:18" x14ac:dyDescent="0.2">
      <c r="K966" s="46"/>
      <c r="R966" s="53"/>
    </row>
    <row r="967" spans="11:18" x14ac:dyDescent="0.2">
      <c r="K967" s="46"/>
      <c r="R967" s="53"/>
    </row>
    <row r="968" spans="11:18" x14ac:dyDescent="0.2">
      <c r="K968" s="46"/>
      <c r="R968" s="53"/>
    </row>
    <row r="969" spans="11:18" x14ac:dyDescent="0.2">
      <c r="K969" s="46"/>
      <c r="R969" s="53"/>
    </row>
    <row r="970" spans="11:18" x14ac:dyDescent="0.2">
      <c r="K970" s="46"/>
      <c r="R970" s="53"/>
    </row>
    <row r="971" spans="11:18" x14ac:dyDescent="0.2">
      <c r="K971" s="46"/>
      <c r="R971" s="53"/>
    </row>
    <row r="972" spans="11:18" x14ac:dyDescent="0.2">
      <c r="K972" s="46"/>
      <c r="R972" s="53"/>
    </row>
    <row r="973" spans="11:18" x14ac:dyDescent="0.2">
      <c r="K973" s="46"/>
      <c r="R973" s="53"/>
    </row>
    <row r="974" spans="11:18" x14ac:dyDescent="0.2">
      <c r="K974" s="46"/>
      <c r="R974" s="53"/>
    </row>
    <row r="975" spans="11:18" x14ac:dyDescent="0.2">
      <c r="K975" s="46"/>
      <c r="R975" s="53"/>
    </row>
    <row r="976" spans="11:18" x14ac:dyDescent="0.2">
      <c r="K976" s="46"/>
      <c r="R976" s="53"/>
    </row>
    <row r="977" spans="11:18" x14ac:dyDescent="0.2">
      <c r="K977" s="46"/>
      <c r="R977" s="53"/>
    </row>
    <row r="978" spans="11:18" x14ac:dyDescent="0.2">
      <c r="K978" s="46"/>
      <c r="R978" s="53"/>
    </row>
    <row r="979" spans="11:18" x14ac:dyDescent="0.2">
      <c r="K979" s="46"/>
      <c r="R979" s="53"/>
    </row>
    <row r="980" spans="11:18" x14ac:dyDescent="0.2">
      <c r="K980" s="46"/>
      <c r="R980" s="53"/>
    </row>
    <row r="981" spans="11:18" x14ac:dyDescent="0.2">
      <c r="K981" s="46"/>
      <c r="R981" s="53"/>
    </row>
    <row r="982" spans="11:18" x14ac:dyDescent="0.2">
      <c r="K982" s="46"/>
      <c r="R982" s="53"/>
    </row>
    <row r="983" spans="11:18" x14ac:dyDescent="0.2">
      <c r="K983" s="46"/>
      <c r="R983" s="53"/>
    </row>
    <row r="984" spans="11:18" x14ac:dyDescent="0.2">
      <c r="K984" s="46"/>
      <c r="R984" s="53"/>
    </row>
    <row r="985" spans="11:18" x14ac:dyDescent="0.2">
      <c r="K985" s="46"/>
      <c r="R985" s="53"/>
    </row>
    <row r="986" spans="11:18" x14ac:dyDescent="0.2">
      <c r="K986" s="46"/>
      <c r="R986" s="53"/>
    </row>
    <row r="987" spans="11:18" x14ac:dyDescent="0.2">
      <c r="K987" s="46"/>
      <c r="R987" s="53"/>
    </row>
    <row r="988" spans="11:18" x14ac:dyDescent="0.2">
      <c r="K988" s="46"/>
      <c r="R988" s="53"/>
    </row>
    <row r="989" spans="11:18" x14ac:dyDescent="0.2">
      <c r="K989" s="46"/>
      <c r="R989" s="53"/>
    </row>
    <row r="990" spans="11:18" x14ac:dyDescent="0.2">
      <c r="K990" s="46"/>
      <c r="R990" s="53"/>
    </row>
    <row r="991" spans="11:18" x14ac:dyDescent="0.2">
      <c r="K991" s="46"/>
      <c r="R991" s="53"/>
    </row>
    <row r="992" spans="11:18" x14ac:dyDescent="0.2">
      <c r="K992" s="46"/>
      <c r="R992" s="53"/>
    </row>
    <row r="993" spans="11:18" x14ac:dyDescent="0.2">
      <c r="K993" s="46"/>
      <c r="R993" s="53"/>
    </row>
    <row r="994" spans="11:18" x14ac:dyDescent="0.2">
      <c r="K994" s="46"/>
      <c r="R994" s="53"/>
    </row>
    <row r="995" spans="11:18" x14ac:dyDescent="0.2">
      <c r="K995" s="46"/>
      <c r="R995" s="53"/>
    </row>
    <row r="996" spans="11:18" x14ac:dyDescent="0.2">
      <c r="K996" s="46"/>
      <c r="R996" s="53"/>
    </row>
    <row r="997" spans="11:18" x14ac:dyDescent="0.2">
      <c r="K997" s="46"/>
      <c r="R997" s="53"/>
    </row>
    <row r="998" spans="11:18" x14ac:dyDescent="0.2">
      <c r="K998" s="46"/>
      <c r="R998" s="53"/>
    </row>
    <row r="999" spans="11:18" x14ac:dyDescent="0.2">
      <c r="K999" s="46"/>
      <c r="R999" s="53"/>
    </row>
    <row r="1000" spans="11:18" x14ac:dyDescent="0.2">
      <c r="K1000" s="46"/>
      <c r="R1000" s="53"/>
    </row>
    <row r="1001" spans="11:18" x14ac:dyDescent="0.2">
      <c r="K1001" s="46"/>
      <c r="R1001" s="53"/>
    </row>
    <row r="1002" spans="11:18" x14ac:dyDescent="0.2">
      <c r="K1002" s="46"/>
      <c r="R1002" s="53"/>
    </row>
    <row r="1003" spans="11:18" x14ac:dyDescent="0.2">
      <c r="K1003" s="46"/>
      <c r="R1003" s="53"/>
    </row>
    <row r="1004" spans="11:18" x14ac:dyDescent="0.2">
      <c r="K1004" s="46"/>
      <c r="R1004" s="53"/>
    </row>
    <row r="1005" spans="11:18" x14ac:dyDescent="0.2">
      <c r="K1005" s="46"/>
      <c r="R1005" s="53"/>
    </row>
    <row r="1006" spans="11:18" x14ac:dyDescent="0.2">
      <c r="K1006" s="46"/>
      <c r="R1006" s="53"/>
    </row>
    <row r="1007" spans="11:18" x14ac:dyDescent="0.2">
      <c r="K1007" s="46"/>
      <c r="R1007" s="53"/>
    </row>
    <row r="1008" spans="11:18" x14ac:dyDescent="0.2">
      <c r="K1008" s="46"/>
      <c r="R1008" s="53"/>
    </row>
    <row r="1009" spans="11:18" x14ac:dyDescent="0.2">
      <c r="K1009" s="46"/>
      <c r="R1009" s="53"/>
    </row>
    <row r="1010" spans="11:18" x14ac:dyDescent="0.2">
      <c r="K1010" s="46"/>
      <c r="R1010" s="53"/>
    </row>
    <row r="1011" spans="11:18" x14ac:dyDescent="0.2">
      <c r="K1011" s="46"/>
      <c r="R1011" s="53"/>
    </row>
    <row r="1012" spans="11:18" x14ac:dyDescent="0.2">
      <c r="K1012" s="46"/>
      <c r="R1012" s="53"/>
    </row>
    <row r="1013" spans="11:18" x14ac:dyDescent="0.2">
      <c r="K1013" s="46"/>
      <c r="R1013" s="53"/>
    </row>
    <row r="1014" spans="11:18" x14ac:dyDescent="0.2">
      <c r="K1014" s="46"/>
      <c r="R1014" s="53"/>
    </row>
    <row r="1015" spans="11:18" x14ac:dyDescent="0.2">
      <c r="K1015" s="46"/>
      <c r="R1015" s="53"/>
    </row>
    <row r="1016" spans="11:18" x14ac:dyDescent="0.2">
      <c r="K1016" s="46"/>
      <c r="R1016" s="53"/>
    </row>
    <row r="1017" spans="11:18" x14ac:dyDescent="0.2">
      <c r="K1017" s="46"/>
      <c r="R1017" s="53"/>
    </row>
    <row r="1018" spans="11:18" x14ac:dyDescent="0.2">
      <c r="K1018" s="46"/>
      <c r="R1018" s="53"/>
    </row>
    <row r="1019" spans="11:18" x14ac:dyDescent="0.2">
      <c r="K1019" s="46"/>
      <c r="R1019" s="53"/>
    </row>
    <row r="1020" spans="11:18" x14ac:dyDescent="0.2">
      <c r="K1020" s="46"/>
      <c r="R1020" s="53"/>
    </row>
    <row r="1021" spans="11:18" x14ac:dyDescent="0.2">
      <c r="K1021" s="46"/>
      <c r="R1021" s="53"/>
    </row>
    <row r="1022" spans="11:18" x14ac:dyDescent="0.2">
      <c r="K1022" s="46"/>
      <c r="R1022" s="53"/>
    </row>
    <row r="1023" spans="11:18" x14ac:dyDescent="0.2">
      <c r="K1023" s="46"/>
      <c r="R1023" s="53"/>
    </row>
    <row r="1024" spans="11:18" x14ac:dyDescent="0.2">
      <c r="K1024" s="46"/>
      <c r="R1024" s="53"/>
    </row>
    <row r="1025" spans="11:18" x14ac:dyDescent="0.2">
      <c r="K1025" s="46"/>
      <c r="R1025" s="53"/>
    </row>
    <row r="1026" spans="11:18" x14ac:dyDescent="0.2">
      <c r="K1026" s="46"/>
      <c r="R1026" s="53"/>
    </row>
    <row r="1027" spans="11:18" x14ac:dyDescent="0.2">
      <c r="K1027" s="46"/>
      <c r="R1027" s="53"/>
    </row>
    <row r="1028" spans="11:18" x14ac:dyDescent="0.2">
      <c r="K1028" s="46"/>
      <c r="R1028" s="53"/>
    </row>
    <row r="1029" spans="11:18" x14ac:dyDescent="0.2">
      <c r="K1029" s="46"/>
      <c r="R1029" s="53"/>
    </row>
    <row r="1030" spans="11:18" x14ac:dyDescent="0.2">
      <c r="K1030" s="46"/>
      <c r="R1030" s="53"/>
    </row>
    <row r="1031" spans="11:18" x14ac:dyDescent="0.2">
      <c r="K1031" s="46"/>
      <c r="R1031" s="53"/>
    </row>
    <row r="1032" spans="11:18" x14ac:dyDescent="0.2">
      <c r="K1032" s="46"/>
      <c r="R1032" s="53"/>
    </row>
    <row r="1033" spans="11:18" x14ac:dyDescent="0.2">
      <c r="K1033" s="46"/>
      <c r="R1033" s="53"/>
    </row>
    <row r="1034" spans="11:18" x14ac:dyDescent="0.2">
      <c r="K1034" s="46"/>
      <c r="R1034" s="53"/>
    </row>
    <row r="1035" spans="11:18" x14ac:dyDescent="0.2">
      <c r="K1035" s="46"/>
      <c r="R1035" s="53"/>
    </row>
    <row r="1036" spans="11:18" x14ac:dyDescent="0.2">
      <c r="K1036" s="46"/>
      <c r="R1036" s="53"/>
    </row>
    <row r="1037" spans="11:18" x14ac:dyDescent="0.2">
      <c r="K1037" s="46"/>
      <c r="R1037" s="53"/>
    </row>
    <row r="1038" spans="11:18" x14ac:dyDescent="0.2">
      <c r="K1038" s="46"/>
      <c r="R1038" s="53"/>
    </row>
    <row r="1039" spans="11:18" x14ac:dyDescent="0.2">
      <c r="K1039" s="46"/>
      <c r="R1039" s="53"/>
    </row>
    <row r="1040" spans="11:18" x14ac:dyDescent="0.2">
      <c r="K1040" s="46"/>
      <c r="R1040" s="53"/>
    </row>
    <row r="1041" spans="11:18" x14ac:dyDescent="0.2">
      <c r="K1041" s="46"/>
      <c r="R1041" s="53"/>
    </row>
    <row r="1042" spans="11:18" x14ac:dyDescent="0.2">
      <c r="K1042" s="46"/>
      <c r="R1042" s="53"/>
    </row>
    <row r="1043" spans="11:18" x14ac:dyDescent="0.2">
      <c r="K1043" s="46"/>
      <c r="R1043" s="53"/>
    </row>
    <row r="1044" spans="11:18" x14ac:dyDescent="0.2">
      <c r="K1044" s="46"/>
      <c r="R1044" s="53"/>
    </row>
    <row r="1045" spans="11:18" x14ac:dyDescent="0.2">
      <c r="K1045" s="46"/>
      <c r="R1045" s="53"/>
    </row>
    <row r="1046" spans="11:18" x14ac:dyDescent="0.2">
      <c r="K1046" s="46"/>
      <c r="R1046" s="53"/>
    </row>
    <row r="1047" spans="11:18" x14ac:dyDescent="0.2">
      <c r="K1047" s="46"/>
      <c r="R1047" s="53"/>
    </row>
    <row r="1048" spans="11:18" x14ac:dyDescent="0.2">
      <c r="K1048" s="46"/>
      <c r="R1048" s="53"/>
    </row>
    <row r="1049" spans="11:18" x14ac:dyDescent="0.2">
      <c r="K1049" s="46"/>
      <c r="R1049" s="53"/>
    </row>
    <row r="1050" spans="11:18" x14ac:dyDescent="0.2">
      <c r="K1050" s="46"/>
      <c r="R1050" s="53"/>
    </row>
    <row r="1051" spans="11:18" x14ac:dyDescent="0.2">
      <c r="K1051" s="46"/>
      <c r="R1051" s="53"/>
    </row>
    <row r="1052" spans="11:18" x14ac:dyDescent="0.2">
      <c r="K1052" s="46"/>
      <c r="R1052" s="53"/>
    </row>
    <row r="1053" spans="11:18" x14ac:dyDescent="0.2">
      <c r="K1053" s="46"/>
      <c r="R1053" s="53"/>
    </row>
    <row r="1054" spans="11:18" x14ac:dyDescent="0.2">
      <c r="K1054" s="46"/>
      <c r="R1054" s="53"/>
    </row>
    <row r="1055" spans="11:18" x14ac:dyDescent="0.2">
      <c r="K1055" s="46"/>
      <c r="R1055" s="53"/>
    </row>
    <row r="1056" spans="11:18" x14ac:dyDescent="0.2">
      <c r="K1056" s="46"/>
      <c r="R1056" s="53"/>
    </row>
    <row r="1057" spans="11:18" x14ac:dyDescent="0.2">
      <c r="K1057" s="46"/>
      <c r="R1057" s="53"/>
    </row>
    <row r="1058" spans="11:18" x14ac:dyDescent="0.2">
      <c r="K1058" s="46"/>
      <c r="R1058" s="53"/>
    </row>
    <row r="1059" spans="11:18" x14ac:dyDescent="0.2">
      <c r="K1059" s="46"/>
      <c r="R1059" s="53"/>
    </row>
    <row r="1060" spans="11:18" x14ac:dyDescent="0.2">
      <c r="K1060" s="46"/>
      <c r="R1060" s="53"/>
    </row>
    <row r="1061" spans="11:18" x14ac:dyDescent="0.2">
      <c r="K1061" s="46"/>
      <c r="R1061" s="53"/>
    </row>
    <row r="1062" spans="11:18" x14ac:dyDescent="0.2">
      <c r="K1062" s="46"/>
      <c r="R1062" s="53"/>
    </row>
    <row r="1063" spans="11:18" x14ac:dyDescent="0.2">
      <c r="K1063" s="46"/>
      <c r="R1063" s="53"/>
    </row>
  </sheetData>
  <mergeCells count="2">
    <mergeCell ref="A1:G1"/>
    <mergeCell ref="K1:Q1"/>
  </mergeCells>
  <hyperlinks>
    <hyperlink ref="U1" r:id="rId1" xr:uid="{A66083DD-6667-4E2C-ADEF-3C99BED40A72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DCD0-50B7-4FEC-A920-08C56773DD4C}">
  <sheetPr>
    <tabColor theme="7" tint="0.79998168889431442"/>
  </sheetPr>
  <dimension ref="A1:Z996"/>
  <sheetViews>
    <sheetView showGridLines="0" workbookViewId="0">
      <pane xSplit="1" ySplit="2" topLeftCell="B631" activePane="bottomRight" state="frozen"/>
      <selection pane="topRight" activeCell="B1" sqref="B1"/>
      <selection pane="bottomLeft" activeCell="A3" sqref="A3"/>
      <selection pane="bottomRight" activeCell="J636" sqref="J636"/>
    </sheetView>
  </sheetViews>
  <sheetFormatPr baseColWidth="10" defaultColWidth="9.1640625" defaultRowHeight="15" x14ac:dyDescent="0.2"/>
  <cols>
    <col min="1" max="1" width="15.1640625" style="210" customWidth="1"/>
    <col min="2" max="6" width="9.1640625" style="210"/>
    <col min="7" max="7" width="12" style="210" bestFit="1" customWidth="1"/>
    <col min="8" max="9" width="9.1640625" style="210"/>
    <col min="10" max="10" width="12.83203125" style="210" customWidth="1"/>
    <col min="11" max="15" width="9.1640625" style="210"/>
    <col min="16" max="16" width="11" style="210" bestFit="1" customWidth="1"/>
    <col min="17" max="17" width="14" style="210" customWidth="1"/>
    <col min="18" max="18" width="18.6640625" style="210" customWidth="1"/>
    <col min="19" max="16384" width="9.1640625" style="210"/>
  </cols>
  <sheetData>
    <row r="1" spans="1:26" x14ac:dyDescent="0.2">
      <c r="A1" s="530" t="s">
        <v>102</v>
      </c>
      <c r="B1" s="530"/>
      <c r="C1" s="530"/>
      <c r="D1" s="530"/>
      <c r="E1" s="530"/>
      <c r="F1" s="530"/>
      <c r="G1" s="530"/>
      <c r="H1" s="184"/>
      <c r="J1" s="530" t="s">
        <v>103</v>
      </c>
      <c r="K1" s="530"/>
      <c r="L1" s="530"/>
      <c r="M1" s="530"/>
      <c r="N1" s="530"/>
      <c r="O1" s="530"/>
      <c r="P1" s="530"/>
      <c r="Q1" s="184"/>
      <c r="R1" s="172"/>
      <c r="S1" s="214" t="s">
        <v>61</v>
      </c>
      <c r="T1" s="154" t="s">
        <v>605</v>
      </c>
      <c r="U1" s="172"/>
      <c r="V1" s="172"/>
      <c r="W1" s="172"/>
      <c r="X1" s="172"/>
      <c r="Y1" s="172"/>
      <c r="Z1" s="172"/>
    </row>
    <row r="2" spans="1:26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  <c r="Q2" s="186" t="s">
        <v>110</v>
      </c>
      <c r="R2" s="201" t="s">
        <v>111</v>
      </c>
      <c r="T2" s="210" t="s">
        <v>604</v>
      </c>
    </row>
    <row r="3" spans="1:26" x14ac:dyDescent="0.2">
      <c r="A3" s="354">
        <v>38687</v>
      </c>
      <c r="B3" t="s">
        <v>781</v>
      </c>
      <c r="C3" t="s">
        <v>782</v>
      </c>
      <c r="D3" t="s">
        <v>783</v>
      </c>
      <c r="E3" t="s">
        <v>784</v>
      </c>
      <c r="F3" t="s">
        <v>785</v>
      </c>
      <c r="G3">
        <v>224373259</v>
      </c>
      <c r="J3" s="354">
        <v>38670</v>
      </c>
      <c r="K3">
        <v>3.919632</v>
      </c>
      <c r="L3">
        <v>4.1341029999999996</v>
      </c>
      <c r="M3">
        <v>3.919632</v>
      </c>
      <c r="N3">
        <v>4.1119159999999999</v>
      </c>
      <c r="O3">
        <v>2.7798440000000002</v>
      </c>
      <c r="P3">
        <v>263628045</v>
      </c>
    </row>
    <row r="4" spans="1:26" x14ac:dyDescent="0.2">
      <c r="A4" s="354">
        <v>38718</v>
      </c>
      <c r="B4" t="s">
        <v>786</v>
      </c>
      <c r="C4" t="s">
        <v>787</v>
      </c>
      <c r="D4" t="s">
        <v>788</v>
      </c>
      <c r="E4" t="s">
        <v>789</v>
      </c>
      <c r="F4" t="s">
        <v>790</v>
      </c>
      <c r="G4">
        <v>268617535</v>
      </c>
      <c r="J4" s="354">
        <v>38677</v>
      </c>
      <c r="K4">
        <v>4.1193119999999999</v>
      </c>
      <c r="L4">
        <v>4.5371589999999999</v>
      </c>
      <c r="M4">
        <v>3.95661</v>
      </c>
      <c r="N4">
        <v>4.5260660000000001</v>
      </c>
      <c r="O4">
        <v>3.059828</v>
      </c>
      <c r="P4">
        <v>168912764</v>
      </c>
    </row>
    <row r="5" spans="1:26" x14ac:dyDescent="0.2">
      <c r="A5" s="354">
        <v>38749</v>
      </c>
      <c r="B5" t="s">
        <v>791</v>
      </c>
      <c r="C5" t="s">
        <v>792</v>
      </c>
      <c r="D5" t="s">
        <v>793</v>
      </c>
      <c r="E5" t="s">
        <v>794</v>
      </c>
      <c r="F5" t="s">
        <v>795</v>
      </c>
      <c r="G5">
        <v>274978133</v>
      </c>
      <c r="J5" s="354">
        <v>38684</v>
      </c>
      <c r="K5">
        <v>4.5342010000000004</v>
      </c>
      <c r="L5">
        <v>4.9180289999999998</v>
      </c>
      <c r="M5">
        <v>4.1784759999999999</v>
      </c>
      <c r="N5">
        <v>4.8788330000000002</v>
      </c>
      <c r="O5">
        <v>3.2983150000000001</v>
      </c>
      <c r="P5">
        <v>88926647</v>
      </c>
    </row>
    <row r="6" spans="1:26" x14ac:dyDescent="0.2">
      <c r="A6" s="354">
        <v>38777</v>
      </c>
      <c r="B6" t="s">
        <v>796</v>
      </c>
      <c r="C6" t="s">
        <v>797</v>
      </c>
      <c r="D6" t="s">
        <v>798</v>
      </c>
      <c r="E6" t="s">
        <v>799</v>
      </c>
      <c r="F6" t="s">
        <v>800</v>
      </c>
      <c r="G6">
        <v>187187297</v>
      </c>
      <c r="J6" s="354">
        <v>38691</v>
      </c>
      <c r="K6">
        <v>4.8514689999999998</v>
      </c>
      <c r="L6">
        <v>5.1620819999999998</v>
      </c>
      <c r="M6">
        <v>4.7005999999999997</v>
      </c>
      <c r="N6">
        <v>4.722048</v>
      </c>
      <c r="O6">
        <v>3.1923210000000002</v>
      </c>
      <c r="P6">
        <v>53919030</v>
      </c>
    </row>
    <row r="7" spans="1:26" x14ac:dyDescent="0.2">
      <c r="A7" s="354">
        <v>38808</v>
      </c>
      <c r="B7" t="s">
        <v>801</v>
      </c>
      <c r="C7" t="s">
        <v>802</v>
      </c>
      <c r="D7" t="s">
        <v>803</v>
      </c>
      <c r="E7" t="s">
        <v>804</v>
      </c>
      <c r="F7" t="s">
        <v>805</v>
      </c>
      <c r="G7">
        <v>184558688</v>
      </c>
      <c r="J7" s="354">
        <v>38698</v>
      </c>
      <c r="K7">
        <v>4.8248449999999998</v>
      </c>
      <c r="L7">
        <v>5.1768729999999996</v>
      </c>
      <c r="M7">
        <v>4.6665809999999999</v>
      </c>
      <c r="N7">
        <v>4.7701190000000002</v>
      </c>
      <c r="O7">
        <v>3.2248190000000001</v>
      </c>
      <c r="P7">
        <v>66644278</v>
      </c>
    </row>
    <row r="8" spans="1:26" x14ac:dyDescent="0.2">
      <c r="A8" s="354">
        <v>38838</v>
      </c>
      <c r="B8" t="s">
        <v>804</v>
      </c>
      <c r="C8" t="s">
        <v>806</v>
      </c>
      <c r="D8" t="s">
        <v>807</v>
      </c>
      <c r="E8" t="s">
        <v>808</v>
      </c>
      <c r="F8" t="s">
        <v>809</v>
      </c>
      <c r="G8">
        <v>7477384822</v>
      </c>
      <c r="J8" s="354">
        <v>38705</v>
      </c>
      <c r="K8">
        <v>4.9550070000000002</v>
      </c>
      <c r="L8">
        <v>5.1251040000000003</v>
      </c>
      <c r="M8">
        <v>4.7486709999999999</v>
      </c>
      <c r="N8">
        <v>5.0282229999999997</v>
      </c>
      <c r="O8">
        <v>3.3993090000000001</v>
      </c>
      <c r="P8">
        <v>42175454</v>
      </c>
    </row>
    <row r="9" spans="1:26" x14ac:dyDescent="0.2">
      <c r="A9" s="354">
        <v>38869</v>
      </c>
      <c r="B9" t="s">
        <v>810</v>
      </c>
      <c r="C9" t="s">
        <v>811</v>
      </c>
      <c r="D9" t="s">
        <v>796</v>
      </c>
      <c r="E9" t="s">
        <v>812</v>
      </c>
      <c r="F9" t="s">
        <v>813</v>
      </c>
      <c r="G9">
        <v>6280989526</v>
      </c>
      <c r="J9" s="354">
        <v>38712</v>
      </c>
      <c r="K9">
        <v>5.0104730000000002</v>
      </c>
      <c r="L9">
        <v>5.0947820000000004</v>
      </c>
      <c r="M9">
        <v>4.9172900000000004</v>
      </c>
      <c r="N9">
        <v>5.0385759999999999</v>
      </c>
      <c r="O9">
        <v>3.4063089999999998</v>
      </c>
      <c r="P9">
        <v>9419197</v>
      </c>
    </row>
    <row r="10" spans="1:26" x14ac:dyDescent="0.2">
      <c r="A10" s="354">
        <v>38899</v>
      </c>
      <c r="B10" t="s">
        <v>814</v>
      </c>
      <c r="C10" t="s">
        <v>815</v>
      </c>
      <c r="D10" t="s">
        <v>816</v>
      </c>
      <c r="E10" t="s">
        <v>817</v>
      </c>
      <c r="F10" t="s">
        <v>818</v>
      </c>
      <c r="G10">
        <v>8158229336</v>
      </c>
      <c r="J10" s="354">
        <v>38719</v>
      </c>
      <c r="K10">
        <v>5.0289619999999999</v>
      </c>
      <c r="L10">
        <v>6.1974559999999999</v>
      </c>
      <c r="M10">
        <v>4.9195080000000004</v>
      </c>
      <c r="N10">
        <v>5.6353960000000001</v>
      </c>
      <c r="O10">
        <v>3.8097850000000002</v>
      </c>
      <c r="P10">
        <v>67285206</v>
      </c>
    </row>
    <row r="11" spans="1:26" x14ac:dyDescent="0.2">
      <c r="A11" s="354">
        <v>38930</v>
      </c>
      <c r="B11" t="s">
        <v>819</v>
      </c>
      <c r="C11" t="s">
        <v>820</v>
      </c>
      <c r="D11" t="s">
        <v>821</v>
      </c>
      <c r="E11" t="s">
        <v>796</v>
      </c>
      <c r="F11" t="s">
        <v>822</v>
      </c>
      <c r="G11">
        <v>11163171159</v>
      </c>
      <c r="J11" s="354">
        <v>38726</v>
      </c>
      <c r="K11">
        <v>5.6206050000000003</v>
      </c>
      <c r="L11">
        <v>6.2677139999999998</v>
      </c>
      <c r="M11">
        <v>5.4468100000000002</v>
      </c>
      <c r="N11">
        <v>6.0643370000000001</v>
      </c>
      <c r="O11">
        <v>4.0997700000000004</v>
      </c>
      <c r="P11">
        <v>82878402</v>
      </c>
    </row>
    <row r="12" spans="1:26" x14ac:dyDescent="0.2">
      <c r="A12" s="354">
        <v>38961</v>
      </c>
      <c r="B12" t="s">
        <v>823</v>
      </c>
      <c r="C12" t="s">
        <v>824</v>
      </c>
      <c r="D12" t="s">
        <v>825</v>
      </c>
      <c r="E12" t="s">
        <v>826</v>
      </c>
      <c r="F12" t="s">
        <v>827</v>
      </c>
      <c r="G12">
        <v>545418435</v>
      </c>
      <c r="J12" s="354">
        <v>38733</v>
      </c>
      <c r="K12">
        <v>6.0724720000000003</v>
      </c>
      <c r="L12">
        <v>6.6411879999999996</v>
      </c>
      <c r="M12">
        <v>5.8794490000000001</v>
      </c>
      <c r="N12">
        <v>6.6116060000000001</v>
      </c>
      <c r="O12">
        <v>4.4697480000000001</v>
      </c>
      <c r="P12">
        <v>44974442</v>
      </c>
    </row>
    <row r="13" spans="1:26" x14ac:dyDescent="0.2">
      <c r="A13" s="354">
        <v>38991</v>
      </c>
      <c r="B13" t="s">
        <v>828</v>
      </c>
      <c r="C13" t="s">
        <v>829</v>
      </c>
      <c r="D13" t="s">
        <v>830</v>
      </c>
      <c r="E13" t="s">
        <v>831</v>
      </c>
      <c r="F13" t="s">
        <v>832</v>
      </c>
      <c r="G13">
        <v>59436316</v>
      </c>
      <c r="J13" s="354">
        <v>38740</v>
      </c>
      <c r="K13">
        <v>6.6559799999999996</v>
      </c>
      <c r="L13">
        <v>7.3955330000000004</v>
      </c>
      <c r="M13">
        <v>6.5080689999999999</v>
      </c>
      <c r="N13">
        <v>7.1181999999999999</v>
      </c>
      <c r="O13">
        <v>4.8122299999999996</v>
      </c>
      <c r="P13">
        <v>46146772</v>
      </c>
    </row>
    <row r="14" spans="1:26" x14ac:dyDescent="0.2">
      <c r="A14" s="354">
        <v>39022</v>
      </c>
      <c r="B14" t="s">
        <v>833</v>
      </c>
      <c r="C14" t="s">
        <v>834</v>
      </c>
      <c r="D14" t="s">
        <v>835</v>
      </c>
      <c r="E14" t="s">
        <v>836</v>
      </c>
      <c r="F14" t="s">
        <v>837</v>
      </c>
      <c r="G14">
        <v>56862691</v>
      </c>
      <c r="J14" s="354">
        <v>38747</v>
      </c>
      <c r="K14">
        <v>7.0331520000000003</v>
      </c>
      <c r="L14">
        <v>7.4680090000000003</v>
      </c>
      <c r="M14">
        <v>6.4489049999999999</v>
      </c>
      <c r="N14">
        <v>7.3511600000000001</v>
      </c>
      <c r="O14">
        <v>4.9697209999999998</v>
      </c>
      <c r="P14">
        <v>94743672</v>
      </c>
    </row>
    <row r="15" spans="1:26" x14ac:dyDescent="0.2">
      <c r="A15" s="354">
        <v>39052</v>
      </c>
      <c r="B15" t="s">
        <v>838</v>
      </c>
      <c r="C15" t="s">
        <v>839</v>
      </c>
      <c r="D15" t="s">
        <v>840</v>
      </c>
      <c r="E15" t="s">
        <v>841</v>
      </c>
      <c r="F15" t="s">
        <v>842</v>
      </c>
      <c r="G15">
        <v>105228825</v>
      </c>
      <c r="J15" s="354">
        <v>38754</v>
      </c>
      <c r="K15">
        <v>7.6765629999999998</v>
      </c>
      <c r="L15">
        <v>8.2460190000000004</v>
      </c>
      <c r="M15">
        <v>7.2180400000000002</v>
      </c>
      <c r="N15">
        <v>8.0241530000000001</v>
      </c>
      <c r="O15">
        <v>5.4246949999999998</v>
      </c>
      <c r="P15">
        <v>71897450</v>
      </c>
    </row>
    <row r="16" spans="1:26" x14ac:dyDescent="0.2">
      <c r="A16" s="354">
        <v>39083</v>
      </c>
      <c r="B16" t="s">
        <v>841</v>
      </c>
      <c r="C16" t="s">
        <v>843</v>
      </c>
      <c r="D16" t="s">
        <v>844</v>
      </c>
      <c r="E16" t="s">
        <v>845</v>
      </c>
      <c r="F16" t="s">
        <v>846</v>
      </c>
      <c r="G16">
        <v>91113548</v>
      </c>
      <c r="J16" s="354">
        <v>38761</v>
      </c>
      <c r="K16">
        <v>8.0981089999999991</v>
      </c>
      <c r="L16">
        <v>9.1697209999999991</v>
      </c>
      <c r="M16">
        <v>7.5146009999999999</v>
      </c>
      <c r="N16">
        <v>7.8392650000000001</v>
      </c>
      <c r="O16">
        <v>5.2997019999999999</v>
      </c>
      <c r="P16">
        <v>77787491</v>
      </c>
    </row>
    <row r="17" spans="1:16" x14ac:dyDescent="0.2">
      <c r="A17" s="354">
        <v>39114</v>
      </c>
      <c r="B17" t="s">
        <v>847</v>
      </c>
      <c r="C17" t="s">
        <v>848</v>
      </c>
      <c r="D17" t="s">
        <v>849</v>
      </c>
      <c r="E17" t="s">
        <v>850</v>
      </c>
      <c r="F17" t="s">
        <v>851</v>
      </c>
      <c r="G17">
        <v>96333814</v>
      </c>
      <c r="J17" s="354">
        <v>38768</v>
      </c>
      <c r="K17">
        <v>7.3955330000000004</v>
      </c>
      <c r="L17">
        <v>8.4301680000000001</v>
      </c>
      <c r="M17">
        <v>7.0257560000000003</v>
      </c>
      <c r="N17">
        <v>8.3717430000000004</v>
      </c>
      <c r="O17">
        <v>5.6596820000000001</v>
      </c>
      <c r="P17">
        <v>57882233</v>
      </c>
    </row>
    <row r="18" spans="1:16" x14ac:dyDescent="0.2">
      <c r="A18" s="354">
        <v>39142</v>
      </c>
      <c r="B18" t="s">
        <v>852</v>
      </c>
      <c r="C18" t="s">
        <v>853</v>
      </c>
      <c r="D18" t="s">
        <v>854</v>
      </c>
      <c r="E18" t="s">
        <v>855</v>
      </c>
      <c r="F18" t="s">
        <v>856</v>
      </c>
      <c r="G18">
        <v>73000357</v>
      </c>
      <c r="J18" s="354">
        <v>38775</v>
      </c>
      <c r="K18">
        <v>8.3717430000000004</v>
      </c>
      <c r="L18">
        <v>8.6897509999999993</v>
      </c>
      <c r="M18">
        <v>8.1949900000000007</v>
      </c>
      <c r="N18">
        <v>8.2977880000000006</v>
      </c>
      <c r="O18">
        <v>5.6096849999999998</v>
      </c>
      <c r="P18">
        <v>14639915</v>
      </c>
    </row>
    <row r="19" spans="1:16" x14ac:dyDescent="0.2">
      <c r="A19" s="354">
        <v>39173</v>
      </c>
      <c r="B19" t="s">
        <v>855</v>
      </c>
      <c r="C19" t="s">
        <v>857</v>
      </c>
      <c r="D19" t="s">
        <v>858</v>
      </c>
      <c r="E19" t="s">
        <v>859</v>
      </c>
      <c r="F19" t="s">
        <v>860</v>
      </c>
      <c r="G19">
        <v>78959811</v>
      </c>
      <c r="J19" s="354">
        <v>38782</v>
      </c>
      <c r="K19">
        <v>8.3488170000000004</v>
      </c>
      <c r="L19">
        <v>8.6194939999999995</v>
      </c>
      <c r="M19">
        <v>7.6913539999999996</v>
      </c>
      <c r="N19">
        <v>7.9871759999999998</v>
      </c>
      <c r="O19">
        <v>5.3996979999999999</v>
      </c>
      <c r="P19">
        <v>27799210</v>
      </c>
    </row>
    <row r="20" spans="1:16" x14ac:dyDescent="0.2">
      <c r="A20" s="354">
        <v>39203</v>
      </c>
      <c r="B20" t="s">
        <v>859</v>
      </c>
      <c r="C20" t="s">
        <v>861</v>
      </c>
      <c r="D20" t="s">
        <v>862</v>
      </c>
      <c r="E20" t="s">
        <v>863</v>
      </c>
      <c r="F20" t="s">
        <v>864</v>
      </c>
      <c r="G20">
        <v>61758437</v>
      </c>
      <c r="J20" s="354">
        <v>38789</v>
      </c>
      <c r="K20">
        <v>7.9871759999999998</v>
      </c>
      <c r="L20">
        <v>8.6157959999999996</v>
      </c>
      <c r="M20">
        <v>7.8984290000000001</v>
      </c>
      <c r="N20">
        <v>8.4826759999999997</v>
      </c>
      <c r="O20">
        <v>5.7346769999999996</v>
      </c>
      <c r="P20">
        <v>30805077</v>
      </c>
    </row>
    <row r="21" spans="1:16" x14ac:dyDescent="0.2">
      <c r="A21" s="354">
        <v>39234</v>
      </c>
      <c r="B21" t="s">
        <v>865</v>
      </c>
      <c r="C21" t="s">
        <v>866</v>
      </c>
      <c r="D21" t="s">
        <v>867</v>
      </c>
      <c r="E21" t="s">
        <v>868</v>
      </c>
      <c r="F21" t="s">
        <v>869</v>
      </c>
      <c r="G21">
        <v>228958910</v>
      </c>
      <c r="J21" s="354">
        <v>38796</v>
      </c>
      <c r="K21">
        <v>8.4309080000000005</v>
      </c>
      <c r="L21">
        <v>10.871434000000001</v>
      </c>
      <c r="M21">
        <v>8.4309080000000005</v>
      </c>
      <c r="N21">
        <v>10.583008</v>
      </c>
      <c r="O21">
        <v>7.1545990000000002</v>
      </c>
      <c r="P21">
        <v>72262534</v>
      </c>
    </row>
    <row r="22" spans="1:16" x14ac:dyDescent="0.2">
      <c r="A22" s="354">
        <v>39264</v>
      </c>
      <c r="B22" t="s">
        <v>870</v>
      </c>
      <c r="C22" t="s">
        <v>871</v>
      </c>
      <c r="D22" t="s">
        <v>872</v>
      </c>
      <c r="E22" t="s">
        <v>873</v>
      </c>
      <c r="F22" t="s">
        <v>874</v>
      </c>
      <c r="G22">
        <v>99805727</v>
      </c>
      <c r="J22" s="354">
        <v>38803</v>
      </c>
      <c r="K22">
        <v>10.805612999999999</v>
      </c>
      <c r="L22">
        <v>11.463075999999999</v>
      </c>
      <c r="M22">
        <v>9.9100140000000003</v>
      </c>
      <c r="N22">
        <v>10.974971</v>
      </c>
      <c r="O22">
        <v>7.4195830000000003</v>
      </c>
      <c r="P22">
        <v>41680561</v>
      </c>
    </row>
    <row r="23" spans="1:16" x14ac:dyDescent="0.2">
      <c r="A23" s="354">
        <v>39295</v>
      </c>
      <c r="B23" t="s">
        <v>875</v>
      </c>
      <c r="C23" t="s">
        <v>876</v>
      </c>
      <c r="D23" t="s">
        <v>877</v>
      </c>
      <c r="E23" t="s">
        <v>878</v>
      </c>
      <c r="F23" t="s">
        <v>879</v>
      </c>
      <c r="G23">
        <v>152906246</v>
      </c>
      <c r="J23" s="354">
        <v>38810</v>
      </c>
      <c r="K23">
        <v>11.167255000000001</v>
      </c>
      <c r="L23">
        <v>12.645621999999999</v>
      </c>
      <c r="M23">
        <v>11.108091</v>
      </c>
      <c r="N23">
        <v>11.108091</v>
      </c>
      <c r="O23">
        <v>7.5095780000000003</v>
      </c>
      <c r="P23">
        <v>37968862</v>
      </c>
    </row>
    <row r="24" spans="1:16" x14ac:dyDescent="0.2">
      <c r="A24" s="354">
        <v>39326</v>
      </c>
      <c r="B24" t="s">
        <v>880</v>
      </c>
      <c r="C24" t="s">
        <v>881</v>
      </c>
      <c r="D24" t="s">
        <v>882</v>
      </c>
      <c r="E24" t="s">
        <v>883</v>
      </c>
      <c r="F24" t="s">
        <v>884</v>
      </c>
      <c r="G24">
        <v>115155084</v>
      </c>
      <c r="J24" s="354">
        <v>38817</v>
      </c>
      <c r="K24">
        <v>11.182046</v>
      </c>
      <c r="L24">
        <v>11.426099000000001</v>
      </c>
      <c r="M24">
        <v>9.6289840000000009</v>
      </c>
      <c r="N24">
        <v>10.427702</v>
      </c>
      <c r="O24">
        <v>7.0496040000000004</v>
      </c>
      <c r="P24">
        <v>70059854</v>
      </c>
    </row>
    <row r="25" spans="1:16" x14ac:dyDescent="0.2">
      <c r="A25" s="354">
        <v>39356</v>
      </c>
      <c r="B25" t="s">
        <v>885</v>
      </c>
      <c r="C25" t="s">
        <v>886</v>
      </c>
      <c r="D25" t="s">
        <v>887</v>
      </c>
      <c r="E25" t="s">
        <v>888</v>
      </c>
      <c r="F25" t="s">
        <v>889</v>
      </c>
      <c r="G25">
        <v>103934347</v>
      </c>
      <c r="J25" s="354">
        <v>38824</v>
      </c>
      <c r="K25">
        <v>10.575612</v>
      </c>
      <c r="L25">
        <v>11.869831</v>
      </c>
      <c r="M25">
        <v>10.094903</v>
      </c>
      <c r="N25">
        <v>11.463075999999999</v>
      </c>
      <c r="O25">
        <v>7.7495630000000002</v>
      </c>
      <c r="P25">
        <v>45416600</v>
      </c>
    </row>
    <row r="26" spans="1:16" x14ac:dyDescent="0.2">
      <c r="A26" s="354">
        <v>39387</v>
      </c>
      <c r="B26" t="s">
        <v>890</v>
      </c>
      <c r="C26" t="s">
        <v>891</v>
      </c>
      <c r="D26" t="s">
        <v>892</v>
      </c>
      <c r="E26" t="s">
        <v>893</v>
      </c>
      <c r="F26" t="s">
        <v>894</v>
      </c>
      <c r="G26">
        <v>98683430</v>
      </c>
      <c r="J26" s="354">
        <v>38831</v>
      </c>
      <c r="K26">
        <v>11.976326</v>
      </c>
      <c r="L26">
        <v>12.305427</v>
      </c>
      <c r="M26">
        <v>11.316644999999999</v>
      </c>
      <c r="N26">
        <v>11.877226</v>
      </c>
      <c r="O26">
        <v>8.0295520000000007</v>
      </c>
      <c r="P26">
        <v>31113372</v>
      </c>
    </row>
    <row r="27" spans="1:16" x14ac:dyDescent="0.2">
      <c r="A27" s="354">
        <v>39417</v>
      </c>
      <c r="B27" t="s">
        <v>895</v>
      </c>
      <c r="C27" t="s">
        <v>896</v>
      </c>
      <c r="D27" t="s">
        <v>897</v>
      </c>
      <c r="E27" t="s">
        <v>898</v>
      </c>
      <c r="F27" t="s">
        <v>899</v>
      </c>
      <c r="G27">
        <v>75686582</v>
      </c>
      <c r="J27" s="354">
        <v>38838</v>
      </c>
      <c r="K27">
        <v>11.877226</v>
      </c>
      <c r="L27">
        <v>13.201765999999999</v>
      </c>
      <c r="M27">
        <v>11.466773999999999</v>
      </c>
      <c r="N27">
        <v>13.201765999999999</v>
      </c>
      <c r="O27">
        <v>8.9250000000000007</v>
      </c>
      <c r="P27">
        <v>41688675</v>
      </c>
    </row>
    <row r="28" spans="1:16" x14ac:dyDescent="0.2">
      <c r="A28" s="354">
        <v>39448</v>
      </c>
      <c r="B28" t="s">
        <v>898</v>
      </c>
      <c r="C28" t="s">
        <v>900</v>
      </c>
      <c r="D28" t="s">
        <v>901</v>
      </c>
      <c r="E28" t="s">
        <v>902</v>
      </c>
      <c r="F28" t="s">
        <v>903</v>
      </c>
      <c r="G28">
        <v>153180112</v>
      </c>
      <c r="J28" s="354">
        <v>38845</v>
      </c>
      <c r="K28">
        <v>13.289773</v>
      </c>
      <c r="L28">
        <v>14.035982000000001</v>
      </c>
      <c r="M28">
        <v>12.720317</v>
      </c>
      <c r="N28">
        <v>12.795012</v>
      </c>
      <c r="O28">
        <v>8.6500160000000008</v>
      </c>
      <c r="P28">
        <v>1191248834</v>
      </c>
    </row>
    <row r="29" spans="1:16" x14ac:dyDescent="0.2">
      <c r="A29" s="354">
        <v>39479</v>
      </c>
      <c r="B29" t="s">
        <v>904</v>
      </c>
      <c r="C29" t="s">
        <v>905</v>
      </c>
      <c r="D29" t="s">
        <v>906</v>
      </c>
      <c r="E29" t="s">
        <v>907</v>
      </c>
      <c r="F29" t="s">
        <v>908</v>
      </c>
      <c r="G29">
        <v>121490824</v>
      </c>
      <c r="J29" s="354">
        <v>38852</v>
      </c>
      <c r="K29">
        <v>12.794271999999999</v>
      </c>
      <c r="L29">
        <v>12.794271999999999</v>
      </c>
      <c r="M29">
        <v>10.538634999999999</v>
      </c>
      <c r="N29">
        <v>10.864038000000001</v>
      </c>
      <c r="O29">
        <v>7.3445879999999999</v>
      </c>
      <c r="P29">
        <v>2211366890</v>
      </c>
    </row>
    <row r="30" spans="1:16" x14ac:dyDescent="0.2">
      <c r="A30" s="354">
        <v>39508</v>
      </c>
      <c r="B30" t="s">
        <v>909</v>
      </c>
      <c r="C30" t="s">
        <v>910</v>
      </c>
      <c r="D30" t="s">
        <v>911</v>
      </c>
      <c r="E30" t="s">
        <v>912</v>
      </c>
      <c r="F30" t="s">
        <v>913</v>
      </c>
      <c r="G30">
        <v>105461422</v>
      </c>
      <c r="J30" s="354">
        <v>38859</v>
      </c>
      <c r="K30">
        <v>10.353745999999999</v>
      </c>
      <c r="L30">
        <v>11.500054</v>
      </c>
      <c r="M30">
        <v>8.7267290000000006</v>
      </c>
      <c r="N30">
        <v>10.725742</v>
      </c>
      <c r="O30">
        <v>7.2510940000000002</v>
      </c>
      <c r="P30">
        <v>2635783825</v>
      </c>
    </row>
    <row r="31" spans="1:16" x14ac:dyDescent="0.2">
      <c r="A31" s="354">
        <v>39539</v>
      </c>
      <c r="B31" t="s">
        <v>914</v>
      </c>
      <c r="C31" t="s">
        <v>915</v>
      </c>
      <c r="D31" t="s">
        <v>916</v>
      </c>
      <c r="E31" t="s">
        <v>915</v>
      </c>
      <c r="F31" t="s">
        <v>917</v>
      </c>
      <c r="G31">
        <v>132732781</v>
      </c>
      <c r="J31" s="354">
        <v>38866</v>
      </c>
      <c r="K31">
        <v>10.872173</v>
      </c>
      <c r="L31">
        <v>11.426099000000001</v>
      </c>
      <c r="M31">
        <v>9.9469919999999998</v>
      </c>
      <c r="N31">
        <v>10.353745999999999</v>
      </c>
      <c r="O31">
        <v>6.9996070000000001</v>
      </c>
      <c r="P31">
        <v>2289552827</v>
      </c>
    </row>
    <row r="32" spans="1:16" x14ac:dyDescent="0.2">
      <c r="A32" s="354">
        <v>39569</v>
      </c>
      <c r="B32" t="s">
        <v>915</v>
      </c>
      <c r="C32" t="s">
        <v>918</v>
      </c>
      <c r="D32" t="s">
        <v>919</v>
      </c>
      <c r="E32" t="s">
        <v>920</v>
      </c>
      <c r="F32" t="s">
        <v>921</v>
      </c>
      <c r="G32">
        <v>70348871</v>
      </c>
      <c r="J32" s="354">
        <v>38873</v>
      </c>
      <c r="K32">
        <v>10.354486</v>
      </c>
      <c r="L32">
        <v>10.372975</v>
      </c>
      <c r="M32">
        <v>8.6572110000000002</v>
      </c>
      <c r="N32">
        <v>9.2074390000000008</v>
      </c>
      <c r="O32">
        <v>6.2246509999999997</v>
      </c>
      <c r="P32">
        <v>2374476936</v>
      </c>
    </row>
    <row r="33" spans="1:16" x14ac:dyDescent="0.2">
      <c r="A33" s="354">
        <v>39600</v>
      </c>
      <c r="B33" t="s">
        <v>922</v>
      </c>
      <c r="C33" t="s">
        <v>923</v>
      </c>
      <c r="D33" t="s">
        <v>924</v>
      </c>
      <c r="E33" t="s">
        <v>925</v>
      </c>
      <c r="F33" t="s">
        <v>926</v>
      </c>
      <c r="G33">
        <v>81452655</v>
      </c>
      <c r="J33" s="354">
        <v>38880</v>
      </c>
      <c r="K33">
        <v>9.1741589999999995</v>
      </c>
      <c r="L33">
        <v>9.4588870000000007</v>
      </c>
      <c r="M33">
        <v>8.3569519999999997</v>
      </c>
      <c r="N33">
        <v>9.3849309999999999</v>
      </c>
      <c r="O33">
        <v>6.3446439999999997</v>
      </c>
      <c r="P33">
        <v>1097116084</v>
      </c>
    </row>
    <row r="34" spans="1:16" x14ac:dyDescent="0.2">
      <c r="A34" s="354">
        <v>39630</v>
      </c>
      <c r="B34" t="s">
        <v>927</v>
      </c>
      <c r="C34" t="s">
        <v>928</v>
      </c>
      <c r="D34" t="s">
        <v>927</v>
      </c>
      <c r="E34" t="s">
        <v>929</v>
      </c>
      <c r="F34" t="s">
        <v>930</v>
      </c>
      <c r="G34">
        <v>128773477</v>
      </c>
      <c r="J34" s="354">
        <v>38887</v>
      </c>
      <c r="K34">
        <v>9.4803339999999992</v>
      </c>
      <c r="L34">
        <v>9.9839699999999993</v>
      </c>
      <c r="M34">
        <v>9.1704609999999995</v>
      </c>
      <c r="N34">
        <v>9.7251259999999995</v>
      </c>
      <c r="O34">
        <v>6.5746310000000001</v>
      </c>
      <c r="P34">
        <v>830803877</v>
      </c>
    </row>
    <row r="35" spans="1:16" x14ac:dyDescent="0.2">
      <c r="A35" s="354">
        <v>39661</v>
      </c>
      <c r="B35" t="s">
        <v>931</v>
      </c>
      <c r="C35" t="s">
        <v>932</v>
      </c>
      <c r="D35" t="s">
        <v>933</v>
      </c>
      <c r="E35" t="s">
        <v>934</v>
      </c>
      <c r="F35" t="s">
        <v>935</v>
      </c>
      <c r="G35">
        <v>67597115</v>
      </c>
      <c r="J35" s="354">
        <v>38894</v>
      </c>
      <c r="K35">
        <v>9.6141930000000002</v>
      </c>
      <c r="L35">
        <v>10.346351</v>
      </c>
      <c r="M35">
        <v>8.8820350000000001</v>
      </c>
      <c r="N35">
        <v>10.316769000000001</v>
      </c>
      <c r="O35">
        <v>6.9746090000000001</v>
      </c>
      <c r="P35">
        <v>1086336400</v>
      </c>
    </row>
    <row r="36" spans="1:16" x14ac:dyDescent="0.2">
      <c r="A36" s="354">
        <v>39692</v>
      </c>
      <c r="B36" t="s">
        <v>936</v>
      </c>
      <c r="C36" t="s">
        <v>937</v>
      </c>
      <c r="D36" t="s">
        <v>938</v>
      </c>
      <c r="E36" t="s">
        <v>939</v>
      </c>
      <c r="F36" t="s">
        <v>940</v>
      </c>
      <c r="G36">
        <v>143016531</v>
      </c>
      <c r="J36" s="354">
        <v>38901</v>
      </c>
      <c r="K36">
        <v>10.220627</v>
      </c>
      <c r="L36">
        <v>10.719825</v>
      </c>
      <c r="M36">
        <v>9.6245469999999997</v>
      </c>
      <c r="N36">
        <v>10.353745999999999</v>
      </c>
      <c r="O36">
        <v>6.9996070000000001</v>
      </c>
      <c r="P36">
        <v>1475446688</v>
      </c>
    </row>
    <row r="37" spans="1:16" x14ac:dyDescent="0.2">
      <c r="A37" s="354">
        <v>39722</v>
      </c>
      <c r="B37" t="s">
        <v>941</v>
      </c>
      <c r="C37" t="s">
        <v>942</v>
      </c>
      <c r="D37" t="s">
        <v>943</v>
      </c>
      <c r="E37" t="s">
        <v>944</v>
      </c>
      <c r="F37" t="s">
        <v>945</v>
      </c>
      <c r="G37">
        <v>91813364</v>
      </c>
      <c r="J37" s="354">
        <v>38908</v>
      </c>
      <c r="K37">
        <v>10.358184</v>
      </c>
      <c r="L37">
        <v>10.501657</v>
      </c>
      <c r="M37">
        <v>9.8367979999999999</v>
      </c>
      <c r="N37">
        <v>10.338955</v>
      </c>
      <c r="O37">
        <v>6.9896070000000003</v>
      </c>
      <c r="P37">
        <v>4546106818</v>
      </c>
    </row>
    <row r="38" spans="1:16" x14ac:dyDescent="0.2">
      <c r="A38" s="354">
        <v>39753</v>
      </c>
      <c r="B38" t="s">
        <v>946</v>
      </c>
      <c r="C38" t="s">
        <v>947</v>
      </c>
      <c r="D38" t="s">
        <v>948</v>
      </c>
      <c r="E38" t="s">
        <v>949</v>
      </c>
      <c r="F38" t="s">
        <v>950</v>
      </c>
      <c r="G38">
        <v>47684471</v>
      </c>
      <c r="J38" s="354">
        <v>38915</v>
      </c>
      <c r="K38">
        <v>10.346351</v>
      </c>
      <c r="L38">
        <v>11.44089</v>
      </c>
      <c r="M38">
        <v>10.228762</v>
      </c>
      <c r="N38">
        <v>10.871434000000001</v>
      </c>
      <c r="O38">
        <v>7.3495879999999998</v>
      </c>
      <c r="P38">
        <v>1220326561</v>
      </c>
    </row>
    <row r="39" spans="1:16" x14ac:dyDescent="0.2">
      <c r="A39" s="354">
        <v>39783</v>
      </c>
      <c r="B39" t="s">
        <v>951</v>
      </c>
      <c r="C39" t="s">
        <v>952</v>
      </c>
      <c r="D39" t="s">
        <v>953</v>
      </c>
      <c r="E39" t="s">
        <v>954</v>
      </c>
      <c r="F39" t="s">
        <v>955</v>
      </c>
      <c r="G39">
        <v>78051892</v>
      </c>
      <c r="J39" s="354">
        <v>38922</v>
      </c>
      <c r="K39">
        <v>10.982367</v>
      </c>
      <c r="L39">
        <v>11.529636</v>
      </c>
      <c r="M39">
        <v>10.509791999999999</v>
      </c>
      <c r="N39">
        <v>10.575612</v>
      </c>
      <c r="O39">
        <v>7.1495990000000003</v>
      </c>
      <c r="P39">
        <v>670747456</v>
      </c>
    </row>
    <row r="40" spans="1:16" x14ac:dyDescent="0.2">
      <c r="A40" s="354">
        <v>39814</v>
      </c>
      <c r="B40" t="s">
        <v>954</v>
      </c>
      <c r="C40" t="s">
        <v>956</v>
      </c>
      <c r="D40" t="s">
        <v>957</v>
      </c>
      <c r="E40" t="s">
        <v>958</v>
      </c>
      <c r="F40" t="s">
        <v>959</v>
      </c>
      <c r="G40">
        <v>71867870</v>
      </c>
      <c r="J40" s="354">
        <v>38929</v>
      </c>
      <c r="K40">
        <v>10.575612</v>
      </c>
      <c r="L40">
        <v>11.089601999999999</v>
      </c>
      <c r="M40">
        <v>9.7990809999999993</v>
      </c>
      <c r="N40">
        <v>10.634776</v>
      </c>
      <c r="O40">
        <v>7.1895980000000002</v>
      </c>
      <c r="P40">
        <v>1803298823</v>
      </c>
    </row>
    <row r="41" spans="1:16" x14ac:dyDescent="0.2">
      <c r="A41" s="354">
        <v>39845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>
        <v>86007859</v>
      </c>
      <c r="J41" s="354">
        <v>38936</v>
      </c>
      <c r="K41">
        <v>10.569696</v>
      </c>
      <c r="L41">
        <v>10.662140000000001</v>
      </c>
      <c r="M41">
        <v>9.2518119999999993</v>
      </c>
      <c r="N41">
        <v>9.2518119999999993</v>
      </c>
      <c r="O41">
        <v>6.2546489999999997</v>
      </c>
      <c r="P41">
        <v>1632471671</v>
      </c>
    </row>
    <row r="42" spans="1:16" x14ac:dyDescent="0.2">
      <c r="A42" s="354">
        <v>39873</v>
      </c>
      <c r="B42" t="s">
        <v>965</v>
      </c>
      <c r="C42" t="s">
        <v>966</v>
      </c>
      <c r="D42" t="s">
        <v>967</v>
      </c>
      <c r="E42" t="s">
        <v>968</v>
      </c>
      <c r="F42" t="s">
        <v>969</v>
      </c>
      <c r="G42">
        <v>104388444</v>
      </c>
      <c r="J42" s="354">
        <v>38943</v>
      </c>
      <c r="K42">
        <v>9.3183720000000001</v>
      </c>
      <c r="L42">
        <v>9.562424</v>
      </c>
      <c r="M42">
        <v>8.6157959999999996</v>
      </c>
      <c r="N42">
        <v>8.9042220000000007</v>
      </c>
      <c r="O42">
        <v>6.0196630000000004</v>
      </c>
      <c r="P42">
        <v>2643651113</v>
      </c>
    </row>
    <row r="43" spans="1:16" x14ac:dyDescent="0.2">
      <c r="A43" s="354">
        <v>39904</v>
      </c>
      <c r="B43" t="s">
        <v>970</v>
      </c>
      <c r="C43" t="s">
        <v>971</v>
      </c>
      <c r="D43" t="s">
        <v>972</v>
      </c>
      <c r="E43" t="s">
        <v>973</v>
      </c>
      <c r="F43" t="s">
        <v>974</v>
      </c>
      <c r="G43">
        <v>205885624</v>
      </c>
      <c r="J43" s="354">
        <v>38950</v>
      </c>
      <c r="K43">
        <v>8.9042220000000007</v>
      </c>
      <c r="L43">
        <v>8.9826139999999999</v>
      </c>
      <c r="M43">
        <v>8.0611309999999996</v>
      </c>
      <c r="N43">
        <v>8.8487550000000006</v>
      </c>
      <c r="O43">
        <v>5.9821629999999999</v>
      </c>
      <c r="P43">
        <v>3674819609</v>
      </c>
    </row>
    <row r="44" spans="1:16" x14ac:dyDescent="0.2">
      <c r="A44" s="354">
        <v>39934</v>
      </c>
      <c r="B44" t="s">
        <v>973</v>
      </c>
      <c r="C44" t="s">
        <v>975</v>
      </c>
      <c r="D44" t="s">
        <v>973</v>
      </c>
      <c r="E44" t="s">
        <v>976</v>
      </c>
      <c r="F44" t="s">
        <v>977</v>
      </c>
      <c r="G44">
        <v>121438164</v>
      </c>
      <c r="J44" s="354">
        <v>38957</v>
      </c>
      <c r="K44">
        <v>8.8191729999999993</v>
      </c>
      <c r="L44">
        <v>9.0003639999999994</v>
      </c>
      <c r="M44">
        <v>8.0101019999999998</v>
      </c>
      <c r="N44">
        <v>8.4331259999999997</v>
      </c>
      <c r="O44">
        <v>5.7011799999999999</v>
      </c>
      <c r="P44">
        <v>1727775623</v>
      </c>
    </row>
    <row r="45" spans="1:16" x14ac:dyDescent="0.2">
      <c r="A45" s="354">
        <v>39965</v>
      </c>
      <c r="B45" t="s">
        <v>978</v>
      </c>
      <c r="C45" t="s">
        <v>979</v>
      </c>
      <c r="D45" t="s">
        <v>980</v>
      </c>
      <c r="E45" t="s">
        <v>981</v>
      </c>
      <c r="F45" t="s">
        <v>982</v>
      </c>
      <c r="G45">
        <v>121669505</v>
      </c>
      <c r="J45" s="354">
        <v>38964</v>
      </c>
      <c r="K45">
        <v>8.5218729999999994</v>
      </c>
      <c r="L45">
        <v>8.9167939999999994</v>
      </c>
      <c r="M45">
        <v>8.2977880000000006</v>
      </c>
      <c r="N45">
        <v>8.4309080000000005</v>
      </c>
      <c r="O45">
        <v>5.6996799999999999</v>
      </c>
      <c r="P45">
        <v>393842610</v>
      </c>
    </row>
    <row r="46" spans="1:16" x14ac:dyDescent="0.2">
      <c r="A46" s="354">
        <v>39995</v>
      </c>
      <c r="B46" t="s">
        <v>983</v>
      </c>
      <c r="C46" t="s">
        <v>984</v>
      </c>
      <c r="D46" t="s">
        <v>985</v>
      </c>
      <c r="E46" t="s">
        <v>986</v>
      </c>
      <c r="F46" t="s">
        <v>987</v>
      </c>
      <c r="G46">
        <v>122115528</v>
      </c>
      <c r="J46" s="354">
        <v>38971</v>
      </c>
      <c r="K46">
        <v>8.4109400000000001</v>
      </c>
      <c r="L46">
        <v>8.4708430000000003</v>
      </c>
      <c r="M46">
        <v>7.7985889999999998</v>
      </c>
      <c r="N46">
        <v>7.9428020000000004</v>
      </c>
      <c r="O46">
        <v>5.3696989999999998</v>
      </c>
      <c r="P46">
        <v>9967726</v>
      </c>
    </row>
    <row r="47" spans="1:16" x14ac:dyDescent="0.2">
      <c r="A47" s="354">
        <v>40026</v>
      </c>
      <c r="B47" t="s">
        <v>988</v>
      </c>
      <c r="C47" t="s">
        <v>989</v>
      </c>
      <c r="D47" t="s">
        <v>990</v>
      </c>
      <c r="E47" t="s">
        <v>991</v>
      </c>
      <c r="F47" t="s">
        <v>992</v>
      </c>
      <c r="G47">
        <v>138660711</v>
      </c>
      <c r="J47" s="354">
        <v>38978</v>
      </c>
      <c r="K47">
        <v>7.9871759999999998</v>
      </c>
      <c r="L47">
        <v>8.0537349999999996</v>
      </c>
      <c r="M47">
        <v>6.2921189999999996</v>
      </c>
      <c r="N47">
        <v>6.5894199999999996</v>
      </c>
      <c r="O47">
        <v>4.4547499999999998</v>
      </c>
      <c r="P47">
        <v>16524836</v>
      </c>
    </row>
    <row r="48" spans="1:16" x14ac:dyDescent="0.2">
      <c r="A48" s="354">
        <v>40057</v>
      </c>
      <c r="B48" t="s">
        <v>993</v>
      </c>
      <c r="C48" t="s">
        <v>994</v>
      </c>
      <c r="D48" t="s">
        <v>995</v>
      </c>
      <c r="E48" t="s">
        <v>996</v>
      </c>
      <c r="F48" t="s">
        <v>997</v>
      </c>
      <c r="G48">
        <v>111721509</v>
      </c>
      <c r="J48" s="354">
        <v>38985</v>
      </c>
      <c r="K48">
        <v>6.5738890000000003</v>
      </c>
      <c r="L48">
        <v>8.0759220000000003</v>
      </c>
      <c r="M48">
        <v>6.0258799999999999</v>
      </c>
      <c r="N48">
        <v>7.7764030000000002</v>
      </c>
      <c r="O48">
        <v>5.2572049999999999</v>
      </c>
      <c r="P48">
        <v>51839396</v>
      </c>
    </row>
    <row r="49" spans="1:16" x14ac:dyDescent="0.2">
      <c r="A49" s="354">
        <v>40087</v>
      </c>
      <c r="B49" t="s">
        <v>996</v>
      </c>
      <c r="C49" t="s">
        <v>998</v>
      </c>
      <c r="D49" t="s">
        <v>999</v>
      </c>
      <c r="E49" t="s">
        <v>1000</v>
      </c>
      <c r="F49" t="s">
        <v>1001</v>
      </c>
      <c r="G49">
        <v>91691398</v>
      </c>
      <c r="J49" s="354">
        <v>38992</v>
      </c>
      <c r="K49">
        <v>7.9871759999999998</v>
      </c>
      <c r="L49">
        <v>8.1757620000000006</v>
      </c>
      <c r="M49">
        <v>6.9554989999999997</v>
      </c>
      <c r="N49">
        <v>7.5012889999999999</v>
      </c>
      <c r="O49">
        <v>5.0712159999999997</v>
      </c>
      <c r="P49">
        <v>20588551</v>
      </c>
    </row>
    <row r="50" spans="1:16" x14ac:dyDescent="0.2">
      <c r="A50" s="354">
        <v>40118</v>
      </c>
      <c r="B50" t="s">
        <v>1000</v>
      </c>
      <c r="C50" t="s">
        <v>1002</v>
      </c>
      <c r="D50" t="s">
        <v>1003</v>
      </c>
      <c r="E50" t="s">
        <v>1004</v>
      </c>
      <c r="F50" t="s">
        <v>1005</v>
      </c>
      <c r="G50">
        <v>101454862</v>
      </c>
      <c r="J50" s="354">
        <v>38999</v>
      </c>
      <c r="K50">
        <v>7.4968519999999996</v>
      </c>
      <c r="L50">
        <v>8.0714849999999991</v>
      </c>
      <c r="M50">
        <v>7.4657900000000001</v>
      </c>
      <c r="N50">
        <v>7.9871759999999998</v>
      </c>
      <c r="O50">
        <v>5.3996979999999999</v>
      </c>
      <c r="P50">
        <v>8155371</v>
      </c>
    </row>
    <row r="51" spans="1:16" x14ac:dyDescent="0.2">
      <c r="A51" s="354">
        <v>40148</v>
      </c>
      <c r="B51" t="s">
        <v>1006</v>
      </c>
      <c r="C51" t="s">
        <v>919</v>
      </c>
      <c r="D51" t="s">
        <v>1007</v>
      </c>
      <c r="E51" t="s">
        <v>919</v>
      </c>
      <c r="F51" t="s">
        <v>1008</v>
      </c>
      <c r="G51">
        <v>95710560</v>
      </c>
      <c r="J51" s="354">
        <v>39006</v>
      </c>
      <c r="K51">
        <v>7.9982689999999996</v>
      </c>
      <c r="L51">
        <v>8.5928699999999996</v>
      </c>
      <c r="M51">
        <v>7.9871759999999998</v>
      </c>
      <c r="N51">
        <v>8.2933509999999995</v>
      </c>
      <c r="O51">
        <v>5.6066859999999998</v>
      </c>
      <c r="P51">
        <v>16122792</v>
      </c>
    </row>
    <row r="52" spans="1:16" x14ac:dyDescent="0.2">
      <c r="A52" s="354">
        <v>40179</v>
      </c>
      <c r="B52" t="s">
        <v>919</v>
      </c>
      <c r="C52" t="s">
        <v>1009</v>
      </c>
      <c r="D52" t="s">
        <v>1010</v>
      </c>
      <c r="E52" t="s">
        <v>1011</v>
      </c>
      <c r="F52" t="s">
        <v>1012</v>
      </c>
      <c r="G52">
        <v>163243324</v>
      </c>
      <c r="J52" s="354">
        <v>39013</v>
      </c>
      <c r="K52">
        <v>8.2645079999999993</v>
      </c>
      <c r="L52">
        <v>8.7304270000000006</v>
      </c>
      <c r="M52">
        <v>7.9095219999999999</v>
      </c>
      <c r="N52">
        <v>8.1069829999999996</v>
      </c>
      <c r="O52">
        <v>5.4806920000000003</v>
      </c>
      <c r="P52">
        <v>11492971</v>
      </c>
    </row>
    <row r="53" spans="1:16" x14ac:dyDescent="0.2">
      <c r="A53" s="354">
        <v>40210</v>
      </c>
      <c r="B53" t="s">
        <v>1013</v>
      </c>
      <c r="C53" t="s">
        <v>1014</v>
      </c>
      <c r="D53" t="s">
        <v>1015</v>
      </c>
      <c r="E53" t="s">
        <v>1016</v>
      </c>
      <c r="F53" t="s">
        <v>1017</v>
      </c>
      <c r="G53">
        <v>148519591</v>
      </c>
      <c r="J53" s="354">
        <v>39020</v>
      </c>
      <c r="K53">
        <v>8.1424819999999993</v>
      </c>
      <c r="L53">
        <v>8.4309080000000005</v>
      </c>
      <c r="M53">
        <v>7.8762429999999997</v>
      </c>
      <c r="N53">
        <v>8.3155370000000008</v>
      </c>
      <c r="O53">
        <v>5.6216840000000001</v>
      </c>
      <c r="P53">
        <v>6703594</v>
      </c>
    </row>
    <row r="54" spans="1:16" x14ac:dyDescent="0.2">
      <c r="A54" s="354">
        <v>40238</v>
      </c>
      <c r="B54" t="s">
        <v>1018</v>
      </c>
      <c r="C54" t="s">
        <v>1019</v>
      </c>
      <c r="D54" t="s">
        <v>1020</v>
      </c>
      <c r="E54" t="s">
        <v>1021</v>
      </c>
      <c r="F54" t="s">
        <v>1022</v>
      </c>
      <c r="G54">
        <v>118547337</v>
      </c>
      <c r="J54" s="354">
        <v>39027</v>
      </c>
      <c r="K54">
        <v>8.3244120000000006</v>
      </c>
      <c r="L54">
        <v>8.6083999999999996</v>
      </c>
      <c r="M54">
        <v>8.0093619999999994</v>
      </c>
      <c r="N54">
        <v>8.1646680000000007</v>
      </c>
      <c r="O54">
        <v>5.5196899999999998</v>
      </c>
      <c r="P54">
        <v>14252745</v>
      </c>
    </row>
    <row r="55" spans="1:16" x14ac:dyDescent="0.2">
      <c r="A55" s="354">
        <v>40269</v>
      </c>
      <c r="B55" t="s">
        <v>1023</v>
      </c>
      <c r="C55" t="s">
        <v>1024</v>
      </c>
      <c r="D55" t="s">
        <v>1025</v>
      </c>
      <c r="E55" t="s">
        <v>1026</v>
      </c>
      <c r="F55" t="s">
        <v>1027</v>
      </c>
      <c r="G55">
        <v>140217959</v>
      </c>
      <c r="J55" s="354">
        <v>39034</v>
      </c>
      <c r="K55">
        <v>8.1180760000000003</v>
      </c>
      <c r="L55">
        <v>8.6416799999999991</v>
      </c>
      <c r="M55">
        <v>7.9916130000000001</v>
      </c>
      <c r="N55">
        <v>8.248977</v>
      </c>
      <c r="O55">
        <v>5.5766859999999996</v>
      </c>
      <c r="P55">
        <v>11811631</v>
      </c>
    </row>
    <row r="56" spans="1:16" x14ac:dyDescent="0.2">
      <c r="A56" s="354">
        <v>40299</v>
      </c>
      <c r="B56" t="s">
        <v>1028</v>
      </c>
      <c r="C56" t="s">
        <v>1029</v>
      </c>
      <c r="D56" t="s">
        <v>999</v>
      </c>
      <c r="E56" t="s">
        <v>1030</v>
      </c>
      <c r="F56" t="s">
        <v>1031</v>
      </c>
      <c r="G56">
        <v>104652166</v>
      </c>
      <c r="J56" s="354">
        <v>39041</v>
      </c>
      <c r="K56">
        <v>8.248977</v>
      </c>
      <c r="L56">
        <v>8.7193330000000007</v>
      </c>
      <c r="M56">
        <v>8.248977</v>
      </c>
      <c r="N56">
        <v>8.3576920000000001</v>
      </c>
      <c r="O56">
        <v>5.650182</v>
      </c>
      <c r="P56">
        <v>12976751</v>
      </c>
    </row>
    <row r="57" spans="1:16" x14ac:dyDescent="0.2">
      <c r="A57" s="354">
        <v>40330</v>
      </c>
      <c r="B57" t="s">
        <v>1032</v>
      </c>
      <c r="C57" t="s">
        <v>1033</v>
      </c>
      <c r="D57" t="s">
        <v>1034</v>
      </c>
      <c r="E57" t="s">
        <v>1035</v>
      </c>
      <c r="F57" t="s">
        <v>1036</v>
      </c>
      <c r="G57">
        <v>90622775</v>
      </c>
      <c r="J57" s="354">
        <v>39048</v>
      </c>
      <c r="K57">
        <v>8.3643479999999997</v>
      </c>
      <c r="L57">
        <v>8.5085610000000003</v>
      </c>
      <c r="M57">
        <v>7.6987500000000004</v>
      </c>
      <c r="N57">
        <v>8.275601</v>
      </c>
      <c r="O57">
        <v>5.5946860000000003</v>
      </c>
      <c r="P57">
        <v>17698067</v>
      </c>
    </row>
    <row r="58" spans="1:16" x14ac:dyDescent="0.2">
      <c r="A58" s="354">
        <v>40360</v>
      </c>
      <c r="B58" t="s">
        <v>1037</v>
      </c>
      <c r="C58" t="s">
        <v>936</v>
      </c>
      <c r="D58" t="s">
        <v>1038</v>
      </c>
      <c r="E58" t="s">
        <v>919</v>
      </c>
      <c r="F58" t="s">
        <v>1008</v>
      </c>
      <c r="G58">
        <v>100583517</v>
      </c>
      <c r="J58" s="354">
        <v>39055</v>
      </c>
      <c r="K58">
        <v>8.2977880000000006</v>
      </c>
      <c r="L58">
        <v>8.5351850000000002</v>
      </c>
      <c r="M58">
        <v>8.1092019999999998</v>
      </c>
      <c r="N58">
        <v>8.1979480000000002</v>
      </c>
      <c r="O58">
        <v>5.5421889999999996</v>
      </c>
      <c r="P58">
        <v>11176114</v>
      </c>
    </row>
    <row r="59" spans="1:16" x14ac:dyDescent="0.2">
      <c r="A59" s="354">
        <v>40391</v>
      </c>
      <c r="B59" t="s">
        <v>1039</v>
      </c>
      <c r="C59" t="s">
        <v>1040</v>
      </c>
      <c r="D59" t="s">
        <v>1041</v>
      </c>
      <c r="E59" t="s">
        <v>1029</v>
      </c>
      <c r="F59" t="s">
        <v>1042</v>
      </c>
      <c r="G59">
        <v>115304312</v>
      </c>
      <c r="J59" s="354">
        <v>39062</v>
      </c>
      <c r="K59">
        <v>8.3177559999999993</v>
      </c>
      <c r="L59">
        <v>9.4403980000000001</v>
      </c>
      <c r="M59">
        <v>8.1202950000000005</v>
      </c>
      <c r="N59">
        <v>9.4403980000000001</v>
      </c>
      <c r="O59">
        <v>6.3821430000000001</v>
      </c>
      <c r="P59">
        <v>27252034</v>
      </c>
    </row>
    <row r="60" spans="1:16" x14ac:dyDescent="0.2">
      <c r="A60" s="354">
        <v>40422</v>
      </c>
      <c r="B60" t="s">
        <v>1043</v>
      </c>
      <c r="C60" t="s">
        <v>920</v>
      </c>
      <c r="D60" t="s">
        <v>1013</v>
      </c>
      <c r="E60" t="s">
        <v>1044</v>
      </c>
      <c r="F60" t="s">
        <v>1045</v>
      </c>
      <c r="G60">
        <v>76950954</v>
      </c>
      <c r="J60" s="354">
        <v>39069</v>
      </c>
      <c r="K60">
        <v>9.5402380000000004</v>
      </c>
      <c r="L60">
        <v>10.174773999999999</v>
      </c>
      <c r="M60">
        <v>9.0965059999999998</v>
      </c>
      <c r="N60">
        <v>9.4293049999999994</v>
      </c>
      <c r="O60">
        <v>6.3746429999999998</v>
      </c>
      <c r="P60">
        <v>44525972</v>
      </c>
    </row>
    <row r="61" spans="1:16" x14ac:dyDescent="0.2">
      <c r="A61" s="354">
        <v>40452</v>
      </c>
      <c r="B61" t="s">
        <v>1046</v>
      </c>
      <c r="C61" t="s">
        <v>1047</v>
      </c>
      <c r="D61" t="s">
        <v>1048</v>
      </c>
      <c r="E61" t="s">
        <v>1049</v>
      </c>
      <c r="F61" t="s">
        <v>1050</v>
      </c>
      <c r="G61">
        <v>119852553</v>
      </c>
      <c r="J61" s="354">
        <v>39076</v>
      </c>
      <c r="K61">
        <v>9.4293049999999994</v>
      </c>
      <c r="L61">
        <v>9.9174100000000003</v>
      </c>
      <c r="M61">
        <v>9.4293049999999994</v>
      </c>
      <c r="N61">
        <v>9.9174100000000003</v>
      </c>
      <c r="O61">
        <v>6.7046239999999999</v>
      </c>
      <c r="P61">
        <v>18771239</v>
      </c>
    </row>
    <row r="62" spans="1:16" x14ac:dyDescent="0.2">
      <c r="A62" s="354">
        <v>40483</v>
      </c>
      <c r="B62" t="s">
        <v>1051</v>
      </c>
      <c r="C62" t="s">
        <v>1052</v>
      </c>
      <c r="D62" t="s">
        <v>1053</v>
      </c>
      <c r="E62" t="s">
        <v>1054</v>
      </c>
      <c r="F62" t="s">
        <v>1055</v>
      </c>
      <c r="G62">
        <v>116685827</v>
      </c>
      <c r="J62" s="354">
        <v>39083</v>
      </c>
      <c r="K62">
        <v>9.9174100000000003</v>
      </c>
      <c r="L62">
        <v>10.574133</v>
      </c>
      <c r="M62">
        <v>8.9301060000000003</v>
      </c>
      <c r="N62">
        <v>8.9855730000000005</v>
      </c>
      <c r="O62">
        <v>6.0746589999999996</v>
      </c>
      <c r="P62">
        <v>20904508</v>
      </c>
    </row>
    <row r="63" spans="1:16" x14ac:dyDescent="0.2">
      <c r="A63" s="354">
        <v>40513</v>
      </c>
      <c r="B63" t="s">
        <v>1056</v>
      </c>
      <c r="C63" t="s">
        <v>900</v>
      </c>
      <c r="D63" t="s">
        <v>1057</v>
      </c>
      <c r="E63" t="s">
        <v>1058</v>
      </c>
      <c r="F63" t="s">
        <v>1059</v>
      </c>
      <c r="G63">
        <v>112831843</v>
      </c>
      <c r="J63" s="354">
        <v>39090</v>
      </c>
      <c r="K63">
        <v>9.0965059999999998</v>
      </c>
      <c r="L63">
        <v>9.5402380000000004</v>
      </c>
      <c r="M63">
        <v>8.654992</v>
      </c>
      <c r="N63">
        <v>9.1519720000000007</v>
      </c>
      <c r="O63">
        <v>6.1871530000000003</v>
      </c>
      <c r="P63">
        <v>19091252</v>
      </c>
    </row>
    <row r="64" spans="1:16" x14ac:dyDescent="0.2">
      <c r="A64" s="354">
        <v>40544</v>
      </c>
      <c r="B64" t="s">
        <v>1060</v>
      </c>
      <c r="C64" t="s">
        <v>1061</v>
      </c>
      <c r="D64" t="s">
        <v>936</v>
      </c>
      <c r="E64" t="s">
        <v>1062</v>
      </c>
      <c r="F64" t="s">
        <v>1063</v>
      </c>
      <c r="G64">
        <v>103538706</v>
      </c>
      <c r="J64" s="354">
        <v>39097</v>
      </c>
      <c r="K64">
        <v>9.1652839999999998</v>
      </c>
      <c r="L64">
        <v>9.3982430000000008</v>
      </c>
      <c r="M64">
        <v>8.6305870000000002</v>
      </c>
      <c r="N64">
        <v>9.0965059999999998</v>
      </c>
      <c r="O64">
        <v>6.1496550000000001</v>
      </c>
      <c r="P64">
        <v>10915596</v>
      </c>
    </row>
    <row r="65" spans="1:16" x14ac:dyDescent="0.2">
      <c r="A65" s="354">
        <v>40575</v>
      </c>
      <c r="B65" t="s">
        <v>1051</v>
      </c>
      <c r="C65" t="s">
        <v>1064</v>
      </c>
      <c r="D65" t="s">
        <v>1065</v>
      </c>
      <c r="E65" t="s">
        <v>1066</v>
      </c>
      <c r="F65" t="s">
        <v>1067</v>
      </c>
      <c r="G65">
        <v>83190084</v>
      </c>
      <c r="J65" s="354">
        <v>39104</v>
      </c>
      <c r="K65">
        <v>9.2296250000000004</v>
      </c>
      <c r="L65">
        <v>9.3804940000000006</v>
      </c>
      <c r="M65">
        <v>8.3843160000000001</v>
      </c>
      <c r="N65">
        <v>8.4752810000000007</v>
      </c>
      <c r="O65">
        <v>5.7296779999999998</v>
      </c>
      <c r="P65">
        <v>19153903</v>
      </c>
    </row>
    <row r="66" spans="1:16" x14ac:dyDescent="0.2">
      <c r="A66" s="354">
        <v>40603</v>
      </c>
      <c r="B66" t="s">
        <v>1054</v>
      </c>
      <c r="C66" t="s">
        <v>1068</v>
      </c>
      <c r="D66" t="s">
        <v>1069</v>
      </c>
      <c r="E66" t="s">
        <v>1070</v>
      </c>
      <c r="F66" t="s">
        <v>1071</v>
      </c>
      <c r="G66">
        <v>105035081</v>
      </c>
      <c r="J66" s="354">
        <v>39111</v>
      </c>
      <c r="K66">
        <v>8.4309080000000005</v>
      </c>
      <c r="L66">
        <v>9.1741589999999995</v>
      </c>
      <c r="M66">
        <v>8.0426420000000007</v>
      </c>
      <c r="N66">
        <v>8.9079189999999997</v>
      </c>
      <c r="O66">
        <v>6.0221609999999997</v>
      </c>
      <c r="P66">
        <v>29158138</v>
      </c>
    </row>
    <row r="67" spans="1:16" x14ac:dyDescent="0.2">
      <c r="A67" s="354">
        <v>40634</v>
      </c>
      <c r="B67" t="s">
        <v>1070</v>
      </c>
      <c r="C67" t="s">
        <v>1072</v>
      </c>
      <c r="D67" t="s">
        <v>1073</v>
      </c>
      <c r="E67" t="s">
        <v>1074</v>
      </c>
      <c r="F67" t="s">
        <v>1075</v>
      </c>
      <c r="G67">
        <v>126620772</v>
      </c>
      <c r="J67" s="354">
        <v>39118</v>
      </c>
      <c r="K67">
        <v>8.7836739999999995</v>
      </c>
      <c r="L67">
        <v>9.1741589999999995</v>
      </c>
      <c r="M67">
        <v>8.1003270000000001</v>
      </c>
      <c r="N67">
        <v>8.7393009999999993</v>
      </c>
      <c r="O67">
        <v>5.9081679999999999</v>
      </c>
      <c r="P67">
        <v>30587830</v>
      </c>
    </row>
    <row r="68" spans="1:16" x14ac:dyDescent="0.2">
      <c r="A68" s="354">
        <v>40664</v>
      </c>
      <c r="B68" t="s">
        <v>1074</v>
      </c>
      <c r="C68" t="s">
        <v>1076</v>
      </c>
      <c r="D68" t="s">
        <v>1077</v>
      </c>
      <c r="E68" t="s">
        <v>1078</v>
      </c>
      <c r="F68" t="s">
        <v>1079</v>
      </c>
      <c r="G68">
        <v>96287761</v>
      </c>
      <c r="J68" s="354">
        <v>39125</v>
      </c>
      <c r="K68">
        <v>8.7637070000000001</v>
      </c>
      <c r="L68">
        <v>9.562424</v>
      </c>
      <c r="M68">
        <v>8.586214</v>
      </c>
      <c r="N68">
        <v>9.0299460000000007</v>
      </c>
      <c r="O68">
        <v>6.1046579999999997</v>
      </c>
      <c r="P68">
        <v>27644611</v>
      </c>
    </row>
    <row r="69" spans="1:16" x14ac:dyDescent="0.2">
      <c r="A69" s="354">
        <v>40695</v>
      </c>
      <c r="B69" t="s">
        <v>1080</v>
      </c>
      <c r="C69" t="s">
        <v>919</v>
      </c>
      <c r="D69" t="s">
        <v>1081</v>
      </c>
      <c r="E69" t="s">
        <v>1082</v>
      </c>
      <c r="F69" t="s">
        <v>1083</v>
      </c>
      <c r="G69">
        <v>87729391</v>
      </c>
      <c r="J69" s="354">
        <v>39132</v>
      </c>
      <c r="K69">
        <v>9.0299460000000007</v>
      </c>
      <c r="L69">
        <v>9.4293049999999994</v>
      </c>
      <c r="M69">
        <v>8.7637070000000001</v>
      </c>
      <c r="N69">
        <v>9.2074390000000008</v>
      </c>
      <c r="O69">
        <v>6.2246509999999997</v>
      </c>
      <c r="P69">
        <v>16989533</v>
      </c>
    </row>
    <row r="70" spans="1:16" x14ac:dyDescent="0.2">
      <c r="A70" s="354">
        <v>40725</v>
      </c>
      <c r="B70" t="s">
        <v>1084</v>
      </c>
      <c r="C70" t="s">
        <v>1053</v>
      </c>
      <c r="D70" t="s">
        <v>1028</v>
      </c>
      <c r="E70" t="s">
        <v>911</v>
      </c>
      <c r="F70" t="s">
        <v>1085</v>
      </c>
      <c r="G70">
        <v>71696316</v>
      </c>
      <c r="J70" s="354">
        <v>39139</v>
      </c>
      <c r="K70">
        <v>9.2917480000000001</v>
      </c>
      <c r="L70">
        <v>9.3627450000000003</v>
      </c>
      <c r="M70">
        <v>8.1025460000000002</v>
      </c>
      <c r="N70">
        <v>8.8968260000000008</v>
      </c>
      <c r="O70">
        <v>6.0146620000000004</v>
      </c>
      <c r="P70">
        <v>20735937</v>
      </c>
    </row>
    <row r="71" spans="1:16" x14ac:dyDescent="0.2">
      <c r="A71" s="354">
        <v>40756</v>
      </c>
      <c r="B71" t="s">
        <v>1086</v>
      </c>
      <c r="C71" t="s">
        <v>1087</v>
      </c>
      <c r="D71" t="s">
        <v>1088</v>
      </c>
      <c r="E71" t="s">
        <v>1019</v>
      </c>
      <c r="F71" t="s">
        <v>1089</v>
      </c>
      <c r="G71">
        <v>129095727</v>
      </c>
      <c r="J71" s="354">
        <v>39146</v>
      </c>
      <c r="K71">
        <v>8.6527740000000009</v>
      </c>
      <c r="L71">
        <v>8.9789169999999991</v>
      </c>
      <c r="M71">
        <v>8.3199749999999995</v>
      </c>
      <c r="N71">
        <v>8.3954090000000008</v>
      </c>
      <c r="O71">
        <v>5.675681</v>
      </c>
      <c r="P71">
        <v>18707234</v>
      </c>
    </row>
    <row r="72" spans="1:16" x14ac:dyDescent="0.2">
      <c r="A72" s="354">
        <v>40787</v>
      </c>
      <c r="B72" t="s">
        <v>1080</v>
      </c>
      <c r="C72" t="s">
        <v>1090</v>
      </c>
      <c r="D72" t="s">
        <v>1091</v>
      </c>
      <c r="E72" t="s">
        <v>1092</v>
      </c>
      <c r="F72" t="s">
        <v>1093</v>
      </c>
      <c r="G72">
        <v>112599604</v>
      </c>
      <c r="J72" s="354">
        <v>39153</v>
      </c>
      <c r="K72">
        <v>8.4420009999999994</v>
      </c>
      <c r="L72">
        <v>8.5174350000000008</v>
      </c>
      <c r="M72">
        <v>7.7985889999999998</v>
      </c>
      <c r="N72">
        <v>8.1092019999999998</v>
      </c>
      <c r="O72">
        <v>5.4821929999999996</v>
      </c>
      <c r="P72">
        <v>22683509</v>
      </c>
    </row>
    <row r="73" spans="1:16" x14ac:dyDescent="0.2">
      <c r="A73" s="354">
        <v>40817</v>
      </c>
      <c r="B73" t="s">
        <v>1094</v>
      </c>
      <c r="C73" t="s">
        <v>1095</v>
      </c>
      <c r="D73" t="s">
        <v>1096</v>
      </c>
      <c r="E73" t="s">
        <v>1097</v>
      </c>
      <c r="F73" t="s">
        <v>1098</v>
      </c>
      <c r="G73">
        <v>86854450</v>
      </c>
      <c r="J73" s="354">
        <v>39160</v>
      </c>
      <c r="K73">
        <v>8.1424819999999993</v>
      </c>
      <c r="L73">
        <v>8.7370830000000002</v>
      </c>
      <c r="M73">
        <v>8.0537349999999996</v>
      </c>
      <c r="N73">
        <v>8.3199749999999995</v>
      </c>
      <c r="O73">
        <v>5.6246850000000004</v>
      </c>
      <c r="P73">
        <v>11353247</v>
      </c>
    </row>
    <row r="74" spans="1:16" x14ac:dyDescent="0.2">
      <c r="A74" s="354">
        <v>40848</v>
      </c>
      <c r="B74" t="s">
        <v>937</v>
      </c>
      <c r="C74" t="s">
        <v>1099</v>
      </c>
      <c r="D74" t="s">
        <v>1039</v>
      </c>
      <c r="E74" t="s">
        <v>1100</v>
      </c>
      <c r="F74" t="s">
        <v>1101</v>
      </c>
      <c r="G74">
        <v>98569888</v>
      </c>
      <c r="J74" s="354">
        <v>39167</v>
      </c>
      <c r="K74">
        <v>8.3421610000000008</v>
      </c>
      <c r="L74">
        <v>8.586214</v>
      </c>
      <c r="M74">
        <v>8.0559539999999998</v>
      </c>
      <c r="N74">
        <v>8.275601</v>
      </c>
      <c r="O74">
        <v>5.5946860000000003</v>
      </c>
      <c r="P74">
        <v>12522421</v>
      </c>
    </row>
    <row r="75" spans="1:16" x14ac:dyDescent="0.2">
      <c r="A75" s="354">
        <v>40878</v>
      </c>
      <c r="B75" t="s">
        <v>1102</v>
      </c>
      <c r="C75" t="s">
        <v>1103</v>
      </c>
      <c r="D75" t="s">
        <v>1104</v>
      </c>
      <c r="E75" t="s">
        <v>927</v>
      </c>
      <c r="F75" t="s">
        <v>1105</v>
      </c>
      <c r="G75">
        <v>90030173</v>
      </c>
      <c r="J75" s="354">
        <v>39174</v>
      </c>
      <c r="K75">
        <v>8.275601</v>
      </c>
      <c r="L75">
        <v>8.8635459999999995</v>
      </c>
      <c r="M75">
        <v>8.1868549999999995</v>
      </c>
      <c r="N75">
        <v>8.8080800000000004</v>
      </c>
      <c r="O75">
        <v>5.9546659999999996</v>
      </c>
      <c r="P75">
        <v>14232462</v>
      </c>
    </row>
    <row r="76" spans="1:16" x14ac:dyDescent="0.2">
      <c r="A76" s="354">
        <v>40909</v>
      </c>
      <c r="B76" t="s">
        <v>1106</v>
      </c>
      <c r="C76" t="s">
        <v>1107</v>
      </c>
      <c r="D76" t="s">
        <v>1108</v>
      </c>
      <c r="E76" t="s">
        <v>1107</v>
      </c>
      <c r="F76" t="s">
        <v>1109</v>
      </c>
      <c r="G76">
        <v>88138510</v>
      </c>
      <c r="J76" s="354">
        <v>39181</v>
      </c>
      <c r="K76">
        <v>8.8102979999999995</v>
      </c>
      <c r="L76">
        <v>9.0410389999999996</v>
      </c>
      <c r="M76">
        <v>8.3355049999999995</v>
      </c>
      <c r="N76">
        <v>8.734864</v>
      </c>
      <c r="O76">
        <v>5.9051689999999999</v>
      </c>
      <c r="P76">
        <v>18828028</v>
      </c>
    </row>
    <row r="77" spans="1:16" x14ac:dyDescent="0.2">
      <c r="A77" s="354">
        <v>40940</v>
      </c>
      <c r="B77" t="s">
        <v>1110</v>
      </c>
      <c r="C77" t="s">
        <v>1111</v>
      </c>
      <c r="D77" t="s">
        <v>1112</v>
      </c>
      <c r="E77" t="s">
        <v>1113</v>
      </c>
      <c r="F77" t="s">
        <v>1114</v>
      </c>
      <c r="G77">
        <v>123635429</v>
      </c>
      <c r="J77" s="354">
        <v>39188</v>
      </c>
      <c r="K77">
        <v>8.8746399999999994</v>
      </c>
      <c r="L77">
        <v>9.9750949999999996</v>
      </c>
      <c r="M77">
        <v>8.7215520000000009</v>
      </c>
      <c r="N77">
        <v>9.7266049999999993</v>
      </c>
      <c r="O77">
        <v>6.5756309999999996</v>
      </c>
      <c r="P77">
        <v>25313024</v>
      </c>
    </row>
    <row r="78" spans="1:16" x14ac:dyDescent="0.2">
      <c r="A78" s="354">
        <v>40969</v>
      </c>
      <c r="B78" t="s">
        <v>1115</v>
      </c>
      <c r="C78" t="s">
        <v>1116</v>
      </c>
      <c r="D78" t="s">
        <v>1115</v>
      </c>
      <c r="E78" t="s">
        <v>1117</v>
      </c>
      <c r="F78" t="s">
        <v>1118</v>
      </c>
      <c r="G78">
        <v>115291048</v>
      </c>
      <c r="J78" s="354">
        <v>39195</v>
      </c>
      <c r="K78">
        <v>9.7621040000000008</v>
      </c>
      <c r="L78">
        <v>9.7842900000000004</v>
      </c>
      <c r="M78">
        <v>9.209657</v>
      </c>
      <c r="N78">
        <v>9.3516510000000004</v>
      </c>
      <c r="O78">
        <v>6.3221439999999998</v>
      </c>
      <c r="P78">
        <v>17241936</v>
      </c>
    </row>
    <row r="79" spans="1:16" x14ac:dyDescent="0.2">
      <c r="A79" s="354">
        <v>41000</v>
      </c>
      <c r="B79" t="s">
        <v>1119</v>
      </c>
      <c r="C79" t="s">
        <v>1120</v>
      </c>
      <c r="D79" t="s">
        <v>1121</v>
      </c>
      <c r="E79" t="s">
        <v>1122</v>
      </c>
      <c r="F79" t="s">
        <v>1123</v>
      </c>
      <c r="G79">
        <v>116075978</v>
      </c>
      <c r="J79" s="354">
        <v>39202</v>
      </c>
      <c r="K79">
        <v>9.3516510000000004</v>
      </c>
      <c r="L79">
        <v>9.4248670000000008</v>
      </c>
      <c r="M79">
        <v>8.6749600000000004</v>
      </c>
      <c r="N79">
        <v>8.9855730000000005</v>
      </c>
      <c r="O79">
        <v>6.0746589999999996</v>
      </c>
      <c r="P79">
        <v>13909294</v>
      </c>
    </row>
    <row r="80" spans="1:16" x14ac:dyDescent="0.2">
      <c r="A80" s="354">
        <v>41030</v>
      </c>
      <c r="B80" t="s">
        <v>1122</v>
      </c>
      <c r="C80" t="s">
        <v>1124</v>
      </c>
      <c r="D80" t="s">
        <v>1125</v>
      </c>
      <c r="E80" t="s">
        <v>1126</v>
      </c>
      <c r="F80" t="s">
        <v>1127</v>
      </c>
      <c r="G80">
        <v>117269125</v>
      </c>
      <c r="J80" s="354">
        <v>39209</v>
      </c>
      <c r="K80">
        <v>8.9833540000000003</v>
      </c>
      <c r="L80">
        <v>9.4071180000000005</v>
      </c>
      <c r="M80">
        <v>8.8968260000000008</v>
      </c>
      <c r="N80">
        <v>9.1630649999999996</v>
      </c>
      <c r="O80">
        <v>6.1946529999999997</v>
      </c>
      <c r="P80">
        <v>11249129</v>
      </c>
    </row>
    <row r="81" spans="1:16" x14ac:dyDescent="0.2">
      <c r="A81" s="354">
        <v>41061</v>
      </c>
      <c r="B81" t="s">
        <v>1128</v>
      </c>
      <c r="C81" t="s">
        <v>1129</v>
      </c>
      <c r="D81" t="s">
        <v>907</v>
      </c>
      <c r="E81" t="s">
        <v>1130</v>
      </c>
      <c r="F81" t="s">
        <v>1131</v>
      </c>
      <c r="G81">
        <v>83419029</v>
      </c>
      <c r="J81" s="354">
        <v>39216</v>
      </c>
      <c r="K81">
        <v>9.140879</v>
      </c>
      <c r="L81">
        <v>9.4293049999999994</v>
      </c>
      <c r="M81">
        <v>8.9079189999999997</v>
      </c>
      <c r="N81">
        <v>9.3183720000000001</v>
      </c>
      <c r="O81">
        <v>6.2996480000000004</v>
      </c>
      <c r="P81">
        <v>10680319</v>
      </c>
    </row>
    <row r="82" spans="1:16" x14ac:dyDescent="0.2">
      <c r="A82" s="354">
        <v>41091</v>
      </c>
      <c r="B82" t="s">
        <v>1132</v>
      </c>
      <c r="C82" t="s">
        <v>1133</v>
      </c>
      <c r="D82" t="s">
        <v>1128</v>
      </c>
      <c r="E82" t="s">
        <v>1134</v>
      </c>
      <c r="F82" t="s">
        <v>1135</v>
      </c>
      <c r="G82">
        <v>77260210</v>
      </c>
      <c r="J82" s="354">
        <v>39223</v>
      </c>
      <c r="K82">
        <v>9.3405579999999997</v>
      </c>
      <c r="L82">
        <v>9.4492720000000006</v>
      </c>
      <c r="M82">
        <v>8.3865339999999993</v>
      </c>
      <c r="N82">
        <v>8.7503949999999993</v>
      </c>
      <c r="O82">
        <v>5.9156680000000001</v>
      </c>
      <c r="P82">
        <v>16711886</v>
      </c>
    </row>
    <row r="83" spans="1:16" x14ac:dyDescent="0.2">
      <c r="A83" s="354">
        <v>41122</v>
      </c>
      <c r="B83" t="s">
        <v>1136</v>
      </c>
      <c r="C83" t="s">
        <v>1137</v>
      </c>
      <c r="D83" t="s">
        <v>1138</v>
      </c>
      <c r="E83" t="s">
        <v>1124</v>
      </c>
      <c r="F83" t="s">
        <v>1139</v>
      </c>
      <c r="G83">
        <v>127164009</v>
      </c>
      <c r="J83" s="354">
        <v>39230</v>
      </c>
      <c r="K83">
        <v>8.7748000000000008</v>
      </c>
      <c r="L83">
        <v>9.1874710000000004</v>
      </c>
      <c r="M83">
        <v>8.5418409999999998</v>
      </c>
      <c r="N83">
        <v>8.7992050000000006</v>
      </c>
      <c r="O83">
        <v>5.9486660000000002</v>
      </c>
      <c r="P83">
        <v>20343809</v>
      </c>
    </row>
    <row r="84" spans="1:16" x14ac:dyDescent="0.2">
      <c r="A84" s="354">
        <v>41153</v>
      </c>
      <c r="B84" t="s">
        <v>1140</v>
      </c>
      <c r="C84" t="s">
        <v>1141</v>
      </c>
      <c r="D84" t="s">
        <v>1142</v>
      </c>
      <c r="E84" t="s">
        <v>1143</v>
      </c>
      <c r="F84" t="s">
        <v>1144</v>
      </c>
      <c r="G84">
        <v>105315600</v>
      </c>
      <c r="J84" s="354">
        <v>39237</v>
      </c>
      <c r="K84">
        <v>8.4420009999999994</v>
      </c>
      <c r="L84">
        <v>8.7015840000000004</v>
      </c>
      <c r="M84">
        <v>8.0537349999999996</v>
      </c>
      <c r="N84">
        <v>8.2090420000000002</v>
      </c>
      <c r="O84">
        <v>5.5496879999999997</v>
      </c>
      <c r="P84">
        <v>97135656</v>
      </c>
    </row>
    <row r="85" spans="1:16" x14ac:dyDescent="0.2">
      <c r="A85" s="354">
        <v>41183</v>
      </c>
      <c r="B85" t="s">
        <v>1145</v>
      </c>
      <c r="C85" t="s">
        <v>1146</v>
      </c>
      <c r="D85" t="s">
        <v>1147</v>
      </c>
      <c r="E85" t="s">
        <v>1148</v>
      </c>
      <c r="F85" t="s">
        <v>1149</v>
      </c>
      <c r="G85">
        <v>122951312</v>
      </c>
      <c r="J85" s="354">
        <v>39244</v>
      </c>
      <c r="K85">
        <v>8.2778200000000002</v>
      </c>
      <c r="L85">
        <v>8.2977880000000006</v>
      </c>
      <c r="M85">
        <v>7.9960500000000003</v>
      </c>
      <c r="N85">
        <v>8.1868549999999995</v>
      </c>
      <c r="O85">
        <v>5.5346890000000002</v>
      </c>
      <c r="P85">
        <v>17918921</v>
      </c>
    </row>
    <row r="86" spans="1:16" x14ac:dyDescent="0.2">
      <c r="A86" s="354">
        <v>41214</v>
      </c>
      <c r="B86" t="s">
        <v>1150</v>
      </c>
      <c r="C86" t="s">
        <v>1151</v>
      </c>
      <c r="D86" t="s">
        <v>1152</v>
      </c>
      <c r="E86" t="s">
        <v>1153</v>
      </c>
      <c r="F86" t="s">
        <v>1154</v>
      </c>
      <c r="G86">
        <v>75575134</v>
      </c>
      <c r="J86" s="354">
        <v>39251</v>
      </c>
      <c r="K86">
        <v>8.1979480000000002</v>
      </c>
      <c r="L86">
        <v>8.2600709999999999</v>
      </c>
      <c r="M86">
        <v>7.4436039999999997</v>
      </c>
      <c r="N86">
        <v>7.9982689999999996</v>
      </c>
      <c r="O86">
        <v>5.407197</v>
      </c>
      <c r="P86">
        <v>44620174</v>
      </c>
    </row>
    <row r="87" spans="1:16" x14ac:dyDescent="0.2">
      <c r="A87" s="354">
        <v>41244</v>
      </c>
      <c r="B87" t="s">
        <v>1155</v>
      </c>
      <c r="C87" t="s">
        <v>1156</v>
      </c>
      <c r="D87" t="s">
        <v>1157</v>
      </c>
      <c r="E87" t="s">
        <v>1158</v>
      </c>
      <c r="F87" t="s">
        <v>1159</v>
      </c>
      <c r="G87">
        <v>73979169</v>
      </c>
      <c r="J87" s="354">
        <v>39258</v>
      </c>
      <c r="K87">
        <v>7.9028660000000004</v>
      </c>
      <c r="L87">
        <v>8.0515170000000005</v>
      </c>
      <c r="M87">
        <v>6.6337929999999998</v>
      </c>
      <c r="N87">
        <v>6.9932160000000003</v>
      </c>
      <c r="O87">
        <v>4.727735</v>
      </c>
      <c r="P87">
        <v>61492520</v>
      </c>
    </row>
    <row r="88" spans="1:16" x14ac:dyDescent="0.2">
      <c r="A88" s="354">
        <v>41275</v>
      </c>
      <c r="B88" t="s">
        <v>1158</v>
      </c>
      <c r="C88" t="s">
        <v>1160</v>
      </c>
      <c r="D88" t="s">
        <v>1161</v>
      </c>
      <c r="E88" t="s">
        <v>1162</v>
      </c>
      <c r="F88" t="s">
        <v>1163</v>
      </c>
      <c r="G88">
        <v>93215351</v>
      </c>
      <c r="J88" s="354">
        <v>39265</v>
      </c>
      <c r="K88">
        <v>7.0109649999999997</v>
      </c>
      <c r="L88">
        <v>7.3881370000000004</v>
      </c>
      <c r="M88">
        <v>6.9887790000000001</v>
      </c>
      <c r="N88">
        <v>7.1995509999999996</v>
      </c>
      <c r="O88">
        <v>4.8672269999999997</v>
      </c>
      <c r="P88">
        <v>16244037</v>
      </c>
    </row>
    <row r="89" spans="1:16" x14ac:dyDescent="0.2">
      <c r="A89" s="354">
        <v>41306</v>
      </c>
      <c r="B89" t="s">
        <v>1164</v>
      </c>
      <c r="C89" t="s">
        <v>1165</v>
      </c>
      <c r="D89" t="s">
        <v>1166</v>
      </c>
      <c r="E89" t="s">
        <v>1167</v>
      </c>
      <c r="F89" t="s">
        <v>1168</v>
      </c>
      <c r="G89">
        <v>111025694</v>
      </c>
      <c r="J89" s="354">
        <v>39272</v>
      </c>
      <c r="K89">
        <v>7.1995509999999996</v>
      </c>
      <c r="L89">
        <v>7.3748250000000004</v>
      </c>
      <c r="M89">
        <v>7.0109649999999997</v>
      </c>
      <c r="N89">
        <v>7.2394869999999996</v>
      </c>
      <c r="O89">
        <v>4.8942240000000004</v>
      </c>
      <c r="P89">
        <v>19796631</v>
      </c>
    </row>
    <row r="90" spans="1:16" x14ac:dyDescent="0.2">
      <c r="A90" s="354">
        <v>41334</v>
      </c>
      <c r="B90" t="s">
        <v>1169</v>
      </c>
      <c r="C90" t="s">
        <v>1170</v>
      </c>
      <c r="D90" t="s">
        <v>1171</v>
      </c>
      <c r="E90" t="s">
        <v>1172</v>
      </c>
      <c r="F90" t="s">
        <v>1173</v>
      </c>
      <c r="G90">
        <v>98155817</v>
      </c>
      <c r="J90" s="354">
        <v>39279</v>
      </c>
      <c r="K90">
        <v>7.2772040000000002</v>
      </c>
      <c r="L90">
        <v>7.9428020000000004</v>
      </c>
      <c r="M90">
        <v>7.2239560000000003</v>
      </c>
      <c r="N90">
        <v>7.8540559999999999</v>
      </c>
      <c r="O90">
        <v>5.3097019999999997</v>
      </c>
      <c r="P90">
        <v>22091260</v>
      </c>
    </row>
    <row r="91" spans="1:16" x14ac:dyDescent="0.2">
      <c r="A91" s="354">
        <v>41365</v>
      </c>
      <c r="B91" t="s">
        <v>1174</v>
      </c>
      <c r="C91" t="s">
        <v>1175</v>
      </c>
      <c r="D91" t="s">
        <v>1176</v>
      </c>
      <c r="E91" t="s">
        <v>1175</v>
      </c>
      <c r="F91" t="s">
        <v>1177</v>
      </c>
      <c r="G91">
        <v>95482821</v>
      </c>
      <c r="J91" s="354">
        <v>39286</v>
      </c>
      <c r="K91">
        <v>7.8496189999999997</v>
      </c>
      <c r="L91">
        <v>7.9982689999999996</v>
      </c>
      <c r="M91">
        <v>6.6670730000000002</v>
      </c>
      <c r="N91">
        <v>7.2106450000000004</v>
      </c>
      <c r="O91">
        <v>4.874727</v>
      </c>
      <c r="P91">
        <v>33958333</v>
      </c>
    </row>
    <row r="92" spans="1:16" x14ac:dyDescent="0.2">
      <c r="A92" s="354">
        <v>41395</v>
      </c>
      <c r="B92" t="s">
        <v>1175</v>
      </c>
      <c r="C92" t="s">
        <v>1178</v>
      </c>
      <c r="D92" t="s">
        <v>1179</v>
      </c>
      <c r="E92" t="s">
        <v>1180</v>
      </c>
      <c r="F92" t="s">
        <v>1181</v>
      </c>
      <c r="G92">
        <v>95845584</v>
      </c>
      <c r="J92" s="354">
        <v>39293</v>
      </c>
      <c r="K92">
        <v>7.2306119999999998</v>
      </c>
      <c r="L92">
        <v>7.4147610000000004</v>
      </c>
      <c r="M92">
        <v>6.8445660000000004</v>
      </c>
      <c r="N92">
        <v>7.0997120000000002</v>
      </c>
      <c r="O92">
        <v>4.7997310000000004</v>
      </c>
      <c r="P92">
        <v>17761167</v>
      </c>
    </row>
    <row r="93" spans="1:16" x14ac:dyDescent="0.2">
      <c r="A93" s="354">
        <v>41426</v>
      </c>
      <c r="B93" t="s">
        <v>1182</v>
      </c>
      <c r="C93" t="s">
        <v>1183</v>
      </c>
      <c r="D93" t="s">
        <v>1184</v>
      </c>
      <c r="E93" t="s">
        <v>1185</v>
      </c>
      <c r="F93" t="s">
        <v>1186</v>
      </c>
      <c r="G93">
        <v>114329691</v>
      </c>
      <c r="J93" s="354">
        <v>39300</v>
      </c>
      <c r="K93">
        <v>7.2084260000000002</v>
      </c>
      <c r="L93">
        <v>7.4214169999999999</v>
      </c>
      <c r="M93">
        <v>6.325399</v>
      </c>
      <c r="N93">
        <v>6.4984549999999999</v>
      </c>
      <c r="O93">
        <v>4.4551360000000004</v>
      </c>
      <c r="P93">
        <v>27263751</v>
      </c>
    </row>
    <row r="94" spans="1:16" x14ac:dyDescent="0.2">
      <c r="A94" s="354">
        <v>41456</v>
      </c>
      <c r="B94" t="s">
        <v>1187</v>
      </c>
      <c r="C94" t="s">
        <v>1188</v>
      </c>
      <c r="D94" t="s">
        <v>1189</v>
      </c>
      <c r="E94" t="s">
        <v>1190</v>
      </c>
      <c r="F94" t="s">
        <v>1191</v>
      </c>
      <c r="G94">
        <v>87368884</v>
      </c>
      <c r="J94" s="354">
        <v>39307</v>
      </c>
      <c r="K94">
        <v>6.6537610000000003</v>
      </c>
      <c r="L94">
        <v>6.7203210000000002</v>
      </c>
      <c r="M94">
        <v>4.836678</v>
      </c>
      <c r="N94">
        <v>5.0141710000000002</v>
      </c>
      <c r="O94">
        <v>3.4375580000000001</v>
      </c>
      <c r="P94">
        <v>52937356</v>
      </c>
    </row>
    <row r="95" spans="1:16" x14ac:dyDescent="0.2">
      <c r="A95" s="354">
        <v>41487</v>
      </c>
      <c r="B95" t="s">
        <v>1192</v>
      </c>
      <c r="C95" t="s">
        <v>1193</v>
      </c>
      <c r="D95" t="s">
        <v>1150</v>
      </c>
      <c r="E95" t="s">
        <v>1194</v>
      </c>
      <c r="F95" t="s">
        <v>1195</v>
      </c>
      <c r="G95">
        <v>144718261</v>
      </c>
      <c r="J95" s="354">
        <v>39314</v>
      </c>
      <c r="K95">
        <v>5.1672589999999996</v>
      </c>
      <c r="L95">
        <v>5.4334980000000002</v>
      </c>
      <c r="M95">
        <v>4.8655210000000002</v>
      </c>
      <c r="N95">
        <v>5.3891249999999999</v>
      </c>
      <c r="O95">
        <v>3.6946140000000001</v>
      </c>
      <c r="P95">
        <v>22261182</v>
      </c>
    </row>
    <row r="96" spans="1:16" x14ac:dyDescent="0.2">
      <c r="A96" s="354">
        <v>41518</v>
      </c>
      <c r="B96" t="s">
        <v>1176</v>
      </c>
      <c r="C96" t="s">
        <v>1196</v>
      </c>
      <c r="D96" t="s">
        <v>1197</v>
      </c>
      <c r="E96" t="s">
        <v>1198</v>
      </c>
      <c r="F96" t="s">
        <v>1199</v>
      </c>
      <c r="G96">
        <v>119745436</v>
      </c>
      <c r="J96" s="354">
        <v>39321</v>
      </c>
      <c r="K96">
        <v>5.391343</v>
      </c>
      <c r="L96">
        <v>5.7463290000000002</v>
      </c>
      <c r="M96">
        <v>4.7701190000000002</v>
      </c>
      <c r="N96">
        <v>4.836678</v>
      </c>
      <c r="O96">
        <v>3.3158729999999998</v>
      </c>
      <c r="P96">
        <v>40398256</v>
      </c>
    </row>
    <row r="97" spans="1:16" x14ac:dyDescent="0.2">
      <c r="A97" s="354">
        <v>41548</v>
      </c>
      <c r="B97" t="s">
        <v>1200</v>
      </c>
      <c r="C97" t="s">
        <v>1201</v>
      </c>
      <c r="D97" t="s">
        <v>1190</v>
      </c>
      <c r="E97" t="s">
        <v>1202</v>
      </c>
      <c r="F97" t="s">
        <v>1203</v>
      </c>
      <c r="G97">
        <v>114395399</v>
      </c>
      <c r="J97" s="354">
        <v>39328</v>
      </c>
      <c r="K97">
        <v>4.903238</v>
      </c>
      <c r="L97">
        <v>5.2116319999999998</v>
      </c>
      <c r="M97">
        <v>4.781212</v>
      </c>
      <c r="N97">
        <v>4.8810520000000004</v>
      </c>
      <c r="O97">
        <v>3.346295</v>
      </c>
      <c r="P97">
        <v>22025455</v>
      </c>
    </row>
    <row r="98" spans="1:16" x14ac:dyDescent="0.2">
      <c r="A98" s="354">
        <v>41579</v>
      </c>
      <c r="B98" t="s">
        <v>1204</v>
      </c>
      <c r="C98" t="s">
        <v>1205</v>
      </c>
      <c r="D98" t="s">
        <v>1206</v>
      </c>
      <c r="E98" t="s">
        <v>1207</v>
      </c>
      <c r="F98" t="s">
        <v>1208</v>
      </c>
      <c r="G98">
        <v>107073590</v>
      </c>
      <c r="J98" s="354">
        <v>39335</v>
      </c>
      <c r="K98">
        <v>4.7834300000000001</v>
      </c>
      <c r="L98">
        <v>5.8816670000000002</v>
      </c>
      <c r="M98">
        <v>4.5504709999999999</v>
      </c>
      <c r="N98">
        <v>5.6797690000000003</v>
      </c>
      <c r="O98">
        <v>3.8938709999999999</v>
      </c>
      <c r="P98">
        <v>37965707</v>
      </c>
    </row>
    <row r="99" spans="1:16" x14ac:dyDescent="0.2">
      <c r="A99" s="354">
        <v>41609</v>
      </c>
      <c r="B99" t="s">
        <v>1209</v>
      </c>
      <c r="C99" t="s">
        <v>1209</v>
      </c>
      <c r="D99" t="s">
        <v>1210</v>
      </c>
      <c r="E99" t="s">
        <v>1211</v>
      </c>
      <c r="F99" t="s">
        <v>1212</v>
      </c>
      <c r="G99">
        <v>97401490</v>
      </c>
      <c r="J99" s="354">
        <v>39342</v>
      </c>
      <c r="K99">
        <v>5.6575829999999998</v>
      </c>
      <c r="L99">
        <v>5.7640779999999996</v>
      </c>
      <c r="M99">
        <v>5.2271619999999999</v>
      </c>
      <c r="N99">
        <v>5.5222439999999997</v>
      </c>
      <c r="O99">
        <v>3.785876</v>
      </c>
      <c r="P99">
        <v>37771445</v>
      </c>
    </row>
    <row r="100" spans="1:16" x14ac:dyDescent="0.2">
      <c r="A100" s="354">
        <v>41640</v>
      </c>
      <c r="B100" t="s">
        <v>1211</v>
      </c>
      <c r="C100" t="s">
        <v>1213</v>
      </c>
      <c r="D100" t="s">
        <v>1214</v>
      </c>
      <c r="E100" t="s">
        <v>1215</v>
      </c>
      <c r="F100" t="s">
        <v>1216</v>
      </c>
      <c r="G100">
        <v>154046502</v>
      </c>
      <c r="J100" s="354">
        <v>39349</v>
      </c>
      <c r="K100">
        <v>5.5444310000000003</v>
      </c>
      <c r="L100">
        <v>5.7130489999999998</v>
      </c>
      <c r="M100">
        <v>5.2360369999999996</v>
      </c>
      <c r="N100">
        <v>5.5466499999999996</v>
      </c>
      <c r="O100">
        <v>3.8026080000000002</v>
      </c>
      <c r="P100">
        <v>17392477</v>
      </c>
    </row>
    <row r="101" spans="1:16" x14ac:dyDescent="0.2">
      <c r="A101" s="354">
        <v>41671</v>
      </c>
      <c r="B101" t="s">
        <v>1217</v>
      </c>
      <c r="C101" t="s">
        <v>1218</v>
      </c>
      <c r="D101" t="s">
        <v>1219</v>
      </c>
      <c r="E101" t="s">
        <v>1220</v>
      </c>
      <c r="F101" t="s">
        <v>1221</v>
      </c>
      <c r="G101">
        <v>127283279</v>
      </c>
      <c r="J101" s="354">
        <v>39356</v>
      </c>
      <c r="K101">
        <v>5.5688360000000001</v>
      </c>
      <c r="L101">
        <v>6.2677139999999998</v>
      </c>
      <c r="M101">
        <v>5.5688360000000001</v>
      </c>
      <c r="N101">
        <v>6.1235010000000001</v>
      </c>
      <c r="O101">
        <v>4.1980789999999999</v>
      </c>
      <c r="P101">
        <v>32464639</v>
      </c>
    </row>
    <row r="102" spans="1:16" x14ac:dyDescent="0.2">
      <c r="A102" s="354">
        <v>41699</v>
      </c>
      <c r="B102" t="s">
        <v>1220</v>
      </c>
      <c r="C102" t="s">
        <v>1222</v>
      </c>
      <c r="D102" t="s">
        <v>1223</v>
      </c>
      <c r="E102" t="s">
        <v>1224</v>
      </c>
      <c r="F102" t="s">
        <v>1225</v>
      </c>
      <c r="G102">
        <v>113447546</v>
      </c>
      <c r="J102" s="354">
        <v>39363</v>
      </c>
      <c r="K102">
        <v>6.2100289999999996</v>
      </c>
      <c r="L102">
        <v>6.460737</v>
      </c>
      <c r="M102">
        <v>5.770734</v>
      </c>
      <c r="N102">
        <v>6.2455270000000001</v>
      </c>
      <c r="O102">
        <v>4.2817350000000003</v>
      </c>
      <c r="P102">
        <v>15498092</v>
      </c>
    </row>
    <row r="103" spans="1:16" x14ac:dyDescent="0.2">
      <c r="A103" s="354">
        <v>41730</v>
      </c>
      <c r="B103" t="s">
        <v>1226</v>
      </c>
      <c r="C103" t="s">
        <v>1227</v>
      </c>
      <c r="D103" t="s">
        <v>1228</v>
      </c>
      <c r="E103" t="s">
        <v>1229</v>
      </c>
      <c r="F103" t="s">
        <v>1230</v>
      </c>
      <c r="G103">
        <v>141368360</v>
      </c>
      <c r="J103" s="354">
        <v>39370</v>
      </c>
      <c r="K103">
        <v>6.3209619999999997</v>
      </c>
      <c r="L103">
        <v>6.4097080000000002</v>
      </c>
      <c r="M103">
        <v>5.5910229999999999</v>
      </c>
      <c r="N103">
        <v>5.5932409999999999</v>
      </c>
      <c r="O103">
        <v>3.834549</v>
      </c>
      <c r="P103">
        <v>26831057</v>
      </c>
    </row>
    <row r="104" spans="1:16" x14ac:dyDescent="0.2">
      <c r="A104" s="354">
        <v>41760</v>
      </c>
      <c r="B104" t="s">
        <v>1229</v>
      </c>
      <c r="C104" t="s">
        <v>1231</v>
      </c>
      <c r="D104" t="s">
        <v>1232</v>
      </c>
      <c r="E104" t="s">
        <v>1233</v>
      </c>
      <c r="F104" t="s">
        <v>1234</v>
      </c>
      <c r="G104">
        <v>88013388</v>
      </c>
      <c r="J104" s="354">
        <v>39377</v>
      </c>
      <c r="K104">
        <v>5.4579029999999999</v>
      </c>
      <c r="L104">
        <v>5.8816670000000002</v>
      </c>
      <c r="M104">
        <v>5.335877</v>
      </c>
      <c r="N104">
        <v>5.8794490000000001</v>
      </c>
      <c r="O104">
        <v>4.0307649999999997</v>
      </c>
      <c r="P104">
        <v>16625799</v>
      </c>
    </row>
    <row r="105" spans="1:16" x14ac:dyDescent="0.2">
      <c r="A105" s="354">
        <v>41791</v>
      </c>
      <c r="B105" t="s">
        <v>1235</v>
      </c>
      <c r="C105" t="s">
        <v>1236</v>
      </c>
      <c r="D105" t="s">
        <v>1237</v>
      </c>
      <c r="E105" t="s">
        <v>1238</v>
      </c>
      <c r="F105" t="s">
        <v>1239</v>
      </c>
      <c r="G105">
        <v>84991590</v>
      </c>
      <c r="J105" s="354">
        <v>39384</v>
      </c>
      <c r="K105">
        <v>5.8794490000000001</v>
      </c>
      <c r="L105">
        <v>6.0569410000000001</v>
      </c>
      <c r="M105">
        <v>5.7907019999999996</v>
      </c>
      <c r="N105">
        <v>5.9238220000000004</v>
      </c>
      <c r="O105">
        <v>4.061185</v>
      </c>
      <c r="P105">
        <v>15987576</v>
      </c>
    </row>
    <row r="106" spans="1:16" x14ac:dyDescent="0.2">
      <c r="A106" s="354">
        <v>41821</v>
      </c>
      <c r="B106" t="s">
        <v>1240</v>
      </c>
      <c r="C106" t="s">
        <v>1241</v>
      </c>
      <c r="D106" t="s">
        <v>1242</v>
      </c>
      <c r="E106" t="s">
        <v>1243</v>
      </c>
      <c r="F106" t="s">
        <v>1244</v>
      </c>
      <c r="G106">
        <v>83049517</v>
      </c>
      <c r="J106" s="354">
        <v>39391</v>
      </c>
      <c r="K106">
        <v>5.8062329999999998</v>
      </c>
      <c r="L106">
        <v>5.9792880000000004</v>
      </c>
      <c r="M106">
        <v>4.8810520000000004</v>
      </c>
      <c r="N106">
        <v>5.2071949999999996</v>
      </c>
      <c r="O106">
        <v>3.5698880000000002</v>
      </c>
      <c r="P106">
        <v>26645811</v>
      </c>
    </row>
    <row r="107" spans="1:16" x14ac:dyDescent="0.2">
      <c r="A107" s="354">
        <v>41852</v>
      </c>
      <c r="B107" t="s">
        <v>1245</v>
      </c>
      <c r="C107" t="s">
        <v>1246</v>
      </c>
      <c r="D107" t="s">
        <v>1247</v>
      </c>
      <c r="E107" t="s">
        <v>1248</v>
      </c>
      <c r="F107" t="s">
        <v>1249</v>
      </c>
      <c r="G107">
        <v>125928106</v>
      </c>
      <c r="J107" s="354">
        <v>39398</v>
      </c>
      <c r="K107">
        <v>5.0607629999999997</v>
      </c>
      <c r="L107">
        <v>5.6109910000000003</v>
      </c>
      <c r="M107">
        <v>4.9254249999999997</v>
      </c>
      <c r="N107">
        <v>5.6109910000000003</v>
      </c>
      <c r="O107">
        <v>3.8467180000000001</v>
      </c>
      <c r="P107">
        <v>16706028</v>
      </c>
    </row>
    <row r="108" spans="1:16" x14ac:dyDescent="0.2">
      <c r="A108" s="354">
        <v>41883</v>
      </c>
      <c r="B108" t="s">
        <v>1250</v>
      </c>
      <c r="C108" t="s">
        <v>1251</v>
      </c>
      <c r="D108" t="s">
        <v>1252</v>
      </c>
      <c r="E108" t="s">
        <v>1253</v>
      </c>
      <c r="F108" t="s">
        <v>1254</v>
      </c>
      <c r="G108">
        <v>144948248</v>
      </c>
      <c r="J108" s="354">
        <v>39405</v>
      </c>
      <c r="K108">
        <v>5.5865850000000004</v>
      </c>
      <c r="L108">
        <v>5.5865850000000004</v>
      </c>
      <c r="M108">
        <v>4.4373199999999997</v>
      </c>
      <c r="N108">
        <v>4.5593459999999997</v>
      </c>
      <c r="O108">
        <v>3.1257440000000001</v>
      </c>
      <c r="P108">
        <v>20020641</v>
      </c>
    </row>
    <row r="109" spans="1:16" x14ac:dyDescent="0.2">
      <c r="A109" s="354">
        <v>41913</v>
      </c>
      <c r="B109" t="s">
        <v>1255</v>
      </c>
      <c r="C109" t="s">
        <v>1256</v>
      </c>
      <c r="D109" t="s">
        <v>1257</v>
      </c>
      <c r="E109" t="s">
        <v>1258</v>
      </c>
      <c r="F109" t="s">
        <v>1259</v>
      </c>
      <c r="G109">
        <v>164462758</v>
      </c>
      <c r="J109" s="354">
        <v>39412</v>
      </c>
      <c r="K109">
        <v>4.5704390000000004</v>
      </c>
      <c r="L109">
        <v>4.8588649999999998</v>
      </c>
      <c r="M109">
        <v>4.1045210000000001</v>
      </c>
      <c r="N109">
        <v>4.6569669999999999</v>
      </c>
      <c r="O109">
        <v>3.1926700000000001</v>
      </c>
      <c r="P109">
        <v>31838134</v>
      </c>
    </row>
    <row r="110" spans="1:16" x14ac:dyDescent="0.2">
      <c r="A110" s="354">
        <v>41944</v>
      </c>
      <c r="B110" t="s">
        <v>1260</v>
      </c>
      <c r="C110" t="s">
        <v>1261</v>
      </c>
      <c r="D110" t="s">
        <v>1262</v>
      </c>
      <c r="E110" t="s">
        <v>1263</v>
      </c>
      <c r="F110" t="s">
        <v>1264</v>
      </c>
      <c r="G110">
        <v>98310800</v>
      </c>
      <c r="J110" s="354">
        <v>39419</v>
      </c>
      <c r="K110">
        <v>4.6724969999999999</v>
      </c>
      <c r="L110">
        <v>4.836678</v>
      </c>
      <c r="M110">
        <v>4.5482529999999999</v>
      </c>
      <c r="N110">
        <v>4.7747659999999996</v>
      </c>
      <c r="O110">
        <v>3.273428</v>
      </c>
      <c r="P110">
        <v>17010840</v>
      </c>
    </row>
    <row r="111" spans="1:16" x14ac:dyDescent="0.2">
      <c r="A111" s="354">
        <v>41974</v>
      </c>
      <c r="B111" t="s">
        <v>1265</v>
      </c>
      <c r="C111" t="s">
        <v>1266</v>
      </c>
      <c r="D111" t="s">
        <v>1267</v>
      </c>
      <c r="E111" t="s">
        <v>1268</v>
      </c>
      <c r="F111" t="s">
        <v>1269</v>
      </c>
      <c r="G111">
        <v>467813476</v>
      </c>
      <c r="J111" s="354">
        <v>39426</v>
      </c>
      <c r="K111">
        <v>4.7436600000000002</v>
      </c>
      <c r="L111">
        <v>5.0191699999999999</v>
      </c>
      <c r="M111">
        <v>4.4659279999999999</v>
      </c>
      <c r="N111">
        <v>4.6214579999999996</v>
      </c>
      <c r="O111">
        <v>3.1683249999999998</v>
      </c>
      <c r="P111">
        <v>22068946</v>
      </c>
    </row>
    <row r="112" spans="1:16" x14ac:dyDescent="0.2">
      <c r="A112" s="354">
        <v>42005</v>
      </c>
      <c r="B112" t="s">
        <v>1268</v>
      </c>
      <c r="C112" t="s">
        <v>1268</v>
      </c>
      <c r="D112" t="s">
        <v>1270</v>
      </c>
      <c r="E112" t="s">
        <v>1271</v>
      </c>
      <c r="F112" t="s">
        <v>1272</v>
      </c>
      <c r="G112">
        <v>157187200</v>
      </c>
      <c r="J112" s="354">
        <v>39433</v>
      </c>
      <c r="K112">
        <v>4.5703550000000002</v>
      </c>
      <c r="L112">
        <v>4.8391989999999998</v>
      </c>
      <c r="M112">
        <v>4.4503750000000002</v>
      </c>
      <c r="N112">
        <v>4.7214410000000004</v>
      </c>
      <c r="O112">
        <v>3.2368700000000001</v>
      </c>
      <c r="P112">
        <v>26052553</v>
      </c>
    </row>
    <row r="113" spans="1:16" x14ac:dyDescent="0.2">
      <c r="A113" s="354">
        <v>42036</v>
      </c>
      <c r="B113" t="s">
        <v>1273</v>
      </c>
      <c r="C113" t="s">
        <v>1274</v>
      </c>
      <c r="D113" t="s">
        <v>1275</v>
      </c>
      <c r="E113" t="s">
        <v>1276</v>
      </c>
      <c r="F113" t="s">
        <v>1277</v>
      </c>
      <c r="G113">
        <v>107158800</v>
      </c>
      <c r="J113" s="354">
        <v>39440</v>
      </c>
      <c r="K113">
        <v>4.7214410000000004</v>
      </c>
      <c r="L113">
        <v>4.7658779999999998</v>
      </c>
      <c r="M113">
        <v>4.5903520000000002</v>
      </c>
      <c r="N113">
        <v>4.6214579999999996</v>
      </c>
      <c r="O113">
        <v>3.1683249999999998</v>
      </c>
      <c r="P113">
        <v>10554243</v>
      </c>
    </row>
    <row r="114" spans="1:16" x14ac:dyDescent="0.2">
      <c r="A114" s="354">
        <v>42064</v>
      </c>
      <c r="B114" t="s">
        <v>1276</v>
      </c>
      <c r="C114" t="s">
        <v>1278</v>
      </c>
      <c r="D114" t="s">
        <v>1279</v>
      </c>
      <c r="E114" t="s">
        <v>1280</v>
      </c>
      <c r="F114" t="s">
        <v>1281</v>
      </c>
      <c r="G114">
        <v>123921600</v>
      </c>
      <c r="J114" s="354">
        <v>39447</v>
      </c>
      <c r="K114">
        <v>4.6214579999999996</v>
      </c>
      <c r="L114">
        <v>4.7747659999999996</v>
      </c>
      <c r="M114">
        <v>4.4970340000000002</v>
      </c>
      <c r="N114">
        <v>4.7103320000000002</v>
      </c>
      <c r="O114">
        <v>3.2292550000000002</v>
      </c>
      <c r="P114">
        <v>14514898</v>
      </c>
    </row>
    <row r="115" spans="1:16" x14ac:dyDescent="0.2">
      <c r="A115" s="354">
        <v>42095</v>
      </c>
      <c r="B115" t="s">
        <v>1282</v>
      </c>
      <c r="C115" t="s">
        <v>1283</v>
      </c>
      <c r="D115" t="s">
        <v>1282</v>
      </c>
      <c r="E115" t="s">
        <v>1284</v>
      </c>
      <c r="F115" t="s">
        <v>1285</v>
      </c>
      <c r="G115">
        <v>92252800</v>
      </c>
      <c r="J115" s="354">
        <v>39454</v>
      </c>
      <c r="K115">
        <v>4.6658949999999999</v>
      </c>
      <c r="L115">
        <v>5.7212759999999996</v>
      </c>
      <c r="M115">
        <v>4.6658949999999999</v>
      </c>
      <c r="N115">
        <v>5.3324509999999998</v>
      </c>
      <c r="O115">
        <v>3.6557599999999999</v>
      </c>
      <c r="P115">
        <v>47285264</v>
      </c>
    </row>
    <row r="116" spans="1:16" x14ac:dyDescent="0.2">
      <c r="A116" s="354">
        <v>42125</v>
      </c>
      <c r="B116" t="s">
        <v>1284</v>
      </c>
      <c r="C116" t="s">
        <v>1286</v>
      </c>
      <c r="D116" t="s">
        <v>1287</v>
      </c>
      <c r="E116" t="s">
        <v>1288</v>
      </c>
      <c r="F116" t="s">
        <v>1289</v>
      </c>
      <c r="G116">
        <v>119301600</v>
      </c>
      <c r="J116" s="354">
        <v>39461</v>
      </c>
      <c r="K116">
        <v>5.3324509999999998</v>
      </c>
      <c r="L116">
        <v>5.5013120000000004</v>
      </c>
      <c r="M116">
        <v>4.8925239999999999</v>
      </c>
      <c r="N116">
        <v>5.3324509999999998</v>
      </c>
      <c r="O116">
        <v>3.6557599999999999</v>
      </c>
      <c r="P116">
        <v>38299079</v>
      </c>
    </row>
    <row r="117" spans="1:16" x14ac:dyDescent="0.2">
      <c r="A117" s="354">
        <v>42156</v>
      </c>
      <c r="B117" t="s">
        <v>1290</v>
      </c>
      <c r="C117" t="s">
        <v>1291</v>
      </c>
      <c r="D117" t="s">
        <v>1292</v>
      </c>
      <c r="E117" t="s">
        <v>1293</v>
      </c>
      <c r="F117" t="s">
        <v>1294</v>
      </c>
      <c r="G117">
        <v>97358000</v>
      </c>
      <c r="J117" s="354">
        <v>39468</v>
      </c>
      <c r="K117">
        <v>4.9991729999999999</v>
      </c>
      <c r="L117">
        <v>5.3324509999999998</v>
      </c>
      <c r="M117">
        <v>4.7258849999999999</v>
      </c>
      <c r="N117">
        <v>5.2213580000000004</v>
      </c>
      <c r="O117">
        <v>3.5795979999999998</v>
      </c>
      <c r="P117">
        <v>21311021</v>
      </c>
    </row>
    <row r="118" spans="1:16" x14ac:dyDescent="0.2">
      <c r="A118" s="354">
        <v>42186</v>
      </c>
      <c r="B118" t="s">
        <v>1295</v>
      </c>
      <c r="C118" t="s">
        <v>1296</v>
      </c>
      <c r="D118" t="s">
        <v>1297</v>
      </c>
      <c r="E118" t="s">
        <v>1298</v>
      </c>
      <c r="F118" t="s">
        <v>1299</v>
      </c>
      <c r="G118">
        <v>115320800</v>
      </c>
      <c r="J118" s="354">
        <v>39475</v>
      </c>
      <c r="K118">
        <v>5.1435940000000002</v>
      </c>
      <c r="L118">
        <v>6.2545210000000004</v>
      </c>
      <c r="M118">
        <v>5.0436100000000001</v>
      </c>
      <c r="N118">
        <v>6.1101000000000001</v>
      </c>
      <c r="O118">
        <v>4.1888909999999999</v>
      </c>
      <c r="P118">
        <v>41128246</v>
      </c>
    </row>
    <row r="119" spans="1:16" x14ac:dyDescent="0.2">
      <c r="A119" s="354">
        <v>42217</v>
      </c>
      <c r="B119" t="s">
        <v>1300</v>
      </c>
      <c r="C119" t="s">
        <v>1301</v>
      </c>
      <c r="D119" t="s">
        <v>1302</v>
      </c>
      <c r="E119" t="s">
        <v>1303</v>
      </c>
      <c r="F119" t="s">
        <v>1304</v>
      </c>
      <c r="G119">
        <v>116129200</v>
      </c>
      <c r="J119" s="354">
        <v>39482</v>
      </c>
      <c r="K119">
        <v>6.1101000000000001</v>
      </c>
      <c r="L119">
        <v>6.1101000000000001</v>
      </c>
      <c r="M119">
        <v>5.1458149999999998</v>
      </c>
      <c r="N119">
        <v>5.4102160000000001</v>
      </c>
      <c r="O119">
        <v>3.7090730000000001</v>
      </c>
      <c r="P119">
        <v>23876446</v>
      </c>
    </row>
    <row r="120" spans="1:16" x14ac:dyDescent="0.2">
      <c r="A120" s="354">
        <v>42248</v>
      </c>
      <c r="B120" t="s">
        <v>1305</v>
      </c>
      <c r="C120" t="s">
        <v>1306</v>
      </c>
      <c r="D120" t="s">
        <v>1307</v>
      </c>
      <c r="E120" t="s">
        <v>1308</v>
      </c>
      <c r="F120" t="s">
        <v>1309</v>
      </c>
      <c r="G120">
        <v>145734000</v>
      </c>
      <c r="J120" s="354">
        <v>39489</v>
      </c>
      <c r="K120">
        <v>5.4013289999999996</v>
      </c>
      <c r="L120">
        <v>6.1656469999999999</v>
      </c>
      <c r="M120">
        <v>5.4013289999999996</v>
      </c>
      <c r="N120">
        <v>6.0412229999999996</v>
      </c>
      <c r="O120">
        <v>4.1416719999999998</v>
      </c>
      <c r="P120">
        <v>33229890</v>
      </c>
    </row>
    <row r="121" spans="1:16" x14ac:dyDescent="0.2">
      <c r="A121" s="354">
        <v>42278</v>
      </c>
      <c r="B121" t="s">
        <v>1310</v>
      </c>
      <c r="C121" t="s">
        <v>1311</v>
      </c>
      <c r="D121" t="s">
        <v>1312</v>
      </c>
      <c r="E121" t="s">
        <v>1311</v>
      </c>
      <c r="F121" t="s">
        <v>1313</v>
      </c>
      <c r="G121">
        <v>112520800</v>
      </c>
      <c r="J121" s="354">
        <v>39496</v>
      </c>
      <c r="K121">
        <v>6.1101000000000001</v>
      </c>
      <c r="L121">
        <v>6.3745010000000004</v>
      </c>
      <c r="M121">
        <v>5.7012790000000004</v>
      </c>
      <c r="N121">
        <v>6.2656299999999998</v>
      </c>
      <c r="O121">
        <v>4.2955170000000003</v>
      </c>
      <c r="P121">
        <v>26533234</v>
      </c>
    </row>
    <row r="122" spans="1:16" x14ac:dyDescent="0.2">
      <c r="A122" s="354">
        <v>42309</v>
      </c>
      <c r="B122" t="s">
        <v>1311</v>
      </c>
      <c r="C122" t="s">
        <v>1314</v>
      </c>
      <c r="D122" t="s">
        <v>1315</v>
      </c>
      <c r="E122" t="s">
        <v>1315</v>
      </c>
      <c r="F122" t="s">
        <v>1316</v>
      </c>
      <c r="G122">
        <v>98974000</v>
      </c>
      <c r="J122" s="354">
        <v>39503</v>
      </c>
      <c r="K122">
        <v>6.3211769999999996</v>
      </c>
      <c r="L122">
        <v>6.5322529999999999</v>
      </c>
      <c r="M122">
        <v>5.9990079999999999</v>
      </c>
      <c r="N122">
        <v>6.4211600000000004</v>
      </c>
      <c r="O122">
        <v>4.402145</v>
      </c>
      <c r="P122">
        <v>28492858</v>
      </c>
    </row>
    <row r="123" spans="1:16" x14ac:dyDescent="0.2">
      <c r="A123" s="354">
        <v>42339</v>
      </c>
      <c r="B123" t="s">
        <v>1317</v>
      </c>
      <c r="C123" t="s">
        <v>1318</v>
      </c>
      <c r="D123" t="s">
        <v>1319</v>
      </c>
      <c r="E123" t="s">
        <v>1320</v>
      </c>
      <c r="F123" t="s">
        <v>1321</v>
      </c>
      <c r="G123">
        <v>76210800</v>
      </c>
      <c r="J123" s="354">
        <v>39510</v>
      </c>
      <c r="K123">
        <v>6.4189379999999998</v>
      </c>
      <c r="L123">
        <v>7.1543720000000004</v>
      </c>
      <c r="M123">
        <v>6.2345240000000004</v>
      </c>
      <c r="N123">
        <v>6.4233820000000001</v>
      </c>
      <c r="O123">
        <v>4.4036679999999997</v>
      </c>
      <c r="P123">
        <v>32661447</v>
      </c>
    </row>
    <row r="124" spans="1:16" x14ac:dyDescent="0.2">
      <c r="A124" s="354">
        <v>42370</v>
      </c>
      <c r="B124" t="s">
        <v>1320</v>
      </c>
      <c r="C124" t="s">
        <v>1322</v>
      </c>
      <c r="D124" t="s">
        <v>1323</v>
      </c>
      <c r="E124" t="s">
        <v>1324</v>
      </c>
      <c r="F124" t="s">
        <v>1325</v>
      </c>
      <c r="G124">
        <v>111664800</v>
      </c>
      <c r="J124" s="354">
        <v>39517</v>
      </c>
      <c r="K124">
        <v>6.3678359999999996</v>
      </c>
      <c r="L124">
        <v>6.7255539999999998</v>
      </c>
      <c r="M124">
        <v>5.7323849999999998</v>
      </c>
      <c r="N124">
        <v>5.8879149999999996</v>
      </c>
      <c r="O124">
        <v>4.0365690000000001</v>
      </c>
      <c r="P124">
        <v>26196577</v>
      </c>
    </row>
    <row r="125" spans="1:16" x14ac:dyDescent="0.2">
      <c r="A125" s="354">
        <v>42401</v>
      </c>
      <c r="B125" t="s">
        <v>1326</v>
      </c>
      <c r="C125" t="s">
        <v>1291</v>
      </c>
      <c r="D125" t="s">
        <v>1327</v>
      </c>
      <c r="E125" t="s">
        <v>1328</v>
      </c>
      <c r="F125" t="s">
        <v>1329</v>
      </c>
      <c r="G125">
        <v>114216400</v>
      </c>
      <c r="J125" s="354">
        <v>39524</v>
      </c>
      <c r="K125">
        <v>5.7323849999999998</v>
      </c>
      <c r="L125">
        <v>6.0745509999999996</v>
      </c>
      <c r="M125">
        <v>5.3879979999999996</v>
      </c>
      <c r="N125">
        <v>5.4435440000000002</v>
      </c>
      <c r="O125">
        <v>3.731922</v>
      </c>
      <c r="P125">
        <v>24482695</v>
      </c>
    </row>
    <row r="126" spans="1:16" x14ac:dyDescent="0.2">
      <c r="A126" s="354">
        <v>42430</v>
      </c>
      <c r="B126" t="s">
        <v>1330</v>
      </c>
      <c r="C126" t="s">
        <v>1331</v>
      </c>
      <c r="D126" t="s">
        <v>1332</v>
      </c>
      <c r="E126" t="s">
        <v>1333</v>
      </c>
      <c r="F126" t="s">
        <v>1334</v>
      </c>
      <c r="G126">
        <v>106638000</v>
      </c>
      <c r="J126" s="354">
        <v>39531</v>
      </c>
      <c r="K126">
        <v>5.5768550000000001</v>
      </c>
      <c r="L126">
        <v>5.9323519999999998</v>
      </c>
      <c r="M126">
        <v>5.3657789999999999</v>
      </c>
      <c r="N126">
        <v>5.6879479999999996</v>
      </c>
      <c r="O126">
        <v>3.8994780000000002</v>
      </c>
      <c r="P126">
        <v>18620925</v>
      </c>
    </row>
    <row r="127" spans="1:16" x14ac:dyDescent="0.2">
      <c r="A127" s="354">
        <v>42461</v>
      </c>
      <c r="B127" t="s">
        <v>1335</v>
      </c>
      <c r="C127" t="s">
        <v>1336</v>
      </c>
      <c r="D127" t="s">
        <v>1337</v>
      </c>
      <c r="E127" t="s">
        <v>1338</v>
      </c>
      <c r="F127" t="s">
        <v>1339</v>
      </c>
      <c r="G127">
        <v>41235600</v>
      </c>
      <c r="J127" s="354">
        <v>39538</v>
      </c>
      <c r="K127">
        <v>5.5546369999999996</v>
      </c>
      <c r="L127">
        <v>5.9990079999999999</v>
      </c>
      <c r="M127">
        <v>5.3324509999999998</v>
      </c>
      <c r="N127">
        <v>5.9990079999999999</v>
      </c>
      <c r="O127">
        <v>4.11273</v>
      </c>
      <c r="P127">
        <v>19843778</v>
      </c>
    </row>
    <row r="128" spans="1:16" x14ac:dyDescent="0.2">
      <c r="A128" s="354">
        <v>42491</v>
      </c>
      <c r="B128" t="s">
        <v>1340</v>
      </c>
      <c r="C128" t="s">
        <v>1341</v>
      </c>
      <c r="D128" t="s">
        <v>1342</v>
      </c>
      <c r="E128" t="s">
        <v>1343</v>
      </c>
      <c r="F128" t="s">
        <v>1344</v>
      </c>
      <c r="G128">
        <v>86424000</v>
      </c>
      <c r="J128" s="354">
        <v>39545</v>
      </c>
      <c r="K128">
        <v>5.9990079999999999</v>
      </c>
      <c r="L128">
        <v>5.9990079999999999</v>
      </c>
      <c r="M128">
        <v>5.1213749999999996</v>
      </c>
      <c r="N128">
        <v>5.3324509999999998</v>
      </c>
      <c r="O128">
        <v>3.6557599999999999</v>
      </c>
      <c r="P128">
        <v>36810682</v>
      </c>
    </row>
    <row r="129" spans="1:16" x14ac:dyDescent="0.2">
      <c r="A129" s="354">
        <v>42522</v>
      </c>
      <c r="B129" t="s">
        <v>1345</v>
      </c>
      <c r="C129" t="s">
        <v>1258</v>
      </c>
      <c r="D129" t="s">
        <v>1346</v>
      </c>
      <c r="E129" t="s">
        <v>1347</v>
      </c>
      <c r="F129" t="s">
        <v>1348</v>
      </c>
      <c r="G129">
        <v>79896000</v>
      </c>
      <c r="J129" s="354">
        <v>39552</v>
      </c>
      <c r="K129">
        <v>5.3302290000000001</v>
      </c>
      <c r="L129">
        <v>6.1101000000000001</v>
      </c>
      <c r="M129">
        <v>5.1769210000000001</v>
      </c>
      <c r="N129">
        <v>6.0323349999999998</v>
      </c>
      <c r="O129">
        <v>4.1355779999999998</v>
      </c>
      <c r="P129">
        <v>29590140</v>
      </c>
    </row>
    <row r="130" spans="1:16" x14ac:dyDescent="0.2">
      <c r="A130" s="354">
        <v>42552</v>
      </c>
      <c r="B130" t="s">
        <v>1349</v>
      </c>
      <c r="C130" t="s">
        <v>1350</v>
      </c>
      <c r="D130" t="s">
        <v>1351</v>
      </c>
      <c r="E130" t="s">
        <v>1352</v>
      </c>
      <c r="F130" t="s">
        <v>1353</v>
      </c>
      <c r="G130">
        <v>70038000</v>
      </c>
      <c r="J130" s="354">
        <v>39559</v>
      </c>
      <c r="K130">
        <v>6.0323349999999998</v>
      </c>
      <c r="L130">
        <v>6.1811999999999996</v>
      </c>
      <c r="M130">
        <v>5.4524309999999998</v>
      </c>
      <c r="N130">
        <v>5.8656959999999998</v>
      </c>
      <c r="O130">
        <v>4.0213369999999999</v>
      </c>
      <c r="P130">
        <v>30880952</v>
      </c>
    </row>
    <row r="131" spans="1:16" x14ac:dyDescent="0.2">
      <c r="A131" s="354">
        <v>42583</v>
      </c>
      <c r="B131" t="s">
        <v>1354</v>
      </c>
      <c r="C131" t="s">
        <v>1355</v>
      </c>
      <c r="D131" t="s">
        <v>1356</v>
      </c>
      <c r="E131" t="s">
        <v>1357</v>
      </c>
      <c r="F131" t="s">
        <v>1358</v>
      </c>
      <c r="G131">
        <v>104445200</v>
      </c>
      <c r="J131" s="354">
        <v>39566</v>
      </c>
      <c r="K131">
        <v>5.9234650000000002</v>
      </c>
      <c r="L131">
        <v>6.6544549999999996</v>
      </c>
      <c r="M131">
        <v>5.7146100000000004</v>
      </c>
      <c r="N131">
        <v>6.2211930000000004</v>
      </c>
      <c r="O131">
        <v>4.2650540000000001</v>
      </c>
      <c r="P131">
        <v>26717315</v>
      </c>
    </row>
    <row r="132" spans="1:16" x14ac:dyDescent="0.2">
      <c r="A132" s="354">
        <v>42614</v>
      </c>
      <c r="B132" t="s">
        <v>1359</v>
      </c>
      <c r="C132" t="s">
        <v>1360</v>
      </c>
      <c r="D132" t="s">
        <v>1361</v>
      </c>
      <c r="E132" t="s">
        <v>1362</v>
      </c>
      <c r="F132" t="s">
        <v>1363</v>
      </c>
      <c r="G132">
        <v>74613600</v>
      </c>
      <c r="J132" s="354">
        <v>39573</v>
      </c>
      <c r="K132">
        <v>6.3656139999999999</v>
      </c>
      <c r="L132">
        <v>6.3656139999999999</v>
      </c>
      <c r="M132">
        <v>5.7323849999999998</v>
      </c>
      <c r="N132">
        <v>6.1656469999999999</v>
      </c>
      <c r="O132">
        <v>4.2269740000000002</v>
      </c>
      <c r="P132">
        <v>18232511</v>
      </c>
    </row>
    <row r="133" spans="1:16" x14ac:dyDescent="0.2">
      <c r="A133" s="354">
        <v>42644</v>
      </c>
      <c r="B133" t="s">
        <v>1364</v>
      </c>
      <c r="C133" t="s">
        <v>1365</v>
      </c>
      <c r="D133" t="s">
        <v>1366</v>
      </c>
      <c r="E133" t="s">
        <v>1367</v>
      </c>
      <c r="F133" t="s">
        <v>1368</v>
      </c>
      <c r="G133">
        <v>86301200</v>
      </c>
      <c r="J133" s="354">
        <v>39580</v>
      </c>
      <c r="K133">
        <v>6.2189709999999998</v>
      </c>
      <c r="L133">
        <v>6.3989419999999999</v>
      </c>
      <c r="M133">
        <v>6.0989909999999998</v>
      </c>
      <c r="N133">
        <v>6.1989749999999999</v>
      </c>
      <c r="O133">
        <v>4.249822</v>
      </c>
      <c r="P133">
        <v>15414596</v>
      </c>
    </row>
    <row r="134" spans="1:16" x14ac:dyDescent="0.2">
      <c r="A134" s="354">
        <v>42675</v>
      </c>
      <c r="B134" t="s">
        <v>1369</v>
      </c>
      <c r="C134" t="s">
        <v>1370</v>
      </c>
      <c r="D134" t="s">
        <v>1350</v>
      </c>
      <c r="E134" t="s">
        <v>1371</v>
      </c>
      <c r="F134" t="s">
        <v>1372</v>
      </c>
      <c r="G134">
        <v>96082400</v>
      </c>
      <c r="J134" s="354">
        <v>39587</v>
      </c>
      <c r="K134">
        <v>6.2634080000000001</v>
      </c>
      <c r="L134">
        <v>6.2656299999999998</v>
      </c>
      <c r="M134">
        <v>5.8434780000000002</v>
      </c>
      <c r="N134">
        <v>5.8434780000000002</v>
      </c>
      <c r="O134">
        <v>4.0061039999999997</v>
      </c>
      <c r="P134">
        <v>12235272</v>
      </c>
    </row>
    <row r="135" spans="1:16" x14ac:dyDescent="0.2">
      <c r="A135" s="354">
        <v>42705</v>
      </c>
      <c r="B135" t="s">
        <v>1373</v>
      </c>
      <c r="C135" t="s">
        <v>1374</v>
      </c>
      <c r="D135" t="s">
        <v>1375</v>
      </c>
      <c r="E135" t="s">
        <v>1376</v>
      </c>
      <c r="F135" t="s">
        <v>1377</v>
      </c>
      <c r="G135">
        <v>67800000</v>
      </c>
      <c r="J135" s="354">
        <v>39594</v>
      </c>
      <c r="K135">
        <v>5.8679180000000004</v>
      </c>
      <c r="L135">
        <v>5.9990079999999999</v>
      </c>
      <c r="M135">
        <v>5.5546369999999996</v>
      </c>
      <c r="N135">
        <v>5.6879479999999996</v>
      </c>
      <c r="O135">
        <v>3.8994780000000002</v>
      </c>
      <c r="P135">
        <v>16856184</v>
      </c>
    </row>
    <row r="136" spans="1:16" x14ac:dyDescent="0.2">
      <c r="A136" s="354">
        <v>42736</v>
      </c>
      <c r="B136" t="s">
        <v>1357</v>
      </c>
      <c r="C136" t="s">
        <v>1378</v>
      </c>
      <c r="D136" t="s">
        <v>1379</v>
      </c>
      <c r="E136" t="s">
        <v>1380</v>
      </c>
      <c r="F136" t="s">
        <v>1381</v>
      </c>
      <c r="G136">
        <v>69274400</v>
      </c>
      <c r="J136" s="354">
        <v>39601</v>
      </c>
      <c r="K136">
        <v>5.6812820000000004</v>
      </c>
      <c r="L136">
        <v>5.6812820000000004</v>
      </c>
      <c r="M136">
        <v>5.2680170000000004</v>
      </c>
      <c r="N136">
        <v>5.5279740000000004</v>
      </c>
      <c r="O136">
        <v>3.7898040000000002</v>
      </c>
      <c r="P136">
        <v>15851618</v>
      </c>
    </row>
    <row r="137" spans="1:16" x14ac:dyDescent="0.2">
      <c r="A137" s="354">
        <v>42767</v>
      </c>
      <c r="B137" t="s">
        <v>1382</v>
      </c>
      <c r="C137" t="s">
        <v>1383</v>
      </c>
      <c r="D137" t="s">
        <v>1384</v>
      </c>
      <c r="E137" t="s">
        <v>1385</v>
      </c>
      <c r="F137" t="s">
        <v>1386</v>
      </c>
      <c r="G137">
        <v>71683600</v>
      </c>
      <c r="J137" s="354">
        <v>39608</v>
      </c>
      <c r="K137">
        <v>5.5279740000000004</v>
      </c>
      <c r="L137">
        <v>5.9545709999999996</v>
      </c>
      <c r="M137">
        <v>5.3213419999999996</v>
      </c>
      <c r="N137">
        <v>5.8990239999999998</v>
      </c>
      <c r="O137">
        <v>4.0441849999999997</v>
      </c>
      <c r="P137">
        <v>16019495</v>
      </c>
    </row>
    <row r="138" spans="1:16" x14ac:dyDescent="0.2">
      <c r="A138" s="354">
        <v>42795</v>
      </c>
      <c r="B138" t="s">
        <v>1387</v>
      </c>
      <c r="C138" t="s">
        <v>1388</v>
      </c>
      <c r="D138" t="s">
        <v>1389</v>
      </c>
      <c r="E138" t="s">
        <v>1390</v>
      </c>
      <c r="F138" t="s">
        <v>1391</v>
      </c>
      <c r="G138">
        <v>118068800</v>
      </c>
      <c r="J138" s="354">
        <v>39615</v>
      </c>
      <c r="K138">
        <v>5.8656959999999998</v>
      </c>
      <c r="L138">
        <v>6.2189709999999998</v>
      </c>
      <c r="M138">
        <v>5.8656959999999998</v>
      </c>
      <c r="N138">
        <v>6.1101000000000001</v>
      </c>
      <c r="O138">
        <v>4.1888909999999999</v>
      </c>
      <c r="P138">
        <v>23039757</v>
      </c>
    </row>
    <row r="139" spans="1:16" x14ac:dyDescent="0.2">
      <c r="A139" s="354">
        <v>42826</v>
      </c>
      <c r="B139" t="s">
        <v>1392</v>
      </c>
      <c r="C139" t="s">
        <v>1393</v>
      </c>
      <c r="D139" t="s">
        <v>1394</v>
      </c>
      <c r="E139" t="s">
        <v>1395</v>
      </c>
      <c r="F139" t="s">
        <v>1396</v>
      </c>
      <c r="G139">
        <v>69107200</v>
      </c>
      <c r="J139" s="354">
        <v>39622</v>
      </c>
      <c r="K139">
        <v>5.9990079999999999</v>
      </c>
      <c r="L139">
        <v>6.3545040000000004</v>
      </c>
      <c r="M139">
        <v>5.8545870000000004</v>
      </c>
      <c r="N139">
        <v>5.9990079999999999</v>
      </c>
      <c r="O139">
        <v>4.11273</v>
      </c>
      <c r="P139">
        <v>20527441</v>
      </c>
    </row>
    <row r="140" spans="1:16" x14ac:dyDescent="0.2">
      <c r="A140" s="354">
        <v>42856</v>
      </c>
      <c r="B140" t="s">
        <v>1395</v>
      </c>
      <c r="C140" t="s">
        <v>1397</v>
      </c>
      <c r="D140" t="s">
        <v>1398</v>
      </c>
      <c r="E140" t="s">
        <v>1399</v>
      </c>
      <c r="F140" t="s">
        <v>1400</v>
      </c>
      <c r="G140">
        <v>138091600</v>
      </c>
      <c r="J140" s="354">
        <v>39629</v>
      </c>
      <c r="K140">
        <v>6.0012299999999996</v>
      </c>
      <c r="L140">
        <v>6.6433460000000002</v>
      </c>
      <c r="M140">
        <v>5.9101330000000001</v>
      </c>
      <c r="N140">
        <v>6.4211600000000004</v>
      </c>
      <c r="O140">
        <v>4.402145</v>
      </c>
      <c r="P140">
        <v>33585450</v>
      </c>
    </row>
    <row r="141" spans="1:16" x14ac:dyDescent="0.2">
      <c r="A141" s="354">
        <v>42887</v>
      </c>
      <c r="B141" t="s">
        <v>1401</v>
      </c>
      <c r="C141" t="s">
        <v>1402</v>
      </c>
      <c r="D141" t="s">
        <v>1403</v>
      </c>
      <c r="E141" t="s">
        <v>1404</v>
      </c>
      <c r="F141" t="s">
        <v>1405</v>
      </c>
      <c r="G141">
        <v>150052000</v>
      </c>
      <c r="J141" s="354">
        <v>39636</v>
      </c>
      <c r="K141">
        <v>6.3767230000000001</v>
      </c>
      <c r="L141">
        <v>7.2654649999999998</v>
      </c>
      <c r="M141">
        <v>6.3767230000000001</v>
      </c>
      <c r="N141">
        <v>7.2543559999999996</v>
      </c>
      <c r="O141">
        <v>4.973357</v>
      </c>
      <c r="P141">
        <v>26064257</v>
      </c>
    </row>
    <row r="142" spans="1:16" x14ac:dyDescent="0.2">
      <c r="A142" s="354">
        <v>42917</v>
      </c>
      <c r="B142" t="s">
        <v>1258</v>
      </c>
      <c r="C142" t="s">
        <v>1406</v>
      </c>
      <c r="D142" t="s">
        <v>1407</v>
      </c>
      <c r="E142" t="s">
        <v>1408</v>
      </c>
      <c r="F142" t="s">
        <v>1409</v>
      </c>
      <c r="G142">
        <v>77822800</v>
      </c>
      <c r="J142" s="354">
        <v>39643</v>
      </c>
      <c r="K142">
        <v>7.3321209999999999</v>
      </c>
      <c r="L142">
        <v>7.5876340000000004</v>
      </c>
      <c r="M142">
        <v>6.6322359999999998</v>
      </c>
      <c r="N142">
        <v>6.7766570000000002</v>
      </c>
      <c r="O142">
        <v>4.645861</v>
      </c>
      <c r="P142">
        <v>28446050</v>
      </c>
    </row>
    <row r="143" spans="1:16" x14ac:dyDescent="0.2">
      <c r="A143" s="354">
        <v>42948</v>
      </c>
      <c r="B143" t="s">
        <v>1410</v>
      </c>
      <c r="C143" t="s">
        <v>1411</v>
      </c>
      <c r="D143" t="s">
        <v>1375</v>
      </c>
      <c r="E143" t="s">
        <v>1412</v>
      </c>
      <c r="F143" t="s">
        <v>1413</v>
      </c>
      <c r="G143">
        <v>98872800</v>
      </c>
      <c r="J143" s="354">
        <v>39650</v>
      </c>
      <c r="K143">
        <v>6.8877499999999996</v>
      </c>
      <c r="L143">
        <v>6.9988419999999998</v>
      </c>
      <c r="M143">
        <v>6.3345079999999996</v>
      </c>
      <c r="N143">
        <v>6.5544710000000004</v>
      </c>
      <c r="O143">
        <v>4.4935390000000002</v>
      </c>
      <c r="P143">
        <v>27858253</v>
      </c>
    </row>
    <row r="144" spans="1:16" x14ac:dyDescent="0.2">
      <c r="A144" s="354">
        <v>42979</v>
      </c>
      <c r="B144" t="s">
        <v>1414</v>
      </c>
      <c r="C144" t="s">
        <v>1415</v>
      </c>
      <c r="D144" t="s">
        <v>1416</v>
      </c>
      <c r="E144" t="s">
        <v>1417</v>
      </c>
      <c r="F144" t="s">
        <v>1418</v>
      </c>
      <c r="G144">
        <v>96265600</v>
      </c>
      <c r="J144" s="354">
        <v>39657</v>
      </c>
      <c r="K144">
        <v>6.5589149999999998</v>
      </c>
      <c r="L144">
        <v>6.9988419999999998</v>
      </c>
      <c r="M144">
        <v>6.5589149999999998</v>
      </c>
      <c r="N144">
        <v>6.8433130000000002</v>
      </c>
      <c r="O144">
        <v>4.69156</v>
      </c>
      <c r="P144">
        <v>22466811</v>
      </c>
    </row>
    <row r="145" spans="1:16" x14ac:dyDescent="0.2">
      <c r="A145" s="354">
        <v>43009</v>
      </c>
      <c r="B145" t="s">
        <v>1419</v>
      </c>
      <c r="C145" t="s">
        <v>1420</v>
      </c>
      <c r="D145" t="s">
        <v>1421</v>
      </c>
      <c r="E145" t="s">
        <v>1402</v>
      </c>
      <c r="F145" t="s">
        <v>1422</v>
      </c>
      <c r="G145">
        <v>103970400</v>
      </c>
      <c r="J145" s="354">
        <v>39664</v>
      </c>
      <c r="K145">
        <v>6.8122069999999999</v>
      </c>
      <c r="L145">
        <v>6.8322029999999998</v>
      </c>
      <c r="M145">
        <v>6.0723289999999999</v>
      </c>
      <c r="N145">
        <v>6.2656299999999998</v>
      </c>
      <c r="O145">
        <v>4.2955170000000003</v>
      </c>
      <c r="P145">
        <v>14157088</v>
      </c>
    </row>
    <row r="146" spans="1:16" x14ac:dyDescent="0.2">
      <c r="A146" s="354">
        <v>43040</v>
      </c>
      <c r="B146" t="s">
        <v>1423</v>
      </c>
      <c r="C146" t="s">
        <v>1424</v>
      </c>
      <c r="D146" t="s">
        <v>1425</v>
      </c>
      <c r="E146" t="s">
        <v>1426</v>
      </c>
      <c r="F146" t="s">
        <v>1427</v>
      </c>
      <c r="G146">
        <v>101241200</v>
      </c>
      <c r="J146" s="354">
        <v>39671</v>
      </c>
      <c r="K146">
        <v>6.1989749999999999</v>
      </c>
      <c r="L146">
        <v>6.6077959999999996</v>
      </c>
      <c r="M146">
        <v>6.0212260000000004</v>
      </c>
      <c r="N146">
        <v>6.0212260000000004</v>
      </c>
      <c r="O146">
        <v>4.1279630000000003</v>
      </c>
      <c r="P146">
        <v>23847189</v>
      </c>
    </row>
    <row r="147" spans="1:16" x14ac:dyDescent="0.2">
      <c r="A147" s="354">
        <v>43070</v>
      </c>
      <c r="B147" t="s">
        <v>1428</v>
      </c>
      <c r="C147" t="s">
        <v>1429</v>
      </c>
      <c r="D147" t="s">
        <v>1430</v>
      </c>
      <c r="E147" t="s">
        <v>1431</v>
      </c>
      <c r="F147" t="s">
        <v>1432</v>
      </c>
      <c r="G147">
        <v>113111600</v>
      </c>
      <c r="J147" s="354">
        <v>39678</v>
      </c>
      <c r="K147">
        <v>6.0701070000000001</v>
      </c>
      <c r="L147">
        <v>6.3767230000000001</v>
      </c>
      <c r="M147">
        <v>5.9656799999999999</v>
      </c>
      <c r="N147">
        <v>6.0101170000000002</v>
      </c>
      <c r="O147">
        <v>4.1203459999999996</v>
      </c>
      <c r="P147">
        <v>12042189</v>
      </c>
    </row>
    <row r="148" spans="1:16" x14ac:dyDescent="0.2">
      <c r="A148" s="354">
        <v>43101</v>
      </c>
      <c r="B148" t="s">
        <v>1431</v>
      </c>
      <c r="C148" t="s">
        <v>1433</v>
      </c>
      <c r="D148" t="s">
        <v>1434</v>
      </c>
      <c r="E148" t="s">
        <v>1435</v>
      </c>
      <c r="F148" t="s">
        <v>1436</v>
      </c>
      <c r="G148">
        <v>86277600</v>
      </c>
      <c r="J148" s="354">
        <v>39685</v>
      </c>
      <c r="K148">
        <v>6.1078789999999996</v>
      </c>
      <c r="L148">
        <v>6.1656469999999999</v>
      </c>
      <c r="M148">
        <v>5.6901700000000002</v>
      </c>
      <c r="N148">
        <v>5.7701570000000002</v>
      </c>
      <c r="O148">
        <v>3.955838</v>
      </c>
      <c r="P148">
        <v>13917649</v>
      </c>
    </row>
    <row r="149" spans="1:16" x14ac:dyDescent="0.2">
      <c r="A149" s="354">
        <v>43132</v>
      </c>
      <c r="B149" t="s">
        <v>1437</v>
      </c>
      <c r="C149" t="s">
        <v>1438</v>
      </c>
      <c r="D149" t="s">
        <v>1439</v>
      </c>
      <c r="E149" t="s">
        <v>1440</v>
      </c>
      <c r="F149" t="s">
        <v>1441</v>
      </c>
      <c r="G149">
        <v>121220800</v>
      </c>
      <c r="J149" s="354">
        <v>39692</v>
      </c>
      <c r="K149">
        <v>5.6657289999999998</v>
      </c>
      <c r="L149">
        <v>5.7546039999999996</v>
      </c>
      <c r="M149">
        <v>4.9991729999999999</v>
      </c>
      <c r="N149">
        <v>5.0658289999999999</v>
      </c>
      <c r="O149">
        <v>3.4729719999999999</v>
      </c>
      <c r="P149">
        <v>14295712</v>
      </c>
    </row>
    <row r="150" spans="1:16" x14ac:dyDescent="0.2">
      <c r="A150" s="354">
        <v>43160</v>
      </c>
      <c r="B150" t="s">
        <v>1442</v>
      </c>
      <c r="C150" t="s">
        <v>1443</v>
      </c>
      <c r="D150" t="s">
        <v>1444</v>
      </c>
      <c r="E150" t="s">
        <v>1445</v>
      </c>
      <c r="F150" t="s">
        <v>1446</v>
      </c>
      <c r="G150">
        <v>89954000</v>
      </c>
      <c r="J150" s="354">
        <v>39699</v>
      </c>
      <c r="K150">
        <v>5.1569250000000002</v>
      </c>
      <c r="L150">
        <v>5.2413550000000004</v>
      </c>
      <c r="M150">
        <v>3.554967</v>
      </c>
      <c r="N150">
        <v>4.3548349999999996</v>
      </c>
      <c r="O150">
        <v>2.985538</v>
      </c>
      <c r="P150">
        <v>48359592</v>
      </c>
    </row>
    <row r="151" spans="1:16" x14ac:dyDescent="0.2">
      <c r="A151" s="354">
        <v>43191</v>
      </c>
      <c r="B151" t="s">
        <v>1447</v>
      </c>
      <c r="C151" t="s">
        <v>1447</v>
      </c>
      <c r="D151" t="s">
        <v>1359</v>
      </c>
      <c r="E151" t="s">
        <v>1374</v>
      </c>
      <c r="F151" t="s">
        <v>1448</v>
      </c>
      <c r="G151">
        <v>100414400</v>
      </c>
      <c r="J151" s="354">
        <v>39706</v>
      </c>
      <c r="K151">
        <v>4.0659939999999999</v>
      </c>
      <c r="L151">
        <v>4.1548679999999996</v>
      </c>
      <c r="M151">
        <v>2.788427</v>
      </c>
      <c r="N151">
        <v>3.6038480000000002</v>
      </c>
      <c r="O151">
        <v>2.4706839999999999</v>
      </c>
      <c r="P151">
        <v>36356107</v>
      </c>
    </row>
    <row r="152" spans="1:16" x14ac:dyDescent="0.2">
      <c r="A152" s="354">
        <v>43221</v>
      </c>
      <c r="B152" t="s">
        <v>1374</v>
      </c>
      <c r="C152" t="s">
        <v>1449</v>
      </c>
      <c r="D152" t="s">
        <v>1401</v>
      </c>
      <c r="E152" t="s">
        <v>1450</v>
      </c>
      <c r="F152" t="s">
        <v>1451</v>
      </c>
      <c r="G152">
        <v>250291200</v>
      </c>
      <c r="J152" s="354">
        <v>39713</v>
      </c>
      <c r="K152">
        <v>3.6082920000000001</v>
      </c>
      <c r="L152">
        <v>3.6105139999999998</v>
      </c>
      <c r="M152">
        <v>2.7439900000000002</v>
      </c>
      <c r="N152">
        <v>3.155033</v>
      </c>
      <c r="O152">
        <v>2.1629909999999999</v>
      </c>
      <c r="P152">
        <v>33243842</v>
      </c>
    </row>
    <row r="153" spans="1:16" x14ac:dyDescent="0.2">
      <c r="A153" s="354">
        <v>43252</v>
      </c>
      <c r="B153" t="s">
        <v>1452</v>
      </c>
      <c r="C153" t="s">
        <v>1453</v>
      </c>
      <c r="D153" t="s">
        <v>1454</v>
      </c>
      <c r="E153" t="s">
        <v>1455</v>
      </c>
      <c r="F153" t="s">
        <v>1456</v>
      </c>
      <c r="G153">
        <v>119921200</v>
      </c>
      <c r="J153" s="354">
        <v>39720</v>
      </c>
      <c r="K153">
        <v>2.9439570000000002</v>
      </c>
      <c r="L153">
        <v>3.108374</v>
      </c>
      <c r="M153">
        <v>2.6728909999999999</v>
      </c>
      <c r="N153">
        <v>2.9106290000000001</v>
      </c>
      <c r="O153">
        <v>1.9954350000000001</v>
      </c>
      <c r="P153">
        <v>23564543</v>
      </c>
    </row>
    <row r="154" spans="1:16" x14ac:dyDescent="0.2">
      <c r="A154" s="354">
        <v>43282</v>
      </c>
      <c r="B154" t="s">
        <v>1457</v>
      </c>
      <c r="C154" t="s">
        <v>1458</v>
      </c>
      <c r="D154" t="s">
        <v>1459</v>
      </c>
      <c r="E154" t="s">
        <v>1460</v>
      </c>
      <c r="F154" t="s">
        <v>1461</v>
      </c>
      <c r="G154">
        <v>107274800</v>
      </c>
      <c r="J154" s="354">
        <v>39727</v>
      </c>
      <c r="K154">
        <v>2.6995529999999999</v>
      </c>
      <c r="L154">
        <v>2.9106290000000001</v>
      </c>
      <c r="M154">
        <v>2.3107289999999998</v>
      </c>
      <c r="N154">
        <v>2.5306920000000002</v>
      </c>
      <c r="O154">
        <v>1.734963</v>
      </c>
      <c r="P154">
        <v>18458898</v>
      </c>
    </row>
    <row r="155" spans="1:16" x14ac:dyDescent="0.2">
      <c r="A155" s="354">
        <v>43313</v>
      </c>
      <c r="B155" t="s">
        <v>1462</v>
      </c>
      <c r="C155" t="s">
        <v>1463</v>
      </c>
      <c r="D155" t="s">
        <v>1464</v>
      </c>
      <c r="E155" t="s">
        <v>1465</v>
      </c>
      <c r="F155" t="s">
        <v>1466</v>
      </c>
      <c r="G155">
        <v>108618400</v>
      </c>
      <c r="J155" s="354">
        <v>39734</v>
      </c>
      <c r="K155">
        <v>2.7595429999999999</v>
      </c>
      <c r="L155">
        <v>2.9217390000000001</v>
      </c>
      <c r="M155">
        <v>2.221854</v>
      </c>
      <c r="N155">
        <v>2.221854</v>
      </c>
      <c r="O155">
        <v>1.5232330000000001</v>
      </c>
      <c r="P155">
        <v>20320406</v>
      </c>
    </row>
    <row r="156" spans="1:16" x14ac:dyDescent="0.2">
      <c r="A156" s="354">
        <v>43344</v>
      </c>
      <c r="B156" t="s">
        <v>1465</v>
      </c>
      <c r="C156" t="s">
        <v>1467</v>
      </c>
      <c r="D156" t="s">
        <v>1468</v>
      </c>
      <c r="E156" t="s">
        <v>1469</v>
      </c>
      <c r="F156" t="s">
        <v>1470</v>
      </c>
      <c r="G156">
        <v>82143200</v>
      </c>
      <c r="J156" s="354">
        <v>39741</v>
      </c>
      <c r="K156">
        <v>2.2596259999999999</v>
      </c>
      <c r="L156">
        <v>2.6617820000000001</v>
      </c>
      <c r="M156">
        <v>1.888576</v>
      </c>
      <c r="N156">
        <v>1.9552320000000001</v>
      </c>
      <c r="O156">
        <v>1.3404450000000001</v>
      </c>
      <c r="P156">
        <v>18502556</v>
      </c>
    </row>
    <row r="157" spans="1:16" x14ac:dyDescent="0.2">
      <c r="A157" s="354">
        <v>43374</v>
      </c>
      <c r="B157" t="s">
        <v>1471</v>
      </c>
      <c r="C157" t="s">
        <v>1472</v>
      </c>
      <c r="D157" t="s">
        <v>1473</v>
      </c>
      <c r="E157" t="s">
        <v>1474</v>
      </c>
      <c r="F157" t="s">
        <v>1475</v>
      </c>
      <c r="G157">
        <v>195474400</v>
      </c>
      <c r="J157" s="354">
        <v>39748</v>
      </c>
      <c r="K157">
        <v>1.9419010000000001</v>
      </c>
      <c r="L157">
        <v>2.7239939999999998</v>
      </c>
      <c r="M157">
        <v>1.7774829999999999</v>
      </c>
      <c r="N157">
        <v>2.3440560000000001</v>
      </c>
      <c r="O157">
        <v>1.607011</v>
      </c>
      <c r="P157">
        <v>21728239</v>
      </c>
    </row>
    <row r="158" spans="1:16" x14ac:dyDescent="0.2">
      <c r="A158" s="354">
        <v>43405</v>
      </c>
      <c r="B158" t="s">
        <v>1476</v>
      </c>
      <c r="C158" t="s">
        <v>1477</v>
      </c>
      <c r="D158" t="s">
        <v>1335</v>
      </c>
      <c r="E158" t="s">
        <v>1459</v>
      </c>
      <c r="F158" t="s">
        <v>1478</v>
      </c>
      <c r="G158">
        <v>119451200</v>
      </c>
      <c r="J158" s="354">
        <v>39755</v>
      </c>
      <c r="K158">
        <v>2.3684970000000001</v>
      </c>
      <c r="L158">
        <v>2.6662249999999998</v>
      </c>
      <c r="M158">
        <v>2.2662909999999998</v>
      </c>
      <c r="N158">
        <v>2.6617820000000001</v>
      </c>
      <c r="O158">
        <v>1.8248340000000001</v>
      </c>
      <c r="P158">
        <v>12107899</v>
      </c>
    </row>
    <row r="159" spans="1:16" x14ac:dyDescent="0.2">
      <c r="A159" s="354">
        <v>43435</v>
      </c>
      <c r="B159" t="s">
        <v>1479</v>
      </c>
      <c r="C159" t="s">
        <v>1480</v>
      </c>
      <c r="D159" t="s">
        <v>1481</v>
      </c>
      <c r="E159" t="s">
        <v>1482</v>
      </c>
      <c r="F159" t="s">
        <v>1483</v>
      </c>
      <c r="G159">
        <v>87067600</v>
      </c>
      <c r="J159" s="354">
        <v>39762</v>
      </c>
      <c r="K159">
        <v>2.7262149999999998</v>
      </c>
      <c r="L159">
        <v>2.795093</v>
      </c>
      <c r="M159">
        <v>2.1996359999999999</v>
      </c>
      <c r="N159">
        <v>2.4395959999999999</v>
      </c>
      <c r="O159">
        <v>1.6725099999999999</v>
      </c>
      <c r="P159">
        <v>14411829</v>
      </c>
    </row>
    <row r="160" spans="1:16" x14ac:dyDescent="0.2">
      <c r="A160" s="354">
        <v>43466</v>
      </c>
      <c r="B160" t="s">
        <v>1482</v>
      </c>
      <c r="C160" t="s">
        <v>1484</v>
      </c>
      <c r="D160" t="s">
        <v>1485</v>
      </c>
      <c r="E160" t="s">
        <v>1486</v>
      </c>
      <c r="F160" t="s">
        <v>1487</v>
      </c>
      <c r="G160">
        <v>156360800</v>
      </c>
      <c r="J160" s="354">
        <v>39769</v>
      </c>
      <c r="K160">
        <v>2.3662749999999999</v>
      </c>
      <c r="L160">
        <v>2.5551330000000001</v>
      </c>
      <c r="M160">
        <v>2.021887</v>
      </c>
      <c r="N160">
        <v>2.0441060000000002</v>
      </c>
      <c r="O160">
        <v>1.401375</v>
      </c>
      <c r="P160">
        <v>9425905</v>
      </c>
    </row>
    <row r="161" spans="1:16" x14ac:dyDescent="0.2">
      <c r="A161" s="354">
        <v>43497</v>
      </c>
      <c r="B161" t="s">
        <v>1486</v>
      </c>
      <c r="C161" t="s">
        <v>1488</v>
      </c>
      <c r="D161" t="s">
        <v>1489</v>
      </c>
      <c r="E161" t="s">
        <v>1490</v>
      </c>
      <c r="F161" t="s">
        <v>1491</v>
      </c>
      <c r="G161">
        <v>109565200</v>
      </c>
      <c r="J161" s="354">
        <v>39776</v>
      </c>
      <c r="K161">
        <v>2.2174109999999998</v>
      </c>
      <c r="L161">
        <v>2.5306920000000002</v>
      </c>
      <c r="M161">
        <v>2.0929869999999999</v>
      </c>
      <c r="N161">
        <v>2.4884770000000001</v>
      </c>
      <c r="O161">
        <v>1.706021</v>
      </c>
      <c r="P161">
        <v>11738838</v>
      </c>
    </row>
    <row r="162" spans="1:16" x14ac:dyDescent="0.2">
      <c r="A162" s="354">
        <v>43525</v>
      </c>
      <c r="B162" t="s">
        <v>1492</v>
      </c>
      <c r="C162" t="s">
        <v>1493</v>
      </c>
      <c r="D162" t="s">
        <v>1494</v>
      </c>
      <c r="E162" t="s">
        <v>1495</v>
      </c>
      <c r="F162" t="s">
        <v>1496</v>
      </c>
      <c r="G162">
        <v>125772400</v>
      </c>
      <c r="J162" s="354">
        <v>39783</v>
      </c>
      <c r="K162">
        <v>2.4729239999999999</v>
      </c>
      <c r="L162">
        <v>2.4729239999999999</v>
      </c>
      <c r="M162">
        <v>2.0463279999999999</v>
      </c>
      <c r="N162">
        <v>2.0574370000000002</v>
      </c>
      <c r="O162">
        <v>1.410514</v>
      </c>
      <c r="P162">
        <v>11023219</v>
      </c>
    </row>
    <row r="163" spans="1:16" x14ac:dyDescent="0.2">
      <c r="A163" s="354">
        <v>43556</v>
      </c>
      <c r="B163" t="s">
        <v>1497</v>
      </c>
      <c r="C163" t="s">
        <v>1498</v>
      </c>
      <c r="D163" t="s">
        <v>1499</v>
      </c>
      <c r="E163" t="s">
        <v>1500</v>
      </c>
      <c r="F163" t="s">
        <v>1501</v>
      </c>
      <c r="G163">
        <v>158065200</v>
      </c>
      <c r="J163" s="354">
        <v>39790</v>
      </c>
      <c r="K163">
        <v>2.2174109999999998</v>
      </c>
      <c r="L163">
        <v>2.3773840000000002</v>
      </c>
      <c r="M163">
        <v>2.1040960000000002</v>
      </c>
      <c r="N163">
        <v>2.3773840000000002</v>
      </c>
      <c r="O163">
        <v>1.6298589999999999</v>
      </c>
      <c r="P163">
        <v>21187700</v>
      </c>
    </row>
    <row r="164" spans="1:16" x14ac:dyDescent="0.2">
      <c r="A164" s="354">
        <v>43586</v>
      </c>
      <c r="B164" t="s">
        <v>1500</v>
      </c>
      <c r="C164" t="s">
        <v>1502</v>
      </c>
      <c r="D164" t="s">
        <v>1503</v>
      </c>
      <c r="E164" t="s">
        <v>1504</v>
      </c>
      <c r="F164" t="s">
        <v>1505</v>
      </c>
      <c r="G164">
        <v>154999600</v>
      </c>
      <c r="J164" s="354">
        <v>39797</v>
      </c>
      <c r="K164">
        <v>2.3107289999999998</v>
      </c>
      <c r="L164">
        <v>2.6017920000000001</v>
      </c>
      <c r="M164">
        <v>2.2107450000000002</v>
      </c>
      <c r="N164">
        <v>2.6017920000000001</v>
      </c>
      <c r="O164">
        <v>1.7837069999999999</v>
      </c>
      <c r="P164">
        <v>30224743</v>
      </c>
    </row>
    <row r="165" spans="1:16" x14ac:dyDescent="0.2">
      <c r="A165" s="354">
        <v>43617</v>
      </c>
      <c r="B165" t="s">
        <v>1506</v>
      </c>
      <c r="C165" t="s">
        <v>1507</v>
      </c>
      <c r="D165" t="s">
        <v>1508</v>
      </c>
      <c r="E165" t="s">
        <v>1509</v>
      </c>
      <c r="F165" t="s">
        <v>1510</v>
      </c>
      <c r="G165">
        <v>108143600</v>
      </c>
      <c r="J165" s="354">
        <v>39804</v>
      </c>
      <c r="K165">
        <v>2.6195659999999998</v>
      </c>
      <c r="L165">
        <v>2.7328809999999999</v>
      </c>
      <c r="M165">
        <v>2.4018250000000001</v>
      </c>
      <c r="N165">
        <v>2.4884770000000001</v>
      </c>
      <c r="O165">
        <v>1.706021</v>
      </c>
      <c r="P165">
        <v>6054850</v>
      </c>
    </row>
    <row r="166" spans="1:16" x14ac:dyDescent="0.2">
      <c r="A166" s="354">
        <v>43647</v>
      </c>
      <c r="B166" t="s">
        <v>1511</v>
      </c>
      <c r="C166" t="s">
        <v>1512</v>
      </c>
      <c r="D166" t="s">
        <v>1513</v>
      </c>
      <c r="E166" t="s">
        <v>1514</v>
      </c>
      <c r="F166" t="s">
        <v>1515</v>
      </c>
      <c r="G166">
        <v>120449600</v>
      </c>
      <c r="J166" s="354">
        <v>39811</v>
      </c>
      <c r="K166">
        <v>2.5329139999999999</v>
      </c>
      <c r="L166">
        <v>2.5595759999999999</v>
      </c>
      <c r="M166">
        <v>2.3551660000000001</v>
      </c>
      <c r="N166">
        <v>2.5129169999999998</v>
      </c>
      <c r="O166">
        <v>1.722777</v>
      </c>
      <c r="P166">
        <v>11732538</v>
      </c>
    </row>
    <row r="167" spans="1:16" x14ac:dyDescent="0.2">
      <c r="A167" s="354">
        <v>43678</v>
      </c>
      <c r="B167" t="s">
        <v>1516</v>
      </c>
      <c r="C167" t="s">
        <v>1517</v>
      </c>
      <c r="D167" t="s">
        <v>1518</v>
      </c>
      <c r="E167" t="s">
        <v>1519</v>
      </c>
      <c r="F167" t="s">
        <v>1520</v>
      </c>
      <c r="G167">
        <v>190001200</v>
      </c>
      <c r="J167" s="354">
        <v>39818</v>
      </c>
      <c r="K167">
        <v>2.5106959999999998</v>
      </c>
      <c r="L167">
        <v>2.9306260000000002</v>
      </c>
      <c r="M167">
        <v>2.4462619999999999</v>
      </c>
      <c r="N167">
        <v>2.7551000000000001</v>
      </c>
      <c r="O167">
        <v>1.8888100000000001</v>
      </c>
      <c r="P167">
        <v>15771054</v>
      </c>
    </row>
    <row r="168" spans="1:16" x14ac:dyDescent="0.2">
      <c r="A168" s="354">
        <v>43709</v>
      </c>
      <c r="B168" t="s">
        <v>1521</v>
      </c>
      <c r="C168" t="s">
        <v>1522</v>
      </c>
      <c r="D168" t="s">
        <v>1523</v>
      </c>
      <c r="E168" t="s">
        <v>1524</v>
      </c>
      <c r="F168" t="s">
        <v>1525</v>
      </c>
      <c r="G168">
        <v>108436400</v>
      </c>
      <c r="J168" s="354">
        <v>39825</v>
      </c>
      <c r="K168">
        <v>2.795093</v>
      </c>
      <c r="L168">
        <v>2.795093</v>
      </c>
      <c r="M168">
        <v>2.221854</v>
      </c>
      <c r="N168">
        <v>2.3573879999999998</v>
      </c>
      <c r="O168">
        <v>1.61615</v>
      </c>
      <c r="P168">
        <v>15076140</v>
      </c>
    </row>
    <row r="169" spans="1:16" x14ac:dyDescent="0.2">
      <c r="A169" s="354">
        <v>43739</v>
      </c>
      <c r="B169" t="s">
        <v>1526</v>
      </c>
      <c r="C169" t="s">
        <v>1527</v>
      </c>
      <c r="D169" t="s">
        <v>1528</v>
      </c>
      <c r="E169" t="s">
        <v>1529</v>
      </c>
      <c r="F169" t="s">
        <v>1530</v>
      </c>
      <c r="G169">
        <v>96430000</v>
      </c>
      <c r="J169" s="354">
        <v>39832</v>
      </c>
      <c r="K169">
        <v>2.4062679999999999</v>
      </c>
      <c r="L169">
        <v>2.4062679999999999</v>
      </c>
      <c r="M169">
        <v>1.9774499999999999</v>
      </c>
      <c r="N169">
        <v>2.128536</v>
      </c>
      <c r="O169">
        <v>1.459257</v>
      </c>
      <c r="P169">
        <v>18049332</v>
      </c>
    </row>
    <row r="170" spans="1:16" x14ac:dyDescent="0.2">
      <c r="A170" s="354">
        <v>43770</v>
      </c>
      <c r="B170" t="s">
        <v>1531</v>
      </c>
      <c r="C170" t="s">
        <v>1532</v>
      </c>
      <c r="D170" t="s">
        <v>1533</v>
      </c>
      <c r="E170" t="s">
        <v>1534</v>
      </c>
      <c r="F170" t="s">
        <v>1535</v>
      </c>
      <c r="G170">
        <v>103665600</v>
      </c>
      <c r="J170" s="354">
        <v>39839</v>
      </c>
      <c r="K170">
        <v>2.128536</v>
      </c>
      <c r="L170">
        <v>2.388493</v>
      </c>
      <c r="M170">
        <v>2.1063179999999999</v>
      </c>
      <c r="N170">
        <v>2.3329469999999999</v>
      </c>
      <c r="O170">
        <v>1.5993949999999999</v>
      </c>
      <c r="P170">
        <v>20800186</v>
      </c>
    </row>
    <row r="171" spans="1:16" x14ac:dyDescent="0.2">
      <c r="A171" s="354">
        <v>43800</v>
      </c>
      <c r="B171" t="s">
        <v>1536</v>
      </c>
      <c r="C171" t="s">
        <v>1537</v>
      </c>
      <c r="D171" t="s">
        <v>1538</v>
      </c>
      <c r="E171" t="s">
        <v>1539</v>
      </c>
      <c r="F171" t="s">
        <v>1540</v>
      </c>
      <c r="G171">
        <v>143025600</v>
      </c>
      <c r="J171" s="354">
        <v>39846</v>
      </c>
      <c r="K171">
        <v>2.301841</v>
      </c>
      <c r="L171">
        <v>2.5706859999999998</v>
      </c>
      <c r="M171">
        <v>2.2285200000000001</v>
      </c>
      <c r="N171">
        <v>2.4995859999999999</v>
      </c>
      <c r="O171">
        <v>1.7136370000000001</v>
      </c>
      <c r="P171">
        <v>30349415</v>
      </c>
    </row>
    <row r="172" spans="1:16" x14ac:dyDescent="0.2">
      <c r="A172" s="354">
        <v>43831</v>
      </c>
      <c r="B172" t="s">
        <v>1539</v>
      </c>
      <c r="C172" t="s">
        <v>1541</v>
      </c>
      <c r="D172" t="s">
        <v>1539</v>
      </c>
      <c r="E172" t="s">
        <v>1542</v>
      </c>
      <c r="F172" t="s">
        <v>1543</v>
      </c>
      <c r="G172">
        <v>121148400</v>
      </c>
      <c r="J172" s="354">
        <v>39853</v>
      </c>
      <c r="K172">
        <v>2.455149</v>
      </c>
      <c r="L172">
        <v>2.6995529999999999</v>
      </c>
      <c r="M172">
        <v>2.3040630000000002</v>
      </c>
      <c r="N172">
        <v>2.4395959999999999</v>
      </c>
      <c r="O172">
        <v>1.6725099999999999</v>
      </c>
      <c r="P172">
        <v>28150802</v>
      </c>
    </row>
    <row r="173" spans="1:16" x14ac:dyDescent="0.2">
      <c r="A173" s="354">
        <v>43862</v>
      </c>
      <c r="B173" t="s">
        <v>1544</v>
      </c>
      <c r="C173" t="s">
        <v>1545</v>
      </c>
      <c r="D173" t="s">
        <v>1546</v>
      </c>
      <c r="E173" t="s">
        <v>1547</v>
      </c>
      <c r="F173" t="s">
        <v>1548</v>
      </c>
      <c r="G173">
        <v>149263200</v>
      </c>
      <c r="J173" s="354">
        <v>39860</v>
      </c>
      <c r="K173">
        <v>2.4395959999999999</v>
      </c>
      <c r="L173">
        <v>2.4884770000000001</v>
      </c>
      <c r="M173">
        <v>2.2151890000000001</v>
      </c>
      <c r="N173">
        <v>2.255182</v>
      </c>
      <c r="O173">
        <v>1.546081</v>
      </c>
      <c r="P173">
        <v>17773435</v>
      </c>
    </row>
    <row r="174" spans="1:16" x14ac:dyDescent="0.2">
      <c r="A174" s="354">
        <v>43891</v>
      </c>
      <c r="B174" t="s">
        <v>1549</v>
      </c>
      <c r="C174" t="s">
        <v>1550</v>
      </c>
      <c r="D174" t="s">
        <v>1449</v>
      </c>
      <c r="E174" t="s">
        <v>1551</v>
      </c>
      <c r="F174" t="s">
        <v>1552</v>
      </c>
      <c r="G174">
        <v>254612000</v>
      </c>
      <c r="J174" s="354">
        <v>39867</v>
      </c>
      <c r="K174">
        <v>2.255182</v>
      </c>
      <c r="L174">
        <v>2.375162</v>
      </c>
      <c r="M174">
        <v>2.1663079999999999</v>
      </c>
      <c r="N174">
        <v>2.28851</v>
      </c>
      <c r="O174">
        <v>1.5689299999999999</v>
      </c>
      <c r="P174">
        <v>9734207</v>
      </c>
    </row>
    <row r="175" spans="1:16" x14ac:dyDescent="0.2">
      <c r="A175" s="354">
        <v>43922</v>
      </c>
      <c r="B175" t="s">
        <v>1553</v>
      </c>
      <c r="C175" t="s">
        <v>1554</v>
      </c>
      <c r="D175" t="s">
        <v>1555</v>
      </c>
      <c r="E175" t="s">
        <v>1556</v>
      </c>
      <c r="F175" t="s">
        <v>1557</v>
      </c>
      <c r="G175">
        <v>191105600</v>
      </c>
      <c r="J175" s="354">
        <v>39874</v>
      </c>
      <c r="K175">
        <v>2.241851</v>
      </c>
      <c r="L175">
        <v>2.2862879999999999</v>
      </c>
      <c r="M175">
        <v>2.055215</v>
      </c>
      <c r="N175">
        <v>2.2329639999999999</v>
      </c>
      <c r="O175">
        <v>1.53085</v>
      </c>
      <c r="P175">
        <v>21528855</v>
      </c>
    </row>
    <row r="176" spans="1:16" x14ac:dyDescent="0.2">
      <c r="A176" s="354">
        <v>43952</v>
      </c>
      <c r="B176" t="s">
        <v>1556</v>
      </c>
      <c r="C176" t="s">
        <v>1558</v>
      </c>
      <c r="D176" t="s">
        <v>1559</v>
      </c>
      <c r="E176" t="s">
        <v>1560</v>
      </c>
      <c r="F176" t="s">
        <v>1561</v>
      </c>
      <c r="G176">
        <v>152570400</v>
      </c>
      <c r="J176" s="354">
        <v>39881</v>
      </c>
      <c r="K176">
        <v>2.195192</v>
      </c>
      <c r="L176">
        <v>2.432931</v>
      </c>
      <c r="M176">
        <v>2.0818780000000001</v>
      </c>
      <c r="N176">
        <v>2.3996029999999999</v>
      </c>
      <c r="O176">
        <v>1.645092</v>
      </c>
      <c r="P176">
        <v>23219786</v>
      </c>
    </row>
    <row r="177" spans="1:16" x14ac:dyDescent="0.2">
      <c r="A177" s="354">
        <v>43983</v>
      </c>
      <c r="B177" t="s">
        <v>1562</v>
      </c>
      <c r="C177" t="s">
        <v>1563</v>
      </c>
      <c r="D177" t="s">
        <v>1564</v>
      </c>
      <c r="E177" t="s">
        <v>1565</v>
      </c>
      <c r="F177" t="s">
        <v>1566</v>
      </c>
      <c r="G177">
        <v>136098800</v>
      </c>
      <c r="J177" s="354">
        <v>39888</v>
      </c>
      <c r="K177">
        <v>2.4040460000000001</v>
      </c>
      <c r="L177">
        <v>2.5218050000000001</v>
      </c>
      <c r="M177">
        <v>2.3107289999999998</v>
      </c>
      <c r="N177">
        <v>2.3996029999999999</v>
      </c>
      <c r="O177">
        <v>1.645092</v>
      </c>
      <c r="P177">
        <v>13094012</v>
      </c>
    </row>
    <row r="178" spans="1:16" x14ac:dyDescent="0.2">
      <c r="A178" s="354">
        <v>44013</v>
      </c>
      <c r="B178" t="s">
        <v>1567</v>
      </c>
      <c r="C178" t="s">
        <v>1568</v>
      </c>
      <c r="D178" t="s">
        <v>1569</v>
      </c>
      <c r="E178" t="s">
        <v>1570</v>
      </c>
      <c r="F178" t="s">
        <v>1571</v>
      </c>
      <c r="G178">
        <v>169938400</v>
      </c>
      <c r="J178" s="354">
        <v>39895</v>
      </c>
      <c r="K178">
        <v>2.455149</v>
      </c>
      <c r="L178">
        <v>2.4884770000000001</v>
      </c>
      <c r="M178">
        <v>2.2574040000000002</v>
      </c>
      <c r="N178">
        <v>2.315172</v>
      </c>
      <c r="O178">
        <v>1.5872090000000001</v>
      </c>
      <c r="P178">
        <v>35967693</v>
      </c>
    </row>
    <row r="179" spans="1:16" x14ac:dyDescent="0.2">
      <c r="A179" s="354">
        <v>44044</v>
      </c>
      <c r="B179" t="s">
        <v>1572</v>
      </c>
      <c r="C179" t="s">
        <v>1573</v>
      </c>
      <c r="D179" t="s">
        <v>1574</v>
      </c>
      <c r="E179" t="s">
        <v>1575</v>
      </c>
      <c r="F179" t="s">
        <v>1576</v>
      </c>
      <c r="G179">
        <v>147327600</v>
      </c>
      <c r="J179" s="354">
        <v>39902</v>
      </c>
      <c r="K179">
        <v>2.2929539999999999</v>
      </c>
      <c r="L179">
        <v>2.8995199999999999</v>
      </c>
      <c r="M179">
        <v>2.0752120000000001</v>
      </c>
      <c r="N179">
        <v>2.741768</v>
      </c>
      <c r="O179">
        <v>1.87967</v>
      </c>
      <c r="P179">
        <v>53506642</v>
      </c>
    </row>
    <row r="180" spans="1:16" x14ac:dyDescent="0.2">
      <c r="A180" s="354">
        <v>44075</v>
      </c>
      <c r="B180" t="s">
        <v>1577</v>
      </c>
      <c r="C180" t="s">
        <v>1578</v>
      </c>
      <c r="D180" t="s">
        <v>1579</v>
      </c>
      <c r="E180" t="s">
        <v>1580</v>
      </c>
      <c r="F180" t="s">
        <v>1581</v>
      </c>
      <c r="G180">
        <v>156510000</v>
      </c>
      <c r="J180" s="354">
        <v>39909</v>
      </c>
      <c r="K180">
        <v>2.7106620000000001</v>
      </c>
      <c r="L180">
        <v>3.328338</v>
      </c>
      <c r="M180">
        <v>2.655116</v>
      </c>
      <c r="N180">
        <v>3.328338</v>
      </c>
      <c r="O180">
        <v>2.281803</v>
      </c>
      <c r="P180">
        <v>33889700</v>
      </c>
    </row>
    <row r="181" spans="1:16" x14ac:dyDescent="0.2">
      <c r="A181" s="354">
        <v>44105</v>
      </c>
      <c r="B181" t="s">
        <v>1580</v>
      </c>
      <c r="C181" t="s">
        <v>1582</v>
      </c>
      <c r="D181" t="s">
        <v>1583</v>
      </c>
      <c r="E181" t="s">
        <v>1584</v>
      </c>
      <c r="F181" t="s">
        <v>1585</v>
      </c>
      <c r="G181">
        <v>147398000</v>
      </c>
      <c r="J181" s="354">
        <v>39916</v>
      </c>
      <c r="K181">
        <v>3.2416860000000001</v>
      </c>
      <c r="L181">
        <v>3.355</v>
      </c>
      <c r="M181">
        <v>2.7573210000000001</v>
      </c>
      <c r="N181">
        <v>2.7773180000000002</v>
      </c>
      <c r="O181">
        <v>1.904042</v>
      </c>
      <c r="P181">
        <v>52716312</v>
      </c>
    </row>
    <row r="182" spans="1:16" x14ac:dyDescent="0.2">
      <c r="A182" s="354">
        <v>44136</v>
      </c>
      <c r="B182" t="s">
        <v>1584</v>
      </c>
      <c r="C182" t="s">
        <v>1586</v>
      </c>
      <c r="D182" t="s">
        <v>1587</v>
      </c>
      <c r="E182" t="s">
        <v>1588</v>
      </c>
      <c r="F182" t="s">
        <v>1589</v>
      </c>
      <c r="G182">
        <v>167445600</v>
      </c>
      <c r="J182" s="354">
        <v>39923</v>
      </c>
      <c r="K182">
        <v>2.7128839999999999</v>
      </c>
      <c r="L182">
        <v>2.9506230000000002</v>
      </c>
      <c r="M182">
        <v>2.5551330000000001</v>
      </c>
      <c r="N182">
        <v>2.835086</v>
      </c>
      <c r="O182">
        <v>1.943646</v>
      </c>
      <c r="P182">
        <v>42853832</v>
      </c>
    </row>
    <row r="183" spans="1:16" x14ac:dyDescent="0.2">
      <c r="A183" s="354">
        <v>44166</v>
      </c>
      <c r="B183" t="s">
        <v>1590</v>
      </c>
      <c r="C183" t="s">
        <v>1591</v>
      </c>
      <c r="D183" t="s">
        <v>1592</v>
      </c>
      <c r="E183" t="s">
        <v>1593</v>
      </c>
      <c r="F183" t="s">
        <v>1594</v>
      </c>
      <c r="G183">
        <v>204717200</v>
      </c>
      <c r="J183" s="354">
        <v>39930</v>
      </c>
      <c r="K183">
        <v>2.8039800000000001</v>
      </c>
      <c r="L183">
        <v>3.2661259999999999</v>
      </c>
      <c r="M183">
        <v>2.7328809999999999</v>
      </c>
      <c r="N183">
        <v>2.9906160000000002</v>
      </c>
      <c r="O183">
        <v>2.0502720000000001</v>
      </c>
      <c r="P183">
        <v>33497236</v>
      </c>
    </row>
    <row r="184" spans="1:16" x14ac:dyDescent="0.2">
      <c r="A184" s="354">
        <v>44197</v>
      </c>
      <c r="B184" t="s">
        <v>1593</v>
      </c>
      <c r="C184" t="s">
        <v>1595</v>
      </c>
      <c r="D184" t="s">
        <v>1596</v>
      </c>
      <c r="E184" t="s">
        <v>1596</v>
      </c>
      <c r="F184" t="s">
        <v>1597</v>
      </c>
      <c r="G184">
        <v>153984800</v>
      </c>
      <c r="J184" s="354">
        <v>39937</v>
      </c>
      <c r="K184">
        <v>3.0883780000000001</v>
      </c>
      <c r="L184">
        <v>3.7527119999999998</v>
      </c>
      <c r="M184">
        <v>3.0283880000000001</v>
      </c>
      <c r="N184">
        <v>3.7327159999999999</v>
      </c>
      <c r="O184">
        <v>2.560457</v>
      </c>
      <c r="P184">
        <v>45376498</v>
      </c>
    </row>
    <row r="185" spans="1:16" x14ac:dyDescent="0.2">
      <c r="A185" s="354">
        <v>44228</v>
      </c>
      <c r="B185" t="s">
        <v>1598</v>
      </c>
      <c r="C185" t="s">
        <v>1599</v>
      </c>
      <c r="D185" t="s">
        <v>1600</v>
      </c>
      <c r="E185" t="s">
        <v>1601</v>
      </c>
      <c r="F185" t="s">
        <v>1602</v>
      </c>
      <c r="G185">
        <v>180223200</v>
      </c>
      <c r="J185" s="354">
        <v>39944</v>
      </c>
      <c r="K185">
        <v>3.6638380000000002</v>
      </c>
      <c r="L185">
        <v>3.6638380000000002</v>
      </c>
      <c r="M185">
        <v>3.1372589999999998</v>
      </c>
      <c r="N185">
        <v>3.1661429999999999</v>
      </c>
      <c r="O185">
        <v>2.1718160000000002</v>
      </c>
      <c r="P185">
        <v>29834529</v>
      </c>
    </row>
    <row r="186" spans="1:16" x14ac:dyDescent="0.2">
      <c r="A186" s="354">
        <v>44256</v>
      </c>
      <c r="B186" t="s">
        <v>1603</v>
      </c>
      <c r="C186" t="s">
        <v>1604</v>
      </c>
      <c r="D186" t="s">
        <v>1605</v>
      </c>
      <c r="E186" t="s">
        <v>1606</v>
      </c>
      <c r="F186" t="s">
        <v>1607</v>
      </c>
      <c r="G186">
        <v>406756800</v>
      </c>
      <c r="J186" s="354">
        <v>39951</v>
      </c>
      <c r="K186">
        <v>3.2239110000000002</v>
      </c>
      <c r="L186">
        <v>3.528305</v>
      </c>
      <c r="M186">
        <v>3.1772520000000002</v>
      </c>
      <c r="N186">
        <v>3.2794569999999998</v>
      </c>
      <c r="O186">
        <v>2.2495430000000001</v>
      </c>
      <c r="P186">
        <v>25124951</v>
      </c>
    </row>
    <row r="187" spans="1:16" x14ac:dyDescent="0.2">
      <c r="A187" s="354">
        <v>44287</v>
      </c>
      <c r="B187" t="s">
        <v>1608</v>
      </c>
      <c r="C187" t="s">
        <v>1609</v>
      </c>
      <c r="D187" t="s">
        <v>1610</v>
      </c>
      <c r="E187" t="s">
        <v>1611</v>
      </c>
      <c r="F187" t="s">
        <v>1612</v>
      </c>
      <c r="G187">
        <v>180029600</v>
      </c>
      <c r="J187" s="354">
        <v>39958</v>
      </c>
      <c r="K187">
        <v>3.2927879999999998</v>
      </c>
      <c r="L187">
        <v>3.521639</v>
      </c>
      <c r="M187">
        <v>3.221689</v>
      </c>
      <c r="N187">
        <v>3.521639</v>
      </c>
      <c r="O187">
        <v>2.4156680000000001</v>
      </c>
      <c r="P187">
        <v>21102186</v>
      </c>
    </row>
    <row r="188" spans="1:16" x14ac:dyDescent="0.2">
      <c r="A188" s="354">
        <v>44317</v>
      </c>
      <c r="B188" t="s">
        <v>1613</v>
      </c>
      <c r="C188" t="s">
        <v>1614</v>
      </c>
      <c r="D188" t="s">
        <v>1615</v>
      </c>
      <c r="E188" t="s">
        <v>1616</v>
      </c>
      <c r="F188" t="s">
        <v>1617</v>
      </c>
      <c r="G188">
        <v>142089700</v>
      </c>
      <c r="J188" s="354">
        <v>39965</v>
      </c>
      <c r="K188">
        <v>3.5327489999999999</v>
      </c>
      <c r="L188">
        <v>3.6927219999999998</v>
      </c>
      <c r="M188">
        <v>3.3350040000000001</v>
      </c>
      <c r="N188">
        <v>3.4460959999999998</v>
      </c>
      <c r="O188">
        <v>2.3638490000000001</v>
      </c>
      <c r="P188">
        <v>25346389</v>
      </c>
    </row>
    <row r="189" spans="1:16" x14ac:dyDescent="0.2">
      <c r="A189" s="354">
        <v>44348</v>
      </c>
      <c r="B189" t="s">
        <v>1618</v>
      </c>
      <c r="C189" t="s">
        <v>1619</v>
      </c>
      <c r="D189" t="s">
        <v>1620</v>
      </c>
      <c r="E189" t="s">
        <v>1621</v>
      </c>
      <c r="F189" t="s">
        <v>1622</v>
      </c>
      <c r="G189">
        <v>299333500</v>
      </c>
      <c r="J189" s="354">
        <v>39972</v>
      </c>
      <c r="K189">
        <v>3.4416530000000001</v>
      </c>
      <c r="L189">
        <v>3.6038480000000002</v>
      </c>
      <c r="M189">
        <v>3.3572220000000002</v>
      </c>
      <c r="N189">
        <v>3.5994039999999998</v>
      </c>
      <c r="O189">
        <v>2.4690110000000001</v>
      </c>
      <c r="P189">
        <v>14254755</v>
      </c>
    </row>
    <row r="190" spans="1:16" x14ac:dyDescent="0.2">
      <c r="A190" s="354">
        <v>44378</v>
      </c>
      <c r="B190" t="s">
        <v>1623</v>
      </c>
      <c r="C190" t="s">
        <v>1624</v>
      </c>
      <c r="D190" t="s">
        <v>1625</v>
      </c>
      <c r="E190" t="s">
        <v>1626</v>
      </c>
      <c r="F190" t="s">
        <v>1627</v>
      </c>
      <c r="G190">
        <v>178842100</v>
      </c>
      <c r="J190" s="354">
        <v>39979</v>
      </c>
      <c r="K190">
        <v>3.5860729999999998</v>
      </c>
      <c r="L190">
        <v>3.668282</v>
      </c>
      <c r="M190">
        <v>3.0261659999999999</v>
      </c>
      <c r="N190">
        <v>3.0750470000000001</v>
      </c>
      <c r="O190">
        <v>2.1093289999999998</v>
      </c>
      <c r="P190">
        <v>40857752</v>
      </c>
    </row>
    <row r="191" spans="1:16" x14ac:dyDescent="0.2">
      <c r="A191" s="354">
        <v>44409</v>
      </c>
      <c r="B191" t="s">
        <v>1628</v>
      </c>
      <c r="C191" t="s">
        <v>1629</v>
      </c>
      <c r="D191" t="s">
        <v>1630</v>
      </c>
      <c r="E191" t="s">
        <v>1631</v>
      </c>
      <c r="F191" t="s">
        <v>1632</v>
      </c>
      <c r="G191">
        <v>213697600</v>
      </c>
      <c r="J191" s="354">
        <v>39986</v>
      </c>
      <c r="K191">
        <v>3.0439409999999998</v>
      </c>
      <c r="L191">
        <v>3.468315</v>
      </c>
      <c r="M191">
        <v>2.939514</v>
      </c>
      <c r="N191">
        <v>3.2994539999999999</v>
      </c>
      <c r="O191">
        <v>2.263261</v>
      </c>
      <c r="P191">
        <v>30468234</v>
      </c>
    </row>
    <row r="192" spans="1:16" x14ac:dyDescent="0.2">
      <c r="A192" s="354">
        <v>44440</v>
      </c>
      <c r="B192" t="s">
        <v>1633</v>
      </c>
      <c r="C192" t="s">
        <v>1634</v>
      </c>
      <c r="D192" t="s">
        <v>1635</v>
      </c>
      <c r="E192" t="s">
        <v>1636</v>
      </c>
      <c r="F192" t="s">
        <v>1637</v>
      </c>
      <c r="G192">
        <v>189542700</v>
      </c>
      <c r="J192" s="354">
        <v>39993</v>
      </c>
      <c r="K192">
        <v>3.2905669999999998</v>
      </c>
      <c r="L192">
        <v>3.521639</v>
      </c>
      <c r="M192">
        <v>3.1794739999999999</v>
      </c>
      <c r="N192">
        <v>3.4660929999999999</v>
      </c>
      <c r="O192">
        <v>2.377567</v>
      </c>
      <c r="P192">
        <v>24176195</v>
      </c>
    </row>
    <row r="193" spans="1:16" x14ac:dyDescent="0.2">
      <c r="A193" s="354">
        <v>44470</v>
      </c>
      <c r="B193" t="s">
        <v>1638</v>
      </c>
      <c r="C193" t="s">
        <v>1639</v>
      </c>
      <c r="D193" t="s">
        <v>1640</v>
      </c>
      <c r="E193" t="s">
        <v>1641</v>
      </c>
      <c r="F193" t="s">
        <v>1642</v>
      </c>
      <c r="G193">
        <v>172226000</v>
      </c>
      <c r="J193" s="354">
        <v>40000</v>
      </c>
      <c r="K193">
        <v>3.421656</v>
      </c>
      <c r="L193">
        <v>3.6038480000000002</v>
      </c>
      <c r="M193">
        <v>3.1439240000000002</v>
      </c>
      <c r="N193">
        <v>3.1972489999999998</v>
      </c>
      <c r="O193">
        <v>2.1931530000000001</v>
      </c>
      <c r="P193">
        <v>22969095</v>
      </c>
    </row>
    <row r="194" spans="1:16" x14ac:dyDescent="0.2">
      <c r="A194" s="354">
        <v>44501</v>
      </c>
      <c r="B194" t="s">
        <v>1643</v>
      </c>
      <c r="C194" t="s">
        <v>1644</v>
      </c>
      <c r="D194" t="s">
        <v>1641</v>
      </c>
      <c r="E194" t="s">
        <v>1645</v>
      </c>
      <c r="F194" t="s">
        <v>1646</v>
      </c>
      <c r="G194">
        <v>149985100</v>
      </c>
      <c r="J194" s="354">
        <v>40007</v>
      </c>
      <c r="K194">
        <v>3.281679</v>
      </c>
      <c r="L194">
        <v>3.2839010000000002</v>
      </c>
      <c r="M194">
        <v>3.0772689999999998</v>
      </c>
      <c r="N194">
        <v>3.1572550000000001</v>
      </c>
      <c r="O194">
        <v>2.1657190000000002</v>
      </c>
      <c r="P194">
        <v>21160246</v>
      </c>
    </row>
    <row r="195" spans="1:16" x14ac:dyDescent="0.2">
      <c r="A195" s="354">
        <v>44531</v>
      </c>
      <c r="B195" t="s">
        <v>1647</v>
      </c>
      <c r="C195" t="s">
        <v>1648</v>
      </c>
      <c r="D195" t="s">
        <v>1649</v>
      </c>
      <c r="E195" t="s">
        <v>1650</v>
      </c>
      <c r="F195" t="s">
        <v>1651</v>
      </c>
      <c r="G195">
        <v>125920100</v>
      </c>
      <c r="J195" s="354">
        <v>40014</v>
      </c>
      <c r="K195">
        <v>3.2194669999999999</v>
      </c>
      <c r="L195">
        <v>3.7393809999999998</v>
      </c>
      <c r="M195">
        <v>3.2194669999999999</v>
      </c>
      <c r="N195">
        <v>3.681613</v>
      </c>
      <c r="O195">
        <v>2.5254029999999998</v>
      </c>
      <c r="P195">
        <v>32642994</v>
      </c>
    </row>
    <row r="196" spans="1:16" x14ac:dyDescent="0.2">
      <c r="A196" s="354">
        <v>44562</v>
      </c>
      <c r="B196" t="s">
        <v>1652</v>
      </c>
      <c r="C196" t="s">
        <v>1653</v>
      </c>
      <c r="D196" t="s">
        <v>1654</v>
      </c>
      <c r="E196" t="s">
        <v>1655</v>
      </c>
      <c r="F196" t="s">
        <v>1656</v>
      </c>
      <c r="G196">
        <v>148178500</v>
      </c>
      <c r="J196" s="354">
        <v>40021</v>
      </c>
      <c r="K196">
        <v>3.694944</v>
      </c>
      <c r="L196">
        <v>4.0060039999999999</v>
      </c>
      <c r="M196">
        <v>3.6038480000000002</v>
      </c>
      <c r="N196">
        <v>3.7793749999999999</v>
      </c>
      <c r="O196">
        <v>2.5924619999999998</v>
      </c>
      <c r="P196">
        <v>31909373</v>
      </c>
    </row>
    <row r="197" spans="1:16" x14ac:dyDescent="0.2">
      <c r="A197" s="354">
        <v>44593</v>
      </c>
      <c r="B197" t="s">
        <v>1621</v>
      </c>
      <c r="C197" t="s">
        <v>1653</v>
      </c>
      <c r="D197" t="s">
        <v>1657</v>
      </c>
      <c r="E197" t="s">
        <v>1658</v>
      </c>
      <c r="F197" t="s">
        <v>1659</v>
      </c>
      <c r="G197">
        <v>142081800</v>
      </c>
      <c r="J197" s="354">
        <v>40028</v>
      </c>
      <c r="K197">
        <v>3.8882460000000001</v>
      </c>
      <c r="L197">
        <v>4.0215569999999996</v>
      </c>
      <c r="M197">
        <v>3.7016100000000001</v>
      </c>
      <c r="N197">
        <v>3.9771200000000002</v>
      </c>
      <c r="O197">
        <v>2.7281049999999998</v>
      </c>
      <c r="P197">
        <v>25877925</v>
      </c>
    </row>
    <row r="198" spans="1:16" x14ac:dyDescent="0.2">
      <c r="A198" s="354">
        <v>44621</v>
      </c>
      <c r="B198" t="s">
        <v>1658</v>
      </c>
      <c r="C198" t="s">
        <v>1660</v>
      </c>
      <c r="D198" t="s">
        <v>1661</v>
      </c>
      <c r="E198" t="s">
        <v>1662</v>
      </c>
      <c r="F198" t="s">
        <v>1663</v>
      </c>
      <c r="G198">
        <v>174445200</v>
      </c>
      <c r="J198" s="354">
        <v>40035</v>
      </c>
      <c r="K198">
        <v>4.0171130000000002</v>
      </c>
      <c r="L198">
        <v>4.4081599999999996</v>
      </c>
      <c r="M198">
        <v>4.0082259999999996</v>
      </c>
      <c r="N198">
        <v>4.1437590000000002</v>
      </c>
      <c r="O198">
        <v>2.8424109999999998</v>
      </c>
      <c r="P198">
        <v>56514039</v>
      </c>
    </row>
    <row r="199" spans="1:16" x14ac:dyDescent="0.2">
      <c r="A199" s="354">
        <v>44652</v>
      </c>
      <c r="B199" t="s">
        <v>1664</v>
      </c>
      <c r="C199" t="s">
        <v>1665</v>
      </c>
      <c r="D199" t="s">
        <v>1666</v>
      </c>
      <c r="E199" t="s">
        <v>1667</v>
      </c>
      <c r="F199" t="s">
        <v>1668</v>
      </c>
      <c r="G199">
        <v>96896700</v>
      </c>
      <c r="J199" s="354">
        <v>40042</v>
      </c>
      <c r="K199">
        <v>4.0659939999999999</v>
      </c>
      <c r="L199">
        <v>4.3637220000000001</v>
      </c>
      <c r="M199">
        <v>3.9393479999999998</v>
      </c>
      <c r="N199">
        <v>4.1726429999999999</v>
      </c>
      <c r="O199">
        <v>2.8622239999999999</v>
      </c>
      <c r="P199">
        <v>25951738</v>
      </c>
    </row>
    <row r="200" spans="1:16" x14ac:dyDescent="0.2">
      <c r="A200" s="354">
        <v>44682</v>
      </c>
      <c r="B200" t="s">
        <v>1667</v>
      </c>
      <c r="C200" t="s">
        <v>1669</v>
      </c>
      <c r="D200" t="s">
        <v>1670</v>
      </c>
      <c r="E200" t="s">
        <v>1671</v>
      </c>
      <c r="F200" t="s">
        <v>1672</v>
      </c>
      <c r="G200">
        <v>256602000</v>
      </c>
      <c r="J200" s="354">
        <v>40049</v>
      </c>
      <c r="K200">
        <v>4.2659609999999999</v>
      </c>
      <c r="L200">
        <v>4.7969840000000001</v>
      </c>
      <c r="M200">
        <v>4.2237460000000002</v>
      </c>
      <c r="N200">
        <v>4.7547689999999996</v>
      </c>
      <c r="O200">
        <v>3.2615340000000002</v>
      </c>
      <c r="P200">
        <v>26341052</v>
      </c>
    </row>
    <row r="201" spans="1:16" x14ac:dyDescent="0.2">
      <c r="A201" s="354">
        <v>44713</v>
      </c>
      <c r="B201" t="s">
        <v>1673</v>
      </c>
      <c r="C201" t="s">
        <v>1674</v>
      </c>
      <c r="D201" t="s">
        <v>1675</v>
      </c>
      <c r="E201" t="s">
        <v>1676</v>
      </c>
      <c r="F201" t="s">
        <v>1676</v>
      </c>
      <c r="G201">
        <v>153410000</v>
      </c>
      <c r="J201" s="354">
        <v>40056</v>
      </c>
      <c r="K201">
        <v>4.7303290000000002</v>
      </c>
      <c r="L201">
        <v>4.7925399999999998</v>
      </c>
      <c r="M201">
        <v>4.3659439999999998</v>
      </c>
      <c r="N201">
        <v>4.4481529999999996</v>
      </c>
      <c r="O201">
        <v>3.0512109999999999</v>
      </c>
      <c r="P201">
        <v>18822109</v>
      </c>
    </row>
    <row r="202" spans="1:16" x14ac:dyDescent="0.2">
      <c r="A202" s="354">
        <v>44743</v>
      </c>
      <c r="B202" t="s">
        <v>1677</v>
      </c>
      <c r="C202" t="s">
        <v>1678</v>
      </c>
      <c r="D202" t="s">
        <v>1679</v>
      </c>
      <c r="E202" t="s">
        <v>1680</v>
      </c>
      <c r="F202" t="s">
        <v>1680</v>
      </c>
      <c r="G202">
        <v>104035200</v>
      </c>
      <c r="J202" s="354">
        <v>40063</v>
      </c>
      <c r="K202">
        <v>4.4481529999999996</v>
      </c>
      <c r="L202">
        <v>4.5325829999999998</v>
      </c>
      <c r="M202">
        <v>4.2904010000000001</v>
      </c>
      <c r="N202">
        <v>4.4548189999999996</v>
      </c>
      <c r="O202">
        <v>3.0557840000000001</v>
      </c>
      <c r="P202">
        <v>21230457</v>
      </c>
    </row>
    <row r="203" spans="1:16" x14ac:dyDescent="0.2">
      <c r="A203" s="354">
        <v>44774</v>
      </c>
      <c r="B203" t="s">
        <v>1680</v>
      </c>
      <c r="C203" t="s">
        <v>1681</v>
      </c>
      <c r="D203" t="s">
        <v>1682</v>
      </c>
      <c r="E203" t="s">
        <v>1683</v>
      </c>
      <c r="F203" t="s">
        <v>1683</v>
      </c>
      <c r="G203">
        <v>126640600</v>
      </c>
      <c r="J203" s="354">
        <v>40070</v>
      </c>
      <c r="K203">
        <v>4.4214909999999996</v>
      </c>
      <c r="L203">
        <v>4.5281399999999996</v>
      </c>
      <c r="M203">
        <v>4.3126199999999999</v>
      </c>
      <c r="N203">
        <v>4.4303780000000001</v>
      </c>
      <c r="O203">
        <v>3.039018</v>
      </c>
      <c r="P203">
        <v>32079051</v>
      </c>
    </row>
    <row r="204" spans="1:16" x14ac:dyDescent="0.2">
      <c r="A204" s="354">
        <v>44805</v>
      </c>
      <c r="B204" t="s">
        <v>1684</v>
      </c>
      <c r="C204" t="s">
        <v>1685</v>
      </c>
      <c r="D204" t="s">
        <v>1686</v>
      </c>
      <c r="E204" t="s">
        <v>1687</v>
      </c>
      <c r="F204" t="s">
        <v>1687</v>
      </c>
      <c r="G204">
        <v>178374200</v>
      </c>
      <c r="J204" s="354">
        <v>40077</v>
      </c>
      <c r="K204">
        <v>4.3948280000000004</v>
      </c>
      <c r="L204">
        <v>4.6614509999999996</v>
      </c>
      <c r="M204">
        <v>4.2259669999999998</v>
      </c>
      <c r="N204">
        <v>4.3326169999999999</v>
      </c>
      <c r="O204">
        <v>2.971959</v>
      </c>
      <c r="P204">
        <v>32725808</v>
      </c>
    </row>
    <row r="205" spans="1:16" x14ac:dyDescent="0.2">
      <c r="A205" s="354">
        <v>44835</v>
      </c>
      <c r="B205" t="s">
        <v>1688</v>
      </c>
      <c r="C205" t="s">
        <v>1689</v>
      </c>
      <c r="D205" t="s">
        <v>1690</v>
      </c>
      <c r="E205" t="s">
        <v>1691</v>
      </c>
      <c r="F205" t="s">
        <v>1691</v>
      </c>
      <c r="G205">
        <v>398797400</v>
      </c>
      <c r="J205" s="354">
        <v>40084</v>
      </c>
      <c r="K205">
        <v>4.3703880000000002</v>
      </c>
      <c r="L205">
        <v>4.4192689999999999</v>
      </c>
      <c r="M205">
        <v>4.1504240000000001</v>
      </c>
      <c r="N205">
        <v>4.3081759999999996</v>
      </c>
      <c r="O205">
        <v>2.9551940000000001</v>
      </c>
      <c r="P205">
        <v>16951150</v>
      </c>
    </row>
    <row r="206" spans="1:16" x14ac:dyDescent="0.2">
      <c r="A206" s="354">
        <v>44866</v>
      </c>
      <c r="B206" t="s">
        <v>1692</v>
      </c>
      <c r="C206" t="s">
        <v>1693</v>
      </c>
      <c r="D206" t="s">
        <v>1694</v>
      </c>
      <c r="E206" t="s">
        <v>1695</v>
      </c>
      <c r="F206" t="s">
        <v>1695</v>
      </c>
      <c r="G206">
        <v>252352100</v>
      </c>
      <c r="J206" s="354">
        <v>40091</v>
      </c>
      <c r="K206">
        <v>4.3303950000000002</v>
      </c>
      <c r="L206">
        <v>4.6658949999999999</v>
      </c>
      <c r="M206">
        <v>4.3059539999999998</v>
      </c>
      <c r="N206">
        <v>4.5481360000000004</v>
      </c>
      <c r="O206">
        <v>3.1197940000000002</v>
      </c>
      <c r="P206">
        <v>22445659</v>
      </c>
    </row>
    <row r="207" spans="1:16" x14ac:dyDescent="0.2">
      <c r="A207" s="354">
        <v>44896</v>
      </c>
      <c r="B207" t="s">
        <v>1688</v>
      </c>
      <c r="C207" t="s">
        <v>1696</v>
      </c>
      <c r="D207" t="s">
        <v>1697</v>
      </c>
      <c r="E207" t="s">
        <v>1698</v>
      </c>
      <c r="F207" t="s">
        <v>1698</v>
      </c>
      <c r="G207">
        <v>168991900</v>
      </c>
      <c r="J207" s="354">
        <v>40098</v>
      </c>
      <c r="K207">
        <v>4.5481360000000004</v>
      </c>
      <c r="L207">
        <v>4.6881130000000004</v>
      </c>
      <c r="M207">
        <v>4.4570400000000001</v>
      </c>
      <c r="N207">
        <v>4.5992389999999999</v>
      </c>
      <c r="O207">
        <v>3.1548479999999999</v>
      </c>
      <c r="P207">
        <v>21698986</v>
      </c>
    </row>
    <row r="208" spans="1:16" x14ac:dyDescent="0.2">
      <c r="A208" s="354">
        <v>44927</v>
      </c>
      <c r="B208" t="s">
        <v>1699</v>
      </c>
      <c r="C208" t="s">
        <v>1700</v>
      </c>
      <c r="D208" t="s">
        <v>1701</v>
      </c>
      <c r="E208" t="s">
        <v>1702</v>
      </c>
      <c r="F208" t="s">
        <v>1702</v>
      </c>
      <c r="G208">
        <v>216664800</v>
      </c>
      <c r="J208" s="354">
        <v>40105</v>
      </c>
      <c r="K208">
        <v>4.6147919999999996</v>
      </c>
      <c r="L208">
        <v>4.6547850000000004</v>
      </c>
      <c r="M208">
        <v>4.2659609999999999</v>
      </c>
      <c r="N208">
        <v>4.2659609999999999</v>
      </c>
      <c r="O208">
        <v>2.9262359999999998</v>
      </c>
      <c r="P208">
        <v>18633528</v>
      </c>
    </row>
    <row r="209" spans="1:16" x14ac:dyDescent="0.2">
      <c r="A209" s="354">
        <v>44958</v>
      </c>
      <c r="B209" t="s">
        <v>1703</v>
      </c>
      <c r="C209" t="s">
        <v>1704</v>
      </c>
      <c r="D209" t="s">
        <v>1705</v>
      </c>
      <c r="E209" t="s">
        <v>1706</v>
      </c>
      <c r="F209" t="s">
        <v>1706</v>
      </c>
      <c r="G209">
        <v>161103400</v>
      </c>
      <c r="J209" s="354">
        <v>40112</v>
      </c>
      <c r="K209">
        <v>4.3215070000000004</v>
      </c>
      <c r="L209">
        <v>4.3881629999999996</v>
      </c>
      <c r="M209">
        <v>3.954901</v>
      </c>
      <c r="N209">
        <v>4.1215400000000004</v>
      </c>
      <c r="O209">
        <v>2.8271700000000002</v>
      </c>
      <c r="P209">
        <v>22802116</v>
      </c>
    </row>
    <row r="210" spans="1:16" x14ac:dyDescent="0.2">
      <c r="A210" s="354">
        <v>44986</v>
      </c>
      <c r="B210" t="s">
        <v>1707</v>
      </c>
      <c r="C210" t="s">
        <v>1708</v>
      </c>
      <c r="D210" t="s">
        <v>1709</v>
      </c>
      <c r="E210" t="s">
        <v>1710</v>
      </c>
      <c r="F210" t="s">
        <v>1710</v>
      </c>
      <c r="G210">
        <v>58431100</v>
      </c>
      <c r="J210" s="354">
        <v>40119</v>
      </c>
      <c r="K210">
        <v>4.1215400000000004</v>
      </c>
      <c r="L210">
        <v>4.4437090000000001</v>
      </c>
      <c r="M210">
        <v>4.0348879999999996</v>
      </c>
      <c r="N210">
        <v>4.4014939999999996</v>
      </c>
      <c r="O210">
        <v>3.0192049999999999</v>
      </c>
      <c r="P210">
        <v>20373516</v>
      </c>
    </row>
    <row r="211" spans="1:16" x14ac:dyDescent="0.2">
      <c r="A211" s="213"/>
      <c r="B211" s="212"/>
      <c r="C211" s="212"/>
      <c r="D211" s="212"/>
      <c r="E211" s="212"/>
      <c r="F211" s="212"/>
      <c r="J211" s="354">
        <v>40126</v>
      </c>
      <c r="K211">
        <v>4.4770370000000002</v>
      </c>
      <c r="L211">
        <v>4.7058879999999998</v>
      </c>
      <c r="M211">
        <v>4.4148250000000004</v>
      </c>
      <c r="N211">
        <v>4.6658949999999999</v>
      </c>
      <c r="O211">
        <v>3.2005720000000002</v>
      </c>
      <c r="P211">
        <v>22515869</v>
      </c>
    </row>
    <row r="212" spans="1:16" x14ac:dyDescent="0.2">
      <c r="A212" s="213"/>
      <c r="B212" s="212"/>
      <c r="C212" s="212"/>
      <c r="D212" s="212"/>
      <c r="E212" s="212"/>
      <c r="F212" s="212"/>
      <c r="J212" s="354">
        <v>40133</v>
      </c>
      <c r="K212">
        <v>4.7103320000000002</v>
      </c>
      <c r="L212">
        <v>4.8569740000000001</v>
      </c>
      <c r="M212">
        <v>4.5148089999999996</v>
      </c>
      <c r="N212">
        <v>4.5214740000000004</v>
      </c>
      <c r="O212">
        <v>3.1015060000000001</v>
      </c>
      <c r="P212">
        <v>26375708</v>
      </c>
    </row>
    <row r="213" spans="1:16" x14ac:dyDescent="0.2">
      <c r="A213" s="213"/>
      <c r="B213" s="212"/>
      <c r="C213" s="212"/>
      <c r="D213" s="212"/>
      <c r="E213" s="212"/>
      <c r="F213" s="212"/>
      <c r="J213" s="354">
        <v>40140</v>
      </c>
      <c r="K213">
        <v>4.5903520000000002</v>
      </c>
      <c r="L213">
        <v>4.7325499999999998</v>
      </c>
      <c r="M213">
        <v>4.3459479999999999</v>
      </c>
      <c r="N213">
        <v>4.7214410000000004</v>
      </c>
      <c r="O213">
        <v>3.2386720000000002</v>
      </c>
      <c r="P213">
        <v>26282993</v>
      </c>
    </row>
    <row r="214" spans="1:16" x14ac:dyDescent="0.2">
      <c r="A214" s="213"/>
      <c r="B214" s="212"/>
      <c r="C214" s="212"/>
      <c r="D214" s="212"/>
      <c r="E214" s="212"/>
      <c r="F214" s="212"/>
      <c r="J214" s="354">
        <v>40147</v>
      </c>
      <c r="K214">
        <v>4.7214410000000004</v>
      </c>
      <c r="L214">
        <v>5.0436100000000001</v>
      </c>
      <c r="M214">
        <v>4.5770210000000002</v>
      </c>
      <c r="N214">
        <v>4.9258519999999999</v>
      </c>
      <c r="O214">
        <v>3.3788879999999999</v>
      </c>
      <c r="P214">
        <v>29759816</v>
      </c>
    </row>
    <row r="215" spans="1:16" x14ac:dyDescent="0.2">
      <c r="A215" s="213"/>
      <c r="B215" s="212"/>
      <c r="C215" s="212"/>
      <c r="D215" s="212"/>
      <c r="E215" s="212"/>
      <c r="F215" s="212"/>
      <c r="J215" s="354">
        <v>40154</v>
      </c>
      <c r="K215">
        <v>4.9214079999999996</v>
      </c>
      <c r="L215">
        <v>5.0347229999999996</v>
      </c>
      <c r="M215">
        <v>4.7547689999999996</v>
      </c>
      <c r="N215">
        <v>4.8836370000000002</v>
      </c>
      <c r="O215">
        <v>3.3499310000000002</v>
      </c>
      <c r="P215">
        <v>17836445</v>
      </c>
    </row>
    <row r="216" spans="1:16" x14ac:dyDescent="0.2">
      <c r="A216" s="213"/>
      <c r="B216" s="212"/>
      <c r="C216" s="212"/>
      <c r="D216" s="212"/>
      <c r="E216" s="212"/>
      <c r="F216" s="212"/>
      <c r="J216" s="354">
        <v>40161</v>
      </c>
      <c r="K216">
        <v>4.9880639999999996</v>
      </c>
      <c r="L216">
        <v>5.2524639999999998</v>
      </c>
      <c r="M216">
        <v>4.8480869999999996</v>
      </c>
      <c r="N216">
        <v>4.9836200000000002</v>
      </c>
      <c r="O216">
        <v>3.4185140000000001</v>
      </c>
      <c r="P216">
        <v>29825528</v>
      </c>
    </row>
    <row r="217" spans="1:16" x14ac:dyDescent="0.2">
      <c r="A217" s="213"/>
      <c r="B217" s="212"/>
      <c r="C217" s="212"/>
      <c r="D217" s="212"/>
      <c r="E217" s="212"/>
      <c r="F217" s="212"/>
      <c r="J217" s="354">
        <v>40168</v>
      </c>
      <c r="K217">
        <v>5.0280570000000004</v>
      </c>
      <c r="L217">
        <v>5.3368950000000002</v>
      </c>
      <c r="M217">
        <v>4.8436430000000001</v>
      </c>
      <c r="N217">
        <v>5.2657959999999999</v>
      </c>
      <c r="O217">
        <v>3.6120719999999999</v>
      </c>
      <c r="P217">
        <v>16464170</v>
      </c>
    </row>
    <row r="218" spans="1:16" x14ac:dyDescent="0.2">
      <c r="A218" s="213"/>
      <c r="B218" s="212"/>
      <c r="C218" s="212"/>
      <c r="D218" s="212"/>
      <c r="E218" s="212"/>
      <c r="F218" s="212"/>
      <c r="J218" s="354">
        <v>40175</v>
      </c>
      <c r="K218">
        <v>5.2635740000000002</v>
      </c>
      <c r="L218">
        <v>5.5546369999999996</v>
      </c>
      <c r="M218">
        <v>5.2435770000000002</v>
      </c>
      <c r="N218">
        <v>5.5546369999999996</v>
      </c>
      <c r="O218">
        <v>3.8102040000000001</v>
      </c>
      <c r="P218">
        <v>7731377</v>
      </c>
    </row>
    <row r="219" spans="1:16" x14ac:dyDescent="0.2">
      <c r="A219" s="213"/>
      <c r="B219" s="212"/>
      <c r="C219" s="212"/>
      <c r="D219" s="212"/>
      <c r="E219" s="212"/>
      <c r="F219" s="212"/>
      <c r="J219" s="354">
        <v>40182</v>
      </c>
      <c r="K219">
        <v>5.6546200000000004</v>
      </c>
      <c r="L219">
        <v>5.7501600000000002</v>
      </c>
      <c r="M219">
        <v>5.0658289999999999</v>
      </c>
      <c r="N219">
        <v>5.2591299999999999</v>
      </c>
      <c r="O219">
        <v>3.6075010000000001</v>
      </c>
      <c r="P219">
        <v>85207182</v>
      </c>
    </row>
    <row r="220" spans="1:16" x14ac:dyDescent="0.2">
      <c r="A220" s="213"/>
      <c r="B220" s="212"/>
      <c r="C220" s="212"/>
      <c r="D220" s="212"/>
      <c r="E220" s="212"/>
      <c r="F220" s="212"/>
      <c r="J220" s="354">
        <v>40189</v>
      </c>
      <c r="K220">
        <v>5.3768880000000001</v>
      </c>
      <c r="L220">
        <v>5.3879979999999996</v>
      </c>
      <c r="M220">
        <v>5.0724939999999998</v>
      </c>
      <c r="N220">
        <v>5.2058049999999998</v>
      </c>
      <c r="O220">
        <v>3.5709230000000001</v>
      </c>
      <c r="P220">
        <v>37352572</v>
      </c>
    </row>
    <row r="221" spans="1:16" x14ac:dyDescent="0.2">
      <c r="A221" s="213"/>
      <c r="B221" s="212"/>
      <c r="C221" s="212"/>
      <c r="D221" s="212"/>
      <c r="E221" s="212"/>
      <c r="F221" s="212"/>
      <c r="J221" s="354">
        <v>40196</v>
      </c>
      <c r="K221">
        <v>5.2058049999999998</v>
      </c>
      <c r="L221">
        <v>5.2613519999999996</v>
      </c>
      <c r="M221">
        <v>4.7036660000000001</v>
      </c>
      <c r="N221">
        <v>5.0880470000000004</v>
      </c>
      <c r="O221">
        <v>3.4901460000000002</v>
      </c>
      <c r="P221">
        <v>19954045</v>
      </c>
    </row>
    <row r="222" spans="1:16" x14ac:dyDescent="0.2">
      <c r="A222" s="213"/>
      <c r="B222" s="212"/>
      <c r="C222" s="212"/>
      <c r="D222" s="212"/>
      <c r="E222" s="212"/>
      <c r="F222" s="212"/>
      <c r="J222" s="354">
        <v>40203</v>
      </c>
      <c r="K222">
        <v>5.0880470000000004</v>
      </c>
      <c r="L222">
        <v>5.0880470000000004</v>
      </c>
      <c r="M222">
        <v>4.7325499999999998</v>
      </c>
      <c r="N222">
        <v>4.7325499999999998</v>
      </c>
      <c r="O222">
        <v>3.2462930000000001</v>
      </c>
      <c r="P222">
        <v>20729525</v>
      </c>
    </row>
    <row r="223" spans="1:16" x14ac:dyDescent="0.2">
      <c r="A223" s="213"/>
      <c r="B223" s="212"/>
      <c r="C223" s="212"/>
      <c r="D223" s="212"/>
      <c r="E223" s="212"/>
      <c r="F223" s="212"/>
      <c r="J223" s="354">
        <v>40210</v>
      </c>
      <c r="K223">
        <v>4.9991729999999999</v>
      </c>
      <c r="L223">
        <v>5.4146599999999996</v>
      </c>
      <c r="M223">
        <v>4.9458479999999998</v>
      </c>
      <c r="N223">
        <v>5.1991399999999999</v>
      </c>
      <c r="O223">
        <v>3.5663499999999999</v>
      </c>
      <c r="P223">
        <v>63763388</v>
      </c>
    </row>
    <row r="224" spans="1:16" x14ac:dyDescent="0.2">
      <c r="A224" s="213"/>
      <c r="B224" s="212"/>
      <c r="C224" s="212"/>
      <c r="D224" s="212"/>
      <c r="E224" s="212"/>
      <c r="F224" s="212"/>
      <c r="J224" s="354">
        <v>40217</v>
      </c>
      <c r="K224">
        <v>5.2746829999999996</v>
      </c>
      <c r="L224">
        <v>5.6101830000000001</v>
      </c>
      <c r="M224">
        <v>5.2457989999999999</v>
      </c>
      <c r="N224">
        <v>5.4124379999999999</v>
      </c>
      <c r="O224">
        <v>3.7126619999999999</v>
      </c>
      <c r="P224">
        <v>43925908</v>
      </c>
    </row>
    <row r="225" spans="1:16" x14ac:dyDescent="0.2">
      <c r="A225" s="213"/>
      <c r="B225" s="212"/>
      <c r="C225" s="212"/>
      <c r="D225" s="212"/>
      <c r="E225" s="212"/>
      <c r="F225" s="212"/>
      <c r="J225" s="354">
        <v>40224</v>
      </c>
      <c r="K225">
        <v>5.4124379999999999</v>
      </c>
      <c r="L225">
        <v>5.6279579999999996</v>
      </c>
      <c r="M225">
        <v>5.3413389999999996</v>
      </c>
      <c r="N225">
        <v>5.4191039999999999</v>
      </c>
      <c r="O225">
        <v>3.7172339999999999</v>
      </c>
      <c r="P225">
        <v>10457027</v>
      </c>
    </row>
    <row r="226" spans="1:16" x14ac:dyDescent="0.2">
      <c r="A226" s="213"/>
      <c r="B226" s="212"/>
      <c r="C226" s="212"/>
      <c r="D226" s="212"/>
      <c r="E226" s="212"/>
      <c r="F226" s="212"/>
      <c r="J226" s="354">
        <v>40231</v>
      </c>
      <c r="K226">
        <v>5.4191039999999999</v>
      </c>
      <c r="L226">
        <v>5.4724279999999998</v>
      </c>
      <c r="M226">
        <v>5.0236130000000001</v>
      </c>
      <c r="N226">
        <v>5.2302460000000002</v>
      </c>
      <c r="O226">
        <v>3.587688</v>
      </c>
      <c r="P226">
        <v>30373268</v>
      </c>
    </row>
    <row r="227" spans="1:16" x14ac:dyDescent="0.2">
      <c r="A227" s="213"/>
      <c r="B227" s="212"/>
      <c r="C227" s="212"/>
      <c r="D227" s="212"/>
      <c r="E227" s="212"/>
      <c r="F227" s="212"/>
      <c r="J227" s="354">
        <v>40238</v>
      </c>
      <c r="K227">
        <v>5.2324679999999999</v>
      </c>
      <c r="L227">
        <v>5.3102330000000002</v>
      </c>
      <c r="M227">
        <v>4.8836370000000002</v>
      </c>
      <c r="N227">
        <v>4.9702890000000002</v>
      </c>
      <c r="O227">
        <v>3.40937</v>
      </c>
      <c r="P227">
        <v>35774612</v>
      </c>
    </row>
    <row r="228" spans="1:16" x14ac:dyDescent="0.2">
      <c r="A228" s="213"/>
      <c r="B228" s="212"/>
      <c r="C228" s="212"/>
      <c r="D228" s="212"/>
      <c r="E228" s="212"/>
      <c r="F228" s="212"/>
      <c r="J228" s="354">
        <v>40245</v>
      </c>
      <c r="K228">
        <v>4.9880639999999996</v>
      </c>
      <c r="L228">
        <v>5.1235970000000002</v>
      </c>
      <c r="M228">
        <v>4.9325169999999998</v>
      </c>
      <c r="N228">
        <v>5.0747159999999996</v>
      </c>
      <c r="O228">
        <v>3.4810020000000002</v>
      </c>
      <c r="P228">
        <v>24588913</v>
      </c>
    </row>
    <row r="229" spans="1:16" x14ac:dyDescent="0.2">
      <c r="A229" s="213"/>
      <c r="B229" s="212"/>
      <c r="C229" s="212"/>
      <c r="D229" s="212"/>
      <c r="E229" s="212"/>
      <c r="F229" s="212"/>
      <c r="J229" s="354">
        <v>40252</v>
      </c>
      <c r="K229">
        <v>5.0458319999999999</v>
      </c>
      <c r="L229">
        <v>5.2769050000000002</v>
      </c>
      <c r="M229">
        <v>4.9880639999999996</v>
      </c>
      <c r="N229">
        <v>5.2146929999999996</v>
      </c>
      <c r="O229">
        <v>3.5770189999999999</v>
      </c>
      <c r="P229">
        <v>22161210</v>
      </c>
    </row>
    <row r="230" spans="1:16" x14ac:dyDescent="0.2">
      <c r="A230" s="213"/>
      <c r="B230" s="212"/>
      <c r="C230" s="212"/>
      <c r="D230" s="212"/>
      <c r="E230" s="212"/>
      <c r="F230" s="212"/>
      <c r="J230" s="354">
        <v>40259</v>
      </c>
      <c r="K230">
        <v>5.1347060000000004</v>
      </c>
      <c r="L230">
        <v>5.2480209999999996</v>
      </c>
      <c r="M230">
        <v>4.7992059999999999</v>
      </c>
      <c r="N230">
        <v>4.9880639999999996</v>
      </c>
      <c r="O230">
        <v>3.4215629999999999</v>
      </c>
      <c r="P230">
        <v>20903254</v>
      </c>
    </row>
    <row r="231" spans="1:16" x14ac:dyDescent="0.2">
      <c r="A231" s="213"/>
      <c r="B231" s="212"/>
      <c r="C231" s="212"/>
      <c r="D231" s="212"/>
      <c r="E231" s="212"/>
      <c r="F231" s="212"/>
      <c r="J231" s="354">
        <v>40266</v>
      </c>
      <c r="K231">
        <v>4.9702890000000002</v>
      </c>
      <c r="L231">
        <v>5.0813819999999996</v>
      </c>
      <c r="M231">
        <v>4.7147759999999996</v>
      </c>
      <c r="N231">
        <v>4.7992059999999999</v>
      </c>
      <c r="O231">
        <v>3.2920159999999998</v>
      </c>
      <c r="P231">
        <v>26341953</v>
      </c>
    </row>
    <row r="232" spans="1:16" x14ac:dyDescent="0.2">
      <c r="J232" s="354">
        <v>40273</v>
      </c>
      <c r="K232">
        <v>4.8214249999999996</v>
      </c>
      <c r="L232">
        <v>4.9836200000000002</v>
      </c>
      <c r="M232">
        <v>4.6725599999999998</v>
      </c>
      <c r="N232">
        <v>4.8103150000000001</v>
      </c>
      <c r="O232">
        <v>3.299636</v>
      </c>
      <c r="P232">
        <v>30218434</v>
      </c>
    </row>
    <row r="233" spans="1:16" x14ac:dyDescent="0.2">
      <c r="J233" s="354">
        <v>40280</v>
      </c>
      <c r="K233">
        <v>4.8325339999999999</v>
      </c>
      <c r="L233">
        <v>5.2769050000000002</v>
      </c>
      <c r="M233">
        <v>4.8325339999999999</v>
      </c>
      <c r="N233">
        <v>5.0213919999999996</v>
      </c>
      <c r="O233">
        <v>3.4444240000000002</v>
      </c>
      <c r="P233">
        <v>48509916</v>
      </c>
    </row>
    <row r="234" spans="1:16" x14ac:dyDescent="0.2">
      <c r="J234" s="354">
        <v>40287</v>
      </c>
      <c r="K234">
        <v>4.8903020000000001</v>
      </c>
      <c r="L234">
        <v>5.1991399999999999</v>
      </c>
      <c r="M234">
        <v>4.8903020000000001</v>
      </c>
      <c r="N234">
        <v>5.1369280000000002</v>
      </c>
      <c r="O234">
        <v>3.523676</v>
      </c>
      <c r="P234">
        <v>23073512</v>
      </c>
    </row>
    <row r="235" spans="1:16" x14ac:dyDescent="0.2">
      <c r="J235" s="354">
        <v>40294</v>
      </c>
      <c r="K235">
        <v>5.0991559999999998</v>
      </c>
      <c r="L235">
        <v>5.1391499999999999</v>
      </c>
      <c r="M235">
        <v>4.7769870000000001</v>
      </c>
      <c r="N235">
        <v>4.9102990000000002</v>
      </c>
      <c r="O235">
        <v>3.3682189999999999</v>
      </c>
      <c r="P235">
        <v>27193492</v>
      </c>
    </row>
    <row r="236" spans="1:16" x14ac:dyDescent="0.2">
      <c r="J236" s="354">
        <v>40301</v>
      </c>
      <c r="K236">
        <v>5.0213919999999996</v>
      </c>
      <c r="L236">
        <v>5.0858249999999998</v>
      </c>
      <c r="M236">
        <v>4.0971000000000002</v>
      </c>
      <c r="N236">
        <v>4.3370600000000001</v>
      </c>
      <c r="O236">
        <v>2.975006</v>
      </c>
      <c r="P236">
        <v>30012286</v>
      </c>
    </row>
    <row r="237" spans="1:16" x14ac:dyDescent="0.2">
      <c r="J237" s="354">
        <v>40308</v>
      </c>
      <c r="K237">
        <v>4.5659109999999998</v>
      </c>
      <c r="L237">
        <v>4.7081099999999996</v>
      </c>
      <c r="M237">
        <v>4.4037160000000002</v>
      </c>
      <c r="N237">
        <v>4.4437090000000001</v>
      </c>
      <c r="O237">
        <v>3.048162</v>
      </c>
      <c r="P237">
        <v>16368753</v>
      </c>
    </row>
    <row r="238" spans="1:16" x14ac:dyDescent="0.2">
      <c r="J238" s="354">
        <v>40315</v>
      </c>
      <c r="K238">
        <v>4.4170470000000002</v>
      </c>
      <c r="L238">
        <v>4.5548019999999996</v>
      </c>
      <c r="M238">
        <v>3.954901</v>
      </c>
      <c r="N238">
        <v>4.2881790000000004</v>
      </c>
      <c r="O238">
        <v>2.9414760000000002</v>
      </c>
      <c r="P238">
        <v>30001957</v>
      </c>
    </row>
    <row r="239" spans="1:16" x14ac:dyDescent="0.2">
      <c r="J239" s="354">
        <v>40322</v>
      </c>
      <c r="K239">
        <v>4.2459639999999998</v>
      </c>
      <c r="L239">
        <v>4.6458979999999999</v>
      </c>
      <c r="M239">
        <v>4.0993219999999999</v>
      </c>
      <c r="N239">
        <v>4.6059049999999999</v>
      </c>
      <c r="O239">
        <v>3.1594199999999999</v>
      </c>
      <c r="P239">
        <v>26808679</v>
      </c>
    </row>
    <row r="240" spans="1:16" x14ac:dyDescent="0.2">
      <c r="J240" s="354">
        <v>40329</v>
      </c>
      <c r="K240">
        <v>4.6081269999999996</v>
      </c>
      <c r="L240">
        <v>4.6281230000000004</v>
      </c>
      <c r="M240">
        <v>4.3881629999999996</v>
      </c>
      <c r="N240">
        <v>4.4325999999999999</v>
      </c>
      <c r="O240">
        <v>3.0405419999999999</v>
      </c>
      <c r="P240">
        <v>11246007</v>
      </c>
    </row>
    <row r="241" spans="10:16" x14ac:dyDescent="0.2">
      <c r="J241" s="354">
        <v>40336</v>
      </c>
      <c r="K241">
        <v>4.3992719999999998</v>
      </c>
      <c r="L241">
        <v>4.7236630000000002</v>
      </c>
      <c r="M241">
        <v>4.3103980000000002</v>
      </c>
      <c r="N241">
        <v>4.6214579999999996</v>
      </c>
      <c r="O241">
        <v>3.1700889999999999</v>
      </c>
      <c r="P241">
        <v>21712936</v>
      </c>
    </row>
    <row r="242" spans="10:16" x14ac:dyDescent="0.2">
      <c r="J242" s="354">
        <v>40343</v>
      </c>
      <c r="K242">
        <v>4.6259009999999998</v>
      </c>
      <c r="L242">
        <v>5.0302790000000002</v>
      </c>
      <c r="M242">
        <v>4.5814640000000004</v>
      </c>
      <c r="N242">
        <v>5.0102820000000001</v>
      </c>
      <c r="O242">
        <v>3.4368029999999998</v>
      </c>
      <c r="P242">
        <v>25914238</v>
      </c>
    </row>
    <row r="243" spans="10:16" x14ac:dyDescent="0.2">
      <c r="J243" s="354">
        <v>40350</v>
      </c>
      <c r="K243">
        <v>5.0413880000000004</v>
      </c>
      <c r="L243">
        <v>5.0791599999999999</v>
      </c>
      <c r="M243">
        <v>4.8591959999999998</v>
      </c>
      <c r="N243">
        <v>5.0213919999999996</v>
      </c>
      <c r="O243">
        <v>3.4444240000000002</v>
      </c>
      <c r="P243">
        <v>20671464</v>
      </c>
    </row>
    <row r="244" spans="10:16" x14ac:dyDescent="0.2">
      <c r="J244" s="354">
        <v>40357</v>
      </c>
      <c r="K244">
        <v>5.0213919999999996</v>
      </c>
      <c r="L244">
        <v>5.2680170000000004</v>
      </c>
      <c r="M244">
        <v>4.8036500000000002</v>
      </c>
      <c r="N244">
        <v>5.0769380000000002</v>
      </c>
      <c r="O244">
        <v>3.482526</v>
      </c>
      <c r="P244">
        <v>25232518</v>
      </c>
    </row>
    <row r="245" spans="10:16" x14ac:dyDescent="0.2">
      <c r="J245" s="354">
        <v>40364</v>
      </c>
      <c r="K245">
        <v>5.1102660000000002</v>
      </c>
      <c r="L245">
        <v>5.3546699999999996</v>
      </c>
      <c r="M245">
        <v>5.0236130000000001</v>
      </c>
      <c r="N245">
        <v>5.3546699999999996</v>
      </c>
      <c r="O245">
        <v>3.6730369999999999</v>
      </c>
      <c r="P245">
        <v>24023170</v>
      </c>
    </row>
    <row r="246" spans="10:16" x14ac:dyDescent="0.2">
      <c r="J246" s="354">
        <v>40371</v>
      </c>
      <c r="K246">
        <v>5.3168980000000001</v>
      </c>
      <c r="L246">
        <v>5.4435440000000002</v>
      </c>
      <c r="M246">
        <v>5.1791429999999998</v>
      </c>
      <c r="N246">
        <v>5.1991399999999999</v>
      </c>
      <c r="O246">
        <v>3.5663499999999999</v>
      </c>
      <c r="P246">
        <v>19081352</v>
      </c>
    </row>
    <row r="247" spans="10:16" x14ac:dyDescent="0.2">
      <c r="J247" s="354">
        <v>40378</v>
      </c>
      <c r="K247">
        <v>5.2591299999999999</v>
      </c>
      <c r="L247">
        <v>5.3546699999999996</v>
      </c>
      <c r="M247">
        <v>5.1591469999999999</v>
      </c>
      <c r="N247">
        <v>5.2657959999999999</v>
      </c>
      <c r="O247">
        <v>3.6120719999999999</v>
      </c>
      <c r="P247">
        <v>17100125</v>
      </c>
    </row>
    <row r="248" spans="10:16" x14ac:dyDescent="0.2">
      <c r="J248" s="354">
        <v>40385</v>
      </c>
      <c r="K248">
        <v>5.2680170000000004</v>
      </c>
      <c r="L248">
        <v>5.6657289999999998</v>
      </c>
      <c r="M248">
        <v>5.2035840000000002</v>
      </c>
      <c r="N248">
        <v>5.5546369999999996</v>
      </c>
      <c r="O248">
        <v>3.8102040000000001</v>
      </c>
      <c r="P248">
        <v>27684973</v>
      </c>
    </row>
    <row r="249" spans="10:16" x14ac:dyDescent="0.2">
      <c r="J249" s="354">
        <v>40392</v>
      </c>
      <c r="K249">
        <v>5.5724119999999999</v>
      </c>
      <c r="L249">
        <v>5.6768390000000002</v>
      </c>
      <c r="M249">
        <v>5.2169150000000002</v>
      </c>
      <c r="N249">
        <v>5.4435440000000002</v>
      </c>
      <c r="O249">
        <v>3.7339989999999998</v>
      </c>
      <c r="P249">
        <v>24823400</v>
      </c>
    </row>
    <row r="250" spans="10:16" x14ac:dyDescent="0.2">
      <c r="J250" s="354">
        <v>40399</v>
      </c>
      <c r="K250">
        <v>5.4546530000000004</v>
      </c>
      <c r="L250">
        <v>5.5279740000000004</v>
      </c>
      <c r="M250">
        <v>5.2835700000000001</v>
      </c>
      <c r="N250">
        <v>5.3257859999999999</v>
      </c>
      <c r="O250">
        <v>3.7359179999999999</v>
      </c>
      <c r="P250">
        <v>18273017</v>
      </c>
    </row>
    <row r="251" spans="10:16" x14ac:dyDescent="0.2">
      <c r="J251" s="354">
        <v>40406</v>
      </c>
      <c r="K251">
        <v>5.3324509999999998</v>
      </c>
      <c r="L251">
        <v>5.3902190000000001</v>
      </c>
      <c r="M251">
        <v>5.0524969999999998</v>
      </c>
      <c r="N251">
        <v>5.1124879999999999</v>
      </c>
      <c r="O251">
        <v>3.586293</v>
      </c>
      <c r="P251">
        <v>30259399</v>
      </c>
    </row>
    <row r="252" spans="10:16" x14ac:dyDescent="0.2">
      <c r="J252" s="354">
        <v>40413</v>
      </c>
      <c r="K252">
        <v>5.1547029999999996</v>
      </c>
      <c r="L252">
        <v>5.3257859999999999</v>
      </c>
      <c r="M252">
        <v>4.9214079999999996</v>
      </c>
      <c r="N252">
        <v>5.0102820000000001</v>
      </c>
      <c r="O252">
        <v>3.5145970000000002</v>
      </c>
      <c r="P252">
        <v>34331672</v>
      </c>
    </row>
    <row r="253" spans="10:16" x14ac:dyDescent="0.2">
      <c r="J253" s="354">
        <v>40420</v>
      </c>
      <c r="K253">
        <v>5.0102820000000001</v>
      </c>
      <c r="L253">
        <v>5.3213419999999996</v>
      </c>
      <c r="M253">
        <v>4.9214079999999996</v>
      </c>
      <c r="N253">
        <v>5.1413719999999996</v>
      </c>
      <c r="O253">
        <v>3.6065550000000002</v>
      </c>
      <c r="P253">
        <v>15932190</v>
      </c>
    </row>
    <row r="254" spans="10:16" x14ac:dyDescent="0.2">
      <c r="J254" s="354">
        <v>40427</v>
      </c>
      <c r="K254">
        <v>5.1769210000000001</v>
      </c>
      <c r="L254">
        <v>5.3768880000000001</v>
      </c>
      <c r="M254">
        <v>4.9991729999999999</v>
      </c>
      <c r="N254">
        <v>5.3768880000000001</v>
      </c>
      <c r="O254">
        <v>3.771763</v>
      </c>
      <c r="P254">
        <v>14074724</v>
      </c>
    </row>
    <row r="255" spans="10:16" x14ac:dyDescent="0.2">
      <c r="J255" s="354">
        <v>40434</v>
      </c>
      <c r="K255">
        <v>5.4013289999999996</v>
      </c>
      <c r="L255">
        <v>5.5657459999999999</v>
      </c>
      <c r="M255">
        <v>5.4013289999999996</v>
      </c>
      <c r="N255">
        <v>5.4835370000000001</v>
      </c>
      <c r="O255">
        <v>3.8465750000000001</v>
      </c>
      <c r="P255">
        <v>18097039</v>
      </c>
    </row>
    <row r="256" spans="10:16" x14ac:dyDescent="0.2">
      <c r="J256" s="354">
        <v>40441</v>
      </c>
      <c r="K256">
        <v>5.4635410000000002</v>
      </c>
      <c r="L256">
        <v>5.6879479999999996</v>
      </c>
      <c r="M256">
        <v>5.3657789999999999</v>
      </c>
      <c r="N256">
        <v>5.4990899999999998</v>
      </c>
      <c r="O256">
        <v>3.8574860000000002</v>
      </c>
      <c r="P256">
        <v>14738737</v>
      </c>
    </row>
    <row r="257" spans="10:16" x14ac:dyDescent="0.2">
      <c r="J257" s="354">
        <v>40448</v>
      </c>
      <c r="K257">
        <v>5.5124209999999998</v>
      </c>
      <c r="L257">
        <v>5.6590639999999999</v>
      </c>
      <c r="M257">
        <v>5.3502260000000001</v>
      </c>
      <c r="N257">
        <v>5.5568590000000002</v>
      </c>
      <c r="O257">
        <v>3.8980100000000002</v>
      </c>
      <c r="P257">
        <v>28793056</v>
      </c>
    </row>
    <row r="258" spans="10:16" x14ac:dyDescent="0.2">
      <c r="J258" s="354">
        <v>40455</v>
      </c>
      <c r="K258">
        <v>5.5679679999999996</v>
      </c>
      <c r="L258">
        <v>5.8768060000000002</v>
      </c>
      <c r="M258">
        <v>5.4835370000000001</v>
      </c>
      <c r="N258">
        <v>5.8634750000000002</v>
      </c>
      <c r="O258">
        <v>4.113092</v>
      </c>
      <c r="P258">
        <v>28400593</v>
      </c>
    </row>
    <row r="259" spans="10:16" x14ac:dyDescent="0.2">
      <c r="J259" s="354">
        <v>40462</v>
      </c>
      <c r="K259">
        <v>5.8856929999999998</v>
      </c>
      <c r="L259">
        <v>6.0923259999999999</v>
      </c>
      <c r="M259">
        <v>5.8034840000000001</v>
      </c>
      <c r="N259">
        <v>5.9545709999999996</v>
      </c>
      <c r="O259">
        <v>4.1769949999999998</v>
      </c>
      <c r="P259">
        <v>32363047</v>
      </c>
    </row>
    <row r="260" spans="10:16" x14ac:dyDescent="0.2">
      <c r="J260" s="354">
        <v>40469</v>
      </c>
      <c r="K260">
        <v>5.9767890000000001</v>
      </c>
      <c r="L260">
        <v>5.9790109999999999</v>
      </c>
      <c r="M260">
        <v>5.5812989999999996</v>
      </c>
      <c r="N260">
        <v>5.7990409999999999</v>
      </c>
      <c r="O260">
        <v>4.0678939999999999</v>
      </c>
      <c r="P260">
        <v>26117365</v>
      </c>
    </row>
    <row r="261" spans="10:16" x14ac:dyDescent="0.2">
      <c r="J261" s="354">
        <v>40476</v>
      </c>
      <c r="K261">
        <v>5.9745670000000004</v>
      </c>
      <c r="L261">
        <v>6.2211930000000004</v>
      </c>
      <c r="M261">
        <v>5.7790439999999998</v>
      </c>
      <c r="N261">
        <v>5.9656799999999999</v>
      </c>
      <c r="O261">
        <v>4.1847880000000002</v>
      </c>
      <c r="P261">
        <v>25903580</v>
      </c>
    </row>
    <row r="262" spans="10:16" x14ac:dyDescent="0.2">
      <c r="J262" s="354">
        <v>40483</v>
      </c>
      <c r="K262">
        <v>6.0434450000000002</v>
      </c>
      <c r="L262">
        <v>6.4878159999999996</v>
      </c>
      <c r="M262">
        <v>6.0056729999999998</v>
      </c>
      <c r="N262">
        <v>6.2900710000000002</v>
      </c>
      <c r="O262">
        <v>4.4123409999999996</v>
      </c>
      <c r="P262">
        <v>23202234</v>
      </c>
    </row>
    <row r="263" spans="10:16" x14ac:dyDescent="0.2">
      <c r="J263" s="354">
        <v>40490</v>
      </c>
      <c r="K263">
        <v>6.2967360000000001</v>
      </c>
      <c r="L263">
        <v>6.3811669999999996</v>
      </c>
      <c r="M263">
        <v>6.0145609999999996</v>
      </c>
      <c r="N263">
        <v>6.0434450000000002</v>
      </c>
      <c r="O263">
        <v>4.2393380000000001</v>
      </c>
      <c r="P263">
        <v>28976687</v>
      </c>
    </row>
    <row r="264" spans="10:16" x14ac:dyDescent="0.2">
      <c r="J264" s="354">
        <v>40497</v>
      </c>
      <c r="K264">
        <v>6.0434450000000002</v>
      </c>
      <c r="L264">
        <v>6.1723119999999998</v>
      </c>
      <c r="M264">
        <v>5.7990409999999999</v>
      </c>
      <c r="N264">
        <v>6.0012299999999996</v>
      </c>
      <c r="O264">
        <v>4.2097249999999997</v>
      </c>
      <c r="P264">
        <v>23246339</v>
      </c>
    </row>
    <row r="265" spans="10:16" x14ac:dyDescent="0.2">
      <c r="J265" s="354">
        <v>40504</v>
      </c>
      <c r="K265">
        <v>5.9812329999999996</v>
      </c>
      <c r="L265">
        <v>6.0612199999999996</v>
      </c>
      <c r="M265">
        <v>5.6946139999999996</v>
      </c>
      <c r="N265">
        <v>5.6946139999999996</v>
      </c>
      <c r="O265">
        <v>3.9946410000000001</v>
      </c>
      <c r="P265">
        <v>24731136</v>
      </c>
    </row>
    <row r="266" spans="10:16" x14ac:dyDescent="0.2">
      <c r="J266" s="354">
        <v>40511</v>
      </c>
      <c r="K266">
        <v>5.7057229999999999</v>
      </c>
      <c r="L266">
        <v>6.1034350000000002</v>
      </c>
      <c r="M266">
        <v>5.5102000000000002</v>
      </c>
      <c r="N266">
        <v>6.0212260000000004</v>
      </c>
      <c r="O266">
        <v>4.2237520000000002</v>
      </c>
      <c r="P266">
        <v>36023502</v>
      </c>
    </row>
    <row r="267" spans="10:16" x14ac:dyDescent="0.2">
      <c r="J267" s="354">
        <v>40518</v>
      </c>
      <c r="K267">
        <v>6.0212260000000004</v>
      </c>
      <c r="L267">
        <v>6.1101000000000001</v>
      </c>
      <c r="M267">
        <v>5.7323849999999998</v>
      </c>
      <c r="N267">
        <v>5.7968190000000002</v>
      </c>
      <c r="O267">
        <v>4.0663359999999997</v>
      </c>
      <c r="P267">
        <v>24621319</v>
      </c>
    </row>
    <row r="268" spans="10:16" x14ac:dyDescent="0.2">
      <c r="J268" s="354">
        <v>40525</v>
      </c>
      <c r="K268">
        <v>5.8434780000000002</v>
      </c>
      <c r="L268">
        <v>5.8634750000000002</v>
      </c>
      <c r="M268">
        <v>5.4635410000000002</v>
      </c>
      <c r="N268">
        <v>5.7079449999999996</v>
      </c>
      <c r="O268">
        <v>4.0039920000000002</v>
      </c>
      <c r="P268">
        <v>30728827</v>
      </c>
    </row>
    <row r="269" spans="10:16" x14ac:dyDescent="0.2">
      <c r="J269" s="354">
        <v>40532</v>
      </c>
      <c r="K269">
        <v>5.7412720000000004</v>
      </c>
      <c r="L269">
        <v>6.0278919999999996</v>
      </c>
      <c r="M269">
        <v>5.5568590000000002</v>
      </c>
      <c r="N269">
        <v>6.0278919999999996</v>
      </c>
      <c r="O269">
        <v>4.2284280000000001</v>
      </c>
      <c r="P269">
        <v>19116909</v>
      </c>
    </row>
    <row r="270" spans="10:16" x14ac:dyDescent="0.2">
      <c r="J270" s="354">
        <v>40539</v>
      </c>
      <c r="K270">
        <v>5.9967860000000002</v>
      </c>
      <c r="L270">
        <v>6.2434120000000002</v>
      </c>
      <c r="M270">
        <v>5.8656959999999998</v>
      </c>
      <c r="N270">
        <v>6.1345409999999996</v>
      </c>
      <c r="O270">
        <v>4.3032409999999999</v>
      </c>
      <c r="P270">
        <v>18870717</v>
      </c>
    </row>
    <row r="271" spans="10:16" x14ac:dyDescent="0.2">
      <c r="J271" s="354">
        <v>40546</v>
      </c>
      <c r="K271">
        <v>6.2323019999999998</v>
      </c>
      <c r="L271">
        <v>6.3633920000000002</v>
      </c>
      <c r="M271">
        <v>6.0123389999999999</v>
      </c>
      <c r="N271">
        <v>6.1101000000000001</v>
      </c>
      <c r="O271">
        <v>4.2860940000000003</v>
      </c>
      <c r="P271">
        <v>31046579</v>
      </c>
    </row>
    <row r="272" spans="10:16" x14ac:dyDescent="0.2">
      <c r="J272" s="354">
        <v>40553</v>
      </c>
      <c r="K272">
        <v>6.1101000000000001</v>
      </c>
      <c r="L272">
        <v>6.3656139999999999</v>
      </c>
      <c r="M272">
        <v>5.8545870000000004</v>
      </c>
      <c r="N272">
        <v>6.2745179999999996</v>
      </c>
      <c r="O272">
        <v>4.4014309999999996</v>
      </c>
      <c r="P272">
        <v>28043235</v>
      </c>
    </row>
    <row r="273" spans="10:16" x14ac:dyDescent="0.2">
      <c r="J273" s="354">
        <v>40560</v>
      </c>
      <c r="K273">
        <v>6.2300810000000002</v>
      </c>
      <c r="L273">
        <v>6.2300810000000002</v>
      </c>
      <c r="M273">
        <v>5.8901370000000002</v>
      </c>
      <c r="N273">
        <v>5.9101330000000001</v>
      </c>
      <c r="O273">
        <v>4.1458219999999999</v>
      </c>
      <c r="P273">
        <v>22471312</v>
      </c>
    </row>
    <row r="274" spans="10:16" x14ac:dyDescent="0.2">
      <c r="J274" s="354">
        <v>40567</v>
      </c>
      <c r="K274">
        <v>5.9479050000000004</v>
      </c>
      <c r="L274">
        <v>6.0323349999999998</v>
      </c>
      <c r="M274">
        <v>5.6657289999999998</v>
      </c>
      <c r="N274">
        <v>5.7723779999999998</v>
      </c>
      <c r="O274">
        <v>4.0491910000000004</v>
      </c>
      <c r="P274">
        <v>18067334</v>
      </c>
    </row>
    <row r="275" spans="10:16" x14ac:dyDescent="0.2">
      <c r="J275" s="354">
        <v>40574</v>
      </c>
      <c r="K275">
        <v>5.7723779999999998</v>
      </c>
      <c r="L275">
        <v>6.0456669999999999</v>
      </c>
      <c r="M275">
        <v>5.5968520000000002</v>
      </c>
      <c r="N275">
        <v>5.7212759999999996</v>
      </c>
      <c r="O275">
        <v>4.0133429999999999</v>
      </c>
      <c r="P275">
        <v>15090542</v>
      </c>
    </row>
    <row r="276" spans="10:16" x14ac:dyDescent="0.2">
      <c r="J276" s="354">
        <v>40581</v>
      </c>
      <c r="K276">
        <v>5.7723779999999998</v>
      </c>
      <c r="L276">
        <v>5.8257029999999999</v>
      </c>
      <c r="M276">
        <v>5.3057889999999999</v>
      </c>
      <c r="N276">
        <v>5.4546530000000004</v>
      </c>
      <c r="O276">
        <v>3.826314</v>
      </c>
      <c r="P276">
        <v>18636819</v>
      </c>
    </row>
    <row r="277" spans="10:16" x14ac:dyDescent="0.2">
      <c r="J277" s="354">
        <v>40588</v>
      </c>
      <c r="K277">
        <v>5.4657619999999998</v>
      </c>
      <c r="L277">
        <v>5.6657289999999998</v>
      </c>
      <c r="M277">
        <v>5.4035510000000002</v>
      </c>
      <c r="N277">
        <v>5.4657619999999998</v>
      </c>
      <c r="O277">
        <v>3.8341069999999999</v>
      </c>
      <c r="P277">
        <v>26651604</v>
      </c>
    </row>
    <row r="278" spans="10:16" x14ac:dyDescent="0.2">
      <c r="J278" s="354">
        <v>40595</v>
      </c>
      <c r="K278">
        <v>5.4568750000000001</v>
      </c>
      <c r="L278">
        <v>5.6657289999999998</v>
      </c>
      <c r="M278">
        <v>5.3102330000000002</v>
      </c>
      <c r="N278">
        <v>5.6124049999999999</v>
      </c>
      <c r="O278">
        <v>3.9369740000000002</v>
      </c>
      <c r="P278">
        <v>20440127</v>
      </c>
    </row>
    <row r="279" spans="10:16" x14ac:dyDescent="0.2">
      <c r="J279" s="354">
        <v>40602</v>
      </c>
      <c r="K279">
        <v>5.6479549999999996</v>
      </c>
      <c r="L279">
        <v>6.0190039999999998</v>
      </c>
      <c r="M279">
        <v>5.6324019999999999</v>
      </c>
      <c r="N279">
        <v>5.8745839999999996</v>
      </c>
      <c r="O279">
        <v>4.1208859999999996</v>
      </c>
      <c r="P279">
        <v>40199293</v>
      </c>
    </row>
    <row r="280" spans="10:16" x14ac:dyDescent="0.2">
      <c r="J280" s="354">
        <v>40609</v>
      </c>
      <c r="K280">
        <v>5.8745839999999996</v>
      </c>
      <c r="L280">
        <v>5.8745839999999996</v>
      </c>
      <c r="M280">
        <v>5.5590799999999998</v>
      </c>
      <c r="N280">
        <v>5.6879479999999996</v>
      </c>
      <c r="O280">
        <v>3.9899650000000002</v>
      </c>
      <c r="P280">
        <v>9787317</v>
      </c>
    </row>
    <row r="281" spans="10:16" x14ac:dyDescent="0.2">
      <c r="J281" s="354">
        <v>40616</v>
      </c>
      <c r="K281">
        <v>5.6568420000000001</v>
      </c>
      <c r="L281">
        <v>5.7212759999999996</v>
      </c>
      <c r="M281">
        <v>5.4524309999999998</v>
      </c>
      <c r="N281">
        <v>5.5435270000000001</v>
      </c>
      <c r="O281">
        <v>3.8886579999999999</v>
      </c>
      <c r="P281">
        <v>29942997</v>
      </c>
    </row>
    <row r="282" spans="10:16" x14ac:dyDescent="0.2">
      <c r="J282" s="354">
        <v>40623</v>
      </c>
      <c r="K282">
        <v>5.5435270000000001</v>
      </c>
      <c r="L282">
        <v>5.8323689999999999</v>
      </c>
      <c r="M282">
        <v>5.5435270000000001</v>
      </c>
      <c r="N282">
        <v>5.7879310000000004</v>
      </c>
      <c r="O282">
        <v>4.0601019999999997</v>
      </c>
      <c r="P282">
        <v>14205573</v>
      </c>
    </row>
    <row r="283" spans="10:16" x14ac:dyDescent="0.2">
      <c r="J283" s="354">
        <v>40630</v>
      </c>
      <c r="K283">
        <v>5.7679349999999996</v>
      </c>
      <c r="L283">
        <v>5.8323689999999999</v>
      </c>
      <c r="M283">
        <v>5.5857429999999999</v>
      </c>
      <c r="N283">
        <v>5.6435110000000002</v>
      </c>
      <c r="O283">
        <v>3.958793</v>
      </c>
      <c r="P283">
        <v>17181139</v>
      </c>
    </row>
    <row r="284" spans="10:16" x14ac:dyDescent="0.2">
      <c r="J284" s="354">
        <v>40637</v>
      </c>
      <c r="K284">
        <v>5.8012629999999996</v>
      </c>
      <c r="L284">
        <v>5.9745670000000004</v>
      </c>
      <c r="M284">
        <v>5.2569080000000001</v>
      </c>
      <c r="N284">
        <v>5.2924579999999999</v>
      </c>
      <c r="O284">
        <v>3.7125379999999999</v>
      </c>
      <c r="P284">
        <v>60375678</v>
      </c>
    </row>
    <row r="285" spans="10:16" x14ac:dyDescent="0.2">
      <c r="J285" s="354">
        <v>40644</v>
      </c>
      <c r="K285">
        <v>5.3168980000000001</v>
      </c>
      <c r="L285">
        <v>5.4124379999999999</v>
      </c>
      <c r="M285">
        <v>5.1813650000000004</v>
      </c>
      <c r="N285">
        <v>5.2991229999999998</v>
      </c>
      <c r="O285">
        <v>3.7172130000000001</v>
      </c>
      <c r="P285">
        <v>30167583</v>
      </c>
    </row>
    <row r="286" spans="10:16" x14ac:dyDescent="0.2">
      <c r="J286" s="354">
        <v>40651</v>
      </c>
      <c r="K286">
        <v>5.2835700000000001</v>
      </c>
      <c r="L286">
        <v>5.3635570000000001</v>
      </c>
      <c r="M286">
        <v>5.2146929999999996</v>
      </c>
      <c r="N286">
        <v>5.2169150000000002</v>
      </c>
      <c r="O286">
        <v>3.6595460000000002</v>
      </c>
      <c r="P286">
        <v>11408035</v>
      </c>
    </row>
    <row r="287" spans="10:16" x14ac:dyDescent="0.2">
      <c r="J287" s="354">
        <v>40658</v>
      </c>
      <c r="K287">
        <v>5.2591299999999999</v>
      </c>
      <c r="L287">
        <v>5.3768880000000001</v>
      </c>
      <c r="M287">
        <v>5.1324839999999998</v>
      </c>
      <c r="N287">
        <v>5.3768880000000001</v>
      </c>
      <c r="O287">
        <v>3.771763</v>
      </c>
      <c r="P287">
        <v>24669476</v>
      </c>
    </row>
    <row r="288" spans="10:16" x14ac:dyDescent="0.2">
      <c r="J288" s="354">
        <v>40665</v>
      </c>
      <c r="K288">
        <v>5.3768880000000001</v>
      </c>
      <c r="L288">
        <v>5.3879979999999996</v>
      </c>
      <c r="M288">
        <v>4.9236300000000002</v>
      </c>
      <c r="N288">
        <v>5.0769380000000002</v>
      </c>
      <c r="O288">
        <v>3.561356</v>
      </c>
      <c r="P288">
        <v>25060140</v>
      </c>
    </row>
    <row r="289" spans="10:16" x14ac:dyDescent="0.2">
      <c r="J289" s="354">
        <v>40672</v>
      </c>
      <c r="K289">
        <v>5.1435940000000002</v>
      </c>
      <c r="L289">
        <v>5.3057889999999999</v>
      </c>
      <c r="M289">
        <v>4.8458649999999999</v>
      </c>
      <c r="N289">
        <v>4.9725109999999999</v>
      </c>
      <c r="O289">
        <v>3.488102</v>
      </c>
      <c r="P289">
        <v>19427663</v>
      </c>
    </row>
    <row r="290" spans="10:16" x14ac:dyDescent="0.2">
      <c r="J290" s="354">
        <v>40679</v>
      </c>
      <c r="K290">
        <v>4.9725109999999999</v>
      </c>
      <c r="L290">
        <v>4.9725109999999999</v>
      </c>
      <c r="M290">
        <v>4.6792259999999999</v>
      </c>
      <c r="N290">
        <v>4.8436430000000001</v>
      </c>
      <c r="O290">
        <v>3.3977040000000001</v>
      </c>
      <c r="P290">
        <v>19341946</v>
      </c>
    </row>
    <row r="291" spans="10:16" x14ac:dyDescent="0.2">
      <c r="J291" s="354">
        <v>40686</v>
      </c>
      <c r="K291">
        <v>4.7880969999999996</v>
      </c>
      <c r="L291">
        <v>5.2991229999999998</v>
      </c>
      <c r="M291">
        <v>4.7103320000000002</v>
      </c>
      <c r="N291">
        <v>5.2413550000000004</v>
      </c>
      <c r="O291">
        <v>3.6766899999999998</v>
      </c>
      <c r="P291">
        <v>26694360</v>
      </c>
    </row>
    <row r="292" spans="10:16" x14ac:dyDescent="0.2">
      <c r="J292" s="354">
        <v>40693</v>
      </c>
      <c r="K292">
        <v>5.2635740000000002</v>
      </c>
      <c r="L292">
        <v>5.5546369999999996</v>
      </c>
      <c r="M292">
        <v>5.1347060000000004</v>
      </c>
      <c r="N292">
        <v>5.5102000000000002</v>
      </c>
      <c r="O292">
        <v>3.8652790000000001</v>
      </c>
      <c r="P292">
        <v>25267624</v>
      </c>
    </row>
    <row r="293" spans="10:16" x14ac:dyDescent="0.2">
      <c r="J293" s="354">
        <v>40700</v>
      </c>
      <c r="K293">
        <v>5.4990899999999998</v>
      </c>
      <c r="L293">
        <v>5.5435270000000001</v>
      </c>
      <c r="M293">
        <v>5.2813489999999996</v>
      </c>
      <c r="N293">
        <v>5.3657789999999999</v>
      </c>
      <c r="O293">
        <v>3.7639710000000002</v>
      </c>
      <c r="P293">
        <v>25142504</v>
      </c>
    </row>
    <row r="294" spans="10:16" x14ac:dyDescent="0.2">
      <c r="J294" s="354">
        <v>40707</v>
      </c>
      <c r="K294">
        <v>5.2769050000000002</v>
      </c>
      <c r="L294">
        <v>5.4879810000000004</v>
      </c>
      <c r="M294">
        <v>5.1902520000000001</v>
      </c>
      <c r="N294">
        <v>5.4524309999999998</v>
      </c>
      <c r="O294">
        <v>3.8247559999999998</v>
      </c>
      <c r="P294">
        <v>22868278</v>
      </c>
    </row>
    <row r="295" spans="10:16" x14ac:dyDescent="0.2">
      <c r="J295" s="354">
        <v>40714</v>
      </c>
      <c r="K295">
        <v>5.4057719999999998</v>
      </c>
      <c r="L295">
        <v>5.5279740000000004</v>
      </c>
      <c r="M295">
        <v>5.2591299999999999</v>
      </c>
      <c r="N295">
        <v>5.3657789999999999</v>
      </c>
      <c r="O295">
        <v>3.7639710000000002</v>
      </c>
      <c r="P295">
        <v>11735238</v>
      </c>
    </row>
    <row r="296" spans="10:16" x14ac:dyDescent="0.2">
      <c r="J296" s="354">
        <v>40721</v>
      </c>
      <c r="K296">
        <v>5.3324509999999998</v>
      </c>
      <c r="L296">
        <v>5.4879810000000004</v>
      </c>
      <c r="M296">
        <v>5.2902360000000002</v>
      </c>
      <c r="N296">
        <v>5.4213250000000004</v>
      </c>
      <c r="O296">
        <v>3.8029359999999999</v>
      </c>
      <c r="P296">
        <v>11915717</v>
      </c>
    </row>
    <row r="297" spans="10:16" x14ac:dyDescent="0.2">
      <c r="J297" s="354">
        <v>40728</v>
      </c>
      <c r="K297">
        <v>5.4302130000000002</v>
      </c>
      <c r="L297">
        <v>5.4302130000000002</v>
      </c>
      <c r="M297">
        <v>5.0658289999999999</v>
      </c>
      <c r="N297">
        <v>5.2435770000000002</v>
      </c>
      <c r="O297">
        <v>3.6782490000000001</v>
      </c>
      <c r="P297">
        <v>13611148</v>
      </c>
    </row>
    <row r="298" spans="10:16" x14ac:dyDescent="0.2">
      <c r="J298" s="354">
        <v>40735</v>
      </c>
      <c r="K298">
        <v>5.1369280000000002</v>
      </c>
      <c r="L298">
        <v>5.4213250000000004</v>
      </c>
      <c r="M298">
        <v>5.1124879999999999</v>
      </c>
      <c r="N298">
        <v>5.3524479999999999</v>
      </c>
      <c r="O298">
        <v>3.7546189999999999</v>
      </c>
      <c r="P298">
        <v>18212259</v>
      </c>
    </row>
    <row r="299" spans="10:16" x14ac:dyDescent="0.2">
      <c r="J299" s="354">
        <v>40742</v>
      </c>
      <c r="K299">
        <v>5.2769050000000002</v>
      </c>
      <c r="L299">
        <v>5.5102000000000002</v>
      </c>
      <c r="M299">
        <v>5.2035840000000002</v>
      </c>
      <c r="N299">
        <v>5.4368780000000001</v>
      </c>
      <c r="O299">
        <v>3.8138450000000002</v>
      </c>
      <c r="P299">
        <v>23217085</v>
      </c>
    </row>
    <row r="300" spans="10:16" x14ac:dyDescent="0.2">
      <c r="J300" s="354">
        <v>40749</v>
      </c>
      <c r="K300">
        <v>5.3991069999999999</v>
      </c>
      <c r="L300">
        <v>5.4657619999999998</v>
      </c>
      <c r="M300">
        <v>5.0213919999999996</v>
      </c>
      <c r="N300">
        <v>5.3324509999999998</v>
      </c>
      <c r="O300">
        <v>3.7405919999999999</v>
      </c>
      <c r="P300">
        <v>13219506</v>
      </c>
    </row>
    <row r="301" spans="10:16" x14ac:dyDescent="0.2">
      <c r="J301" s="354">
        <v>40756</v>
      </c>
      <c r="K301">
        <v>5.1835870000000002</v>
      </c>
      <c r="L301">
        <v>5.2813489999999996</v>
      </c>
      <c r="M301">
        <v>4.4837030000000002</v>
      </c>
      <c r="N301">
        <v>4.7992059999999999</v>
      </c>
      <c r="O301">
        <v>3.366533</v>
      </c>
      <c r="P301">
        <v>24796395</v>
      </c>
    </row>
    <row r="302" spans="10:16" x14ac:dyDescent="0.2">
      <c r="J302" s="354">
        <v>40763</v>
      </c>
      <c r="K302">
        <v>4.5125869999999999</v>
      </c>
      <c r="L302">
        <v>4.9436270000000002</v>
      </c>
      <c r="M302">
        <v>4.1859739999999999</v>
      </c>
      <c r="N302">
        <v>4.8991899999999999</v>
      </c>
      <c r="O302">
        <v>3.5178579999999999</v>
      </c>
      <c r="P302">
        <v>32444512</v>
      </c>
    </row>
    <row r="303" spans="10:16" x14ac:dyDescent="0.2">
      <c r="J303" s="354">
        <v>40770</v>
      </c>
      <c r="K303">
        <v>4.8680839999999996</v>
      </c>
      <c r="L303">
        <v>5.2880140000000004</v>
      </c>
      <c r="M303">
        <v>4.8658619999999999</v>
      </c>
      <c r="N303">
        <v>5.0591629999999999</v>
      </c>
      <c r="O303">
        <v>3.632727</v>
      </c>
      <c r="P303">
        <v>31287369</v>
      </c>
    </row>
    <row r="304" spans="10:16" x14ac:dyDescent="0.2">
      <c r="J304" s="354">
        <v>40777</v>
      </c>
      <c r="K304">
        <v>5.0924909999999999</v>
      </c>
      <c r="L304">
        <v>5.2635740000000002</v>
      </c>
      <c r="M304">
        <v>4.9547359999999996</v>
      </c>
      <c r="N304">
        <v>5.1813650000000004</v>
      </c>
      <c r="O304">
        <v>3.7204730000000001</v>
      </c>
      <c r="P304">
        <v>22676996</v>
      </c>
    </row>
    <row r="305" spans="10:16" x14ac:dyDescent="0.2">
      <c r="J305" s="354">
        <v>40784</v>
      </c>
      <c r="K305">
        <v>5.1991399999999999</v>
      </c>
      <c r="L305">
        <v>5.4435440000000002</v>
      </c>
      <c r="M305">
        <v>5.1213749999999996</v>
      </c>
      <c r="N305">
        <v>5.3213419999999996</v>
      </c>
      <c r="O305">
        <v>3.8209840000000002</v>
      </c>
      <c r="P305">
        <v>30236445</v>
      </c>
    </row>
    <row r="306" spans="10:16" x14ac:dyDescent="0.2">
      <c r="J306" s="354">
        <v>40791</v>
      </c>
      <c r="K306">
        <v>5.2680170000000004</v>
      </c>
      <c r="L306">
        <v>5.5990739999999999</v>
      </c>
      <c r="M306">
        <v>5.0902690000000002</v>
      </c>
      <c r="N306">
        <v>5.5324179999999998</v>
      </c>
      <c r="O306">
        <v>3.9725459999999999</v>
      </c>
      <c r="P306">
        <v>20193037</v>
      </c>
    </row>
    <row r="307" spans="10:16" x14ac:dyDescent="0.2">
      <c r="J307" s="354">
        <v>40798</v>
      </c>
      <c r="K307">
        <v>5.4435440000000002</v>
      </c>
      <c r="L307">
        <v>5.6435110000000002</v>
      </c>
      <c r="M307">
        <v>5.3546699999999996</v>
      </c>
      <c r="N307">
        <v>5.6212920000000004</v>
      </c>
      <c r="O307">
        <v>4.0363639999999998</v>
      </c>
      <c r="P307">
        <v>25786110</v>
      </c>
    </row>
    <row r="308" spans="10:16" x14ac:dyDescent="0.2">
      <c r="J308" s="354">
        <v>40805</v>
      </c>
      <c r="K308">
        <v>5.5146430000000004</v>
      </c>
      <c r="L308">
        <v>5.7390509999999999</v>
      </c>
      <c r="M308">
        <v>5.1147090000000004</v>
      </c>
      <c r="N308">
        <v>5.2969020000000002</v>
      </c>
      <c r="O308">
        <v>3.803436</v>
      </c>
      <c r="P308">
        <v>30596505</v>
      </c>
    </row>
    <row r="309" spans="10:16" x14ac:dyDescent="0.2">
      <c r="J309" s="354">
        <v>40812</v>
      </c>
      <c r="K309">
        <v>5.2969020000000002</v>
      </c>
      <c r="L309">
        <v>5.6146269999999996</v>
      </c>
      <c r="M309">
        <v>5.1391499999999999</v>
      </c>
      <c r="N309">
        <v>5.3257859999999999</v>
      </c>
      <c r="O309">
        <v>3.824176</v>
      </c>
      <c r="P309">
        <v>23677962</v>
      </c>
    </row>
    <row r="310" spans="10:16" x14ac:dyDescent="0.2">
      <c r="J310" s="354">
        <v>40819</v>
      </c>
      <c r="K310">
        <v>5.2657959999999999</v>
      </c>
      <c r="L310">
        <v>5.4368780000000001</v>
      </c>
      <c r="M310">
        <v>4.9347390000000004</v>
      </c>
      <c r="N310">
        <v>5.2369110000000001</v>
      </c>
      <c r="O310">
        <v>3.7603580000000001</v>
      </c>
      <c r="P310">
        <v>24004266</v>
      </c>
    </row>
    <row r="311" spans="10:16" x14ac:dyDescent="0.2">
      <c r="J311" s="354">
        <v>40826</v>
      </c>
      <c r="K311">
        <v>5.3146760000000004</v>
      </c>
      <c r="L311">
        <v>5.6612859999999996</v>
      </c>
      <c r="M311">
        <v>5.2569080000000001</v>
      </c>
      <c r="N311">
        <v>5.5924079999999998</v>
      </c>
      <c r="O311">
        <v>4.0156229999999997</v>
      </c>
      <c r="P311">
        <v>14537401</v>
      </c>
    </row>
    <row r="312" spans="10:16" x14ac:dyDescent="0.2">
      <c r="J312" s="354">
        <v>40833</v>
      </c>
      <c r="K312">
        <v>5.5102000000000002</v>
      </c>
      <c r="L312">
        <v>6.0612199999999996</v>
      </c>
      <c r="M312">
        <v>5.4813150000000004</v>
      </c>
      <c r="N312">
        <v>5.9567920000000001</v>
      </c>
      <c r="O312">
        <v>4.2772680000000003</v>
      </c>
      <c r="P312">
        <v>32210472</v>
      </c>
    </row>
    <row r="313" spans="10:16" x14ac:dyDescent="0.2">
      <c r="J313" s="354">
        <v>40840</v>
      </c>
      <c r="K313">
        <v>5.9767890000000001</v>
      </c>
      <c r="L313">
        <v>6.0390009999999998</v>
      </c>
      <c r="M313">
        <v>5.8456999999999999</v>
      </c>
      <c r="N313">
        <v>5.9323519999999998</v>
      </c>
      <c r="O313">
        <v>4.2597189999999996</v>
      </c>
      <c r="P313">
        <v>12864026</v>
      </c>
    </row>
    <row r="314" spans="10:16" x14ac:dyDescent="0.2">
      <c r="J314" s="354">
        <v>40847</v>
      </c>
      <c r="K314">
        <v>5.9101330000000001</v>
      </c>
      <c r="L314">
        <v>6.0412229999999996</v>
      </c>
      <c r="M314">
        <v>5.7546039999999996</v>
      </c>
      <c r="N314">
        <v>5.8879149999999996</v>
      </c>
      <c r="O314">
        <v>4.2278120000000001</v>
      </c>
      <c r="P314">
        <v>19336095</v>
      </c>
    </row>
    <row r="315" spans="10:16" x14ac:dyDescent="0.2">
      <c r="J315" s="354">
        <v>40854</v>
      </c>
      <c r="K315">
        <v>5.8768060000000002</v>
      </c>
      <c r="L315">
        <v>6.0989909999999998</v>
      </c>
      <c r="M315">
        <v>5.7879310000000004</v>
      </c>
      <c r="N315">
        <v>6.0323349999999998</v>
      </c>
      <c r="O315">
        <v>4.3315109999999999</v>
      </c>
      <c r="P315">
        <v>18659633</v>
      </c>
    </row>
    <row r="316" spans="10:16" x14ac:dyDescent="0.2">
      <c r="J316" s="354">
        <v>40861</v>
      </c>
      <c r="K316">
        <v>6.0101170000000002</v>
      </c>
      <c r="L316">
        <v>6.0434450000000002</v>
      </c>
      <c r="M316">
        <v>5.6612859999999996</v>
      </c>
      <c r="N316">
        <v>5.7590469999999998</v>
      </c>
      <c r="O316">
        <v>4.1352770000000003</v>
      </c>
      <c r="P316">
        <v>19672750</v>
      </c>
    </row>
    <row r="317" spans="10:16" x14ac:dyDescent="0.2">
      <c r="J317" s="354">
        <v>40868</v>
      </c>
      <c r="K317">
        <v>5.7546039999999996</v>
      </c>
      <c r="L317">
        <v>5.7812659999999996</v>
      </c>
      <c r="M317">
        <v>5.5724119999999999</v>
      </c>
      <c r="N317">
        <v>5.7323849999999998</v>
      </c>
      <c r="O317">
        <v>4.1161329999999996</v>
      </c>
      <c r="P317">
        <v>30639714</v>
      </c>
    </row>
    <row r="318" spans="10:16" x14ac:dyDescent="0.2">
      <c r="J318" s="354">
        <v>40875</v>
      </c>
      <c r="K318">
        <v>5.7546039999999996</v>
      </c>
      <c r="L318">
        <v>6.2145279999999996</v>
      </c>
      <c r="M318">
        <v>5.7546039999999996</v>
      </c>
      <c r="N318">
        <v>6.1101000000000001</v>
      </c>
      <c r="O318">
        <v>4.3873509999999998</v>
      </c>
      <c r="P318">
        <v>23777429</v>
      </c>
    </row>
    <row r="319" spans="10:16" x14ac:dyDescent="0.2">
      <c r="J319" s="354">
        <v>40882</v>
      </c>
      <c r="K319">
        <v>6.1101000000000001</v>
      </c>
      <c r="L319">
        <v>6.2900710000000002</v>
      </c>
      <c r="M319">
        <v>5.9212429999999996</v>
      </c>
      <c r="N319">
        <v>6.1811999999999996</v>
      </c>
      <c r="O319">
        <v>4.4384050000000004</v>
      </c>
      <c r="P319">
        <v>21301569</v>
      </c>
    </row>
    <row r="320" spans="10:16" x14ac:dyDescent="0.2">
      <c r="J320" s="354">
        <v>40889</v>
      </c>
      <c r="K320">
        <v>6.1811999999999996</v>
      </c>
      <c r="L320">
        <v>6.2323019999999998</v>
      </c>
      <c r="M320">
        <v>5.7879310000000004</v>
      </c>
      <c r="N320">
        <v>5.9212429999999996</v>
      </c>
      <c r="O320">
        <v>4.2517420000000001</v>
      </c>
      <c r="P320">
        <v>26633150</v>
      </c>
    </row>
    <row r="321" spans="10:16" x14ac:dyDescent="0.2">
      <c r="J321" s="354">
        <v>40896</v>
      </c>
      <c r="K321">
        <v>5.8901370000000002</v>
      </c>
      <c r="L321">
        <v>6.0212260000000004</v>
      </c>
      <c r="M321">
        <v>5.8745839999999996</v>
      </c>
      <c r="N321">
        <v>5.9345739999999996</v>
      </c>
      <c r="O321">
        <v>4.2613149999999997</v>
      </c>
      <c r="P321">
        <v>19982851</v>
      </c>
    </row>
    <row r="322" spans="10:16" x14ac:dyDescent="0.2">
      <c r="J322" s="354">
        <v>40903</v>
      </c>
      <c r="K322">
        <v>5.9990079999999999</v>
      </c>
      <c r="L322">
        <v>6.0589979999999999</v>
      </c>
      <c r="M322">
        <v>5.8501430000000001</v>
      </c>
      <c r="N322">
        <v>5.9990079999999999</v>
      </c>
      <c r="O322">
        <v>4.3075809999999999</v>
      </c>
      <c r="P322">
        <v>11835155</v>
      </c>
    </row>
    <row r="323" spans="10:16" x14ac:dyDescent="0.2">
      <c r="J323" s="354">
        <v>40910</v>
      </c>
      <c r="K323">
        <v>5.9967860000000002</v>
      </c>
      <c r="L323">
        <v>6.1612030000000004</v>
      </c>
      <c r="M323">
        <v>5.8568090000000002</v>
      </c>
      <c r="N323">
        <v>6.0212260000000004</v>
      </c>
      <c r="O323">
        <v>4.3235349999999997</v>
      </c>
      <c r="P323">
        <v>22584731</v>
      </c>
    </row>
    <row r="324" spans="10:16" x14ac:dyDescent="0.2">
      <c r="J324" s="354">
        <v>40917</v>
      </c>
      <c r="K324">
        <v>6.0478880000000004</v>
      </c>
      <c r="L324">
        <v>6.2100840000000002</v>
      </c>
      <c r="M324">
        <v>5.9834550000000002</v>
      </c>
      <c r="N324">
        <v>6.0967690000000001</v>
      </c>
      <c r="O324">
        <v>4.3777790000000003</v>
      </c>
      <c r="P324">
        <v>21331274</v>
      </c>
    </row>
    <row r="325" spans="10:16" x14ac:dyDescent="0.2">
      <c r="J325" s="354">
        <v>40924</v>
      </c>
      <c r="K325">
        <v>6.0523319999999998</v>
      </c>
      <c r="L325">
        <v>6.1989749999999999</v>
      </c>
      <c r="M325">
        <v>5.9767890000000001</v>
      </c>
      <c r="N325">
        <v>6.1545379999999996</v>
      </c>
      <c r="O325">
        <v>4.4192600000000004</v>
      </c>
      <c r="P325">
        <v>19325743</v>
      </c>
    </row>
    <row r="326" spans="10:16" x14ac:dyDescent="0.2">
      <c r="J326" s="354">
        <v>40931</v>
      </c>
      <c r="K326">
        <v>6.1678689999999996</v>
      </c>
      <c r="L326">
        <v>6.1789779999999999</v>
      </c>
      <c r="M326">
        <v>5.9701240000000002</v>
      </c>
      <c r="N326">
        <v>6.1545379999999996</v>
      </c>
      <c r="O326">
        <v>4.4192600000000004</v>
      </c>
      <c r="P326">
        <v>12876176</v>
      </c>
    </row>
    <row r="327" spans="10:16" x14ac:dyDescent="0.2">
      <c r="J327" s="354">
        <v>40938</v>
      </c>
      <c r="K327">
        <v>6.0901040000000002</v>
      </c>
      <c r="L327">
        <v>6.4989249999999998</v>
      </c>
      <c r="M327">
        <v>6.0501100000000001</v>
      </c>
      <c r="N327">
        <v>6.4100510000000002</v>
      </c>
      <c r="O327">
        <v>4.6027310000000003</v>
      </c>
      <c r="P327">
        <v>34557610</v>
      </c>
    </row>
    <row r="328" spans="10:16" x14ac:dyDescent="0.2">
      <c r="J328" s="354">
        <v>40945</v>
      </c>
      <c r="K328">
        <v>6.4122729999999999</v>
      </c>
      <c r="L328">
        <v>6.6100180000000002</v>
      </c>
      <c r="M328">
        <v>6.3322859999999999</v>
      </c>
      <c r="N328">
        <v>6.4811500000000004</v>
      </c>
      <c r="O328">
        <v>4.6537839999999999</v>
      </c>
      <c r="P328">
        <v>29276437</v>
      </c>
    </row>
    <row r="329" spans="10:16" x14ac:dyDescent="0.2">
      <c r="J329" s="354">
        <v>40952</v>
      </c>
      <c r="K329">
        <v>6.5078120000000004</v>
      </c>
      <c r="L329">
        <v>6.9521829999999998</v>
      </c>
      <c r="M329">
        <v>6.4100510000000002</v>
      </c>
      <c r="N329">
        <v>6.8877499999999996</v>
      </c>
      <c r="O329">
        <v>4.9457409999999999</v>
      </c>
      <c r="P329">
        <v>28609878</v>
      </c>
    </row>
    <row r="330" spans="10:16" x14ac:dyDescent="0.2">
      <c r="J330" s="354">
        <v>40959</v>
      </c>
      <c r="K330">
        <v>6.8877499999999996</v>
      </c>
      <c r="L330">
        <v>6.8877499999999996</v>
      </c>
      <c r="M330">
        <v>6.4433790000000002</v>
      </c>
      <c r="N330">
        <v>6.7188889999999999</v>
      </c>
      <c r="O330">
        <v>4.8244920000000002</v>
      </c>
      <c r="P330">
        <v>25889629</v>
      </c>
    </row>
    <row r="331" spans="10:16" x14ac:dyDescent="0.2">
      <c r="J331" s="354">
        <v>40966</v>
      </c>
      <c r="K331">
        <v>6.6922259999999998</v>
      </c>
      <c r="L331">
        <v>7.0455009999999998</v>
      </c>
      <c r="M331">
        <v>6.6344580000000004</v>
      </c>
      <c r="N331">
        <v>6.9966210000000002</v>
      </c>
      <c r="O331">
        <v>5.0239159999999998</v>
      </c>
      <c r="P331">
        <v>27651217</v>
      </c>
    </row>
    <row r="332" spans="10:16" x14ac:dyDescent="0.2">
      <c r="J332" s="354">
        <v>40973</v>
      </c>
      <c r="K332">
        <v>7.0188389999999998</v>
      </c>
      <c r="L332">
        <v>7.1921439999999999</v>
      </c>
      <c r="M332">
        <v>6.8744180000000004</v>
      </c>
      <c r="N332">
        <v>7.0099520000000002</v>
      </c>
      <c r="O332">
        <v>5.0334890000000003</v>
      </c>
      <c r="P332">
        <v>21563062</v>
      </c>
    </row>
    <row r="333" spans="10:16" x14ac:dyDescent="0.2">
      <c r="J333" s="354">
        <v>40980</v>
      </c>
      <c r="K333">
        <v>6.9632930000000002</v>
      </c>
      <c r="L333">
        <v>7.5987429999999998</v>
      </c>
      <c r="M333">
        <v>6.9232990000000001</v>
      </c>
      <c r="N333">
        <v>7.5320879999999999</v>
      </c>
      <c r="O333">
        <v>5.4084079999999997</v>
      </c>
      <c r="P333">
        <v>28519412</v>
      </c>
    </row>
    <row r="334" spans="10:16" x14ac:dyDescent="0.2">
      <c r="J334" s="354">
        <v>40987</v>
      </c>
      <c r="K334">
        <v>7.4876500000000004</v>
      </c>
      <c r="L334">
        <v>7.7431640000000002</v>
      </c>
      <c r="M334">
        <v>7.4009980000000004</v>
      </c>
      <c r="N334">
        <v>7.5120909999999999</v>
      </c>
      <c r="O334">
        <v>5.3940489999999999</v>
      </c>
      <c r="P334">
        <v>26269490</v>
      </c>
    </row>
    <row r="335" spans="10:16" x14ac:dyDescent="0.2">
      <c r="J335" s="354">
        <v>40994</v>
      </c>
      <c r="K335">
        <v>7.5520839999999998</v>
      </c>
      <c r="L335">
        <v>7.7631600000000001</v>
      </c>
      <c r="M335">
        <v>7.2787959999999998</v>
      </c>
      <c r="N335">
        <v>7.5454189999999999</v>
      </c>
      <c r="O335">
        <v>5.4179810000000002</v>
      </c>
      <c r="P335">
        <v>28610328</v>
      </c>
    </row>
    <row r="336" spans="10:16" x14ac:dyDescent="0.2">
      <c r="J336" s="354">
        <v>41001</v>
      </c>
      <c r="K336">
        <v>7.5520839999999998</v>
      </c>
      <c r="L336">
        <v>7.7320539999999998</v>
      </c>
      <c r="M336">
        <v>7.4876500000000004</v>
      </c>
      <c r="N336">
        <v>7.6587329999999998</v>
      </c>
      <c r="O336">
        <v>5.4993449999999999</v>
      </c>
      <c r="P336">
        <v>15471756</v>
      </c>
    </row>
    <row r="337" spans="10:16" x14ac:dyDescent="0.2">
      <c r="J337" s="354">
        <v>41008</v>
      </c>
      <c r="K337">
        <v>7.6431800000000001</v>
      </c>
      <c r="L337">
        <v>7.6653989999999999</v>
      </c>
      <c r="M337">
        <v>6.9388519999999998</v>
      </c>
      <c r="N337">
        <v>7.0232830000000002</v>
      </c>
      <c r="O337">
        <v>5.0430609999999998</v>
      </c>
      <c r="P337">
        <v>44591569</v>
      </c>
    </row>
    <row r="338" spans="10:16" x14ac:dyDescent="0.2">
      <c r="J338" s="354">
        <v>41015</v>
      </c>
      <c r="K338">
        <v>7.0232830000000002</v>
      </c>
      <c r="L338">
        <v>7.5054249999999998</v>
      </c>
      <c r="M338">
        <v>6.9988419999999998</v>
      </c>
      <c r="N338">
        <v>7.1921439999999999</v>
      </c>
      <c r="O338">
        <v>5.1643109999999997</v>
      </c>
      <c r="P338">
        <v>29603191</v>
      </c>
    </row>
    <row r="339" spans="10:16" x14ac:dyDescent="0.2">
      <c r="J339" s="354">
        <v>41022</v>
      </c>
      <c r="K339">
        <v>7.1432630000000001</v>
      </c>
      <c r="L339">
        <v>7.4632100000000001</v>
      </c>
      <c r="M339">
        <v>6.8344250000000004</v>
      </c>
      <c r="N339">
        <v>7.3321209999999999</v>
      </c>
      <c r="O339">
        <v>5.2648219999999997</v>
      </c>
      <c r="P339">
        <v>23398015</v>
      </c>
    </row>
    <row r="340" spans="10:16" x14ac:dyDescent="0.2">
      <c r="J340" s="354">
        <v>41029</v>
      </c>
      <c r="K340">
        <v>7.3765580000000002</v>
      </c>
      <c r="L340">
        <v>7.5076470000000004</v>
      </c>
      <c r="M340">
        <v>7.2210279999999996</v>
      </c>
      <c r="N340">
        <v>7.4009980000000004</v>
      </c>
      <c r="O340">
        <v>5.314279</v>
      </c>
      <c r="P340">
        <v>22782314</v>
      </c>
    </row>
    <row r="341" spans="10:16" x14ac:dyDescent="0.2">
      <c r="J341" s="354">
        <v>41036</v>
      </c>
      <c r="K341">
        <v>7.4654319999999998</v>
      </c>
      <c r="L341">
        <v>7.5098690000000001</v>
      </c>
      <c r="M341">
        <v>7.1277100000000004</v>
      </c>
      <c r="N341">
        <v>7.2987929999999999</v>
      </c>
      <c r="O341">
        <v>5.2408910000000004</v>
      </c>
      <c r="P341">
        <v>25358090</v>
      </c>
    </row>
    <row r="342" spans="10:16" x14ac:dyDescent="0.2">
      <c r="J342" s="354">
        <v>41043</v>
      </c>
      <c r="K342">
        <v>7.1321539999999999</v>
      </c>
      <c r="L342">
        <v>7.1988089999999998</v>
      </c>
      <c r="M342">
        <v>6.4900380000000002</v>
      </c>
      <c r="N342">
        <v>6.6633420000000001</v>
      </c>
      <c r="O342">
        <v>4.7846060000000001</v>
      </c>
      <c r="P342">
        <v>28379439</v>
      </c>
    </row>
    <row r="343" spans="10:16" x14ac:dyDescent="0.2">
      <c r="J343" s="354">
        <v>41050</v>
      </c>
      <c r="K343">
        <v>6.6655639999999998</v>
      </c>
      <c r="L343">
        <v>6.8322029999999998</v>
      </c>
      <c r="M343">
        <v>6.3167330000000002</v>
      </c>
      <c r="N343">
        <v>6.5411400000000004</v>
      </c>
      <c r="O343">
        <v>4.6968579999999998</v>
      </c>
      <c r="P343">
        <v>21062128</v>
      </c>
    </row>
    <row r="344" spans="10:16" x14ac:dyDescent="0.2">
      <c r="J344" s="354">
        <v>41057</v>
      </c>
      <c r="K344">
        <v>6.5455839999999998</v>
      </c>
      <c r="L344">
        <v>6.7077790000000004</v>
      </c>
      <c r="M344">
        <v>6.3345079999999996</v>
      </c>
      <c r="N344">
        <v>6.5300310000000001</v>
      </c>
      <c r="O344">
        <v>4.6888820000000004</v>
      </c>
      <c r="P344">
        <v>26423416</v>
      </c>
    </row>
    <row r="345" spans="10:16" x14ac:dyDescent="0.2">
      <c r="J345" s="354">
        <v>41064</v>
      </c>
      <c r="K345">
        <v>6.4878159999999996</v>
      </c>
      <c r="L345">
        <v>6.7255539999999998</v>
      </c>
      <c r="M345">
        <v>6.4433790000000002</v>
      </c>
      <c r="N345">
        <v>6.6389019999999999</v>
      </c>
      <c r="O345">
        <v>4.7670570000000003</v>
      </c>
      <c r="P345">
        <v>16875537</v>
      </c>
    </row>
    <row r="346" spans="10:16" x14ac:dyDescent="0.2">
      <c r="J346" s="354">
        <v>41071</v>
      </c>
      <c r="K346">
        <v>6.6433460000000002</v>
      </c>
      <c r="L346">
        <v>6.9899550000000001</v>
      </c>
      <c r="M346">
        <v>6.4722629999999999</v>
      </c>
      <c r="N346">
        <v>6.8877499999999996</v>
      </c>
      <c r="O346">
        <v>4.9457409999999999</v>
      </c>
      <c r="P346">
        <v>21709785</v>
      </c>
    </row>
    <row r="347" spans="10:16" x14ac:dyDescent="0.2">
      <c r="J347" s="354">
        <v>41078</v>
      </c>
      <c r="K347">
        <v>6.8210940000000004</v>
      </c>
      <c r="L347">
        <v>7.1010479999999996</v>
      </c>
      <c r="M347">
        <v>6.6344580000000004</v>
      </c>
      <c r="N347">
        <v>6.6944480000000004</v>
      </c>
      <c r="O347">
        <v>4.8069420000000003</v>
      </c>
      <c r="P347">
        <v>18867117</v>
      </c>
    </row>
    <row r="348" spans="10:16" x14ac:dyDescent="0.2">
      <c r="J348" s="354">
        <v>41085</v>
      </c>
      <c r="K348">
        <v>6.5433620000000001</v>
      </c>
      <c r="L348">
        <v>6.9410740000000004</v>
      </c>
      <c r="M348">
        <v>6.4211600000000004</v>
      </c>
      <c r="N348">
        <v>6.8855279999999999</v>
      </c>
      <c r="O348">
        <v>4.9441459999999999</v>
      </c>
      <c r="P348">
        <v>22241775</v>
      </c>
    </row>
    <row r="349" spans="10:16" x14ac:dyDescent="0.2">
      <c r="J349" s="354">
        <v>41092</v>
      </c>
      <c r="K349">
        <v>6.8210940000000004</v>
      </c>
      <c r="L349">
        <v>6.9766240000000002</v>
      </c>
      <c r="M349">
        <v>6.6722299999999999</v>
      </c>
      <c r="N349">
        <v>6.9321869999999999</v>
      </c>
      <c r="O349">
        <v>4.9776499999999997</v>
      </c>
      <c r="P349">
        <v>17586204</v>
      </c>
    </row>
    <row r="350" spans="10:16" x14ac:dyDescent="0.2">
      <c r="J350" s="354">
        <v>41099</v>
      </c>
      <c r="K350">
        <v>6.9321869999999999</v>
      </c>
      <c r="L350">
        <v>6.9721799999999998</v>
      </c>
      <c r="M350">
        <v>6.6722299999999999</v>
      </c>
      <c r="N350">
        <v>6.8188719999999998</v>
      </c>
      <c r="O350">
        <v>4.8962839999999996</v>
      </c>
      <c r="P350">
        <v>14017565</v>
      </c>
    </row>
    <row r="351" spans="10:16" x14ac:dyDescent="0.2">
      <c r="J351" s="354">
        <v>41106</v>
      </c>
      <c r="K351">
        <v>6.8188719999999998</v>
      </c>
      <c r="L351">
        <v>6.9455179999999999</v>
      </c>
      <c r="M351">
        <v>6.6744519999999996</v>
      </c>
      <c r="N351">
        <v>6.8477560000000004</v>
      </c>
      <c r="O351">
        <v>4.9170249999999998</v>
      </c>
      <c r="P351">
        <v>18938678</v>
      </c>
    </row>
    <row r="352" spans="10:16" x14ac:dyDescent="0.2">
      <c r="J352" s="354">
        <v>41113</v>
      </c>
      <c r="K352">
        <v>6.6877829999999996</v>
      </c>
      <c r="L352">
        <v>7.1565940000000001</v>
      </c>
      <c r="M352">
        <v>6.5989079999999998</v>
      </c>
      <c r="N352">
        <v>7.0988259999999999</v>
      </c>
      <c r="O352">
        <v>5.0973040000000003</v>
      </c>
      <c r="P352">
        <v>17912058</v>
      </c>
    </row>
    <row r="353" spans="10:16" x14ac:dyDescent="0.2">
      <c r="J353" s="354">
        <v>41120</v>
      </c>
      <c r="K353">
        <v>7.0921599999999998</v>
      </c>
      <c r="L353">
        <v>7.1654809999999998</v>
      </c>
      <c r="M353">
        <v>6.7055579999999999</v>
      </c>
      <c r="N353">
        <v>6.7855439999999998</v>
      </c>
      <c r="O353">
        <v>4.8723530000000004</v>
      </c>
      <c r="P353">
        <v>26833433</v>
      </c>
    </row>
    <row r="354" spans="10:16" x14ac:dyDescent="0.2">
      <c r="J354" s="354">
        <v>41127</v>
      </c>
      <c r="K354">
        <v>6.8210940000000004</v>
      </c>
      <c r="L354">
        <v>7.3010149999999996</v>
      </c>
      <c r="M354">
        <v>6.8010970000000004</v>
      </c>
      <c r="N354">
        <v>7.0321699999999998</v>
      </c>
      <c r="O354">
        <v>5.164612</v>
      </c>
      <c r="P354">
        <v>33088117</v>
      </c>
    </row>
    <row r="355" spans="10:16" x14ac:dyDescent="0.2">
      <c r="J355" s="354">
        <v>41134</v>
      </c>
      <c r="K355">
        <v>7.0210610000000004</v>
      </c>
      <c r="L355">
        <v>7.2410249999999996</v>
      </c>
      <c r="M355">
        <v>6.8455339999999998</v>
      </c>
      <c r="N355">
        <v>7.1677030000000004</v>
      </c>
      <c r="O355">
        <v>5.264151</v>
      </c>
      <c r="P355">
        <v>25793762</v>
      </c>
    </row>
    <row r="356" spans="10:16" x14ac:dyDescent="0.2">
      <c r="J356" s="354">
        <v>41141</v>
      </c>
      <c r="K356">
        <v>7.1677030000000004</v>
      </c>
      <c r="L356">
        <v>7.5698590000000001</v>
      </c>
      <c r="M356">
        <v>7.0788289999999998</v>
      </c>
      <c r="N356">
        <v>7.5320879999999999</v>
      </c>
      <c r="O356">
        <v>5.531765</v>
      </c>
      <c r="P356">
        <v>27395576</v>
      </c>
    </row>
    <row r="357" spans="10:16" x14ac:dyDescent="0.2">
      <c r="J357" s="354">
        <v>41148</v>
      </c>
      <c r="K357">
        <v>7.4920939999999998</v>
      </c>
      <c r="L357">
        <v>7.5987429999999998</v>
      </c>
      <c r="M357">
        <v>7.2587989999999998</v>
      </c>
      <c r="N357">
        <v>7.5098690000000001</v>
      </c>
      <c r="O357">
        <v>5.515447</v>
      </c>
      <c r="P357">
        <v>22858826</v>
      </c>
    </row>
    <row r="358" spans="10:16" x14ac:dyDescent="0.2">
      <c r="J358" s="354">
        <v>41155</v>
      </c>
      <c r="K358">
        <v>7.4720969999999998</v>
      </c>
      <c r="L358">
        <v>7.7942660000000004</v>
      </c>
      <c r="M358">
        <v>7.3032360000000001</v>
      </c>
      <c r="N358">
        <v>7.7653819999999998</v>
      </c>
      <c r="O358">
        <v>5.7031029999999996</v>
      </c>
      <c r="P358">
        <v>20432926</v>
      </c>
    </row>
    <row r="359" spans="10:16" x14ac:dyDescent="0.2">
      <c r="J359" s="354">
        <v>41162</v>
      </c>
      <c r="K359">
        <v>7.8187069999999999</v>
      </c>
      <c r="L359">
        <v>8.1008820000000004</v>
      </c>
      <c r="M359">
        <v>7.6165180000000001</v>
      </c>
      <c r="N359">
        <v>7.8431470000000001</v>
      </c>
      <c r="O359">
        <v>5.7602149999999996</v>
      </c>
      <c r="P359">
        <v>31078536</v>
      </c>
    </row>
    <row r="360" spans="10:16" x14ac:dyDescent="0.2">
      <c r="J360" s="354">
        <v>41169</v>
      </c>
      <c r="K360">
        <v>7.8786969999999998</v>
      </c>
      <c r="L360">
        <v>8.129766</v>
      </c>
      <c r="M360">
        <v>7.8520349999999999</v>
      </c>
      <c r="N360">
        <v>8.0031210000000002</v>
      </c>
      <c r="O360">
        <v>5.8777039999999996</v>
      </c>
      <c r="P360">
        <v>24868858</v>
      </c>
    </row>
    <row r="361" spans="10:16" x14ac:dyDescent="0.2">
      <c r="J361" s="354">
        <v>41176</v>
      </c>
      <c r="K361">
        <v>8.0031210000000002</v>
      </c>
      <c r="L361">
        <v>8.3230679999999992</v>
      </c>
      <c r="M361">
        <v>7.9409090000000004</v>
      </c>
      <c r="N361">
        <v>8.2275279999999995</v>
      </c>
      <c r="O361">
        <v>6.0425139999999997</v>
      </c>
      <c r="P361">
        <v>28935280</v>
      </c>
    </row>
    <row r="362" spans="10:16" x14ac:dyDescent="0.2">
      <c r="J362" s="354">
        <v>41183</v>
      </c>
      <c r="K362">
        <v>8.1964220000000001</v>
      </c>
      <c r="L362">
        <v>8.4208289999999995</v>
      </c>
      <c r="M362">
        <v>8.1119920000000008</v>
      </c>
      <c r="N362">
        <v>8.3208459999999995</v>
      </c>
      <c r="O362">
        <v>6.1110499999999996</v>
      </c>
      <c r="P362">
        <v>20725472</v>
      </c>
    </row>
    <row r="363" spans="10:16" x14ac:dyDescent="0.2">
      <c r="J363" s="354">
        <v>41190</v>
      </c>
      <c r="K363">
        <v>8.2764089999999992</v>
      </c>
      <c r="L363">
        <v>8.6407930000000004</v>
      </c>
      <c r="M363">
        <v>8.2208629999999996</v>
      </c>
      <c r="N363">
        <v>8.5763590000000001</v>
      </c>
      <c r="O363">
        <v>6.298705</v>
      </c>
      <c r="P363">
        <v>21509504</v>
      </c>
    </row>
    <row r="364" spans="10:16" x14ac:dyDescent="0.2">
      <c r="J364" s="354">
        <v>41197</v>
      </c>
      <c r="K364">
        <v>8.5541409999999996</v>
      </c>
      <c r="L364">
        <v>8.5541409999999996</v>
      </c>
      <c r="M364">
        <v>8.0342269999999996</v>
      </c>
      <c r="N364">
        <v>8.3652829999999998</v>
      </c>
      <c r="O364">
        <v>6.1436859999999998</v>
      </c>
      <c r="P364">
        <v>50522199</v>
      </c>
    </row>
    <row r="365" spans="10:16" x14ac:dyDescent="0.2">
      <c r="J365" s="354">
        <v>41204</v>
      </c>
      <c r="K365">
        <v>8.3630610000000001</v>
      </c>
      <c r="L365">
        <v>8.5119260000000008</v>
      </c>
      <c r="M365">
        <v>8.1653160000000007</v>
      </c>
      <c r="N365">
        <v>8.4697099999999992</v>
      </c>
      <c r="O365">
        <v>6.2203799999999996</v>
      </c>
      <c r="P365">
        <v>20110222</v>
      </c>
    </row>
    <row r="366" spans="10:16" x14ac:dyDescent="0.2">
      <c r="J366" s="354">
        <v>41211</v>
      </c>
      <c r="K366">
        <v>8.4252730000000007</v>
      </c>
      <c r="L366">
        <v>8.8829750000000001</v>
      </c>
      <c r="M366">
        <v>8.3763919999999992</v>
      </c>
      <c r="N366">
        <v>8.8540910000000004</v>
      </c>
      <c r="O366">
        <v>6.5026789999999997</v>
      </c>
      <c r="P366">
        <v>15392092</v>
      </c>
    </row>
    <row r="367" spans="10:16" x14ac:dyDescent="0.2">
      <c r="J367" s="354">
        <v>41218</v>
      </c>
      <c r="K367">
        <v>8.8074320000000004</v>
      </c>
      <c r="L367">
        <v>8.9296340000000001</v>
      </c>
      <c r="M367">
        <v>8.5496970000000001</v>
      </c>
      <c r="N367">
        <v>8.7918789999999998</v>
      </c>
      <c r="O367">
        <v>6.4569879999999999</v>
      </c>
      <c r="P367">
        <v>24258557</v>
      </c>
    </row>
    <row r="368" spans="10:16" x14ac:dyDescent="0.2">
      <c r="J368" s="354">
        <v>41225</v>
      </c>
      <c r="K368">
        <v>8.7918789999999998</v>
      </c>
      <c r="L368">
        <v>8.8585349999999998</v>
      </c>
      <c r="M368">
        <v>8.5941340000000004</v>
      </c>
      <c r="N368">
        <v>8.6674550000000004</v>
      </c>
      <c r="O368">
        <v>6.3656090000000001</v>
      </c>
      <c r="P368">
        <v>14662072</v>
      </c>
    </row>
    <row r="369" spans="10:16" x14ac:dyDescent="0.2">
      <c r="J369" s="354">
        <v>41232</v>
      </c>
      <c r="K369">
        <v>8.7141140000000004</v>
      </c>
      <c r="L369">
        <v>8.9251909999999999</v>
      </c>
      <c r="M369">
        <v>8.6341280000000005</v>
      </c>
      <c r="N369">
        <v>8.8740880000000004</v>
      </c>
      <c r="O369">
        <v>6.517366</v>
      </c>
      <c r="P369">
        <v>10668562</v>
      </c>
    </row>
    <row r="370" spans="10:16" x14ac:dyDescent="0.2">
      <c r="J370" s="354">
        <v>41239</v>
      </c>
      <c r="K370">
        <v>8.8274290000000004</v>
      </c>
      <c r="L370">
        <v>8.9629619999999992</v>
      </c>
      <c r="M370">
        <v>8.6163530000000002</v>
      </c>
      <c r="N370">
        <v>8.7296669999999992</v>
      </c>
      <c r="O370">
        <v>6.4112989999999996</v>
      </c>
      <c r="P370">
        <v>20677766</v>
      </c>
    </row>
    <row r="371" spans="10:16" x14ac:dyDescent="0.2">
      <c r="J371" s="354">
        <v>41246</v>
      </c>
      <c r="K371">
        <v>8.7696609999999993</v>
      </c>
      <c r="L371">
        <v>8.8185420000000008</v>
      </c>
      <c r="M371">
        <v>8.4452700000000007</v>
      </c>
      <c r="N371">
        <v>8.7207799999999995</v>
      </c>
      <c r="O371">
        <v>6.4047710000000002</v>
      </c>
      <c r="P371">
        <v>20028308</v>
      </c>
    </row>
    <row r="372" spans="10:16" x14ac:dyDescent="0.2">
      <c r="J372" s="354">
        <v>41253</v>
      </c>
      <c r="K372">
        <v>8.7163360000000001</v>
      </c>
      <c r="L372">
        <v>8.9540749999999996</v>
      </c>
      <c r="M372">
        <v>8.6207960000000003</v>
      </c>
      <c r="N372">
        <v>8.9029720000000001</v>
      </c>
      <c r="O372">
        <v>6.5385790000000004</v>
      </c>
      <c r="P372">
        <v>22447908</v>
      </c>
    </row>
    <row r="373" spans="10:16" x14ac:dyDescent="0.2">
      <c r="J373" s="354">
        <v>41260</v>
      </c>
      <c r="K373">
        <v>8.8629789999999993</v>
      </c>
      <c r="L373">
        <v>9.5317570000000007</v>
      </c>
      <c r="M373">
        <v>8.8629789999999993</v>
      </c>
      <c r="N373">
        <v>9.2984620000000007</v>
      </c>
      <c r="O373">
        <v>6.8290360000000003</v>
      </c>
      <c r="P373">
        <v>21292117</v>
      </c>
    </row>
    <row r="374" spans="10:16" x14ac:dyDescent="0.2">
      <c r="J374" s="354">
        <v>41267</v>
      </c>
      <c r="K374">
        <v>9.2984620000000007</v>
      </c>
      <c r="L374">
        <v>9.5206479999999996</v>
      </c>
      <c r="M374">
        <v>9.1895910000000001</v>
      </c>
      <c r="N374">
        <v>9.2762440000000002</v>
      </c>
      <c r="O374">
        <v>6.8127190000000004</v>
      </c>
      <c r="P374">
        <v>10210836</v>
      </c>
    </row>
    <row r="375" spans="10:16" x14ac:dyDescent="0.2">
      <c r="J375" s="354">
        <v>41274</v>
      </c>
      <c r="K375">
        <v>9.2762440000000002</v>
      </c>
      <c r="L375">
        <v>9.6739560000000004</v>
      </c>
      <c r="M375">
        <v>9.2651339999999998</v>
      </c>
      <c r="N375">
        <v>9.3673400000000004</v>
      </c>
      <c r="O375">
        <v>6.8796229999999996</v>
      </c>
      <c r="P375">
        <v>12819468</v>
      </c>
    </row>
    <row r="376" spans="10:16" x14ac:dyDescent="0.2">
      <c r="J376" s="354">
        <v>41281</v>
      </c>
      <c r="K376">
        <v>9.3540089999999996</v>
      </c>
      <c r="L376">
        <v>9.6739560000000004</v>
      </c>
      <c r="M376">
        <v>9.2406939999999995</v>
      </c>
      <c r="N376">
        <v>9.4495480000000001</v>
      </c>
      <c r="O376">
        <v>6.9399990000000003</v>
      </c>
      <c r="P376">
        <v>20655262</v>
      </c>
    </row>
    <row r="377" spans="10:16" x14ac:dyDescent="0.2">
      <c r="J377" s="354">
        <v>41288</v>
      </c>
      <c r="K377">
        <v>9.5006509999999995</v>
      </c>
      <c r="L377">
        <v>9.616187</v>
      </c>
      <c r="M377">
        <v>9.3806709999999995</v>
      </c>
      <c r="N377">
        <v>9.5206479999999996</v>
      </c>
      <c r="O377">
        <v>6.9922170000000001</v>
      </c>
      <c r="P377">
        <v>15447002</v>
      </c>
    </row>
    <row r="378" spans="10:16" x14ac:dyDescent="0.2">
      <c r="J378" s="354">
        <v>41295</v>
      </c>
      <c r="K378">
        <v>9.522869</v>
      </c>
      <c r="L378">
        <v>9.9272469999999995</v>
      </c>
      <c r="M378">
        <v>9.3784489999999998</v>
      </c>
      <c r="N378">
        <v>9.8850320000000007</v>
      </c>
      <c r="O378">
        <v>7.25983</v>
      </c>
      <c r="P378">
        <v>14979825</v>
      </c>
    </row>
    <row r="379" spans="10:16" x14ac:dyDescent="0.2">
      <c r="J379" s="354">
        <v>41302</v>
      </c>
      <c r="K379">
        <v>9.8872540000000004</v>
      </c>
      <c r="L379">
        <v>10.633796999999999</v>
      </c>
      <c r="M379">
        <v>9.8117110000000007</v>
      </c>
      <c r="N379">
        <v>10.442717</v>
      </c>
      <c r="O379">
        <v>7.6694079999999998</v>
      </c>
      <c r="P379">
        <v>39740667</v>
      </c>
    </row>
    <row r="380" spans="10:16" x14ac:dyDescent="0.2">
      <c r="J380" s="354">
        <v>41309</v>
      </c>
      <c r="K380">
        <v>10.440496</v>
      </c>
      <c r="L380">
        <v>10.762665</v>
      </c>
      <c r="M380">
        <v>10.153876</v>
      </c>
      <c r="N380">
        <v>10.387171</v>
      </c>
      <c r="O380">
        <v>7.6286129999999996</v>
      </c>
      <c r="P380">
        <v>35915034</v>
      </c>
    </row>
    <row r="381" spans="10:16" x14ac:dyDescent="0.2">
      <c r="J381" s="354">
        <v>41316</v>
      </c>
      <c r="K381">
        <v>10.387171</v>
      </c>
      <c r="L381">
        <v>10.469379999999999</v>
      </c>
      <c r="M381">
        <v>10.120547999999999</v>
      </c>
      <c r="N381">
        <v>10.331625000000001</v>
      </c>
      <c r="O381">
        <v>7.5878199999999998</v>
      </c>
      <c r="P381">
        <v>14351521</v>
      </c>
    </row>
    <row r="382" spans="10:16" x14ac:dyDescent="0.2">
      <c r="J382" s="354">
        <v>41323</v>
      </c>
      <c r="K382">
        <v>10.329402999999999</v>
      </c>
      <c r="L382">
        <v>10.536035</v>
      </c>
      <c r="M382">
        <v>9.9405780000000004</v>
      </c>
      <c r="N382">
        <v>10.162763999999999</v>
      </c>
      <c r="O382">
        <v>7.4638030000000004</v>
      </c>
      <c r="P382">
        <v>27078724</v>
      </c>
    </row>
    <row r="383" spans="10:16" x14ac:dyDescent="0.2">
      <c r="J383" s="354">
        <v>41330</v>
      </c>
      <c r="K383">
        <v>10.220532</v>
      </c>
      <c r="L383">
        <v>10.420499</v>
      </c>
      <c r="M383">
        <v>10.000567999999999</v>
      </c>
      <c r="N383">
        <v>10.324959</v>
      </c>
      <c r="O383">
        <v>7.5829230000000001</v>
      </c>
      <c r="P383">
        <v>26860888</v>
      </c>
    </row>
    <row r="384" spans="10:16" x14ac:dyDescent="0.2">
      <c r="J384" s="354">
        <v>41337</v>
      </c>
      <c r="K384">
        <v>10.329402999999999</v>
      </c>
      <c r="L384">
        <v>10.860426</v>
      </c>
      <c r="M384">
        <v>10.120547999999999</v>
      </c>
      <c r="N384">
        <v>10.311628000000001</v>
      </c>
      <c r="O384">
        <v>7.5731330000000003</v>
      </c>
      <c r="P384">
        <v>31491254</v>
      </c>
    </row>
    <row r="385" spans="10:16" x14ac:dyDescent="0.2">
      <c r="J385" s="354">
        <v>41344</v>
      </c>
      <c r="K385">
        <v>10.320515</v>
      </c>
      <c r="L385">
        <v>10.700453</v>
      </c>
      <c r="M385">
        <v>10.264969000000001</v>
      </c>
      <c r="N385">
        <v>10.389393</v>
      </c>
      <c r="O385">
        <v>7.6302450000000004</v>
      </c>
      <c r="P385">
        <v>18334679</v>
      </c>
    </row>
    <row r="386" spans="10:16" x14ac:dyDescent="0.2">
      <c r="J386" s="354">
        <v>41351</v>
      </c>
      <c r="K386">
        <v>10.220532</v>
      </c>
      <c r="L386">
        <v>10.547145</v>
      </c>
      <c r="M386">
        <v>9.8050449999999998</v>
      </c>
      <c r="N386">
        <v>9.876144</v>
      </c>
      <c r="O386">
        <v>7.2533029999999998</v>
      </c>
      <c r="P386">
        <v>25532718</v>
      </c>
    </row>
    <row r="387" spans="10:16" x14ac:dyDescent="0.2">
      <c r="J387" s="354">
        <v>41358</v>
      </c>
      <c r="K387">
        <v>9.8872540000000004</v>
      </c>
      <c r="L387">
        <v>10.260524999999999</v>
      </c>
      <c r="M387">
        <v>9.7828269999999993</v>
      </c>
      <c r="N387">
        <v>10.260524999999999</v>
      </c>
      <c r="O387">
        <v>7.5356019999999999</v>
      </c>
      <c r="P387">
        <v>19189820</v>
      </c>
    </row>
    <row r="388" spans="10:16" x14ac:dyDescent="0.2">
      <c r="J388" s="354">
        <v>41365</v>
      </c>
      <c r="K388">
        <v>10.027231</v>
      </c>
      <c r="L388">
        <v>10.209422999999999</v>
      </c>
      <c r="M388">
        <v>9.6850649999999998</v>
      </c>
      <c r="N388">
        <v>9.8650350000000007</v>
      </c>
      <c r="O388">
        <v>7.2451429999999997</v>
      </c>
      <c r="P388">
        <v>19562931</v>
      </c>
    </row>
    <row r="389" spans="10:16" x14ac:dyDescent="0.2">
      <c r="J389" s="354">
        <v>41372</v>
      </c>
      <c r="K389">
        <v>9.8650350000000007</v>
      </c>
      <c r="L389">
        <v>10.211645000000001</v>
      </c>
      <c r="M389">
        <v>9.5006509999999995</v>
      </c>
      <c r="N389">
        <v>9.6828430000000001</v>
      </c>
      <c r="O389">
        <v>7.1113359999999997</v>
      </c>
      <c r="P389">
        <v>20549494</v>
      </c>
    </row>
    <row r="390" spans="10:16" x14ac:dyDescent="0.2">
      <c r="J390" s="354">
        <v>41379</v>
      </c>
      <c r="K390">
        <v>9.5517540000000007</v>
      </c>
      <c r="L390">
        <v>10.131658</v>
      </c>
      <c r="M390">
        <v>9.3317899999999998</v>
      </c>
      <c r="N390">
        <v>9.9939029999999995</v>
      </c>
      <c r="O390">
        <v>7.3397880000000004</v>
      </c>
      <c r="P390">
        <v>24878760</v>
      </c>
    </row>
    <row r="391" spans="10:16" x14ac:dyDescent="0.2">
      <c r="J391" s="354">
        <v>41386</v>
      </c>
      <c r="K391">
        <v>9.9783500000000007</v>
      </c>
      <c r="L391">
        <v>10.564919</v>
      </c>
      <c r="M391">
        <v>9.8694790000000001</v>
      </c>
      <c r="N391">
        <v>10.31385</v>
      </c>
      <c r="O391">
        <v>7.5747660000000003</v>
      </c>
      <c r="P391">
        <v>21731839</v>
      </c>
    </row>
    <row r="392" spans="10:16" x14ac:dyDescent="0.2">
      <c r="J392" s="354">
        <v>41393</v>
      </c>
      <c r="K392">
        <v>10.322737</v>
      </c>
      <c r="L392">
        <v>10.640461999999999</v>
      </c>
      <c r="M392">
        <v>10.100552</v>
      </c>
      <c r="N392">
        <v>10.513817</v>
      </c>
      <c r="O392">
        <v>7.7216259999999997</v>
      </c>
      <c r="P392">
        <v>18681687</v>
      </c>
    </row>
    <row r="393" spans="10:16" x14ac:dyDescent="0.2">
      <c r="J393" s="354">
        <v>41400</v>
      </c>
      <c r="K393">
        <v>10.509373</v>
      </c>
      <c r="L393">
        <v>10.55381</v>
      </c>
      <c r="M393">
        <v>10.264969000000001</v>
      </c>
      <c r="N393">
        <v>10.407168</v>
      </c>
      <c r="O393">
        <v>7.6433</v>
      </c>
      <c r="P393">
        <v>23392165</v>
      </c>
    </row>
    <row r="394" spans="10:16" x14ac:dyDescent="0.2">
      <c r="J394" s="354">
        <v>41407</v>
      </c>
      <c r="K394">
        <v>10.376061999999999</v>
      </c>
      <c r="L394">
        <v>10.622688</v>
      </c>
      <c r="M394">
        <v>10.162763999999999</v>
      </c>
      <c r="N394">
        <v>10.449382999999999</v>
      </c>
      <c r="O394">
        <v>7.6743030000000001</v>
      </c>
      <c r="P394">
        <v>20473882</v>
      </c>
    </row>
    <row r="395" spans="10:16" x14ac:dyDescent="0.2">
      <c r="J395" s="354">
        <v>41414</v>
      </c>
      <c r="K395">
        <v>10.280521999999999</v>
      </c>
      <c r="L395">
        <v>10.975963</v>
      </c>
      <c r="M395">
        <v>10.280521999999999</v>
      </c>
      <c r="N395">
        <v>10.709339999999999</v>
      </c>
      <c r="O395">
        <v>7.8652240000000004</v>
      </c>
      <c r="P395">
        <v>27267304</v>
      </c>
    </row>
    <row r="396" spans="10:16" x14ac:dyDescent="0.2">
      <c r="J396" s="354">
        <v>41421</v>
      </c>
      <c r="K396">
        <v>10.678234</v>
      </c>
      <c r="L396">
        <v>10.791549</v>
      </c>
      <c r="M396">
        <v>10.309405999999999</v>
      </c>
      <c r="N396">
        <v>10.509373</v>
      </c>
      <c r="O396">
        <v>7.7183619999999999</v>
      </c>
      <c r="P396">
        <v>14790343</v>
      </c>
    </row>
    <row r="397" spans="10:16" x14ac:dyDescent="0.2">
      <c r="J397" s="354">
        <v>41428</v>
      </c>
      <c r="K397">
        <v>10.516038999999999</v>
      </c>
      <c r="L397">
        <v>10.520481999999999</v>
      </c>
      <c r="M397">
        <v>9.6717340000000007</v>
      </c>
      <c r="N397">
        <v>9.9050290000000007</v>
      </c>
      <c r="O397">
        <v>7.2745170000000003</v>
      </c>
      <c r="P397">
        <v>35752558</v>
      </c>
    </row>
    <row r="398" spans="10:16" x14ac:dyDescent="0.2">
      <c r="J398" s="354">
        <v>41435</v>
      </c>
      <c r="K398">
        <v>9.9316910000000007</v>
      </c>
      <c r="L398">
        <v>9.9316910000000007</v>
      </c>
      <c r="M398">
        <v>9.2984620000000007</v>
      </c>
      <c r="N398">
        <v>9.7428329999999992</v>
      </c>
      <c r="O398">
        <v>7.1553959999999996</v>
      </c>
      <c r="P398">
        <v>27188993</v>
      </c>
    </row>
    <row r="399" spans="10:16" x14ac:dyDescent="0.2">
      <c r="J399" s="354">
        <v>41442</v>
      </c>
      <c r="K399">
        <v>9.6939519999999995</v>
      </c>
      <c r="L399">
        <v>9.7583859999999998</v>
      </c>
      <c r="M399">
        <v>9.0540579999999995</v>
      </c>
      <c r="N399">
        <v>9.3984459999999999</v>
      </c>
      <c r="O399">
        <v>6.9024679999999998</v>
      </c>
      <c r="P399">
        <v>22487065</v>
      </c>
    </row>
    <row r="400" spans="10:16" x14ac:dyDescent="0.2">
      <c r="J400" s="354">
        <v>41449</v>
      </c>
      <c r="K400">
        <v>9.2495809999999992</v>
      </c>
      <c r="L400">
        <v>9.7450550000000007</v>
      </c>
      <c r="M400">
        <v>9.0229520000000001</v>
      </c>
      <c r="N400">
        <v>9.6206309999999995</v>
      </c>
      <c r="O400">
        <v>7.0656470000000002</v>
      </c>
      <c r="P400">
        <v>28901075</v>
      </c>
    </row>
    <row r="401" spans="10:16" x14ac:dyDescent="0.2">
      <c r="J401" s="354">
        <v>41456</v>
      </c>
      <c r="K401">
        <v>9.6317400000000006</v>
      </c>
      <c r="L401">
        <v>9.7450550000000007</v>
      </c>
      <c r="M401">
        <v>9.1740379999999995</v>
      </c>
      <c r="N401">
        <v>9.3206810000000004</v>
      </c>
      <c r="O401">
        <v>6.8453559999999998</v>
      </c>
      <c r="P401">
        <v>16228330</v>
      </c>
    </row>
    <row r="402" spans="10:16" x14ac:dyDescent="0.2">
      <c r="J402" s="354">
        <v>41463</v>
      </c>
      <c r="K402">
        <v>9.2718000000000007</v>
      </c>
      <c r="L402">
        <v>9.7517209999999999</v>
      </c>
      <c r="M402">
        <v>9.2273630000000004</v>
      </c>
      <c r="N402">
        <v>9.6339620000000004</v>
      </c>
      <c r="O402">
        <v>7.075437</v>
      </c>
      <c r="P402">
        <v>13207882</v>
      </c>
    </row>
    <row r="403" spans="10:16" x14ac:dyDescent="0.2">
      <c r="J403" s="354">
        <v>41470</v>
      </c>
      <c r="K403">
        <v>9.4584360000000007</v>
      </c>
      <c r="L403">
        <v>9.8717009999999998</v>
      </c>
      <c r="M403">
        <v>9.4584360000000007</v>
      </c>
      <c r="N403">
        <v>9.7095050000000001</v>
      </c>
      <c r="O403">
        <v>7.1309189999999996</v>
      </c>
      <c r="P403">
        <v>17751382</v>
      </c>
    </row>
    <row r="404" spans="10:16" x14ac:dyDescent="0.2">
      <c r="J404" s="354">
        <v>41477</v>
      </c>
      <c r="K404">
        <v>9.7095050000000001</v>
      </c>
      <c r="L404">
        <v>9.8872540000000004</v>
      </c>
      <c r="M404">
        <v>9.4717669999999998</v>
      </c>
      <c r="N404">
        <v>9.4984289999999998</v>
      </c>
      <c r="O404">
        <v>6.9758990000000001</v>
      </c>
      <c r="P404">
        <v>19598938</v>
      </c>
    </row>
    <row r="405" spans="10:16" x14ac:dyDescent="0.2">
      <c r="J405" s="354">
        <v>41484</v>
      </c>
      <c r="K405">
        <v>9.5428660000000001</v>
      </c>
      <c r="L405">
        <v>9.8361509999999992</v>
      </c>
      <c r="M405">
        <v>9.4428830000000001</v>
      </c>
      <c r="N405">
        <v>9.6206309999999995</v>
      </c>
      <c r="O405">
        <v>7.0656470000000002</v>
      </c>
      <c r="P405">
        <v>31110041</v>
      </c>
    </row>
    <row r="406" spans="10:16" x14ac:dyDescent="0.2">
      <c r="J406" s="354">
        <v>41491</v>
      </c>
      <c r="K406">
        <v>9.5984130000000007</v>
      </c>
      <c r="L406">
        <v>9.6361840000000001</v>
      </c>
      <c r="M406">
        <v>8.9540749999999996</v>
      </c>
      <c r="N406">
        <v>9.3717830000000006</v>
      </c>
      <c r="O406">
        <v>7.0207459999999999</v>
      </c>
      <c r="P406">
        <v>29823728</v>
      </c>
    </row>
    <row r="407" spans="10:16" x14ac:dyDescent="0.2">
      <c r="J407" s="354">
        <v>41498</v>
      </c>
      <c r="K407">
        <v>9.4095549999999992</v>
      </c>
      <c r="L407">
        <v>9.5539749999999994</v>
      </c>
      <c r="M407">
        <v>8.7363330000000001</v>
      </c>
      <c r="N407">
        <v>8.9585179999999998</v>
      </c>
      <c r="O407">
        <v>6.7111549999999998</v>
      </c>
      <c r="P407">
        <v>39778923</v>
      </c>
    </row>
    <row r="408" spans="10:16" x14ac:dyDescent="0.2">
      <c r="J408" s="354">
        <v>41505</v>
      </c>
      <c r="K408">
        <v>8.9762930000000001</v>
      </c>
      <c r="L408">
        <v>9.4428830000000001</v>
      </c>
      <c r="M408">
        <v>8.8029890000000002</v>
      </c>
      <c r="N408">
        <v>9.3962240000000001</v>
      </c>
      <c r="O408">
        <v>7.0390579999999998</v>
      </c>
      <c r="P408">
        <v>34694882</v>
      </c>
    </row>
    <row r="409" spans="10:16" x14ac:dyDescent="0.2">
      <c r="J409" s="354">
        <v>41512</v>
      </c>
      <c r="K409">
        <v>9.3495650000000001</v>
      </c>
      <c r="L409">
        <v>9.3762270000000001</v>
      </c>
      <c r="M409">
        <v>8.8763100000000001</v>
      </c>
      <c r="N409">
        <v>9.2429159999999992</v>
      </c>
      <c r="O409">
        <v>6.9242090000000003</v>
      </c>
      <c r="P409">
        <v>29893039</v>
      </c>
    </row>
    <row r="410" spans="10:16" x14ac:dyDescent="0.2">
      <c r="J410" s="354">
        <v>41519</v>
      </c>
      <c r="K410">
        <v>9.3317899999999998</v>
      </c>
      <c r="L410">
        <v>9.5095379999999992</v>
      </c>
      <c r="M410">
        <v>8.9874019999999994</v>
      </c>
      <c r="N410">
        <v>9.2384719999999998</v>
      </c>
      <c r="O410">
        <v>6.9208790000000002</v>
      </c>
      <c r="P410">
        <v>24750940</v>
      </c>
    </row>
    <row r="411" spans="10:16" x14ac:dyDescent="0.2">
      <c r="J411" s="354">
        <v>41526</v>
      </c>
      <c r="K411">
        <v>9.2895749999999992</v>
      </c>
      <c r="L411">
        <v>9.6428499999999993</v>
      </c>
      <c r="M411">
        <v>9.2340280000000003</v>
      </c>
      <c r="N411">
        <v>9.5784160000000007</v>
      </c>
      <c r="O411">
        <v>7.1755449999999996</v>
      </c>
      <c r="P411">
        <v>28169705</v>
      </c>
    </row>
    <row r="412" spans="10:16" x14ac:dyDescent="0.2">
      <c r="J412" s="354">
        <v>41533</v>
      </c>
      <c r="K412">
        <v>9.5984130000000007</v>
      </c>
      <c r="L412">
        <v>9.662846</v>
      </c>
      <c r="M412">
        <v>9.1495979999999992</v>
      </c>
      <c r="N412">
        <v>9.2451380000000007</v>
      </c>
      <c r="O412">
        <v>6.9258730000000002</v>
      </c>
      <c r="P412">
        <v>30658615</v>
      </c>
    </row>
    <row r="413" spans="10:16" x14ac:dyDescent="0.2">
      <c r="J413" s="354">
        <v>41540</v>
      </c>
      <c r="K413">
        <v>9.3295680000000001</v>
      </c>
      <c r="L413">
        <v>9.8117110000000007</v>
      </c>
      <c r="M413">
        <v>9.1495979999999992</v>
      </c>
      <c r="N413">
        <v>9.5295349999999992</v>
      </c>
      <c r="O413">
        <v>7.1389269999999998</v>
      </c>
      <c r="P413">
        <v>30864300</v>
      </c>
    </row>
    <row r="414" spans="10:16" x14ac:dyDescent="0.2">
      <c r="J414" s="354">
        <v>41547</v>
      </c>
      <c r="K414">
        <v>9.5961909999999992</v>
      </c>
      <c r="L414">
        <v>9.8650350000000007</v>
      </c>
      <c r="M414">
        <v>9.4051109999999998</v>
      </c>
      <c r="N414">
        <v>9.6939519999999995</v>
      </c>
      <c r="O414">
        <v>7.2620959999999997</v>
      </c>
      <c r="P414">
        <v>23435372</v>
      </c>
    </row>
    <row r="415" spans="10:16" x14ac:dyDescent="0.2">
      <c r="J415" s="354">
        <v>41554</v>
      </c>
      <c r="K415">
        <v>9.6184089999999998</v>
      </c>
      <c r="L415">
        <v>9.9539089999999995</v>
      </c>
      <c r="M415">
        <v>9.4451049999999999</v>
      </c>
      <c r="N415">
        <v>9.6139659999999996</v>
      </c>
      <c r="O415">
        <v>7.2021769999999998</v>
      </c>
      <c r="P415">
        <v>32589884</v>
      </c>
    </row>
    <row r="416" spans="10:16" x14ac:dyDescent="0.2">
      <c r="J416" s="354">
        <v>41561</v>
      </c>
      <c r="K416">
        <v>9.5939689999999995</v>
      </c>
      <c r="L416">
        <v>9.9205819999999996</v>
      </c>
      <c r="M416">
        <v>9.5650849999999998</v>
      </c>
      <c r="N416">
        <v>9.7694949999999992</v>
      </c>
      <c r="O416">
        <v>7.3186879999999999</v>
      </c>
      <c r="P416">
        <v>25169058</v>
      </c>
    </row>
    <row r="417" spans="10:16" x14ac:dyDescent="0.2">
      <c r="J417" s="354">
        <v>41568</v>
      </c>
      <c r="K417">
        <v>9.8428170000000001</v>
      </c>
      <c r="L417">
        <v>10.018343</v>
      </c>
      <c r="M417">
        <v>9.5117600000000007</v>
      </c>
      <c r="N417">
        <v>9.6361840000000001</v>
      </c>
      <c r="O417">
        <v>7.21882</v>
      </c>
      <c r="P417">
        <v>20950511</v>
      </c>
    </row>
    <row r="418" spans="10:16" x14ac:dyDescent="0.2">
      <c r="J418" s="354">
        <v>41575</v>
      </c>
      <c r="K418">
        <v>9.6761769999999991</v>
      </c>
      <c r="L418">
        <v>10.051671000000001</v>
      </c>
      <c r="M418">
        <v>9.6472929999999995</v>
      </c>
      <c r="N418">
        <v>9.9205819999999996</v>
      </c>
      <c r="O418">
        <v>7.4318739999999996</v>
      </c>
      <c r="P418">
        <v>22411453</v>
      </c>
    </row>
    <row r="419" spans="10:16" x14ac:dyDescent="0.2">
      <c r="J419" s="354">
        <v>41582</v>
      </c>
      <c r="K419">
        <v>9.9183599999999998</v>
      </c>
      <c r="L419">
        <v>10.042783999999999</v>
      </c>
      <c r="M419">
        <v>9.5028729999999992</v>
      </c>
      <c r="N419">
        <v>9.6428499999999993</v>
      </c>
      <c r="O419">
        <v>7.223814</v>
      </c>
      <c r="P419">
        <v>42196273</v>
      </c>
    </row>
    <row r="420" spans="10:16" x14ac:dyDescent="0.2">
      <c r="J420" s="354">
        <v>41589</v>
      </c>
      <c r="K420">
        <v>9.6428499999999993</v>
      </c>
      <c r="L420">
        <v>9.922803</v>
      </c>
      <c r="M420">
        <v>9.5739719999999995</v>
      </c>
      <c r="N420">
        <v>9.922803</v>
      </c>
      <c r="O420">
        <v>7.4335370000000003</v>
      </c>
      <c r="P420">
        <v>18973784</v>
      </c>
    </row>
    <row r="421" spans="10:16" x14ac:dyDescent="0.2">
      <c r="J421" s="354">
        <v>41596</v>
      </c>
      <c r="K421">
        <v>9.8717009999999998</v>
      </c>
      <c r="L421">
        <v>9.9050290000000007</v>
      </c>
      <c r="M421">
        <v>9.2695779999999992</v>
      </c>
      <c r="N421">
        <v>9.3717830000000006</v>
      </c>
      <c r="O421">
        <v>7.0207459999999999</v>
      </c>
      <c r="P421">
        <v>21696734</v>
      </c>
    </row>
    <row r="422" spans="10:16" x14ac:dyDescent="0.2">
      <c r="J422" s="354">
        <v>41603</v>
      </c>
      <c r="K422">
        <v>9.4184420000000006</v>
      </c>
      <c r="L422">
        <v>9.6339620000000004</v>
      </c>
      <c r="M422">
        <v>9.3273460000000004</v>
      </c>
      <c r="N422">
        <v>9.5539749999999994</v>
      </c>
      <c r="O422">
        <v>7.1572339999999999</v>
      </c>
      <c r="P422">
        <v>19347796</v>
      </c>
    </row>
    <row r="423" spans="10:16" x14ac:dyDescent="0.2">
      <c r="J423" s="354">
        <v>41610</v>
      </c>
      <c r="K423">
        <v>9.4739889999999995</v>
      </c>
      <c r="L423">
        <v>9.4739889999999995</v>
      </c>
      <c r="M423">
        <v>8.9362999999999992</v>
      </c>
      <c r="N423">
        <v>9.0562799999999992</v>
      </c>
      <c r="O423">
        <v>6.7843920000000004</v>
      </c>
      <c r="P423">
        <v>36270593</v>
      </c>
    </row>
    <row r="424" spans="10:16" x14ac:dyDescent="0.2">
      <c r="J424" s="354">
        <v>41617</v>
      </c>
      <c r="K424">
        <v>9.0651670000000006</v>
      </c>
      <c r="L424">
        <v>9.1740379999999995</v>
      </c>
      <c r="M424">
        <v>8.7252240000000008</v>
      </c>
      <c r="N424">
        <v>8.8318729999999999</v>
      </c>
      <c r="O424">
        <v>6.6162809999999999</v>
      </c>
      <c r="P424">
        <v>22708951</v>
      </c>
    </row>
    <row r="425" spans="10:16" x14ac:dyDescent="0.2">
      <c r="J425" s="354">
        <v>41624</v>
      </c>
      <c r="K425">
        <v>8.8851969999999998</v>
      </c>
      <c r="L425">
        <v>8.9851810000000008</v>
      </c>
      <c r="M425">
        <v>8.6785650000000008</v>
      </c>
      <c r="N425">
        <v>8.8252070000000007</v>
      </c>
      <c r="O425">
        <v>6.6112880000000001</v>
      </c>
      <c r="P425">
        <v>27939715</v>
      </c>
    </row>
    <row r="426" spans="10:16" x14ac:dyDescent="0.2">
      <c r="J426" s="354">
        <v>41631</v>
      </c>
      <c r="K426">
        <v>8.8252070000000007</v>
      </c>
      <c r="L426">
        <v>8.8851969999999998</v>
      </c>
      <c r="M426">
        <v>8.6652339999999999</v>
      </c>
      <c r="N426">
        <v>8.7274449999999995</v>
      </c>
      <c r="O426">
        <v>6.5380500000000001</v>
      </c>
      <c r="P426">
        <v>8016724</v>
      </c>
    </row>
    <row r="427" spans="10:16" x14ac:dyDescent="0.2">
      <c r="J427" s="354">
        <v>41638</v>
      </c>
      <c r="K427">
        <v>8.7252240000000008</v>
      </c>
      <c r="L427">
        <v>8.8651999999999997</v>
      </c>
      <c r="M427">
        <v>8.4052760000000006</v>
      </c>
      <c r="N427">
        <v>8.5363659999999992</v>
      </c>
      <c r="O427">
        <v>6.3949069999999999</v>
      </c>
      <c r="P427">
        <v>12414850</v>
      </c>
    </row>
    <row r="428" spans="10:16" x14ac:dyDescent="0.2">
      <c r="J428" s="354">
        <v>41645</v>
      </c>
      <c r="K428">
        <v>8.4763760000000001</v>
      </c>
      <c r="L428">
        <v>8.5652500000000007</v>
      </c>
      <c r="M428">
        <v>8.1675380000000004</v>
      </c>
      <c r="N428">
        <v>8.4874849999999995</v>
      </c>
      <c r="O428">
        <v>6.3582869999999998</v>
      </c>
      <c r="P428">
        <v>36980810</v>
      </c>
    </row>
    <row r="429" spans="10:16" x14ac:dyDescent="0.2">
      <c r="J429" s="354">
        <v>41652</v>
      </c>
      <c r="K429">
        <v>8.4563790000000001</v>
      </c>
      <c r="L429">
        <v>8.6430150000000001</v>
      </c>
      <c r="M429">
        <v>8.2319720000000007</v>
      </c>
      <c r="N429">
        <v>8.4874849999999995</v>
      </c>
      <c r="O429">
        <v>6.3582869999999998</v>
      </c>
      <c r="P429">
        <v>23704066</v>
      </c>
    </row>
    <row r="430" spans="10:16" x14ac:dyDescent="0.2">
      <c r="J430" s="354">
        <v>41659</v>
      </c>
      <c r="K430">
        <v>8.4630449999999993</v>
      </c>
      <c r="L430">
        <v>8.4963730000000002</v>
      </c>
      <c r="M430">
        <v>7.9586839999999999</v>
      </c>
      <c r="N430">
        <v>8.0431139999999992</v>
      </c>
      <c r="O430">
        <v>6.0253920000000001</v>
      </c>
      <c r="P430">
        <v>36623451</v>
      </c>
    </row>
    <row r="431" spans="10:16" x14ac:dyDescent="0.2">
      <c r="J431" s="354">
        <v>41666</v>
      </c>
      <c r="K431">
        <v>8.1986439999999998</v>
      </c>
      <c r="L431">
        <v>8.2652999999999999</v>
      </c>
      <c r="M431">
        <v>7.6098520000000001</v>
      </c>
      <c r="N431">
        <v>7.9853459999999998</v>
      </c>
      <c r="O431">
        <v>5.9821160000000004</v>
      </c>
      <c r="P431">
        <v>46788832</v>
      </c>
    </row>
    <row r="432" spans="10:16" x14ac:dyDescent="0.2">
      <c r="J432" s="354">
        <v>41673</v>
      </c>
      <c r="K432">
        <v>7.9231340000000001</v>
      </c>
      <c r="L432">
        <v>7.9564620000000001</v>
      </c>
      <c r="M432">
        <v>7.5743029999999996</v>
      </c>
      <c r="N432">
        <v>7.8875840000000004</v>
      </c>
      <c r="O432">
        <v>5.9088799999999999</v>
      </c>
      <c r="P432">
        <v>33667812</v>
      </c>
    </row>
    <row r="433" spans="10:21" x14ac:dyDescent="0.2">
      <c r="J433" s="354">
        <v>41680</v>
      </c>
      <c r="K433">
        <v>7.8431470000000001</v>
      </c>
      <c r="L433">
        <v>8.2208629999999996</v>
      </c>
      <c r="M433">
        <v>7.5431970000000002</v>
      </c>
      <c r="N433">
        <v>8.1031040000000001</v>
      </c>
      <c r="O433">
        <v>6.0703329999999998</v>
      </c>
      <c r="P433">
        <v>28459101</v>
      </c>
    </row>
    <row r="434" spans="10:21" x14ac:dyDescent="0.2">
      <c r="J434" s="354">
        <v>41687</v>
      </c>
      <c r="K434">
        <v>8.0853289999999998</v>
      </c>
      <c r="L434">
        <v>8.1608719999999995</v>
      </c>
      <c r="M434">
        <v>7.3432300000000001</v>
      </c>
      <c r="N434">
        <v>7.8564780000000001</v>
      </c>
      <c r="O434">
        <v>5.8855769999999996</v>
      </c>
      <c r="P434">
        <v>32816723</v>
      </c>
    </row>
    <row r="435" spans="10:21" x14ac:dyDescent="0.2">
      <c r="J435" s="354">
        <v>41694</v>
      </c>
      <c r="K435">
        <v>7.9809020000000004</v>
      </c>
      <c r="L435">
        <v>8.3008489999999995</v>
      </c>
      <c r="M435">
        <v>7.6209619999999996</v>
      </c>
      <c r="N435">
        <v>7.7076140000000004</v>
      </c>
      <c r="O435">
        <v>5.774057</v>
      </c>
      <c r="P435">
        <v>32339643</v>
      </c>
      <c r="R435" s="211">
        <f>(O435/O434)*('16. câmbio USD-BRL'!O537/'16. câmbio USD-BRL'!O536)^-1-1</f>
        <v>-1.5920855147039559E-2</v>
      </c>
    </row>
    <row r="436" spans="10:21" x14ac:dyDescent="0.2">
      <c r="J436" s="354">
        <v>41701</v>
      </c>
      <c r="K436">
        <v>7.7076140000000004</v>
      </c>
      <c r="L436">
        <v>7.8364820000000002</v>
      </c>
      <c r="M436">
        <v>7.4832070000000002</v>
      </c>
      <c r="N436">
        <v>7.5098690000000001</v>
      </c>
      <c r="O436">
        <v>5.6259189999999997</v>
      </c>
      <c r="P436">
        <v>15356087</v>
      </c>
      <c r="R436" s="211">
        <f>(O436/O435)*('16. câmbio USD-BRL'!O538/'16. câmbio USD-BRL'!O537)^-1-1</f>
        <v>-2.6573566910153223E-2</v>
      </c>
    </row>
    <row r="437" spans="10:21" x14ac:dyDescent="0.2">
      <c r="J437" s="354">
        <v>41708</v>
      </c>
      <c r="K437">
        <v>7.4876500000000004</v>
      </c>
      <c r="L437">
        <v>7.7276109999999996</v>
      </c>
      <c r="M437">
        <v>7.3321209999999999</v>
      </c>
      <c r="N437">
        <v>7.3321209999999999</v>
      </c>
      <c r="O437">
        <v>5.4927619999999999</v>
      </c>
      <c r="P437">
        <v>28805660</v>
      </c>
      <c r="R437" s="211">
        <f>(O437/O436)*('16. câmbio USD-BRL'!O539/'16. câmbio USD-BRL'!O538)^-1-1</f>
        <v>-2.5712506768661769E-2</v>
      </c>
    </row>
    <row r="438" spans="10:21" x14ac:dyDescent="0.2">
      <c r="J438" s="354">
        <v>41715</v>
      </c>
      <c r="K438">
        <v>7.2987929999999999</v>
      </c>
      <c r="L438">
        <v>7.5942990000000004</v>
      </c>
      <c r="M438">
        <v>7.2388029999999999</v>
      </c>
      <c r="N438">
        <v>7.4698760000000002</v>
      </c>
      <c r="O438">
        <v>5.5959589999999997</v>
      </c>
      <c r="P438">
        <v>28275472</v>
      </c>
      <c r="R438" s="211">
        <f>(O438/O437)*('16. câmbio USD-BRL'!O540/'16. câmbio USD-BRL'!O539)^-1-1</f>
        <v>2.7878645825592852E-2</v>
      </c>
    </row>
    <row r="439" spans="10:21" x14ac:dyDescent="0.2">
      <c r="J439" s="354">
        <v>41722</v>
      </c>
      <c r="K439">
        <v>7.5298660000000002</v>
      </c>
      <c r="L439">
        <v>7.8187069999999999</v>
      </c>
      <c r="M439">
        <v>7.3543390000000004</v>
      </c>
      <c r="N439">
        <v>7.7876010000000004</v>
      </c>
      <c r="O439">
        <v>5.8339790000000002</v>
      </c>
      <c r="P439">
        <v>35400600</v>
      </c>
      <c r="R439" s="211">
        <f>(O439/O438)*('16. câmbio USD-BRL'!O541/'16. câmbio USD-BRL'!O540)^-1-1</f>
        <v>7.1969764943392356E-2</v>
      </c>
      <c r="U439" s="211"/>
    </row>
    <row r="440" spans="10:21" x14ac:dyDescent="0.2">
      <c r="J440" s="354">
        <v>41729</v>
      </c>
      <c r="K440">
        <v>7.7876010000000004</v>
      </c>
      <c r="L440">
        <v>8.3052930000000007</v>
      </c>
      <c r="M440">
        <v>7.6276270000000004</v>
      </c>
      <c r="N440">
        <v>8.1942000000000004</v>
      </c>
      <c r="O440">
        <v>6.1385769999999997</v>
      </c>
      <c r="P440">
        <v>36065361</v>
      </c>
      <c r="R440" s="211">
        <f>(O440/O439)*('16. câmbio USD-BRL'!O542/'16. câmbio USD-BRL'!O541)^-1-1</f>
        <v>5.0070015679290814E-2</v>
      </c>
    </row>
    <row r="441" spans="10:21" x14ac:dyDescent="0.2">
      <c r="J441" s="354">
        <v>41736</v>
      </c>
      <c r="K441">
        <v>8.2208629999999996</v>
      </c>
      <c r="L441">
        <v>8.5941340000000004</v>
      </c>
      <c r="M441">
        <v>7.8875840000000004</v>
      </c>
      <c r="N441">
        <v>8.5541409999999996</v>
      </c>
      <c r="O441">
        <v>6.4082210000000002</v>
      </c>
      <c r="P441">
        <v>27351019</v>
      </c>
      <c r="R441" s="211">
        <f>(O441/O440)*('16. câmbio USD-BRL'!O543/'16. câmbio USD-BRL'!O542)^-1-1</f>
        <v>6.4983676617961228E-2</v>
      </c>
    </row>
    <row r="442" spans="10:21" x14ac:dyDescent="0.2">
      <c r="J442" s="354">
        <v>41743</v>
      </c>
      <c r="K442">
        <v>8.5496970000000001</v>
      </c>
      <c r="L442">
        <v>8.7896570000000001</v>
      </c>
      <c r="M442">
        <v>8.1675380000000004</v>
      </c>
      <c r="N442">
        <v>8.5385880000000007</v>
      </c>
      <c r="O442">
        <v>6.3965709999999998</v>
      </c>
      <c r="P442">
        <v>42816926</v>
      </c>
      <c r="R442" s="211">
        <f>(O442/O441)*('16. câmbio USD-BRL'!O544/'16. câmbio USD-BRL'!O543)^-1-1</f>
        <v>-7.2832948519532259E-3</v>
      </c>
    </row>
    <row r="443" spans="10:21" x14ac:dyDescent="0.2">
      <c r="J443" s="354">
        <v>41750</v>
      </c>
      <c r="K443">
        <v>8.5385880000000007</v>
      </c>
      <c r="L443">
        <v>8.5385880000000007</v>
      </c>
      <c r="M443">
        <v>8.1475410000000004</v>
      </c>
      <c r="N443">
        <v>8.2430810000000001</v>
      </c>
      <c r="O443">
        <v>6.1751950000000004</v>
      </c>
      <c r="P443">
        <v>20852394</v>
      </c>
      <c r="R443" s="211">
        <f>(O443/O442)*('16. câmbio USD-BRL'!O545/'16. câmbio USD-BRL'!O544)^-1-1</f>
        <v>-3.9179361550667147E-2</v>
      </c>
    </row>
    <row r="444" spans="10:21" x14ac:dyDescent="0.2">
      <c r="J444" s="354">
        <v>41757</v>
      </c>
      <c r="K444">
        <v>8.1830909999999992</v>
      </c>
      <c r="L444">
        <v>8.6207960000000003</v>
      </c>
      <c r="M444">
        <v>8.1497630000000001</v>
      </c>
      <c r="N444">
        <v>8.6207960000000003</v>
      </c>
      <c r="O444">
        <v>6.4581559999999998</v>
      </c>
      <c r="P444">
        <v>28000477</v>
      </c>
      <c r="R444" s="211">
        <f>(O444/O443)*('16. câmbio USD-BRL'!O546/'16. câmbio USD-BRL'!O545)^-1-1</f>
        <v>4.961973102155226E-2</v>
      </c>
    </row>
    <row r="445" spans="10:21" x14ac:dyDescent="0.2">
      <c r="J445" s="354">
        <v>41764</v>
      </c>
      <c r="K445">
        <v>8.5985779999999998</v>
      </c>
      <c r="L445">
        <v>8.6830079999999992</v>
      </c>
      <c r="M445">
        <v>8.4541570000000004</v>
      </c>
      <c r="N445">
        <v>8.5163689999999992</v>
      </c>
      <c r="O445">
        <v>6.4507089999999998</v>
      </c>
      <c r="P445">
        <v>19524226</v>
      </c>
      <c r="R445" s="211">
        <f>(O445/O444)*('16. câmbio USD-BRL'!O547/'16. câmbio USD-BRL'!O546)^-1-1</f>
        <v>9.344391927471607E-3</v>
      </c>
    </row>
    <row r="446" spans="10:21" x14ac:dyDescent="0.2">
      <c r="J446" s="354">
        <v>41771</v>
      </c>
      <c r="K446">
        <v>8.5585839999999997</v>
      </c>
      <c r="L446">
        <v>8.8740880000000004</v>
      </c>
      <c r="M446">
        <v>8.3875019999999996</v>
      </c>
      <c r="N446">
        <v>8.4652670000000008</v>
      </c>
      <c r="O446">
        <v>6.4120030000000003</v>
      </c>
      <c r="P446">
        <v>22974944</v>
      </c>
      <c r="R446" s="211">
        <f>(O446/O445)*('16. câmbio USD-BRL'!O548/'16. câmbio USD-BRL'!O547)^-1-1</f>
        <v>-2.6116352270170173E-3</v>
      </c>
    </row>
    <row r="447" spans="10:21" x14ac:dyDescent="0.2">
      <c r="J447" s="354">
        <v>41778</v>
      </c>
      <c r="K447">
        <v>8.4430479999999992</v>
      </c>
      <c r="L447">
        <v>8.4586009999999998</v>
      </c>
      <c r="M447">
        <v>8.1253229999999999</v>
      </c>
      <c r="N447">
        <v>8.2497469999999993</v>
      </c>
      <c r="O447">
        <v>6.2487589999999997</v>
      </c>
      <c r="P447">
        <v>20706120</v>
      </c>
      <c r="R447" s="211">
        <f>(O447/O446)*('16. câmbio USD-BRL'!O549/'16. câmbio USD-BRL'!O548)^-1-1</f>
        <v>-3.3803551079569449E-2</v>
      </c>
    </row>
    <row r="448" spans="10:21" x14ac:dyDescent="0.2">
      <c r="J448" s="354">
        <v>41785</v>
      </c>
      <c r="K448">
        <v>8.2986269999999998</v>
      </c>
      <c r="L448">
        <v>8.5097039999999993</v>
      </c>
      <c r="M448">
        <v>8.1186570000000007</v>
      </c>
      <c r="N448">
        <v>8.3875019999999996</v>
      </c>
      <c r="O448">
        <v>6.3531000000000004</v>
      </c>
      <c r="P448">
        <v>16700008</v>
      </c>
      <c r="R448" s="211">
        <f>(O448/O447)*('16. câmbio USD-BRL'!O550/'16. câmbio USD-BRL'!O549)^-1-1</f>
        <v>1.4594614949378082E-2</v>
      </c>
    </row>
    <row r="449" spans="10:18" x14ac:dyDescent="0.2">
      <c r="J449" s="354">
        <v>41792</v>
      </c>
      <c r="K449">
        <v>8.3652829999999998</v>
      </c>
      <c r="L449">
        <v>8.8629789999999993</v>
      </c>
      <c r="M449">
        <v>8.3319550000000007</v>
      </c>
      <c r="N449">
        <v>8.7674389999999995</v>
      </c>
      <c r="O449">
        <v>6.6408820000000004</v>
      </c>
      <c r="P449">
        <v>23209434</v>
      </c>
      <c r="R449" s="211">
        <f>(O449/O448)*('16. câmbio USD-BRL'!O551/'16. câmbio USD-BRL'!O550)^-1-1</f>
        <v>3.6349375543200724E-2</v>
      </c>
    </row>
    <row r="450" spans="10:18" x14ac:dyDescent="0.2">
      <c r="J450" s="354">
        <v>41799</v>
      </c>
      <c r="K450">
        <v>8.7674389999999995</v>
      </c>
      <c r="L450">
        <v>9.2851309999999998</v>
      </c>
      <c r="M450">
        <v>8.7318890000000007</v>
      </c>
      <c r="N450">
        <v>9.1762599999999992</v>
      </c>
      <c r="O450">
        <v>6.9505439999999998</v>
      </c>
      <c r="P450">
        <v>23371911</v>
      </c>
      <c r="R450" s="211">
        <f>(O450/O449)*('16. câmbio USD-BRL'!O552/'16. câmbio USD-BRL'!O551)^-1-1</f>
        <v>5.7569371908532174E-2</v>
      </c>
    </row>
    <row r="451" spans="10:18" x14ac:dyDescent="0.2">
      <c r="J451" s="354">
        <v>41806</v>
      </c>
      <c r="K451">
        <v>9.1762599999999992</v>
      </c>
      <c r="L451">
        <v>9.2606909999999996</v>
      </c>
      <c r="M451">
        <v>8.8763100000000001</v>
      </c>
      <c r="N451">
        <v>8.8896409999999992</v>
      </c>
      <c r="O451">
        <v>6.7334449999999997</v>
      </c>
      <c r="P451">
        <v>13390612</v>
      </c>
      <c r="R451" s="211">
        <f>(O451/O450)*('16. câmbio USD-BRL'!O553/'16. câmbio USD-BRL'!O552)^-1-1</f>
        <v>-3.3716267212709261E-2</v>
      </c>
    </row>
    <row r="452" spans="10:18" x14ac:dyDescent="0.2">
      <c r="J452" s="354">
        <v>41813</v>
      </c>
      <c r="K452">
        <v>8.9762930000000001</v>
      </c>
      <c r="L452">
        <v>9.2962399999999992</v>
      </c>
      <c r="M452">
        <v>8.7007829999999995</v>
      </c>
      <c r="N452">
        <v>8.9251909999999999</v>
      </c>
      <c r="O452">
        <v>6.7603710000000001</v>
      </c>
      <c r="P452">
        <v>21588266</v>
      </c>
      <c r="R452" s="211">
        <f>(O452/O451)*('16. câmbio USD-BRL'!O554/'16. câmbio USD-BRL'!O553)^-1-1</f>
        <v>1.8368489370376828E-2</v>
      </c>
    </row>
    <row r="453" spans="10:18" x14ac:dyDescent="0.2">
      <c r="J453" s="354">
        <v>41820</v>
      </c>
      <c r="K453">
        <v>8.9607399999999995</v>
      </c>
      <c r="L453">
        <v>9.0273959999999995</v>
      </c>
      <c r="M453">
        <v>8.6607900000000004</v>
      </c>
      <c r="N453">
        <v>8.8985280000000007</v>
      </c>
      <c r="O453">
        <v>6.7401770000000001</v>
      </c>
      <c r="P453">
        <v>11222153</v>
      </c>
      <c r="R453" s="211">
        <f>(O453/O452)*('16. câmbio USD-BRL'!O555/'16. câmbio USD-BRL'!O554)^-1-1</f>
        <v>-1.0160842508274759E-2</v>
      </c>
    </row>
    <row r="454" spans="10:18" x14ac:dyDescent="0.2">
      <c r="J454" s="354">
        <v>41827</v>
      </c>
      <c r="K454">
        <v>8.8474260000000005</v>
      </c>
      <c r="L454">
        <v>8.8607569999999996</v>
      </c>
      <c r="M454">
        <v>8.6985609999999998</v>
      </c>
      <c r="N454">
        <v>8.7785480000000007</v>
      </c>
      <c r="O454">
        <v>6.6492979999999999</v>
      </c>
      <c r="P454">
        <v>8258413</v>
      </c>
      <c r="R454" s="211">
        <f>(O454/O453)*('16. câmbio USD-BRL'!O556/'16. câmbio USD-BRL'!O555)^-1-1</f>
        <v>-1.690873718050212E-2</v>
      </c>
    </row>
    <row r="455" spans="10:18" x14ac:dyDescent="0.2">
      <c r="J455" s="354">
        <v>41834</v>
      </c>
      <c r="K455">
        <v>8.8096540000000001</v>
      </c>
      <c r="L455">
        <v>8.9340779999999995</v>
      </c>
      <c r="M455">
        <v>8.5452530000000007</v>
      </c>
      <c r="N455">
        <v>8.7941009999999995</v>
      </c>
      <c r="O455">
        <v>6.6610779999999998</v>
      </c>
      <c r="P455">
        <v>17276103</v>
      </c>
      <c r="R455" s="211">
        <f>(O455/O454)*('16. câmbio USD-BRL'!O557/'16. câmbio USD-BRL'!O556)^-1-1</f>
        <v>-3.9213536829429962E-4</v>
      </c>
    </row>
    <row r="456" spans="10:18" x14ac:dyDescent="0.2">
      <c r="J456" s="354">
        <v>41841</v>
      </c>
      <c r="K456">
        <v>8.7918789999999998</v>
      </c>
      <c r="L456">
        <v>8.9251909999999999</v>
      </c>
      <c r="M456">
        <v>8.4297170000000001</v>
      </c>
      <c r="N456">
        <v>8.4897069999999992</v>
      </c>
      <c r="O456">
        <v>6.4305149999999998</v>
      </c>
      <c r="P456">
        <v>21815104</v>
      </c>
      <c r="R456" s="211">
        <f>(O456/O455)*('16. câmbio USD-BRL'!O558/'16. câmbio USD-BRL'!O557)^-1-1</f>
        <v>-3.4526576901996897E-2</v>
      </c>
    </row>
    <row r="457" spans="10:18" x14ac:dyDescent="0.2">
      <c r="J457" s="354">
        <v>41848</v>
      </c>
      <c r="K457">
        <v>8.5230350000000001</v>
      </c>
      <c r="L457">
        <v>8.5230350000000001</v>
      </c>
      <c r="M457">
        <v>8.0608889999999995</v>
      </c>
      <c r="N457">
        <v>8.1964220000000001</v>
      </c>
      <c r="O457">
        <v>6.208367</v>
      </c>
      <c r="P457">
        <v>30970066</v>
      </c>
      <c r="R457" s="211">
        <f>(O457/O456)*('16. câmbio USD-BRL'!O559/'16. câmbio USD-BRL'!O558)^-1-1</f>
        <v>-4.7491217520817863E-2</v>
      </c>
    </row>
    <row r="458" spans="10:18" x14ac:dyDescent="0.2">
      <c r="J458" s="354">
        <v>41855</v>
      </c>
      <c r="K458">
        <v>8.2097529999999992</v>
      </c>
      <c r="L458">
        <v>8.4319389999999999</v>
      </c>
      <c r="M458">
        <v>8.0986609999999999</v>
      </c>
      <c r="N458">
        <v>8.1542069999999995</v>
      </c>
      <c r="O458">
        <v>6.1763909999999997</v>
      </c>
      <c r="P458">
        <v>15304777</v>
      </c>
      <c r="R458" s="211">
        <f>(O458/O457)*('16. câmbio USD-BRL'!O560/'16. câmbio USD-BRL'!O559)^-1-1</f>
        <v>-1.6805792314644963E-2</v>
      </c>
    </row>
    <row r="459" spans="10:18" x14ac:dyDescent="0.2">
      <c r="J459" s="354">
        <v>41862</v>
      </c>
      <c r="K459">
        <v>8.1786469999999998</v>
      </c>
      <c r="L459">
        <v>8.3430649999999993</v>
      </c>
      <c r="M459">
        <v>7.9697930000000001</v>
      </c>
      <c r="N459">
        <v>8.1542069999999995</v>
      </c>
      <c r="O459">
        <v>6.1763909999999997</v>
      </c>
      <c r="P459">
        <v>21791250</v>
      </c>
      <c r="R459" s="211">
        <f>(O459/O458)*('16. câmbio USD-BRL'!O561/'16. câmbio USD-BRL'!O560)^-1-1</f>
        <v>1.0015954617975442E-2</v>
      </c>
    </row>
    <row r="460" spans="10:18" x14ac:dyDescent="0.2">
      <c r="J460" s="354">
        <v>41869</v>
      </c>
      <c r="K460">
        <v>8.2097529999999992</v>
      </c>
      <c r="L460">
        <v>8.8829750000000001</v>
      </c>
      <c r="M460">
        <v>8.1586510000000008</v>
      </c>
      <c r="N460">
        <v>8.8651999999999997</v>
      </c>
      <c r="O460">
        <v>6.714931</v>
      </c>
      <c r="P460">
        <v>31370634</v>
      </c>
      <c r="R460" s="211">
        <f>(O460/O459)*('16. câmbio USD-BRL'!O562/'16. câmbio USD-BRL'!O561)^-1-1</f>
        <v>7.9300890388702472E-2</v>
      </c>
    </row>
    <row r="461" spans="10:18" x14ac:dyDescent="0.2">
      <c r="J461" s="354">
        <v>41876</v>
      </c>
      <c r="K461">
        <v>8.9074159999999996</v>
      </c>
      <c r="L461">
        <v>10.39828</v>
      </c>
      <c r="M461">
        <v>8.9074159999999996</v>
      </c>
      <c r="N461">
        <v>10.37384</v>
      </c>
      <c r="O461">
        <v>7.8576490000000003</v>
      </c>
      <c r="P461">
        <v>54400490</v>
      </c>
      <c r="R461" s="211">
        <f>(O461/O460)*('16. câmbio USD-BRL'!O563/'16. câmbio USD-BRL'!O562)^-1-1</f>
        <v>0.19183201304368191</v>
      </c>
    </row>
    <row r="462" spans="10:18" x14ac:dyDescent="0.2">
      <c r="J462" s="354">
        <v>41883</v>
      </c>
      <c r="K462">
        <v>10.593804</v>
      </c>
      <c r="L462">
        <v>10.616021999999999</v>
      </c>
      <c r="M462">
        <v>9.6606240000000003</v>
      </c>
      <c r="N462">
        <v>9.7450550000000007</v>
      </c>
      <c r="O462">
        <v>7.3813779999999998</v>
      </c>
      <c r="P462">
        <v>43398871</v>
      </c>
      <c r="R462" s="211">
        <f>(O462/O461)*('16. câmbio USD-BRL'!O564/'16. câmbio USD-BRL'!O563)^-1-1</f>
        <v>-6.3842558832585161E-2</v>
      </c>
    </row>
    <row r="463" spans="10:18" x14ac:dyDescent="0.2">
      <c r="J463" s="354">
        <v>41890</v>
      </c>
      <c r="K463">
        <v>9.8605909999999994</v>
      </c>
      <c r="L463">
        <v>9.9450219999999998</v>
      </c>
      <c r="M463">
        <v>9.0051769999999998</v>
      </c>
      <c r="N463">
        <v>9.1096039999999991</v>
      </c>
      <c r="O463">
        <v>6.900055</v>
      </c>
      <c r="P463">
        <v>30016810</v>
      </c>
      <c r="R463" s="211">
        <f>(O463/O462)*('16. câmbio USD-BRL'!O565/'16. câmbio USD-BRL'!O564)^-1-1</f>
        <v>-7.862128571603455E-2</v>
      </c>
    </row>
    <row r="464" spans="10:18" x14ac:dyDescent="0.2">
      <c r="J464" s="354">
        <v>41897</v>
      </c>
      <c r="K464">
        <v>9.1229359999999993</v>
      </c>
      <c r="L464">
        <v>9.7272800000000004</v>
      </c>
      <c r="M464">
        <v>8.9851810000000008</v>
      </c>
      <c r="N464">
        <v>9.1407100000000003</v>
      </c>
      <c r="O464">
        <v>6.9236170000000001</v>
      </c>
      <c r="P464">
        <v>28506809</v>
      </c>
      <c r="R464" s="211">
        <f>(O464/O463)*('16. câmbio USD-BRL'!O566/'16. câmbio USD-BRL'!O565)^-1-1</f>
        <v>-3.6085419547694508E-2</v>
      </c>
    </row>
    <row r="465" spans="10:18" x14ac:dyDescent="0.2">
      <c r="J465" s="354">
        <v>41904</v>
      </c>
      <c r="K465">
        <v>9.0473929999999996</v>
      </c>
      <c r="L465">
        <v>9.0473929999999996</v>
      </c>
      <c r="M465">
        <v>8.5941340000000004</v>
      </c>
      <c r="N465">
        <v>8.9629619999999992</v>
      </c>
      <c r="O465">
        <v>6.7889819999999999</v>
      </c>
      <c r="P465">
        <v>21499601</v>
      </c>
      <c r="R465" s="211">
        <f>(O465/O464)*('16. câmbio USD-BRL'!O567/'16. câmbio USD-BRL'!O566)^-1-1</f>
        <v>-4.1651882086932712E-2</v>
      </c>
    </row>
    <row r="466" spans="10:18" x14ac:dyDescent="0.2">
      <c r="J466" s="354">
        <v>41911</v>
      </c>
      <c r="K466">
        <v>8.4697099999999992</v>
      </c>
      <c r="L466">
        <v>8.8563130000000001</v>
      </c>
      <c r="M466">
        <v>8.0542230000000004</v>
      </c>
      <c r="N466">
        <v>8.3875019999999996</v>
      </c>
      <c r="O466">
        <v>6.3531000000000004</v>
      </c>
      <c r="P466">
        <v>45171715</v>
      </c>
      <c r="R466" s="211">
        <f>(O466/O465)*('16. câmbio USD-BRL'!O568/'16. câmbio USD-BRL'!O567)^-1-1</f>
        <v>-7.7584269514077819E-2</v>
      </c>
    </row>
    <row r="467" spans="10:18" x14ac:dyDescent="0.2">
      <c r="J467" s="354">
        <v>41918</v>
      </c>
      <c r="K467">
        <v>9.35</v>
      </c>
      <c r="L467">
        <v>9.375</v>
      </c>
      <c r="M467">
        <v>8.6850000000000005</v>
      </c>
      <c r="N467">
        <v>8.7624999999999993</v>
      </c>
      <c r="O467">
        <v>6.6371419999999999</v>
      </c>
      <c r="P467">
        <v>26598400</v>
      </c>
      <c r="R467" s="211">
        <f>(O467/O466)*('16. câmbio USD-BRL'!O569/'16. câmbio USD-BRL'!O568)^-1-1</f>
        <v>7.4877036011605336E-2</v>
      </c>
    </row>
    <row r="468" spans="10:18" x14ac:dyDescent="0.2">
      <c r="J468" s="354">
        <v>41925</v>
      </c>
      <c r="K468">
        <v>8.9499999999999993</v>
      </c>
      <c r="L468">
        <v>9.7249999999999996</v>
      </c>
      <c r="M468">
        <v>8.6050000000000004</v>
      </c>
      <c r="N468">
        <v>8.8574999999999999</v>
      </c>
      <c r="O468">
        <v>6.7090990000000001</v>
      </c>
      <c r="P468">
        <v>33588800</v>
      </c>
      <c r="R468" s="211">
        <f>(O468/O467)*('16. câmbio USD-BRL'!O570/'16. câmbio USD-BRL'!O569)^-1-1</f>
        <v>-7.7475740376633517E-3</v>
      </c>
    </row>
    <row r="469" spans="10:18" x14ac:dyDescent="0.2">
      <c r="J469" s="354">
        <v>41932</v>
      </c>
      <c r="K469">
        <v>8.67</v>
      </c>
      <c r="L469">
        <v>8.67</v>
      </c>
      <c r="M469">
        <v>7.6275000000000004</v>
      </c>
      <c r="N469">
        <v>7.8624999999999998</v>
      </c>
      <c r="O469">
        <v>6.0146689999999996</v>
      </c>
      <c r="P469">
        <v>34017600</v>
      </c>
      <c r="R469" s="211">
        <f>(O469/O468)*('16. câmbio USD-BRL'!O571/'16. câmbio USD-BRL'!O570)^-1-1</f>
        <v>-0.11737668970213566</v>
      </c>
    </row>
    <row r="470" spans="10:18" x14ac:dyDescent="0.2">
      <c r="J470" s="354">
        <v>41939</v>
      </c>
      <c r="K470">
        <v>7.7050000000000001</v>
      </c>
      <c r="L470">
        <v>8.7799999999999994</v>
      </c>
      <c r="M470">
        <v>7.7050000000000001</v>
      </c>
      <c r="N470">
        <v>8.6475000000000009</v>
      </c>
      <c r="O470">
        <v>6.6151809999999998</v>
      </c>
      <c r="P470">
        <v>46612400</v>
      </c>
      <c r="R470" s="211">
        <f>(O470/O469)*('16. câmbio USD-BRL'!O572/'16. câmbio USD-BRL'!O571)^-1-1</f>
        <v>0.12508723134838662</v>
      </c>
    </row>
    <row r="471" spans="10:18" x14ac:dyDescent="0.2">
      <c r="J471" s="354">
        <v>41946</v>
      </c>
      <c r="K471">
        <v>8.625</v>
      </c>
      <c r="L471">
        <v>8.66</v>
      </c>
      <c r="M471">
        <v>7.7750000000000004</v>
      </c>
      <c r="N471">
        <v>7.8875000000000002</v>
      </c>
      <c r="O471">
        <v>6.0337940000000003</v>
      </c>
      <c r="P471">
        <v>26123200</v>
      </c>
      <c r="R471" s="211">
        <f>(O471/O470)*('16. câmbio USD-BRL'!O573/'16. câmbio USD-BRL'!O572)^-1-1</f>
        <v>-0.14229516057922731</v>
      </c>
    </row>
    <row r="472" spans="10:18" x14ac:dyDescent="0.2">
      <c r="J472" s="354">
        <v>41953</v>
      </c>
      <c r="K472">
        <v>7.9675000000000002</v>
      </c>
      <c r="L472">
        <v>7.9749999999999996</v>
      </c>
      <c r="M472">
        <v>7.2374999999999998</v>
      </c>
      <c r="N472">
        <v>7.4850000000000003</v>
      </c>
      <c r="O472">
        <v>5.7258889999999996</v>
      </c>
      <c r="P472">
        <v>22144400</v>
      </c>
      <c r="R472" s="211">
        <f>(O472/O471)*('16. câmbio USD-BRL'!O574/'16. câmbio USD-BRL'!O573)^-1-1</f>
        <v>-6.2066315218352708E-2</v>
      </c>
    </row>
    <row r="473" spans="10:18" x14ac:dyDescent="0.2">
      <c r="J473" s="354">
        <v>41960</v>
      </c>
      <c r="K473">
        <v>7.47</v>
      </c>
      <c r="L473">
        <v>8.4525000000000006</v>
      </c>
      <c r="M473">
        <v>7.2874999999999996</v>
      </c>
      <c r="N473">
        <v>8.15</v>
      </c>
      <c r="O473">
        <v>6.2346009999999996</v>
      </c>
      <c r="P473">
        <v>17086800</v>
      </c>
      <c r="R473" s="211">
        <f>(O473/O472)*('16. câmbio USD-BRL'!O575/'16. câmbio USD-BRL'!O574)^-1-1</f>
        <v>0.12560135592796073</v>
      </c>
    </row>
    <row r="474" spans="10:18" x14ac:dyDescent="0.2">
      <c r="J474" s="354">
        <v>41967</v>
      </c>
      <c r="K474">
        <v>8.2725000000000009</v>
      </c>
      <c r="L474">
        <v>8.5724999999999998</v>
      </c>
      <c r="M474">
        <v>7.875</v>
      </c>
      <c r="N474">
        <v>7.95</v>
      </c>
      <c r="O474">
        <v>6.0816039999999996</v>
      </c>
      <c r="P474">
        <v>32956400</v>
      </c>
      <c r="R474" s="211">
        <f>(O474/O473)*('16. câmbio USD-BRL'!O576/'16. câmbio USD-BRL'!O575)^-1-1</f>
        <v>-3.0406946924601996E-2</v>
      </c>
    </row>
    <row r="475" spans="10:18" x14ac:dyDescent="0.2">
      <c r="J475" s="354">
        <v>41974</v>
      </c>
      <c r="K475">
        <v>7.8525</v>
      </c>
      <c r="L475">
        <v>8.0924999999999994</v>
      </c>
      <c r="M475">
        <v>7.5</v>
      </c>
      <c r="N475">
        <v>7.7750000000000004</v>
      </c>
      <c r="O475">
        <v>5.9477330000000004</v>
      </c>
      <c r="P475">
        <v>372217876</v>
      </c>
      <c r="R475" s="211">
        <f>(O475/O474)*('16. câmbio USD-BRL'!O577/'16. câmbio USD-BRL'!O576)^-1-1</f>
        <v>-4.4286710486971081E-2</v>
      </c>
    </row>
    <row r="476" spans="10:18" x14ac:dyDescent="0.2">
      <c r="J476" s="354">
        <v>41981</v>
      </c>
      <c r="K476">
        <v>7.75</v>
      </c>
      <c r="L476">
        <v>7.75</v>
      </c>
      <c r="M476">
        <v>6.7175000000000002</v>
      </c>
      <c r="N476">
        <v>6.8125</v>
      </c>
      <c r="O476">
        <v>5.2114390000000004</v>
      </c>
      <c r="P476">
        <v>31654000</v>
      </c>
      <c r="R476" s="211">
        <f>(O476/O475)*('16. câmbio USD-BRL'!O578/'16. câmbio USD-BRL'!O577)^-1-1</f>
        <v>-0.1447931052488689</v>
      </c>
    </row>
    <row r="477" spans="10:18" x14ac:dyDescent="0.2">
      <c r="J477" s="354">
        <v>41988</v>
      </c>
      <c r="K477">
        <v>6.88</v>
      </c>
      <c r="L477">
        <v>7.1875</v>
      </c>
      <c r="M477">
        <v>6.2525000000000004</v>
      </c>
      <c r="N477">
        <v>6.9625000000000004</v>
      </c>
      <c r="O477">
        <v>5.3261859999999999</v>
      </c>
      <c r="P477">
        <v>43809200</v>
      </c>
      <c r="R477" s="211">
        <f>(O477/O476)*('16. câmbio USD-BRL'!O579/'16. câmbio USD-BRL'!O578)^-1-1</f>
        <v>1.829040491219458E-2</v>
      </c>
    </row>
    <row r="478" spans="10:18" x14ac:dyDescent="0.2">
      <c r="J478" s="354">
        <v>41995</v>
      </c>
      <c r="K478">
        <v>6.9625000000000004</v>
      </c>
      <c r="L478">
        <v>7.2525000000000004</v>
      </c>
      <c r="M478">
        <v>6.835</v>
      </c>
      <c r="N478">
        <v>7.0875000000000004</v>
      </c>
      <c r="O478">
        <v>5.4218089999999997</v>
      </c>
      <c r="P478">
        <v>9717600</v>
      </c>
      <c r="R478" s="211">
        <f>(O478/O477)*('16. câmbio USD-BRL'!O580/'16. câmbio USD-BRL'!O579)^-1-1</f>
        <v>4.3942575166986408E-3</v>
      </c>
    </row>
    <row r="479" spans="10:18" x14ac:dyDescent="0.2">
      <c r="J479" s="354">
        <v>42002</v>
      </c>
      <c r="K479">
        <v>7.0225</v>
      </c>
      <c r="L479">
        <v>7.2975000000000003</v>
      </c>
      <c r="M479">
        <v>6.89</v>
      </c>
      <c r="N479">
        <v>6.95</v>
      </c>
      <c r="O479">
        <v>5.3166229999999999</v>
      </c>
      <c r="P479">
        <v>16677200</v>
      </c>
      <c r="R479" s="211">
        <f>(O479/O478)*('16. câmbio USD-BRL'!O581/'16. câmbio USD-BRL'!O580)^-1-1</f>
        <v>-3.8777040119049033E-3</v>
      </c>
    </row>
    <row r="480" spans="10:18" x14ac:dyDescent="0.2">
      <c r="J480" s="354">
        <v>42009</v>
      </c>
      <c r="K480">
        <v>6.85</v>
      </c>
      <c r="L480">
        <v>6.87</v>
      </c>
      <c r="M480">
        <v>5.99</v>
      </c>
      <c r="N480">
        <v>6.25</v>
      </c>
      <c r="O480">
        <v>4.7811370000000002</v>
      </c>
      <c r="P480">
        <v>44408000</v>
      </c>
      <c r="R480" s="211">
        <f>(O480/O479)*('16. câmbio USD-BRL'!O582/'16. câmbio USD-BRL'!O581)^-1-1</f>
        <v>-0.10291693567841209</v>
      </c>
    </row>
    <row r="481" spans="10:18" x14ac:dyDescent="0.2">
      <c r="J481" s="354">
        <v>42016</v>
      </c>
      <c r="K481">
        <v>6.2249999999999996</v>
      </c>
      <c r="L481">
        <v>6.8025000000000002</v>
      </c>
      <c r="M481">
        <v>5.8274999999999997</v>
      </c>
      <c r="N481">
        <v>6.4824999999999999</v>
      </c>
      <c r="O481">
        <v>4.9589949999999998</v>
      </c>
      <c r="P481">
        <v>38142000</v>
      </c>
      <c r="R481" s="211">
        <f>(O481/O480)*('16. câmbio USD-BRL'!O583/'16. câmbio USD-BRL'!O582)^-1-1</f>
        <v>4.5454456783856845E-2</v>
      </c>
    </row>
    <row r="482" spans="10:18" x14ac:dyDescent="0.2">
      <c r="J482" s="354">
        <v>42023</v>
      </c>
      <c r="K482">
        <v>6.48</v>
      </c>
      <c r="L482">
        <v>7.0374999999999996</v>
      </c>
      <c r="M482">
        <v>6.15</v>
      </c>
      <c r="N482">
        <v>6.8250000000000002</v>
      </c>
      <c r="O482">
        <v>5.2210010000000002</v>
      </c>
      <c r="P482">
        <v>39547200</v>
      </c>
      <c r="R482" s="211">
        <f>(O482/O481)*('16. câmbio USD-BRL'!O584/'16. câmbio USD-BRL'!O583)^-1-1</f>
        <v>8.0684009725583428E-2</v>
      </c>
    </row>
    <row r="483" spans="10:18" x14ac:dyDescent="0.2">
      <c r="J483" s="354">
        <v>42030</v>
      </c>
      <c r="K483">
        <v>6.7474999999999996</v>
      </c>
      <c r="L483">
        <v>6.94</v>
      </c>
      <c r="M483">
        <v>6.06</v>
      </c>
      <c r="N483">
        <v>6.1325000000000003</v>
      </c>
      <c r="O483">
        <v>4.6912510000000003</v>
      </c>
      <c r="P483">
        <v>28827600</v>
      </c>
      <c r="R483" s="211">
        <f>(O483/O482)*('16. câmbio USD-BRL'!O585/'16. câmbio USD-BRL'!O584)^-1-1</f>
        <v>-0.13772459072210941</v>
      </c>
    </row>
    <row r="484" spans="10:18" x14ac:dyDescent="0.2">
      <c r="J484" s="354">
        <v>42037</v>
      </c>
      <c r="K484">
        <v>6.1524999999999999</v>
      </c>
      <c r="L484">
        <v>6.6050000000000004</v>
      </c>
      <c r="M484">
        <v>5.95</v>
      </c>
      <c r="N484">
        <v>6.3125</v>
      </c>
      <c r="O484">
        <v>4.8289479999999996</v>
      </c>
      <c r="P484">
        <v>28824000</v>
      </c>
      <c r="R484" s="211">
        <f>(O484/O483)*('16. câmbio USD-BRL'!O586/'16. câmbio USD-BRL'!O585)^-1-1</f>
        <v>5.773196439226469E-3</v>
      </c>
    </row>
    <row r="485" spans="10:18" x14ac:dyDescent="0.2">
      <c r="J485" s="354">
        <v>42044</v>
      </c>
      <c r="K485">
        <v>6.3250000000000002</v>
      </c>
      <c r="L485">
        <v>7.0975000000000001</v>
      </c>
      <c r="M485">
        <v>6.2225000000000001</v>
      </c>
      <c r="N485">
        <v>6.9574999999999996</v>
      </c>
      <c r="O485">
        <v>5.3223609999999999</v>
      </c>
      <c r="P485">
        <v>34895600</v>
      </c>
      <c r="R485" s="211">
        <f>(O485/O484)*('16. câmbio USD-BRL'!O587/'16. câmbio USD-BRL'!O586)^-1-1</f>
        <v>6.7410233960971233E-2</v>
      </c>
    </row>
    <row r="486" spans="10:18" x14ac:dyDescent="0.2">
      <c r="J486" s="354">
        <v>42051</v>
      </c>
      <c r="K486">
        <v>6.9574999999999996</v>
      </c>
      <c r="L486">
        <v>7.12</v>
      </c>
      <c r="M486">
        <v>6.8075000000000001</v>
      </c>
      <c r="N486">
        <v>6.95</v>
      </c>
      <c r="O486">
        <v>5.3166229999999999</v>
      </c>
      <c r="P486">
        <v>13109200</v>
      </c>
      <c r="R486" s="211">
        <f>(O486/O485)*('16. câmbio USD-BRL'!O588/'16. câmbio USD-BRL'!O587)^-1-1</f>
        <v>-1.2381508539281993E-2</v>
      </c>
    </row>
    <row r="487" spans="10:18" x14ac:dyDescent="0.2">
      <c r="J487" s="354">
        <v>42058</v>
      </c>
      <c r="K487">
        <v>6.8875000000000002</v>
      </c>
      <c r="L487">
        <v>7.1675000000000004</v>
      </c>
      <c r="M487">
        <v>6.73</v>
      </c>
      <c r="N487">
        <v>7.0724999999999998</v>
      </c>
      <c r="O487">
        <v>5.4103339999999998</v>
      </c>
      <c r="P487">
        <v>30330000</v>
      </c>
      <c r="R487" s="211">
        <f>(O487/O486)*('16. câmbio USD-BRL'!O589/'16. câmbio USD-BRL'!O588)^-1-1</f>
        <v>3.0184630388898626E-3</v>
      </c>
    </row>
    <row r="488" spans="10:18" x14ac:dyDescent="0.2">
      <c r="J488" s="354">
        <v>42065</v>
      </c>
      <c r="K488">
        <v>7.0724999999999998</v>
      </c>
      <c r="L488">
        <v>7.1150000000000002</v>
      </c>
      <c r="M488">
        <v>6.5824999999999996</v>
      </c>
      <c r="N488">
        <v>6.67</v>
      </c>
      <c r="O488">
        <v>5.1024279999999997</v>
      </c>
      <c r="P488">
        <v>26371600</v>
      </c>
      <c r="R488" s="211">
        <f>(O488/O487)*('16. câmbio USD-BRL'!O590/'16. câmbio USD-BRL'!O589)^-1-1</f>
        <v>-8.6805653073197875E-2</v>
      </c>
    </row>
    <row r="489" spans="10:18" x14ac:dyDescent="0.2">
      <c r="J489" s="354">
        <v>42072</v>
      </c>
      <c r="K489">
        <v>6.5750000000000002</v>
      </c>
      <c r="L489">
        <v>6.8224999999999998</v>
      </c>
      <c r="M489">
        <v>6.3224999999999998</v>
      </c>
      <c r="N489">
        <v>6.3975</v>
      </c>
      <c r="O489">
        <v>4.8939709999999996</v>
      </c>
      <c r="P489">
        <v>23654400</v>
      </c>
      <c r="R489" s="211">
        <f>(O489/O488)*('16. câmbio USD-BRL'!O591/'16. câmbio USD-BRL'!O590)^-1-1</f>
        <v>-0.1132411403250333</v>
      </c>
    </row>
    <row r="490" spans="10:18" x14ac:dyDescent="0.2">
      <c r="J490" s="354">
        <v>42079</v>
      </c>
      <c r="K490">
        <v>6.43</v>
      </c>
      <c r="L490">
        <v>7.125</v>
      </c>
      <c r="M490">
        <v>6.375</v>
      </c>
      <c r="N490">
        <v>6.98</v>
      </c>
      <c r="O490">
        <v>5.3395729999999997</v>
      </c>
      <c r="P490">
        <v>31752000</v>
      </c>
      <c r="R490" s="211">
        <f>(O490/O489)*('16. câmbio USD-BRL'!O592/'16. câmbio USD-BRL'!O591)^-1-1</f>
        <v>7.5997200607565318E-2</v>
      </c>
    </row>
    <row r="491" spans="10:18" x14ac:dyDescent="0.2">
      <c r="J491" s="354">
        <v>42086</v>
      </c>
      <c r="K491">
        <v>6.9775</v>
      </c>
      <c r="L491">
        <v>7.2774999999999999</v>
      </c>
      <c r="M491">
        <v>6.8125</v>
      </c>
      <c r="N491">
        <v>6.8250000000000002</v>
      </c>
      <c r="O491">
        <v>5.2210010000000002</v>
      </c>
      <c r="P491">
        <v>32095600</v>
      </c>
      <c r="R491" s="211">
        <f>(O491/O490)*('16. câmbio USD-BRL'!O593/'16. câmbio USD-BRL'!O592)^-1-1</f>
        <v>1.1898880019225011E-2</v>
      </c>
    </row>
    <row r="492" spans="10:18" x14ac:dyDescent="0.2">
      <c r="J492" s="354">
        <v>42093</v>
      </c>
      <c r="K492">
        <v>6.85</v>
      </c>
      <c r="L492">
        <v>7.4725000000000001</v>
      </c>
      <c r="M492">
        <v>6.8449999999999998</v>
      </c>
      <c r="N492">
        <v>7.25</v>
      </c>
      <c r="O492">
        <v>5.5461169999999997</v>
      </c>
      <c r="P492">
        <v>25975600</v>
      </c>
      <c r="R492" s="211">
        <f>(O492/O491)*('16. câmbio USD-BRL'!O594/'16. câmbio USD-BRL'!O593)^-1-1</f>
        <v>8.1766082882045232E-2</v>
      </c>
    </row>
    <row r="493" spans="10:18" x14ac:dyDescent="0.2">
      <c r="J493" s="354">
        <v>42100</v>
      </c>
      <c r="K493">
        <v>7.36</v>
      </c>
      <c r="L493">
        <v>7.48</v>
      </c>
      <c r="M493">
        <v>7.1974999999999998</v>
      </c>
      <c r="N493">
        <v>7.35</v>
      </c>
      <c r="O493">
        <v>5.6226159999999998</v>
      </c>
      <c r="P493">
        <v>21538800</v>
      </c>
      <c r="R493" s="211">
        <f>(O493/O492)*('16. câmbio USD-BRL'!O595/'16. câmbio USD-BRL'!O594)^-1-1</f>
        <v>3.599165298343765E-2</v>
      </c>
    </row>
    <row r="494" spans="10:18" x14ac:dyDescent="0.2">
      <c r="J494" s="354">
        <v>42107</v>
      </c>
      <c r="K494">
        <v>7.35</v>
      </c>
      <c r="L494">
        <v>7.4725000000000001</v>
      </c>
      <c r="M494">
        <v>7.1224999999999996</v>
      </c>
      <c r="N494">
        <v>7.2249999999999996</v>
      </c>
      <c r="O494">
        <v>5.526993</v>
      </c>
      <c r="P494">
        <v>19124000</v>
      </c>
      <c r="R494" s="211">
        <f>(O494/O493)*('16. câmbio USD-BRL'!O596/'16. câmbio USD-BRL'!O595)^-1-1</f>
        <v>-1.0985950509704856E-2</v>
      </c>
    </row>
    <row r="495" spans="10:18" x14ac:dyDescent="0.2">
      <c r="J495" s="354">
        <v>42114</v>
      </c>
      <c r="K495">
        <v>7.26</v>
      </c>
      <c r="L495">
        <v>7.6074999999999999</v>
      </c>
      <c r="M495">
        <v>7.1025</v>
      </c>
      <c r="N495">
        <v>7.3650000000000002</v>
      </c>
      <c r="O495">
        <v>5.6340899999999996</v>
      </c>
      <c r="P495">
        <v>18162800</v>
      </c>
      <c r="R495" s="211">
        <f>(O495/O494)*('16. câmbio USD-BRL'!O597/'16. câmbio USD-BRL'!O596)^-1-1</f>
        <v>4.994145330920019E-2</v>
      </c>
    </row>
    <row r="496" spans="10:18" x14ac:dyDescent="0.2">
      <c r="J496" s="354">
        <v>42121</v>
      </c>
      <c r="K496">
        <v>7.35</v>
      </c>
      <c r="L496">
        <v>7.3975</v>
      </c>
      <c r="M496">
        <v>7.1849999999999996</v>
      </c>
      <c r="N496">
        <v>7.375</v>
      </c>
      <c r="O496">
        <v>5.6417409999999997</v>
      </c>
      <c r="P496">
        <v>17499600</v>
      </c>
      <c r="R496" s="211">
        <f>(O496/O495)*('16. câmbio USD-BRL'!O598/'16. câmbio USD-BRL'!O597)^-1-1</f>
        <v>-1.9526504568099123E-2</v>
      </c>
    </row>
    <row r="497" spans="10:18" x14ac:dyDescent="0.2">
      <c r="J497" s="354">
        <v>42128</v>
      </c>
      <c r="K497">
        <v>7.3650000000000002</v>
      </c>
      <c r="L497">
        <v>7.4124999999999996</v>
      </c>
      <c r="M497">
        <v>6.7824999999999998</v>
      </c>
      <c r="N497">
        <v>6.9349999999999996</v>
      </c>
      <c r="O497">
        <v>5.305148</v>
      </c>
      <c r="P497">
        <v>44776400</v>
      </c>
      <c r="R497" s="211">
        <f>(O497/O496)*('16. câmbio USD-BRL'!O599/'16. câmbio USD-BRL'!O598)^-1-1</f>
        <v>-6.2835805434441006E-2</v>
      </c>
    </row>
    <row r="498" spans="10:18" x14ac:dyDescent="0.2">
      <c r="J498" s="354">
        <v>42135</v>
      </c>
      <c r="K498">
        <v>6.9325000000000001</v>
      </c>
      <c r="L498">
        <v>6.9924999999999997</v>
      </c>
      <c r="M498">
        <v>6.625</v>
      </c>
      <c r="N498">
        <v>6.9275000000000002</v>
      </c>
      <c r="O498">
        <v>5.3553240000000004</v>
      </c>
      <c r="P498">
        <v>33444800</v>
      </c>
      <c r="R498" s="211">
        <f>(O498/O497)*('16. câmbio USD-BRL'!O600/'16. câmbio USD-BRL'!O599)^-1-1</f>
        <v>2.0059334515436733E-2</v>
      </c>
    </row>
    <row r="499" spans="10:18" x14ac:dyDescent="0.2">
      <c r="J499" s="354">
        <v>42142</v>
      </c>
      <c r="K499">
        <v>6.9474999999999998</v>
      </c>
      <c r="L499">
        <v>7.1</v>
      </c>
      <c r="M499">
        <v>6.7824999999999998</v>
      </c>
      <c r="N499">
        <v>6.9625000000000004</v>
      </c>
      <c r="O499">
        <v>5.3823800000000004</v>
      </c>
      <c r="P499">
        <v>20675600</v>
      </c>
      <c r="R499" s="211">
        <f>(O499/O498)*('16. câmbio USD-BRL'!O601/'16. câmbio USD-BRL'!O600)^-1-1</f>
        <v>-1.0437159076110758E-2</v>
      </c>
    </row>
    <row r="500" spans="10:18" x14ac:dyDescent="0.2">
      <c r="J500" s="354">
        <v>42149</v>
      </c>
      <c r="K500">
        <v>6.9275000000000002</v>
      </c>
      <c r="L500">
        <v>6.9550000000000001</v>
      </c>
      <c r="M500">
        <v>6.1875</v>
      </c>
      <c r="N500">
        <v>6.29</v>
      </c>
      <c r="O500">
        <v>4.8625020000000001</v>
      </c>
      <c r="P500">
        <v>20404800</v>
      </c>
      <c r="R500" s="211">
        <f>(O500/O499)*('16. câmbio USD-BRL'!O602/'16. câmbio USD-BRL'!O601)^-1-1</f>
        <v>-0.13139925922562523</v>
      </c>
    </row>
    <row r="501" spans="10:18" x14ac:dyDescent="0.2">
      <c r="J501" s="354">
        <v>42156</v>
      </c>
      <c r="K501">
        <v>6.2750000000000004</v>
      </c>
      <c r="L501">
        <v>6.5674999999999999</v>
      </c>
      <c r="M501">
        <v>6.1950000000000003</v>
      </c>
      <c r="N501">
        <v>6.4375</v>
      </c>
      <c r="O501">
        <v>4.9765269999999999</v>
      </c>
      <c r="P501">
        <v>24280000</v>
      </c>
      <c r="R501" s="211">
        <f>(O501/O500)*('16. câmbio USD-BRL'!O603/'16. câmbio USD-BRL'!O602)^-1-1</f>
        <v>2.9381581928740186E-2</v>
      </c>
    </row>
    <row r="502" spans="10:18" x14ac:dyDescent="0.2">
      <c r="J502" s="354">
        <v>42163</v>
      </c>
      <c r="K502">
        <v>6.4225000000000003</v>
      </c>
      <c r="L502">
        <v>6.7424999999999997</v>
      </c>
      <c r="M502">
        <v>6.4</v>
      </c>
      <c r="N502">
        <v>6.6</v>
      </c>
      <c r="O502">
        <v>5.1021489999999998</v>
      </c>
      <c r="P502">
        <v>26043600</v>
      </c>
      <c r="R502" s="211">
        <f>(O502/O501)*('16. câmbio USD-BRL'!O604/'16. câmbio USD-BRL'!O603)^-1-1</f>
        <v>4.2877707673682375E-2</v>
      </c>
    </row>
    <row r="503" spans="10:18" x14ac:dyDescent="0.2">
      <c r="J503" s="354">
        <v>42170</v>
      </c>
      <c r="K503">
        <v>6.5875000000000004</v>
      </c>
      <c r="L503">
        <v>6.5875000000000004</v>
      </c>
      <c r="M503">
        <v>6.2675000000000001</v>
      </c>
      <c r="N503">
        <v>6.3449999999999998</v>
      </c>
      <c r="O503">
        <v>4.9050200000000004</v>
      </c>
      <c r="P503">
        <v>18061600</v>
      </c>
      <c r="R503" s="211">
        <f>(O503/O502)*('16. câmbio USD-BRL'!O605/'16. câmbio USD-BRL'!O604)^-1-1</f>
        <v>-2.9424628928359509E-2</v>
      </c>
    </row>
    <row r="504" spans="10:18" x14ac:dyDescent="0.2">
      <c r="J504" s="354">
        <v>42177</v>
      </c>
      <c r="K504">
        <v>6.3650000000000002</v>
      </c>
      <c r="L504">
        <v>6.6624999999999996</v>
      </c>
      <c r="M504">
        <v>6.3650000000000002</v>
      </c>
      <c r="N504">
        <v>6.5</v>
      </c>
      <c r="O504">
        <v>5.0248429999999997</v>
      </c>
      <c r="P504">
        <v>17895600</v>
      </c>
      <c r="R504" s="211">
        <f>(O504/O503)*('16. câmbio USD-BRL'!O606/'16. câmbio USD-BRL'!O605)^-1-1</f>
        <v>2.5918305858740887E-3</v>
      </c>
    </row>
    <row r="505" spans="10:18" x14ac:dyDescent="0.2">
      <c r="J505" s="354">
        <v>42184</v>
      </c>
      <c r="K505">
        <v>6.4249999999999998</v>
      </c>
      <c r="L505">
        <v>6.4924999999999997</v>
      </c>
      <c r="M505">
        <v>5.9275000000000002</v>
      </c>
      <c r="N505">
        <v>5.9474999999999998</v>
      </c>
      <c r="O505">
        <v>4.5977319999999997</v>
      </c>
      <c r="P505">
        <v>26298400</v>
      </c>
      <c r="R505" s="211">
        <f>(O505/O504)*('16. câmbio USD-BRL'!O607/'16. câmbio USD-BRL'!O606)^-1-1</f>
        <v>-7.6009564553062625E-2</v>
      </c>
    </row>
    <row r="506" spans="10:18" x14ac:dyDescent="0.2">
      <c r="J506" s="354">
        <v>42191</v>
      </c>
      <c r="K506">
        <v>5.9050000000000002</v>
      </c>
      <c r="L506">
        <v>5.92</v>
      </c>
      <c r="M506">
        <v>5.51</v>
      </c>
      <c r="N506">
        <v>5.8550000000000004</v>
      </c>
      <c r="O506">
        <v>4.526224</v>
      </c>
      <c r="P506">
        <v>27500000</v>
      </c>
      <c r="R506" s="211">
        <f>(O506/O505)*('16. câmbio USD-BRL'!O608/'16. câmbio USD-BRL'!O607)^-1-1</f>
        <v>-5.4397761066277028E-2</v>
      </c>
    </row>
    <row r="507" spans="10:18" x14ac:dyDescent="0.2">
      <c r="J507" s="354">
        <v>42198</v>
      </c>
      <c r="K507">
        <v>5.91</v>
      </c>
      <c r="L507">
        <v>6.0049999999999999</v>
      </c>
      <c r="M507">
        <v>5.52</v>
      </c>
      <c r="N507">
        <v>5.5625</v>
      </c>
      <c r="O507">
        <v>4.3001069999999997</v>
      </c>
      <c r="P507">
        <v>17595600</v>
      </c>
      <c r="R507" s="211">
        <f>(O507/O506)*('16. câmbio USD-BRL'!O609/'16. câmbio USD-BRL'!O608)^-1-1</f>
        <v>-3.9249276976488945E-2</v>
      </c>
    </row>
    <row r="508" spans="10:18" x14ac:dyDescent="0.2">
      <c r="J508" s="354">
        <v>42205</v>
      </c>
      <c r="K508">
        <v>5.5549999999999997</v>
      </c>
      <c r="L508">
        <v>5.5875000000000004</v>
      </c>
      <c r="M508">
        <v>5.0025000000000004</v>
      </c>
      <c r="N508">
        <v>5.1624999999999996</v>
      </c>
      <c r="O508">
        <v>3.990885</v>
      </c>
      <c r="P508">
        <v>27825200</v>
      </c>
      <c r="R508" s="211">
        <f>(O508/O507)*('16. câmbio USD-BRL'!O610/'16. câmbio USD-BRL'!O609)^-1-1</f>
        <v>-9.9886943278048146E-2</v>
      </c>
    </row>
    <row r="509" spans="10:18" x14ac:dyDescent="0.2">
      <c r="J509" s="354">
        <v>42212</v>
      </c>
      <c r="K509">
        <v>5.1150000000000002</v>
      </c>
      <c r="L509">
        <v>5.3650000000000002</v>
      </c>
      <c r="M509">
        <v>5.0374999999999996</v>
      </c>
      <c r="N509">
        <v>5.2</v>
      </c>
      <c r="O509">
        <v>4.0198749999999999</v>
      </c>
      <c r="P509">
        <v>27178800</v>
      </c>
      <c r="R509" s="211">
        <f>(O509/O508)*('16. câmbio USD-BRL'!O611/'16. câmbio USD-BRL'!O610)^-1-1</f>
        <v>-1.8613800067200925E-2</v>
      </c>
    </row>
    <row r="510" spans="10:18" x14ac:dyDescent="0.2">
      <c r="J510" s="354">
        <v>42219</v>
      </c>
      <c r="K510">
        <v>5.15</v>
      </c>
      <c r="L510">
        <v>5.1849999999999996</v>
      </c>
      <c r="M510">
        <v>4.875</v>
      </c>
      <c r="N510">
        <v>5</v>
      </c>
      <c r="O510">
        <v>3.8652639999999998</v>
      </c>
      <c r="P510">
        <v>21468000</v>
      </c>
      <c r="R510" s="211">
        <f>(O510/O509)*('16. câmbio USD-BRL'!O612/'16. câmbio USD-BRL'!O611)^-1-1</f>
        <v>-8.2242187283481316E-2</v>
      </c>
    </row>
    <row r="511" spans="10:18" x14ac:dyDescent="0.2">
      <c r="J511" s="354">
        <v>42226</v>
      </c>
      <c r="K511">
        <v>5</v>
      </c>
      <c r="L511">
        <v>5.2874999999999996</v>
      </c>
      <c r="M511">
        <v>4.9375</v>
      </c>
      <c r="N511">
        <v>5.05</v>
      </c>
      <c r="O511">
        <v>3.9039160000000002</v>
      </c>
      <c r="P511">
        <v>27714800</v>
      </c>
      <c r="R511" s="211">
        <f>(O511/O510)*('16. câmbio USD-BRL'!O613/'16. câmbio USD-BRL'!O612)^-1-1</f>
        <v>1.3529797188982728E-2</v>
      </c>
    </row>
    <row r="512" spans="10:18" x14ac:dyDescent="0.2">
      <c r="J512" s="354">
        <v>42233</v>
      </c>
      <c r="K512">
        <v>5</v>
      </c>
      <c r="L512">
        <v>5.0274999999999999</v>
      </c>
      <c r="M512">
        <v>4.3925000000000001</v>
      </c>
      <c r="N512">
        <v>4.5525000000000002</v>
      </c>
      <c r="O512">
        <v>3.519323</v>
      </c>
      <c r="P512">
        <v>26286800</v>
      </c>
      <c r="R512" s="211">
        <f>(O512/O511)*('16. câmbio USD-BRL'!O614/'16. câmbio USD-BRL'!O613)^-1-1</f>
        <v>-8.2480965160884878E-2</v>
      </c>
    </row>
    <row r="513" spans="10:18" x14ac:dyDescent="0.2">
      <c r="J513" s="354">
        <v>42240</v>
      </c>
      <c r="K513">
        <v>4.3875000000000002</v>
      </c>
      <c r="L513">
        <v>4.95</v>
      </c>
      <c r="M513">
        <v>4.2625000000000002</v>
      </c>
      <c r="N513">
        <v>4.7750000000000004</v>
      </c>
      <c r="O513">
        <v>3.6913269999999998</v>
      </c>
      <c r="P513">
        <v>31390800</v>
      </c>
      <c r="R513" s="211">
        <f>(O513/O512)*('16. câmbio USD-BRL'!O615/'16. câmbio USD-BRL'!O614)^-1-1</f>
        <v>2.1575436390776748E-2</v>
      </c>
    </row>
    <row r="514" spans="10:18" x14ac:dyDescent="0.2">
      <c r="J514" s="354">
        <v>42247</v>
      </c>
      <c r="K514">
        <v>4.74</v>
      </c>
      <c r="L514">
        <v>4.8499999999999996</v>
      </c>
      <c r="M514">
        <v>4.3250000000000002</v>
      </c>
      <c r="N514">
        <v>4.8324999999999996</v>
      </c>
      <c r="O514">
        <v>3.7357779999999998</v>
      </c>
      <c r="P514">
        <v>47017600</v>
      </c>
      <c r="R514" s="211">
        <f>(O514/O513)*('16. câmbio USD-BRL'!O616/'16. câmbio USD-BRL'!O615)^-1-1</f>
        <v>-3.8031714290080787E-2</v>
      </c>
    </row>
    <row r="515" spans="10:18" x14ac:dyDescent="0.2">
      <c r="J515" s="354">
        <v>42254</v>
      </c>
      <c r="K515">
        <v>4.8324999999999996</v>
      </c>
      <c r="L515">
        <v>5.0724999999999998</v>
      </c>
      <c r="M515">
        <v>4.5324999999999998</v>
      </c>
      <c r="N515">
        <v>4.8150000000000004</v>
      </c>
      <c r="O515">
        <v>3.7222499999999998</v>
      </c>
      <c r="P515">
        <v>28571600</v>
      </c>
      <c r="R515" s="211">
        <f>(O515/O514)*('16. câmbio USD-BRL'!O617/'16. câmbio USD-BRL'!O616)^-1-1</f>
        <v>-3.2905897119683281E-2</v>
      </c>
    </row>
    <row r="516" spans="10:18" x14ac:dyDescent="0.2">
      <c r="J516" s="354">
        <v>42261</v>
      </c>
      <c r="K516">
        <v>4.8174999999999999</v>
      </c>
      <c r="L516">
        <v>5.1574999999999998</v>
      </c>
      <c r="M516">
        <v>4.6974999999999998</v>
      </c>
      <c r="N516">
        <v>4.8825000000000003</v>
      </c>
      <c r="O516">
        <v>3.7744300000000002</v>
      </c>
      <c r="P516">
        <v>32947600</v>
      </c>
      <c r="R516" s="211">
        <f>(O516/O515)*('16. câmbio USD-BRL'!O618/'16. câmbio USD-BRL'!O617)^-1-1</f>
        <v>2.7353178800402222E-3</v>
      </c>
    </row>
    <row r="517" spans="10:18" x14ac:dyDescent="0.2">
      <c r="J517" s="354">
        <v>42268</v>
      </c>
      <c r="K517">
        <v>4.875</v>
      </c>
      <c r="L517">
        <v>4.9574999999999996</v>
      </c>
      <c r="M517">
        <v>4.5149999999999997</v>
      </c>
      <c r="N517">
        <v>4.7774999999999999</v>
      </c>
      <c r="O517">
        <v>3.7655180000000001</v>
      </c>
      <c r="P517">
        <v>17387600</v>
      </c>
      <c r="R517" s="211">
        <f>(O517/O516)*('16. câmbio USD-BRL'!O619/'16. câmbio USD-BRL'!O618)^-1-1</f>
        <v>-1.2913344484674627E-2</v>
      </c>
    </row>
    <row r="518" spans="10:18" x14ac:dyDescent="0.2">
      <c r="J518" s="354">
        <v>42275</v>
      </c>
      <c r="K518">
        <v>4.7024999999999997</v>
      </c>
      <c r="L518">
        <v>5.35</v>
      </c>
      <c r="M518">
        <v>4.5750000000000002</v>
      </c>
      <c r="N518">
        <v>5.3324999999999996</v>
      </c>
      <c r="O518">
        <v>4.2029569999999996</v>
      </c>
      <c r="P518">
        <v>42955200</v>
      </c>
      <c r="R518" s="211">
        <f>(O518/O517)*('16. câmbio USD-BRL'!O620/'16. câmbio USD-BRL'!O619)^-1-1</f>
        <v>9.7803173303874447E-2</v>
      </c>
    </row>
    <row r="519" spans="10:18" x14ac:dyDescent="0.2">
      <c r="J519" s="354">
        <v>42282</v>
      </c>
      <c r="K519">
        <v>5.5350000000000001</v>
      </c>
      <c r="L519">
        <v>5.8724999999999996</v>
      </c>
      <c r="M519">
        <v>5.2125000000000004</v>
      </c>
      <c r="N519">
        <v>5.85</v>
      </c>
      <c r="O519">
        <v>4.6108380000000002</v>
      </c>
      <c r="P519">
        <v>33460800</v>
      </c>
      <c r="R519" s="211">
        <f>(O519/O518)*('16. câmbio USD-BRL'!O621/'16. câmbio USD-BRL'!O620)^-1-1</f>
        <v>0.1669996380035832</v>
      </c>
    </row>
    <row r="520" spans="10:18" x14ac:dyDescent="0.2">
      <c r="J520" s="354">
        <v>42289</v>
      </c>
      <c r="K520">
        <v>5.85</v>
      </c>
      <c r="L520">
        <v>5.85</v>
      </c>
      <c r="M520">
        <v>5.4550000000000001</v>
      </c>
      <c r="N520">
        <v>5.64</v>
      </c>
      <c r="O520">
        <v>4.4453209999999999</v>
      </c>
      <c r="P520">
        <v>24640000</v>
      </c>
      <c r="R520" s="211">
        <f>(O520/O519)*('16. câmbio USD-BRL'!O622/'16. câmbio USD-BRL'!O621)^-1-1</f>
        <v>-4.4388091774907323E-2</v>
      </c>
    </row>
    <row r="521" spans="10:18" x14ac:dyDescent="0.2">
      <c r="J521" s="354">
        <v>42296</v>
      </c>
      <c r="K521">
        <v>5.65</v>
      </c>
      <c r="L521">
        <v>6.125</v>
      </c>
      <c r="M521">
        <v>5.53</v>
      </c>
      <c r="N521">
        <v>5.92</v>
      </c>
      <c r="O521">
        <v>4.66601</v>
      </c>
      <c r="P521">
        <v>19510800</v>
      </c>
      <c r="R521" s="211">
        <f>(O521/O520)*('16. câmbio USD-BRL'!O623/'16. câmbio USD-BRL'!O622)^-1-1</f>
        <v>2.0111100858076547E-2</v>
      </c>
    </row>
    <row r="522" spans="10:18" x14ac:dyDescent="0.2">
      <c r="J522" s="354">
        <v>42303</v>
      </c>
      <c r="K522">
        <v>5.97</v>
      </c>
      <c r="L522">
        <v>6.1775000000000002</v>
      </c>
      <c r="M522">
        <v>5.83</v>
      </c>
      <c r="N522">
        <v>6.1775000000000002</v>
      </c>
      <c r="O522">
        <v>4.8689660000000003</v>
      </c>
      <c r="P522">
        <v>21032400</v>
      </c>
      <c r="R522" s="211">
        <f>(O522/O521)*('16. câmbio USD-BRL'!O624/'16. câmbio USD-BRL'!O623)^-1-1</f>
        <v>5.9130007887823632E-2</v>
      </c>
    </row>
    <row r="523" spans="10:18" x14ac:dyDescent="0.2">
      <c r="J523" s="354">
        <v>42310</v>
      </c>
      <c r="K523">
        <v>6.1775000000000002</v>
      </c>
      <c r="L523">
        <v>6.6150000000000002</v>
      </c>
      <c r="M523">
        <v>6.1275000000000004</v>
      </c>
      <c r="N523">
        <v>6.3375000000000004</v>
      </c>
      <c r="O523">
        <v>4.9950739999999998</v>
      </c>
      <c r="P523">
        <v>21776000</v>
      </c>
      <c r="R523" s="211">
        <f>(O523/O522)*('16. câmbio USD-BRL'!O625/'16. câmbio USD-BRL'!O624)^-1-1</f>
        <v>4.3432484860691067E-2</v>
      </c>
    </row>
    <row r="524" spans="10:18" x14ac:dyDescent="0.2">
      <c r="J524" s="354">
        <v>42317</v>
      </c>
      <c r="K524">
        <v>6.3250000000000002</v>
      </c>
      <c r="L524">
        <v>6.7350000000000003</v>
      </c>
      <c r="M524">
        <v>6.1524999999999999</v>
      </c>
      <c r="N524">
        <v>6.45</v>
      </c>
      <c r="O524">
        <v>5.0837450000000004</v>
      </c>
      <c r="P524">
        <v>21130000</v>
      </c>
      <c r="R524" s="211">
        <f>(O524/O523)*('16. câmbio USD-BRL'!O626/'16. câmbio USD-BRL'!O625)^-1-1</f>
        <v>2.1318102273140571E-2</v>
      </c>
    </row>
    <row r="525" spans="10:18" x14ac:dyDescent="0.2">
      <c r="J525" s="354">
        <v>42324</v>
      </c>
      <c r="K525">
        <v>6.4850000000000003</v>
      </c>
      <c r="L525">
        <v>6.5449999999999999</v>
      </c>
      <c r="M525">
        <v>6.33</v>
      </c>
      <c r="N525">
        <v>6.5</v>
      </c>
      <c r="O525">
        <v>5.1231530000000003</v>
      </c>
      <c r="P525">
        <v>19778400</v>
      </c>
      <c r="R525" s="211">
        <f>(O525/O524)*('16. câmbio USD-BRL'!O627/'16. câmbio USD-BRL'!O626)^-1-1</f>
        <v>9.2789870593137369E-3</v>
      </c>
    </row>
    <row r="526" spans="10:18" x14ac:dyDescent="0.2">
      <c r="J526" s="354">
        <v>42331</v>
      </c>
      <c r="K526">
        <v>6.5374999999999996</v>
      </c>
      <c r="L526">
        <v>6.6950000000000003</v>
      </c>
      <c r="M526">
        <v>6.1675000000000004</v>
      </c>
      <c r="N526">
        <v>6.29</v>
      </c>
      <c r="O526">
        <v>4.9576359999999999</v>
      </c>
      <c r="P526">
        <v>25325200</v>
      </c>
      <c r="R526" s="211">
        <f>(O526/O525)*('16. câmbio USD-BRL'!O628/'16. câmbio USD-BRL'!O627)^-1-1</f>
        <v>-2.6405817516488295E-2</v>
      </c>
    </row>
    <row r="527" spans="10:18" x14ac:dyDescent="0.2">
      <c r="J527" s="354">
        <v>42338</v>
      </c>
      <c r="K527">
        <v>6.25</v>
      </c>
      <c r="L527">
        <v>6.4175000000000004</v>
      </c>
      <c r="M527">
        <v>5.89</v>
      </c>
      <c r="N527">
        <v>6.2249999999999996</v>
      </c>
      <c r="O527">
        <v>4.9064040000000002</v>
      </c>
      <c r="P527">
        <v>24882000</v>
      </c>
      <c r="R527" s="211">
        <f>(O527/O526)*('16. câmbio USD-BRL'!O629/'16. câmbio USD-BRL'!O628)^-1-1</f>
        <v>-1.4945144153403533E-2</v>
      </c>
    </row>
    <row r="528" spans="10:18" x14ac:dyDescent="0.2">
      <c r="J528" s="354">
        <v>42345</v>
      </c>
      <c r="K528">
        <v>6.3174999999999999</v>
      </c>
      <c r="L528">
        <v>6.56</v>
      </c>
      <c r="M528">
        <v>6.0650000000000004</v>
      </c>
      <c r="N528">
        <v>6.25</v>
      </c>
      <c r="O528">
        <v>4.9261090000000003</v>
      </c>
      <c r="P528">
        <v>29938000</v>
      </c>
      <c r="R528" s="211">
        <f>(O528/O527)*('16. câmbio USD-BRL'!O630/'16. câmbio USD-BRL'!O629)^-1-1</f>
        <v>-9.6684780649233248E-3</v>
      </c>
    </row>
    <row r="529" spans="10:18" x14ac:dyDescent="0.2">
      <c r="J529" s="354">
        <v>42352</v>
      </c>
      <c r="K529">
        <v>6.2074999999999996</v>
      </c>
      <c r="L529">
        <v>6.5149999999999997</v>
      </c>
      <c r="M529">
        <v>5.96</v>
      </c>
      <c r="N529">
        <v>6.1074999999999999</v>
      </c>
      <c r="O529">
        <v>4.8137939999999997</v>
      </c>
      <c r="P529">
        <v>15880400</v>
      </c>
      <c r="R529" s="211">
        <f>(O529/O528)*('16. câmbio USD-BRL'!O631/'16. câmbio USD-BRL'!O630)^-1-1</f>
        <v>-4.0068523990703264E-2</v>
      </c>
    </row>
    <row r="530" spans="10:18" x14ac:dyDescent="0.2">
      <c r="J530" s="354">
        <v>42359</v>
      </c>
      <c r="K530">
        <v>6.0724999999999998</v>
      </c>
      <c r="L530">
        <v>6.2649999999999997</v>
      </c>
      <c r="M530">
        <v>5.9550000000000001</v>
      </c>
      <c r="N530">
        <v>6.1950000000000003</v>
      </c>
      <c r="O530">
        <v>4.8827590000000001</v>
      </c>
      <c r="P530">
        <v>9098400</v>
      </c>
      <c r="R530" s="211">
        <f>(O530/O529)*('16. câmbio USD-BRL'!O632/'16. câmbio USD-BRL'!O631)^-1-1</f>
        <v>4.8131758505687294E-3</v>
      </c>
    </row>
    <row r="531" spans="10:18" x14ac:dyDescent="0.2">
      <c r="J531" s="354">
        <v>42366</v>
      </c>
      <c r="K531">
        <v>6.165</v>
      </c>
      <c r="L531">
        <v>6.4749999999999996</v>
      </c>
      <c r="M531">
        <v>6.13</v>
      </c>
      <c r="N531">
        <v>6.3</v>
      </c>
      <c r="O531">
        <v>4.9655180000000003</v>
      </c>
      <c r="P531">
        <v>7376400</v>
      </c>
      <c r="R531" s="211">
        <f>(O531/O530)*('16. câmbio USD-BRL'!O633/'16. câmbio USD-BRL'!O632)^-1-1</f>
        <v>7.4233753726924423E-3</v>
      </c>
    </row>
    <row r="532" spans="10:18" x14ac:dyDescent="0.2">
      <c r="J532" s="354">
        <v>42373</v>
      </c>
      <c r="K532">
        <v>6.2324999999999999</v>
      </c>
      <c r="L532">
        <v>6.2549999999999999</v>
      </c>
      <c r="M532">
        <v>5.5875000000000004</v>
      </c>
      <c r="N532">
        <v>5.85</v>
      </c>
      <c r="O532">
        <v>4.6108380000000002</v>
      </c>
      <c r="P532">
        <v>20287600</v>
      </c>
      <c r="R532" s="211">
        <f>(O532/O531)*('16. câmbio USD-BRL'!O634/'16. câmbio USD-BRL'!O633)^-1-1</f>
        <v>-9.2451557783920113E-2</v>
      </c>
    </row>
    <row r="533" spans="10:18" x14ac:dyDescent="0.2">
      <c r="J533" s="354">
        <v>42380</v>
      </c>
      <c r="K533">
        <v>5.835</v>
      </c>
      <c r="L533">
        <v>5.98</v>
      </c>
      <c r="M533">
        <v>5.415</v>
      </c>
      <c r="N533">
        <v>5.7</v>
      </c>
      <c r="O533">
        <v>4.4926110000000001</v>
      </c>
      <c r="P533">
        <v>30393200</v>
      </c>
      <c r="R533" s="211">
        <f>(O533/O532)*('16. câmbio USD-BRL'!O635/'16. câmbio USD-BRL'!O634)^-1-1</f>
        <v>-1.6982086984690614E-2</v>
      </c>
    </row>
    <row r="534" spans="10:18" x14ac:dyDescent="0.2">
      <c r="J534" s="354">
        <v>42387</v>
      </c>
      <c r="K534">
        <v>5.6449999999999996</v>
      </c>
      <c r="L534">
        <v>5.93</v>
      </c>
      <c r="M534">
        <v>5.4024999999999999</v>
      </c>
      <c r="N534">
        <v>5.8624999999999998</v>
      </c>
      <c r="O534">
        <v>4.6206909999999999</v>
      </c>
      <c r="P534">
        <v>24533600</v>
      </c>
      <c r="R534" s="211">
        <f>(O534/O533)*('16. câmbio USD-BRL'!O636/'16. câmbio USD-BRL'!O635)^-1-1</f>
        <v>7.4836384705954107E-3</v>
      </c>
    </row>
    <row r="535" spans="10:18" x14ac:dyDescent="0.2">
      <c r="J535" s="354">
        <v>42394</v>
      </c>
      <c r="K535">
        <v>5.8624999999999998</v>
      </c>
      <c r="L535">
        <v>6.3724999999999996</v>
      </c>
      <c r="M535">
        <v>5.7675000000000001</v>
      </c>
      <c r="N535">
        <v>6.2850000000000001</v>
      </c>
      <c r="O535">
        <v>4.9536949999999997</v>
      </c>
      <c r="P535">
        <v>36450400</v>
      </c>
      <c r="R535" s="211">
        <f>(O535/O534)*('16. câmbio USD-BRL'!O637/'16. câmbio USD-BRL'!O636)^-1-1</f>
        <v>7.7999046544699357E-2</v>
      </c>
    </row>
    <row r="536" spans="10:18" x14ac:dyDescent="0.2">
      <c r="J536" s="354">
        <v>42401</v>
      </c>
      <c r="K536">
        <v>6.25</v>
      </c>
      <c r="L536">
        <v>6.3150000000000004</v>
      </c>
      <c r="M536">
        <v>5.7649999999999997</v>
      </c>
      <c r="N536">
        <v>5.8449999999999998</v>
      </c>
      <c r="O536">
        <v>4.606897</v>
      </c>
      <c r="P536">
        <v>36220000</v>
      </c>
      <c r="R536" s="211">
        <f>(O536/O535)*('16. câmbio USD-BRL'!O638/'16. câmbio USD-BRL'!O637)^-1-1</f>
        <v>-2.9812057581201423E-2</v>
      </c>
    </row>
    <row r="537" spans="10:18" x14ac:dyDescent="0.2">
      <c r="J537" s="354">
        <v>42408</v>
      </c>
      <c r="K537">
        <v>5.8449999999999998</v>
      </c>
      <c r="L537">
        <v>5.9675000000000002</v>
      </c>
      <c r="M537">
        <v>5.61</v>
      </c>
      <c r="N537">
        <v>5.8875000000000002</v>
      </c>
      <c r="O537">
        <v>4.6403949999999998</v>
      </c>
      <c r="P537">
        <v>14391600</v>
      </c>
      <c r="R537" s="211">
        <f>(O537/O536)*('16. câmbio USD-BRL'!O639/'16. câmbio USD-BRL'!O638)^-1-1</f>
        <v>-1.0421084393970381E-2</v>
      </c>
    </row>
    <row r="538" spans="10:18" x14ac:dyDescent="0.2">
      <c r="J538" s="354">
        <v>42415</v>
      </c>
      <c r="K538">
        <v>6</v>
      </c>
      <c r="L538">
        <v>6.2275</v>
      </c>
      <c r="M538">
        <v>5.835</v>
      </c>
      <c r="N538">
        <v>6</v>
      </c>
      <c r="O538">
        <v>4.7290640000000002</v>
      </c>
      <c r="P538">
        <v>22254400</v>
      </c>
      <c r="R538" s="211">
        <f>(O538/O537)*('16. câmbio USD-BRL'!O640/'16. câmbio USD-BRL'!O639)^-1-1</f>
        <v>6.8779628020445571E-3</v>
      </c>
    </row>
    <row r="539" spans="10:18" x14ac:dyDescent="0.2">
      <c r="J539" s="354">
        <v>42422</v>
      </c>
      <c r="K539">
        <v>6.125</v>
      </c>
      <c r="L539">
        <v>6.7324999999999999</v>
      </c>
      <c r="M539">
        <v>6.11</v>
      </c>
      <c r="N539">
        <v>6.51</v>
      </c>
      <c r="O539">
        <v>5.28308</v>
      </c>
      <c r="P539">
        <v>33592400</v>
      </c>
      <c r="R539" s="211">
        <f>(O539/O538)*('16. câmbio USD-BRL'!O641/'16. câmbio USD-BRL'!O640)^-1-1</f>
        <v>0.13538462138238661</v>
      </c>
    </row>
    <row r="540" spans="10:18" x14ac:dyDescent="0.2">
      <c r="J540" s="354">
        <v>42429</v>
      </c>
      <c r="K540">
        <v>6.6475</v>
      </c>
      <c r="L540">
        <v>7.38</v>
      </c>
      <c r="M540">
        <v>6.5525000000000002</v>
      </c>
      <c r="N540">
        <v>7.13</v>
      </c>
      <c r="O540">
        <v>5.7862309999999999</v>
      </c>
      <c r="P540">
        <v>32189600</v>
      </c>
      <c r="R540" s="211">
        <f>(O540/O539)*('16. câmbio USD-BRL'!O642/'16. câmbio USD-BRL'!O641)^-1-1</f>
        <v>0.14018909417466241</v>
      </c>
    </row>
    <row r="541" spans="10:18" x14ac:dyDescent="0.2">
      <c r="J541" s="354">
        <v>42436</v>
      </c>
      <c r="K541">
        <v>7.1550000000000002</v>
      </c>
      <c r="L541">
        <v>7.34</v>
      </c>
      <c r="M541">
        <v>6.8174999999999999</v>
      </c>
      <c r="N541">
        <v>7.1875</v>
      </c>
      <c r="O541">
        <v>5.8328930000000003</v>
      </c>
      <c r="P541">
        <v>25447600</v>
      </c>
      <c r="R541" s="211">
        <f>(O541/O540)*('16. câmbio USD-BRL'!O643/'16. câmbio USD-BRL'!O642)^-1-1</f>
        <v>5.8858039041236543E-2</v>
      </c>
    </row>
    <row r="542" spans="10:18" x14ac:dyDescent="0.2">
      <c r="J542" s="354">
        <v>42443</v>
      </c>
      <c r="K542">
        <v>7.1524999999999999</v>
      </c>
      <c r="L542">
        <v>7.76</v>
      </c>
      <c r="M542">
        <v>7.0075000000000003</v>
      </c>
      <c r="N542">
        <v>7.6025</v>
      </c>
      <c r="O542">
        <v>6.1696790000000004</v>
      </c>
      <c r="P542">
        <v>28008800</v>
      </c>
      <c r="R542" s="211">
        <f>(O542/O541)*('16. câmbio USD-BRL'!O644/'16. câmbio USD-BRL'!O643)^-1-1</f>
        <v>5.566516037190361E-2</v>
      </c>
    </row>
    <row r="543" spans="10:18" x14ac:dyDescent="0.2">
      <c r="J543" s="354">
        <v>42450</v>
      </c>
      <c r="K543">
        <v>7.6524999999999999</v>
      </c>
      <c r="L543">
        <v>7.8875000000000002</v>
      </c>
      <c r="M543">
        <v>7.63</v>
      </c>
      <c r="N543">
        <v>7.75</v>
      </c>
      <c r="O543">
        <v>6.2893809999999997</v>
      </c>
      <c r="P543">
        <v>19010000</v>
      </c>
      <c r="R543" s="211">
        <f>(O543/O542)*('16. câmbio USD-BRL'!O645/'16. câmbio USD-BRL'!O644)^-1-1</f>
        <v>3.8494894627294496E-3</v>
      </c>
    </row>
    <row r="544" spans="10:18" x14ac:dyDescent="0.2">
      <c r="J544" s="354">
        <v>42457</v>
      </c>
      <c r="K544">
        <v>7.87</v>
      </c>
      <c r="L544">
        <v>8.2149999999999999</v>
      </c>
      <c r="M544">
        <v>7.8375000000000004</v>
      </c>
      <c r="N544">
        <v>7.9625000000000004</v>
      </c>
      <c r="O544">
        <v>6.4618320000000002</v>
      </c>
      <c r="P544">
        <v>9743600</v>
      </c>
      <c r="R544" s="211">
        <f>(O544/O543)*('16. câmbio USD-BRL'!O646/'16. câmbio USD-BRL'!O645)^-1-1</f>
        <v>6.4652704295709906E-2</v>
      </c>
    </row>
    <row r="545" spans="10:18" x14ac:dyDescent="0.2">
      <c r="J545" s="354">
        <v>42464</v>
      </c>
      <c r="K545">
        <v>7.75</v>
      </c>
      <c r="L545">
        <v>7.75</v>
      </c>
      <c r="M545">
        <v>7.1574999999999998</v>
      </c>
      <c r="N545">
        <v>7.5274999999999999</v>
      </c>
      <c r="O545">
        <v>6.1088149999999999</v>
      </c>
      <c r="P545">
        <v>4998000</v>
      </c>
      <c r="R545" s="211">
        <f>(O545/O544)*('16. câmbio USD-BRL'!O647/'16. câmbio USD-BRL'!O646)^-1-1</f>
        <v>-6.4542949878818257E-2</v>
      </c>
    </row>
    <row r="546" spans="10:18" x14ac:dyDescent="0.2">
      <c r="J546" s="354">
        <v>42471</v>
      </c>
      <c r="K546">
        <v>7.6174999999999997</v>
      </c>
      <c r="L546">
        <v>8.09</v>
      </c>
      <c r="M546">
        <v>7.4024999999999999</v>
      </c>
      <c r="N546">
        <v>7.9450000000000003</v>
      </c>
      <c r="O546">
        <v>6.4476300000000002</v>
      </c>
      <c r="P546">
        <v>5813600</v>
      </c>
      <c r="R546" s="211">
        <f>(O546/O545)*('16. câmbio USD-BRL'!O648/'16. câmbio USD-BRL'!O647)^-1-1</f>
        <v>7.1963314520273158E-2</v>
      </c>
    </row>
    <row r="547" spans="10:18" x14ac:dyDescent="0.2">
      <c r="J547" s="354">
        <v>42478</v>
      </c>
      <c r="K547">
        <v>7.88</v>
      </c>
      <c r="L547">
        <v>8.3324999999999996</v>
      </c>
      <c r="M547">
        <v>7.57</v>
      </c>
      <c r="N547">
        <v>8.0525000000000002</v>
      </c>
      <c r="O547">
        <v>6.5348689999999996</v>
      </c>
      <c r="P547">
        <v>10761600</v>
      </c>
      <c r="R547" s="211">
        <f>(O547/O546)*('16. câmbio USD-BRL'!O649/'16. câmbio USD-BRL'!O648)^-1-1</f>
        <v>1.5428394991183536E-2</v>
      </c>
    </row>
    <row r="548" spans="10:18" x14ac:dyDescent="0.2">
      <c r="J548" s="354">
        <v>42485</v>
      </c>
      <c r="K548">
        <v>8.0474999999999994</v>
      </c>
      <c r="L548">
        <v>8.2050000000000001</v>
      </c>
      <c r="M548">
        <v>7.5925000000000002</v>
      </c>
      <c r="N548">
        <v>7.96</v>
      </c>
      <c r="O548">
        <v>6.459803</v>
      </c>
      <c r="P548">
        <v>19658800</v>
      </c>
      <c r="R548" s="211">
        <f>(O548/O547)*('16. câmbio USD-BRL'!O650/'16. câmbio USD-BRL'!O649)^-1-1</f>
        <v>1.4890246703091137E-2</v>
      </c>
    </row>
    <row r="549" spans="10:18" x14ac:dyDescent="0.2">
      <c r="J549" s="354">
        <v>42492</v>
      </c>
      <c r="K549">
        <v>8.0250000000000004</v>
      </c>
      <c r="L549">
        <v>8.0474999999999994</v>
      </c>
      <c r="M549">
        <v>7.6675000000000004</v>
      </c>
      <c r="N549">
        <v>7.9050000000000002</v>
      </c>
      <c r="O549">
        <v>6.4151670000000003</v>
      </c>
      <c r="P549">
        <v>11854800</v>
      </c>
      <c r="R549" s="211">
        <f>(O549/O548)*('16. câmbio USD-BRL'!O651/'16. câmbio USD-BRL'!O650)^-1-1</f>
        <v>-3.5102315170032372E-2</v>
      </c>
    </row>
    <row r="550" spans="10:18" x14ac:dyDescent="0.2">
      <c r="J550" s="354">
        <v>42499</v>
      </c>
      <c r="K550">
        <v>7.8525</v>
      </c>
      <c r="L550">
        <v>8.6074999999999999</v>
      </c>
      <c r="M550">
        <v>7.54</v>
      </c>
      <c r="N550">
        <v>8.5675000000000008</v>
      </c>
      <c r="O550">
        <v>6.9528090000000002</v>
      </c>
      <c r="P550">
        <v>20812000</v>
      </c>
      <c r="R550" s="211">
        <f>(O550/O549)*('16. câmbio USD-BRL'!O652/'16. câmbio USD-BRL'!O651)^-1-1</f>
        <v>0.10126308440967158</v>
      </c>
    </row>
    <row r="551" spans="10:18" x14ac:dyDescent="0.2">
      <c r="J551" s="354">
        <v>42506</v>
      </c>
      <c r="K551">
        <v>8.4375</v>
      </c>
      <c r="L551">
        <v>9.0150000000000006</v>
      </c>
      <c r="M551">
        <v>8.1374999999999993</v>
      </c>
      <c r="N551">
        <v>8.4499999999999993</v>
      </c>
      <c r="O551">
        <v>6.8574529999999996</v>
      </c>
      <c r="P551">
        <v>36081600</v>
      </c>
      <c r="R551" s="211">
        <f>(O551/O550)*('16. câmbio USD-BRL'!O653/'16. câmbio USD-BRL'!O652)^-1-1</f>
        <v>-3.5950731904787592E-2</v>
      </c>
    </row>
    <row r="552" spans="10:18" x14ac:dyDescent="0.2">
      <c r="J552" s="354">
        <v>42513</v>
      </c>
      <c r="K552">
        <v>8.2650000000000006</v>
      </c>
      <c r="L552">
        <v>8.68</v>
      </c>
      <c r="M552">
        <v>8.1449999999999996</v>
      </c>
      <c r="N552">
        <v>8.25</v>
      </c>
      <c r="O552">
        <v>6.8377150000000002</v>
      </c>
      <c r="P552">
        <v>11025600</v>
      </c>
      <c r="R552" s="211">
        <f>(O552/O551)*('16. câmbio USD-BRL'!O654/'16. câmbio USD-BRL'!O653)^-1-1</f>
        <v>-1.7135159390467503E-2</v>
      </c>
    </row>
    <row r="553" spans="10:18" x14ac:dyDescent="0.2">
      <c r="J553" s="354">
        <v>42520</v>
      </c>
      <c r="K553">
        <v>8.2074999999999996</v>
      </c>
      <c r="L553">
        <v>8.4574999999999996</v>
      </c>
      <c r="M553">
        <v>8.0374999999999996</v>
      </c>
      <c r="N553">
        <v>8.4024999999999999</v>
      </c>
      <c r="O553">
        <v>6.9641109999999999</v>
      </c>
      <c r="P553">
        <v>16330800</v>
      </c>
      <c r="R553" s="211">
        <f>(O553/O552)*('16. câmbio USD-BRL'!O655/'16. câmbio USD-BRL'!O654)^-1-1</f>
        <v>2.6678293597809821E-2</v>
      </c>
    </row>
    <row r="554" spans="10:18" x14ac:dyDescent="0.2">
      <c r="J554" s="354">
        <v>42527</v>
      </c>
      <c r="K554">
        <v>8.4450000000000003</v>
      </c>
      <c r="L554">
        <v>8.6475000000000009</v>
      </c>
      <c r="M554">
        <v>8.2025000000000006</v>
      </c>
      <c r="N554">
        <v>8.2025000000000006</v>
      </c>
      <c r="O554">
        <v>6.7983469999999997</v>
      </c>
      <c r="P554">
        <v>13539600</v>
      </c>
      <c r="R554" s="211">
        <f>(O554/O553)*('16. câmbio USD-BRL'!O656/'16. câmbio USD-BRL'!O655)^-1-1</f>
        <v>2.914817434526773E-2</v>
      </c>
    </row>
    <row r="555" spans="10:18" x14ac:dyDescent="0.2">
      <c r="J555" s="354">
        <v>42534</v>
      </c>
      <c r="K555">
        <v>8.1050000000000004</v>
      </c>
      <c r="L555">
        <v>8.2949999999999999</v>
      </c>
      <c r="M555">
        <v>7.7750000000000004</v>
      </c>
      <c r="N555">
        <v>8.1850000000000005</v>
      </c>
      <c r="O555">
        <v>6.7838430000000001</v>
      </c>
      <c r="P555">
        <v>18139600</v>
      </c>
      <c r="R555" s="211">
        <f>(O555/O554)*('16. câmbio USD-BRL'!O657/'16. câmbio USD-BRL'!O656)^-1-1</f>
        <v>-7.0748406350676918E-3</v>
      </c>
    </row>
    <row r="556" spans="10:18" x14ac:dyDescent="0.2">
      <c r="J556" s="354">
        <v>42541</v>
      </c>
      <c r="K556">
        <v>8.2650000000000006</v>
      </c>
      <c r="L556">
        <v>8.49</v>
      </c>
      <c r="M556">
        <v>7.8624999999999998</v>
      </c>
      <c r="N556">
        <v>7.9375</v>
      </c>
      <c r="O556">
        <v>6.5787120000000003</v>
      </c>
      <c r="P556">
        <v>18093200</v>
      </c>
      <c r="R556" s="211">
        <f>(O556/O555)*('16. câmbio USD-BRL'!O658/'16. câmbio USD-BRL'!O657)^-1-1</f>
        <v>-8.2100172726543574E-3</v>
      </c>
    </row>
    <row r="557" spans="10:18" x14ac:dyDescent="0.2">
      <c r="J557" s="354">
        <v>42548</v>
      </c>
      <c r="K557">
        <v>7.8775000000000004</v>
      </c>
      <c r="L557">
        <v>8.6274999999999995</v>
      </c>
      <c r="M557">
        <v>7.8650000000000002</v>
      </c>
      <c r="N557">
        <v>8.4224999999999994</v>
      </c>
      <c r="O557">
        <v>6.9806850000000003</v>
      </c>
      <c r="P557">
        <v>23529200</v>
      </c>
      <c r="R557" s="211">
        <f>(O557/O556)*('16. câmbio USD-BRL'!O659/'16. câmbio USD-BRL'!O658)^-1-1</f>
        <v>9.6049541136086436E-2</v>
      </c>
    </row>
    <row r="558" spans="10:18" x14ac:dyDescent="0.2">
      <c r="J558" s="354">
        <v>42555</v>
      </c>
      <c r="K558">
        <v>8.5</v>
      </c>
      <c r="L558">
        <v>8.7125000000000004</v>
      </c>
      <c r="M558">
        <v>8.3275000000000006</v>
      </c>
      <c r="N558">
        <v>8.625</v>
      </c>
      <c r="O558">
        <v>7.1485209999999997</v>
      </c>
      <c r="P558">
        <v>13919200</v>
      </c>
      <c r="R558" s="211">
        <f>(O558/O557)*('16. câmbio USD-BRL'!O660/'16. câmbio USD-BRL'!O659)^-1-1</f>
        <v>3.2061842343307223E-3</v>
      </c>
    </row>
    <row r="559" spans="10:18" x14ac:dyDescent="0.2">
      <c r="J559" s="354">
        <v>42562</v>
      </c>
      <c r="K559">
        <v>8.6274999999999995</v>
      </c>
      <c r="L559">
        <v>8.7925000000000004</v>
      </c>
      <c r="M559">
        <v>8.4250000000000007</v>
      </c>
      <c r="N559">
        <v>8.4550000000000001</v>
      </c>
      <c r="O559">
        <v>7.0076219999999996</v>
      </c>
      <c r="P559">
        <v>16806800</v>
      </c>
      <c r="R559" s="211">
        <f>(O559/O558)*('16. câmbio USD-BRL'!O661/'16. câmbio USD-BRL'!O660)^-1-1</f>
        <v>-1.3397554986257831E-2</v>
      </c>
    </row>
    <row r="560" spans="10:18" x14ac:dyDescent="0.2">
      <c r="J560" s="354">
        <v>42569</v>
      </c>
      <c r="K560">
        <v>8.44</v>
      </c>
      <c r="L560">
        <v>8.74</v>
      </c>
      <c r="M560">
        <v>8.3874999999999993</v>
      </c>
      <c r="N560">
        <v>8.5250000000000004</v>
      </c>
      <c r="O560">
        <v>7.065639</v>
      </c>
      <c r="P560">
        <v>19671600</v>
      </c>
      <c r="R560" s="211">
        <f>(O560/O559)*('16. câmbio USD-BRL'!O662/'16. câmbio USD-BRL'!O661)^-1-1</f>
        <v>1.0746922545500137E-2</v>
      </c>
    </row>
    <row r="561" spans="10:18" x14ac:dyDescent="0.2">
      <c r="J561" s="354">
        <v>42576</v>
      </c>
      <c r="K561">
        <v>8.5500000000000007</v>
      </c>
      <c r="L561">
        <v>8.6649999999999991</v>
      </c>
      <c r="M561">
        <v>8.2925000000000004</v>
      </c>
      <c r="N561">
        <v>8.5124999999999993</v>
      </c>
      <c r="O561">
        <v>7.0552799999999998</v>
      </c>
      <c r="P561">
        <v>16554000</v>
      </c>
      <c r="R561" s="211">
        <f>(O561/O560)*('16. câmbio USD-BRL'!O663/'16. câmbio USD-BRL'!O662)^-1-1</f>
        <v>5.4241496832538871E-3</v>
      </c>
    </row>
    <row r="562" spans="10:18" x14ac:dyDescent="0.2">
      <c r="J562" s="354">
        <v>42583</v>
      </c>
      <c r="K562">
        <v>8.5449999999999999</v>
      </c>
      <c r="L562">
        <v>8.5549999999999997</v>
      </c>
      <c r="M562">
        <v>7.9874999999999998</v>
      </c>
      <c r="N562">
        <v>8.4574999999999996</v>
      </c>
      <c r="O562">
        <v>7.0096949999999998</v>
      </c>
      <c r="P562">
        <v>28470800</v>
      </c>
      <c r="R562" s="211">
        <f>(O562/O561)*('16. câmbio USD-BRL'!O664/'16. câmbio USD-BRL'!O663)^-1-1</f>
        <v>1.2026080889085744E-2</v>
      </c>
    </row>
    <row r="563" spans="10:18" x14ac:dyDescent="0.2">
      <c r="J563" s="354">
        <v>42590</v>
      </c>
      <c r="K563">
        <v>8.4625000000000004</v>
      </c>
      <c r="L563">
        <v>8.6999999999999993</v>
      </c>
      <c r="M563">
        <v>8.26</v>
      </c>
      <c r="N563">
        <v>8.5150000000000006</v>
      </c>
      <c r="O563">
        <v>7.0573519999999998</v>
      </c>
      <c r="P563">
        <v>20487200</v>
      </c>
      <c r="R563" s="211">
        <f>(O563/O562)*('16. câmbio USD-BRL'!O665/'16. câmbio USD-BRL'!O664)^-1-1</f>
        <v>5.6627054905946661E-3</v>
      </c>
    </row>
    <row r="564" spans="10:18" x14ac:dyDescent="0.2">
      <c r="J564" s="354">
        <v>42597</v>
      </c>
      <c r="K564">
        <v>8.48</v>
      </c>
      <c r="L564">
        <v>9.1050000000000004</v>
      </c>
      <c r="M564">
        <v>8.4525000000000006</v>
      </c>
      <c r="N564">
        <v>8.9550000000000001</v>
      </c>
      <c r="O564">
        <v>7.4220290000000002</v>
      </c>
      <c r="P564">
        <v>21088400</v>
      </c>
      <c r="R564" s="211">
        <f>(O564/O563)*('16. câmbio USD-BRL'!O666/'16. câmbio USD-BRL'!O665)^-1-1</f>
        <v>4.7078737446493824E-2</v>
      </c>
    </row>
    <row r="565" spans="10:18" x14ac:dyDescent="0.2">
      <c r="J565" s="354">
        <v>42604</v>
      </c>
      <c r="K565">
        <v>8.9499999999999993</v>
      </c>
      <c r="L565">
        <v>9.1374999999999993</v>
      </c>
      <c r="M565">
        <v>8.7125000000000004</v>
      </c>
      <c r="N565">
        <v>9.0525000000000002</v>
      </c>
      <c r="O565">
        <v>7.50284</v>
      </c>
      <c r="P565">
        <v>13602000</v>
      </c>
      <c r="R565" s="211">
        <f>(O565/O564)*('16. câmbio USD-BRL'!O667/'16. câmbio USD-BRL'!O666)^-1-1</f>
        <v>-7.5700580080874103E-3</v>
      </c>
    </row>
    <row r="566" spans="10:18" x14ac:dyDescent="0.2">
      <c r="J566" s="354">
        <v>42611</v>
      </c>
      <c r="K566">
        <v>9.0724999999999998</v>
      </c>
      <c r="L566">
        <v>9.6374999999999993</v>
      </c>
      <c r="M566">
        <v>8.94</v>
      </c>
      <c r="N566">
        <v>9.5075000000000003</v>
      </c>
      <c r="O566">
        <v>7.8799479999999997</v>
      </c>
      <c r="P566">
        <v>28924400</v>
      </c>
      <c r="R566" s="211">
        <f>(O566/O565)*('16. câmbio USD-BRL'!O668/'16. câmbio USD-BRL'!O667)^-1-1</f>
        <v>5.284245125691367E-2</v>
      </c>
    </row>
    <row r="567" spans="10:18" x14ac:dyDescent="0.2">
      <c r="J567" s="354">
        <v>42618</v>
      </c>
      <c r="K567">
        <v>9.4975000000000005</v>
      </c>
      <c r="L567">
        <v>9.6624999999999996</v>
      </c>
      <c r="M567">
        <v>9.1274999999999995</v>
      </c>
      <c r="N567">
        <v>9.1875</v>
      </c>
      <c r="O567">
        <v>7.6147280000000004</v>
      </c>
      <c r="P567">
        <v>13387200</v>
      </c>
      <c r="R567" s="211">
        <f>(O567/O566)*('16. câmbio USD-BRL'!O669/'16. câmbio USD-BRL'!O668)^-1-1</f>
        <v>-3.8265261001073414E-2</v>
      </c>
    </row>
    <row r="568" spans="10:18" x14ac:dyDescent="0.2">
      <c r="J568" s="354">
        <v>42625</v>
      </c>
      <c r="K568">
        <v>9.1875</v>
      </c>
      <c r="L568">
        <v>9.3149999999999995</v>
      </c>
      <c r="M568">
        <v>8.8350000000000009</v>
      </c>
      <c r="N568">
        <v>8.8375000000000004</v>
      </c>
      <c r="O568">
        <v>7.3246440000000002</v>
      </c>
      <c r="P568">
        <v>18541200</v>
      </c>
      <c r="R568" s="211">
        <f>(O568/O567)*('16. câmbio USD-BRL'!O670/'16. câmbio USD-BRL'!O669)^-1-1</f>
        <v>-3.6268814581919107E-2</v>
      </c>
    </row>
    <row r="569" spans="10:18" x14ac:dyDescent="0.2">
      <c r="J569" s="354">
        <v>42632</v>
      </c>
      <c r="K569">
        <v>8.8375000000000004</v>
      </c>
      <c r="L569">
        <v>9.5850000000000009</v>
      </c>
      <c r="M569">
        <v>8.8375000000000004</v>
      </c>
      <c r="N569">
        <v>9.3125</v>
      </c>
      <c r="O569">
        <v>7.7183310000000001</v>
      </c>
      <c r="P569">
        <v>21309600</v>
      </c>
      <c r="R569" s="211">
        <f>(O569/O568)*('16. câmbio USD-BRL'!O671/'16. câmbio USD-BRL'!O670)^-1-1</f>
        <v>6.0993771871556968E-2</v>
      </c>
    </row>
    <row r="570" spans="10:18" x14ac:dyDescent="0.2">
      <c r="J570" s="354">
        <v>42639</v>
      </c>
      <c r="K570">
        <v>9.2725000000000009</v>
      </c>
      <c r="L570">
        <v>9.5</v>
      </c>
      <c r="M570">
        <v>9.0675000000000008</v>
      </c>
      <c r="N570">
        <v>9.4275000000000002</v>
      </c>
      <c r="O570">
        <v>7.813644</v>
      </c>
      <c r="P570">
        <v>13248000</v>
      </c>
      <c r="R570" s="211">
        <f>(O570/O569)*('16. câmbio USD-BRL'!O672/'16. câmbio USD-BRL'!O671)^-1-1</f>
        <v>7.1936914754950898E-3</v>
      </c>
    </row>
    <row r="571" spans="10:18" x14ac:dyDescent="0.2">
      <c r="J571" s="354">
        <v>42646</v>
      </c>
      <c r="K571">
        <v>9.4375</v>
      </c>
      <c r="L571">
        <v>10.220000000000001</v>
      </c>
      <c r="M571">
        <v>9.4024999999999999</v>
      </c>
      <c r="N571">
        <v>10.1</v>
      </c>
      <c r="O571">
        <v>8.3710210000000007</v>
      </c>
      <c r="P571">
        <v>21351200</v>
      </c>
      <c r="R571" s="211">
        <f>(O571/O570)*('16. câmbio USD-BRL'!O673/'16. câmbio USD-BRL'!O672)^-1-1</f>
        <v>8.4811591121255248E-2</v>
      </c>
    </row>
    <row r="572" spans="10:18" x14ac:dyDescent="0.2">
      <c r="J572" s="354">
        <v>42653</v>
      </c>
      <c r="K572">
        <v>10.1</v>
      </c>
      <c r="L572">
        <v>10.4475</v>
      </c>
      <c r="M572">
        <v>9.9024999999999999</v>
      </c>
      <c r="N572">
        <v>10.362500000000001</v>
      </c>
      <c r="O572">
        <v>8.5885859999999994</v>
      </c>
      <c r="P572">
        <v>25520400</v>
      </c>
      <c r="R572" s="211">
        <f>(O572/O571)*('16. câmbio USD-BRL'!O674/'16. câmbio USD-BRL'!O673)^-1-1</f>
        <v>3.1533553811628368E-2</v>
      </c>
    </row>
    <row r="573" spans="10:18" x14ac:dyDescent="0.2">
      <c r="J573" s="354">
        <v>42660</v>
      </c>
      <c r="K573">
        <v>10.38</v>
      </c>
      <c r="L573">
        <v>11.092499999999999</v>
      </c>
      <c r="M573">
        <v>10.2775</v>
      </c>
      <c r="N573">
        <v>10.8325</v>
      </c>
      <c r="O573">
        <v>8.9781270000000006</v>
      </c>
      <c r="P573">
        <v>19345200</v>
      </c>
      <c r="R573" s="211">
        <f>(O573/O572)*('16. câmbio USD-BRL'!O675/'16. câmbio USD-BRL'!O674)^-1-1</f>
        <v>6.2983527058428024E-2</v>
      </c>
    </row>
    <row r="574" spans="10:18" x14ac:dyDescent="0.2">
      <c r="J574" s="354">
        <v>42667</v>
      </c>
      <c r="K574">
        <v>10.845000000000001</v>
      </c>
      <c r="L574">
        <v>10.907500000000001</v>
      </c>
      <c r="M574">
        <v>10.202500000000001</v>
      </c>
      <c r="N574">
        <v>10.654999999999999</v>
      </c>
      <c r="O574">
        <v>8.8310119999999994</v>
      </c>
      <c r="P574">
        <v>17354800</v>
      </c>
      <c r="R574" s="211">
        <f>(O574/O573)*('16. câmbio USD-BRL'!O676/'16. câmbio USD-BRL'!O675)^-1-1</f>
        <v>-3.3029773910341675E-2</v>
      </c>
    </row>
    <row r="575" spans="10:18" x14ac:dyDescent="0.2">
      <c r="J575" s="354">
        <v>42674</v>
      </c>
      <c r="K575">
        <v>10.692500000000001</v>
      </c>
      <c r="L575">
        <v>10.782500000000001</v>
      </c>
      <c r="M575">
        <v>10.077500000000001</v>
      </c>
      <c r="N575">
        <v>10.164999999999999</v>
      </c>
      <c r="O575">
        <v>8.4248930000000009</v>
      </c>
      <c r="P575">
        <v>11982400</v>
      </c>
      <c r="R575" s="211">
        <f>(O575/O574)*('16. câmbio USD-BRL'!O677/'16. câmbio USD-BRL'!O676)^-1-1</f>
        <v>-5.4606190567020096E-2</v>
      </c>
    </row>
    <row r="576" spans="10:18" x14ac:dyDescent="0.2">
      <c r="J576" s="354">
        <v>42681</v>
      </c>
      <c r="K576">
        <v>10.297499999999999</v>
      </c>
      <c r="L576">
        <v>10.8225</v>
      </c>
      <c r="M576">
        <v>9.1875</v>
      </c>
      <c r="N576">
        <v>9.25</v>
      </c>
      <c r="O576">
        <v>7.6665299999999998</v>
      </c>
      <c r="P576">
        <v>26022000</v>
      </c>
      <c r="R576" s="211">
        <f>(O576/O575)*('16. câmbio USD-BRL'!O678/'16. câmbio USD-BRL'!O677)^-1-1</f>
        <v>-0.13234632693410275</v>
      </c>
    </row>
    <row r="577" spans="10:18" x14ac:dyDescent="0.2">
      <c r="J577" s="354">
        <v>42688</v>
      </c>
      <c r="K577">
        <v>9.2249999999999996</v>
      </c>
      <c r="L577">
        <v>9.6449999999999996</v>
      </c>
      <c r="M577">
        <v>8.7925000000000004</v>
      </c>
      <c r="N577">
        <v>9.2375000000000007</v>
      </c>
      <c r="O577">
        <v>7.6561690000000002</v>
      </c>
      <c r="P577">
        <v>26773600</v>
      </c>
      <c r="R577" s="211">
        <f>(O577/O576)*('16. câmbio USD-BRL'!O679/'16. câmbio USD-BRL'!O678)^-1-1</f>
        <v>9.2202182470813021E-4</v>
      </c>
    </row>
    <row r="578" spans="10:18" x14ac:dyDescent="0.2">
      <c r="J578" s="354">
        <v>42695</v>
      </c>
      <c r="K578">
        <v>9.26</v>
      </c>
      <c r="L578">
        <v>9.7249999999999996</v>
      </c>
      <c r="M578">
        <v>9.02</v>
      </c>
      <c r="N578">
        <v>9.6125000000000007</v>
      </c>
      <c r="O578">
        <v>7.9669759999999998</v>
      </c>
      <c r="P578">
        <v>22991600</v>
      </c>
      <c r="R578" s="211">
        <f>(O578/O577)*('16. câmbio USD-BRL'!O680/'16. câmbio USD-BRL'!O679)^-1-1</f>
        <v>2.8823910437813405E-2</v>
      </c>
    </row>
    <row r="579" spans="10:18" x14ac:dyDescent="0.2">
      <c r="J579" s="354">
        <v>42702</v>
      </c>
      <c r="K579">
        <v>9.6125000000000007</v>
      </c>
      <c r="L579">
        <v>9.9924999999999997</v>
      </c>
      <c r="M579">
        <v>9.0775000000000006</v>
      </c>
      <c r="N579">
        <v>9.5474999999999994</v>
      </c>
      <c r="O579">
        <v>7.9131010000000002</v>
      </c>
      <c r="P579">
        <v>21098400</v>
      </c>
      <c r="R579" s="211">
        <f>(O579/O578)*('16. câmbio USD-BRL'!O681/'16. câmbio USD-BRL'!O680)^-1-1</f>
        <v>-2.2112353058744483E-2</v>
      </c>
    </row>
    <row r="580" spans="10:18" x14ac:dyDescent="0.2">
      <c r="J580" s="354">
        <v>42709</v>
      </c>
      <c r="K580">
        <v>9.5749999999999993</v>
      </c>
      <c r="L580">
        <v>9.9450000000000003</v>
      </c>
      <c r="M580">
        <v>9.14</v>
      </c>
      <c r="N580">
        <v>9.69</v>
      </c>
      <c r="O580">
        <v>8.0312079999999995</v>
      </c>
      <c r="P580">
        <v>20484400</v>
      </c>
      <c r="R580" s="211">
        <f>(O580/O579)*('16. câmbio USD-BRL'!O682/'16. câmbio USD-BRL'!O681)^-1-1</f>
        <v>4.428831498103003E-2</v>
      </c>
    </row>
    <row r="581" spans="10:18" x14ac:dyDescent="0.2">
      <c r="J581" s="354">
        <v>42716</v>
      </c>
      <c r="K581">
        <v>9.5274999999999999</v>
      </c>
      <c r="L581">
        <v>9.6300000000000008</v>
      </c>
      <c r="M581">
        <v>8.9024999999999999</v>
      </c>
      <c r="N581">
        <v>9.2874999999999996</v>
      </c>
      <c r="O581">
        <v>7.6976100000000001</v>
      </c>
      <c r="P581">
        <v>15757200</v>
      </c>
      <c r="R581" s="211">
        <f>(O581/O580)*('16. câmbio USD-BRL'!O683/'16. câmbio USD-BRL'!O682)^-1-1</f>
        <v>-4.5325876403037202E-2</v>
      </c>
    </row>
    <row r="582" spans="10:18" x14ac:dyDescent="0.2">
      <c r="J582" s="354">
        <v>42723</v>
      </c>
      <c r="K582">
        <v>9.2925000000000004</v>
      </c>
      <c r="L582">
        <v>9.4</v>
      </c>
      <c r="M582">
        <v>8.9749999999999996</v>
      </c>
      <c r="N582">
        <v>9.2225000000000001</v>
      </c>
      <c r="O582">
        <v>7.794111</v>
      </c>
      <c r="P582">
        <v>8936400</v>
      </c>
      <c r="R582" s="211">
        <f>(O582/O581)*('16. câmbio USD-BRL'!O684/'16. câmbio USD-BRL'!O683)^-1-1</f>
        <v>4.9978195731471775E-2</v>
      </c>
    </row>
    <row r="583" spans="10:18" x14ac:dyDescent="0.2">
      <c r="J583" s="354">
        <v>42730</v>
      </c>
      <c r="K583">
        <v>9.27</v>
      </c>
      <c r="L583">
        <v>9.5425000000000004</v>
      </c>
      <c r="M583">
        <v>8.7524999999999995</v>
      </c>
      <c r="N583">
        <v>9.5374999999999996</v>
      </c>
      <c r="O583">
        <v>8.0603250000000006</v>
      </c>
      <c r="P583">
        <v>12566000</v>
      </c>
      <c r="R583" s="211">
        <f>(O583/O582)*('16. câmbio USD-BRL'!O685/'16. câmbio USD-BRL'!O684)^-1-1</f>
        <v>3.9337374776360123E-2</v>
      </c>
    </row>
    <row r="584" spans="10:18" x14ac:dyDescent="0.2">
      <c r="J584" s="354">
        <v>42737</v>
      </c>
      <c r="K584">
        <v>9.4049999999999994</v>
      </c>
      <c r="L584">
        <v>9.92</v>
      </c>
      <c r="M584">
        <v>9.2424999999999997</v>
      </c>
      <c r="N584">
        <v>9.4824999999999999</v>
      </c>
      <c r="O584">
        <v>8.0138440000000006</v>
      </c>
      <c r="P584">
        <v>16299600</v>
      </c>
      <c r="R584" s="211">
        <f>(O584/O583)*('16. câmbio USD-BRL'!O686/'16. câmbio USD-BRL'!O685)^-1-1</f>
        <v>3.7986356366335183E-3</v>
      </c>
    </row>
    <row r="585" spans="10:18" x14ac:dyDescent="0.2">
      <c r="J585" s="354">
        <v>42744</v>
      </c>
      <c r="K585">
        <v>9.4875000000000007</v>
      </c>
      <c r="L585">
        <v>9.8074999999999992</v>
      </c>
      <c r="M585">
        <v>9.2125000000000004</v>
      </c>
      <c r="N585">
        <v>9.6549999999999994</v>
      </c>
      <c r="O585">
        <v>8.1596250000000001</v>
      </c>
      <c r="P585">
        <v>17170000</v>
      </c>
      <c r="R585" s="211">
        <f>(O585/O584)*('16. câmbio USD-BRL'!O687/'16. câmbio USD-BRL'!O686)^-1-1</f>
        <v>2.9501540146280369E-2</v>
      </c>
    </row>
    <row r="586" spans="10:18" x14ac:dyDescent="0.2">
      <c r="J586" s="354">
        <v>42751</v>
      </c>
      <c r="K586">
        <v>9.625</v>
      </c>
      <c r="L586">
        <v>10.102499999999999</v>
      </c>
      <c r="M586">
        <v>9.5500000000000007</v>
      </c>
      <c r="N586">
        <v>10.067500000000001</v>
      </c>
      <c r="O586">
        <v>8.5082389999999997</v>
      </c>
      <c r="P586">
        <v>14759600</v>
      </c>
      <c r="R586" s="211">
        <f>(O586/O585)*('16. câmbio USD-BRL'!O688/'16. câmbio USD-BRL'!O687)^-1-1</f>
        <v>5.7490912771044567E-2</v>
      </c>
    </row>
    <row r="587" spans="10:18" x14ac:dyDescent="0.2">
      <c r="J587" s="354">
        <v>42758</v>
      </c>
      <c r="K587">
        <v>10.095000000000001</v>
      </c>
      <c r="L587">
        <v>10.3475</v>
      </c>
      <c r="M587">
        <v>9.9149999999999991</v>
      </c>
      <c r="N587">
        <v>10.137499999999999</v>
      </c>
      <c r="O587">
        <v>8.5673949999999994</v>
      </c>
      <c r="P587">
        <v>16669600</v>
      </c>
      <c r="R587" s="211">
        <f>(O587/O586)*('16. câmbio USD-BRL'!O689/'16. câmbio USD-BRL'!O688)^-1-1</f>
        <v>1.7541726386908207E-2</v>
      </c>
    </row>
    <row r="588" spans="10:18" x14ac:dyDescent="0.2">
      <c r="J588" s="354">
        <v>42765</v>
      </c>
      <c r="K588">
        <v>10.06</v>
      </c>
      <c r="L588">
        <v>10.75</v>
      </c>
      <c r="M588">
        <v>9.8475000000000001</v>
      </c>
      <c r="N588">
        <v>10.6625</v>
      </c>
      <c r="O588">
        <v>9.0110860000000006</v>
      </c>
      <c r="P588">
        <v>15696800</v>
      </c>
      <c r="R588" s="211">
        <f>(O588/O587)*('16. câmbio USD-BRL'!O690/'16. câmbio USD-BRL'!O689)^-1-1</f>
        <v>4.8450380545841831E-2</v>
      </c>
    </row>
    <row r="589" spans="10:18" x14ac:dyDescent="0.2">
      <c r="J589" s="354">
        <v>42772</v>
      </c>
      <c r="K589">
        <v>10.6625</v>
      </c>
      <c r="L589">
        <v>10.81</v>
      </c>
      <c r="M589">
        <v>10.1775</v>
      </c>
      <c r="N589">
        <v>10.487500000000001</v>
      </c>
      <c r="O589">
        <v>8.8631890000000002</v>
      </c>
      <c r="P589">
        <v>17173200</v>
      </c>
      <c r="R589" s="211">
        <f>(O589/O588)*('16. câmbio USD-BRL'!O691/'16. câmbio USD-BRL'!O690)^-1-1</f>
        <v>-1.2487424568181082E-2</v>
      </c>
    </row>
    <row r="590" spans="10:18" x14ac:dyDescent="0.2">
      <c r="J590" s="354">
        <v>42779</v>
      </c>
      <c r="K590">
        <v>10.515000000000001</v>
      </c>
      <c r="L590">
        <v>10.875</v>
      </c>
      <c r="M590">
        <v>10.2925</v>
      </c>
      <c r="N590">
        <v>10.65</v>
      </c>
      <c r="O590">
        <v>9.0005199999999999</v>
      </c>
      <c r="P590">
        <v>18944800</v>
      </c>
      <c r="R590" s="211">
        <f>(O590/O589)*('16. câmbio USD-BRL'!O692/'16. câmbio USD-BRL'!O691)^-1-1</f>
        <v>1.9299974945133913E-2</v>
      </c>
    </row>
    <row r="591" spans="10:18" x14ac:dyDescent="0.2">
      <c r="J591" s="354">
        <v>42786</v>
      </c>
      <c r="K591">
        <v>10.715</v>
      </c>
      <c r="L591">
        <v>10.852499999999999</v>
      </c>
      <c r="M591">
        <v>9.8125</v>
      </c>
      <c r="N591">
        <v>9.9749999999999996</v>
      </c>
      <c r="O591">
        <v>8.4300650000000008</v>
      </c>
      <c r="P591">
        <v>24244400</v>
      </c>
      <c r="R591" s="211">
        <f>(O591/O590)*('16. câmbio USD-BRL'!O693/'16. câmbio USD-BRL'!O692)^-1-1</f>
        <v>-6.3107830553721933E-2</v>
      </c>
    </row>
    <row r="592" spans="10:18" x14ac:dyDescent="0.2">
      <c r="J592" s="354">
        <v>42793</v>
      </c>
      <c r="K592">
        <v>9.9749999999999996</v>
      </c>
      <c r="L592">
        <v>10.065</v>
      </c>
      <c r="M592">
        <v>9.5175000000000001</v>
      </c>
      <c r="N592">
        <v>9.6024999999999991</v>
      </c>
      <c r="O592">
        <v>8.1152569999999997</v>
      </c>
      <c r="P592">
        <v>19158400</v>
      </c>
      <c r="R592" s="211">
        <f>(O592/O591)*('16. câmbio USD-BRL'!O694/'16. câmbio USD-BRL'!O693)^-1-1</f>
        <v>-4.5180495680699262E-2</v>
      </c>
    </row>
    <row r="593" spans="10:18" x14ac:dyDescent="0.2">
      <c r="J593" s="354">
        <v>42800</v>
      </c>
      <c r="K593">
        <v>9.5574999999999992</v>
      </c>
      <c r="L593">
        <v>9.8574999999999999</v>
      </c>
      <c r="M593">
        <v>9.3375000000000004</v>
      </c>
      <c r="N593">
        <v>9.5150000000000006</v>
      </c>
      <c r="O593">
        <v>8.041309</v>
      </c>
      <c r="P593">
        <v>27583200</v>
      </c>
      <c r="R593" s="211">
        <f>(O593/O592)*('16. câmbio USD-BRL'!O695/'16. câmbio USD-BRL'!O694)^-1-1</f>
        <v>-1.7769697745747548E-2</v>
      </c>
    </row>
    <row r="594" spans="10:18" x14ac:dyDescent="0.2">
      <c r="J594" s="354">
        <v>42807</v>
      </c>
      <c r="K594">
        <v>9.6274999999999995</v>
      </c>
      <c r="L594">
        <v>9.8524999999999991</v>
      </c>
      <c r="M594">
        <v>9.2524999999999995</v>
      </c>
      <c r="N594">
        <v>9.4625000000000004</v>
      </c>
      <c r="O594">
        <v>7.9969409999999996</v>
      </c>
      <c r="P594">
        <v>27928000</v>
      </c>
      <c r="R594" s="211">
        <f>(O594/O593)*('16. câmbio USD-BRL'!O696/'16. câmbio USD-BRL'!O695)^-1-1</f>
        <v>1.4104075156814888E-2</v>
      </c>
    </row>
    <row r="595" spans="10:18" x14ac:dyDescent="0.2">
      <c r="J595" s="354">
        <v>42814</v>
      </c>
      <c r="K595">
        <v>9.3224999999999998</v>
      </c>
      <c r="L595">
        <v>9.6974999999999998</v>
      </c>
      <c r="M595">
        <v>8.9824999999999999</v>
      </c>
      <c r="N595">
        <v>9.4075000000000006</v>
      </c>
      <c r="O595">
        <v>7.9504599999999996</v>
      </c>
      <c r="P595">
        <v>22067600</v>
      </c>
      <c r="R595" s="211">
        <f>(O595/O594)*('16. câmbio USD-BRL'!O697/'16. câmbio USD-BRL'!O696)^-1-1</f>
        <v>-1.3197540528767426E-2</v>
      </c>
    </row>
    <row r="596" spans="10:18" x14ac:dyDescent="0.2">
      <c r="J596" s="354">
        <v>42821</v>
      </c>
      <c r="K596">
        <v>9.375</v>
      </c>
      <c r="L596">
        <v>9.8000000000000007</v>
      </c>
      <c r="M596">
        <v>9.2550000000000008</v>
      </c>
      <c r="N596">
        <v>9.7149999999999999</v>
      </c>
      <c r="O596">
        <v>8.2103339999999996</v>
      </c>
      <c r="P596">
        <v>21331600</v>
      </c>
      <c r="R596" s="211">
        <f>(O596/O595)*('16. câmbio USD-BRL'!O698/'16. câmbio USD-BRL'!O697)^-1-1</f>
        <v>2.868400067417487E-2</v>
      </c>
    </row>
    <row r="597" spans="10:18" x14ac:dyDescent="0.2">
      <c r="J597" s="354">
        <v>42828</v>
      </c>
      <c r="K597">
        <v>9.7074999999999996</v>
      </c>
      <c r="L597">
        <v>9.9574999999999996</v>
      </c>
      <c r="M597">
        <v>9.35</v>
      </c>
      <c r="N597">
        <v>9.6750000000000007</v>
      </c>
      <c r="O597">
        <v>8.1765299999999996</v>
      </c>
      <c r="P597">
        <v>21761600</v>
      </c>
      <c r="R597" s="211">
        <f>(O597/O596)*('16. câmbio USD-BRL'!O699/'16. câmbio USD-BRL'!O698)^-1-1</f>
        <v>-1.1369361763972297E-2</v>
      </c>
    </row>
    <row r="598" spans="10:18" x14ac:dyDescent="0.2">
      <c r="J598" s="354">
        <v>42835</v>
      </c>
      <c r="K598">
        <v>9.6750000000000007</v>
      </c>
      <c r="L598">
        <v>9.94</v>
      </c>
      <c r="M598">
        <v>9.3625000000000007</v>
      </c>
      <c r="N598">
        <v>9.5500000000000007</v>
      </c>
      <c r="O598">
        <v>8.0708889999999993</v>
      </c>
      <c r="P598">
        <v>12369600</v>
      </c>
      <c r="R598" s="211">
        <f>(O598/O597)*('16. câmbio USD-BRL'!O700/'16. câmbio USD-BRL'!O699)^-1-1</f>
        <v>-1.2606041728290607E-2</v>
      </c>
    </row>
    <row r="599" spans="10:18" x14ac:dyDescent="0.2">
      <c r="J599" s="354">
        <v>42842</v>
      </c>
      <c r="K599">
        <v>9.5850000000000009</v>
      </c>
      <c r="L599">
        <v>9.6649999999999991</v>
      </c>
      <c r="M599">
        <v>9.0399999999999991</v>
      </c>
      <c r="N599">
        <v>9.0574999999999992</v>
      </c>
      <c r="O599">
        <v>7.6546669999999999</v>
      </c>
      <c r="P599">
        <v>14496800</v>
      </c>
      <c r="R599" s="211">
        <f>(O599/O598)*('16. câmbio USD-BRL'!O701/'16. câmbio USD-BRL'!O700)^-1-1</f>
        <v>-5.2505098864537469E-2</v>
      </c>
    </row>
    <row r="600" spans="10:18" x14ac:dyDescent="0.2">
      <c r="J600" s="354">
        <v>42849</v>
      </c>
      <c r="K600">
        <v>9.2074999999999996</v>
      </c>
      <c r="L600">
        <v>9.2774999999999999</v>
      </c>
      <c r="M600">
        <v>8.82</v>
      </c>
      <c r="N600">
        <v>9.2774999999999999</v>
      </c>
      <c r="O600">
        <v>7.8405930000000001</v>
      </c>
      <c r="P600">
        <v>20479200</v>
      </c>
      <c r="R600" s="211">
        <f>(O600/O599)*('16. câmbio USD-BRL'!O702/'16. câmbio USD-BRL'!O701)^-1-1</f>
        <v>1.4840012087735888E-2</v>
      </c>
    </row>
    <row r="601" spans="10:18" x14ac:dyDescent="0.2">
      <c r="J601" s="354">
        <v>42856</v>
      </c>
      <c r="K601">
        <v>9.2774999999999999</v>
      </c>
      <c r="L601">
        <v>9.3424999999999994</v>
      </c>
      <c r="M601">
        <v>8.6024999999999991</v>
      </c>
      <c r="N601">
        <v>8.8149999999999995</v>
      </c>
      <c r="O601">
        <v>7.4497270000000002</v>
      </c>
      <c r="P601">
        <v>21702400</v>
      </c>
      <c r="R601" s="211">
        <f>(O601/O600)*('16. câmbio USD-BRL'!O703/'16. câmbio USD-BRL'!O702)^-1-1</f>
        <v>-5.0329994594066729E-2</v>
      </c>
    </row>
    <row r="602" spans="10:18" x14ac:dyDescent="0.2">
      <c r="J602" s="354">
        <v>42863</v>
      </c>
      <c r="K602">
        <v>8.8275000000000006</v>
      </c>
      <c r="L602">
        <v>9.6</v>
      </c>
      <c r="M602">
        <v>8.8149999999999995</v>
      </c>
      <c r="N602">
        <v>9.3825000000000003</v>
      </c>
      <c r="O602">
        <v>8.1335259999999998</v>
      </c>
      <c r="P602">
        <v>24488800</v>
      </c>
      <c r="R602" s="211">
        <f>(O602/O601)*('16. câmbio USD-BRL'!O704/'16. câmbio USD-BRL'!O703)^-1-1</f>
        <v>9.1788464194728192E-2</v>
      </c>
    </row>
    <row r="603" spans="10:18" x14ac:dyDescent="0.2">
      <c r="J603" s="354">
        <v>42870</v>
      </c>
      <c r="K603">
        <v>9.3550000000000004</v>
      </c>
      <c r="L603">
        <v>9.7925000000000004</v>
      </c>
      <c r="M603">
        <v>8.2524999999999995</v>
      </c>
      <c r="N603">
        <v>8.9474999999999998</v>
      </c>
      <c r="O603">
        <v>7.7564330000000004</v>
      </c>
      <c r="P603">
        <v>33888800</v>
      </c>
      <c r="R603" s="211">
        <f>(O603/O602)*('16. câmbio USD-BRL'!O705/'16. câmbio USD-BRL'!O704)^-1-1</f>
        <v>-6.8523362195947235E-2</v>
      </c>
    </row>
    <row r="604" spans="10:18" x14ac:dyDescent="0.2">
      <c r="J604" s="354">
        <v>42877</v>
      </c>
      <c r="K604">
        <v>8.7100000000000009</v>
      </c>
      <c r="L604">
        <v>9.24</v>
      </c>
      <c r="M604">
        <v>8.5775000000000006</v>
      </c>
      <c r="N604">
        <v>9.14</v>
      </c>
      <c r="O604">
        <v>7.9233060000000002</v>
      </c>
      <c r="P604">
        <v>34476800</v>
      </c>
      <c r="R604" s="211">
        <f>(O604/O603)*('16. câmbio USD-BRL'!O706/'16. câmbio USD-BRL'!O705)^-1-1</f>
        <v>4.5816772432718533E-2</v>
      </c>
    </row>
    <row r="605" spans="10:18" x14ac:dyDescent="0.2">
      <c r="J605" s="354">
        <v>42884</v>
      </c>
      <c r="K605">
        <v>9.14</v>
      </c>
      <c r="L605">
        <v>9.35</v>
      </c>
      <c r="M605">
        <v>9.0024999999999995</v>
      </c>
      <c r="N605">
        <v>9.0024999999999995</v>
      </c>
      <c r="O605">
        <v>7.8041119999999999</v>
      </c>
      <c r="P605">
        <v>33668400</v>
      </c>
      <c r="R605" s="211">
        <f>(O605/O604)*('16. câmbio USD-BRL'!O707/'16. câmbio USD-BRL'!O706)^-1-1</f>
        <v>-3.6717846903002505E-2</v>
      </c>
    </row>
    <row r="606" spans="10:18" x14ac:dyDescent="0.2">
      <c r="J606" s="354">
        <v>42891</v>
      </c>
      <c r="K606">
        <v>8.9</v>
      </c>
      <c r="L606">
        <v>8.9124999999999996</v>
      </c>
      <c r="M606">
        <v>8</v>
      </c>
      <c r="N606">
        <v>8.0724999999999998</v>
      </c>
      <c r="O606">
        <v>6.9979100000000001</v>
      </c>
      <c r="P606">
        <v>44426000</v>
      </c>
      <c r="R606" s="211">
        <f>(O606/O605)*('16. câmbio USD-BRL'!O708/'16. câmbio USD-BRL'!O707)^-1-1</f>
        <v>-8.3128634130511192E-2</v>
      </c>
    </row>
    <row r="607" spans="10:18" x14ac:dyDescent="0.2">
      <c r="J607" s="354">
        <v>42898</v>
      </c>
      <c r="K607">
        <v>8.0399999999999991</v>
      </c>
      <c r="L607">
        <v>8.1524999999999999</v>
      </c>
      <c r="M607">
        <v>7.73</v>
      </c>
      <c r="N607">
        <v>7.7750000000000004</v>
      </c>
      <c r="O607">
        <v>6.7400130000000003</v>
      </c>
      <c r="P607">
        <v>35744000</v>
      </c>
      <c r="R607" s="211">
        <f>(O607/O606)*('16. câmbio USD-BRL'!O709/'16. câmbio USD-BRL'!O708)^-1-1</f>
        <v>-6.9333196715276268E-2</v>
      </c>
    </row>
    <row r="608" spans="10:18" x14ac:dyDescent="0.2">
      <c r="J608" s="354">
        <v>42905</v>
      </c>
      <c r="K608">
        <v>7.79</v>
      </c>
      <c r="L608">
        <v>7.9725000000000001</v>
      </c>
      <c r="M608">
        <v>7.4775</v>
      </c>
      <c r="N608">
        <v>7.95</v>
      </c>
      <c r="O608">
        <v>6.8917169999999999</v>
      </c>
      <c r="P608">
        <v>29527200</v>
      </c>
      <c r="R608" s="211">
        <f>(O608/O607)*('16. câmbio USD-BRL'!O710/'16. câmbio USD-BRL'!O709)^-1-1</f>
        <v>6.3204264748919492E-3</v>
      </c>
    </row>
    <row r="609" spans="10:18" x14ac:dyDescent="0.2">
      <c r="J609" s="354">
        <v>42912</v>
      </c>
      <c r="K609">
        <v>8</v>
      </c>
      <c r="L609">
        <v>8.6824999999999992</v>
      </c>
      <c r="M609">
        <v>7.9749999999999996</v>
      </c>
      <c r="N609">
        <v>8.6449999999999996</v>
      </c>
      <c r="O609">
        <v>7.4942010000000003</v>
      </c>
      <c r="P609">
        <v>30221200</v>
      </c>
      <c r="R609" s="211">
        <f>(O609/O608)*('16. câmbio USD-BRL'!O711/'16. câmbio USD-BRL'!O710)^-1-1</f>
        <v>0.14347447115582956</v>
      </c>
    </row>
    <row r="610" spans="10:18" x14ac:dyDescent="0.2">
      <c r="J610" s="354">
        <v>42919</v>
      </c>
      <c r="K610">
        <v>8.6475000000000009</v>
      </c>
      <c r="L610">
        <v>8.65</v>
      </c>
      <c r="M610">
        <v>8.1925000000000008</v>
      </c>
      <c r="N610">
        <v>8.3000000000000007</v>
      </c>
      <c r="O610">
        <v>7.1951270000000003</v>
      </c>
      <c r="P610">
        <v>19464800</v>
      </c>
      <c r="R610" s="211">
        <f>(O610/O609)*('16. câmbio USD-BRL'!O712/'16. câmbio USD-BRL'!O711)^-1-1</f>
        <v>-3.9907389727070308E-2</v>
      </c>
    </row>
    <row r="611" spans="10:18" x14ac:dyDescent="0.2">
      <c r="J611" s="354">
        <v>42926</v>
      </c>
      <c r="K611">
        <v>8.3000000000000007</v>
      </c>
      <c r="L611">
        <v>8.9525000000000006</v>
      </c>
      <c r="M611">
        <v>8.2949999999999999</v>
      </c>
      <c r="N611">
        <v>8.875</v>
      </c>
      <c r="O611">
        <v>7.6935830000000003</v>
      </c>
      <c r="P611">
        <v>18935600</v>
      </c>
      <c r="R611" s="211">
        <f>(O611/O610)*('16. câmbio USD-BRL'!O713/'16. câmbio USD-BRL'!O712)^-1-1</f>
        <v>6.927688698198109E-2</v>
      </c>
    </row>
    <row r="612" spans="10:18" x14ac:dyDescent="0.2">
      <c r="J612" s="354">
        <v>42933</v>
      </c>
      <c r="K612">
        <v>8.8774999999999995</v>
      </c>
      <c r="L612">
        <v>9.125</v>
      </c>
      <c r="M612">
        <v>8.7225000000000001</v>
      </c>
      <c r="N612">
        <v>8.875</v>
      </c>
      <c r="O612">
        <v>7.6935830000000003</v>
      </c>
      <c r="P612">
        <v>24339200</v>
      </c>
      <c r="R612" s="211">
        <f>(O612/O611)*('16. câmbio USD-BRL'!O714/'16. câmbio USD-BRL'!O713)^-1-1</f>
        <v>0</v>
      </c>
    </row>
    <row r="613" spans="10:18" x14ac:dyDescent="0.2">
      <c r="J613" s="354">
        <v>42940</v>
      </c>
      <c r="K613">
        <v>8.875</v>
      </c>
      <c r="L613">
        <v>9.1074999999999999</v>
      </c>
      <c r="M613">
        <v>8.82</v>
      </c>
      <c r="N613">
        <v>8.91</v>
      </c>
      <c r="O613">
        <v>7.7239240000000002</v>
      </c>
      <c r="P613">
        <v>12613200</v>
      </c>
      <c r="R613" s="211">
        <f>(O613/O612)*('16. câmbio USD-BRL'!O715/'16. câmbio USD-BRL'!O714)^-1-1</f>
        <v>3.9436761779263474E-3</v>
      </c>
    </row>
    <row r="614" spans="10:18" x14ac:dyDescent="0.2">
      <c r="J614" s="354">
        <v>42947</v>
      </c>
      <c r="K614">
        <v>8.9600000000000009</v>
      </c>
      <c r="L614">
        <v>9.0250000000000004</v>
      </c>
      <c r="M614">
        <v>8.7524999999999995</v>
      </c>
      <c r="N614">
        <v>9.0124999999999993</v>
      </c>
      <c r="O614">
        <v>7.8127789999999999</v>
      </c>
      <c r="P614">
        <v>19672400</v>
      </c>
      <c r="R614" s="211">
        <f>(O614/O613)*('16. câmbio USD-BRL'!O716/'16. câmbio USD-BRL'!O715)^-1-1</f>
        <v>2.7148512595146723E-2</v>
      </c>
    </row>
    <row r="615" spans="10:18" x14ac:dyDescent="0.2">
      <c r="J615" s="354">
        <v>42954</v>
      </c>
      <c r="K615">
        <v>9.0500000000000007</v>
      </c>
      <c r="L615">
        <v>9.3324999999999996</v>
      </c>
      <c r="M615">
        <v>8.8625000000000007</v>
      </c>
      <c r="N615">
        <v>9</v>
      </c>
      <c r="O615">
        <v>7.8019449999999999</v>
      </c>
      <c r="P615">
        <v>21987600</v>
      </c>
      <c r="R615" s="211">
        <f>(O615/O614)*('16. câmbio USD-BRL'!O717/'16. câmbio USD-BRL'!O716)^-1-1</f>
        <v>-1.6596723436655303E-2</v>
      </c>
    </row>
    <row r="616" spans="10:18" x14ac:dyDescent="0.2">
      <c r="J616" s="354">
        <v>42961</v>
      </c>
      <c r="K616">
        <v>9</v>
      </c>
      <c r="L616">
        <v>9.4425000000000008</v>
      </c>
      <c r="M616">
        <v>8.9649999999999999</v>
      </c>
      <c r="N616">
        <v>9.4124999999999996</v>
      </c>
      <c r="O616">
        <v>8.1595329999999997</v>
      </c>
      <c r="P616">
        <v>22972800</v>
      </c>
      <c r="R616" s="211">
        <f>(O616/O615)*('16. câmbio USD-BRL'!O718/'16. câmbio USD-BRL'!O717)^-1-1</f>
        <v>4.5833186468245968E-2</v>
      </c>
    </row>
    <row r="617" spans="10:18" x14ac:dyDescent="0.2">
      <c r="J617" s="354">
        <v>42968</v>
      </c>
      <c r="K617">
        <v>9.43</v>
      </c>
      <c r="L617">
        <v>9.6750000000000007</v>
      </c>
      <c r="M617">
        <v>9.06</v>
      </c>
      <c r="N617">
        <v>9.6125000000000007</v>
      </c>
      <c r="O617">
        <v>8.33291</v>
      </c>
      <c r="P617">
        <v>21295600</v>
      </c>
      <c r="R617" s="211">
        <f>(O617/O616)*('16. câmbio USD-BRL'!O719/'16. câmbio USD-BRL'!O718)^-1-1</f>
        <v>2.7391342166941612E-2</v>
      </c>
    </row>
    <row r="618" spans="10:18" x14ac:dyDescent="0.2">
      <c r="J618" s="354">
        <v>42975</v>
      </c>
      <c r="K618">
        <v>9.625</v>
      </c>
      <c r="L618">
        <v>9.8000000000000007</v>
      </c>
      <c r="M618">
        <v>9.48</v>
      </c>
      <c r="N618">
        <v>9.7375000000000007</v>
      </c>
      <c r="O618">
        <v>8.4412699999999994</v>
      </c>
      <c r="P618">
        <v>19183200</v>
      </c>
      <c r="R618" s="211">
        <f>(O618/O617)*('16. câmbio USD-BRL'!O720/'16. câmbio USD-BRL'!O719)^-1-1</f>
        <v>6.9469410155014177E-3</v>
      </c>
    </row>
    <row r="619" spans="10:18" x14ac:dyDescent="0.2">
      <c r="J619" s="354">
        <v>42982</v>
      </c>
      <c r="K619">
        <v>9.7074999999999996</v>
      </c>
      <c r="L619">
        <v>9.9949999999999992</v>
      </c>
      <c r="M619">
        <v>9.5749999999999993</v>
      </c>
      <c r="N619">
        <v>9.6724999999999994</v>
      </c>
      <c r="O619">
        <v>8.3849219999999995</v>
      </c>
      <c r="P619">
        <v>21786400</v>
      </c>
      <c r="R619" s="211">
        <f>(O619/O618)*('16. câmbio USD-BRL'!O721/'16. câmbio USD-BRL'!O720)^-1-1</f>
        <v>-6.6752988590579321E-3</v>
      </c>
    </row>
    <row r="620" spans="10:18" x14ac:dyDescent="0.2">
      <c r="J620" s="354">
        <v>42989</v>
      </c>
      <c r="K620">
        <v>9.7249999999999996</v>
      </c>
      <c r="L620">
        <v>9.8450000000000006</v>
      </c>
      <c r="M620">
        <v>9.5325000000000006</v>
      </c>
      <c r="N620">
        <v>9.84</v>
      </c>
      <c r="O620">
        <v>8.5301270000000002</v>
      </c>
      <c r="P620">
        <v>21584800</v>
      </c>
      <c r="R620" s="211">
        <f>(O620/O619)*('16. câmbio USD-BRL'!O722/'16. câmbio USD-BRL'!O721)^-1-1</f>
        <v>3.9563135896403478E-2</v>
      </c>
    </row>
    <row r="621" spans="10:18" x14ac:dyDescent="0.2">
      <c r="J621" s="354">
        <v>42996</v>
      </c>
      <c r="K621">
        <v>9.8450000000000006</v>
      </c>
      <c r="L621">
        <v>9.8450000000000006</v>
      </c>
      <c r="M621">
        <v>9.3625000000000007</v>
      </c>
      <c r="N621">
        <v>9.4499999999999993</v>
      </c>
      <c r="O621">
        <v>8.1920400000000004</v>
      </c>
      <c r="P621">
        <v>23737600</v>
      </c>
      <c r="R621" s="211">
        <f>(O621/O620)*('16. câmbio USD-BRL'!O723/'16. câmbio USD-BRL'!O722)^-1-1</f>
        <v>-4.3877473510337106E-2</v>
      </c>
    </row>
    <row r="622" spans="10:18" x14ac:dyDescent="0.2">
      <c r="J622" s="354">
        <v>43003</v>
      </c>
      <c r="K622">
        <v>9.4499999999999993</v>
      </c>
      <c r="L622">
        <v>9.5724999999999998</v>
      </c>
      <c r="M622">
        <v>8.9124999999999996</v>
      </c>
      <c r="N622">
        <v>9.0500000000000007</v>
      </c>
      <c r="O622">
        <v>7.845288</v>
      </c>
      <c r="P622">
        <v>25388000</v>
      </c>
      <c r="R622" s="211">
        <f>(O622/O621)*('16. câmbio USD-BRL'!O724/'16. câmbio USD-BRL'!O723)^-1-1</f>
        <v>-5.4407047124847452E-2</v>
      </c>
    </row>
    <row r="623" spans="10:18" x14ac:dyDescent="0.2">
      <c r="J623" s="354">
        <v>43010</v>
      </c>
      <c r="K623">
        <v>9</v>
      </c>
      <c r="L623">
        <v>9.7774999999999999</v>
      </c>
      <c r="M623">
        <v>8.8874999999999993</v>
      </c>
      <c r="N623">
        <v>9.4674999999999994</v>
      </c>
      <c r="O623">
        <v>8.2072109999999991</v>
      </c>
      <c r="P623">
        <v>26672800</v>
      </c>
      <c r="R623" s="211">
        <f>(O623/O622)*('16. câmbio USD-BRL'!O725/'16. câmbio USD-BRL'!O724)^-1-1</f>
        <v>4.8751593042639874E-2</v>
      </c>
    </row>
    <row r="624" spans="10:18" x14ac:dyDescent="0.2">
      <c r="J624" s="354">
        <v>43017</v>
      </c>
      <c r="K624">
        <v>9.625</v>
      </c>
      <c r="L624">
        <v>9.9175000000000004</v>
      </c>
      <c r="M624">
        <v>9.2899999999999991</v>
      </c>
      <c r="N624">
        <v>9.8550000000000004</v>
      </c>
      <c r="O624">
        <v>8.5431279999999994</v>
      </c>
      <c r="P624">
        <v>25525200</v>
      </c>
      <c r="R624" s="211">
        <f>(O624/O623)*('16. câmbio USD-BRL'!O726/'16. câmbio USD-BRL'!O725)^-1-1</f>
        <v>4.4903140086456572E-2</v>
      </c>
    </row>
    <row r="625" spans="10:18" x14ac:dyDescent="0.2">
      <c r="J625" s="354">
        <v>43024</v>
      </c>
      <c r="K625">
        <v>9.86</v>
      </c>
      <c r="L625">
        <v>9.9049999999999994</v>
      </c>
      <c r="M625">
        <v>9.4250000000000007</v>
      </c>
      <c r="N625">
        <v>9.625</v>
      </c>
      <c r="O625">
        <v>8.3437459999999994</v>
      </c>
      <c r="P625">
        <v>21949600</v>
      </c>
      <c r="R625" s="211">
        <f>(O625/O624)*('16. câmbio USD-BRL'!O727/'16. câmbio USD-BRL'!O726)^-1-1</f>
        <v>-3.8238179019852825E-2</v>
      </c>
    </row>
    <row r="626" spans="10:18" x14ac:dyDescent="0.2">
      <c r="J626" s="354">
        <v>43031</v>
      </c>
      <c r="K626">
        <v>9.65</v>
      </c>
      <c r="L626">
        <v>9.7799999999999994</v>
      </c>
      <c r="M626">
        <v>9.34</v>
      </c>
      <c r="N626">
        <v>9.5274999999999999</v>
      </c>
      <c r="O626">
        <v>8.2592239999999997</v>
      </c>
      <c r="P626">
        <v>20985600</v>
      </c>
      <c r="R626" s="211">
        <f>(O626/O625)*('16. câmbio USD-BRL'!O728/'16. câmbio USD-BRL'!O727)^-1-1</f>
        <v>-2.2107798646834542E-2</v>
      </c>
    </row>
    <row r="627" spans="10:18" x14ac:dyDescent="0.2">
      <c r="J627" s="354">
        <v>43038</v>
      </c>
      <c r="K627">
        <v>9.5350000000000001</v>
      </c>
      <c r="L627">
        <v>9.5350000000000001</v>
      </c>
      <c r="M627">
        <v>9.0425000000000004</v>
      </c>
      <c r="N627">
        <v>9.2624999999999993</v>
      </c>
      <c r="O627">
        <v>8.0295000000000005</v>
      </c>
      <c r="P627">
        <v>24433600</v>
      </c>
      <c r="R627" s="211">
        <f>(O627/O626)*('16. câmbio USD-BRL'!O729/'16. câmbio USD-BRL'!O728)^-1-1</f>
        <v>-5.1760131193206216E-2</v>
      </c>
    </row>
    <row r="628" spans="10:18" x14ac:dyDescent="0.2">
      <c r="J628" s="354">
        <v>43045</v>
      </c>
      <c r="K628">
        <v>9.31</v>
      </c>
      <c r="L628">
        <v>9.41</v>
      </c>
      <c r="M628">
        <v>9.0225000000000009</v>
      </c>
      <c r="N628">
        <v>9.0649999999999995</v>
      </c>
      <c r="O628">
        <v>7.8582919999999996</v>
      </c>
      <c r="P628">
        <v>32428000</v>
      </c>
      <c r="R628" s="211">
        <f>(O628/O627)*('16. câmbio USD-BRL'!O730/'16. câmbio USD-BRL'!O729)^-1-1</f>
        <v>-9.361389588989355E-3</v>
      </c>
    </row>
    <row r="629" spans="10:18" x14ac:dyDescent="0.2">
      <c r="J629" s="354">
        <v>43052</v>
      </c>
      <c r="K629">
        <v>9.3625000000000007</v>
      </c>
      <c r="L629">
        <v>9.4</v>
      </c>
      <c r="M629">
        <v>8.7424999999999997</v>
      </c>
      <c r="N629">
        <v>9.0274999999999999</v>
      </c>
      <c r="O629">
        <v>7.8257830000000004</v>
      </c>
      <c r="P629">
        <v>20516000</v>
      </c>
      <c r="R629" s="211">
        <f>(O629/O628)*('16. câmbio USD-BRL'!O731/'16. câmbio USD-BRL'!O730)^-1-1</f>
        <v>2.1400586444235703E-3</v>
      </c>
    </row>
    <row r="630" spans="10:18" x14ac:dyDescent="0.2">
      <c r="J630" s="354">
        <v>43059</v>
      </c>
      <c r="K630">
        <v>9.0274999999999999</v>
      </c>
      <c r="L630">
        <v>9.4625000000000004</v>
      </c>
      <c r="M630">
        <v>9.0274999999999999</v>
      </c>
      <c r="N630">
        <v>9.1274999999999995</v>
      </c>
      <c r="O630">
        <v>7.9124720000000002</v>
      </c>
      <c r="P630">
        <v>13992000</v>
      </c>
      <c r="R630" s="211">
        <f>(O630/O629)*('16. câmbio USD-BRL'!O732/'16. câmbio USD-BRL'!O731)^-1-1</f>
        <v>1.7616586474362261E-2</v>
      </c>
    </row>
    <row r="631" spans="10:18" x14ac:dyDescent="0.2">
      <c r="J631" s="354">
        <v>43066</v>
      </c>
      <c r="K631">
        <v>9.0675000000000008</v>
      </c>
      <c r="L631">
        <v>9.3224999999999998</v>
      </c>
      <c r="M631">
        <v>8.8275000000000006</v>
      </c>
      <c r="N631">
        <v>8.9175000000000004</v>
      </c>
      <c r="O631">
        <v>7.7304259999999996</v>
      </c>
      <c r="P631">
        <v>20940800</v>
      </c>
      <c r="R631" s="211">
        <f>(O631/O630)*('16. câmbio USD-BRL'!O733/'16. câmbio USD-BRL'!O732)^-1-1</f>
        <v>-2.9464695590744938E-2</v>
      </c>
    </row>
    <row r="632" spans="10:18" x14ac:dyDescent="0.2">
      <c r="J632" s="354">
        <v>43073</v>
      </c>
      <c r="K632">
        <v>8.9149999999999991</v>
      </c>
      <c r="L632">
        <v>9.1325000000000003</v>
      </c>
      <c r="M632">
        <v>8.5274999999999999</v>
      </c>
      <c r="N632">
        <v>8.6875</v>
      </c>
      <c r="O632">
        <v>7.5310439999999996</v>
      </c>
      <c r="P632">
        <v>21427600</v>
      </c>
      <c r="R632" s="211">
        <f>(O632/O631)*('16. câmbio USD-BRL'!O734/'16. câmbio USD-BRL'!O733)^-1-1</f>
        <v>-3.6103440955043697E-2</v>
      </c>
    </row>
    <row r="633" spans="10:18" x14ac:dyDescent="0.2">
      <c r="J633" s="354">
        <v>43080</v>
      </c>
      <c r="K633">
        <v>8.7025000000000006</v>
      </c>
      <c r="L633">
        <v>9.75</v>
      </c>
      <c r="M633">
        <v>8.6150000000000002</v>
      </c>
      <c r="N633">
        <v>9.75</v>
      </c>
      <c r="O633">
        <v>8.4521060000000006</v>
      </c>
      <c r="P633">
        <v>47524400</v>
      </c>
      <c r="R633" s="211">
        <f>(O633/O632)*('16. câmbio USD-BRL'!O735/'16. câmbio USD-BRL'!O734)^-1-1</f>
        <v>0.12165383702824206</v>
      </c>
    </row>
    <row r="634" spans="10:18" x14ac:dyDescent="0.2">
      <c r="J634" s="354">
        <v>43087</v>
      </c>
      <c r="K634">
        <v>9.7249999999999996</v>
      </c>
      <c r="L634">
        <v>10.3225</v>
      </c>
      <c r="M634">
        <v>9.625</v>
      </c>
      <c r="N634">
        <v>10.25</v>
      </c>
      <c r="O634">
        <v>8.8855489999999993</v>
      </c>
      <c r="P634">
        <v>28370400</v>
      </c>
      <c r="R634" s="211">
        <f>(O634/O633)*('16. câmbio USD-BRL'!O736/'16. câmbio USD-BRL'!O735)^-1-1</f>
        <v>3.6847013280439045E-2</v>
      </c>
    </row>
    <row r="635" spans="10:18" x14ac:dyDescent="0.2">
      <c r="J635" s="354">
        <v>43094</v>
      </c>
      <c r="K635">
        <v>10.25</v>
      </c>
      <c r="L635">
        <v>10.445</v>
      </c>
      <c r="M635">
        <v>10.172499999999999</v>
      </c>
      <c r="N635">
        <v>10.375</v>
      </c>
      <c r="O635">
        <v>8.9939079999999993</v>
      </c>
      <c r="P635">
        <v>13557200</v>
      </c>
      <c r="R635" s="211">
        <f>(O635/O634)*('16. câmbio USD-BRL'!O737/'16. câmbio USD-BRL'!O736)^-1-1</f>
        <v>1.9684784393071197E-2</v>
      </c>
    </row>
    <row r="636" spans="10:18" x14ac:dyDescent="0.2">
      <c r="J636" s="354">
        <v>43101</v>
      </c>
      <c r="K636">
        <v>10.375</v>
      </c>
      <c r="L636">
        <v>10.824999999999999</v>
      </c>
      <c r="M636">
        <v>10.375</v>
      </c>
      <c r="N636">
        <v>10.7225</v>
      </c>
      <c r="O636">
        <v>9.2951479999999993</v>
      </c>
      <c r="P636">
        <v>21678400</v>
      </c>
      <c r="R636" s="211">
        <f>(O636/O635)*('16. câmbio USD-BRL'!O738/'16. câmbio USD-BRL'!O737)^-1-1</f>
        <v>6.0757591510891329E-2</v>
      </c>
    </row>
    <row r="637" spans="10:18" x14ac:dyDescent="0.2">
      <c r="J637" s="354">
        <v>43108</v>
      </c>
      <c r="K637">
        <v>10.7</v>
      </c>
      <c r="L637">
        <v>10.7225</v>
      </c>
      <c r="M637">
        <v>10.0825</v>
      </c>
      <c r="N637">
        <v>10.425000000000001</v>
      </c>
      <c r="O637">
        <v>9.0372509999999995</v>
      </c>
      <c r="P637">
        <v>21642800</v>
      </c>
      <c r="R637" s="211">
        <f>(O637/O636)*('16. câmbio USD-BRL'!O739/'16. câmbio USD-BRL'!O738)^-1-1</f>
        <v>-2.0090504534962306E-2</v>
      </c>
    </row>
    <row r="638" spans="10:18" x14ac:dyDescent="0.2">
      <c r="J638" s="354">
        <v>43115</v>
      </c>
      <c r="K638">
        <v>10.4</v>
      </c>
      <c r="L638">
        <v>10.715</v>
      </c>
      <c r="M638">
        <v>10.14</v>
      </c>
      <c r="N638">
        <v>10.592499999999999</v>
      </c>
      <c r="O638">
        <v>9.1824549999999991</v>
      </c>
      <c r="P638">
        <v>16358800</v>
      </c>
      <c r="R638" s="211">
        <f>(O638/O637)*('16. câmbio USD-BRL'!O740/'16. câmbio USD-BRL'!O739)^-1-1</f>
        <v>1.9092043160375161E-2</v>
      </c>
    </row>
    <row r="639" spans="10:18" x14ac:dyDescent="0.2">
      <c r="J639" s="354">
        <v>43122</v>
      </c>
      <c r="K639">
        <v>10.592499999999999</v>
      </c>
      <c r="L639">
        <v>11.307499999999999</v>
      </c>
      <c r="M639">
        <v>10.425000000000001</v>
      </c>
      <c r="N639">
        <v>11.307499999999999</v>
      </c>
      <c r="O639">
        <v>9.8022749999999998</v>
      </c>
      <c r="P639">
        <v>17154000</v>
      </c>
      <c r="R639" s="211">
        <f>(O639/O638)*('16. câmbio USD-BRL'!O741/'16. câmbio USD-BRL'!O740)^-1-1</f>
        <v>8.2528040307881856E-2</v>
      </c>
    </row>
    <row r="640" spans="10:18" x14ac:dyDescent="0.2">
      <c r="J640" s="354">
        <v>43129</v>
      </c>
      <c r="K640">
        <v>11.25</v>
      </c>
      <c r="L640">
        <v>11.445</v>
      </c>
      <c r="M640">
        <v>10.8</v>
      </c>
      <c r="N640">
        <v>11.0025</v>
      </c>
      <c r="O640">
        <v>9.5378749999999997</v>
      </c>
      <c r="P640">
        <v>16900800</v>
      </c>
      <c r="R640" s="211">
        <f>(O640/O639)*('16. câmbio USD-BRL'!O742/'16. câmbio USD-BRL'!O741)^-1-1</f>
        <v>-4.8146467939474968E-2</v>
      </c>
    </row>
    <row r="641" spans="10:18" x14ac:dyDescent="0.2">
      <c r="J641" s="354">
        <v>43136</v>
      </c>
      <c r="K641">
        <v>10.9725</v>
      </c>
      <c r="L641">
        <v>11.2</v>
      </c>
      <c r="M641">
        <v>10.41</v>
      </c>
      <c r="N641">
        <v>10.855</v>
      </c>
      <c r="O641">
        <v>9.4100099999999998</v>
      </c>
      <c r="P641">
        <v>26125200</v>
      </c>
      <c r="R641" s="211">
        <f>(O641/O640)*('16. câmbio USD-BRL'!O743/'16. câmbio USD-BRL'!O742)^-1-1</f>
        <v>-3.6147304713382122E-2</v>
      </c>
    </row>
    <row r="642" spans="10:18" x14ac:dyDescent="0.2">
      <c r="J642" s="354">
        <v>43143</v>
      </c>
      <c r="K642">
        <v>10.855</v>
      </c>
      <c r="L642">
        <v>11.02</v>
      </c>
      <c r="M642">
        <v>10.5525</v>
      </c>
      <c r="N642">
        <v>10.725</v>
      </c>
      <c r="O642">
        <v>9.2973169999999996</v>
      </c>
      <c r="P642">
        <v>14536800</v>
      </c>
      <c r="R642" s="211">
        <f>(O642/O641)*('16. câmbio USD-BRL'!O744/'16. câmbio USD-BRL'!O743)^-1-1</f>
        <v>7.2963883275509733E-3</v>
      </c>
    </row>
    <row r="643" spans="10:18" x14ac:dyDescent="0.2">
      <c r="J643" s="354">
        <v>43150</v>
      </c>
      <c r="K643">
        <v>10.824999999999999</v>
      </c>
      <c r="L643">
        <v>12.0875</v>
      </c>
      <c r="M643">
        <v>10.817500000000001</v>
      </c>
      <c r="N643">
        <v>11.494999999999999</v>
      </c>
      <c r="O643">
        <v>9.9648160000000008</v>
      </c>
      <c r="P643">
        <v>43524800</v>
      </c>
      <c r="R643" s="211">
        <f>(O643/O642)*('16. câmbio USD-BRL'!O745/'16. câmbio USD-BRL'!O744)^-1-1</f>
        <v>7.0767063622417137E-2</v>
      </c>
    </row>
    <row r="644" spans="10:18" x14ac:dyDescent="0.2">
      <c r="J644" s="354">
        <v>43157</v>
      </c>
      <c r="K644">
        <v>11.5875</v>
      </c>
      <c r="L644">
        <v>11.7</v>
      </c>
      <c r="M644">
        <v>10.727499999999999</v>
      </c>
      <c r="N644">
        <v>11.074999999999999</v>
      </c>
      <c r="O644">
        <v>9.6007250000000006</v>
      </c>
      <c r="P644">
        <v>40988000</v>
      </c>
      <c r="R644" s="211">
        <f>(O644/O643)*('16. câmbio USD-BRL'!O746/'16. câmbio USD-BRL'!O745)^-1-1</f>
        <v>-4.1754370675924912E-2</v>
      </c>
    </row>
    <row r="645" spans="10:18" x14ac:dyDescent="0.2">
      <c r="J645" s="354">
        <v>43164</v>
      </c>
      <c r="K645">
        <v>11.055</v>
      </c>
      <c r="L645">
        <v>11.345000000000001</v>
      </c>
      <c r="M645">
        <v>10.824999999999999</v>
      </c>
      <c r="N645">
        <v>11.285</v>
      </c>
      <c r="O645">
        <v>9.7827699999999993</v>
      </c>
      <c r="P645">
        <v>24035200</v>
      </c>
      <c r="R645" s="211">
        <f>(O645/O644)*('16. câmbio USD-BRL'!O747/'16. câmbio USD-BRL'!O746)^-1-1</f>
        <v>1.4094683114121986E-2</v>
      </c>
    </row>
    <row r="646" spans="10:18" x14ac:dyDescent="0.2">
      <c r="J646" s="354">
        <v>43171</v>
      </c>
      <c r="K646">
        <v>11.305</v>
      </c>
      <c r="L646">
        <v>11.407500000000001</v>
      </c>
      <c r="M646">
        <v>10.574999999999999</v>
      </c>
      <c r="N646">
        <v>10.9275</v>
      </c>
      <c r="O646">
        <v>9.4728589999999997</v>
      </c>
      <c r="P646">
        <v>18935200</v>
      </c>
      <c r="R646" s="211">
        <f>(O646/O645)*('16. câmbio USD-BRL'!O748/'16. câmbio USD-BRL'!O747)^-1-1</f>
        <v>-3.6399762250161727E-2</v>
      </c>
    </row>
    <row r="647" spans="10:18" x14ac:dyDescent="0.2">
      <c r="J647" s="354">
        <v>43178</v>
      </c>
      <c r="K647">
        <v>10.83</v>
      </c>
      <c r="L647">
        <v>10.9275</v>
      </c>
      <c r="M647">
        <v>10.387499999999999</v>
      </c>
      <c r="N647">
        <v>10.4925</v>
      </c>
      <c r="O647">
        <v>9.0957659999999994</v>
      </c>
      <c r="P647">
        <v>18342000</v>
      </c>
      <c r="R647" s="211">
        <f>(O647/O646)*('16. câmbio USD-BRL'!O749/'16. câmbio USD-BRL'!O748)^-1-1</f>
        <v>-4.8044991992213903E-2</v>
      </c>
    </row>
    <row r="648" spans="10:18" x14ac:dyDescent="0.2">
      <c r="J648" s="354">
        <v>43185</v>
      </c>
      <c r="K648">
        <v>10.61</v>
      </c>
      <c r="L648">
        <v>10.69</v>
      </c>
      <c r="M648">
        <v>10.102499999999999</v>
      </c>
      <c r="N648">
        <v>10.3775</v>
      </c>
      <c r="O648">
        <v>8.9960749999999994</v>
      </c>
      <c r="P648">
        <v>17230400</v>
      </c>
      <c r="R648" s="211">
        <f>(O648/O647)*('16. câmbio USD-BRL'!O750/'16. câmbio USD-BRL'!O749)^-1-1</f>
        <v>-8.8944155568311256E-3</v>
      </c>
    </row>
    <row r="649" spans="10:18" x14ac:dyDescent="0.2">
      <c r="J649" s="354">
        <v>43192</v>
      </c>
      <c r="K649">
        <v>10.38</v>
      </c>
      <c r="L649">
        <v>10.38</v>
      </c>
      <c r="M649">
        <v>9.7624999999999993</v>
      </c>
      <c r="N649">
        <v>9.8949999999999996</v>
      </c>
      <c r="O649">
        <v>8.5778040000000004</v>
      </c>
      <c r="P649">
        <v>21541200</v>
      </c>
      <c r="R649" s="211">
        <f>(O649/O648)*('16. câmbio USD-BRL'!O751/'16. câmbio USD-BRL'!O750)^-1-1</f>
        <v>-6.4310211954041518E-2</v>
      </c>
    </row>
    <row r="650" spans="10:18" x14ac:dyDescent="0.2">
      <c r="J650" s="354">
        <v>43199</v>
      </c>
      <c r="K650">
        <v>9.9949999999999992</v>
      </c>
      <c r="L650">
        <v>10.2425</v>
      </c>
      <c r="M650">
        <v>9.6050000000000004</v>
      </c>
      <c r="N650">
        <v>9.8625000000000007</v>
      </c>
      <c r="O650">
        <v>8.5496309999999998</v>
      </c>
      <c r="P650">
        <v>22790000</v>
      </c>
      <c r="R650" s="211">
        <f>(O650/O649)*('16. câmbio USD-BRL'!O752/'16. câmbio USD-BRL'!O751)^-1-1</f>
        <v>-1.9220436209768321E-2</v>
      </c>
    </row>
    <row r="651" spans="10:18" x14ac:dyDescent="0.2">
      <c r="J651" s="354">
        <v>43206</v>
      </c>
      <c r="K651">
        <v>9.9124999999999996</v>
      </c>
      <c r="L651">
        <v>9.9425000000000008</v>
      </c>
      <c r="M651">
        <v>9.4175000000000004</v>
      </c>
      <c r="N651">
        <v>9.5124999999999993</v>
      </c>
      <c r="O651">
        <v>8.2462219999999995</v>
      </c>
      <c r="P651">
        <v>24453600</v>
      </c>
      <c r="R651" s="211">
        <f>(O651/O650)*('16. câmbio USD-BRL'!O753/'16. câmbio USD-BRL'!O752)^-1-1</f>
        <v>-3.2405191209200712E-2</v>
      </c>
    </row>
    <row r="652" spans="10:18" x14ac:dyDescent="0.2">
      <c r="J652" s="354">
        <v>43213</v>
      </c>
      <c r="K652">
        <v>9.4024999999999999</v>
      </c>
      <c r="L652">
        <v>10.225</v>
      </c>
      <c r="M652">
        <v>9.4</v>
      </c>
      <c r="N652">
        <v>10.074999999999999</v>
      </c>
      <c r="O652">
        <v>8.7338430000000002</v>
      </c>
      <c r="P652">
        <v>29070000</v>
      </c>
      <c r="R652" s="211">
        <f>(O652/O651)*('16. câmbio USD-BRL'!O754/'16. câmbio USD-BRL'!O753)^-1-1</f>
        <v>4.5157583583691707E-2</v>
      </c>
    </row>
    <row r="653" spans="10:18" x14ac:dyDescent="0.2">
      <c r="J653" s="354">
        <v>43220</v>
      </c>
      <c r="K653">
        <v>10</v>
      </c>
      <c r="L653">
        <v>10.047499999999999</v>
      </c>
      <c r="M653">
        <v>9.1</v>
      </c>
      <c r="N653">
        <v>9.1974999999999998</v>
      </c>
      <c r="O653">
        <v>7.9731529999999999</v>
      </c>
      <c r="P653">
        <v>22897200</v>
      </c>
      <c r="R653" s="211">
        <f>(O653/O652)*('16. câmbio USD-BRL'!O755/'16. câmbio USD-BRL'!O754)^-1-1</f>
        <v>-0.10585475551469925</v>
      </c>
    </row>
    <row r="654" spans="10:18" x14ac:dyDescent="0.2">
      <c r="J654" s="354">
        <v>43227</v>
      </c>
      <c r="K654">
        <v>9.1999999999999993</v>
      </c>
      <c r="L654">
        <v>10</v>
      </c>
      <c r="M654">
        <v>9.1</v>
      </c>
      <c r="N654">
        <v>9.7725000000000009</v>
      </c>
      <c r="O654">
        <v>8.7148520000000005</v>
      </c>
      <c r="P654">
        <v>31680000</v>
      </c>
      <c r="R654" s="211">
        <f>(O654/O653)*('16. câmbio USD-BRL'!O756/'16. câmbio USD-BRL'!O755)^-1-1</f>
        <v>7.143432019380036E-2</v>
      </c>
    </row>
    <row r="655" spans="10:18" x14ac:dyDescent="0.2">
      <c r="J655" s="354">
        <v>43234</v>
      </c>
      <c r="K655">
        <v>9.82</v>
      </c>
      <c r="L655">
        <v>10.36</v>
      </c>
      <c r="M655">
        <v>9.5924999999999994</v>
      </c>
      <c r="N655">
        <v>10</v>
      </c>
      <c r="O655">
        <v>8.9177309999999999</v>
      </c>
      <c r="P655">
        <v>139297200</v>
      </c>
      <c r="R655" s="211">
        <f>(O655/O654)*('16. câmbio USD-BRL'!O757/'16. câmbio USD-BRL'!O756)^-1-1</f>
        <v>-1.4107274549624238E-2</v>
      </c>
    </row>
    <row r="656" spans="10:18" x14ac:dyDescent="0.2">
      <c r="J656" s="354">
        <v>43241</v>
      </c>
      <c r="K656">
        <v>10.135</v>
      </c>
      <c r="L656">
        <v>10.4375</v>
      </c>
      <c r="M656">
        <v>9.89</v>
      </c>
      <c r="N656">
        <v>9.9049999999999994</v>
      </c>
      <c r="O656">
        <v>8.8330129999999993</v>
      </c>
      <c r="P656">
        <v>35518800</v>
      </c>
      <c r="R656" s="211">
        <f>(O656/O655)*('16. câmbio USD-BRL'!O758/'16. câmbio USD-BRL'!O757)^-1-1</f>
        <v>7.4618676919000482E-3</v>
      </c>
    </row>
    <row r="657" spans="10:18" x14ac:dyDescent="0.2">
      <c r="J657" s="354">
        <v>43248</v>
      </c>
      <c r="K657">
        <v>9.7249999999999996</v>
      </c>
      <c r="L657">
        <v>10.1</v>
      </c>
      <c r="M657">
        <v>9.3324999999999996</v>
      </c>
      <c r="N657">
        <v>9.6125000000000007</v>
      </c>
      <c r="O657">
        <v>8.5721679999999996</v>
      </c>
      <c r="P657">
        <v>29872400</v>
      </c>
      <c r="R657" s="211">
        <f>(O657/O656)*('16. câmbio USD-BRL'!O759/'16. câmbio USD-BRL'!O758)^-1-1</f>
        <v>-5.1631997889595826E-2</v>
      </c>
    </row>
    <row r="658" spans="10:18" x14ac:dyDescent="0.2">
      <c r="J658" s="354">
        <v>43255</v>
      </c>
      <c r="K658">
        <v>9.6050000000000004</v>
      </c>
      <c r="L658">
        <v>9.8650000000000002</v>
      </c>
      <c r="M658">
        <v>8.7725000000000009</v>
      </c>
      <c r="N658">
        <v>8.9499999999999993</v>
      </c>
      <c r="O658">
        <v>7.9813689999999999</v>
      </c>
      <c r="P658">
        <v>34657600</v>
      </c>
      <c r="R658" s="211">
        <f>(O658/O657)*('16. câmbio USD-BRL'!O760/'16. câmbio USD-BRL'!O759)^-1-1</f>
        <v>-5.5043033871518321E-2</v>
      </c>
    </row>
    <row r="659" spans="10:18" x14ac:dyDescent="0.2">
      <c r="J659" s="354">
        <v>43262</v>
      </c>
      <c r="K659">
        <v>8.9175000000000004</v>
      </c>
      <c r="L659">
        <v>9.1824999999999992</v>
      </c>
      <c r="M659">
        <v>8.6300000000000008</v>
      </c>
      <c r="N659">
        <v>8.6524999999999999</v>
      </c>
      <c r="O659">
        <v>7.7160659999999996</v>
      </c>
      <c r="P659">
        <v>28042800</v>
      </c>
      <c r="R659" s="211">
        <f>(O659/O658)*('16. câmbio USD-BRL'!O761/'16. câmbio USD-BRL'!O760)^-1-1</f>
        <v>-3.969676125463506E-2</v>
      </c>
    </row>
    <row r="660" spans="10:18" x14ac:dyDescent="0.2">
      <c r="J660" s="354">
        <v>43269</v>
      </c>
      <c r="K660">
        <v>8.6225000000000005</v>
      </c>
      <c r="L660">
        <v>8.9350000000000005</v>
      </c>
      <c r="M660">
        <v>8.4774999999999991</v>
      </c>
      <c r="N660">
        <v>8.8475000000000001</v>
      </c>
      <c r="O660">
        <v>7.8899619999999997</v>
      </c>
      <c r="P660">
        <v>25459200</v>
      </c>
      <c r="R660" s="211">
        <f>(O660/O659)*('16. câmbio USD-BRL'!O762/'16. câmbio USD-BRL'!O761)^-1-1</f>
        <v>1.2569779696161465E-2</v>
      </c>
    </row>
    <row r="661" spans="10:18" x14ac:dyDescent="0.2">
      <c r="J661" s="354">
        <v>43276</v>
      </c>
      <c r="K661">
        <v>8.8524999999999991</v>
      </c>
      <c r="L661">
        <v>9.0724999999999998</v>
      </c>
      <c r="M661">
        <v>8.6624999999999996</v>
      </c>
      <c r="N661">
        <v>8.7949999999999999</v>
      </c>
      <c r="O661">
        <v>7.8431430000000004</v>
      </c>
      <c r="P661">
        <v>25346800</v>
      </c>
      <c r="R661" s="211">
        <f>(O661/O660)*('16. câmbio USD-BRL'!O763/'16. câmbio USD-BRL'!O762)^-1-1</f>
        <v>-3.42516028725941E-2</v>
      </c>
    </row>
    <row r="662" spans="10:18" x14ac:dyDescent="0.2">
      <c r="J662" s="354">
        <v>43283</v>
      </c>
      <c r="K662">
        <v>8.8975000000000009</v>
      </c>
      <c r="L662">
        <v>9.1174999999999997</v>
      </c>
      <c r="M662">
        <v>8.6150000000000002</v>
      </c>
      <c r="N662">
        <v>9.0525000000000002</v>
      </c>
      <c r="O662">
        <v>8.0727759999999993</v>
      </c>
      <c r="P662">
        <v>19064800</v>
      </c>
      <c r="R662" s="211">
        <f>(O662/O661)*('16. câmbio USD-BRL'!O764/'16. câmbio USD-BRL'!O763)^-1-1</f>
        <v>3.3009869235070655E-2</v>
      </c>
    </row>
    <row r="663" spans="10:18" x14ac:dyDescent="0.2">
      <c r="J663" s="354">
        <v>43290</v>
      </c>
      <c r="K663">
        <v>9.0525000000000002</v>
      </c>
      <c r="L663">
        <v>9.6950000000000003</v>
      </c>
      <c r="M663">
        <v>9.0525000000000002</v>
      </c>
      <c r="N663">
        <v>9.5649999999999995</v>
      </c>
      <c r="O663">
        <v>8.5298099999999994</v>
      </c>
      <c r="P663">
        <v>25602400</v>
      </c>
      <c r="R663" s="211">
        <f>(O663/O662)*('16. câmbio USD-BRL'!O765/'16. câmbio USD-BRL'!O764)^-1-1</f>
        <v>6.0073228840228365E-2</v>
      </c>
    </row>
    <row r="664" spans="10:18" x14ac:dyDescent="0.2">
      <c r="J664" s="354">
        <v>43297</v>
      </c>
      <c r="K664">
        <v>9.4700000000000006</v>
      </c>
      <c r="L664">
        <v>9.9849999999999994</v>
      </c>
      <c r="M664">
        <v>9.1750000000000007</v>
      </c>
      <c r="N664">
        <v>9.875</v>
      </c>
      <c r="O664">
        <v>8.80626</v>
      </c>
      <c r="P664">
        <v>26380800</v>
      </c>
      <c r="R664" s="211">
        <f>(O664/O663)*('16. câmbio USD-BRL'!O766/'16. câmbio USD-BRL'!O765)^-1-1</f>
        <v>5.6201779185328427E-2</v>
      </c>
    </row>
    <row r="665" spans="10:18" x14ac:dyDescent="0.2">
      <c r="J665" s="354">
        <v>43304</v>
      </c>
      <c r="K665">
        <v>9.7324999999999999</v>
      </c>
      <c r="L665">
        <v>9.9</v>
      </c>
      <c r="M665">
        <v>9.4600000000000009</v>
      </c>
      <c r="N665">
        <v>9.6999999999999993</v>
      </c>
      <c r="O665">
        <v>8.6501990000000006</v>
      </c>
      <c r="P665">
        <v>22129200</v>
      </c>
      <c r="R665" s="211">
        <f>(O665/O664)*('16. câmbio USD-BRL'!O767/'16. câmbio USD-BRL'!O766)^-1-1</f>
        <v>-4.3839097378631786E-3</v>
      </c>
    </row>
    <row r="666" spans="10:18" x14ac:dyDescent="0.2">
      <c r="J666" s="354">
        <v>43311</v>
      </c>
      <c r="K666">
        <v>9.7375000000000007</v>
      </c>
      <c r="L666">
        <v>9.9149999999999991</v>
      </c>
      <c r="M666">
        <v>9.0299999999999994</v>
      </c>
      <c r="N666">
        <v>9.9149999999999991</v>
      </c>
      <c r="O666">
        <v>8.8419310000000007</v>
      </c>
      <c r="P666">
        <v>28897600</v>
      </c>
      <c r="R666" s="211">
        <f>(O666/O665)*('16. câmbio USD-BRL'!O768/'16. câmbio USD-BRL'!O767)^-1-1</f>
        <v>2.390289907858234E-2</v>
      </c>
    </row>
    <row r="667" spans="10:18" x14ac:dyDescent="0.2">
      <c r="J667" s="354">
        <v>43318</v>
      </c>
      <c r="K667">
        <v>9.92</v>
      </c>
      <c r="L667">
        <v>10.0025</v>
      </c>
      <c r="M667">
        <v>9</v>
      </c>
      <c r="N667">
        <v>9.1999999999999993</v>
      </c>
      <c r="O667">
        <v>8.2043119999999998</v>
      </c>
      <c r="P667">
        <v>26407200</v>
      </c>
      <c r="R667" s="211">
        <f>(O667/O666)*('16. câmbio USD-BRL'!O769/'16. câmbio USD-BRL'!O768)^-1-1</f>
        <v>-0.10916029361942636</v>
      </c>
    </row>
    <row r="668" spans="10:18" x14ac:dyDescent="0.2">
      <c r="J668" s="354">
        <v>43325</v>
      </c>
      <c r="K668">
        <v>9.1050000000000004</v>
      </c>
      <c r="L668">
        <v>9.4149999999999991</v>
      </c>
      <c r="M668">
        <v>8.8674999999999997</v>
      </c>
      <c r="N668">
        <v>9.02</v>
      </c>
      <c r="O668">
        <v>8.0437940000000001</v>
      </c>
      <c r="P668">
        <v>21112400</v>
      </c>
      <c r="R668" s="211">
        <f>(O668/O667)*('16. câmbio USD-BRL'!O770/'16. câmbio USD-BRL'!O769)^-1-1</f>
        <v>-3.1980090830443175E-2</v>
      </c>
    </row>
    <row r="669" spans="10:18" x14ac:dyDescent="0.2">
      <c r="J669" s="354">
        <v>43332</v>
      </c>
      <c r="K669">
        <v>8.9324999999999992</v>
      </c>
      <c r="L669">
        <v>9.2899999999999991</v>
      </c>
      <c r="M669">
        <v>8.7750000000000004</v>
      </c>
      <c r="N669">
        <v>9.0075000000000003</v>
      </c>
      <c r="O669">
        <v>8.0326450000000005</v>
      </c>
      <c r="P669">
        <v>31759600</v>
      </c>
      <c r="R669" s="211">
        <f>(O669/O668)*('16. câmbio USD-BRL'!O771/'16. câmbio USD-BRL'!O770)^-1-1</f>
        <v>-5.0730286975629979E-2</v>
      </c>
    </row>
    <row r="670" spans="10:18" x14ac:dyDescent="0.2">
      <c r="J670" s="354">
        <v>43339</v>
      </c>
      <c r="K670">
        <v>9.0975000000000001</v>
      </c>
      <c r="L670">
        <v>9.2349999999999994</v>
      </c>
      <c r="M670">
        <v>8.6325000000000003</v>
      </c>
      <c r="N670">
        <v>8.6999999999999993</v>
      </c>
      <c r="O670">
        <v>7.758426</v>
      </c>
      <c r="P670">
        <v>14539200</v>
      </c>
      <c r="R670" s="211">
        <f>(O670/O669)*('16. câmbio USD-BRL'!O772/'16. câmbio USD-BRL'!O771)^-1-1</f>
        <v>-2.0199809227328225E-2</v>
      </c>
    </row>
    <row r="671" spans="10:18" x14ac:dyDescent="0.2">
      <c r="J671" s="354">
        <v>43346</v>
      </c>
      <c r="K671">
        <v>8.6999999999999993</v>
      </c>
      <c r="L671">
        <v>8.8574999999999999</v>
      </c>
      <c r="M671">
        <v>8.4600000000000009</v>
      </c>
      <c r="N671">
        <v>8.6050000000000004</v>
      </c>
      <c r="O671">
        <v>7.6737070000000003</v>
      </c>
      <c r="P671">
        <v>13968000</v>
      </c>
      <c r="R671" s="211">
        <f>(O671/O670)*('16. câmbio USD-BRL'!O773/'16. câmbio USD-BRL'!O772)^-1-1</f>
        <v>-1.1967650443088562E-2</v>
      </c>
    </row>
    <row r="672" spans="10:18" x14ac:dyDescent="0.2">
      <c r="J672" s="354">
        <v>43353</v>
      </c>
      <c r="K672">
        <v>8.7375000000000007</v>
      </c>
      <c r="L672">
        <v>8.7974999999999994</v>
      </c>
      <c r="M672">
        <v>8.1775000000000002</v>
      </c>
      <c r="N672">
        <v>8.3574999999999999</v>
      </c>
      <c r="O672">
        <v>7.4529930000000002</v>
      </c>
      <c r="P672">
        <v>22686400</v>
      </c>
      <c r="R672" s="211">
        <f>(O672/O671)*('16. câmbio USD-BRL'!O774/'16. câmbio USD-BRL'!O773)^-1-1</f>
        <v>-6.2692169725099611E-2</v>
      </c>
    </row>
    <row r="673" spans="10:18" x14ac:dyDescent="0.2">
      <c r="J673" s="354">
        <v>43360</v>
      </c>
      <c r="K673">
        <v>8.3574999999999999</v>
      </c>
      <c r="L673">
        <v>8.5</v>
      </c>
      <c r="M673">
        <v>8.1325000000000003</v>
      </c>
      <c r="N673">
        <v>8.2650000000000006</v>
      </c>
      <c r="O673">
        <v>7.3705049999999996</v>
      </c>
      <c r="P673">
        <v>26969200</v>
      </c>
      <c r="R673" s="211">
        <f>(O673/O672)*('16. câmbio USD-BRL'!O775/'16. câmbio USD-BRL'!O774)^-1-1</f>
        <v>2.6957754206847095E-2</v>
      </c>
    </row>
    <row r="674" spans="10:18" x14ac:dyDescent="0.2">
      <c r="J674" s="354">
        <v>43367</v>
      </c>
      <c r="K674">
        <v>8.3000000000000007</v>
      </c>
      <c r="L674">
        <v>8.3874999999999993</v>
      </c>
      <c r="M674">
        <v>8.0024999999999995</v>
      </c>
      <c r="N674">
        <v>8.1024999999999991</v>
      </c>
      <c r="O674">
        <v>7.2255919999999998</v>
      </c>
      <c r="P674">
        <v>18519600</v>
      </c>
      <c r="R674" s="211">
        <f>(O674/O673)*('16. câmbio USD-BRL'!O776/'16. câmbio USD-BRL'!O775)^-1-1</f>
        <v>-1.9346371552677932E-2</v>
      </c>
    </row>
    <row r="675" spans="10:18" x14ac:dyDescent="0.2">
      <c r="J675" s="354">
        <v>43374</v>
      </c>
      <c r="K675">
        <v>8.1050000000000004</v>
      </c>
      <c r="L675">
        <v>8.7375000000000007</v>
      </c>
      <c r="M675">
        <v>7.88</v>
      </c>
      <c r="N675">
        <v>8.7125000000000004</v>
      </c>
      <c r="O675">
        <v>7.7695720000000001</v>
      </c>
      <c r="P675">
        <v>35630800</v>
      </c>
      <c r="R675" s="211">
        <f>(O675/O674)*('16. câmbio USD-BRL'!O777/'16. câmbio USD-BRL'!O776)^-1-1</f>
        <v>0.13521487933089138</v>
      </c>
    </row>
    <row r="676" spans="10:18" x14ac:dyDescent="0.2">
      <c r="J676" s="354">
        <v>43381</v>
      </c>
      <c r="K676">
        <v>9.0625</v>
      </c>
      <c r="L676">
        <v>9.1974999999999998</v>
      </c>
      <c r="M676">
        <v>8.49</v>
      </c>
      <c r="N676">
        <v>8.5574999999999992</v>
      </c>
      <c r="O676">
        <v>7.631348</v>
      </c>
      <c r="P676">
        <v>32619200</v>
      </c>
      <c r="R676" s="211">
        <f>(O676/O675)*('16. câmbio USD-BRL'!O778/'16. câmbio USD-BRL'!O777)^-1-1</f>
        <v>-4.076115965923055E-3</v>
      </c>
    </row>
    <row r="677" spans="10:18" x14ac:dyDescent="0.2">
      <c r="J677" s="354">
        <v>43388</v>
      </c>
      <c r="K677">
        <v>8.3800000000000008</v>
      </c>
      <c r="L677">
        <v>9.4275000000000002</v>
      </c>
      <c r="M677">
        <v>8.3000000000000007</v>
      </c>
      <c r="N677">
        <v>9.375</v>
      </c>
      <c r="O677">
        <v>8.3603740000000002</v>
      </c>
      <c r="P677">
        <v>29257200</v>
      </c>
      <c r="R677" s="211">
        <f>(O677/O676)*('16. câmbio USD-BRL'!O779/'16. câmbio USD-BRL'!O778)^-1-1</f>
        <v>0.11355222505921092</v>
      </c>
    </row>
    <row r="678" spans="10:18" x14ac:dyDescent="0.2">
      <c r="J678" s="354">
        <v>43395</v>
      </c>
      <c r="K678">
        <v>9.4674999999999994</v>
      </c>
      <c r="L678">
        <v>9.5</v>
      </c>
      <c r="M678">
        <v>8.2025000000000006</v>
      </c>
      <c r="N678">
        <v>8.4175000000000004</v>
      </c>
      <c r="O678">
        <v>7.5065</v>
      </c>
      <c r="P678">
        <v>66786000</v>
      </c>
      <c r="R678" s="211">
        <f>(O678/O677)*('16. câmbio USD-BRL'!O780/'16. câmbio USD-BRL'!O779)^-1-1</f>
        <v>-8.2704145344952518E-2</v>
      </c>
    </row>
    <row r="679" spans="10:18" x14ac:dyDescent="0.2">
      <c r="J679" s="354">
        <v>43402</v>
      </c>
      <c r="K679">
        <v>8.2899999999999991</v>
      </c>
      <c r="L679">
        <v>8.36</v>
      </c>
      <c r="M679">
        <v>7.9574999999999996</v>
      </c>
      <c r="N679">
        <v>8.1624999999999996</v>
      </c>
      <c r="O679">
        <v>7.2790990000000004</v>
      </c>
      <c r="P679">
        <v>40018000</v>
      </c>
      <c r="R679" s="211">
        <f>(O679/O678)*('16. câmbio USD-BRL'!O781/'16. câmbio USD-BRL'!O780)^-1-1</f>
        <v>-4.4023812621729719E-2</v>
      </c>
    </row>
    <row r="680" spans="10:18" x14ac:dyDescent="0.2">
      <c r="J680" s="354">
        <v>43409</v>
      </c>
      <c r="K680">
        <v>8.75</v>
      </c>
      <c r="L680">
        <v>9.1925000000000008</v>
      </c>
      <c r="M680">
        <v>8.2149999999999999</v>
      </c>
      <c r="N680">
        <v>8.5775000000000006</v>
      </c>
      <c r="O680">
        <v>7.649184</v>
      </c>
      <c r="P680">
        <v>45017600</v>
      </c>
      <c r="R680" s="211">
        <f>(O680/O679)*('16. câmbio USD-BRL'!O782/'16. câmbio USD-BRL'!O781)^-1-1</f>
        <v>4.0002334146890028E-2</v>
      </c>
    </row>
    <row r="681" spans="10:18" x14ac:dyDescent="0.2">
      <c r="J681" s="354">
        <v>43416</v>
      </c>
      <c r="K681">
        <v>8.5250000000000004</v>
      </c>
      <c r="L681">
        <v>8.7050000000000001</v>
      </c>
      <c r="M681">
        <v>8.1274999999999995</v>
      </c>
      <c r="N681">
        <v>8.6024999999999991</v>
      </c>
      <c r="O681">
        <v>7.6714779999999996</v>
      </c>
      <c r="P681">
        <v>20174000</v>
      </c>
      <c r="R681" s="211">
        <f>(O681/O680)*('16. câmbio USD-BRL'!O783/'16. câmbio USD-BRL'!O782)^-1-1</f>
        <v>1.2513065393828793E-3</v>
      </c>
    </row>
    <row r="682" spans="10:18" x14ac:dyDescent="0.2">
      <c r="J682" s="354">
        <v>43423</v>
      </c>
      <c r="K682">
        <v>8.61</v>
      </c>
      <c r="L682">
        <v>8.6174999999999997</v>
      </c>
      <c r="M682">
        <v>8.0399999999999991</v>
      </c>
      <c r="N682">
        <v>8.2750000000000004</v>
      </c>
      <c r="O682">
        <v>7.3794230000000001</v>
      </c>
      <c r="P682">
        <v>16147200</v>
      </c>
      <c r="R682" s="211">
        <f>(O682/O681)*('16. câmbio USD-BRL'!O784/'16. câmbio USD-BRL'!O783)^-1-1</f>
        <v>-5.9405641210952376E-2</v>
      </c>
    </row>
    <row r="683" spans="10:18" x14ac:dyDescent="0.2">
      <c r="J683" s="354">
        <v>43430</v>
      </c>
      <c r="K683">
        <v>8.3574999999999999</v>
      </c>
      <c r="L683">
        <v>8.82</v>
      </c>
      <c r="M683">
        <v>7.9625000000000004</v>
      </c>
      <c r="N683">
        <v>8.6150000000000002</v>
      </c>
      <c r="O683">
        <v>7.6826249999999998</v>
      </c>
      <c r="P683">
        <v>29275600</v>
      </c>
      <c r="R683" s="211">
        <f>(O683/O682)*('16. câmbio USD-BRL'!O785/'16. câmbio USD-BRL'!O784)^-1-1</f>
        <v>3.0681741299400045E-2</v>
      </c>
    </row>
    <row r="684" spans="10:18" x14ac:dyDescent="0.2">
      <c r="J684" s="354">
        <v>43437</v>
      </c>
      <c r="K684">
        <v>8.7974999999999994</v>
      </c>
      <c r="L684">
        <v>8.9224999999999994</v>
      </c>
      <c r="M684">
        <v>8.1649999999999991</v>
      </c>
      <c r="N684">
        <v>8.5724999999999998</v>
      </c>
      <c r="O684">
        <v>7.6447260000000004</v>
      </c>
      <c r="P684">
        <v>25895600</v>
      </c>
      <c r="R684" s="211">
        <f>(O684/O683)*('16. câmbio USD-BRL'!O786/'16. câmbio USD-BRL'!O785)^-1-1</f>
        <v>-9.013115625997048E-3</v>
      </c>
    </row>
    <row r="685" spans="10:18" x14ac:dyDescent="0.2">
      <c r="J685" s="354">
        <v>43444</v>
      </c>
      <c r="K685">
        <v>8.5425000000000004</v>
      </c>
      <c r="L685">
        <v>8.6024999999999991</v>
      </c>
      <c r="M685">
        <v>8.1999999999999993</v>
      </c>
      <c r="N685">
        <v>8.3324999999999996</v>
      </c>
      <c r="O685">
        <v>7.4306999999999999</v>
      </c>
      <c r="P685">
        <v>20864800</v>
      </c>
      <c r="R685" s="211">
        <f>(O685/O684)*('16. câmbio USD-BRL'!O787/'16. câmbio USD-BRL'!O786)^-1-1</f>
        <v>-3.1219329446664057E-2</v>
      </c>
    </row>
    <row r="686" spans="10:18" x14ac:dyDescent="0.2">
      <c r="J686" s="354">
        <v>43451</v>
      </c>
      <c r="K686">
        <v>8.2725000000000009</v>
      </c>
      <c r="L686">
        <v>8.3874999999999993</v>
      </c>
      <c r="M686">
        <v>7.915</v>
      </c>
      <c r="N686">
        <v>8.0775000000000006</v>
      </c>
      <c r="O686">
        <v>7.2032980000000002</v>
      </c>
      <c r="P686">
        <v>30011600</v>
      </c>
      <c r="R686" s="211">
        <f>(O686/O685)*('16. câmbio USD-BRL'!O788/'16. câmbio USD-BRL'!O787)^-1-1</f>
        <v>-3.358373506646084E-2</v>
      </c>
    </row>
    <row r="687" spans="10:18" x14ac:dyDescent="0.2">
      <c r="J687" s="354">
        <v>43458</v>
      </c>
      <c r="K687">
        <v>8.0775000000000006</v>
      </c>
      <c r="L687">
        <v>8.4674999999999994</v>
      </c>
      <c r="M687">
        <v>7.9775</v>
      </c>
      <c r="N687">
        <v>8.3650000000000002</v>
      </c>
      <c r="O687">
        <v>7.4596819999999999</v>
      </c>
      <c r="P687">
        <v>10295600</v>
      </c>
      <c r="R687" s="211">
        <f>(O687/O686)*('16. câmbio USD-BRL'!O789/'16. câmbio USD-BRL'!O788)^-1-1</f>
        <v>4.167818331904849E-2</v>
      </c>
    </row>
    <row r="688" spans="10:18" x14ac:dyDescent="0.2">
      <c r="J688" s="354">
        <v>43465</v>
      </c>
      <c r="K688">
        <v>8.3650000000000002</v>
      </c>
      <c r="L688">
        <v>9.1624999999999996</v>
      </c>
      <c r="M688">
        <v>8.3149999999999995</v>
      </c>
      <c r="N688">
        <v>9.0075000000000003</v>
      </c>
      <c r="O688">
        <v>8.0326450000000005</v>
      </c>
      <c r="P688">
        <v>26622000</v>
      </c>
      <c r="R688" s="211">
        <f>(O688/O687)*('16. câmbio USD-BRL'!O790/'16. câmbio USD-BRL'!O789)^-1-1</f>
        <v>0.12496828761411272</v>
      </c>
    </row>
    <row r="689" spans="10:21" x14ac:dyDescent="0.2">
      <c r="J689" s="354">
        <v>43472</v>
      </c>
      <c r="K689">
        <v>9.1199999999999992</v>
      </c>
      <c r="L689">
        <v>10.045</v>
      </c>
      <c r="M689">
        <v>8.75</v>
      </c>
      <c r="N689">
        <v>9.7375000000000007</v>
      </c>
      <c r="O689">
        <v>8.6836400000000005</v>
      </c>
      <c r="P689">
        <v>41152800</v>
      </c>
      <c r="R689" s="211">
        <f>(O689/O688)*('16. câmbio USD-BRL'!O791/'16. câmbio USD-BRL'!O790)^-1-1</f>
        <v>8.2180103909846647E-2</v>
      </c>
    </row>
    <row r="690" spans="10:21" x14ac:dyDescent="0.2">
      <c r="J690" s="354">
        <v>43479</v>
      </c>
      <c r="K690">
        <v>9.7449999999999992</v>
      </c>
      <c r="L690">
        <v>10.647500000000001</v>
      </c>
      <c r="M690">
        <v>9.59</v>
      </c>
      <c r="N690">
        <v>10.545</v>
      </c>
      <c r="O690">
        <v>9.4037469999999992</v>
      </c>
      <c r="P690">
        <v>41389200</v>
      </c>
      <c r="R690" s="211">
        <f>(O690/O689)*('16. câmbio USD-BRL'!O792/'16. câmbio USD-BRL'!O791)^-1-1</f>
        <v>7.1661116200689712E-2</v>
      </c>
    </row>
    <row r="691" spans="10:21" x14ac:dyDescent="0.2">
      <c r="J691" s="354">
        <v>43486</v>
      </c>
      <c r="K691">
        <v>10.475</v>
      </c>
      <c r="L691">
        <v>10.86</v>
      </c>
      <c r="M691">
        <v>10.015000000000001</v>
      </c>
      <c r="N691">
        <v>10.86</v>
      </c>
      <c r="O691">
        <v>9.6846549999999993</v>
      </c>
      <c r="P691">
        <v>24631200</v>
      </c>
      <c r="R691" s="211">
        <f>(O691/O690)*('16. câmbio USD-BRL'!O793/'16. câmbio USD-BRL'!O792)^-1-1</f>
        <v>2.4216587867397665E-2</v>
      </c>
    </row>
    <row r="692" spans="10:21" x14ac:dyDescent="0.2">
      <c r="J692" s="354">
        <v>43493</v>
      </c>
      <c r="K692">
        <v>10.7</v>
      </c>
      <c r="L692">
        <v>11.45</v>
      </c>
      <c r="M692">
        <v>10.6275</v>
      </c>
      <c r="N692">
        <v>11.0875</v>
      </c>
      <c r="O692">
        <v>9.8875340000000005</v>
      </c>
      <c r="P692">
        <v>27839600</v>
      </c>
      <c r="R692" s="211">
        <f>(O692/O691)*('16. câmbio USD-BRL'!O794/'16. câmbio USD-BRL'!O793)^-1-1</f>
        <v>5.2009804401512261E-2</v>
      </c>
    </row>
    <row r="693" spans="10:21" x14ac:dyDescent="0.2">
      <c r="J693" s="354">
        <v>43500</v>
      </c>
      <c r="K693">
        <v>11.05</v>
      </c>
      <c r="L693">
        <v>11.3925</v>
      </c>
      <c r="M693">
        <v>10.605</v>
      </c>
      <c r="N693">
        <v>10.78</v>
      </c>
      <c r="O693">
        <v>9.6133140000000008</v>
      </c>
      <c r="P693">
        <v>23593600</v>
      </c>
      <c r="R693" s="211">
        <f>(O693/O692)*('16. câmbio USD-BRL'!O795/'16. câmbio USD-BRL'!O794)^-1-1</f>
        <v>-4.6065271432700672E-2</v>
      </c>
    </row>
    <row r="694" spans="10:21" x14ac:dyDescent="0.2">
      <c r="J694" s="354">
        <v>43507</v>
      </c>
      <c r="K694">
        <v>10.795</v>
      </c>
      <c r="L694">
        <v>10.9125</v>
      </c>
      <c r="M694">
        <v>10.4025</v>
      </c>
      <c r="N694">
        <v>10.725</v>
      </c>
      <c r="O694">
        <v>9.5642659999999999</v>
      </c>
      <c r="P694">
        <v>25256800</v>
      </c>
      <c r="R694" s="211">
        <f>(O694/O693)*('16. câmbio USD-BRL'!O796/'16. câmbio USD-BRL'!O795)^-1-1</f>
        <v>2.8592442819008745E-3</v>
      </c>
    </row>
    <row r="695" spans="10:21" x14ac:dyDescent="0.2">
      <c r="J695" s="354">
        <v>43514</v>
      </c>
      <c r="K695">
        <v>10.6425</v>
      </c>
      <c r="L695">
        <v>11.35</v>
      </c>
      <c r="M695">
        <v>10.475</v>
      </c>
      <c r="N695">
        <v>11.27</v>
      </c>
      <c r="O695">
        <v>10.050283</v>
      </c>
      <c r="P695">
        <v>33526000</v>
      </c>
      <c r="R695" s="211">
        <f>(O695/O694)*('16. câmbio USD-BRL'!O797/'16. câmbio USD-BRL'!O796)^-1-1</f>
        <v>3.8324588592235198E-2</v>
      </c>
    </row>
    <row r="696" spans="10:21" x14ac:dyDescent="0.2">
      <c r="J696" s="354">
        <v>43521</v>
      </c>
      <c r="K696">
        <v>11.3</v>
      </c>
      <c r="L696">
        <v>11.375</v>
      </c>
      <c r="M696">
        <v>10.6175</v>
      </c>
      <c r="N696">
        <v>10.664999999999999</v>
      </c>
      <c r="O696">
        <v>9.5107599999999994</v>
      </c>
      <c r="P696">
        <v>27354400</v>
      </c>
      <c r="R696" s="211">
        <f>(O696/O695)*('16. câmbio USD-BRL'!O798/'16. câmbio USD-BRL'!O797)^-1-1</f>
        <v>-6.1006692327180478E-2</v>
      </c>
      <c r="S696" s="211"/>
      <c r="U696" s="211"/>
    </row>
    <row r="697" spans="10:21" x14ac:dyDescent="0.2">
      <c r="J697" s="354">
        <v>43528</v>
      </c>
      <c r="K697">
        <v>10.664999999999999</v>
      </c>
      <c r="L697">
        <v>10.664999999999999</v>
      </c>
      <c r="M697">
        <v>10.265000000000001</v>
      </c>
      <c r="N697">
        <v>10.515000000000001</v>
      </c>
      <c r="O697">
        <v>9.3769939999999998</v>
      </c>
      <c r="P697">
        <v>14949200</v>
      </c>
      <c r="R697" s="211">
        <f>(O697/O696)*('16. câmbio USD-BRL'!O799/'16. câmbio USD-BRL'!O798)^-1-1</f>
        <v>-3.8381091278728574E-2</v>
      </c>
      <c r="S697" s="211"/>
    </row>
    <row r="698" spans="10:21" x14ac:dyDescent="0.2">
      <c r="J698" s="354">
        <v>43535</v>
      </c>
      <c r="K698">
        <v>10.5</v>
      </c>
      <c r="L698">
        <v>11.095000000000001</v>
      </c>
      <c r="M698">
        <v>10.4925</v>
      </c>
      <c r="N698">
        <v>11.07</v>
      </c>
      <c r="O698">
        <v>9.8719269999999995</v>
      </c>
      <c r="P698">
        <v>21964800</v>
      </c>
      <c r="R698" s="211">
        <f>(O698/O697)*('16. câmbio USD-BRL'!O800/'16. câmbio USD-BRL'!O799)^-1-1</f>
        <v>6.0347509836451652E-2</v>
      </c>
      <c r="S698" s="211"/>
    </row>
    <row r="699" spans="10:21" x14ac:dyDescent="0.2">
      <c r="J699" s="354">
        <v>43542</v>
      </c>
      <c r="K699">
        <v>11.125</v>
      </c>
      <c r="L699">
        <v>11.75</v>
      </c>
      <c r="M699">
        <v>11.1175</v>
      </c>
      <c r="N699">
        <v>11.297499999999999</v>
      </c>
      <c r="O699">
        <v>10.074806000000001</v>
      </c>
      <c r="P699">
        <v>48011600</v>
      </c>
      <c r="R699" s="211">
        <f>(O699/O698)*('16. câmbio USD-BRL'!O801/'16. câmbio USD-BRL'!O800)^-1-1</f>
        <v>3.4374079652119693E-3</v>
      </c>
      <c r="S699" s="211"/>
    </row>
    <row r="700" spans="10:21" x14ac:dyDescent="0.2">
      <c r="J700" s="354">
        <v>43549</v>
      </c>
      <c r="K700">
        <v>11.145</v>
      </c>
      <c r="L700">
        <v>11.272500000000001</v>
      </c>
      <c r="M700">
        <v>10.4</v>
      </c>
      <c r="N700">
        <v>10.6625</v>
      </c>
      <c r="O700">
        <v>9.5085309999999996</v>
      </c>
      <c r="P700">
        <v>35407200</v>
      </c>
      <c r="R700" s="211">
        <f>(O700/O699)*('16. câmbio USD-BRL'!O802/'16. câmbio USD-BRL'!O801)^-1-1</f>
        <v>-5.9961416003537105E-2</v>
      </c>
      <c r="S700" s="211"/>
    </row>
    <row r="701" spans="10:21" x14ac:dyDescent="0.2">
      <c r="J701" s="354">
        <v>43556</v>
      </c>
      <c r="K701">
        <v>10.765000000000001</v>
      </c>
      <c r="L701">
        <v>11.5725</v>
      </c>
      <c r="M701">
        <v>10.65</v>
      </c>
      <c r="N701">
        <v>11.5</v>
      </c>
      <c r="O701">
        <v>10.25539</v>
      </c>
      <c r="P701">
        <v>35648000</v>
      </c>
      <c r="R701" s="211">
        <f>(O701/O700)*('16. câmbio USD-BRL'!O803/'16. câmbio USD-BRL'!O802)^-1-1</f>
        <v>9.69233608613147E-2</v>
      </c>
      <c r="S701" s="211"/>
    </row>
    <row r="702" spans="10:21" x14ac:dyDescent="0.2">
      <c r="J702" s="354">
        <v>43563</v>
      </c>
      <c r="K702">
        <v>11.4975</v>
      </c>
      <c r="L702">
        <v>11.772500000000001</v>
      </c>
      <c r="M702">
        <v>11</v>
      </c>
      <c r="N702">
        <v>11.01</v>
      </c>
      <c r="O702">
        <v>9.818422</v>
      </c>
      <c r="P702">
        <v>51784000</v>
      </c>
      <c r="R702" s="211">
        <f>(O702/O701)*('16. câmbio USD-BRL'!O804/'16. câmbio USD-BRL'!O803)^-1-1</f>
        <v>-4.6663371134610943E-2</v>
      </c>
      <c r="S702" s="211"/>
    </row>
    <row r="703" spans="10:21" x14ac:dyDescent="0.2">
      <c r="J703" s="354">
        <v>43570</v>
      </c>
      <c r="K703">
        <v>11.137499999999999</v>
      </c>
      <c r="L703">
        <v>11.682499999999999</v>
      </c>
      <c r="M703">
        <v>10.887499999999999</v>
      </c>
      <c r="N703">
        <v>11.6</v>
      </c>
      <c r="O703">
        <v>10.344568000000001</v>
      </c>
      <c r="P703">
        <v>34297600</v>
      </c>
      <c r="R703" s="211">
        <f>(O703/O702)*('16. câmbio USD-BRL'!O805/'16. câmbio USD-BRL'!O804)^-1-1</f>
        <v>3.899136509703971E-2</v>
      </c>
      <c r="S703" s="211"/>
    </row>
    <row r="704" spans="10:21" x14ac:dyDescent="0.2">
      <c r="J704" s="354">
        <v>43577</v>
      </c>
      <c r="K704">
        <v>11.595000000000001</v>
      </c>
      <c r="L704">
        <v>12.1</v>
      </c>
      <c r="M704">
        <v>11.375</v>
      </c>
      <c r="N704">
        <v>11.3925</v>
      </c>
      <c r="O704">
        <v>10.159525</v>
      </c>
      <c r="P704">
        <v>26173600</v>
      </c>
      <c r="R704" s="211">
        <f>(O704/O703)*('16. câmbio USD-BRL'!O806/'16. câmbio USD-BRL'!O805)^-1-1</f>
        <v>-1.8312944087421235E-2</v>
      </c>
      <c r="S704" s="211"/>
    </row>
    <row r="705" spans="10:19" x14ac:dyDescent="0.2">
      <c r="J705" s="354">
        <v>43584</v>
      </c>
      <c r="K705">
        <v>11.5375</v>
      </c>
      <c r="L705">
        <v>11.77</v>
      </c>
      <c r="M705">
        <v>11.2925</v>
      </c>
      <c r="N705">
        <v>11.297499999999999</v>
      </c>
      <c r="O705">
        <v>10.074806000000001</v>
      </c>
      <c r="P705">
        <v>20932400</v>
      </c>
      <c r="R705" s="211">
        <f>(O705/O704)*('16. câmbio USD-BRL'!O807/'16. câmbio USD-BRL'!O806)^-1-1</f>
        <v>-1.7789933199703567E-2</v>
      </c>
      <c r="S705" s="211"/>
    </row>
    <row r="706" spans="10:19" x14ac:dyDescent="0.2">
      <c r="J706" s="354">
        <v>43591</v>
      </c>
      <c r="K706">
        <v>11.25</v>
      </c>
      <c r="L706">
        <v>11.397500000000001</v>
      </c>
      <c r="M706">
        <v>10.922499999999999</v>
      </c>
      <c r="N706">
        <v>11.19</v>
      </c>
      <c r="O706">
        <v>10.197056</v>
      </c>
      <c r="P706">
        <v>31587600</v>
      </c>
      <c r="R706" s="211">
        <f>(O706/O705)*('16. câmbio USD-BRL'!O808/'16. câmbio USD-BRL'!O807)^-1-1</f>
        <v>1.7470162170070358E-2</v>
      </c>
      <c r="S706" s="211"/>
    </row>
    <row r="707" spans="10:19" x14ac:dyDescent="0.2">
      <c r="J707" s="354">
        <v>43598</v>
      </c>
      <c r="K707">
        <v>11</v>
      </c>
      <c r="L707">
        <v>11.237500000000001</v>
      </c>
      <c r="M707">
        <v>10.567500000000001</v>
      </c>
      <c r="N707">
        <v>10.567500000000001</v>
      </c>
      <c r="O707">
        <v>9.6297949999999997</v>
      </c>
      <c r="P707">
        <v>41317200</v>
      </c>
      <c r="R707" s="211">
        <f>(O707/O706)*('16. câmbio USD-BRL'!O809/'16. câmbio USD-BRL'!O808)^-1-1</f>
        <v>-7.9156276980885343E-2</v>
      </c>
      <c r="S707" s="211"/>
    </row>
    <row r="708" spans="10:19" x14ac:dyDescent="0.2">
      <c r="J708" s="354">
        <v>43605</v>
      </c>
      <c r="K708">
        <v>10.615</v>
      </c>
      <c r="L708">
        <v>11.55</v>
      </c>
      <c r="M708">
        <v>10.5</v>
      </c>
      <c r="N708">
        <v>11.125</v>
      </c>
      <c r="O708">
        <v>10.137824999999999</v>
      </c>
      <c r="P708">
        <v>37357600</v>
      </c>
      <c r="R708" s="211">
        <f>(O708/O707)*('16. câmbio USD-BRL'!O810/'16. câmbio USD-BRL'!O809)^-1-1</f>
        <v>5.9960074647341211E-2</v>
      </c>
      <c r="S708" s="211"/>
    </row>
    <row r="709" spans="10:19" x14ac:dyDescent="0.2">
      <c r="J709" s="354">
        <v>43612</v>
      </c>
      <c r="K709">
        <v>11.25</v>
      </c>
      <c r="L709">
        <v>11.975</v>
      </c>
      <c r="M709">
        <v>11.182499999999999</v>
      </c>
      <c r="N709">
        <v>11.785</v>
      </c>
      <c r="O709">
        <v>10.73926</v>
      </c>
      <c r="P709">
        <v>33966800</v>
      </c>
      <c r="R709" s="211">
        <f>(O709/O708)*('16. câmbio USD-BRL'!O811/'16. câmbio USD-BRL'!O810)^-1-1</f>
        <v>6.9626321505260824E-2</v>
      </c>
      <c r="S709" s="211"/>
    </row>
    <row r="710" spans="10:19" x14ac:dyDescent="0.2">
      <c r="J710" s="354">
        <v>43619</v>
      </c>
      <c r="K710">
        <v>11.8725</v>
      </c>
      <c r="L710">
        <v>12.15</v>
      </c>
      <c r="M710">
        <v>11.505000000000001</v>
      </c>
      <c r="N710">
        <v>11.83</v>
      </c>
      <c r="O710">
        <v>10.780267</v>
      </c>
      <c r="P710">
        <v>28561200</v>
      </c>
      <c r="R710" s="211">
        <f>(O710/O709)*('16. câmbio USD-BRL'!O812/'16. câmbio USD-BRL'!O811)^-1-1</f>
        <v>3.0114817884766776E-2</v>
      </c>
      <c r="S710" s="211"/>
    </row>
    <row r="711" spans="10:19" x14ac:dyDescent="0.2">
      <c r="J711" s="354">
        <v>43626</v>
      </c>
      <c r="K711">
        <v>11.82</v>
      </c>
      <c r="L711">
        <v>12.29</v>
      </c>
      <c r="M711">
        <v>11.7125</v>
      </c>
      <c r="N711">
        <v>11.82</v>
      </c>
      <c r="O711">
        <v>10.771153</v>
      </c>
      <c r="P711">
        <v>24234800</v>
      </c>
      <c r="R711" s="211">
        <f>(O711/O710)*('16. câmbio USD-BRL'!O813/'16. câmbio USD-BRL'!O812)^-1-1</f>
        <v>-5.1037046716990719E-3</v>
      </c>
      <c r="S711" s="211"/>
    </row>
    <row r="712" spans="10:19" x14ac:dyDescent="0.2">
      <c r="J712" s="354">
        <v>43633</v>
      </c>
      <c r="K712">
        <v>11.7525</v>
      </c>
      <c r="L712">
        <v>11.9375</v>
      </c>
      <c r="M712">
        <v>11.452500000000001</v>
      </c>
      <c r="N712">
        <v>11.555</v>
      </c>
      <c r="O712">
        <v>10.529669999999999</v>
      </c>
      <c r="P712">
        <v>24260800</v>
      </c>
      <c r="R712" s="211">
        <f>(O712/O711)*('16. câmbio USD-BRL'!O814/'16. câmbio USD-BRL'!O813)^-1-1</f>
        <v>-7.8233420586076852E-3</v>
      </c>
      <c r="S712" s="211"/>
    </row>
    <row r="713" spans="10:19" x14ac:dyDescent="0.2">
      <c r="J713" s="354">
        <v>43640</v>
      </c>
      <c r="K713">
        <v>11.625</v>
      </c>
      <c r="L713">
        <v>11.75</v>
      </c>
      <c r="M713">
        <v>11.2925</v>
      </c>
      <c r="N713">
        <v>11.5375</v>
      </c>
      <c r="O713">
        <v>10.513722</v>
      </c>
      <c r="P713">
        <v>31086800</v>
      </c>
      <c r="R713" s="211">
        <f>(O713/O712)*('16. câmbio USD-BRL'!O815/'16. câmbio USD-BRL'!O814)^-1-1</f>
        <v>4.1633926596145177E-3</v>
      </c>
      <c r="S713" s="211"/>
    </row>
    <row r="714" spans="10:19" x14ac:dyDescent="0.2">
      <c r="J714" s="354">
        <v>43647</v>
      </c>
      <c r="K714">
        <v>11.6675</v>
      </c>
      <c r="L714">
        <v>12.25</v>
      </c>
      <c r="M714">
        <v>11.522500000000001</v>
      </c>
      <c r="N714">
        <v>12.1975</v>
      </c>
      <c r="O714">
        <v>11.115157</v>
      </c>
      <c r="P714">
        <v>31991600</v>
      </c>
      <c r="R714" s="211">
        <f>(O714/O713)*('16. câmbio USD-BRL'!O816/'16. câmbio USD-BRL'!O815)^-1-1</f>
        <v>5.5959530058436124E-2</v>
      </c>
      <c r="S714" s="211"/>
    </row>
    <row r="715" spans="10:19" x14ac:dyDescent="0.2">
      <c r="J715" s="354">
        <v>43654</v>
      </c>
      <c r="K715">
        <v>12.225</v>
      </c>
      <c r="L715">
        <v>12.7225</v>
      </c>
      <c r="M715">
        <v>12.137499999999999</v>
      </c>
      <c r="N715">
        <v>12.4175</v>
      </c>
      <c r="O715">
        <v>11.315633999999999</v>
      </c>
      <c r="P715">
        <v>22475200</v>
      </c>
      <c r="R715" s="211">
        <f>(O715/O714)*('16. câmbio USD-BRL'!O817/'16. câmbio USD-BRL'!O816)^-1-1</f>
        <v>4.081134700504041E-2</v>
      </c>
      <c r="S715" s="211"/>
    </row>
    <row r="716" spans="10:19" x14ac:dyDescent="0.2">
      <c r="J716" s="354">
        <v>43661</v>
      </c>
      <c r="K716">
        <v>12.494999999999999</v>
      </c>
      <c r="L716">
        <v>12.68</v>
      </c>
      <c r="M716">
        <v>12.2575</v>
      </c>
      <c r="N716">
        <v>12.375</v>
      </c>
      <c r="O716">
        <v>11.276906</v>
      </c>
      <c r="P716">
        <v>24457200</v>
      </c>
      <c r="R716" s="211">
        <f>(O716/O715)*('16. câmbio USD-BRL'!O818/'16. câmbio USD-BRL'!O817)^-1-1</f>
        <v>-6.029204467483229E-3</v>
      </c>
      <c r="S716" s="211"/>
    </row>
    <row r="717" spans="10:19" x14ac:dyDescent="0.2">
      <c r="J717" s="354">
        <v>43668</v>
      </c>
      <c r="K717">
        <v>12.425000000000001</v>
      </c>
      <c r="L717">
        <v>12.7325</v>
      </c>
      <c r="M717">
        <v>12.275</v>
      </c>
      <c r="N717">
        <v>12.4925</v>
      </c>
      <c r="O717">
        <v>11.383979999999999</v>
      </c>
      <c r="P717">
        <v>23478400</v>
      </c>
      <c r="R717" s="211">
        <f>(O717/O716)*('16. câmbio USD-BRL'!O819/'16. câmbio USD-BRL'!O818)^-1-1</f>
        <v>1.8740311997691439E-3</v>
      </c>
      <c r="S717" s="211"/>
    </row>
    <row r="718" spans="10:19" x14ac:dyDescent="0.2">
      <c r="J718" s="354">
        <v>43675</v>
      </c>
      <c r="K718">
        <v>12.452500000000001</v>
      </c>
      <c r="L718">
        <v>13.21</v>
      </c>
      <c r="M718">
        <v>12.27</v>
      </c>
      <c r="N718">
        <v>12.7775</v>
      </c>
      <c r="O718">
        <v>11.643689999999999</v>
      </c>
      <c r="P718">
        <v>32238800</v>
      </c>
      <c r="R718" s="211">
        <f>(O718/O717)*('16. câmbio USD-BRL'!O820/'16. câmbio USD-BRL'!O819)^-1-1</f>
        <v>6.2611853653169458E-3</v>
      </c>
      <c r="S718" s="211"/>
    </row>
    <row r="719" spans="10:19" x14ac:dyDescent="0.2">
      <c r="J719" s="354">
        <v>43682</v>
      </c>
      <c r="K719">
        <v>12.625</v>
      </c>
      <c r="L719">
        <v>13.3325</v>
      </c>
      <c r="M719">
        <v>12.13</v>
      </c>
      <c r="N719">
        <v>13.3325</v>
      </c>
      <c r="O719">
        <v>12.149442000000001</v>
      </c>
      <c r="P719">
        <v>45001200</v>
      </c>
      <c r="R719" s="211">
        <f>(O719/O718)*('16. câmbio USD-BRL'!O821/'16. câmbio USD-BRL'!O820)^-1-1</f>
        <v>2.2048159342841434E-2</v>
      </c>
      <c r="S719" s="211"/>
    </row>
    <row r="720" spans="10:19" x14ac:dyDescent="0.2">
      <c r="J720" s="354">
        <v>43689</v>
      </c>
      <c r="K720">
        <v>13.074999999999999</v>
      </c>
      <c r="L720">
        <v>13.0975</v>
      </c>
      <c r="M720">
        <v>11.887499999999999</v>
      </c>
      <c r="N720">
        <v>12.397500000000001</v>
      </c>
      <c r="O720">
        <v>11.297409999999999</v>
      </c>
      <c r="P720">
        <v>58938800</v>
      </c>
      <c r="R720" s="211">
        <f>(O720/O719)*('16. câmbio USD-BRL'!O822/'16. câmbio USD-BRL'!O821)^-1-1</f>
        <v>-8.7025034436220672E-2</v>
      </c>
      <c r="S720" s="211"/>
    </row>
    <row r="721" spans="10:19" x14ac:dyDescent="0.2">
      <c r="J721" s="354">
        <v>43696</v>
      </c>
      <c r="K721">
        <v>12.4975</v>
      </c>
      <c r="L721">
        <v>12.657500000000001</v>
      </c>
      <c r="M721">
        <v>11.914999999999999</v>
      </c>
      <c r="N721">
        <v>11.9975</v>
      </c>
      <c r="O721">
        <v>10.932904000000001</v>
      </c>
      <c r="P721">
        <v>38344400</v>
      </c>
      <c r="R721" s="211">
        <f>(O721/O720)*('16. câmbio USD-BRL'!O823/'16. câmbio USD-BRL'!O822)^-1-1</f>
        <v>-6.2480596789820542E-2</v>
      </c>
      <c r="S721" s="211"/>
    </row>
    <row r="722" spans="10:19" x14ac:dyDescent="0.2">
      <c r="J722" s="354">
        <v>43703</v>
      </c>
      <c r="K722">
        <v>12.102499999999999</v>
      </c>
      <c r="L722">
        <v>12.602499999999999</v>
      </c>
      <c r="M722">
        <v>11.685</v>
      </c>
      <c r="N722">
        <v>12.4975</v>
      </c>
      <c r="O722">
        <v>11.388536</v>
      </c>
      <c r="P722">
        <v>33525200</v>
      </c>
      <c r="R722" s="211">
        <f>(O722/O721)*('16. câmbio USD-BRL'!O824/'16. câmbio USD-BRL'!O823)^-1-1</f>
        <v>2.9329439730337192E-2</v>
      </c>
      <c r="S722" s="211"/>
    </row>
    <row r="723" spans="10:19" x14ac:dyDescent="0.2">
      <c r="J723" s="354">
        <v>43710</v>
      </c>
      <c r="K723">
        <v>12.494999999999999</v>
      </c>
      <c r="L723">
        <v>13.067500000000001</v>
      </c>
      <c r="M723">
        <v>12.202500000000001</v>
      </c>
      <c r="N723">
        <v>12.9275</v>
      </c>
      <c r="O723">
        <v>11.780379999999999</v>
      </c>
      <c r="P723">
        <v>24042400</v>
      </c>
      <c r="R723" s="211">
        <f>(O723/O722)*('16. câmbio USD-BRL'!O825/'16. câmbio USD-BRL'!O824)^-1-1</f>
        <v>6.1843985722783712E-2</v>
      </c>
      <c r="S723" s="211"/>
    </row>
    <row r="724" spans="10:19" x14ac:dyDescent="0.2">
      <c r="J724" s="354">
        <v>43717</v>
      </c>
      <c r="K724">
        <v>12.94</v>
      </c>
      <c r="L724">
        <v>13.75</v>
      </c>
      <c r="M724">
        <v>12.8825</v>
      </c>
      <c r="N724">
        <v>13.637499999999999</v>
      </c>
      <c r="O724">
        <v>12.427379</v>
      </c>
      <c r="P724">
        <v>26585600</v>
      </c>
      <c r="R724" s="211">
        <f>(O724/O723)*('16. câmbio USD-BRL'!O826/'16. câmbio USD-BRL'!O825)^-1-1</f>
        <v>4.8928456340313398E-2</v>
      </c>
      <c r="S724" s="211"/>
    </row>
    <row r="725" spans="10:19" x14ac:dyDescent="0.2">
      <c r="J725" s="354">
        <v>43724</v>
      </c>
      <c r="K725">
        <v>13.8225</v>
      </c>
      <c r="L725">
        <v>13.92</v>
      </c>
      <c r="M725">
        <v>13.27</v>
      </c>
      <c r="N725">
        <v>13.545</v>
      </c>
      <c r="O725">
        <v>12.343086</v>
      </c>
      <c r="P725">
        <v>29748400</v>
      </c>
      <c r="R725" s="211">
        <f>(O725/O724)*('16. câmbio USD-BRL'!O827/'16. câmbio USD-BRL'!O826)^-1-1</f>
        <v>-2.6568048433327274E-2</v>
      </c>
      <c r="S725" s="211"/>
    </row>
    <row r="726" spans="10:19" x14ac:dyDescent="0.2">
      <c r="J726" s="354">
        <v>43731</v>
      </c>
      <c r="K726">
        <v>13.574999999999999</v>
      </c>
      <c r="L726">
        <v>13.744999999999999</v>
      </c>
      <c r="M726">
        <v>13.145</v>
      </c>
      <c r="N726">
        <v>13.3825</v>
      </c>
      <c r="O726">
        <v>12.195005999999999</v>
      </c>
      <c r="P726">
        <v>22927200</v>
      </c>
      <c r="R726" s="211">
        <f>(O726/O725)*('16. câmbio USD-BRL'!O828/'16. câmbio USD-BRL'!O827)^-1-1</f>
        <v>-9.8582593983058686E-3</v>
      </c>
      <c r="S726" s="211"/>
    </row>
    <row r="727" spans="10:19" x14ac:dyDescent="0.2">
      <c r="J727" s="354">
        <v>43738</v>
      </c>
      <c r="K727">
        <v>13.3775</v>
      </c>
      <c r="L727">
        <v>13.7075</v>
      </c>
      <c r="M727">
        <v>13</v>
      </c>
      <c r="N727">
        <v>13.4025</v>
      </c>
      <c r="O727">
        <v>12.213231</v>
      </c>
      <c r="P727">
        <v>23080400</v>
      </c>
      <c r="R727" s="211">
        <f>(O727/O726)*('16. câmbio USD-BRL'!O829/'16. câmbio USD-BRL'!O828)^-1-1</f>
        <v>2.66824599065143E-2</v>
      </c>
      <c r="S727" s="211"/>
    </row>
    <row r="728" spans="10:19" x14ac:dyDescent="0.2">
      <c r="J728" s="354">
        <v>43745</v>
      </c>
      <c r="K728">
        <v>13.3925</v>
      </c>
      <c r="L728">
        <v>14.04</v>
      </c>
      <c r="M728">
        <v>12.762499999999999</v>
      </c>
      <c r="N728">
        <v>13.92</v>
      </c>
      <c r="O728">
        <v>12.684812000000001</v>
      </c>
      <c r="P728">
        <v>25754400</v>
      </c>
      <c r="R728" s="211">
        <f>(O728/O727)*('16. câmbio USD-BRL'!O830/'16. câmbio USD-BRL'!O829)^-1-1</f>
        <v>2.4940035531230365E-2</v>
      </c>
      <c r="S728" s="211"/>
    </row>
    <row r="729" spans="10:19" x14ac:dyDescent="0.2">
      <c r="J729" s="354">
        <v>43752</v>
      </c>
      <c r="K729">
        <v>13.9725</v>
      </c>
      <c r="L729">
        <v>14.45</v>
      </c>
      <c r="M729">
        <v>13.862500000000001</v>
      </c>
      <c r="N729">
        <v>14.192500000000001</v>
      </c>
      <c r="O729">
        <v>12.93313</v>
      </c>
      <c r="P729">
        <v>13644800</v>
      </c>
      <c r="R729" s="211">
        <f>(O729/O728)*('16. câmbio USD-BRL'!O831/'16. câmbio USD-BRL'!O830)^-1-1</f>
        <v>6.9816938241360482E-3</v>
      </c>
      <c r="S729" s="211"/>
    </row>
    <row r="730" spans="10:19" x14ac:dyDescent="0.2">
      <c r="J730" s="354">
        <v>43759</v>
      </c>
      <c r="K730">
        <v>14.145</v>
      </c>
      <c r="L730">
        <v>14.5725</v>
      </c>
      <c r="M730">
        <v>13.9725</v>
      </c>
      <c r="N730">
        <v>14.305</v>
      </c>
      <c r="O730">
        <v>13.035648</v>
      </c>
      <c r="P730">
        <v>18896800</v>
      </c>
      <c r="R730" s="211">
        <f>(O730/O729)*('16. câmbio USD-BRL'!O832/'16. câmbio USD-BRL'!O831)^-1-1</f>
        <v>4.7735223516002456E-2</v>
      </c>
      <c r="S730" s="211"/>
    </row>
    <row r="731" spans="10:19" x14ac:dyDescent="0.2">
      <c r="J731" s="354">
        <v>43766</v>
      </c>
      <c r="K731">
        <v>14.305</v>
      </c>
      <c r="L731">
        <v>14.75</v>
      </c>
      <c r="M731">
        <v>14.102499999999999</v>
      </c>
      <c r="N731">
        <v>14.7125</v>
      </c>
      <c r="O731">
        <v>13.406988</v>
      </c>
      <c r="P731">
        <v>24136000</v>
      </c>
      <c r="R731" s="211">
        <f>(O731/O730)*('16. câmbio USD-BRL'!O833/'16. câmbio USD-BRL'!O832)^-1-1</f>
        <v>3.2329044800333273E-2</v>
      </c>
      <c r="S731" s="211"/>
    </row>
    <row r="732" spans="10:19" x14ac:dyDescent="0.2">
      <c r="J732" s="354">
        <v>43773</v>
      </c>
      <c r="K732">
        <v>14.715</v>
      </c>
      <c r="L732">
        <v>15.145</v>
      </c>
      <c r="M732">
        <v>14.6075</v>
      </c>
      <c r="N732">
        <v>14.85</v>
      </c>
      <c r="O732">
        <v>13.532289</v>
      </c>
      <c r="P732">
        <v>20497600</v>
      </c>
      <c r="R732" s="211">
        <f>(O732/O731)*('16. câmbio USD-BRL'!O834/'16. câmbio USD-BRL'!O833)^-1-1</f>
        <v>-1.8082065752999643E-2</v>
      </c>
      <c r="S732" s="211"/>
    </row>
    <row r="733" spans="10:19" x14ac:dyDescent="0.2">
      <c r="J733" s="354">
        <v>43780</v>
      </c>
      <c r="K733">
        <v>14.75</v>
      </c>
      <c r="L733">
        <v>15.3025</v>
      </c>
      <c r="M733">
        <v>14.25</v>
      </c>
      <c r="N733">
        <v>15.2</v>
      </c>
      <c r="O733">
        <v>13.851229999999999</v>
      </c>
      <c r="P733">
        <v>35184800</v>
      </c>
      <c r="R733" s="211">
        <f>(O733/O732)*('16. câmbio USD-BRL'!O835/'16. câmbio USD-BRL'!O834)^-1-1</f>
        <v>7.4878831966040948E-4</v>
      </c>
      <c r="S733" s="211"/>
    </row>
    <row r="734" spans="10:19" x14ac:dyDescent="0.2">
      <c r="J734" s="354">
        <v>43787</v>
      </c>
      <c r="K734">
        <v>15.3375</v>
      </c>
      <c r="L734">
        <v>15.727499999999999</v>
      </c>
      <c r="M734">
        <v>15.0875</v>
      </c>
      <c r="N734">
        <v>15.727499999999999</v>
      </c>
      <c r="O734">
        <v>14.331923</v>
      </c>
      <c r="P734">
        <v>20951600</v>
      </c>
      <c r="R734" s="211">
        <f>(O734/O733)*('16. câmbio USD-BRL'!O836/'16. câmbio USD-BRL'!O835)^-1-1</f>
        <v>3.4230657849934731E-2</v>
      </c>
      <c r="S734" s="211"/>
    </row>
    <row r="735" spans="10:19" x14ac:dyDescent="0.2">
      <c r="J735" s="354">
        <v>43794</v>
      </c>
      <c r="K735">
        <v>15.602499999999999</v>
      </c>
      <c r="L735">
        <v>15.772500000000001</v>
      </c>
      <c r="M735">
        <v>15.282500000000001</v>
      </c>
      <c r="N735">
        <v>15.525</v>
      </c>
      <c r="O735">
        <v>14.147391000000001</v>
      </c>
      <c r="P735">
        <v>23082000</v>
      </c>
      <c r="R735" s="211">
        <f>(O735/O734)*('16. câmbio USD-BRL'!O837/'16. câmbio USD-BRL'!O836)^-1-1</f>
        <v>-2.2127489325068028E-2</v>
      </c>
      <c r="S735" s="211"/>
    </row>
    <row r="736" spans="10:19" x14ac:dyDescent="0.2">
      <c r="J736" s="354">
        <v>43801</v>
      </c>
      <c r="K736">
        <v>15.7075</v>
      </c>
      <c r="L736">
        <v>16.6875</v>
      </c>
      <c r="M736">
        <v>15.5425</v>
      </c>
      <c r="N736">
        <v>16.635000000000002</v>
      </c>
      <c r="O736">
        <v>15.158896</v>
      </c>
      <c r="P736">
        <v>32718400</v>
      </c>
      <c r="R736" s="211">
        <f>(O736/O735)*('16. câmbio USD-BRL'!O838/'16. câmbio USD-BRL'!O837)^-1-1</f>
        <v>9.6005241508131611E-2</v>
      </c>
      <c r="S736" s="211"/>
    </row>
    <row r="737" spans="10:19" x14ac:dyDescent="0.2">
      <c r="J737" s="354">
        <v>43808</v>
      </c>
      <c r="K737">
        <v>16.625</v>
      </c>
      <c r="L737">
        <v>17.420000000000002</v>
      </c>
      <c r="M737">
        <v>16.307500999999998</v>
      </c>
      <c r="N737">
        <v>17.325001</v>
      </c>
      <c r="O737">
        <v>15.787668999999999</v>
      </c>
      <c r="P737">
        <v>61237200</v>
      </c>
      <c r="R737" s="211">
        <f>(O737/O736)*('16. câmbio USD-BRL'!O839/'16. câmbio USD-BRL'!O838)^-1-1</f>
        <v>4.9847362860798938E-2</v>
      </c>
      <c r="S737" s="211"/>
    </row>
    <row r="738" spans="10:19" x14ac:dyDescent="0.2">
      <c r="J738" s="354">
        <v>43815</v>
      </c>
      <c r="K738">
        <v>17.462499999999999</v>
      </c>
      <c r="L738">
        <v>17.625</v>
      </c>
      <c r="M738">
        <v>16.950001</v>
      </c>
      <c r="N738">
        <v>17.4025</v>
      </c>
      <c r="O738">
        <v>15.85829</v>
      </c>
      <c r="P738">
        <v>35447600</v>
      </c>
      <c r="R738" s="211">
        <f>(O738/O737)*('16. câmbio USD-BRL'!O840/'16. câmbio USD-BRL'!O839)^-1-1</f>
        <v>6.6428896816492777E-3</v>
      </c>
      <c r="S738" s="211"/>
    </row>
    <row r="739" spans="10:19" x14ac:dyDescent="0.2">
      <c r="J739" s="354">
        <v>43822</v>
      </c>
      <c r="K739">
        <v>17.399999999999999</v>
      </c>
      <c r="L739">
        <v>17.5975</v>
      </c>
      <c r="M739">
        <v>17.2225</v>
      </c>
      <c r="N739">
        <v>17.5075</v>
      </c>
      <c r="O739">
        <v>15.953975</v>
      </c>
      <c r="P739">
        <v>10827600</v>
      </c>
      <c r="R739" s="211">
        <f>(O739/O738)*('16. câmbio USD-BRL'!O841/'16. câmbio USD-BRL'!O840)^-1-1</f>
        <v>1.9490471250831254E-2</v>
      </c>
      <c r="S739" s="211"/>
    </row>
    <row r="740" spans="10:19" x14ac:dyDescent="0.2">
      <c r="J740" s="354">
        <v>43829</v>
      </c>
      <c r="K740">
        <v>17.629999000000002</v>
      </c>
      <c r="L740">
        <v>18.545000000000002</v>
      </c>
      <c r="M740">
        <v>17.360001</v>
      </c>
      <c r="N740">
        <v>18.274999999999999</v>
      </c>
      <c r="O740">
        <v>16.653369999999999</v>
      </c>
      <c r="P740">
        <v>16128400</v>
      </c>
      <c r="R740" s="211">
        <f>(O740/O739)*('16. câmbio USD-BRL'!O842/'16. câmbio USD-BRL'!O841)^-1-1</f>
        <v>3.8357838353795248E-2</v>
      </c>
      <c r="S740" s="211"/>
    </row>
    <row r="741" spans="10:19" x14ac:dyDescent="0.2">
      <c r="J741" s="354">
        <v>43836</v>
      </c>
      <c r="K741">
        <v>18.274999999999999</v>
      </c>
      <c r="L741">
        <v>18.649999999999999</v>
      </c>
      <c r="M741">
        <v>17.827499</v>
      </c>
      <c r="N741">
        <v>18.262501</v>
      </c>
      <c r="O741">
        <v>16.641981000000001</v>
      </c>
      <c r="P741">
        <v>31349200</v>
      </c>
      <c r="R741" s="211">
        <f>(O741/O740)*('16. câmbio USD-BRL'!O843/'16. câmbio USD-BRL'!O842)^-1-1</f>
        <v>1.0684088878976095E-3</v>
      </c>
      <c r="S741" s="211"/>
    </row>
    <row r="742" spans="10:19" x14ac:dyDescent="0.2">
      <c r="J742" s="354">
        <v>43843</v>
      </c>
      <c r="K742">
        <v>18.219999000000001</v>
      </c>
      <c r="L742">
        <v>19.5275</v>
      </c>
      <c r="M742">
        <v>18.219999000000001</v>
      </c>
      <c r="N742">
        <v>19.5</v>
      </c>
      <c r="O742">
        <v>17.769670000000001</v>
      </c>
      <c r="P742">
        <v>30811600</v>
      </c>
      <c r="R742" s="211">
        <f>(O742/O741)*('16. câmbio USD-BRL'!O844/'16. câmbio USD-BRL'!O843)^-1-1</f>
        <v>4.1653276593956345E-2</v>
      </c>
      <c r="S742" s="211"/>
    </row>
    <row r="743" spans="10:19" x14ac:dyDescent="0.2">
      <c r="J743" s="354">
        <v>43850</v>
      </c>
      <c r="K743">
        <v>19.502500999999999</v>
      </c>
      <c r="L743">
        <v>20.440000999999999</v>
      </c>
      <c r="M743">
        <v>19.502500999999999</v>
      </c>
      <c r="N743">
        <v>20.142499999999998</v>
      </c>
      <c r="O743">
        <v>18.355160000000001</v>
      </c>
      <c r="P743">
        <v>20436000</v>
      </c>
      <c r="R743" s="211">
        <f>(O743/O742)*('16. câmbio USD-BRL'!O845/'16. câmbio USD-BRL'!O844)^-1-1</f>
        <v>2.8030976676597152E-2</v>
      </c>
      <c r="S743" s="211"/>
    </row>
    <row r="744" spans="10:19" x14ac:dyDescent="0.2">
      <c r="J744" s="354">
        <v>43857</v>
      </c>
      <c r="K744">
        <v>20</v>
      </c>
      <c r="L744">
        <v>20.350000000000001</v>
      </c>
      <c r="M744">
        <v>19.517499999999998</v>
      </c>
      <c r="N744">
        <v>19.924999</v>
      </c>
      <c r="O744">
        <v>18.156956000000001</v>
      </c>
      <c r="P744">
        <v>25218000</v>
      </c>
      <c r="R744" s="211">
        <f>(O744/O743)*('16. câmbio USD-BRL'!O846/'16. câmbio USD-BRL'!O845)^-1-1</f>
        <v>-3.4182344070043724E-2</v>
      </c>
      <c r="S744" s="211"/>
    </row>
    <row r="745" spans="10:19" x14ac:dyDescent="0.2">
      <c r="J745" s="354">
        <v>43864</v>
      </c>
      <c r="K745">
        <v>20.357500000000002</v>
      </c>
      <c r="L745">
        <v>21.047501</v>
      </c>
      <c r="M745">
        <v>19.725000000000001</v>
      </c>
      <c r="N745">
        <v>19.725000000000001</v>
      </c>
      <c r="O745">
        <v>17.974705</v>
      </c>
      <c r="P745">
        <v>32124000</v>
      </c>
      <c r="R745" s="211">
        <f>(O745/O744)*('16. câmbio USD-BRL'!O847/'16. câmbio USD-BRL'!O846)^-1-1</f>
        <v>-1.8747549931940277E-2</v>
      </c>
      <c r="S745" s="211"/>
    </row>
    <row r="746" spans="10:19" x14ac:dyDescent="0.2">
      <c r="J746" s="354">
        <v>43871</v>
      </c>
      <c r="K746">
        <v>19.674999</v>
      </c>
      <c r="L746">
        <v>21.372499000000001</v>
      </c>
      <c r="M746">
        <v>19.192499000000002</v>
      </c>
      <c r="N746">
        <v>20.674999</v>
      </c>
      <c r="O746">
        <v>18.840406000000002</v>
      </c>
      <c r="P746">
        <v>44842400</v>
      </c>
      <c r="R746" s="211">
        <f>(O746/O745)*('16. câmbio USD-BRL'!O848/'16. câmbio USD-BRL'!O847)^-1-1</f>
        <v>5.3773850276686908E-2</v>
      </c>
      <c r="S746" s="211"/>
    </row>
    <row r="747" spans="10:19" x14ac:dyDescent="0.2">
      <c r="J747" s="354">
        <v>43878</v>
      </c>
      <c r="K747">
        <v>20.7075</v>
      </c>
      <c r="L747">
        <v>20.7075</v>
      </c>
      <c r="M747">
        <v>19.5</v>
      </c>
      <c r="N747">
        <v>19.899999999999999</v>
      </c>
      <c r="O747">
        <v>18.134176</v>
      </c>
      <c r="P747">
        <v>41568000</v>
      </c>
      <c r="R747" s="211">
        <f>(O747/O746)*('16. câmbio USD-BRL'!O849/'16. câmbio USD-BRL'!O848)^-1-1</f>
        <v>-5.7686689645784051E-2</v>
      </c>
      <c r="S747" s="211"/>
    </row>
    <row r="748" spans="10:19" x14ac:dyDescent="0.2">
      <c r="J748" s="354">
        <v>43885</v>
      </c>
      <c r="K748">
        <v>19.899999999999999</v>
      </c>
      <c r="L748">
        <v>19.899999999999999</v>
      </c>
      <c r="M748">
        <v>17.399999999999999</v>
      </c>
      <c r="N748">
        <v>18.2925</v>
      </c>
      <c r="O748">
        <v>16.669316999999999</v>
      </c>
      <c r="P748">
        <v>30728800</v>
      </c>
      <c r="R748" s="211">
        <f>(O748/O747)*('16. câmbio USD-BRL'!O850/'16. câmbio USD-BRL'!O849)^-1-1</f>
        <v>-9.7723556692347446E-2</v>
      </c>
      <c r="S748" s="211"/>
    </row>
    <row r="749" spans="10:19" x14ac:dyDescent="0.2">
      <c r="J749" s="354">
        <v>43892</v>
      </c>
      <c r="K749">
        <v>18.290001</v>
      </c>
      <c r="L749">
        <v>19.6875</v>
      </c>
      <c r="M749">
        <v>17.125</v>
      </c>
      <c r="N749">
        <v>17.34</v>
      </c>
      <c r="O749">
        <v>15.801337</v>
      </c>
      <c r="P749">
        <v>49850400</v>
      </c>
      <c r="R749" s="211">
        <f>(O749/O748)*('16. câmbio USD-BRL'!O851/'16. câmbio USD-BRL'!O850)^-1-1</f>
        <v>-8.389331036543457E-2</v>
      </c>
      <c r="S749" s="211"/>
    </row>
    <row r="750" spans="10:19" x14ac:dyDescent="0.2">
      <c r="J750" s="354">
        <v>43899</v>
      </c>
      <c r="K750">
        <v>15</v>
      </c>
      <c r="L750">
        <v>17.307500999999998</v>
      </c>
      <c r="M750">
        <v>12.005000000000001</v>
      </c>
      <c r="N750">
        <v>13.862500000000001</v>
      </c>
      <c r="O750">
        <v>12.632413</v>
      </c>
      <c r="P750">
        <v>61022400</v>
      </c>
      <c r="R750" s="211">
        <f>(O750/O749)*('16. câmbio USD-BRL'!O852/'16. câmbio USD-BRL'!O851)^-1-1</f>
        <v>-0.23877528189327901</v>
      </c>
      <c r="S750" s="211"/>
    </row>
    <row r="751" spans="10:19" x14ac:dyDescent="0.2">
      <c r="J751" s="354">
        <v>43906</v>
      </c>
      <c r="K751">
        <v>12.1175</v>
      </c>
      <c r="L751">
        <v>13.375</v>
      </c>
      <c r="M751">
        <v>10.4375</v>
      </c>
      <c r="N751">
        <v>12.625</v>
      </c>
      <c r="O751">
        <v>11.504723</v>
      </c>
      <c r="P751">
        <v>69212400</v>
      </c>
      <c r="R751" s="211">
        <f>(O751/O750)*('16. câmbio USD-BRL'!O853/'16. câmbio USD-BRL'!O852)^-1-1</f>
        <v>-0.13147902881104534</v>
      </c>
      <c r="S751" s="211"/>
    </row>
    <row r="752" spans="10:19" x14ac:dyDescent="0.2">
      <c r="J752" s="354">
        <v>43913</v>
      </c>
      <c r="K752">
        <v>12.7875</v>
      </c>
      <c r="L752">
        <v>15.73</v>
      </c>
      <c r="M752">
        <v>11.7425</v>
      </c>
      <c r="N752">
        <v>13.91</v>
      </c>
      <c r="O752">
        <v>12.675697</v>
      </c>
      <c r="P752">
        <v>57298800</v>
      </c>
      <c r="R752" s="211">
        <f>(O752/O751)*('16. câmbio USD-BRL'!O854/'16. câmbio USD-BRL'!O853)^-1-1</f>
        <v>0.10074484996705757</v>
      </c>
      <c r="S752" s="211"/>
    </row>
    <row r="753" spans="10:19" x14ac:dyDescent="0.2">
      <c r="J753" s="354">
        <v>43920</v>
      </c>
      <c r="K753">
        <v>13.85</v>
      </c>
      <c r="L753">
        <v>14.42</v>
      </c>
      <c r="M753">
        <v>11.725</v>
      </c>
      <c r="N753">
        <v>12.025</v>
      </c>
      <c r="O753">
        <v>10.957962999999999</v>
      </c>
      <c r="P753">
        <v>45152000</v>
      </c>
      <c r="R753" s="211">
        <f>(O753/O752)*('16. câmbio USD-BRL'!O855/'16. câmbio USD-BRL'!O854)^-1-1</f>
        <v>-0.16122499643846755</v>
      </c>
      <c r="S753" s="211"/>
    </row>
    <row r="754" spans="10:19" x14ac:dyDescent="0.2">
      <c r="J754" s="354">
        <v>43927</v>
      </c>
      <c r="K754">
        <v>12.75</v>
      </c>
      <c r="L754">
        <v>14.04</v>
      </c>
      <c r="M754">
        <v>12.5</v>
      </c>
      <c r="N754">
        <v>12.8925</v>
      </c>
      <c r="O754">
        <v>11.748487000000001</v>
      </c>
      <c r="P754">
        <v>29948800</v>
      </c>
      <c r="R754" s="211">
        <f>(O754/O753)*('16. câmbio USD-BRL'!O856/'16. câmbio USD-BRL'!O855)^-1-1</f>
        <v>0.10359911444064696</v>
      </c>
      <c r="S754" s="211"/>
    </row>
    <row r="755" spans="10:19" x14ac:dyDescent="0.2">
      <c r="J755" s="354">
        <v>43934</v>
      </c>
      <c r="K755">
        <v>12.9025</v>
      </c>
      <c r="L755">
        <v>14.612500000000001</v>
      </c>
      <c r="M755">
        <v>12.9025</v>
      </c>
      <c r="N755">
        <v>13.375</v>
      </c>
      <c r="O755">
        <v>12.188172</v>
      </c>
      <c r="P755">
        <v>59193600</v>
      </c>
      <c r="R755" s="211">
        <f>(O755/O754)*('16. câmbio USD-BRL'!O857/'16. câmbio USD-BRL'!O856)^-1-1</f>
        <v>1.1684382019001793E-2</v>
      </c>
      <c r="S755" s="211"/>
    </row>
    <row r="756" spans="10:19" x14ac:dyDescent="0.2">
      <c r="J756" s="354">
        <v>43941</v>
      </c>
      <c r="K756">
        <v>13.225</v>
      </c>
      <c r="L756">
        <v>15.18</v>
      </c>
      <c r="M756">
        <v>13.0875</v>
      </c>
      <c r="N756">
        <v>14.035</v>
      </c>
      <c r="O756">
        <v>12.789605</v>
      </c>
      <c r="P756">
        <v>42683200</v>
      </c>
      <c r="R756" s="211">
        <f>(O756/O755)*('16. câmbio USD-BRL'!O858/'16. câmbio USD-BRL'!O857)^-1-1</f>
        <v>-1.7535659325848996E-2</v>
      </c>
      <c r="S756" s="211"/>
    </row>
    <row r="757" spans="10:19" x14ac:dyDescent="0.2">
      <c r="J757" s="354">
        <v>43948</v>
      </c>
      <c r="K757">
        <v>14.442500000000001</v>
      </c>
      <c r="L757">
        <v>16.004999000000002</v>
      </c>
      <c r="M757">
        <v>14.342499999999999</v>
      </c>
      <c r="N757">
        <v>15.085000000000001</v>
      </c>
      <c r="O757">
        <v>13.746434000000001</v>
      </c>
      <c r="P757">
        <v>31356000</v>
      </c>
      <c r="R757" s="211">
        <f>(O757/O756)*('16. câmbio USD-BRL'!O859/'16. câmbio USD-BRL'!O858)^-1-1</f>
        <v>9.5561249077869004E-2</v>
      </c>
      <c r="S757" s="211"/>
    </row>
    <row r="758" spans="10:19" x14ac:dyDescent="0.2">
      <c r="J758" s="354">
        <v>43955</v>
      </c>
      <c r="K758">
        <v>14.82</v>
      </c>
      <c r="L758">
        <v>15.705</v>
      </c>
      <c r="M758">
        <v>14.5</v>
      </c>
      <c r="N758">
        <v>15.5725</v>
      </c>
      <c r="O758">
        <v>14.190676</v>
      </c>
      <c r="P758">
        <v>28500400</v>
      </c>
      <c r="R758" s="211">
        <f>(O758/O757)*('16. câmbio USD-BRL'!O860/'16. câmbio USD-BRL'!O859)^-1-1</f>
        <v>-1.1798138364849886E-2</v>
      </c>
      <c r="S758" s="211"/>
    </row>
    <row r="759" spans="10:19" x14ac:dyDescent="0.2">
      <c r="J759" s="354">
        <v>43962</v>
      </c>
      <c r="K759">
        <v>15.55</v>
      </c>
      <c r="L759">
        <v>15.6675</v>
      </c>
      <c r="M759">
        <v>14.297499999999999</v>
      </c>
      <c r="N759">
        <v>14.4375</v>
      </c>
      <c r="O759">
        <v>13.156390999999999</v>
      </c>
      <c r="P759">
        <v>36752000</v>
      </c>
      <c r="R759" s="211">
        <f>(O759/O758)*('16. câmbio USD-BRL'!O861/'16. câmbio USD-BRL'!O860)^-1-1</f>
        <v>-9.2247822687044123E-2</v>
      </c>
      <c r="S759" s="211"/>
    </row>
    <row r="760" spans="10:19" x14ac:dyDescent="0.2">
      <c r="J760" s="354">
        <v>43969</v>
      </c>
      <c r="K760">
        <v>14.8</v>
      </c>
      <c r="L760">
        <v>16.815000999999999</v>
      </c>
      <c r="M760">
        <v>14.675000000000001</v>
      </c>
      <c r="N760">
        <v>15.7475</v>
      </c>
      <c r="O760">
        <v>14.350149</v>
      </c>
      <c r="P760">
        <v>38087200</v>
      </c>
      <c r="R760" s="211">
        <f>(O760/O759)*('16. câmbio USD-BRL'!O862/'16. câmbio USD-BRL'!O861)^-1-1</f>
        <v>0.15493306225307735</v>
      </c>
      <c r="S760" s="211"/>
    </row>
    <row r="761" spans="10:19" x14ac:dyDescent="0.2">
      <c r="J761" s="354">
        <v>43976</v>
      </c>
      <c r="K761">
        <v>16.125</v>
      </c>
      <c r="L761">
        <v>16.7775</v>
      </c>
      <c r="M761">
        <v>15.842499999999999</v>
      </c>
      <c r="N761">
        <v>16.462499999999999</v>
      </c>
      <c r="O761">
        <v>15.001701000000001</v>
      </c>
      <c r="P761">
        <v>49230800</v>
      </c>
      <c r="R761" s="211">
        <f>(O761/O760)*('16. câmbio USD-BRL'!O863/'16. câmbio USD-BRL'!O862)^-1-1</f>
        <v>8.3712254892464921E-2</v>
      </c>
      <c r="S761" s="211"/>
    </row>
    <row r="762" spans="10:19" x14ac:dyDescent="0.2">
      <c r="J762" s="354">
        <v>43983</v>
      </c>
      <c r="K762">
        <v>16.552499999999998</v>
      </c>
      <c r="L762">
        <v>18.0625</v>
      </c>
      <c r="M762">
        <v>16.43</v>
      </c>
      <c r="N762">
        <v>17.305</v>
      </c>
      <c r="O762">
        <v>15.769442</v>
      </c>
      <c r="P762">
        <v>43336400</v>
      </c>
      <c r="R762" s="211">
        <f>(O762/O761)*('16. câmbio USD-BRL'!O864/'16. câmbio USD-BRL'!O863)^-1-1</f>
        <v>0.12976991434258278</v>
      </c>
      <c r="S762" s="211"/>
    </row>
    <row r="763" spans="10:19" x14ac:dyDescent="0.2">
      <c r="J763" s="354">
        <v>43990</v>
      </c>
      <c r="K763">
        <v>17.514999</v>
      </c>
      <c r="L763">
        <v>17.662500000000001</v>
      </c>
      <c r="M763">
        <v>15.8775</v>
      </c>
      <c r="N763">
        <v>16.440000999999999</v>
      </c>
      <c r="O763">
        <v>15.300229</v>
      </c>
      <c r="P763">
        <v>27322000</v>
      </c>
      <c r="R763" s="211">
        <f>(O763/O762)*('16. câmbio USD-BRL'!O865/'16. câmbio USD-BRL'!O864)^-1-1</f>
        <v>-4.6294532856749004E-2</v>
      </c>
      <c r="S763" s="211"/>
    </row>
    <row r="764" spans="10:19" x14ac:dyDescent="0.2">
      <c r="J764" s="354">
        <v>43997</v>
      </c>
      <c r="K764">
        <v>16.309999000000001</v>
      </c>
      <c r="L764">
        <v>18.162500000000001</v>
      </c>
      <c r="M764">
        <v>15.9625</v>
      </c>
      <c r="N764">
        <v>17.635000000000002</v>
      </c>
      <c r="O764">
        <v>16.412378</v>
      </c>
      <c r="P764">
        <v>34896800</v>
      </c>
      <c r="R764" s="211">
        <f>(O764/O763)*('16. câmbio USD-BRL'!O866/'16. câmbio USD-BRL'!O865)^-1-1</f>
        <v>1.995885634202188E-2</v>
      </c>
      <c r="S764" s="211"/>
    </row>
    <row r="765" spans="10:19" x14ac:dyDescent="0.2">
      <c r="J765" s="354">
        <v>44004</v>
      </c>
      <c r="K765">
        <v>17.747499000000001</v>
      </c>
      <c r="L765">
        <v>17.7925</v>
      </c>
      <c r="M765">
        <v>16.9175</v>
      </c>
      <c r="N765">
        <v>17.172501</v>
      </c>
      <c r="O765">
        <v>15.981946000000001</v>
      </c>
      <c r="P765">
        <v>19371200</v>
      </c>
      <c r="R765" s="211">
        <f>(O765/O764)*('16. câmbio USD-BRL'!O867/'16. câmbio USD-BRL'!O866)^-1-1</f>
        <v>-5.6109453988894997E-2</v>
      </c>
      <c r="S765" s="211"/>
    </row>
    <row r="766" spans="10:19" x14ac:dyDescent="0.2">
      <c r="J766" s="354">
        <v>44011</v>
      </c>
      <c r="K766">
        <v>17.245000999999998</v>
      </c>
      <c r="L766">
        <v>19.112499</v>
      </c>
      <c r="M766">
        <v>17.1325</v>
      </c>
      <c r="N766">
        <v>18.905000999999999</v>
      </c>
      <c r="O766">
        <v>17.594332000000001</v>
      </c>
      <c r="P766">
        <v>30326400</v>
      </c>
      <c r="R766" s="211">
        <f>(O766/O765)*('16. câmbio USD-BRL'!O868/'16. câmbio USD-BRL'!O867)^-1-1</f>
        <v>0.13523694589258173</v>
      </c>
      <c r="S766" s="211"/>
    </row>
    <row r="767" spans="10:19" x14ac:dyDescent="0.2">
      <c r="J767" s="354">
        <v>44018</v>
      </c>
      <c r="K767">
        <v>19.497499000000001</v>
      </c>
      <c r="L767">
        <v>19.75</v>
      </c>
      <c r="M767">
        <v>18.375</v>
      </c>
      <c r="N767">
        <v>18.600000000000001</v>
      </c>
      <c r="O767">
        <v>17.310478</v>
      </c>
      <c r="P767">
        <v>52586800</v>
      </c>
      <c r="R767" s="211">
        <f>(O767/O766)*('16. câmbio USD-BRL'!O869/'16. câmbio USD-BRL'!O868)^-1-1</f>
        <v>-1.7176104252510815E-2</v>
      </c>
      <c r="S767" s="211"/>
    </row>
    <row r="768" spans="10:19" x14ac:dyDescent="0.2">
      <c r="J768" s="354">
        <v>44025</v>
      </c>
      <c r="K768">
        <v>18.84</v>
      </c>
      <c r="L768">
        <v>20.695</v>
      </c>
      <c r="M768">
        <v>18.25</v>
      </c>
      <c r="N768">
        <v>20.432500999999998</v>
      </c>
      <c r="O768">
        <v>19.015931999999999</v>
      </c>
      <c r="P768">
        <v>37812000</v>
      </c>
      <c r="R768" s="211">
        <f>(O768/O767)*('16. câmbio USD-BRL'!O870/'16. câmbio USD-BRL'!O869)^-1-1</f>
        <v>8.4570253385708893E-2</v>
      </c>
      <c r="S768" s="211"/>
    </row>
    <row r="769" spans="10:19" x14ac:dyDescent="0.2">
      <c r="J769" s="354">
        <v>44032</v>
      </c>
      <c r="K769">
        <v>20.395</v>
      </c>
      <c r="L769">
        <v>21.424999</v>
      </c>
      <c r="M769">
        <v>20.112499</v>
      </c>
      <c r="N769">
        <v>20.610001</v>
      </c>
      <c r="O769">
        <v>19.181125999999999</v>
      </c>
      <c r="P769">
        <v>31353600</v>
      </c>
      <c r="R769" s="211">
        <f>(O769/O768)*('16. câmbio USD-BRL'!O871/'16. câmbio USD-BRL'!O870)^-1-1</f>
        <v>3.8984411347746217E-2</v>
      </c>
      <c r="S769" s="211"/>
    </row>
    <row r="770" spans="10:19" x14ac:dyDescent="0.2">
      <c r="J770" s="354">
        <v>44039</v>
      </c>
      <c r="K770">
        <v>20.66</v>
      </c>
      <c r="L770">
        <v>22.677499999999998</v>
      </c>
      <c r="M770">
        <v>20.620000999999998</v>
      </c>
      <c r="N770">
        <v>22.6</v>
      </c>
      <c r="O770">
        <v>21.033162999999998</v>
      </c>
      <c r="P770">
        <v>29032000</v>
      </c>
      <c r="R770" s="211">
        <f>(O770/O769)*('16. câmbio USD-BRL'!O872/'16. câmbio USD-BRL'!O871)^-1-1</f>
        <v>9.7983392603786745E-2</v>
      </c>
      <c r="S770" s="211"/>
    </row>
    <row r="771" spans="10:19" x14ac:dyDescent="0.2">
      <c r="J771" s="354">
        <v>44046</v>
      </c>
      <c r="K771">
        <v>22.950001</v>
      </c>
      <c r="L771">
        <v>22.99</v>
      </c>
      <c r="M771">
        <v>21.2425</v>
      </c>
      <c r="N771">
        <v>21.774999999999999</v>
      </c>
      <c r="O771">
        <v>20.265356000000001</v>
      </c>
      <c r="P771">
        <v>29388800</v>
      </c>
      <c r="R771" s="211">
        <f>(O771/O770)*('16. câmbio USD-BRL'!O873/'16. câmbio USD-BRL'!O872)^-1-1</f>
        <v>-7.4439130495540518E-2</v>
      </c>
      <c r="S771" s="211"/>
    </row>
    <row r="772" spans="10:19" x14ac:dyDescent="0.2">
      <c r="J772" s="354">
        <v>44053</v>
      </c>
      <c r="K772">
        <v>21.8675</v>
      </c>
      <c r="L772">
        <v>22.032499000000001</v>
      </c>
      <c r="M772">
        <v>20.3675</v>
      </c>
      <c r="N772">
        <v>20.700001</v>
      </c>
      <c r="O772">
        <v>19.264885</v>
      </c>
      <c r="P772">
        <v>44441600</v>
      </c>
      <c r="R772" s="211">
        <f>(O772/O771)*('16. câmbio USD-BRL'!O874/'16. câmbio USD-BRL'!O873)^-1-1</f>
        <v>-4.6740923222229225E-2</v>
      </c>
      <c r="S772" s="211"/>
    </row>
    <row r="773" spans="10:19" x14ac:dyDescent="0.2">
      <c r="J773" s="354">
        <v>44060</v>
      </c>
      <c r="K773">
        <v>20.75</v>
      </c>
      <c r="L773">
        <v>21.32</v>
      </c>
      <c r="M773">
        <v>20.105</v>
      </c>
      <c r="N773">
        <v>20.84</v>
      </c>
      <c r="O773">
        <v>19.39518</v>
      </c>
      <c r="P773">
        <v>30627600</v>
      </c>
      <c r="R773" s="211">
        <f>(O773/O772)*('16. câmbio USD-BRL'!O875/'16. câmbio USD-BRL'!O874)^-1-1</f>
        <v>-2.8684935888138474E-2</v>
      </c>
      <c r="S773" s="211"/>
    </row>
    <row r="774" spans="10:19" x14ac:dyDescent="0.2">
      <c r="J774" s="354">
        <v>44067</v>
      </c>
      <c r="K774">
        <v>21.0825</v>
      </c>
      <c r="L774">
        <v>21.66</v>
      </c>
      <c r="M774">
        <v>20.524999999999999</v>
      </c>
      <c r="N774">
        <v>21.487499</v>
      </c>
      <c r="O774">
        <v>19.997789000000001</v>
      </c>
      <c r="P774">
        <v>31801600</v>
      </c>
      <c r="R774" s="211">
        <f>(O774/O773)*('16. câmbio USD-BRL'!O876/'16. câmbio USD-BRL'!O875)^-1-1</f>
        <v>7.4767067778090501E-2</v>
      </c>
      <c r="S774" s="211"/>
    </row>
    <row r="775" spans="10:19" x14ac:dyDescent="0.2">
      <c r="J775" s="354">
        <v>44074</v>
      </c>
      <c r="K775">
        <v>21.52</v>
      </c>
      <c r="L775">
        <v>21.5275</v>
      </c>
      <c r="M775">
        <v>18.947500000000002</v>
      </c>
      <c r="N775">
        <v>19.217500999999999</v>
      </c>
      <c r="O775">
        <v>17.885166000000002</v>
      </c>
      <c r="P775">
        <v>54989600</v>
      </c>
      <c r="R775" s="211">
        <f>(O775/O774)*('16. câmbio USD-BRL'!O877/'16. câmbio USD-BRL'!O876)^-1-1</f>
        <v>-9.0556594903903775E-2</v>
      </c>
      <c r="S775" s="211"/>
    </row>
    <row r="776" spans="10:19" x14ac:dyDescent="0.2">
      <c r="J776" s="354">
        <v>44081</v>
      </c>
      <c r="K776">
        <v>19.217500999999999</v>
      </c>
      <c r="L776">
        <v>19.682500999999998</v>
      </c>
      <c r="M776">
        <v>18.445</v>
      </c>
      <c r="N776">
        <v>18.565000999999999</v>
      </c>
      <c r="O776">
        <v>17.277905000000001</v>
      </c>
      <c r="P776">
        <v>29250400</v>
      </c>
      <c r="R776" s="211">
        <f>(O776/O775)*('16. câmbio USD-BRL'!O878/'16. câmbio USD-BRL'!O877)^-1-1</f>
        <v>-3.6897212330101237E-2</v>
      </c>
      <c r="S776" s="211"/>
    </row>
    <row r="777" spans="10:19" x14ac:dyDescent="0.2">
      <c r="J777" s="354">
        <v>44088</v>
      </c>
      <c r="K777">
        <v>18.762501</v>
      </c>
      <c r="L777">
        <v>19.107500000000002</v>
      </c>
      <c r="M777">
        <v>18.315000999999999</v>
      </c>
      <c r="N777">
        <v>18.512501</v>
      </c>
      <c r="O777">
        <v>17.229042</v>
      </c>
      <c r="P777">
        <v>29204000</v>
      </c>
      <c r="R777" s="211">
        <f>(O777/O776)*('16. câmbio USD-BRL'!O879/'16. câmbio USD-BRL'!O878)^-1-1</f>
        <v>-1.6390370826128264E-2</v>
      </c>
      <c r="S777" s="211"/>
    </row>
    <row r="778" spans="10:19" x14ac:dyDescent="0.2">
      <c r="J778" s="354">
        <v>44095</v>
      </c>
      <c r="K778">
        <v>18.450001</v>
      </c>
      <c r="L778">
        <v>18.5625</v>
      </c>
      <c r="M778">
        <v>16.9725</v>
      </c>
      <c r="N778">
        <v>17.075001</v>
      </c>
      <c r="O778">
        <v>15.891206</v>
      </c>
      <c r="P778">
        <v>29980800</v>
      </c>
      <c r="R778" s="211">
        <f>(O778/O777)*('16. câmbio USD-BRL'!O880/'16. câmbio USD-BRL'!O879)^-1-1</f>
        <v>-0.10585444256455534</v>
      </c>
      <c r="S778" s="211"/>
    </row>
    <row r="779" spans="10:19" x14ac:dyDescent="0.2">
      <c r="J779" s="354">
        <v>44102</v>
      </c>
      <c r="K779">
        <v>17.287500000000001</v>
      </c>
      <c r="L779">
        <v>17.920000000000002</v>
      </c>
      <c r="M779">
        <v>16.232500000000002</v>
      </c>
      <c r="N779">
        <v>17.07</v>
      </c>
      <c r="O779">
        <v>15.886552</v>
      </c>
      <c r="P779">
        <v>50273200</v>
      </c>
      <c r="R779" s="211">
        <f>(O779/O778)*('16. câmbio USD-BRL'!O881/'16. câmbio USD-BRL'!O880)^-1-1</f>
        <v>-2.1467359431255106E-2</v>
      </c>
      <c r="S779" s="211"/>
    </row>
    <row r="780" spans="10:19" x14ac:dyDescent="0.2">
      <c r="J780" s="354">
        <v>44109</v>
      </c>
      <c r="K780">
        <v>17.112499</v>
      </c>
      <c r="L780">
        <v>17.4175</v>
      </c>
      <c r="M780">
        <v>16.559999000000001</v>
      </c>
      <c r="N780">
        <v>16.559999000000001</v>
      </c>
      <c r="O780">
        <v>15.411906999999999</v>
      </c>
      <c r="P780">
        <v>25577600</v>
      </c>
      <c r="R780" s="211">
        <f>(O780/O779)*('16. câmbio USD-BRL'!O882/'16. câmbio USD-BRL'!O881)^-1-1</f>
        <v>-3.1467390903749948E-3</v>
      </c>
      <c r="S780" s="211"/>
    </row>
    <row r="781" spans="10:19" x14ac:dyDescent="0.2">
      <c r="J781" s="354">
        <v>44116</v>
      </c>
      <c r="K781">
        <v>16.559999000000001</v>
      </c>
      <c r="L781">
        <v>17.715</v>
      </c>
      <c r="M781">
        <v>16.540001</v>
      </c>
      <c r="N781">
        <v>17.145</v>
      </c>
      <c r="O781">
        <v>15.956353</v>
      </c>
      <c r="P781">
        <v>31180000</v>
      </c>
      <c r="R781" s="211">
        <f>(O781/O780)*('16. câmbio USD-BRL'!O883/'16. câmbio USD-BRL'!O882)^-1-1</f>
        <v>1.4027237716760954E-2</v>
      </c>
      <c r="S781" s="211"/>
    </row>
    <row r="782" spans="10:19" x14ac:dyDescent="0.2">
      <c r="J782" s="354">
        <v>44123</v>
      </c>
      <c r="K782">
        <v>17.197500000000002</v>
      </c>
      <c r="L782">
        <v>18.1875</v>
      </c>
      <c r="M782">
        <v>17.145</v>
      </c>
      <c r="N782">
        <v>17.309999000000001</v>
      </c>
      <c r="O782">
        <v>16.109912999999999</v>
      </c>
      <c r="P782">
        <v>31737200</v>
      </c>
      <c r="R782" s="211">
        <f>(O782/O781)*('16. câmbio USD-BRL'!O884/'16. câmbio USD-BRL'!O883)^-1-1</f>
        <v>1.4531471464125589E-2</v>
      </c>
      <c r="S782" s="211"/>
    </row>
    <row r="783" spans="10:19" x14ac:dyDescent="0.2">
      <c r="J783" s="354">
        <v>44130</v>
      </c>
      <c r="K783">
        <v>17.392499999999998</v>
      </c>
      <c r="L783">
        <v>17.635000000000002</v>
      </c>
      <c r="M783">
        <v>16.162500000000001</v>
      </c>
      <c r="N783">
        <v>16.247499000000001</v>
      </c>
      <c r="O783">
        <v>15.121074</v>
      </c>
      <c r="P783">
        <v>32783200</v>
      </c>
      <c r="R783" s="211">
        <f>(O783/O782)*('16. câmbio USD-BRL'!O885/'16. câmbio USD-BRL'!O884)^-1-1</f>
        <v>-8.7633135049021815E-2</v>
      </c>
      <c r="S783" s="211"/>
    </row>
    <row r="784" spans="10:19" x14ac:dyDescent="0.2">
      <c r="J784" s="354">
        <v>44137</v>
      </c>
      <c r="K784">
        <v>16.247499000000001</v>
      </c>
      <c r="L784">
        <v>18.524999999999999</v>
      </c>
      <c r="M784">
        <v>16.125</v>
      </c>
      <c r="N784">
        <v>18.227501</v>
      </c>
      <c r="O784">
        <v>16.963804</v>
      </c>
      <c r="P784">
        <v>35062000</v>
      </c>
      <c r="R784" s="211">
        <f>(O784/O783)*('16. câmbio USD-BRL'!O886/'16. câmbio USD-BRL'!O885)^-1-1</f>
        <v>0.20870302611047942</v>
      </c>
      <c r="S784" s="211"/>
    </row>
    <row r="785" spans="10:19" x14ac:dyDescent="0.2">
      <c r="J785" s="354">
        <v>44144</v>
      </c>
      <c r="K785">
        <v>18.75</v>
      </c>
      <c r="L785">
        <v>19.887501</v>
      </c>
      <c r="M785">
        <v>18.424999</v>
      </c>
      <c r="N785">
        <v>19.610001</v>
      </c>
      <c r="O785">
        <v>18.250456</v>
      </c>
      <c r="P785">
        <v>48180800</v>
      </c>
      <c r="R785" s="211">
        <f>(O785/O784)*('16. câmbio USD-BRL'!O887/'16. câmbio USD-BRL'!O886)^-1-1</f>
        <v>5.7255669383334151E-2</v>
      </c>
      <c r="S785" s="211"/>
    </row>
    <row r="786" spans="10:19" x14ac:dyDescent="0.2">
      <c r="J786" s="354">
        <v>44151</v>
      </c>
      <c r="K786">
        <v>20.02</v>
      </c>
      <c r="L786">
        <v>20.712499999999999</v>
      </c>
      <c r="M786">
        <v>19.450001</v>
      </c>
      <c r="N786">
        <v>20.5075</v>
      </c>
      <c r="O786">
        <v>19.085733000000001</v>
      </c>
      <c r="P786">
        <v>32140400</v>
      </c>
      <c r="R786" s="211">
        <f>(O786/O785)*('16. câmbio USD-BRL'!O888/'16. câmbio USD-BRL'!O887)^-1-1</f>
        <v>6.110950423873529E-2</v>
      </c>
      <c r="S786" s="211"/>
    </row>
    <row r="787" spans="10:19" x14ac:dyDescent="0.2">
      <c r="J787" s="354">
        <v>44158</v>
      </c>
      <c r="K787">
        <v>20.7225</v>
      </c>
      <c r="L787">
        <v>21.612499</v>
      </c>
      <c r="M787">
        <v>20.465</v>
      </c>
      <c r="N787">
        <v>20.549999</v>
      </c>
      <c r="O787">
        <v>19.125285999999999</v>
      </c>
      <c r="P787">
        <v>38193600</v>
      </c>
      <c r="R787" s="211">
        <f>(O787/O786)*('16. câmbio USD-BRL'!O889/'16. câmbio USD-BRL'!O888)^-1-1</f>
        <v>8.7497421605637893E-3</v>
      </c>
      <c r="S787" s="211"/>
    </row>
    <row r="788" spans="10:19" x14ac:dyDescent="0.2">
      <c r="J788" s="354">
        <v>44165</v>
      </c>
      <c r="K788">
        <v>20.52</v>
      </c>
      <c r="L788">
        <v>20.547501</v>
      </c>
      <c r="M788">
        <v>18.350000000000001</v>
      </c>
      <c r="N788">
        <v>19.075001</v>
      </c>
      <c r="O788">
        <v>17.752544</v>
      </c>
      <c r="P788">
        <v>63206800</v>
      </c>
      <c r="R788" s="211">
        <f>(O788/O787)*('16. câmbio USD-BRL'!O890/'16. câmbio USD-BRL'!O889)^-1-1</f>
        <v>-3.7902531541701867E-2</v>
      </c>
      <c r="S788" s="211"/>
    </row>
    <row r="789" spans="10:19" x14ac:dyDescent="0.2">
      <c r="J789" s="354">
        <v>44172</v>
      </c>
      <c r="K789">
        <v>18.899999999999999</v>
      </c>
      <c r="L789">
        <v>18.985001</v>
      </c>
      <c r="M789">
        <v>17.149999999999999</v>
      </c>
      <c r="N789">
        <v>17.797501</v>
      </c>
      <c r="O789">
        <v>16.563616</v>
      </c>
      <c r="P789">
        <v>50965600</v>
      </c>
      <c r="R789" s="211">
        <f>(O789/O788)*('16. câmbio USD-BRL'!O891/'16. câmbio USD-BRL'!O890)^-1-1</f>
        <v>-5.0353820769734714E-2</v>
      </c>
      <c r="S789" s="211"/>
    </row>
    <row r="790" spans="10:19" x14ac:dyDescent="0.2">
      <c r="J790" s="354">
        <v>44179</v>
      </c>
      <c r="K790">
        <v>17.825001</v>
      </c>
      <c r="L790">
        <v>19.697500000000002</v>
      </c>
      <c r="M790">
        <v>17.395</v>
      </c>
      <c r="N790">
        <v>19.024999999999999</v>
      </c>
      <c r="O790">
        <v>17.706012999999999</v>
      </c>
      <c r="P790">
        <v>64303600</v>
      </c>
      <c r="R790" s="211">
        <f>(O790/O789)*('16. câmbio USD-BRL'!O892/'16. câmbio USD-BRL'!O891)^-1-1</f>
        <v>6.1341650126722769E-2</v>
      </c>
      <c r="S790" s="211"/>
    </row>
    <row r="791" spans="10:19" x14ac:dyDescent="0.2">
      <c r="J791" s="354">
        <v>44186</v>
      </c>
      <c r="K791">
        <v>18.5</v>
      </c>
      <c r="L791">
        <v>18.875</v>
      </c>
      <c r="M791">
        <v>18.200001</v>
      </c>
      <c r="N791">
        <v>18.5275</v>
      </c>
      <c r="O791">
        <v>17.243003999999999</v>
      </c>
      <c r="P791">
        <v>20052800</v>
      </c>
      <c r="R791" s="211">
        <f>(O791/O790)*('16. câmbio USD-BRL'!O893/'16. câmbio USD-BRL'!O892)^-1-1</f>
        <v>-4.7567686741381454E-2</v>
      </c>
      <c r="S791" s="211"/>
    </row>
    <row r="792" spans="10:19" x14ac:dyDescent="0.2">
      <c r="J792" s="354">
        <v>44193</v>
      </c>
      <c r="K792">
        <v>18.552499999999998</v>
      </c>
      <c r="L792">
        <v>19.420000000000002</v>
      </c>
      <c r="M792">
        <v>18.399999999999999</v>
      </c>
      <c r="N792">
        <v>18.932500999999998</v>
      </c>
      <c r="O792">
        <v>17.619924999999999</v>
      </c>
      <c r="P792">
        <v>20057200</v>
      </c>
      <c r="R792" s="211">
        <f>(O792/O791)*('16. câmbio USD-BRL'!O894/'16. câmbio USD-BRL'!O893)^-1-1</f>
        <v>2.6464899276620324E-2</v>
      </c>
      <c r="S792" s="211"/>
    </row>
    <row r="793" spans="10:19" x14ac:dyDescent="0.2">
      <c r="J793" s="354">
        <v>44200</v>
      </c>
      <c r="K793">
        <v>19.125</v>
      </c>
      <c r="L793">
        <v>20.837499999999999</v>
      </c>
      <c r="M793">
        <v>19.010000000000002</v>
      </c>
      <c r="N793">
        <v>20.5625</v>
      </c>
      <c r="O793">
        <v>19.136918999999999</v>
      </c>
      <c r="P793">
        <v>45272400</v>
      </c>
      <c r="R793" s="211">
        <f>(O793/O792)*('16. câmbio USD-BRL'!O895/'16. câmbio USD-BRL'!O894)^-1-1</f>
        <v>4.1888892741207773E-2</v>
      </c>
      <c r="S793" s="211"/>
    </row>
    <row r="794" spans="10:19" x14ac:dyDescent="0.2">
      <c r="J794" s="354">
        <v>44207</v>
      </c>
      <c r="K794">
        <v>20.375</v>
      </c>
      <c r="L794">
        <v>21.317499000000002</v>
      </c>
      <c r="M794">
        <v>19.989999999999998</v>
      </c>
      <c r="N794">
        <v>20.360001</v>
      </c>
      <c r="O794">
        <v>18.948460000000001</v>
      </c>
      <c r="P794">
        <v>38874800</v>
      </c>
      <c r="R794" s="211">
        <f>(O794/O793)*('16. câmbio USD-BRL'!O896/'16. câmbio USD-BRL'!O895)^-1-1</f>
        <v>1.2773640198417757E-2</v>
      </c>
      <c r="S794" s="211"/>
    </row>
    <row r="795" spans="10:19" x14ac:dyDescent="0.2">
      <c r="J795" s="354">
        <v>44214</v>
      </c>
      <c r="K795">
        <v>20.459999</v>
      </c>
      <c r="L795">
        <v>20.932500999999998</v>
      </c>
      <c r="M795">
        <v>18.797501</v>
      </c>
      <c r="N795">
        <v>19.25</v>
      </c>
      <c r="O795">
        <v>17.915414999999999</v>
      </c>
      <c r="P795">
        <v>36470000</v>
      </c>
      <c r="R795" s="211">
        <f>(O795/O794)*('16. câmbio USD-BRL'!O897/'16. câmbio USD-BRL'!O896)^-1-1</f>
        <v>-6.4805062880516573E-2</v>
      </c>
      <c r="S795" s="211"/>
    </row>
    <row r="796" spans="10:19" x14ac:dyDescent="0.2">
      <c r="J796" s="354">
        <v>44221</v>
      </c>
      <c r="K796">
        <v>19.25</v>
      </c>
      <c r="L796">
        <v>19.5975</v>
      </c>
      <c r="M796">
        <v>18.764999</v>
      </c>
      <c r="N796">
        <v>18.764999</v>
      </c>
      <c r="O796">
        <v>17.464039</v>
      </c>
      <c r="P796">
        <v>33367600</v>
      </c>
      <c r="R796" s="211">
        <f>(O796/O795)*('16. câmbio USD-BRL'!O898/'16. câmbio USD-BRL'!O897)^-1-1</f>
        <v>-4.506295639149871E-2</v>
      </c>
      <c r="S796" s="211"/>
    </row>
    <row r="797" spans="10:19" x14ac:dyDescent="0.2">
      <c r="J797" s="354">
        <v>44228</v>
      </c>
      <c r="K797">
        <v>19.065000999999999</v>
      </c>
      <c r="L797">
        <v>20.110001</v>
      </c>
      <c r="M797">
        <v>18.762501</v>
      </c>
      <c r="N797">
        <v>19.684999000000001</v>
      </c>
      <c r="O797">
        <v>18.320255</v>
      </c>
      <c r="P797">
        <v>30390000</v>
      </c>
      <c r="R797" s="211">
        <f>(O797/O796)*('16. câmbio USD-BRL'!O899/'16. câmbio USD-BRL'!O898)^-1-1</f>
        <v>6.6924065562546486E-2</v>
      </c>
      <c r="S797" s="211"/>
    </row>
    <row r="798" spans="10:19" x14ac:dyDescent="0.2">
      <c r="J798" s="354">
        <v>44235</v>
      </c>
      <c r="K798">
        <v>19.7225</v>
      </c>
      <c r="L798">
        <v>22.0975</v>
      </c>
      <c r="M798">
        <v>19.639999</v>
      </c>
      <c r="N798">
        <v>21.897499</v>
      </c>
      <c r="O798">
        <v>20.379363999999999</v>
      </c>
      <c r="P798">
        <v>54823200</v>
      </c>
      <c r="R798" s="211">
        <f>(O798/O797)*('16. câmbio USD-BRL'!O900/'16. câmbio USD-BRL'!O899)^-1-1</f>
        <v>0.11254026050128396</v>
      </c>
      <c r="S798" s="211"/>
    </row>
    <row r="799" spans="10:19" x14ac:dyDescent="0.2">
      <c r="J799" s="354">
        <v>44242</v>
      </c>
      <c r="K799">
        <v>21.897499</v>
      </c>
      <c r="L799">
        <v>22.057500999999998</v>
      </c>
      <c r="M799">
        <v>21.370000999999998</v>
      </c>
      <c r="N799">
        <v>21.947500000000002</v>
      </c>
      <c r="O799">
        <v>20.425899999999999</v>
      </c>
      <c r="P799">
        <v>19963200</v>
      </c>
      <c r="R799" s="211">
        <f>(O799/O798)*('16. câmbio USD-BRL'!O901/'16. câmbio USD-BRL'!O900)^-1-1</f>
        <v>2.2063030247720938E-4</v>
      </c>
      <c r="S799" s="211"/>
    </row>
    <row r="800" spans="10:19" x14ac:dyDescent="0.2">
      <c r="J800" s="354">
        <v>44249</v>
      </c>
      <c r="K800">
        <v>21.447500000000002</v>
      </c>
      <c r="L800">
        <v>22.16</v>
      </c>
      <c r="M800">
        <v>20.02</v>
      </c>
      <c r="N800">
        <v>20.350000000000001</v>
      </c>
      <c r="O800">
        <v>18.939152</v>
      </c>
      <c r="P800">
        <v>75046800</v>
      </c>
      <c r="R800" s="211">
        <f>(O800/O799)*('16. câmbio USD-BRL'!O902/'16. câmbio USD-BRL'!O901)^-1-1</f>
        <v>-0.10890256869432358</v>
      </c>
      <c r="S800" s="211"/>
    </row>
    <row r="801" spans="10:19" x14ac:dyDescent="0.2">
      <c r="J801" s="354">
        <v>44256</v>
      </c>
      <c r="K801">
        <v>20.625</v>
      </c>
      <c r="L801">
        <v>23.302499999999998</v>
      </c>
      <c r="M801">
        <v>19.212499999999999</v>
      </c>
      <c r="N801">
        <v>22.932500999999998</v>
      </c>
      <c r="O801">
        <v>21.342608999999999</v>
      </c>
      <c r="P801">
        <v>165193600</v>
      </c>
      <c r="R801" s="211">
        <f>(O801/O800)*('16. câmbio USD-BRL'!O903/'16. câmbio USD-BRL'!O902)^-1-1</f>
        <v>0.10870176185865299</v>
      </c>
      <c r="S801" s="211"/>
    </row>
    <row r="802" spans="10:19" x14ac:dyDescent="0.2">
      <c r="J802" s="354">
        <v>44263</v>
      </c>
      <c r="K802">
        <v>22.475000000000001</v>
      </c>
      <c r="L802">
        <v>23.24</v>
      </c>
      <c r="M802">
        <v>21.389999</v>
      </c>
      <c r="N802">
        <v>22.274999999999999</v>
      </c>
      <c r="O802">
        <v>20.730692000000001</v>
      </c>
      <c r="P802">
        <v>99212000</v>
      </c>
      <c r="R802" s="211">
        <f>(O802/O801)*('16. câmbio USD-BRL'!O904/'16. câmbio USD-BRL'!O903)^-1-1</f>
        <v>-4.471910493131892E-3</v>
      </c>
      <c r="S802" s="211"/>
    </row>
    <row r="803" spans="10:19" x14ac:dyDescent="0.2">
      <c r="J803" s="354">
        <v>44270</v>
      </c>
      <c r="K803">
        <v>22.15</v>
      </c>
      <c r="L803">
        <v>24.129999000000002</v>
      </c>
      <c r="M803">
        <v>21.952499</v>
      </c>
      <c r="N803">
        <v>23.452499</v>
      </c>
      <c r="O803">
        <v>21.826559</v>
      </c>
      <c r="P803">
        <v>69144000</v>
      </c>
      <c r="R803" s="211">
        <f>(O803/O802)*('16. câmbio USD-BRL'!O905/'16. câmbio USD-BRL'!O904)^-1-1</f>
        <v>6.4695845684710651E-2</v>
      </c>
      <c r="S803" s="211"/>
    </row>
    <row r="804" spans="10:19" x14ac:dyDescent="0.2">
      <c r="J804" s="354">
        <v>44277</v>
      </c>
      <c r="K804">
        <v>23.415001</v>
      </c>
      <c r="L804">
        <v>23.610001</v>
      </c>
      <c r="M804">
        <v>22.184999000000001</v>
      </c>
      <c r="N804">
        <v>22.702499</v>
      </c>
      <c r="O804">
        <v>21.128554999999999</v>
      </c>
      <c r="P804">
        <v>42340400</v>
      </c>
      <c r="R804" s="211">
        <f>(O804/O803)*('16. câmbio USD-BRL'!O906/'16. câmbio USD-BRL'!O905)^-1-1</f>
        <v>-7.6589892906346435E-2</v>
      </c>
      <c r="S804" s="211"/>
    </row>
    <row r="805" spans="10:19" x14ac:dyDescent="0.2">
      <c r="J805" s="354">
        <v>44284</v>
      </c>
      <c r="K805">
        <v>22.697500000000002</v>
      </c>
      <c r="L805">
        <v>23.5</v>
      </c>
      <c r="M805">
        <v>22.2075</v>
      </c>
      <c r="N805">
        <v>23.212499999999999</v>
      </c>
      <c r="O805">
        <v>21.603197000000002</v>
      </c>
      <c r="P805">
        <v>39905200</v>
      </c>
      <c r="R805" s="211">
        <f>(O805/O804)*('16. câmbio USD-BRL'!O907/'16. câmbio USD-BRL'!O906)^-1-1</f>
        <v>3.1100734727411039E-2</v>
      </c>
      <c r="S805" s="211"/>
    </row>
    <row r="806" spans="10:19" x14ac:dyDescent="0.2">
      <c r="J806" s="354">
        <v>44291</v>
      </c>
      <c r="K806">
        <v>23.32</v>
      </c>
      <c r="L806">
        <v>23.427499999999998</v>
      </c>
      <c r="M806">
        <v>22.052499999999998</v>
      </c>
      <c r="N806">
        <v>22.297501</v>
      </c>
      <c r="O806">
        <v>20.751635</v>
      </c>
      <c r="P806">
        <v>34399200</v>
      </c>
      <c r="R806" s="211">
        <f>(O806/O805)*('16. câmbio USD-BRL'!O908/'16. câmbio USD-BRL'!O907)^-1-1</f>
        <v>-3.654815252217436E-2</v>
      </c>
      <c r="S806" s="211"/>
    </row>
    <row r="807" spans="10:19" x14ac:dyDescent="0.2">
      <c r="J807" s="354">
        <v>44298</v>
      </c>
      <c r="K807">
        <v>22.375</v>
      </c>
      <c r="L807">
        <v>22.997499000000001</v>
      </c>
      <c r="M807">
        <v>22.225000000000001</v>
      </c>
      <c r="N807">
        <v>22.700001</v>
      </c>
      <c r="O807">
        <v>21.126228000000001</v>
      </c>
      <c r="P807">
        <v>43204000</v>
      </c>
      <c r="R807" s="211">
        <f>(O807/O806)*('16. câmbio USD-BRL'!O909/'16. câmbio USD-BRL'!O908)^-1-1</f>
        <v>3.4551895953448541E-2</v>
      </c>
      <c r="S807" s="211"/>
    </row>
    <row r="808" spans="10:19" x14ac:dyDescent="0.2">
      <c r="J808" s="354">
        <v>44305</v>
      </c>
      <c r="K808">
        <v>22.52</v>
      </c>
      <c r="L808">
        <v>23.625</v>
      </c>
      <c r="M808">
        <v>22.325001</v>
      </c>
      <c r="N808">
        <v>22.754999000000002</v>
      </c>
      <c r="O808">
        <v>21.177413999999999</v>
      </c>
      <c r="P808">
        <v>34800800</v>
      </c>
      <c r="R808" s="211">
        <f>(O808/O807)*('16. câmbio USD-BRL'!O910/'16. câmbio USD-BRL'!O909)^-1-1</f>
        <v>2.5435831595516767E-2</v>
      </c>
      <c r="S808" s="211"/>
    </row>
    <row r="809" spans="10:19" x14ac:dyDescent="0.2">
      <c r="J809" s="354">
        <v>44312</v>
      </c>
      <c r="K809">
        <v>22.807500999999998</v>
      </c>
      <c r="L809">
        <v>23.309999000000001</v>
      </c>
      <c r="M809">
        <v>22.364999999999998</v>
      </c>
      <c r="N809">
        <v>22.514999</v>
      </c>
      <c r="O809">
        <v>20.954053999999999</v>
      </c>
      <c r="P809">
        <v>58587200</v>
      </c>
      <c r="R809" s="211">
        <f>(O809/O808)*('16. câmbio USD-BRL'!O911/'16. câmbio USD-BRL'!O910)^-1-1</f>
        <v>-3.8295736876157171E-3</v>
      </c>
      <c r="S809" s="211"/>
    </row>
    <row r="810" spans="10:19" x14ac:dyDescent="0.2">
      <c r="J810" s="354">
        <v>44319</v>
      </c>
      <c r="K810">
        <v>22.752500999999999</v>
      </c>
      <c r="L810">
        <v>22.85</v>
      </c>
      <c r="M810">
        <v>21.280000999999999</v>
      </c>
      <c r="N810">
        <v>22.219999000000001</v>
      </c>
      <c r="O810">
        <v>20.679506</v>
      </c>
      <c r="P810">
        <v>41110000</v>
      </c>
      <c r="R810" s="211">
        <f>(O810/O809)*('16. câmbio USD-BRL'!O912/'16. câmbio USD-BRL'!O911)^-1-1</f>
        <v>2.5175658700008485E-2</v>
      </c>
      <c r="S810" s="211"/>
    </row>
    <row r="811" spans="10:19" x14ac:dyDescent="0.2">
      <c r="J811" s="354">
        <v>44326</v>
      </c>
      <c r="K811">
        <v>22</v>
      </c>
      <c r="L811">
        <v>22.620000999999998</v>
      </c>
      <c r="M811">
        <v>21.17</v>
      </c>
      <c r="N811">
        <v>22.34</v>
      </c>
      <c r="O811">
        <v>21.034292000000001</v>
      </c>
      <c r="P811">
        <v>27189500</v>
      </c>
      <c r="R811" s="211">
        <f>(O811/O810)*('16. câmbio USD-BRL'!O913/'16. câmbio USD-BRL'!O912)^-1-1</f>
        <v>1.0153961148150925E-2</v>
      </c>
      <c r="S811" s="211"/>
    </row>
    <row r="812" spans="10:19" x14ac:dyDescent="0.2">
      <c r="J812" s="354">
        <v>44333</v>
      </c>
      <c r="K812">
        <v>22.41</v>
      </c>
      <c r="L812">
        <v>22.75</v>
      </c>
      <c r="M812">
        <v>21.780000999999999</v>
      </c>
      <c r="N812">
        <v>21.91</v>
      </c>
      <c r="O812">
        <v>20.629422999999999</v>
      </c>
      <c r="P812">
        <v>24453600</v>
      </c>
      <c r="R812" s="211">
        <f>(O812/O811)*('16. câmbio USD-BRL'!O914/'16. câmbio USD-BRL'!O913)^-1-1</f>
        <v>-3.6562315608712814E-2</v>
      </c>
      <c r="S812" s="211"/>
    </row>
    <row r="813" spans="10:19" x14ac:dyDescent="0.2">
      <c r="J813" s="354">
        <v>44340</v>
      </c>
      <c r="K813">
        <v>22</v>
      </c>
      <c r="L813">
        <v>22.549999</v>
      </c>
      <c r="M813">
        <v>21.450001</v>
      </c>
      <c r="N813">
        <v>21.92</v>
      </c>
      <c r="O813">
        <v>20.638839999999998</v>
      </c>
      <c r="P813">
        <v>33297300</v>
      </c>
      <c r="R813" s="211">
        <f>(O813/O812)*('16. câmbio USD-BRL'!O915/'16. câmbio USD-BRL'!O914)^-1-1</f>
        <v>2.730640717367705E-2</v>
      </c>
      <c r="S813" s="211"/>
    </row>
    <row r="814" spans="10:19" x14ac:dyDescent="0.2">
      <c r="J814" s="354">
        <v>44347</v>
      </c>
      <c r="K814">
        <v>22.32</v>
      </c>
      <c r="L814">
        <v>24.75</v>
      </c>
      <c r="M814">
        <v>22.27</v>
      </c>
      <c r="N814">
        <v>24.6</v>
      </c>
      <c r="O814">
        <v>23.162201</v>
      </c>
      <c r="P814">
        <v>40222900</v>
      </c>
      <c r="R814" s="211">
        <f>(O814/O813)*('16. câmbio USD-BRL'!O916/'16. câmbio USD-BRL'!O915)^-1-1</f>
        <v>0.16171293963328215</v>
      </c>
      <c r="S814" s="211"/>
    </row>
    <row r="815" spans="10:19" x14ac:dyDescent="0.2">
      <c r="J815" s="354">
        <v>44354</v>
      </c>
      <c r="K815">
        <v>24.43</v>
      </c>
      <c r="L815">
        <v>25.75</v>
      </c>
      <c r="M815">
        <v>24.08</v>
      </c>
      <c r="N815">
        <v>25.700001</v>
      </c>
      <c r="O815">
        <v>24.19791</v>
      </c>
      <c r="P815">
        <v>50868800</v>
      </c>
      <c r="R815" s="211">
        <f>(O815/O814)*('16. câmbio USD-BRL'!O917/'16. câmbio USD-BRL'!O916)^-1-1</f>
        <v>3.1125693199315796E-2</v>
      </c>
      <c r="S815" s="211"/>
    </row>
    <row r="816" spans="10:19" x14ac:dyDescent="0.2">
      <c r="J816" s="354">
        <v>44361</v>
      </c>
      <c r="K816">
        <v>25.799999</v>
      </c>
      <c r="L816">
        <v>25.92</v>
      </c>
      <c r="M816">
        <v>24.059999000000001</v>
      </c>
      <c r="N816">
        <v>24.5</v>
      </c>
      <c r="O816">
        <v>23.068047</v>
      </c>
      <c r="P816">
        <v>96932200</v>
      </c>
      <c r="R816" s="211">
        <f>(O816/O815)*('16. câmbio USD-BRL'!O918/'16. câmbio USD-BRL'!O917)^-1-1</f>
        <v>-4.2119288446921144E-2</v>
      </c>
      <c r="S816" s="211"/>
    </row>
    <row r="817" spans="10:19" x14ac:dyDescent="0.2">
      <c r="J817" s="354">
        <v>44368</v>
      </c>
      <c r="K817">
        <v>24.610001</v>
      </c>
      <c r="L817">
        <v>25.59</v>
      </c>
      <c r="M817">
        <v>24.51</v>
      </c>
      <c r="N817">
        <v>24.73</v>
      </c>
      <c r="O817">
        <v>23.284604999999999</v>
      </c>
      <c r="P817">
        <v>102123500</v>
      </c>
      <c r="R817" s="211">
        <f>(O817/O816)*('16. câmbio USD-BRL'!O919/'16. câmbio USD-BRL'!O918)^-1-1</f>
        <v>4.1437045310555698E-2</v>
      </c>
      <c r="S817" s="211"/>
    </row>
    <row r="818" spans="10:19" x14ac:dyDescent="0.2">
      <c r="J818" s="354">
        <v>44375</v>
      </c>
      <c r="K818">
        <v>24.959999</v>
      </c>
      <c r="L818">
        <v>24.959999</v>
      </c>
      <c r="M818">
        <v>23.26</v>
      </c>
      <c r="N818">
        <v>24.43</v>
      </c>
      <c r="O818">
        <v>23.002137999999999</v>
      </c>
      <c r="P818">
        <v>43748200</v>
      </c>
      <c r="R818" s="211">
        <f>(O818/O817)*('16. câmbio USD-BRL'!O920/'16. câmbio USD-BRL'!O919)^-1-1</f>
        <v>-3.6159936741570808E-2</v>
      </c>
      <c r="S818" s="211"/>
    </row>
    <row r="819" spans="10:19" x14ac:dyDescent="0.2">
      <c r="J819" s="354">
        <v>44382</v>
      </c>
      <c r="K819">
        <v>24.34</v>
      </c>
      <c r="L819">
        <v>24.9</v>
      </c>
      <c r="M819">
        <v>24.1</v>
      </c>
      <c r="N819">
        <v>24.65</v>
      </c>
      <c r="O819">
        <v>23.20928</v>
      </c>
      <c r="P819">
        <v>24950600</v>
      </c>
      <c r="R819" s="211">
        <f>(O819/O818)*('16. câmbio USD-BRL'!O921/'16. câmbio USD-BRL'!O920)^-1-1</f>
        <v>-2.9453026147624572E-2</v>
      </c>
      <c r="S819" s="211"/>
    </row>
    <row r="820" spans="10:19" x14ac:dyDescent="0.2">
      <c r="J820" s="354">
        <v>44389</v>
      </c>
      <c r="K820">
        <v>25.200001</v>
      </c>
      <c r="L820">
        <v>27.23</v>
      </c>
      <c r="M820">
        <v>25.200001</v>
      </c>
      <c r="N820">
        <v>26.4</v>
      </c>
      <c r="O820">
        <v>24.856997</v>
      </c>
      <c r="P820">
        <v>52154400</v>
      </c>
      <c r="R820" s="211">
        <f>(O820/O819)*('16. câmbio USD-BRL'!O922/'16. câmbio USD-BRL'!O921)^-1-1</f>
        <v>0.10098272386052209</v>
      </c>
      <c r="S820" s="211"/>
    </row>
    <row r="821" spans="10:19" x14ac:dyDescent="0.2">
      <c r="J821" s="354">
        <v>44396</v>
      </c>
      <c r="K821">
        <v>26.08</v>
      </c>
      <c r="L821">
        <v>27.389999</v>
      </c>
      <c r="M821">
        <v>25.629999000000002</v>
      </c>
      <c r="N821">
        <v>27</v>
      </c>
      <c r="O821">
        <v>25.42193</v>
      </c>
      <c r="P821">
        <v>31417100</v>
      </c>
      <c r="R821" s="211">
        <f>(O821/O820)*('16. câmbio USD-BRL'!O923/'16. câmbio USD-BRL'!O922)^-1-1</f>
        <v>5.0734365274303084E-3</v>
      </c>
      <c r="S821" s="211"/>
    </row>
    <row r="822" spans="10:19" x14ac:dyDescent="0.2">
      <c r="J822" s="354">
        <v>44403</v>
      </c>
      <c r="K822">
        <v>26.9</v>
      </c>
      <c r="L822">
        <v>27.290001</v>
      </c>
      <c r="M822">
        <v>24.950001</v>
      </c>
      <c r="N822">
        <v>25.549999</v>
      </c>
      <c r="O822">
        <v>24.056677000000001</v>
      </c>
      <c r="P822">
        <v>51797200</v>
      </c>
      <c r="R822" s="211">
        <f>(O822/O821)*('16. câmbio USD-BRL'!O924/'16. câmbio USD-BRL'!O923)^-1-1</f>
        <v>-5.3809974289073192E-2</v>
      </c>
      <c r="S822" s="211"/>
    </row>
    <row r="823" spans="10:19" x14ac:dyDescent="0.2">
      <c r="J823" s="354">
        <v>44410</v>
      </c>
      <c r="K823">
        <v>25.91</v>
      </c>
      <c r="L823">
        <v>26.25</v>
      </c>
      <c r="M823">
        <v>23.950001</v>
      </c>
      <c r="N823">
        <v>24.200001</v>
      </c>
      <c r="O823">
        <v>22.785582000000002</v>
      </c>
      <c r="P823">
        <v>61347400</v>
      </c>
      <c r="R823" s="211">
        <f>(O823/O822)*('16. câmbio USD-BRL'!O925/'16. câmbio USD-BRL'!O924)^-1-1</f>
        <v>-5.8955406897733931E-2</v>
      </c>
      <c r="S823" s="211"/>
    </row>
    <row r="824" spans="10:19" x14ac:dyDescent="0.2">
      <c r="J824" s="354">
        <v>44417</v>
      </c>
      <c r="K824">
        <v>24</v>
      </c>
      <c r="L824">
        <v>24.719999000000001</v>
      </c>
      <c r="M824">
        <v>23.48</v>
      </c>
      <c r="N824">
        <v>23.59</v>
      </c>
      <c r="O824">
        <v>22.211233</v>
      </c>
      <c r="P824">
        <v>34156600</v>
      </c>
      <c r="R824" s="211">
        <f>(O824/O823)*('16. câmbio USD-BRL'!O926/'16. câmbio USD-BRL'!O925)^-1-1</f>
        <v>-2.7171691984354762E-2</v>
      </c>
      <c r="S824" s="211"/>
    </row>
    <row r="825" spans="10:19" x14ac:dyDescent="0.2">
      <c r="J825" s="354">
        <v>44424</v>
      </c>
      <c r="K825">
        <v>23.65</v>
      </c>
      <c r="L825">
        <v>23.74</v>
      </c>
      <c r="M825">
        <v>21.75</v>
      </c>
      <c r="N825">
        <v>22.530000999999999</v>
      </c>
      <c r="O825">
        <v>21.213187999999999</v>
      </c>
      <c r="P825">
        <v>53478900</v>
      </c>
      <c r="R825" s="211">
        <f>(O825/O824)*('16. câmbio USD-BRL'!O927/'16. câmbio USD-BRL'!O926)^-1-1</f>
        <v>-6.7899760200292203E-2</v>
      </c>
      <c r="S825" s="211"/>
    </row>
    <row r="826" spans="10:19" x14ac:dyDescent="0.2">
      <c r="J826" s="354">
        <v>44431</v>
      </c>
      <c r="K826">
        <v>22.6</v>
      </c>
      <c r="L826">
        <v>23.290001</v>
      </c>
      <c r="M826">
        <v>21.76</v>
      </c>
      <c r="N826">
        <v>22.49</v>
      </c>
      <c r="O826">
        <v>21.175523999999999</v>
      </c>
      <c r="P826">
        <v>47169900</v>
      </c>
      <c r="R826" s="211">
        <f>(O826/O825)*('16. câmbio USD-BRL'!O928/'16. câmbio USD-BRL'!O927)^-1-1</f>
        <v>3.1488674063909983E-2</v>
      </c>
      <c r="S826" s="211"/>
    </row>
    <row r="827" spans="10:19" x14ac:dyDescent="0.2">
      <c r="J827" s="354">
        <v>44438</v>
      </c>
      <c r="K827">
        <v>22.49</v>
      </c>
      <c r="L827">
        <v>22.76</v>
      </c>
      <c r="M827">
        <v>21.530000999999999</v>
      </c>
      <c r="N827">
        <v>22.129999000000002</v>
      </c>
      <c r="O827">
        <v>20.836565</v>
      </c>
      <c r="P827">
        <v>50653000</v>
      </c>
      <c r="R827" s="211">
        <f>(O827/O826)*('16. câmbio USD-BRL'!O929/'16. câmbio USD-BRL'!O928)^-1-1</f>
        <v>-1.3352233975560956E-2</v>
      </c>
      <c r="S827" s="211"/>
    </row>
    <row r="828" spans="10:19" x14ac:dyDescent="0.2">
      <c r="J828" s="354">
        <v>44445</v>
      </c>
      <c r="K828">
        <v>22.07</v>
      </c>
      <c r="L828">
        <v>22.57</v>
      </c>
      <c r="M828">
        <v>21.42</v>
      </c>
      <c r="N828">
        <v>21.85</v>
      </c>
      <c r="O828">
        <v>20.572931000000001</v>
      </c>
      <c r="P828">
        <v>27834300</v>
      </c>
      <c r="R828" s="211">
        <f>(O828/O827)*('16. câmbio USD-BRL'!O930/'16. câmbio USD-BRL'!O929)^-1-1</f>
        <v>-2.2970878998567756E-2</v>
      </c>
      <c r="S828" s="211"/>
    </row>
    <row r="829" spans="10:19" x14ac:dyDescent="0.2">
      <c r="J829" s="354">
        <v>44452</v>
      </c>
      <c r="K829">
        <v>22.299999</v>
      </c>
      <c r="L829">
        <v>24.200001</v>
      </c>
      <c r="M829">
        <v>22.110001</v>
      </c>
      <c r="N829">
        <v>23.389999</v>
      </c>
      <c r="O829">
        <v>22.022922999999999</v>
      </c>
      <c r="P829">
        <v>61362400</v>
      </c>
      <c r="R829" s="211">
        <f>(O829/O828)*('16. câmbio USD-BRL'!O931/'16. câmbio USD-BRL'!O930)^-1-1</f>
        <v>6.1613047662945952E-2</v>
      </c>
      <c r="S829" s="211"/>
    </row>
    <row r="830" spans="10:19" x14ac:dyDescent="0.2">
      <c r="J830" s="354">
        <v>44459</v>
      </c>
      <c r="K830">
        <v>23.299999</v>
      </c>
      <c r="L830">
        <v>24.09</v>
      </c>
      <c r="M830">
        <v>22.59</v>
      </c>
      <c r="N830">
        <v>23.85</v>
      </c>
      <c r="O830">
        <v>22.456036000000001</v>
      </c>
      <c r="P830">
        <v>36603500</v>
      </c>
      <c r="R830" s="211">
        <f>(O830/O829)*('16. câmbio USD-BRL'!O932/'16. câmbio USD-BRL'!O931)^-1-1</f>
        <v>1.6897041255577561E-2</v>
      </c>
      <c r="S830" s="211"/>
    </row>
    <row r="831" spans="10:19" x14ac:dyDescent="0.2">
      <c r="J831" s="354">
        <v>44466</v>
      </c>
      <c r="K831">
        <v>23.860001</v>
      </c>
      <c r="L831">
        <v>24.02</v>
      </c>
      <c r="M831">
        <v>22.68</v>
      </c>
      <c r="N831">
        <v>23.66</v>
      </c>
      <c r="O831">
        <v>22.277142000000001</v>
      </c>
      <c r="P831">
        <v>37810300</v>
      </c>
      <c r="R831" s="211">
        <f>(O831/O830)*('16. câmbio USD-BRL'!O933/'16. câmbio USD-BRL'!O932)^-1-1</f>
        <v>-1.9561031875416468E-2</v>
      </c>
      <c r="S831" s="211"/>
    </row>
    <row r="832" spans="10:19" x14ac:dyDescent="0.2">
      <c r="J832" s="354">
        <v>44473</v>
      </c>
      <c r="K832">
        <v>23.43</v>
      </c>
      <c r="L832">
        <v>23.91</v>
      </c>
      <c r="M832">
        <v>22.25</v>
      </c>
      <c r="N832">
        <v>23.370000999999998</v>
      </c>
      <c r="O832">
        <v>22.004090999999999</v>
      </c>
      <c r="P832">
        <v>41036700</v>
      </c>
      <c r="R832" s="211">
        <f>(O832/O831)*('16. câmbio USD-BRL'!O934/'16. câmbio USD-BRL'!O933)^-1-1</f>
        <v>-3.8020082740787609E-2</v>
      </c>
      <c r="S832" s="211"/>
    </row>
    <row r="833" spans="10:19" x14ac:dyDescent="0.2">
      <c r="J833" s="354">
        <v>44480</v>
      </c>
      <c r="K833">
        <v>23.43</v>
      </c>
      <c r="L833">
        <v>23.75</v>
      </c>
      <c r="M833">
        <v>22.780000999999999</v>
      </c>
      <c r="N833">
        <v>23.25</v>
      </c>
      <c r="O833">
        <v>21.891106000000001</v>
      </c>
      <c r="P833">
        <v>31024300</v>
      </c>
      <c r="R833" s="211">
        <f>(O833/O832)*('16. câmbio USD-BRL'!O935/'16. câmbio USD-BRL'!O934)^-1-1</f>
        <v>4.286099808503252E-3</v>
      </c>
      <c r="S833" s="211"/>
    </row>
    <row r="834" spans="10:19" x14ac:dyDescent="0.2">
      <c r="J834" s="354">
        <v>44487</v>
      </c>
      <c r="K834">
        <v>23.059999000000001</v>
      </c>
      <c r="L834">
        <v>23.59</v>
      </c>
      <c r="M834">
        <v>19.530000999999999</v>
      </c>
      <c r="N834">
        <v>20.92</v>
      </c>
      <c r="O834">
        <v>19.697286999999999</v>
      </c>
      <c r="P834">
        <v>52055000</v>
      </c>
      <c r="R834" s="211">
        <f>(O834/O833)*('16. câmbio USD-BRL'!O936/'16. câmbio USD-BRL'!O935)^-1-1</f>
        <v>-0.1308400451335634</v>
      </c>
      <c r="S834" s="211"/>
    </row>
    <row r="835" spans="10:19" x14ac:dyDescent="0.2">
      <c r="J835" s="354">
        <v>44494</v>
      </c>
      <c r="K835">
        <v>21.08</v>
      </c>
      <c r="L835">
        <v>22.030000999999999</v>
      </c>
      <c r="M835">
        <v>19.68</v>
      </c>
      <c r="N835">
        <v>19.790001</v>
      </c>
      <c r="O835">
        <v>18.633333</v>
      </c>
      <c r="P835">
        <v>40934000</v>
      </c>
      <c r="R835" s="211">
        <f>(O835/O834)*('16. câmbio USD-BRL'!O937/'16. câmbio USD-BRL'!O936)^-1-1</f>
        <v>-5.146898754345075E-2</v>
      </c>
      <c r="S835" s="211"/>
    </row>
    <row r="836" spans="10:19" x14ac:dyDescent="0.2">
      <c r="J836" s="354">
        <v>44501</v>
      </c>
      <c r="K836">
        <v>20.049999</v>
      </c>
      <c r="L836">
        <v>21.120000999999998</v>
      </c>
      <c r="M836">
        <v>19.790001</v>
      </c>
      <c r="N836">
        <v>20.780000999999999</v>
      </c>
      <c r="O836">
        <v>19.565472</v>
      </c>
      <c r="P836">
        <v>29740100</v>
      </c>
      <c r="R836" s="211">
        <f>(O836/O835)*('16. câmbio USD-BRL'!O938/'16. câmbio USD-BRL'!O937)^-1-1</f>
        <v>6.7572830807209439E-2</v>
      </c>
      <c r="S836" s="211"/>
    </row>
    <row r="837" spans="10:19" x14ac:dyDescent="0.2">
      <c r="J837" s="354">
        <v>44508</v>
      </c>
      <c r="K837">
        <v>20.52</v>
      </c>
      <c r="L837">
        <v>22.41</v>
      </c>
      <c r="M837">
        <v>20.48</v>
      </c>
      <c r="N837">
        <v>21.110001</v>
      </c>
      <c r="O837">
        <v>19.876183000000001</v>
      </c>
      <c r="P837">
        <v>32567100</v>
      </c>
      <c r="R837" s="211">
        <f>(O837/O836)*('16. câmbio USD-BRL'!O939/'16. câmbio USD-BRL'!O938)^-1-1</f>
        <v>3.1423312365422396E-2</v>
      </c>
      <c r="S837" s="211"/>
    </row>
    <row r="838" spans="10:19" x14ac:dyDescent="0.2">
      <c r="J838" s="354">
        <v>44515</v>
      </c>
      <c r="K838">
        <v>21.110001</v>
      </c>
      <c r="L838">
        <v>21.83</v>
      </c>
      <c r="M838">
        <v>20.200001</v>
      </c>
      <c r="N838">
        <v>21.059999000000001</v>
      </c>
      <c r="O838">
        <v>19.829103</v>
      </c>
      <c r="P838">
        <v>28738900</v>
      </c>
      <c r="R838" s="211">
        <f>(O838/O837)*('16. câmbio USD-BRL'!O940/'16. câmbio USD-BRL'!O939)^-1-1</f>
        <v>-2.0107843367183409E-2</v>
      </c>
      <c r="S838" s="211"/>
    </row>
    <row r="839" spans="10:19" x14ac:dyDescent="0.2">
      <c r="J839" s="354">
        <v>44522</v>
      </c>
      <c r="K839">
        <v>21.1</v>
      </c>
      <c r="L839">
        <v>22.040001</v>
      </c>
      <c r="M839">
        <v>20.559999000000001</v>
      </c>
      <c r="N839">
        <v>21.299999</v>
      </c>
      <c r="O839">
        <v>20.055077000000001</v>
      </c>
      <c r="P839">
        <v>36730700</v>
      </c>
      <c r="R839" s="211">
        <f>(O839/O838)*('16. câmbio USD-BRL'!O941/'16. câmbio USD-BRL'!O940)^-1-1</f>
        <v>2.1258187791994843E-3</v>
      </c>
      <c r="S839" s="211"/>
    </row>
    <row r="840" spans="10:19" x14ac:dyDescent="0.2">
      <c r="J840" s="354">
        <v>44529</v>
      </c>
      <c r="K840">
        <v>21.469999000000001</v>
      </c>
      <c r="L840">
        <v>22.700001</v>
      </c>
      <c r="M840">
        <v>20.860001</v>
      </c>
      <c r="N840">
        <v>22.370000999999998</v>
      </c>
      <c r="O840">
        <v>21.062538</v>
      </c>
      <c r="P840">
        <v>48064600</v>
      </c>
      <c r="R840" s="211">
        <f>(O840/O839)*('16. câmbio USD-BRL'!O942/'16. câmbio USD-BRL'!O941)^-1-1</f>
        <v>4.2372215625771759E-2</v>
      </c>
      <c r="S840" s="211"/>
    </row>
    <row r="841" spans="10:19" x14ac:dyDescent="0.2">
      <c r="J841" s="354">
        <v>44536</v>
      </c>
      <c r="K841">
        <v>22.440000999999999</v>
      </c>
      <c r="L841">
        <v>22.77</v>
      </c>
      <c r="M841">
        <v>21.68</v>
      </c>
      <c r="N841">
        <v>22.26</v>
      </c>
      <c r="O841">
        <v>20.958969</v>
      </c>
      <c r="P841">
        <v>31589800</v>
      </c>
      <c r="R841" s="211">
        <f>(O841/O840)*('16. câmbio USD-BRL'!O943/'16. câmbio USD-BRL'!O942)^-1-1</f>
        <v>2.1116337869306889E-3</v>
      </c>
      <c r="S841" s="211"/>
    </row>
    <row r="842" spans="10:19" x14ac:dyDescent="0.2">
      <c r="J842" s="354">
        <v>44543</v>
      </c>
      <c r="K842">
        <v>22.4</v>
      </c>
      <c r="L842">
        <v>23.1</v>
      </c>
      <c r="M842">
        <v>21.73</v>
      </c>
      <c r="N842">
        <v>22.139999</v>
      </c>
      <c r="O842">
        <v>20.845981999999999</v>
      </c>
      <c r="P842">
        <v>34803000</v>
      </c>
      <c r="R842" s="211">
        <f>(O842/O841)*('16. câmbio USD-BRL'!O944/'16. câmbio USD-BRL'!O943)^-1-1</f>
        <v>-1.981997174612804E-2</v>
      </c>
      <c r="S842" s="211"/>
    </row>
    <row r="843" spans="10:19" x14ac:dyDescent="0.2">
      <c r="J843" s="354">
        <v>44550</v>
      </c>
      <c r="K843">
        <v>22</v>
      </c>
      <c r="L843">
        <v>22.030000999999999</v>
      </c>
      <c r="M843">
        <v>21.040001</v>
      </c>
      <c r="N843">
        <v>21.15</v>
      </c>
      <c r="O843">
        <v>20.255651</v>
      </c>
      <c r="P843">
        <v>18866800</v>
      </c>
      <c r="R843" s="211">
        <f>(O843/O842)*('16. câmbio USD-BRL'!O945/'16. câmbio USD-BRL'!O944)^-1-1</f>
        <v>-2.455608754109917E-2</v>
      </c>
      <c r="S843" s="211"/>
    </row>
    <row r="844" spans="10:19" x14ac:dyDescent="0.2">
      <c r="J844" s="354">
        <v>44557</v>
      </c>
      <c r="K844">
        <v>21.25</v>
      </c>
      <c r="L844">
        <v>21.84</v>
      </c>
      <c r="M844">
        <v>21.17</v>
      </c>
      <c r="N844">
        <v>21.629999000000002</v>
      </c>
      <c r="O844">
        <v>20.715354999999999</v>
      </c>
      <c r="P844">
        <v>14804200</v>
      </c>
      <c r="R844" s="211">
        <f>(O844/O843)*('16. câmbio USD-BRL'!O946/'16. câmbio USD-BRL'!O945)^-1-1</f>
        <v>4.1388715746640825E-2</v>
      </c>
      <c r="S844" s="211"/>
    </row>
    <row r="845" spans="10:19" x14ac:dyDescent="0.2">
      <c r="J845" s="354">
        <v>44564</v>
      </c>
      <c r="K845">
        <v>21.77</v>
      </c>
      <c r="L845">
        <v>22.18</v>
      </c>
      <c r="M845">
        <v>19.629999000000002</v>
      </c>
      <c r="N845">
        <v>19.809999000000001</v>
      </c>
      <c r="O845">
        <v>18.972317</v>
      </c>
      <c r="P845">
        <v>35851300</v>
      </c>
      <c r="R845" s="211">
        <f>(O845/O844)*('16. câmbio USD-BRL'!O947/'16. câmbio USD-BRL'!O946)^-1-1</f>
        <v>-9.437055056503374E-2</v>
      </c>
      <c r="S845" s="211"/>
    </row>
    <row r="846" spans="10:19" x14ac:dyDescent="0.2">
      <c r="J846" s="354">
        <v>44571</v>
      </c>
      <c r="K846">
        <v>19.809999000000001</v>
      </c>
      <c r="L846">
        <v>21.389999</v>
      </c>
      <c r="M846">
        <v>19.389999</v>
      </c>
      <c r="N846">
        <v>21.219999000000001</v>
      </c>
      <c r="O846">
        <v>20.322690999999999</v>
      </c>
      <c r="P846">
        <v>29697500</v>
      </c>
      <c r="R846" s="211">
        <f>(O846/O845)*('16. câmbio USD-BRL'!O948/'16. câmbio USD-BRL'!O947)^-1-1</f>
        <v>9.0321792712693583E-2</v>
      </c>
      <c r="S846" s="211"/>
    </row>
    <row r="847" spans="10:19" x14ac:dyDescent="0.2">
      <c r="J847" s="354">
        <v>44578</v>
      </c>
      <c r="K847">
        <v>21.17</v>
      </c>
      <c r="L847">
        <v>22.77</v>
      </c>
      <c r="M847">
        <v>21</v>
      </c>
      <c r="N847">
        <v>21.98</v>
      </c>
      <c r="O847">
        <v>21.050554000000002</v>
      </c>
      <c r="P847">
        <v>31321700</v>
      </c>
      <c r="R847" s="211">
        <f>(O847/O846)*('16. câmbio USD-BRL'!O949/'16. câmbio USD-BRL'!O948)^-1-1</f>
        <v>5.0278852251697481E-2</v>
      </c>
      <c r="S847" s="211"/>
    </row>
    <row r="848" spans="10:19" x14ac:dyDescent="0.2">
      <c r="J848" s="354">
        <v>44585</v>
      </c>
      <c r="K848">
        <v>21.98</v>
      </c>
      <c r="L848">
        <v>23.540001</v>
      </c>
      <c r="M848">
        <v>21.41</v>
      </c>
      <c r="N848">
        <v>23.209999</v>
      </c>
      <c r="O848">
        <v>22.228542000000001</v>
      </c>
      <c r="P848">
        <v>39254400</v>
      </c>
      <c r="R848" s="211">
        <f>(O848/O847)*('16. câmbio USD-BRL'!O950/'16. câmbio USD-BRL'!O949)^-1-1</f>
        <v>7.4107449586230612E-2</v>
      </c>
      <c r="S848" s="211"/>
    </row>
    <row r="849" spans="10:19" x14ac:dyDescent="0.2">
      <c r="J849" s="354">
        <v>44592</v>
      </c>
      <c r="K849">
        <v>23.290001</v>
      </c>
      <c r="L849">
        <v>24.1</v>
      </c>
      <c r="M849">
        <v>22.68</v>
      </c>
      <c r="N849">
        <v>23.309999000000001</v>
      </c>
      <c r="O849">
        <v>22.324314000000001</v>
      </c>
      <c r="P849">
        <v>34653900</v>
      </c>
      <c r="R849" s="211">
        <f>(O849/O848)*('16. câmbio USD-BRL'!O951/'16. câmbio USD-BRL'!O950)^-1-1</f>
        <v>1.1472854854061021E-2</v>
      </c>
      <c r="S849" s="211"/>
    </row>
    <row r="850" spans="10:19" x14ac:dyDescent="0.2">
      <c r="J850" s="354">
        <v>44599</v>
      </c>
      <c r="K850">
        <v>23.120000999999998</v>
      </c>
      <c r="L850">
        <v>23.16</v>
      </c>
      <c r="M850">
        <v>21.860001</v>
      </c>
      <c r="N850">
        <v>22.27</v>
      </c>
      <c r="O850">
        <v>21.328292999999999</v>
      </c>
      <c r="P850">
        <v>30963600</v>
      </c>
      <c r="R850" s="211">
        <f>(O850/O849)*('16. câmbio USD-BRL'!O952/'16. câmbio USD-BRL'!O951)^-1-1</f>
        <v>-3.0613747772469613E-2</v>
      </c>
      <c r="S850" s="211"/>
    </row>
    <row r="851" spans="10:19" x14ac:dyDescent="0.2">
      <c r="J851" s="354">
        <v>44606</v>
      </c>
      <c r="K851">
        <v>22.27</v>
      </c>
      <c r="L851">
        <v>23.24</v>
      </c>
      <c r="M851">
        <v>21.48</v>
      </c>
      <c r="N851">
        <v>21.76</v>
      </c>
      <c r="O851">
        <v>20.839859000000001</v>
      </c>
      <c r="P851">
        <v>46248100</v>
      </c>
      <c r="R851" s="211">
        <f>(O851/O850)*('16. câmbio USD-BRL'!O953/'16. câmbio USD-BRL'!O952)^-1-1</f>
        <v>-1.5127889099441072E-3</v>
      </c>
      <c r="S851" s="211"/>
    </row>
    <row r="852" spans="10:19" x14ac:dyDescent="0.2">
      <c r="J852" s="354">
        <v>44613</v>
      </c>
      <c r="K852">
        <v>21.940000999999999</v>
      </c>
      <c r="L852">
        <v>21.940000999999999</v>
      </c>
      <c r="M852">
        <v>19.989999999999998</v>
      </c>
      <c r="N852">
        <v>21.110001</v>
      </c>
      <c r="O852">
        <v>20.217344000000001</v>
      </c>
      <c r="P852">
        <v>42269800</v>
      </c>
      <c r="R852" s="211">
        <f>(O852/O851)*('16. câmbio USD-BRL'!O954/'16. câmbio USD-BRL'!O953)^-1-1</f>
        <v>-3.4053652492043396E-2</v>
      </c>
      <c r="S852" s="211"/>
    </row>
    <row r="853" spans="10:19" x14ac:dyDescent="0.2">
      <c r="J853" s="354">
        <v>44620</v>
      </c>
      <c r="K853">
        <v>21.110001</v>
      </c>
      <c r="L853">
        <v>22.52</v>
      </c>
      <c r="M853">
        <v>21.01</v>
      </c>
      <c r="N853">
        <v>22.309999000000001</v>
      </c>
      <c r="O853">
        <v>21.366599999999998</v>
      </c>
      <c r="P853">
        <v>26668200</v>
      </c>
      <c r="R853" s="211">
        <f>(O853/O852)*('16. câmbio USD-BRL'!O955/'16. câmbio USD-BRL'!O954)^-1-1</f>
        <v>8.3300737939476344E-2</v>
      </c>
      <c r="S853" s="211"/>
    </row>
    <row r="854" spans="10:19" x14ac:dyDescent="0.2">
      <c r="J854" s="354">
        <v>44627</v>
      </c>
      <c r="K854">
        <v>22.15</v>
      </c>
      <c r="L854">
        <v>22.82</v>
      </c>
      <c r="M854">
        <v>21.299999</v>
      </c>
      <c r="N854">
        <v>21.540001</v>
      </c>
      <c r="O854">
        <v>20.629162000000001</v>
      </c>
      <c r="P854">
        <v>43970000</v>
      </c>
      <c r="R854" s="211">
        <f>(O854/O853)*('16. câmbio USD-BRL'!O956/'16. câmbio USD-BRL'!O955)^-1-1</f>
        <v>-4.2080670836244449E-2</v>
      </c>
      <c r="S854" s="211"/>
    </row>
    <row r="855" spans="10:19" x14ac:dyDescent="0.2">
      <c r="J855" s="354">
        <v>44634</v>
      </c>
      <c r="K855">
        <v>21.540001</v>
      </c>
      <c r="L855">
        <v>22.780000999999999</v>
      </c>
      <c r="M855">
        <v>20.51</v>
      </c>
      <c r="N855">
        <v>22.76</v>
      </c>
      <c r="O855">
        <v>21.797573</v>
      </c>
      <c r="P855">
        <v>48460600</v>
      </c>
      <c r="R855" s="211">
        <f>(O855/O854)*('16. câmbio USD-BRL'!O957/'16. câmbio USD-BRL'!O956)^-1-1</f>
        <v>6.7410739412251175E-2</v>
      </c>
      <c r="S855" s="211"/>
    </row>
    <row r="856" spans="10:19" x14ac:dyDescent="0.2">
      <c r="J856" s="354">
        <v>44641</v>
      </c>
      <c r="K856">
        <v>22.75</v>
      </c>
      <c r="L856">
        <v>25</v>
      </c>
      <c r="M856">
        <v>22.459999</v>
      </c>
      <c r="N856">
        <v>24.549999</v>
      </c>
      <c r="O856">
        <v>23.511880999999999</v>
      </c>
      <c r="P856">
        <v>31225100</v>
      </c>
      <c r="R856" s="211">
        <f>(O856/O855)*('16. câmbio USD-BRL'!O958/'16. câmbio USD-BRL'!O957)^-1-1</f>
        <v>0.14247791073155858</v>
      </c>
      <c r="S856" s="211"/>
    </row>
    <row r="857" spans="10:19" x14ac:dyDescent="0.2">
      <c r="J857" s="354">
        <v>44648</v>
      </c>
      <c r="K857">
        <v>24.52</v>
      </c>
      <c r="L857">
        <v>25.219999000000001</v>
      </c>
      <c r="M857">
        <v>23.48</v>
      </c>
      <c r="N857">
        <v>23.799999</v>
      </c>
      <c r="O857">
        <v>22.793593999999999</v>
      </c>
      <c r="P857">
        <v>31233000</v>
      </c>
      <c r="R857" s="211">
        <f>(O857/O856)*('16. câmbio USD-BRL'!O959/'16. câmbio USD-BRL'!O958)^-1-1</f>
        <v>-1.2721818372080085E-2</v>
      </c>
      <c r="S857" s="211"/>
    </row>
    <row r="858" spans="10:19" x14ac:dyDescent="0.2">
      <c r="J858" s="354">
        <v>44655</v>
      </c>
      <c r="K858">
        <v>23.92</v>
      </c>
      <c r="L858">
        <v>23.93</v>
      </c>
      <c r="M858">
        <v>22.719999000000001</v>
      </c>
      <c r="N858">
        <v>23.290001</v>
      </c>
      <c r="O858">
        <v>22.305161999999999</v>
      </c>
      <c r="P858">
        <v>22807400</v>
      </c>
      <c r="R858" s="211">
        <f>(O858/O857)*('16. câmbio USD-BRL'!O960/'16. câmbio USD-BRL'!O959)^-1-1</f>
        <v>-3.0058029818436638E-2</v>
      </c>
      <c r="S858" s="211"/>
    </row>
    <row r="859" spans="10:19" x14ac:dyDescent="0.2">
      <c r="J859" s="354">
        <v>44662</v>
      </c>
      <c r="K859">
        <v>23.32</v>
      </c>
      <c r="L859">
        <v>23.860001</v>
      </c>
      <c r="M859">
        <v>22.629999000000002</v>
      </c>
      <c r="N859">
        <v>23.17</v>
      </c>
      <c r="O859">
        <v>22.190235000000001</v>
      </c>
      <c r="P859">
        <v>21751200</v>
      </c>
      <c r="R859" s="211">
        <f>(O859/O858)*('16. câmbio USD-BRL'!O961/'16. câmbio USD-BRL'!O960)^-1-1</f>
        <v>-5.8085766983180243E-3</v>
      </c>
      <c r="S859" s="211"/>
    </row>
    <row r="860" spans="10:19" x14ac:dyDescent="0.2">
      <c r="J860" s="354">
        <v>44669</v>
      </c>
      <c r="K860">
        <v>23.15</v>
      </c>
      <c r="L860">
        <v>23.57</v>
      </c>
      <c r="M860">
        <v>22.030000999999999</v>
      </c>
      <c r="N860">
        <v>22.17</v>
      </c>
      <c r="O860">
        <v>21.232523</v>
      </c>
      <c r="P860">
        <v>16361300</v>
      </c>
      <c r="R860" s="211">
        <f>(O860/O859)*('16. câmbio USD-BRL'!O962/'16. câmbio USD-BRL'!O961)^-1-1</f>
        <v>-6.1974355195412834E-2</v>
      </c>
      <c r="S860" s="211"/>
    </row>
    <row r="861" spans="10:19" x14ac:dyDescent="0.2">
      <c r="J861" s="354">
        <v>44676</v>
      </c>
      <c r="K861">
        <v>22</v>
      </c>
      <c r="L861">
        <v>22.18</v>
      </c>
      <c r="M861">
        <v>20.879999000000002</v>
      </c>
      <c r="N861">
        <v>21</v>
      </c>
      <c r="O861">
        <v>20.111996000000001</v>
      </c>
      <c r="P861">
        <v>28865100</v>
      </c>
      <c r="R861" s="211">
        <f>(O861/O860)*('16. câmbio USD-BRL'!O963/'16. câmbio USD-BRL'!O962)^-1-1</f>
        <v>-8.6203997203132432E-2</v>
      </c>
      <c r="S861" s="211"/>
    </row>
    <row r="862" spans="10:19" x14ac:dyDescent="0.2">
      <c r="J862" s="354">
        <v>44683</v>
      </c>
      <c r="K862">
        <v>21</v>
      </c>
      <c r="L862">
        <v>21.01</v>
      </c>
      <c r="M862">
        <v>17.950001</v>
      </c>
      <c r="N862">
        <v>18.239999999999998</v>
      </c>
      <c r="O862">
        <v>17.468703999999999</v>
      </c>
      <c r="P862">
        <v>54077000</v>
      </c>
      <c r="R862" s="211">
        <f>(O862/O861)*('16. câmbio USD-BRL'!O964/'16. câmbio USD-BRL'!O963)^-1-1</f>
        <v>-0.15016825128635747</v>
      </c>
      <c r="S862" s="211"/>
    </row>
    <row r="863" spans="10:19" x14ac:dyDescent="0.2">
      <c r="J863" s="354">
        <v>44690</v>
      </c>
      <c r="K863">
        <v>18.030000999999999</v>
      </c>
      <c r="L863">
        <v>19.219999000000001</v>
      </c>
      <c r="M863">
        <v>17.030000999999999</v>
      </c>
      <c r="N863">
        <v>19.040001</v>
      </c>
      <c r="O863">
        <v>19.040001</v>
      </c>
      <c r="P863">
        <v>71623600</v>
      </c>
      <c r="R863" s="211">
        <f>(O863/O862)*('16. câmbio USD-BRL'!O965/'16. câmbio USD-BRL'!O964)^-1-1</f>
        <v>9.4755070876999525E-2</v>
      </c>
      <c r="S863" s="211"/>
    </row>
    <row r="864" spans="10:19" x14ac:dyDescent="0.2">
      <c r="J864" s="354">
        <v>44697</v>
      </c>
      <c r="K864">
        <v>18.93</v>
      </c>
      <c r="L864">
        <v>19.5</v>
      </c>
      <c r="M864">
        <v>18.100000000000001</v>
      </c>
      <c r="N864">
        <v>18.620000999999998</v>
      </c>
      <c r="O864">
        <v>18.620000999999998</v>
      </c>
      <c r="P864">
        <v>44280900</v>
      </c>
      <c r="R864" s="211">
        <f>(O864/O863)*('16. câmbio USD-BRL'!O966/'16. câmbio USD-BRL'!O965)^-1-1</f>
        <v>1.363567988054859E-2</v>
      </c>
      <c r="S864" s="211"/>
    </row>
    <row r="865" spans="10:19" x14ac:dyDescent="0.2">
      <c r="J865" s="354">
        <v>44704</v>
      </c>
      <c r="K865">
        <v>18.690000999999999</v>
      </c>
      <c r="L865">
        <v>22.040001</v>
      </c>
      <c r="M865">
        <v>18.690000999999999</v>
      </c>
      <c r="N865">
        <v>21.629999000000002</v>
      </c>
      <c r="O865">
        <v>21.629999000000002</v>
      </c>
      <c r="P865">
        <v>49967200</v>
      </c>
      <c r="R865" s="211">
        <f>(O865/O864)*('16. câmbio USD-BRL'!O967/'16. câmbio USD-BRL'!O966)^-1-1</f>
        <v>0.19852217763501656</v>
      </c>
      <c r="S865" s="211"/>
    </row>
    <row r="866" spans="10:19" x14ac:dyDescent="0.2">
      <c r="J866" s="354">
        <v>44711</v>
      </c>
      <c r="K866">
        <v>21.75</v>
      </c>
      <c r="L866">
        <v>22.4</v>
      </c>
      <c r="M866">
        <v>21.309999000000001</v>
      </c>
      <c r="N866">
        <v>21.4</v>
      </c>
      <c r="O866">
        <v>21.4</v>
      </c>
      <c r="P866">
        <v>60142900</v>
      </c>
      <c r="R866" s="211">
        <f>(O866/O865)*('16. câmbio USD-BRL'!O968/'16. câmbio USD-BRL'!O967)^-1-1</f>
        <v>-9.0199057525141013E-3</v>
      </c>
      <c r="S866" s="211"/>
    </row>
    <row r="867" spans="10:19" x14ac:dyDescent="0.2">
      <c r="J867" s="354">
        <v>44718</v>
      </c>
      <c r="K867">
        <v>21.5</v>
      </c>
      <c r="L867">
        <v>21.6</v>
      </c>
      <c r="M867">
        <v>19.389999</v>
      </c>
      <c r="N867">
        <v>19.739999999999998</v>
      </c>
      <c r="O867">
        <v>19.739999999999998</v>
      </c>
      <c r="P867">
        <v>42526300</v>
      </c>
      <c r="R867" s="211">
        <f>(O867/O866)*('16. câmbio USD-BRL'!O969/'16. câmbio USD-BRL'!O968)^-1-1</f>
        <v>-0.12597582081400982</v>
      </c>
      <c r="S867" s="211"/>
    </row>
    <row r="868" spans="10:19" x14ac:dyDescent="0.2">
      <c r="J868" s="354">
        <v>44725</v>
      </c>
      <c r="K868">
        <v>19.489999999999998</v>
      </c>
      <c r="L868">
        <v>19.719999000000001</v>
      </c>
      <c r="M868">
        <v>18.200001</v>
      </c>
      <c r="N868">
        <v>18.34</v>
      </c>
      <c r="O868">
        <v>18.34</v>
      </c>
      <c r="P868">
        <v>34210800</v>
      </c>
      <c r="R868" s="211">
        <f>(O868/O867)*('16. câmbio USD-BRL'!O970/'16. câmbio USD-BRL'!O969)^-1-1</f>
        <v>-0.10136227478965687</v>
      </c>
      <c r="S868" s="211"/>
    </row>
    <row r="869" spans="10:19" x14ac:dyDescent="0.2">
      <c r="J869" s="354">
        <v>44732</v>
      </c>
      <c r="K869">
        <v>18.440000999999999</v>
      </c>
      <c r="L869">
        <v>18.850000000000001</v>
      </c>
      <c r="M869">
        <v>17.940000999999999</v>
      </c>
      <c r="N869">
        <v>18.389999</v>
      </c>
      <c r="O869">
        <v>18.389999</v>
      </c>
      <c r="P869">
        <v>31236200</v>
      </c>
      <c r="R869" s="211">
        <f>(O869/O868)*('16. câmbio USD-BRL'!O971/'16. câmbio USD-BRL'!O970)^-1-1</f>
        <v>-1.4376784711968793E-2</v>
      </c>
      <c r="S869" s="211"/>
    </row>
    <row r="870" spans="10:19" x14ac:dyDescent="0.2">
      <c r="J870" s="354">
        <v>44739</v>
      </c>
      <c r="K870">
        <v>18.59</v>
      </c>
      <c r="L870">
        <v>19.049999</v>
      </c>
      <c r="M870">
        <v>17.639999</v>
      </c>
      <c r="N870">
        <v>17.879999000000002</v>
      </c>
      <c r="O870">
        <v>17.879999000000002</v>
      </c>
      <c r="P870">
        <v>27636100</v>
      </c>
      <c r="R870" s="211">
        <f>(O870/O869)*('16. câmbio USD-BRL'!O972/'16. câmbio USD-BRL'!O971)^-1-1</f>
        <v>-4.4073708688792568E-2</v>
      </c>
      <c r="S870" s="211"/>
    </row>
    <row r="871" spans="10:19" x14ac:dyDescent="0.2">
      <c r="J871" s="354">
        <v>44746</v>
      </c>
      <c r="K871">
        <v>17.700001</v>
      </c>
      <c r="L871">
        <v>18.040001</v>
      </c>
      <c r="M871">
        <v>16.52</v>
      </c>
      <c r="N871">
        <v>17.739999999999998</v>
      </c>
      <c r="O871">
        <v>17.739999999999998</v>
      </c>
      <c r="P871">
        <v>24801700</v>
      </c>
      <c r="R871" s="211">
        <f>(O871/O870)*('16. câmbio USD-BRL'!O973/'16. câmbio USD-BRL'!O972)^-1-1</f>
        <v>7.2476167507582456E-3</v>
      </c>
      <c r="S871" s="211"/>
    </row>
    <row r="872" spans="10:19" x14ac:dyDescent="0.2">
      <c r="J872" s="354">
        <v>44753</v>
      </c>
      <c r="K872">
        <v>17.620000999999998</v>
      </c>
      <c r="L872">
        <v>17.66</v>
      </c>
      <c r="M872">
        <v>16.440000999999999</v>
      </c>
      <c r="N872">
        <v>17.23</v>
      </c>
      <c r="O872">
        <v>17.23</v>
      </c>
      <c r="P872">
        <v>21592400</v>
      </c>
      <c r="R872" s="211">
        <f>(O872/O871)*('16. câmbio USD-BRL'!O974/'16. câmbio USD-BRL'!O973)^-1-1</f>
        <v>-5.7780269679386764E-2</v>
      </c>
      <c r="S872" s="211"/>
    </row>
    <row r="873" spans="10:19" x14ac:dyDescent="0.2">
      <c r="J873" s="354">
        <v>44760</v>
      </c>
      <c r="K873">
        <v>17.41</v>
      </c>
      <c r="L873">
        <v>17.82</v>
      </c>
      <c r="M873">
        <v>17.079999999999998</v>
      </c>
      <c r="N873">
        <v>17.489999999999998</v>
      </c>
      <c r="O873">
        <v>17.489999999999998</v>
      </c>
      <c r="P873">
        <v>29703400</v>
      </c>
      <c r="R873" s="211">
        <f>(O873/O872)*('16. câmbio USD-BRL'!O975/'16. câmbio USD-BRL'!O974)^-1-1</f>
        <v>3.7904636912511336E-4</v>
      </c>
      <c r="S873" s="211"/>
    </row>
    <row r="874" spans="10:19" x14ac:dyDescent="0.2">
      <c r="J874" s="354">
        <v>44767</v>
      </c>
      <c r="K874">
        <v>17.649999999999999</v>
      </c>
      <c r="L874">
        <v>19.02</v>
      </c>
      <c r="M874">
        <v>17.450001</v>
      </c>
      <c r="N874">
        <v>18.670000000000002</v>
      </c>
      <c r="O874">
        <v>18.670000000000002</v>
      </c>
      <c r="P874">
        <v>22248700</v>
      </c>
      <c r="R874" s="211">
        <f>(O874/O873)*('16. câmbio USD-BRL'!O976/'16. câmbio USD-BRL'!O975)^-1-1</f>
        <v>0.13389996241815849</v>
      </c>
      <c r="S874" s="211"/>
    </row>
    <row r="875" spans="10:19" x14ac:dyDescent="0.2">
      <c r="J875" s="354">
        <v>44774</v>
      </c>
      <c r="K875">
        <v>18.670000000000002</v>
      </c>
      <c r="L875">
        <v>20.379999000000002</v>
      </c>
      <c r="M875">
        <v>18.489999999999998</v>
      </c>
      <c r="N875">
        <v>19.91</v>
      </c>
      <c r="O875">
        <v>19.91</v>
      </c>
      <c r="P875">
        <v>28108100</v>
      </c>
      <c r="R875" s="211">
        <f>(O875/O874)*('16. câmbio USD-BRL'!O977/'16. câmbio USD-BRL'!O976)^-1-1</f>
        <v>6.8607327390037609E-2</v>
      </c>
      <c r="S875" s="211"/>
    </row>
    <row r="876" spans="10:19" x14ac:dyDescent="0.2">
      <c r="J876" s="354">
        <v>44781</v>
      </c>
      <c r="K876">
        <v>19.959999</v>
      </c>
      <c r="L876">
        <v>21.370000999999998</v>
      </c>
      <c r="M876">
        <v>19.670000000000002</v>
      </c>
      <c r="N876">
        <v>21.040001</v>
      </c>
      <c r="O876">
        <v>21.040001</v>
      </c>
      <c r="P876">
        <v>27667100</v>
      </c>
      <c r="R876" s="211">
        <f>(O876/O875)*('16. câmbio USD-BRL'!O978/'16. câmbio USD-BRL'!O977)^-1-1</f>
        <v>7.4623496497679742E-2</v>
      </c>
      <c r="S876" s="211"/>
    </row>
    <row r="877" spans="10:19" x14ac:dyDescent="0.2">
      <c r="J877" s="354">
        <v>44788</v>
      </c>
      <c r="K877">
        <v>20.440000999999999</v>
      </c>
      <c r="L877">
        <v>21.76</v>
      </c>
      <c r="M877">
        <v>20.440000999999999</v>
      </c>
      <c r="N877">
        <v>20.83</v>
      </c>
      <c r="O877">
        <v>20.83</v>
      </c>
      <c r="P877">
        <v>30061500</v>
      </c>
      <c r="R877" s="211">
        <f>(O877/O876)*('16. câmbio USD-BRL'!O979/'16. câmbio USD-BRL'!O978)^-1-1</f>
        <v>-2.7083385097335988E-2</v>
      </c>
      <c r="S877" s="211"/>
    </row>
    <row r="878" spans="10:19" x14ac:dyDescent="0.2">
      <c r="J878" s="354">
        <v>44795</v>
      </c>
      <c r="K878">
        <v>20.67</v>
      </c>
      <c r="L878">
        <v>21.120000999999998</v>
      </c>
      <c r="M878">
        <v>20.120000999999998</v>
      </c>
      <c r="N878">
        <v>20.309999000000001</v>
      </c>
      <c r="O878">
        <v>20.309999000000001</v>
      </c>
      <c r="P878">
        <v>20344800</v>
      </c>
      <c r="R878" s="211">
        <f>(O878/O877)*('16. câmbio USD-BRL'!O980/'16. câmbio USD-BRL'!O979)^-1-1</f>
        <v>-4.6861316909234674E-3</v>
      </c>
      <c r="S878" s="211"/>
    </row>
    <row r="879" spans="10:19" x14ac:dyDescent="0.2">
      <c r="J879" s="354">
        <v>44802</v>
      </c>
      <c r="K879">
        <v>20.23</v>
      </c>
      <c r="L879">
        <v>21.120000999999998</v>
      </c>
      <c r="M879">
        <v>19.379999000000002</v>
      </c>
      <c r="N879">
        <v>19.690000999999999</v>
      </c>
      <c r="O879">
        <v>19.690000999999999</v>
      </c>
      <c r="P879">
        <v>38937900</v>
      </c>
      <c r="R879" s="211">
        <f>(O879/O878)*('16. câmbio USD-BRL'!O981/'16. câmbio USD-BRL'!O980)^-1-1</f>
        <v>-5.1563928161731942E-2</v>
      </c>
      <c r="S879" s="211"/>
    </row>
    <row r="880" spans="10:19" x14ac:dyDescent="0.2">
      <c r="J880" s="354">
        <v>44809</v>
      </c>
      <c r="K880">
        <v>19.610001</v>
      </c>
      <c r="L880">
        <v>20.07</v>
      </c>
      <c r="M880">
        <v>18.43</v>
      </c>
      <c r="N880">
        <v>18.879999000000002</v>
      </c>
      <c r="O880">
        <v>18.879999000000002</v>
      </c>
      <c r="P880">
        <v>29036900</v>
      </c>
      <c r="R880" s="211">
        <f>(O880/O879)*('16. câmbio USD-BRL'!O982/'16. câmbio USD-BRL'!O981)^-1-1</f>
        <v>-3.6535253546245983E-2</v>
      </c>
      <c r="S880" s="211"/>
    </row>
    <row r="881" spans="10:19" x14ac:dyDescent="0.2">
      <c r="J881" s="354">
        <v>44816</v>
      </c>
      <c r="K881">
        <v>19.059999000000001</v>
      </c>
      <c r="L881">
        <v>19.32</v>
      </c>
      <c r="M881">
        <v>17.629999000000002</v>
      </c>
      <c r="N881">
        <v>17.899999999999999</v>
      </c>
      <c r="O881">
        <v>17.899999999999999</v>
      </c>
      <c r="P881">
        <v>44238500</v>
      </c>
      <c r="R881" s="211">
        <f>(O881/O880)*('16. câmbio USD-BRL'!O983/'16. câmbio USD-BRL'!O982)^-1-1</f>
        <v>-7.0298766897302301E-2</v>
      </c>
      <c r="S881" s="211"/>
    </row>
    <row r="882" spans="10:19" x14ac:dyDescent="0.2">
      <c r="J882" s="354">
        <v>44823</v>
      </c>
      <c r="K882">
        <v>17.809999000000001</v>
      </c>
      <c r="L882">
        <v>19.41</v>
      </c>
      <c r="M882">
        <v>17.579999999999998</v>
      </c>
      <c r="N882">
        <v>18.25</v>
      </c>
      <c r="O882">
        <v>18.25</v>
      </c>
      <c r="P882">
        <v>44974300</v>
      </c>
      <c r="R882" s="211">
        <f>(O882/O881)*('16. câmbio USD-BRL'!O984/'16. câmbio USD-BRL'!O983)^-1-1</f>
        <v>1.6975605249549108E-2</v>
      </c>
      <c r="S882" s="211"/>
    </row>
    <row r="883" spans="10:19" x14ac:dyDescent="0.2">
      <c r="J883" s="354">
        <v>44830</v>
      </c>
      <c r="K883">
        <v>18.190000999999999</v>
      </c>
      <c r="L883">
        <v>18.239999999999998</v>
      </c>
      <c r="M883">
        <v>16.739999999999998</v>
      </c>
      <c r="N883">
        <v>17.379999000000002</v>
      </c>
      <c r="O883">
        <v>17.379999000000002</v>
      </c>
      <c r="P883">
        <v>41645700</v>
      </c>
      <c r="R883" s="211">
        <f>(O883/O882)*('16. câmbio USD-BRL'!O985/'16. câmbio USD-BRL'!O984)^-1-1</f>
        <v>-7.3488912722530331E-2</v>
      </c>
      <c r="S883" s="211"/>
    </row>
    <row r="884" spans="10:19" x14ac:dyDescent="0.2">
      <c r="J884" s="354">
        <v>44837</v>
      </c>
      <c r="K884">
        <v>17.969999000000001</v>
      </c>
      <c r="L884">
        <v>19.18</v>
      </c>
      <c r="M884">
        <v>16.530000999999999</v>
      </c>
      <c r="N884">
        <v>16.649999999999999</v>
      </c>
      <c r="O884">
        <v>16.649999999999999</v>
      </c>
      <c r="P884">
        <v>88428500</v>
      </c>
      <c r="R884" s="211">
        <f>(O884/O883)*('16. câmbio USD-BRL'!O986/'16. câmbio USD-BRL'!O985)^-1-1</f>
        <v>-4.2539014144711285E-3</v>
      </c>
      <c r="S884" s="211"/>
    </row>
    <row r="885" spans="10:19" x14ac:dyDescent="0.2">
      <c r="J885" s="354">
        <v>44844</v>
      </c>
      <c r="K885">
        <v>15.8</v>
      </c>
      <c r="L885">
        <v>16.48</v>
      </c>
      <c r="M885">
        <v>15.23</v>
      </c>
      <c r="N885">
        <v>15.69</v>
      </c>
      <c r="O885">
        <v>15.69</v>
      </c>
      <c r="P885">
        <v>179262900</v>
      </c>
      <c r="R885" s="211">
        <f>(O885/O884)*('16. câmbio USD-BRL'!O987/'16. câmbio USD-BRL'!O986)^-1-1</f>
        <v>-7.8955030101961032E-2</v>
      </c>
      <c r="S885" s="211"/>
    </row>
    <row r="886" spans="10:19" x14ac:dyDescent="0.2">
      <c r="J886" s="354">
        <v>44851</v>
      </c>
      <c r="K886">
        <v>15.69</v>
      </c>
      <c r="L886">
        <v>17.209999</v>
      </c>
      <c r="M886">
        <v>15.63</v>
      </c>
      <c r="N886">
        <v>17.100000000000001</v>
      </c>
      <c r="O886">
        <v>17.100000000000001</v>
      </c>
      <c r="P886">
        <v>63315600</v>
      </c>
      <c r="R886" s="211">
        <f>(O886/O885)*('16. câmbio USD-BRL'!O988/'16. câmbio USD-BRL'!O987)^-1-1</f>
        <v>0.12473071714565687</v>
      </c>
      <c r="S886" s="211"/>
    </row>
    <row r="887" spans="10:19" x14ac:dyDescent="0.2">
      <c r="J887" s="354">
        <v>44858</v>
      </c>
      <c r="K887">
        <v>16.950001</v>
      </c>
      <c r="L887">
        <v>17.139999</v>
      </c>
      <c r="M887">
        <v>15.97</v>
      </c>
      <c r="N887">
        <v>16.34</v>
      </c>
      <c r="O887">
        <v>16.34</v>
      </c>
      <c r="P887">
        <v>56935900</v>
      </c>
      <c r="R887" s="211">
        <f>(O887/O886)*('16. câmbio USD-BRL'!O989/'16. câmbio USD-BRL'!O988)^-1-1</f>
        <v>-6.8041977876524662E-2</v>
      </c>
      <c r="S887" s="211"/>
    </row>
    <row r="888" spans="10:19" x14ac:dyDescent="0.2">
      <c r="J888" s="354">
        <v>44865</v>
      </c>
      <c r="K888">
        <v>16.100000000000001</v>
      </c>
      <c r="L888">
        <v>19.030000999999999</v>
      </c>
      <c r="M888">
        <v>15.89</v>
      </c>
      <c r="N888">
        <v>18.700001</v>
      </c>
      <c r="O888">
        <v>18.700001</v>
      </c>
      <c r="P888">
        <v>69774700</v>
      </c>
      <c r="R888" s="211">
        <f>(O888/O887)*('16. câmbio USD-BRL'!O990/'16. câmbio USD-BRL'!O989)^-1-1</f>
        <v>0.20021473517628219</v>
      </c>
      <c r="S888" s="211"/>
    </row>
    <row r="889" spans="10:19" x14ac:dyDescent="0.2">
      <c r="J889" s="354">
        <v>44872</v>
      </c>
      <c r="K889">
        <v>18.540001</v>
      </c>
      <c r="L889">
        <v>18.879999000000002</v>
      </c>
      <c r="M889">
        <v>17.059999000000001</v>
      </c>
      <c r="N889">
        <v>18.100000000000001</v>
      </c>
      <c r="O889">
        <v>18.100000000000001</v>
      </c>
      <c r="P889">
        <v>68488900</v>
      </c>
      <c r="R889" s="211">
        <f>(O889/O888)*('16. câmbio USD-BRL'!O991/'16. câmbio USD-BRL'!O990)^-1-1</f>
        <v>-7.5429168224387166E-2</v>
      </c>
      <c r="S889" s="211"/>
    </row>
    <row r="890" spans="10:19" x14ac:dyDescent="0.2">
      <c r="J890" s="354">
        <v>44879</v>
      </c>
      <c r="K890">
        <v>18.48</v>
      </c>
      <c r="L890">
        <v>18.540001</v>
      </c>
      <c r="M890">
        <v>16.48</v>
      </c>
      <c r="N890">
        <v>17.049999</v>
      </c>
      <c r="O890">
        <v>17.049999</v>
      </c>
      <c r="P890">
        <v>46312900</v>
      </c>
      <c r="R890" s="211">
        <f>(O890/O889)*('16. câmbio USD-BRL'!O992/'16. câmbio USD-BRL'!O991)^-1-1</f>
        <v>-7.5901069306611779E-2</v>
      </c>
      <c r="S890" s="211"/>
    </row>
    <row r="891" spans="10:19" x14ac:dyDescent="0.2">
      <c r="J891" s="354">
        <v>44886</v>
      </c>
      <c r="K891">
        <v>16.950001</v>
      </c>
      <c r="L891">
        <v>17.389999</v>
      </c>
      <c r="M891">
        <v>16.34</v>
      </c>
      <c r="N891">
        <v>16.790001</v>
      </c>
      <c r="O891">
        <v>16.790001</v>
      </c>
      <c r="P891">
        <v>40460500</v>
      </c>
      <c r="R891" s="211">
        <f>(O891/O890)*('16. câmbio USD-BRL'!O993/'16. câmbio USD-BRL'!O992)^-1-1</f>
        <v>-2.0201581462656382E-2</v>
      </c>
      <c r="S891" s="211"/>
    </row>
    <row r="892" spans="10:19" x14ac:dyDescent="0.2">
      <c r="J892" s="354">
        <v>44893</v>
      </c>
      <c r="K892">
        <v>16.790001</v>
      </c>
      <c r="L892">
        <v>18.079999999999998</v>
      </c>
      <c r="M892">
        <v>16.670000000000002</v>
      </c>
      <c r="N892">
        <v>17.610001</v>
      </c>
      <c r="O892">
        <v>17.610001</v>
      </c>
      <c r="P892">
        <v>56093700</v>
      </c>
      <c r="R892" s="211">
        <f>(O892/O891)*('16. câmbio USD-BRL'!O994/'16. câmbio USD-BRL'!O993)^-1-1</f>
        <v>8.7234024358013862E-2</v>
      </c>
      <c r="S892" s="211"/>
    </row>
    <row r="893" spans="10:19" x14ac:dyDescent="0.2">
      <c r="J893" s="354">
        <v>44900</v>
      </c>
      <c r="K893">
        <v>17.5</v>
      </c>
      <c r="L893">
        <v>17.709999</v>
      </c>
      <c r="M893">
        <v>16.399999999999999</v>
      </c>
      <c r="N893">
        <v>16.639999</v>
      </c>
      <c r="O893">
        <v>16.639999</v>
      </c>
      <c r="P893">
        <v>38097300</v>
      </c>
      <c r="R893" s="211">
        <f>(O893/O892)*('16. câmbio USD-BRL'!O995/'16. câmbio USD-BRL'!O994)^-1-1</f>
        <v>-5.8241200190775944E-2</v>
      </c>
      <c r="S893" s="211"/>
    </row>
    <row r="894" spans="10:19" x14ac:dyDescent="0.2">
      <c r="J894" s="354">
        <v>44907</v>
      </c>
      <c r="K894">
        <v>16.610001</v>
      </c>
      <c r="L894">
        <v>16.700001</v>
      </c>
      <c r="M894">
        <v>15.53</v>
      </c>
      <c r="N894">
        <v>15.7</v>
      </c>
      <c r="O894">
        <v>15.7</v>
      </c>
      <c r="P894">
        <v>52156300</v>
      </c>
      <c r="R894" s="211">
        <f>(O894/O893)*('16. câmbio USD-BRL'!O996/'16. câmbio USD-BRL'!O995)^-1-1</f>
        <v>-6.9203216174544502E-2</v>
      </c>
      <c r="S894" s="211"/>
    </row>
    <row r="895" spans="10:19" x14ac:dyDescent="0.2">
      <c r="J895" s="354">
        <v>44914</v>
      </c>
      <c r="K895">
        <v>15.78</v>
      </c>
      <c r="L895">
        <v>17.370000999999998</v>
      </c>
      <c r="M895">
        <v>15.72</v>
      </c>
      <c r="N895">
        <v>17.290001</v>
      </c>
      <c r="O895">
        <v>17.290001</v>
      </c>
      <c r="P895">
        <v>35997100</v>
      </c>
      <c r="R895" s="211">
        <f>(O895/O894)*('16. câmbio USD-BRL'!O997/'16. câmbio USD-BRL'!O996)^-1-1</f>
        <v>0.13159774037238248</v>
      </c>
      <c r="S895" s="211"/>
    </row>
    <row r="896" spans="10:19" x14ac:dyDescent="0.2">
      <c r="J896" s="354">
        <v>44921</v>
      </c>
      <c r="K896">
        <v>17.379999000000002</v>
      </c>
      <c r="L896">
        <v>17.59</v>
      </c>
      <c r="M896">
        <v>16.620000999999998</v>
      </c>
      <c r="N896">
        <v>17.120000999999998</v>
      </c>
      <c r="O896">
        <v>17.120000999999998</v>
      </c>
      <c r="P896">
        <v>24817100</v>
      </c>
      <c r="R896" s="211">
        <f>(O896/O895)*('16. câmbio USD-BRL'!O998/'16. câmbio USD-BRL'!O997)^-1-1</f>
        <v>-3.2537471283010322E-2</v>
      </c>
      <c r="S896" s="211"/>
    </row>
    <row r="897" spans="10:19" x14ac:dyDescent="0.2">
      <c r="J897" s="354">
        <v>44928</v>
      </c>
      <c r="K897">
        <v>16.98</v>
      </c>
      <c r="L897">
        <v>17.079999999999998</v>
      </c>
      <c r="M897">
        <v>15.35</v>
      </c>
      <c r="N897">
        <v>16.579999999999998</v>
      </c>
      <c r="O897">
        <v>16.579999999999998</v>
      </c>
      <c r="P897">
        <v>38371600</v>
      </c>
      <c r="R897" s="211">
        <f>(O897/O896)*('16. câmbio USD-BRL'!O999/'16. câmbio USD-BRL'!O998)^-1-1</f>
        <v>-2.0215878642060425E-2</v>
      </c>
      <c r="S897" s="211"/>
    </row>
    <row r="898" spans="10:19" x14ac:dyDescent="0.2">
      <c r="J898" s="354">
        <v>44935</v>
      </c>
      <c r="K898">
        <v>16.52</v>
      </c>
      <c r="L898">
        <v>18.07</v>
      </c>
      <c r="M898">
        <v>16.139999</v>
      </c>
      <c r="N898">
        <v>17.139999</v>
      </c>
      <c r="O898">
        <v>17.139999</v>
      </c>
      <c r="P898">
        <v>35135600</v>
      </c>
      <c r="R898" s="211">
        <f>(O898/O897)*('16. câmbio USD-BRL'!O1000/'16. câmbio USD-BRL'!O999)^-1-1</f>
        <v>6.3014368782660979E-2</v>
      </c>
      <c r="S898" s="211"/>
    </row>
    <row r="899" spans="10:19" x14ac:dyDescent="0.2">
      <c r="J899" s="354">
        <v>44942</v>
      </c>
      <c r="K899">
        <v>17.100000000000001</v>
      </c>
      <c r="L899">
        <v>17.709999</v>
      </c>
      <c r="M899">
        <v>16.5</v>
      </c>
      <c r="N899">
        <v>16.68</v>
      </c>
      <c r="O899">
        <v>16.68</v>
      </c>
      <c r="P899">
        <v>53934700</v>
      </c>
      <c r="R899" s="211">
        <f>(O899/O898)*('16. câmbio USD-BRL'!O1001/'16. câmbio USD-BRL'!O1000)^-1-1</f>
        <v>-5.031491731277804E-2</v>
      </c>
      <c r="S899" s="211"/>
    </row>
    <row r="900" spans="10:19" x14ac:dyDescent="0.2">
      <c r="J900" s="354">
        <v>44949</v>
      </c>
      <c r="K900">
        <v>16.690000999999999</v>
      </c>
      <c r="L900">
        <v>17.190000999999999</v>
      </c>
      <c r="M900">
        <v>15.89</v>
      </c>
      <c r="N900">
        <v>16.829999999999998</v>
      </c>
      <c r="O900">
        <v>16.829999999999998</v>
      </c>
      <c r="P900">
        <v>63257300</v>
      </c>
      <c r="R900" s="211">
        <f>(O900/O899)*('16. câmbio USD-BRL'!O1002/'16. câmbio USD-BRL'!O1001)^-1-1</f>
        <v>2.857128066343928E-2</v>
      </c>
      <c r="S900" s="211"/>
    </row>
    <row r="901" spans="10:19" x14ac:dyDescent="0.2">
      <c r="J901" s="354">
        <v>44956</v>
      </c>
      <c r="K901">
        <v>16.920000000000002</v>
      </c>
      <c r="L901">
        <v>17</v>
      </c>
      <c r="M901">
        <v>15.75</v>
      </c>
      <c r="N901">
        <v>15.9</v>
      </c>
      <c r="O901">
        <v>15.9</v>
      </c>
      <c r="P901">
        <v>65452900</v>
      </c>
      <c r="R901" s="211">
        <f>(O901/O900)*('16. câmbio USD-BRL'!O1003/'16. câmbio USD-BRL'!O1002)^-1-1</f>
        <v>-6.3073525725416246E-2</v>
      </c>
      <c r="S901" s="211"/>
    </row>
    <row r="902" spans="10:19" x14ac:dyDescent="0.2">
      <c r="J902" s="354">
        <v>44963</v>
      </c>
      <c r="K902">
        <v>15.9</v>
      </c>
      <c r="L902">
        <v>16.290001</v>
      </c>
      <c r="M902">
        <v>15.5</v>
      </c>
      <c r="N902">
        <v>15.66</v>
      </c>
      <c r="O902">
        <v>15.66</v>
      </c>
      <c r="P902">
        <v>34776700</v>
      </c>
      <c r="R902" s="211">
        <f>(O902/O901)*('16. câmbio USD-BRL'!O1004/'16. câmbio USD-BRL'!O1003)^-1-1</f>
        <v>-2.7128192229534664E-2</v>
      </c>
      <c r="S902" s="211"/>
    </row>
    <row r="903" spans="10:19" x14ac:dyDescent="0.2">
      <c r="J903" s="354">
        <v>44970</v>
      </c>
      <c r="K903">
        <v>15.66</v>
      </c>
      <c r="L903">
        <v>16.079999999999998</v>
      </c>
      <c r="M903">
        <v>15.15</v>
      </c>
      <c r="N903">
        <v>15.56</v>
      </c>
      <c r="O903">
        <v>15.56</v>
      </c>
      <c r="P903">
        <v>32562000</v>
      </c>
      <c r="R903" s="211">
        <f>(O903/O902)*('16. câmbio USD-BRL'!O1005/'16. câmbio USD-BRL'!O1004)^-1-1</f>
        <v>3.3912824086104187E-3</v>
      </c>
      <c r="S903" s="211"/>
    </row>
    <row r="904" spans="10:19" x14ac:dyDescent="0.2">
      <c r="J904" s="354">
        <v>44977</v>
      </c>
      <c r="K904">
        <v>15.56</v>
      </c>
      <c r="L904">
        <v>15.57</v>
      </c>
      <c r="M904">
        <v>14.65</v>
      </c>
      <c r="N904">
        <v>14.7</v>
      </c>
      <c r="O904">
        <v>14.7</v>
      </c>
      <c r="P904">
        <v>26150900</v>
      </c>
      <c r="R904" s="211">
        <f>(O904/O903)*('16. câmbio USD-BRL'!O1006/'16. câmbio USD-BRL'!O1005)^-1-1</f>
        <v>-6.3451367342895026E-2</v>
      </c>
      <c r="S904" s="211"/>
    </row>
    <row r="905" spans="10:19" x14ac:dyDescent="0.2">
      <c r="J905" s="354">
        <v>44984</v>
      </c>
      <c r="K905">
        <v>14.74</v>
      </c>
      <c r="L905">
        <v>15.24</v>
      </c>
      <c r="M905">
        <v>14.58</v>
      </c>
      <c r="N905">
        <v>14.74</v>
      </c>
      <c r="O905">
        <v>14.74</v>
      </c>
      <c r="P905">
        <v>55754000</v>
      </c>
      <c r="R905" s="211">
        <f>(O905/O904)*('16. câmbio USD-BRL'!O1007/'16. câmbio USD-BRL'!O1006)^-1-1</f>
        <v>5.3078092472162997E-3</v>
      </c>
      <c r="S905" s="211"/>
    </row>
    <row r="906" spans="10:19" x14ac:dyDescent="0.2">
      <c r="J906" s="354">
        <v>44991</v>
      </c>
      <c r="K906">
        <v>14.87</v>
      </c>
      <c r="L906">
        <v>15.55</v>
      </c>
      <c r="M906">
        <v>14.52</v>
      </c>
      <c r="N906">
        <v>15.5</v>
      </c>
      <c r="O906">
        <v>15.5</v>
      </c>
      <c r="P906">
        <v>30803600</v>
      </c>
      <c r="R906" s="211">
        <f>(O906/O905)*('16. câmbio USD-BRL'!O1008/'16. câmbio USD-BRL'!O1007)^-1-1</f>
        <v>4.7286072062489026E-2</v>
      </c>
      <c r="S906" s="211"/>
    </row>
    <row r="907" spans="10:19" x14ac:dyDescent="0.2">
      <c r="J907" s="213"/>
      <c r="K907" s="212"/>
      <c r="L907" s="212"/>
      <c r="M907" s="212"/>
      <c r="N907" s="212"/>
      <c r="O907" s="212"/>
      <c r="R907" s="211"/>
      <c r="S907" s="211"/>
    </row>
    <row r="908" spans="10:19" x14ac:dyDescent="0.2">
      <c r="J908" s="213"/>
      <c r="K908" s="212"/>
      <c r="L908" s="212"/>
      <c r="M908" s="212"/>
      <c r="N908" s="212"/>
      <c r="O908" s="212"/>
      <c r="R908" s="211"/>
      <c r="S908" s="211"/>
    </row>
    <row r="909" spans="10:19" x14ac:dyDescent="0.2">
      <c r="J909" s="213"/>
      <c r="K909" s="212"/>
      <c r="L909" s="212"/>
      <c r="M909" s="212"/>
      <c r="N909" s="212"/>
      <c r="O909" s="212"/>
      <c r="R909" s="211"/>
      <c r="S909" s="211"/>
    </row>
    <row r="910" spans="10:19" x14ac:dyDescent="0.2">
      <c r="J910" s="213"/>
      <c r="K910" s="212"/>
      <c r="L910" s="212"/>
      <c r="M910" s="212"/>
      <c r="N910" s="212"/>
      <c r="O910" s="212"/>
      <c r="R910" s="211"/>
      <c r="S910" s="211"/>
    </row>
    <row r="911" spans="10:19" x14ac:dyDescent="0.2">
      <c r="J911" s="213"/>
      <c r="K911" s="212"/>
      <c r="L911" s="212"/>
      <c r="M911" s="212"/>
      <c r="N911" s="212"/>
      <c r="O911" s="212"/>
      <c r="R911" s="211"/>
      <c r="S911" s="211"/>
    </row>
    <row r="912" spans="10:19" x14ac:dyDescent="0.2">
      <c r="J912" s="213"/>
      <c r="K912" s="212"/>
      <c r="L912" s="212"/>
      <c r="M912" s="212"/>
      <c r="N912" s="212"/>
      <c r="O912" s="212"/>
      <c r="R912" s="211"/>
      <c r="S912" s="211"/>
    </row>
    <row r="913" spans="10:19" x14ac:dyDescent="0.2">
      <c r="J913" s="213"/>
      <c r="K913" s="212"/>
      <c r="L913" s="212"/>
      <c r="M913" s="212"/>
      <c r="N913" s="212"/>
      <c r="O913" s="212"/>
      <c r="R913" s="211"/>
      <c r="S913" s="211"/>
    </row>
    <row r="914" spans="10:19" x14ac:dyDescent="0.2">
      <c r="J914" s="213"/>
      <c r="K914" s="212"/>
      <c r="L914" s="212"/>
      <c r="M914" s="212"/>
      <c r="N914" s="212"/>
      <c r="O914" s="212"/>
      <c r="R914" s="211"/>
      <c r="S914" s="211"/>
    </row>
    <row r="915" spans="10:19" x14ac:dyDescent="0.2">
      <c r="J915" s="213"/>
      <c r="K915" s="212"/>
      <c r="L915" s="212"/>
      <c r="M915" s="212"/>
      <c r="N915" s="212"/>
      <c r="O915" s="212"/>
      <c r="R915" s="211"/>
      <c r="S915" s="211"/>
    </row>
    <row r="916" spans="10:19" x14ac:dyDescent="0.2">
      <c r="J916" s="213"/>
      <c r="K916" s="212"/>
      <c r="L916" s="212"/>
      <c r="M916" s="212"/>
      <c r="N916" s="212"/>
      <c r="O916" s="212"/>
      <c r="R916" s="211"/>
      <c r="S916" s="211"/>
    </row>
    <row r="917" spans="10:19" x14ac:dyDescent="0.2">
      <c r="J917" s="213"/>
      <c r="K917" s="212"/>
      <c r="L917" s="212"/>
      <c r="M917" s="212"/>
      <c r="N917" s="212"/>
      <c r="O917" s="212"/>
      <c r="R917" s="211"/>
      <c r="S917" s="211"/>
    </row>
    <row r="918" spans="10:19" x14ac:dyDescent="0.2">
      <c r="J918" s="213"/>
      <c r="K918" s="212"/>
      <c r="L918" s="212"/>
      <c r="M918" s="212"/>
      <c r="N918" s="212"/>
      <c r="O918" s="212"/>
      <c r="R918" s="211"/>
      <c r="S918" s="211"/>
    </row>
    <row r="919" spans="10:19" x14ac:dyDescent="0.2">
      <c r="J919" s="213"/>
      <c r="K919" s="212"/>
      <c r="L919" s="212"/>
      <c r="M919" s="212"/>
      <c r="N919" s="212"/>
      <c r="O919" s="212"/>
      <c r="R919" s="211"/>
      <c r="S919" s="211"/>
    </row>
    <row r="920" spans="10:19" x14ac:dyDescent="0.2">
      <c r="J920" s="213"/>
      <c r="K920" s="212"/>
      <c r="L920" s="212"/>
      <c r="M920" s="212"/>
      <c r="N920" s="212"/>
      <c r="O920" s="212"/>
      <c r="R920" s="211"/>
      <c r="S920" s="211"/>
    </row>
    <row r="921" spans="10:19" x14ac:dyDescent="0.2">
      <c r="J921" s="213"/>
      <c r="K921" s="212"/>
      <c r="L921" s="212"/>
      <c r="M921" s="212"/>
      <c r="N921" s="212"/>
      <c r="O921" s="212"/>
      <c r="R921" s="211"/>
      <c r="S921" s="211"/>
    </row>
    <row r="922" spans="10:19" x14ac:dyDescent="0.2">
      <c r="J922" s="213"/>
      <c r="K922" s="212"/>
      <c r="L922" s="212"/>
      <c r="M922" s="212"/>
      <c r="N922" s="212"/>
      <c r="O922" s="212"/>
      <c r="R922" s="211"/>
      <c r="S922" s="211"/>
    </row>
    <row r="923" spans="10:19" x14ac:dyDescent="0.2">
      <c r="J923" s="213"/>
      <c r="K923" s="212"/>
      <c r="L923" s="212"/>
      <c r="M923" s="212"/>
      <c r="N923" s="212"/>
      <c r="O923" s="212"/>
      <c r="R923" s="211"/>
      <c r="S923" s="211"/>
    </row>
    <row r="924" spans="10:19" x14ac:dyDescent="0.2">
      <c r="J924" s="213"/>
      <c r="K924" s="212"/>
      <c r="L924" s="212"/>
      <c r="M924" s="212"/>
      <c r="N924" s="212"/>
      <c r="O924" s="212"/>
      <c r="R924" s="211"/>
      <c r="S924" s="211"/>
    </row>
    <row r="925" spans="10:19" x14ac:dyDescent="0.2">
      <c r="J925" s="213"/>
      <c r="K925" s="212"/>
      <c r="L925" s="212"/>
      <c r="M925" s="212"/>
      <c r="N925" s="212"/>
      <c r="O925" s="212"/>
      <c r="R925" s="211"/>
      <c r="S925" s="211"/>
    </row>
    <row r="926" spans="10:19" x14ac:dyDescent="0.2">
      <c r="J926" s="213"/>
      <c r="K926" s="212"/>
      <c r="L926" s="212"/>
      <c r="M926" s="212"/>
      <c r="N926" s="212"/>
      <c r="O926" s="212"/>
      <c r="R926" s="211"/>
      <c r="S926" s="211"/>
    </row>
    <row r="927" spans="10:19" x14ac:dyDescent="0.2">
      <c r="J927" s="213"/>
      <c r="K927" s="212"/>
      <c r="L927" s="212"/>
      <c r="M927" s="212"/>
      <c r="N927" s="212"/>
      <c r="O927" s="212"/>
      <c r="R927" s="211"/>
      <c r="S927" s="211"/>
    </row>
    <row r="928" spans="10:19" x14ac:dyDescent="0.2">
      <c r="J928" s="213"/>
      <c r="K928" s="212"/>
      <c r="L928" s="212"/>
      <c r="M928" s="212"/>
      <c r="N928" s="212"/>
      <c r="O928" s="212"/>
      <c r="R928" s="211"/>
      <c r="S928" s="211"/>
    </row>
    <row r="929" spans="10:19" x14ac:dyDescent="0.2">
      <c r="J929" s="213"/>
      <c r="K929" s="212"/>
      <c r="L929" s="212"/>
      <c r="M929" s="212"/>
      <c r="N929" s="212"/>
      <c r="O929" s="212"/>
      <c r="R929" s="211"/>
      <c r="S929" s="211"/>
    </row>
    <row r="930" spans="10:19" x14ac:dyDescent="0.2">
      <c r="J930" s="213"/>
      <c r="K930" s="212"/>
      <c r="L930" s="212"/>
      <c r="M930" s="212"/>
      <c r="N930" s="212"/>
      <c r="O930" s="212"/>
      <c r="R930" s="211"/>
      <c r="S930" s="211"/>
    </row>
    <row r="931" spans="10:19" x14ac:dyDescent="0.2">
      <c r="J931" s="213"/>
      <c r="K931" s="212"/>
      <c r="L931" s="212"/>
      <c r="M931" s="212"/>
      <c r="N931" s="212"/>
      <c r="O931" s="212"/>
      <c r="R931" s="211"/>
      <c r="S931" s="211"/>
    </row>
    <row r="932" spans="10:19" x14ac:dyDescent="0.2">
      <c r="J932" s="213"/>
      <c r="K932" s="212"/>
      <c r="L932" s="212"/>
      <c r="M932" s="212"/>
      <c r="N932" s="212"/>
      <c r="O932" s="212"/>
      <c r="R932" s="211"/>
      <c r="S932" s="211"/>
    </row>
    <row r="933" spans="10:19" x14ac:dyDescent="0.2">
      <c r="J933" s="213"/>
      <c r="K933" s="212"/>
      <c r="L933" s="212"/>
      <c r="M933" s="212"/>
      <c r="N933" s="212"/>
      <c r="O933" s="212"/>
      <c r="R933" s="211"/>
      <c r="S933" s="211"/>
    </row>
    <row r="934" spans="10:19" x14ac:dyDescent="0.2">
      <c r="J934" s="213"/>
      <c r="K934" s="212"/>
      <c r="L934" s="212"/>
      <c r="M934" s="212"/>
      <c r="N934" s="212"/>
      <c r="O934" s="212"/>
      <c r="R934" s="211"/>
      <c r="S934" s="211"/>
    </row>
    <row r="935" spans="10:19" x14ac:dyDescent="0.2">
      <c r="J935" s="213"/>
      <c r="K935" s="212"/>
      <c r="L935" s="212"/>
      <c r="M935" s="212"/>
      <c r="N935" s="212"/>
      <c r="O935" s="212"/>
      <c r="R935" s="211"/>
      <c r="S935" s="211"/>
    </row>
    <row r="936" spans="10:19" x14ac:dyDescent="0.2">
      <c r="J936" s="213"/>
      <c r="K936" s="212"/>
      <c r="L936" s="212"/>
      <c r="M936" s="212"/>
      <c r="N936" s="212"/>
      <c r="O936" s="212"/>
      <c r="R936" s="211"/>
      <c r="S936" s="211"/>
    </row>
    <row r="937" spans="10:19" x14ac:dyDescent="0.2">
      <c r="J937" s="213"/>
      <c r="K937" s="212"/>
      <c r="L937" s="212"/>
      <c r="M937" s="212"/>
      <c r="N937" s="212"/>
      <c r="O937" s="212"/>
      <c r="R937" s="211"/>
      <c r="S937" s="211"/>
    </row>
    <row r="938" spans="10:19" x14ac:dyDescent="0.2">
      <c r="J938" s="213"/>
      <c r="K938" s="212"/>
      <c r="L938" s="212"/>
      <c r="M938" s="212"/>
      <c r="N938" s="212"/>
      <c r="O938" s="212"/>
      <c r="R938" s="211"/>
      <c r="S938" s="211"/>
    </row>
    <row r="939" spans="10:19" x14ac:dyDescent="0.2">
      <c r="J939" s="213"/>
      <c r="K939" s="212"/>
      <c r="L939" s="212"/>
      <c r="M939" s="212"/>
      <c r="N939" s="212"/>
      <c r="O939" s="212"/>
      <c r="R939" s="211"/>
      <c r="S939" s="211"/>
    </row>
    <row r="940" spans="10:19" x14ac:dyDescent="0.2">
      <c r="J940" s="213"/>
      <c r="K940" s="212"/>
      <c r="L940" s="212"/>
      <c r="M940" s="212"/>
      <c r="N940" s="212"/>
      <c r="O940" s="212"/>
      <c r="R940" s="211"/>
      <c r="S940" s="211"/>
    </row>
    <row r="941" spans="10:19" x14ac:dyDescent="0.2">
      <c r="J941" s="213"/>
      <c r="K941" s="212"/>
      <c r="L941" s="212"/>
      <c r="M941" s="212"/>
      <c r="N941" s="212"/>
      <c r="O941" s="212"/>
      <c r="R941" s="211"/>
      <c r="S941" s="211"/>
    </row>
    <row r="942" spans="10:19" x14ac:dyDescent="0.2">
      <c r="J942" s="213"/>
      <c r="K942" s="212"/>
      <c r="L942" s="212"/>
      <c r="M942" s="212"/>
      <c r="N942" s="212"/>
      <c r="O942" s="212"/>
      <c r="R942" s="211"/>
      <c r="S942" s="211"/>
    </row>
    <row r="943" spans="10:19" x14ac:dyDescent="0.2">
      <c r="J943" s="213"/>
      <c r="K943" s="212"/>
      <c r="L943" s="212"/>
      <c r="M943" s="212"/>
      <c r="N943" s="212"/>
      <c r="O943" s="212"/>
      <c r="R943" s="211"/>
      <c r="S943" s="211"/>
    </row>
    <row r="944" spans="10:19" x14ac:dyDescent="0.2">
      <c r="J944" s="213"/>
      <c r="K944" s="212"/>
      <c r="L944" s="212"/>
      <c r="M944" s="212"/>
      <c r="N944" s="212"/>
      <c r="O944" s="212"/>
      <c r="R944" s="211"/>
      <c r="S944" s="211"/>
    </row>
    <row r="945" spans="10:19" x14ac:dyDescent="0.2">
      <c r="J945" s="213"/>
      <c r="K945" s="212"/>
      <c r="L945" s="212"/>
      <c r="M945" s="212"/>
      <c r="N945" s="212"/>
      <c r="O945" s="212"/>
      <c r="R945" s="211"/>
      <c r="S945" s="211"/>
    </row>
    <row r="946" spans="10:19" x14ac:dyDescent="0.2">
      <c r="J946" s="213"/>
      <c r="K946" s="212"/>
      <c r="L946" s="212"/>
      <c r="M946" s="212"/>
      <c r="N946" s="212"/>
      <c r="O946" s="212"/>
      <c r="R946" s="211"/>
      <c r="S946" s="211"/>
    </row>
    <row r="947" spans="10:19" x14ac:dyDescent="0.2">
      <c r="J947" s="213"/>
      <c r="K947" s="212"/>
      <c r="L947" s="212"/>
      <c r="M947" s="212"/>
      <c r="N947" s="212"/>
      <c r="O947" s="212"/>
      <c r="R947" s="211"/>
      <c r="S947" s="211"/>
    </row>
    <row r="948" spans="10:19" x14ac:dyDescent="0.2">
      <c r="J948" s="213"/>
      <c r="K948" s="212"/>
      <c r="L948" s="212"/>
      <c r="M948" s="212"/>
      <c r="N948" s="212"/>
      <c r="O948" s="212"/>
      <c r="R948" s="211"/>
      <c r="S948" s="211"/>
    </row>
    <row r="949" spans="10:19" x14ac:dyDescent="0.2">
      <c r="J949" s="213"/>
      <c r="K949" s="212"/>
      <c r="L949" s="212"/>
      <c r="M949" s="212"/>
      <c r="N949" s="212"/>
      <c r="O949" s="212"/>
      <c r="R949" s="211"/>
      <c r="S949" s="211"/>
    </row>
    <row r="950" spans="10:19" x14ac:dyDescent="0.2">
      <c r="J950" s="213"/>
      <c r="K950" s="212"/>
      <c r="L950" s="212"/>
      <c r="M950" s="212"/>
      <c r="N950" s="212"/>
      <c r="O950" s="212"/>
      <c r="R950" s="211"/>
      <c r="S950" s="211"/>
    </row>
    <row r="951" spans="10:19" x14ac:dyDescent="0.2">
      <c r="J951" s="213"/>
      <c r="K951" s="212"/>
      <c r="L951" s="212"/>
      <c r="M951" s="212"/>
      <c r="N951" s="212"/>
      <c r="O951" s="212"/>
      <c r="R951" s="211"/>
      <c r="S951" s="211"/>
    </row>
    <row r="952" spans="10:19" x14ac:dyDescent="0.2">
      <c r="J952" s="213"/>
      <c r="K952" s="212"/>
      <c r="L952" s="212"/>
      <c r="M952" s="212"/>
      <c r="N952" s="212"/>
      <c r="O952" s="212"/>
      <c r="R952" s="211"/>
      <c r="S952" s="211"/>
    </row>
    <row r="953" spans="10:19" x14ac:dyDescent="0.2">
      <c r="J953" s="213"/>
      <c r="K953" s="212"/>
      <c r="L953" s="212"/>
      <c r="M953" s="212"/>
      <c r="N953" s="212"/>
      <c r="O953" s="212"/>
      <c r="R953" s="211"/>
      <c r="S953" s="211"/>
    </row>
    <row r="954" spans="10:19" x14ac:dyDescent="0.2">
      <c r="J954" s="213"/>
      <c r="K954" s="212"/>
      <c r="L954" s="212"/>
      <c r="M954" s="212"/>
      <c r="N954" s="212"/>
      <c r="O954" s="212"/>
      <c r="R954" s="211"/>
      <c r="S954" s="211"/>
    </row>
    <row r="955" spans="10:19" x14ac:dyDescent="0.2">
      <c r="J955" s="213"/>
      <c r="K955" s="212"/>
      <c r="L955" s="212"/>
      <c r="M955" s="212"/>
      <c r="N955" s="212"/>
      <c r="O955" s="212"/>
      <c r="R955" s="211"/>
      <c r="S955" s="211"/>
    </row>
    <row r="956" spans="10:19" x14ac:dyDescent="0.2">
      <c r="J956" s="213"/>
      <c r="K956" s="212"/>
      <c r="L956" s="212"/>
      <c r="M956" s="212"/>
      <c r="N956" s="212"/>
      <c r="O956" s="212"/>
      <c r="R956" s="211"/>
      <c r="S956" s="211"/>
    </row>
    <row r="957" spans="10:19" x14ac:dyDescent="0.2">
      <c r="J957" s="213"/>
      <c r="K957" s="212"/>
      <c r="L957" s="212"/>
      <c r="M957" s="212"/>
      <c r="N957" s="212"/>
      <c r="O957" s="212"/>
      <c r="R957" s="211"/>
    </row>
    <row r="958" spans="10:19" x14ac:dyDescent="0.2">
      <c r="J958" s="213"/>
      <c r="K958" s="212"/>
      <c r="L958" s="212"/>
      <c r="M958" s="212"/>
      <c r="N958" s="212"/>
      <c r="O958" s="212"/>
      <c r="R958" s="211"/>
    </row>
    <row r="959" spans="10:19" x14ac:dyDescent="0.2">
      <c r="J959" s="213"/>
      <c r="K959" s="212"/>
      <c r="L959" s="212"/>
      <c r="M959" s="212"/>
      <c r="N959" s="212"/>
      <c r="O959" s="212"/>
      <c r="R959" s="211"/>
    </row>
    <row r="960" spans="10:19" x14ac:dyDescent="0.2">
      <c r="J960" s="213"/>
      <c r="K960" s="212"/>
      <c r="L960" s="212"/>
      <c r="M960" s="212"/>
      <c r="N960" s="212"/>
      <c r="O960" s="212"/>
      <c r="R960" s="211"/>
    </row>
    <row r="961" spans="10:18" x14ac:dyDescent="0.2">
      <c r="J961" s="213"/>
      <c r="K961" s="212"/>
      <c r="L961" s="212"/>
      <c r="M961" s="212"/>
      <c r="N961" s="212"/>
      <c r="O961" s="212"/>
      <c r="R961" s="211"/>
    </row>
    <row r="962" spans="10:18" x14ac:dyDescent="0.2">
      <c r="J962" s="213"/>
      <c r="K962" s="212"/>
      <c r="L962" s="212"/>
      <c r="M962" s="212"/>
      <c r="N962" s="212"/>
      <c r="O962" s="212"/>
      <c r="R962" s="211"/>
    </row>
    <row r="963" spans="10:18" x14ac:dyDescent="0.2">
      <c r="J963" s="213"/>
      <c r="K963" s="212"/>
      <c r="L963" s="212"/>
      <c r="M963" s="212"/>
      <c r="N963" s="212"/>
      <c r="O963" s="212"/>
      <c r="R963" s="211"/>
    </row>
    <row r="964" spans="10:18" x14ac:dyDescent="0.2">
      <c r="J964" s="213"/>
      <c r="K964" s="212"/>
      <c r="L964" s="212"/>
      <c r="M964" s="212"/>
      <c r="N964" s="212"/>
      <c r="O964" s="212"/>
      <c r="R964" s="211"/>
    </row>
    <row r="965" spans="10:18" x14ac:dyDescent="0.2">
      <c r="J965" s="213"/>
      <c r="K965" s="212"/>
      <c r="L965" s="212"/>
      <c r="M965" s="212"/>
      <c r="N965" s="212"/>
      <c r="O965" s="212"/>
      <c r="R965" s="211"/>
    </row>
    <row r="966" spans="10:18" x14ac:dyDescent="0.2">
      <c r="J966" s="213"/>
      <c r="K966" s="212"/>
      <c r="L966" s="212"/>
      <c r="M966" s="212"/>
      <c r="N966" s="212"/>
      <c r="O966" s="212"/>
      <c r="R966" s="211"/>
    </row>
    <row r="967" spans="10:18" x14ac:dyDescent="0.2">
      <c r="J967" s="213"/>
      <c r="K967" s="212"/>
      <c r="L967" s="212"/>
      <c r="M967" s="212"/>
      <c r="N967" s="212"/>
      <c r="O967" s="212"/>
      <c r="R967" s="211"/>
    </row>
    <row r="968" spans="10:18" x14ac:dyDescent="0.2">
      <c r="J968" s="213"/>
      <c r="K968" s="212"/>
      <c r="L968" s="212"/>
      <c r="M968" s="212"/>
      <c r="N968" s="212"/>
      <c r="O968" s="212"/>
      <c r="R968" s="211"/>
    </row>
    <row r="969" spans="10:18" x14ac:dyDescent="0.2">
      <c r="J969" s="213"/>
      <c r="K969" s="212"/>
      <c r="L969" s="212"/>
      <c r="M969" s="212"/>
      <c r="N969" s="212"/>
      <c r="O969" s="212"/>
      <c r="R969" s="211"/>
    </row>
    <row r="970" spans="10:18" x14ac:dyDescent="0.2">
      <c r="J970" s="213"/>
      <c r="K970" s="212"/>
      <c r="L970" s="212"/>
      <c r="M970" s="212"/>
      <c r="N970" s="212"/>
      <c r="O970" s="212"/>
      <c r="R970" s="211"/>
    </row>
    <row r="971" spans="10:18" x14ac:dyDescent="0.2">
      <c r="J971" s="213"/>
      <c r="K971" s="212"/>
      <c r="L971" s="212"/>
      <c r="M971" s="212"/>
      <c r="N971" s="212"/>
      <c r="O971" s="212"/>
      <c r="R971" s="211"/>
    </row>
    <row r="972" spans="10:18" x14ac:dyDescent="0.2">
      <c r="J972" s="213"/>
      <c r="K972" s="212"/>
      <c r="L972" s="212"/>
      <c r="M972" s="212"/>
      <c r="N972" s="212"/>
      <c r="O972" s="212"/>
      <c r="R972" s="211"/>
    </row>
    <row r="973" spans="10:18" x14ac:dyDescent="0.2">
      <c r="J973" s="213"/>
      <c r="K973" s="212"/>
      <c r="L973" s="212"/>
      <c r="M973" s="212"/>
      <c r="N973" s="212"/>
      <c r="O973" s="212"/>
      <c r="R973" s="211"/>
    </row>
    <row r="974" spans="10:18" x14ac:dyDescent="0.2">
      <c r="J974" s="213"/>
      <c r="K974" s="212"/>
      <c r="L974" s="212"/>
      <c r="M974" s="212"/>
      <c r="N974" s="212"/>
      <c r="O974" s="212"/>
      <c r="R974" s="211"/>
    </row>
    <row r="975" spans="10:18" x14ac:dyDescent="0.2">
      <c r="J975" s="213"/>
      <c r="K975" s="212"/>
      <c r="L975" s="212"/>
      <c r="M975" s="212"/>
      <c r="N975" s="212"/>
      <c r="O975" s="212"/>
      <c r="R975" s="211"/>
    </row>
    <row r="976" spans="10:18" x14ac:dyDescent="0.2">
      <c r="J976" s="213"/>
      <c r="K976" s="212"/>
      <c r="L976" s="212"/>
      <c r="M976" s="212"/>
      <c r="N976" s="212"/>
      <c r="O976" s="212"/>
      <c r="R976" s="211"/>
    </row>
    <row r="977" spans="10:18" x14ac:dyDescent="0.2">
      <c r="J977" s="213"/>
      <c r="K977" s="212"/>
      <c r="L977" s="212"/>
      <c r="M977" s="212"/>
      <c r="N977" s="212"/>
      <c r="O977" s="212"/>
      <c r="R977" s="211"/>
    </row>
    <row r="978" spans="10:18" x14ac:dyDescent="0.2">
      <c r="J978" s="213"/>
      <c r="K978" s="212"/>
      <c r="L978" s="212"/>
      <c r="M978" s="212"/>
      <c r="N978" s="212"/>
      <c r="O978" s="212"/>
      <c r="R978" s="211"/>
    </row>
    <row r="979" spans="10:18" x14ac:dyDescent="0.2">
      <c r="J979" s="213"/>
      <c r="K979" s="212"/>
      <c r="L979" s="212"/>
      <c r="M979" s="212"/>
      <c r="N979" s="212"/>
      <c r="O979" s="212"/>
      <c r="R979" s="211"/>
    </row>
    <row r="980" spans="10:18" x14ac:dyDescent="0.2">
      <c r="J980" s="213"/>
      <c r="K980" s="212"/>
      <c r="L980" s="212"/>
      <c r="M980" s="212"/>
      <c r="N980" s="212"/>
      <c r="O980" s="212"/>
      <c r="R980" s="211"/>
    </row>
    <row r="981" spans="10:18" x14ac:dyDescent="0.2">
      <c r="J981" s="213"/>
      <c r="K981" s="212"/>
      <c r="L981" s="212"/>
      <c r="M981" s="212"/>
      <c r="N981" s="212"/>
      <c r="O981" s="212"/>
      <c r="R981" s="211"/>
    </row>
    <row r="982" spans="10:18" x14ac:dyDescent="0.2">
      <c r="J982" s="213"/>
      <c r="K982" s="212"/>
      <c r="L982" s="212"/>
      <c r="M982" s="212"/>
      <c r="N982" s="212"/>
      <c r="O982" s="212"/>
      <c r="R982" s="211"/>
    </row>
    <row r="983" spans="10:18" x14ac:dyDescent="0.2">
      <c r="J983" s="213"/>
      <c r="K983" s="212"/>
      <c r="L983" s="212"/>
      <c r="M983" s="212"/>
      <c r="N983" s="212"/>
      <c r="O983" s="212"/>
      <c r="R983" s="211"/>
    </row>
    <row r="984" spans="10:18" x14ac:dyDescent="0.2">
      <c r="J984" s="213"/>
      <c r="K984" s="212"/>
      <c r="L984" s="212"/>
      <c r="M984" s="212"/>
      <c r="N984" s="212"/>
      <c r="O984" s="212"/>
      <c r="R984" s="211"/>
    </row>
    <row r="985" spans="10:18" x14ac:dyDescent="0.2">
      <c r="J985" s="213"/>
      <c r="K985" s="212"/>
      <c r="L985" s="212"/>
      <c r="M985" s="212"/>
      <c r="N985" s="212"/>
      <c r="O985" s="212"/>
      <c r="R985" s="211"/>
    </row>
    <row r="986" spans="10:18" x14ac:dyDescent="0.2">
      <c r="J986" s="213"/>
      <c r="K986" s="212"/>
      <c r="L986" s="212"/>
      <c r="M986" s="212"/>
      <c r="N986" s="212"/>
      <c r="O986" s="212"/>
      <c r="R986" s="211"/>
    </row>
    <row r="987" spans="10:18" x14ac:dyDescent="0.2">
      <c r="J987" s="213"/>
      <c r="K987" s="212"/>
      <c r="L987" s="212"/>
      <c r="M987" s="212"/>
      <c r="N987" s="212"/>
      <c r="O987" s="212"/>
      <c r="R987" s="211"/>
    </row>
    <row r="988" spans="10:18" x14ac:dyDescent="0.2">
      <c r="J988" s="213"/>
      <c r="K988" s="212"/>
      <c r="L988" s="212"/>
      <c r="M988" s="212"/>
      <c r="N988" s="212"/>
      <c r="O988" s="212"/>
      <c r="R988" s="211"/>
    </row>
    <row r="989" spans="10:18" x14ac:dyDescent="0.2">
      <c r="J989" s="213"/>
      <c r="K989" s="212"/>
      <c r="L989" s="212"/>
      <c r="M989" s="212"/>
      <c r="N989" s="212"/>
      <c r="O989" s="212"/>
      <c r="R989" s="211"/>
    </row>
    <row r="990" spans="10:18" x14ac:dyDescent="0.2">
      <c r="J990" s="213"/>
      <c r="K990" s="212"/>
      <c r="L990" s="212"/>
      <c r="M990" s="212"/>
      <c r="N990" s="212"/>
      <c r="O990" s="212"/>
      <c r="R990" s="211"/>
    </row>
    <row r="991" spans="10:18" x14ac:dyDescent="0.2">
      <c r="J991" s="213"/>
      <c r="K991" s="212"/>
      <c r="L991" s="212"/>
      <c r="M991" s="212"/>
      <c r="N991" s="212"/>
      <c r="O991" s="212"/>
      <c r="R991" s="211"/>
    </row>
    <row r="992" spans="10:18" x14ac:dyDescent="0.2">
      <c r="J992" s="213"/>
      <c r="K992" s="212"/>
      <c r="L992" s="212"/>
      <c r="M992" s="212"/>
      <c r="N992" s="212"/>
      <c r="O992" s="212"/>
      <c r="R992" s="211"/>
    </row>
    <row r="993" spans="10:18" x14ac:dyDescent="0.2">
      <c r="J993" s="213"/>
      <c r="K993" s="212"/>
      <c r="L993" s="212"/>
      <c r="M993" s="212"/>
      <c r="N993" s="212"/>
      <c r="O993" s="212"/>
      <c r="R993" s="211"/>
    </row>
    <row r="994" spans="10:18" x14ac:dyDescent="0.2">
      <c r="J994" s="213"/>
      <c r="K994" s="212"/>
      <c r="L994" s="212"/>
      <c r="M994" s="212"/>
      <c r="N994" s="212"/>
      <c r="O994" s="212"/>
      <c r="R994" s="211"/>
    </row>
    <row r="995" spans="10:18" x14ac:dyDescent="0.2">
      <c r="J995" s="213"/>
      <c r="K995" s="212"/>
      <c r="L995" s="212"/>
      <c r="M995" s="212"/>
      <c r="N995" s="212"/>
      <c r="O995" s="212"/>
      <c r="R995" s="211"/>
    </row>
    <row r="996" spans="10:18" x14ac:dyDescent="0.2">
      <c r="J996" s="213"/>
      <c r="K996" s="212"/>
      <c r="L996" s="212"/>
      <c r="M996" s="212"/>
      <c r="N996" s="212"/>
      <c r="O996" s="212"/>
      <c r="R996" s="211"/>
    </row>
  </sheetData>
  <mergeCells count="2">
    <mergeCell ref="A1:G1"/>
    <mergeCell ref="J1:P1"/>
  </mergeCells>
  <hyperlinks>
    <hyperlink ref="T1" r:id="rId1" xr:uid="{40BD8807-4EF3-4BEF-8098-8E04306E9702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1922-0A42-4666-ADB0-457EAF533F68}">
  <sheetPr>
    <tabColor theme="7" tint="0.79998168889431442"/>
  </sheetPr>
  <dimension ref="A1:S1212"/>
  <sheetViews>
    <sheetView topLeftCell="A1198" workbookViewId="0">
      <selection activeCell="R1212" sqref="R1212"/>
    </sheetView>
  </sheetViews>
  <sheetFormatPr baseColWidth="10" defaultColWidth="8.83203125" defaultRowHeight="15" x14ac:dyDescent="0.2"/>
  <cols>
    <col min="1" max="1" width="10.6640625" bestFit="1" customWidth="1"/>
    <col min="10" max="10" width="10.6640625" bestFit="1" customWidth="1"/>
  </cols>
  <sheetData>
    <row r="1" spans="1:19" x14ac:dyDescent="0.2">
      <c r="A1" s="528" t="s">
        <v>102</v>
      </c>
      <c r="B1" s="528"/>
      <c r="C1" s="528"/>
      <c r="D1" s="528"/>
      <c r="E1" s="528"/>
      <c r="F1" s="528"/>
      <c r="G1" s="528"/>
      <c r="J1" s="530" t="s">
        <v>103</v>
      </c>
      <c r="K1" s="530"/>
      <c r="L1" s="530"/>
      <c r="M1" s="530"/>
      <c r="N1" s="530"/>
      <c r="O1" s="530"/>
      <c r="P1" s="530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36557</v>
      </c>
      <c r="B3" t="s">
        <v>1712</v>
      </c>
      <c r="C3" t="s">
        <v>1713</v>
      </c>
      <c r="D3" t="s">
        <v>1714</v>
      </c>
      <c r="E3" t="s">
        <v>1715</v>
      </c>
      <c r="F3" t="s">
        <v>1716</v>
      </c>
      <c r="G3">
        <v>28042200</v>
      </c>
      <c r="J3" s="354">
        <v>36528</v>
      </c>
      <c r="K3">
        <v>2.1777769999999999</v>
      </c>
      <c r="L3">
        <v>2.5777770000000002</v>
      </c>
      <c r="M3">
        <v>2.055555</v>
      </c>
      <c r="N3">
        <v>2.5533329999999999</v>
      </c>
      <c r="O3">
        <v>1.8943380000000001</v>
      </c>
      <c r="P3">
        <v>9250650</v>
      </c>
      <c r="R3" s="273" t="e">
        <f>(O3/O2)*('16. câmbio USD-BRL'!#REF!/'16. câmbio USD-BRL'!#REF!)^-1-1</f>
        <v>#VALUE!</v>
      </c>
    </row>
    <row r="4" spans="1:19" x14ac:dyDescent="0.2">
      <c r="A4" s="354">
        <v>36586</v>
      </c>
      <c r="B4" t="s">
        <v>1714</v>
      </c>
      <c r="C4" t="s">
        <v>1717</v>
      </c>
      <c r="D4" t="s">
        <v>1718</v>
      </c>
      <c r="E4" t="s">
        <v>1719</v>
      </c>
      <c r="F4" t="s">
        <v>1720</v>
      </c>
      <c r="G4">
        <v>42211800</v>
      </c>
      <c r="J4" s="354">
        <v>36535</v>
      </c>
      <c r="K4">
        <v>2.6</v>
      </c>
      <c r="L4">
        <v>2.8888880000000001</v>
      </c>
      <c r="M4">
        <v>2.3555549999999998</v>
      </c>
      <c r="N4">
        <v>2.4888880000000002</v>
      </c>
      <c r="O4">
        <v>1.8465259999999999</v>
      </c>
      <c r="P4">
        <v>16568100</v>
      </c>
      <c r="R4" s="273" t="e">
        <f>(O4/O3)*('16. câmbio USD-BRL'!#REF!/'16. câmbio USD-BRL'!#REF!)^-1-1</f>
        <v>#REF!</v>
      </c>
    </row>
    <row r="5" spans="1:19" x14ac:dyDescent="0.2">
      <c r="A5" s="354">
        <v>36617</v>
      </c>
      <c r="B5" t="s">
        <v>1721</v>
      </c>
      <c r="C5" t="s">
        <v>1722</v>
      </c>
      <c r="D5" t="s">
        <v>1723</v>
      </c>
      <c r="E5" t="s">
        <v>1724</v>
      </c>
      <c r="F5" t="s">
        <v>1725</v>
      </c>
      <c r="G5">
        <v>31106700</v>
      </c>
      <c r="J5" s="354">
        <v>36542</v>
      </c>
      <c r="K5">
        <v>2.4444439999999998</v>
      </c>
      <c r="L5">
        <v>2.5333329999999998</v>
      </c>
      <c r="M5">
        <v>2.3333330000000001</v>
      </c>
      <c r="N5">
        <v>2.4888880000000002</v>
      </c>
      <c r="O5">
        <v>1.8465259999999999</v>
      </c>
      <c r="P5">
        <v>8909100</v>
      </c>
      <c r="R5" s="273" t="e">
        <f>(O5/O4)*('16. câmbio USD-BRL'!#REF!/'16. câmbio USD-BRL'!#REF!)^-1-1</f>
        <v>#REF!</v>
      </c>
    </row>
    <row r="6" spans="1:19" x14ac:dyDescent="0.2">
      <c r="A6" s="354">
        <v>36647</v>
      </c>
      <c r="B6" t="s">
        <v>1724</v>
      </c>
      <c r="C6" t="s">
        <v>1726</v>
      </c>
      <c r="D6" t="s">
        <v>1727</v>
      </c>
      <c r="E6" t="s">
        <v>1728</v>
      </c>
      <c r="F6" t="s">
        <v>1729</v>
      </c>
      <c r="G6">
        <v>31432050</v>
      </c>
      <c r="J6" s="354">
        <v>36549</v>
      </c>
      <c r="K6">
        <v>2.4888880000000002</v>
      </c>
      <c r="L6">
        <v>2.5088879999999998</v>
      </c>
      <c r="M6">
        <v>2.2444440000000001</v>
      </c>
      <c r="N6">
        <v>2.3555549999999998</v>
      </c>
      <c r="O6">
        <v>1.7476050000000001</v>
      </c>
      <c r="P6">
        <v>3367350</v>
      </c>
      <c r="R6" s="273" t="e">
        <f>(O6/O5)*('16. câmbio USD-BRL'!#REF!/'16. câmbio USD-BRL'!#REF!)^-1-1</f>
        <v>#REF!</v>
      </c>
    </row>
    <row r="7" spans="1:19" x14ac:dyDescent="0.2">
      <c r="A7" s="354">
        <v>36678</v>
      </c>
      <c r="B7" t="s">
        <v>1730</v>
      </c>
      <c r="C7" t="s">
        <v>1731</v>
      </c>
      <c r="D7" t="s">
        <v>1732</v>
      </c>
      <c r="E7" t="s">
        <v>1733</v>
      </c>
      <c r="F7" t="s">
        <v>1734</v>
      </c>
      <c r="G7">
        <v>53561700</v>
      </c>
      <c r="J7" s="354">
        <v>36556</v>
      </c>
      <c r="K7">
        <v>2.3111109999999999</v>
      </c>
      <c r="L7">
        <v>2.5066660000000001</v>
      </c>
      <c r="M7">
        <v>2.2000000000000002</v>
      </c>
      <c r="N7">
        <v>2.4777770000000001</v>
      </c>
      <c r="O7">
        <v>1.838282</v>
      </c>
      <c r="P7">
        <v>4637700</v>
      </c>
      <c r="R7" s="273" t="e">
        <f>(O7/O6)*('16. câmbio USD-BRL'!#REF!/'16. câmbio USD-BRL'!#REF!)^-1-1</f>
        <v>#REF!</v>
      </c>
    </row>
    <row r="8" spans="1:19" x14ac:dyDescent="0.2">
      <c r="A8" s="354">
        <v>36708</v>
      </c>
      <c r="B8" t="s">
        <v>1735</v>
      </c>
      <c r="C8" t="s">
        <v>1736</v>
      </c>
      <c r="D8" t="s">
        <v>1735</v>
      </c>
      <c r="E8" t="s">
        <v>1737</v>
      </c>
      <c r="F8" t="s">
        <v>1738</v>
      </c>
      <c r="G8">
        <v>52992000</v>
      </c>
      <c r="J8" s="354">
        <v>36563</v>
      </c>
      <c r="K8">
        <v>2.5088879999999998</v>
      </c>
      <c r="L8">
        <v>2.6222219999999998</v>
      </c>
      <c r="M8">
        <v>2.3111109999999999</v>
      </c>
      <c r="N8">
        <v>2.3111109999999999</v>
      </c>
      <c r="O8">
        <v>1.7146319999999999</v>
      </c>
      <c r="P8">
        <v>10461600</v>
      </c>
      <c r="R8" s="273" t="e">
        <f>(O8/O7)*('16. câmbio USD-BRL'!#REF!/'16. câmbio USD-BRL'!#REF!)^-1-1</f>
        <v>#REF!</v>
      </c>
    </row>
    <row r="9" spans="1:19" x14ac:dyDescent="0.2">
      <c r="A9" s="354">
        <v>36739</v>
      </c>
      <c r="B9" t="s">
        <v>1737</v>
      </c>
      <c r="C9" t="s">
        <v>1739</v>
      </c>
      <c r="D9" t="s">
        <v>1740</v>
      </c>
      <c r="E9" t="s">
        <v>1741</v>
      </c>
      <c r="F9" t="s">
        <v>1742</v>
      </c>
      <c r="G9">
        <v>54987300</v>
      </c>
      <c r="J9" s="354">
        <v>36570</v>
      </c>
      <c r="K9">
        <v>2.426666</v>
      </c>
      <c r="L9">
        <v>2.426666</v>
      </c>
      <c r="M9">
        <v>2.1111110000000002</v>
      </c>
      <c r="N9">
        <v>2.2222219999999999</v>
      </c>
      <c r="O9">
        <v>1.648684</v>
      </c>
      <c r="P9">
        <v>7546500</v>
      </c>
      <c r="R9" s="273" t="e">
        <f>(O9/O8)*('16. câmbio USD-BRL'!#REF!/'16. câmbio USD-BRL'!#REF!)^-1-1</f>
        <v>#REF!</v>
      </c>
    </row>
    <row r="10" spans="1:19" x14ac:dyDescent="0.2">
      <c r="A10" s="354">
        <v>36770</v>
      </c>
      <c r="B10" t="s">
        <v>1712</v>
      </c>
      <c r="C10" t="s">
        <v>1743</v>
      </c>
      <c r="D10" t="s">
        <v>1717</v>
      </c>
      <c r="E10" t="s">
        <v>1744</v>
      </c>
      <c r="F10" t="s">
        <v>1745</v>
      </c>
      <c r="G10">
        <v>29446200</v>
      </c>
      <c r="J10" s="354">
        <v>36577</v>
      </c>
      <c r="K10">
        <v>2.2111109999999998</v>
      </c>
      <c r="L10">
        <v>2.3111109999999999</v>
      </c>
      <c r="M10">
        <v>2.1111110000000002</v>
      </c>
      <c r="N10">
        <v>2.1111110000000002</v>
      </c>
      <c r="O10">
        <v>1.5662499999999999</v>
      </c>
      <c r="P10">
        <v>5350500</v>
      </c>
      <c r="R10" s="273" t="e">
        <f>(O10/O9)*('16. câmbio USD-BRL'!#REF!/'16. câmbio USD-BRL'!#REF!)^-1-1</f>
        <v>#REF!</v>
      </c>
    </row>
    <row r="11" spans="1:19" x14ac:dyDescent="0.2">
      <c r="A11" s="354">
        <v>36800</v>
      </c>
      <c r="B11" t="s">
        <v>1744</v>
      </c>
      <c r="C11" t="s">
        <v>1712</v>
      </c>
      <c r="D11" t="s">
        <v>1746</v>
      </c>
      <c r="E11" t="s">
        <v>1737</v>
      </c>
      <c r="F11" t="s">
        <v>1738</v>
      </c>
      <c r="G11">
        <v>21082950</v>
      </c>
      <c r="J11" s="354">
        <v>36584</v>
      </c>
      <c r="K11">
        <v>2.1222219999999998</v>
      </c>
      <c r="L11">
        <v>2.2177769999999999</v>
      </c>
      <c r="M11">
        <v>1.933333</v>
      </c>
      <c r="N11">
        <v>2.0444439999999999</v>
      </c>
      <c r="O11">
        <v>1.5167900000000001</v>
      </c>
      <c r="P11">
        <v>13322250</v>
      </c>
      <c r="R11" s="273" t="e">
        <f>(O11/O10)*('16. câmbio USD-BRL'!#REF!/'16. câmbio USD-BRL'!#REF!)^-1-1</f>
        <v>#REF!</v>
      </c>
    </row>
    <row r="12" spans="1:19" x14ac:dyDescent="0.2">
      <c r="A12" s="354">
        <v>36831</v>
      </c>
      <c r="B12" t="s">
        <v>1747</v>
      </c>
      <c r="C12" t="s">
        <v>1717</v>
      </c>
      <c r="D12" t="s">
        <v>1728</v>
      </c>
      <c r="E12" t="s">
        <v>1728</v>
      </c>
      <c r="F12" t="s">
        <v>1729</v>
      </c>
      <c r="G12">
        <v>25227000</v>
      </c>
      <c r="J12" s="354">
        <v>36591</v>
      </c>
      <c r="K12">
        <v>2.0444439999999999</v>
      </c>
      <c r="L12">
        <v>2.1666660000000002</v>
      </c>
      <c r="M12">
        <v>2.0377770000000002</v>
      </c>
      <c r="N12">
        <v>2.055555</v>
      </c>
      <c r="O12">
        <v>1.5250330000000001</v>
      </c>
      <c r="P12">
        <v>4853700</v>
      </c>
      <c r="R12" s="273" t="e">
        <f>(O12/O11)*('16. câmbio USD-BRL'!#REF!/'16. câmbio USD-BRL'!#REF!)^-1-1</f>
        <v>#REF!</v>
      </c>
    </row>
    <row r="13" spans="1:19" x14ac:dyDescent="0.2">
      <c r="A13" s="354">
        <v>36861</v>
      </c>
      <c r="B13" t="s">
        <v>1746</v>
      </c>
      <c r="C13" t="s">
        <v>1748</v>
      </c>
      <c r="D13" t="s">
        <v>1749</v>
      </c>
      <c r="E13" t="s">
        <v>1750</v>
      </c>
      <c r="F13" t="s">
        <v>1751</v>
      </c>
      <c r="G13">
        <v>25548300</v>
      </c>
      <c r="J13" s="354">
        <v>36598</v>
      </c>
      <c r="K13">
        <v>2.0444439999999999</v>
      </c>
      <c r="L13">
        <v>2.0777770000000002</v>
      </c>
      <c r="M13">
        <v>1.9</v>
      </c>
      <c r="N13">
        <v>1.911111</v>
      </c>
      <c r="O13">
        <v>1.4178679999999999</v>
      </c>
      <c r="P13">
        <v>7716600</v>
      </c>
      <c r="R13" s="273" t="e">
        <f>(O13/O12)*('16. câmbio USD-BRL'!#REF!/'16. câmbio USD-BRL'!#REF!)^-1-1</f>
        <v>#REF!</v>
      </c>
    </row>
    <row r="14" spans="1:19" x14ac:dyDescent="0.2">
      <c r="A14" s="354">
        <v>36892</v>
      </c>
      <c r="B14" t="s">
        <v>1750</v>
      </c>
      <c r="C14" t="s">
        <v>1752</v>
      </c>
      <c r="D14" t="s">
        <v>1753</v>
      </c>
      <c r="E14" t="s">
        <v>1754</v>
      </c>
      <c r="F14" t="s">
        <v>1755</v>
      </c>
      <c r="G14">
        <v>39350250</v>
      </c>
      <c r="J14" s="354">
        <v>36605</v>
      </c>
      <c r="K14">
        <v>1.924444</v>
      </c>
      <c r="L14">
        <v>2.2444440000000001</v>
      </c>
      <c r="M14">
        <v>1.911111</v>
      </c>
      <c r="N14">
        <v>2.0777770000000002</v>
      </c>
      <c r="O14">
        <v>1.5415190000000001</v>
      </c>
      <c r="P14">
        <v>6613200</v>
      </c>
      <c r="R14" s="273" t="e">
        <f>(O14/O13)*('16. câmbio USD-BRL'!#REF!/'16. câmbio USD-BRL'!#REF!)^-1-1</f>
        <v>#REF!</v>
      </c>
    </row>
    <row r="15" spans="1:19" x14ac:dyDescent="0.2">
      <c r="A15" s="354">
        <v>36923</v>
      </c>
      <c r="B15" t="s">
        <v>1756</v>
      </c>
      <c r="C15" t="s">
        <v>1713</v>
      </c>
      <c r="D15" t="s">
        <v>1757</v>
      </c>
      <c r="E15" t="s">
        <v>1757</v>
      </c>
      <c r="F15" t="s">
        <v>1758</v>
      </c>
      <c r="G15">
        <v>33632550</v>
      </c>
      <c r="J15" s="354">
        <v>36612</v>
      </c>
      <c r="K15">
        <v>2.0888879999999999</v>
      </c>
      <c r="L15">
        <v>2.2000000000000002</v>
      </c>
      <c r="M15">
        <v>1.9222220000000001</v>
      </c>
      <c r="N15">
        <v>1.9222220000000001</v>
      </c>
      <c r="O15">
        <v>1.426112</v>
      </c>
      <c r="P15">
        <v>10538100</v>
      </c>
      <c r="R15" s="273" t="e">
        <f>(O15/O14)*('16. câmbio USD-BRL'!#REF!/'16. câmbio USD-BRL'!#REF!)^-1-1</f>
        <v>#REF!</v>
      </c>
    </row>
    <row r="16" spans="1:19" x14ac:dyDescent="0.2">
      <c r="A16" s="354">
        <v>36951</v>
      </c>
      <c r="B16" t="s">
        <v>1759</v>
      </c>
      <c r="C16" t="s">
        <v>1760</v>
      </c>
      <c r="D16" t="s">
        <v>1761</v>
      </c>
      <c r="E16" t="s">
        <v>1762</v>
      </c>
      <c r="F16" t="s">
        <v>1763</v>
      </c>
      <c r="G16">
        <v>59760450</v>
      </c>
      <c r="J16" s="354">
        <v>36619</v>
      </c>
      <c r="K16">
        <v>1.9444440000000001</v>
      </c>
      <c r="L16">
        <v>2.0666660000000001</v>
      </c>
      <c r="M16">
        <v>1.911111</v>
      </c>
      <c r="N16">
        <v>1.9777769999999999</v>
      </c>
      <c r="O16">
        <v>1.4673290000000001</v>
      </c>
      <c r="P16">
        <v>9785700</v>
      </c>
      <c r="R16" s="273" t="e">
        <f>(O16/O15)*('16. câmbio USD-BRL'!#REF!/'16. câmbio USD-BRL'!#REF!)^-1-1</f>
        <v>#REF!</v>
      </c>
    </row>
    <row r="17" spans="1:18" x14ac:dyDescent="0.2">
      <c r="A17" s="354">
        <v>36982</v>
      </c>
      <c r="B17" t="s">
        <v>1764</v>
      </c>
      <c r="C17" t="s">
        <v>1765</v>
      </c>
      <c r="D17" t="s">
        <v>1766</v>
      </c>
      <c r="E17" t="s">
        <v>1767</v>
      </c>
      <c r="F17" t="s">
        <v>1768</v>
      </c>
      <c r="G17">
        <v>35603100</v>
      </c>
      <c r="J17" s="354">
        <v>36626</v>
      </c>
      <c r="K17">
        <v>1.9555549999999999</v>
      </c>
      <c r="L17">
        <v>1.986666</v>
      </c>
      <c r="M17">
        <v>1.666666</v>
      </c>
      <c r="N17">
        <v>1.6777770000000001</v>
      </c>
      <c r="O17">
        <v>1.244756</v>
      </c>
      <c r="P17">
        <v>6588000</v>
      </c>
      <c r="R17" s="273" t="e">
        <f>(O17/O16)*('16. câmbio USD-BRL'!#REF!/'16. câmbio USD-BRL'!#REF!)^-1-1</f>
        <v>#REF!</v>
      </c>
    </row>
    <row r="18" spans="1:18" x14ac:dyDescent="0.2">
      <c r="A18" s="354">
        <v>37012</v>
      </c>
      <c r="B18" t="s">
        <v>1767</v>
      </c>
      <c r="C18" t="s">
        <v>1769</v>
      </c>
      <c r="D18" t="s">
        <v>1770</v>
      </c>
      <c r="E18" t="s">
        <v>1771</v>
      </c>
      <c r="F18" t="s">
        <v>1772</v>
      </c>
      <c r="G18">
        <v>68837850</v>
      </c>
      <c r="J18" s="354">
        <v>36633</v>
      </c>
      <c r="K18">
        <v>1.755555</v>
      </c>
      <c r="L18">
        <v>1.8</v>
      </c>
      <c r="M18">
        <v>1.5466660000000001</v>
      </c>
      <c r="N18">
        <v>1.7422219999999999</v>
      </c>
      <c r="O18">
        <v>1.2925679999999999</v>
      </c>
      <c r="P18">
        <v>6110550</v>
      </c>
      <c r="R18" s="273" t="e">
        <f>(O18/O17)*('16. câmbio USD-BRL'!#REF!/'16. câmbio USD-BRL'!#REF!)^-1-1</f>
        <v>#REF!</v>
      </c>
    </row>
    <row r="19" spans="1:18" x14ac:dyDescent="0.2">
      <c r="A19" s="354">
        <v>37043</v>
      </c>
      <c r="B19" t="s">
        <v>1771</v>
      </c>
      <c r="C19" t="s">
        <v>1773</v>
      </c>
      <c r="D19" t="s">
        <v>1774</v>
      </c>
      <c r="E19" t="s">
        <v>1775</v>
      </c>
      <c r="F19" t="s">
        <v>1776</v>
      </c>
      <c r="G19">
        <v>55949400</v>
      </c>
      <c r="J19" s="354">
        <v>36640</v>
      </c>
      <c r="K19">
        <v>1.755555</v>
      </c>
      <c r="L19">
        <v>1.7666660000000001</v>
      </c>
      <c r="M19">
        <v>1.64</v>
      </c>
      <c r="N19">
        <v>1.6777770000000001</v>
      </c>
      <c r="O19">
        <v>1.244756</v>
      </c>
      <c r="P19">
        <v>8622450</v>
      </c>
      <c r="R19" s="273" t="e">
        <f>(O19/O18)*('16. câmbio USD-BRL'!#REF!/'16. câmbio USD-BRL'!#REF!)^-1-1</f>
        <v>#REF!</v>
      </c>
    </row>
    <row r="20" spans="1:18" x14ac:dyDescent="0.2">
      <c r="A20" s="354">
        <v>37073</v>
      </c>
      <c r="B20" t="s">
        <v>1771</v>
      </c>
      <c r="C20" t="s">
        <v>1777</v>
      </c>
      <c r="D20" t="s">
        <v>1778</v>
      </c>
      <c r="E20" t="s">
        <v>1779</v>
      </c>
      <c r="F20" t="s">
        <v>1780</v>
      </c>
      <c r="G20">
        <v>29211300</v>
      </c>
      <c r="J20" s="354">
        <v>36647</v>
      </c>
      <c r="K20">
        <v>1.6777770000000001</v>
      </c>
      <c r="L20">
        <v>2.0444439999999999</v>
      </c>
      <c r="M20">
        <v>1.6777770000000001</v>
      </c>
      <c r="N20">
        <v>1.9777769999999999</v>
      </c>
      <c r="O20">
        <v>1.4673290000000001</v>
      </c>
      <c r="P20">
        <v>6129450</v>
      </c>
      <c r="R20" s="273" t="e">
        <f>(O20/O19)*('16. câmbio USD-BRL'!#REF!/'16. câmbio USD-BRL'!#REF!)^-1-1</f>
        <v>#REF!</v>
      </c>
    </row>
    <row r="21" spans="1:18" x14ac:dyDescent="0.2">
      <c r="A21" s="354">
        <v>37104</v>
      </c>
      <c r="B21" t="s">
        <v>1781</v>
      </c>
      <c r="C21" t="s">
        <v>1782</v>
      </c>
      <c r="D21" t="s">
        <v>1783</v>
      </c>
      <c r="E21" t="s">
        <v>1783</v>
      </c>
      <c r="F21" t="s">
        <v>1784</v>
      </c>
      <c r="G21">
        <v>34786350</v>
      </c>
      <c r="J21" s="354">
        <v>36654</v>
      </c>
      <c r="K21">
        <v>1.9777769999999999</v>
      </c>
      <c r="L21">
        <v>2</v>
      </c>
      <c r="M21">
        <v>1.755555</v>
      </c>
      <c r="N21">
        <v>1.762222</v>
      </c>
      <c r="O21">
        <v>1.307407</v>
      </c>
      <c r="P21">
        <v>5122350</v>
      </c>
      <c r="R21" s="273" t="e">
        <f>(O21/O20)*('16. câmbio USD-BRL'!#REF!/'16. câmbio USD-BRL'!#REF!)^-1-1</f>
        <v>#REF!</v>
      </c>
    </row>
    <row r="22" spans="1:18" x14ac:dyDescent="0.2">
      <c r="A22" s="354">
        <v>37135</v>
      </c>
      <c r="B22" t="s">
        <v>1785</v>
      </c>
      <c r="C22" t="s">
        <v>1786</v>
      </c>
      <c r="D22" t="s">
        <v>1787</v>
      </c>
      <c r="E22" t="s">
        <v>1788</v>
      </c>
      <c r="F22" t="s">
        <v>1789</v>
      </c>
      <c r="G22">
        <v>47849850</v>
      </c>
      <c r="J22" s="354">
        <v>36661</v>
      </c>
      <c r="K22">
        <v>1.762222</v>
      </c>
      <c r="L22">
        <v>1.933333</v>
      </c>
      <c r="M22">
        <v>1.711111</v>
      </c>
      <c r="N22">
        <v>1.755555</v>
      </c>
      <c r="O22">
        <v>1.30246</v>
      </c>
      <c r="P22">
        <v>5296950</v>
      </c>
      <c r="R22" s="273" t="e">
        <f>(O22/O21)*('16. câmbio USD-BRL'!#REF!/'16. câmbio USD-BRL'!#REF!)^-1-1</f>
        <v>#REF!</v>
      </c>
    </row>
    <row r="23" spans="1:18" x14ac:dyDescent="0.2">
      <c r="A23" s="354">
        <v>37165</v>
      </c>
      <c r="B23" t="s">
        <v>1790</v>
      </c>
      <c r="C23" t="s">
        <v>1791</v>
      </c>
      <c r="D23" t="s">
        <v>1792</v>
      </c>
      <c r="E23" t="s">
        <v>1793</v>
      </c>
      <c r="F23" t="s">
        <v>1794</v>
      </c>
      <c r="G23">
        <v>67734900</v>
      </c>
      <c r="J23" s="354">
        <v>36668</v>
      </c>
      <c r="K23">
        <v>1.755555</v>
      </c>
      <c r="L23">
        <v>1.78</v>
      </c>
      <c r="M23">
        <v>1.611111</v>
      </c>
      <c r="N23">
        <v>1.7777769999999999</v>
      </c>
      <c r="O23">
        <v>1.3189470000000001</v>
      </c>
      <c r="P23">
        <v>9985500</v>
      </c>
      <c r="R23" s="273" t="e">
        <f>(O23/O22)*('16. câmbio USD-BRL'!#REF!/'16. câmbio USD-BRL'!#REF!)^-1-1</f>
        <v>#REF!</v>
      </c>
    </row>
    <row r="24" spans="1:18" x14ac:dyDescent="0.2">
      <c r="A24" s="354">
        <v>37196</v>
      </c>
      <c r="B24" t="s">
        <v>1795</v>
      </c>
      <c r="C24" t="s">
        <v>1796</v>
      </c>
      <c r="D24" t="s">
        <v>1797</v>
      </c>
      <c r="E24" t="s">
        <v>1798</v>
      </c>
      <c r="F24" t="s">
        <v>1799</v>
      </c>
      <c r="G24">
        <v>90726300</v>
      </c>
      <c r="J24" s="354">
        <v>36675</v>
      </c>
      <c r="K24">
        <v>1.797777</v>
      </c>
      <c r="L24">
        <v>1.933333</v>
      </c>
      <c r="M24">
        <v>1.755555</v>
      </c>
      <c r="N24">
        <v>1.844444</v>
      </c>
      <c r="O24">
        <v>1.3684080000000001</v>
      </c>
      <c r="P24">
        <v>8329050</v>
      </c>
      <c r="R24" s="273" t="e">
        <f>(O24/O23)*('16. câmbio USD-BRL'!#REF!/'16. câmbio USD-BRL'!#REF!)^-1-1</f>
        <v>#REF!</v>
      </c>
    </row>
    <row r="25" spans="1:18" x14ac:dyDescent="0.2">
      <c r="A25" s="354">
        <v>37226</v>
      </c>
      <c r="B25" t="s">
        <v>1783</v>
      </c>
      <c r="C25" t="s">
        <v>1800</v>
      </c>
      <c r="D25" t="s">
        <v>1783</v>
      </c>
      <c r="E25" t="s">
        <v>1801</v>
      </c>
      <c r="F25" t="s">
        <v>1802</v>
      </c>
      <c r="G25">
        <v>44632800</v>
      </c>
      <c r="J25" s="354">
        <v>36682</v>
      </c>
      <c r="K25">
        <v>1.877777</v>
      </c>
      <c r="L25">
        <v>1.9555549999999999</v>
      </c>
      <c r="M25">
        <v>1.7244440000000001</v>
      </c>
      <c r="N25">
        <v>1.74</v>
      </c>
      <c r="O25">
        <v>1.2909200000000001</v>
      </c>
      <c r="P25">
        <v>7178850</v>
      </c>
      <c r="R25" s="273" t="e">
        <f>(O25/O24)*('16. câmbio USD-BRL'!#REF!/'16. câmbio USD-BRL'!#REF!)^-1-1</f>
        <v>#REF!</v>
      </c>
    </row>
    <row r="26" spans="1:18" x14ac:dyDescent="0.2">
      <c r="A26" s="354">
        <v>37257</v>
      </c>
      <c r="B26" t="s">
        <v>1801</v>
      </c>
      <c r="C26" t="s">
        <v>1803</v>
      </c>
      <c r="D26" t="s">
        <v>1804</v>
      </c>
      <c r="E26" t="s">
        <v>1805</v>
      </c>
      <c r="F26" t="s">
        <v>1806</v>
      </c>
      <c r="G26">
        <v>42236100</v>
      </c>
      <c r="J26" s="354">
        <v>36689</v>
      </c>
      <c r="K26">
        <v>1.7666660000000001</v>
      </c>
      <c r="L26">
        <v>1.7777769999999999</v>
      </c>
      <c r="M26">
        <v>1.602222</v>
      </c>
      <c r="N26">
        <v>1.644444</v>
      </c>
      <c r="O26">
        <v>1.2200260000000001</v>
      </c>
      <c r="P26">
        <v>16574400</v>
      </c>
      <c r="R26" s="273" t="e">
        <f>(O26/O25)*('16. câmbio USD-BRL'!#REF!/'16. câmbio USD-BRL'!#REF!)^-1-1</f>
        <v>#REF!</v>
      </c>
    </row>
    <row r="27" spans="1:18" x14ac:dyDescent="0.2">
      <c r="A27" s="354">
        <v>37288</v>
      </c>
      <c r="B27" t="s">
        <v>1807</v>
      </c>
      <c r="C27" t="s">
        <v>1808</v>
      </c>
      <c r="D27" t="s">
        <v>1809</v>
      </c>
      <c r="E27" t="s">
        <v>1810</v>
      </c>
      <c r="F27" t="s">
        <v>1811</v>
      </c>
      <c r="G27">
        <v>39156750</v>
      </c>
      <c r="J27" s="354">
        <v>36696</v>
      </c>
      <c r="K27">
        <v>1.6688879999999999</v>
      </c>
      <c r="L27">
        <v>1.8555550000000001</v>
      </c>
      <c r="M27">
        <v>1.666666</v>
      </c>
      <c r="N27">
        <v>1.8111109999999999</v>
      </c>
      <c r="O27">
        <v>1.3436779999999999</v>
      </c>
      <c r="P27">
        <v>15072750</v>
      </c>
      <c r="R27" s="273" t="e">
        <f>(O27/O26)*('16. câmbio USD-BRL'!#REF!/'16. câmbio USD-BRL'!#REF!)^-1-1</f>
        <v>#REF!</v>
      </c>
    </row>
    <row r="28" spans="1:18" x14ac:dyDescent="0.2">
      <c r="A28" s="354">
        <v>37316</v>
      </c>
      <c r="B28" t="s">
        <v>1812</v>
      </c>
      <c r="C28" t="s">
        <v>1813</v>
      </c>
      <c r="D28" t="s">
        <v>1814</v>
      </c>
      <c r="E28" t="s">
        <v>1815</v>
      </c>
      <c r="F28" t="s">
        <v>1816</v>
      </c>
      <c r="G28">
        <v>74025450</v>
      </c>
      <c r="J28" s="354">
        <v>36703</v>
      </c>
      <c r="K28">
        <v>1.8266659999999999</v>
      </c>
      <c r="L28">
        <v>1.8888879999999999</v>
      </c>
      <c r="M28">
        <v>1.7777769999999999</v>
      </c>
      <c r="N28">
        <v>1.8533329999999999</v>
      </c>
      <c r="O28">
        <v>1.375003</v>
      </c>
      <c r="P28">
        <v>11304450</v>
      </c>
      <c r="R28" s="273" t="e">
        <f>(O28/O27)*('16. câmbio USD-BRL'!#REF!/'16. câmbio USD-BRL'!#REF!)^-1-1</f>
        <v>#REF!</v>
      </c>
    </row>
    <row r="29" spans="1:18" x14ac:dyDescent="0.2">
      <c r="A29" s="354">
        <v>37347</v>
      </c>
      <c r="B29" t="s">
        <v>1815</v>
      </c>
      <c r="C29" t="s">
        <v>1761</v>
      </c>
      <c r="D29" t="s">
        <v>1817</v>
      </c>
      <c r="E29" t="s">
        <v>1728</v>
      </c>
      <c r="F29" t="s">
        <v>1729</v>
      </c>
      <c r="G29">
        <v>86030550</v>
      </c>
      <c r="J29" s="354">
        <v>36710</v>
      </c>
      <c r="K29">
        <v>1.8666659999999999</v>
      </c>
      <c r="L29">
        <v>2.1777769999999999</v>
      </c>
      <c r="M29">
        <v>1.8666659999999999</v>
      </c>
      <c r="N29">
        <v>2.1111110000000002</v>
      </c>
      <c r="O29">
        <v>1.5662499999999999</v>
      </c>
      <c r="P29">
        <v>15827400</v>
      </c>
      <c r="R29" s="273" t="e">
        <f>(O29/O28)*('16. câmbio USD-BRL'!#REF!/'16. câmbio USD-BRL'!#REF!)^-1-1</f>
        <v>#REF!</v>
      </c>
    </row>
    <row r="30" spans="1:18" x14ac:dyDescent="0.2">
      <c r="A30" s="354">
        <v>37377</v>
      </c>
      <c r="B30" t="s">
        <v>1728</v>
      </c>
      <c r="C30" t="s">
        <v>1818</v>
      </c>
      <c r="D30" t="s">
        <v>1819</v>
      </c>
      <c r="E30" t="s">
        <v>1820</v>
      </c>
      <c r="F30" t="s">
        <v>1821</v>
      </c>
      <c r="G30">
        <v>48566250</v>
      </c>
      <c r="J30" s="354">
        <v>36717</v>
      </c>
      <c r="K30">
        <v>2.1333329999999999</v>
      </c>
      <c r="L30">
        <v>2.1555550000000001</v>
      </c>
      <c r="M30">
        <v>1.9555549999999999</v>
      </c>
      <c r="N30">
        <v>1.9822219999999999</v>
      </c>
      <c r="O30">
        <v>1.470626</v>
      </c>
      <c r="P30">
        <v>11627100</v>
      </c>
      <c r="R30" s="273" t="e">
        <f>(O30/O29)*('16. câmbio USD-BRL'!#REF!/'16. câmbio USD-BRL'!#REF!)^-1-1</f>
        <v>#REF!</v>
      </c>
    </row>
    <row r="31" spans="1:18" x14ac:dyDescent="0.2">
      <c r="A31" s="354">
        <v>37408</v>
      </c>
      <c r="B31" t="s">
        <v>1820</v>
      </c>
      <c r="C31" t="s">
        <v>1822</v>
      </c>
      <c r="D31" t="s">
        <v>1774</v>
      </c>
      <c r="E31" t="s">
        <v>1796</v>
      </c>
      <c r="F31" t="s">
        <v>1823</v>
      </c>
      <c r="G31">
        <v>42435450</v>
      </c>
      <c r="J31" s="354">
        <v>36724</v>
      </c>
      <c r="K31">
        <v>2.0244439999999999</v>
      </c>
      <c r="L31">
        <v>2.1755550000000001</v>
      </c>
      <c r="M31">
        <v>2.0244439999999999</v>
      </c>
      <c r="N31">
        <v>2.1688879999999999</v>
      </c>
      <c r="O31">
        <v>1.6091150000000001</v>
      </c>
      <c r="P31">
        <v>13322700</v>
      </c>
      <c r="R31" s="273" t="e">
        <f>(O31/O30)*('16. câmbio USD-BRL'!#REF!/'16. câmbio USD-BRL'!#REF!)^-1-1</f>
        <v>#REF!</v>
      </c>
    </row>
    <row r="32" spans="1:18" x14ac:dyDescent="0.2">
      <c r="A32" s="354">
        <v>37438</v>
      </c>
      <c r="B32" t="s">
        <v>1796</v>
      </c>
      <c r="C32" t="s">
        <v>1824</v>
      </c>
      <c r="D32" t="s">
        <v>1825</v>
      </c>
      <c r="E32" t="s">
        <v>1826</v>
      </c>
      <c r="F32" t="s">
        <v>1827</v>
      </c>
      <c r="G32">
        <v>55597500</v>
      </c>
      <c r="J32" s="354">
        <v>36731</v>
      </c>
      <c r="K32">
        <v>2.1555550000000001</v>
      </c>
      <c r="L32">
        <v>2.2777769999999999</v>
      </c>
      <c r="M32">
        <v>2.1555550000000001</v>
      </c>
      <c r="N32">
        <v>2.1777769999999999</v>
      </c>
      <c r="O32">
        <v>1.61571</v>
      </c>
      <c r="P32">
        <v>11457900</v>
      </c>
      <c r="R32" s="273" t="e">
        <f>(O32/O31)*('16. câmbio USD-BRL'!#REF!/'16. câmbio USD-BRL'!#REF!)^-1-1</f>
        <v>#REF!</v>
      </c>
    </row>
    <row r="33" spans="1:18" x14ac:dyDescent="0.2">
      <c r="A33" s="354">
        <v>37469</v>
      </c>
      <c r="B33" t="s">
        <v>1826</v>
      </c>
      <c r="C33" t="s">
        <v>1828</v>
      </c>
      <c r="D33" t="s">
        <v>1829</v>
      </c>
      <c r="E33" t="s">
        <v>1830</v>
      </c>
      <c r="F33" t="s">
        <v>1831</v>
      </c>
      <c r="G33">
        <v>85703850</v>
      </c>
      <c r="J33" s="354">
        <v>36738</v>
      </c>
      <c r="K33">
        <v>2.2000000000000002</v>
      </c>
      <c r="L33">
        <v>2.2222219999999999</v>
      </c>
      <c r="M33">
        <v>2.0688879999999998</v>
      </c>
      <c r="N33">
        <v>2.2111109999999998</v>
      </c>
      <c r="O33">
        <v>1.640441</v>
      </c>
      <c r="P33">
        <v>8104500</v>
      </c>
      <c r="R33" s="273" t="e">
        <f>(O33/O32)*('16. câmbio USD-BRL'!#REF!/'16. câmbio USD-BRL'!#REF!)^-1-1</f>
        <v>#REF!</v>
      </c>
    </row>
    <row r="34" spans="1:18" x14ac:dyDescent="0.2">
      <c r="A34" s="354">
        <v>37500</v>
      </c>
      <c r="B34" t="s">
        <v>1832</v>
      </c>
      <c r="C34" t="s">
        <v>1833</v>
      </c>
      <c r="D34" t="s">
        <v>1834</v>
      </c>
      <c r="E34" t="s">
        <v>1835</v>
      </c>
      <c r="F34" t="s">
        <v>1836</v>
      </c>
      <c r="G34">
        <v>42196950</v>
      </c>
      <c r="J34" s="354">
        <v>36745</v>
      </c>
      <c r="K34">
        <v>2.2222219999999999</v>
      </c>
      <c r="L34">
        <v>2.604444</v>
      </c>
      <c r="M34">
        <v>2.2200000000000002</v>
      </c>
      <c r="N34">
        <v>2.604444</v>
      </c>
      <c r="O34">
        <v>1.932258</v>
      </c>
      <c r="P34">
        <v>12999150</v>
      </c>
      <c r="R34" s="273" t="e">
        <f>(O34/O33)*('16. câmbio USD-BRL'!#REF!/'16. câmbio USD-BRL'!#REF!)^-1-1</f>
        <v>#REF!</v>
      </c>
    </row>
    <row r="35" spans="1:18" x14ac:dyDescent="0.2">
      <c r="A35" s="354">
        <v>37530</v>
      </c>
      <c r="B35" t="s">
        <v>1837</v>
      </c>
      <c r="C35" t="s">
        <v>1838</v>
      </c>
      <c r="D35" t="s">
        <v>1839</v>
      </c>
      <c r="E35" t="s">
        <v>1840</v>
      </c>
      <c r="F35" t="s">
        <v>1841</v>
      </c>
      <c r="G35">
        <v>78217650</v>
      </c>
      <c r="J35" s="354">
        <v>36752</v>
      </c>
      <c r="K35">
        <v>2.555555</v>
      </c>
      <c r="L35">
        <v>2.64</v>
      </c>
      <c r="M35">
        <v>2.3555549999999998</v>
      </c>
      <c r="N35">
        <v>2.4777770000000001</v>
      </c>
      <c r="O35">
        <v>1.838282</v>
      </c>
      <c r="P35">
        <v>13944600</v>
      </c>
      <c r="R35" s="273" t="e">
        <f>(O35/O34)*('16. câmbio USD-BRL'!#REF!/'16. câmbio USD-BRL'!#REF!)^-1-1</f>
        <v>#REF!</v>
      </c>
    </row>
    <row r="36" spans="1:18" x14ac:dyDescent="0.2">
      <c r="A36" s="354">
        <v>37561</v>
      </c>
      <c r="B36" t="s">
        <v>1842</v>
      </c>
      <c r="C36" t="s">
        <v>1843</v>
      </c>
      <c r="D36" t="s">
        <v>1844</v>
      </c>
      <c r="E36" t="s">
        <v>1845</v>
      </c>
      <c r="F36" t="s">
        <v>1846</v>
      </c>
      <c r="G36">
        <v>51569550</v>
      </c>
      <c r="J36" s="354">
        <v>36759</v>
      </c>
      <c r="K36">
        <v>2.48</v>
      </c>
      <c r="L36">
        <v>2.5</v>
      </c>
      <c r="M36">
        <v>2.3555549999999998</v>
      </c>
      <c r="N36">
        <v>2.466666</v>
      </c>
      <c r="O36">
        <v>1.830039</v>
      </c>
      <c r="P36">
        <v>10509300</v>
      </c>
      <c r="R36" s="273" t="e">
        <f>(O36/O35)*('16. câmbio USD-BRL'!#REF!/'16. câmbio USD-BRL'!#REF!)^-1-1</f>
        <v>#REF!</v>
      </c>
    </row>
    <row r="37" spans="1:18" x14ac:dyDescent="0.2">
      <c r="A37" s="354">
        <v>37591</v>
      </c>
      <c r="B37" t="s">
        <v>1847</v>
      </c>
      <c r="C37" t="s">
        <v>1848</v>
      </c>
      <c r="D37" t="s">
        <v>1785</v>
      </c>
      <c r="E37" t="s">
        <v>1849</v>
      </c>
      <c r="F37" t="s">
        <v>1850</v>
      </c>
      <c r="G37">
        <v>54315900</v>
      </c>
      <c r="J37" s="354">
        <v>36766</v>
      </c>
      <c r="K37">
        <v>2.466666</v>
      </c>
      <c r="L37">
        <v>2.5333329999999998</v>
      </c>
      <c r="M37">
        <v>2.3333330000000001</v>
      </c>
      <c r="N37">
        <v>2.4444439999999998</v>
      </c>
      <c r="O37">
        <v>1.813553</v>
      </c>
      <c r="P37">
        <v>12572550</v>
      </c>
      <c r="R37" s="273" t="e">
        <f>(O37/O36)*('16. câmbio USD-BRL'!#REF!/'16. câmbio USD-BRL'!#REF!)^-1-1</f>
        <v>#REF!</v>
      </c>
    </row>
    <row r="38" spans="1:18" x14ac:dyDescent="0.2">
      <c r="A38" s="354">
        <v>37622</v>
      </c>
      <c r="B38" t="s">
        <v>1849</v>
      </c>
      <c r="C38" t="s">
        <v>1851</v>
      </c>
      <c r="D38" t="s">
        <v>1849</v>
      </c>
      <c r="E38" t="s">
        <v>1852</v>
      </c>
      <c r="F38" t="s">
        <v>1853</v>
      </c>
      <c r="G38">
        <v>61020450</v>
      </c>
      <c r="J38" s="354">
        <v>36773</v>
      </c>
      <c r="K38">
        <v>2.4444439999999998</v>
      </c>
      <c r="L38">
        <v>2.5955550000000001</v>
      </c>
      <c r="M38">
        <v>2.4444439999999998</v>
      </c>
      <c r="N38">
        <v>2.486666</v>
      </c>
      <c r="O38">
        <v>1.8448770000000001</v>
      </c>
      <c r="P38">
        <v>3924000</v>
      </c>
      <c r="R38" s="273" t="e">
        <f>(O38/O37)*('16. câmbio USD-BRL'!#REF!/'16. câmbio USD-BRL'!#REF!)^-1-1</f>
        <v>#REF!</v>
      </c>
    </row>
    <row r="39" spans="1:18" x14ac:dyDescent="0.2">
      <c r="A39" s="354">
        <v>37653</v>
      </c>
      <c r="B39" t="s">
        <v>1854</v>
      </c>
      <c r="C39" t="s">
        <v>1855</v>
      </c>
      <c r="D39" t="s">
        <v>1856</v>
      </c>
      <c r="E39" t="s">
        <v>1857</v>
      </c>
      <c r="F39" t="s">
        <v>1858</v>
      </c>
      <c r="G39">
        <v>50611500</v>
      </c>
      <c r="J39" s="354">
        <v>36780</v>
      </c>
      <c r="K39">
        <v>2.466666</v>
      </c>
      <c r="L39">
        <v>2.5777770000000002</v>
      </c>
      <c r="M39">
        <v>2.411111</v>
      </c>
      <c r="N39">
        <v>2.411111</v>
      </c>
      <c r="O39">
        <v>1.7888230000000001</v>
      </c>
      <c r="P39">
        <v>6363900</v>
      </c>
      <c r="R39" s="273" t="e">
        <f>(O39/O38)*('16. câmbio USD-BRL'!#REF!/'16. câmbio USD-BRL'!#REF!)^-1-1</f>
        <v>#REF!</v>
      </c>
    </row>
    <row r="40" spans="1:18" x14ac:dyDescent="0.2">
      <c r="A40" s="354">
        <v>37681</v>
      </c>
      <c r="B40" t="s">
        <v>1857</v>
      </c>
      <c r="C40" t="s">
        <v>1859</v>
      </c>
      <c r="D40" t="s">
        <v>1727</v>
      </c>
      <c r="E40" t="s">
        <v>1860</v>
      </c>
      <c r="F40" t="s">
        <v>1861</v>
      </c>
      <c r="G40">
        <v>54715050</v>
      </c>
      <c r="J40" s="354">
        <v>36787</v>
      </c>
      <c r="K40">
        <v>2.411111</v>
      </c>
      <c r="L40">
        <v>2.44</v>
      </c>
      <c r="M40">
        <v>2.2444440000000001</v>
      </c>
      <c r="N40">
        <v>2.3933330000000002</v>
      </c>
      <c r="O40">
        <v>1.7756320000000001</v>
      </c>
      <c r="P40">
        <v>9683100</v>
      </c>
      <c r="R40" s="273" t="e">
        <f>(O40/O39)*('16. câmbio USD-BRL'!#REF!/'16. câmbio USD-BRL'!#REF!)^-1-1</f>
        <v>#REF!</v>
      </c>
    </row>
    <row r="41" spans="1:18" x14ac:dyDescent="0.2">
      <c r="A41" s="354">
        <v>37712</v>
      </c>
      <c r="B41" t="s">
        <v>1862</v>
      </c>
      <c r="C41" t="s">
        <v>1760</v>
      </c>
      <c r="D41" t="s">
        <v>1863</v>
      </c>
      <c r="E41" t="s">
        <v>1864</v>
      </c>
      <c r="F41" t="s">
        <v>1865</v>
      </c>
      <c r="G41">
        <v>101862900</v>
      </c>
      <c r="J41" s="354">
        <v>36794</v>
      </c>
      <c r="K41">
        <v>2.4222220000000001</v>
      </c>
      <c r="L41">
        <v>2.4444439999999998</v>
      </c>
      <c r="M41">
        <v>2.2444440000000001</v>
      </c>
      <c r="N41">
        <v>2.3333330000000001</v>
      </c>
      <c r="O41">
        <v>1.7311179999999999</v>
      </c>
      <c r="P41">
        <v>7089300</v>
      </c>
      <c r="R41" s="273" t="e">
        <f>(O41/O40)*('16. câmbio USD-BRL'!#REF!/'16. câmbio USD-BRL'!#REF!)^-1-1</f>
        <v>#REF!</v>
      </c>
    </row>
    <row r="42" spans="1:18" x14ac:dyDescent="0.2">
      <c r="A42" s="354">
        <v>37742</v>
      </c>
      <c r="B42" t="s">
        <v>1864</v>
      </c>
      <c r="C42" t="s">
        <v>1866</v>
      </c>
      <c r="D42" t="s">
        <v>1867</v>
      </c>
      <c r="E42" t="s">
        <v>1868</v>
      </c>
      <c r="F42" t="s">
        <v>1869</v>
      </c>
      <c r="G42">
        <v>55458450</v>
      </c>
      <c r="J42" s="354">
        <v>36801</v>
      </c>
      <c r="K42">
        <v>2.3333330000000001</v>
      </c>
      <c r="L42">
        <v>2.377777</v>
      </c>
      <c r="M42">
        <v>2.2222219999999999</v>
      </c>
      <c r="N42">
        <v>2.3333330000000001</v>
      </c>
      <c r="O42">
        <v>1.7311179999999999</v>
      </c>
      <c r="P42">
        <v>3464550</v>
      </c>
      <c r="R42" s="273" t="e">
        <f>(O42/O41)*('16. câmbio USD-BRL'!#REF!/'16. câmbio USD-BRL'!#REF!)^-1-1</f>
        <v>#REF!</v>
      </c>
    </row>
    <row r="43" spans="1:18" x14ac:dyDescent="0.2">
      <c r="A43" s="354">
        <v>37773</v>
      </c>
      <c r="B43" t="s">
        <v>1870</v>
      </c>
      <c r="C43" t="s">
        <v>1871</v>
      </c>
      <c r="D43" t="s">
        <v>1712</v>
      </c>
      <c r="E43" t="s">
        <v>1872</v>
      </c>
      <c r="F43" t="s">
        <v>1873</v>
      </c>
      <c r="G43">
        <v>63955800</v>
      </c>
      <c r="J43" s="354">
        <v>36808</v>
      </c>
      <c r="K43">
        <v>2.3111109999999999</v>
      </c>
      <c r="L43">
        <v>2.3333330000000001</v>
      </c>
      <c r="M43">
        <v>2.1333329999999999</v>
      </c>
      <c r="N43">
        <v>2.2111109999999998</v>
      </c>
      <c r="O43">
        <v>1.640441</v>
      </c>
      <c r="P43">
        <v>2443050</v>
      </c>
      <c r="R43" s="273" t="e">
        <f>(O43/O42)*('16. câmbio USD-BRL'!#REF!/'16. câmbio USD-BRL'!#REF!)^-1-1</f>
        <v>#REF!</v>
      </c>
    </row>
    <row r="44" spans="1:18" x14ac:dyDescent="0.2">
      <c r="A44" s="354">
        <v>37803</v>
      </c>
      <c r="B44" t="s">
        <v>1874</v>
      </c>
      <c r="C44" t="s">
        <v>1875</v>
      </c>
      <c r="D44" t="s">
        <v>1876</v>
      </c>
      <c r="E44" t="s">
        <v>1877</v>
      </c>
      <c r="F44" t="s">
        <v>1878</v>
      </c>
      <c r="G44">
        <v>87736050</v>
      </c>
      <c r="J44" s="354">
        <v>36815</v>
      </c>
      <c r="K44">
        <v>2.2444440000000001</v>
      </c>
      <c r="L44">
        <v>2.3111109999999999</v>
      </c>
      <c r="M44">
        <v>2.0333329999999998</v>
      </c>
      <c r="N44">
        <v>2.0688879999999998</v>
      </c>
      <c r="O44">
        <v>1.534924</v>
      </c>
      <c r="P44">
        <v>7666650</v>
      </c>
      <c r="R44" s="273" t="e">
        <f>(O44/O43)*('16. câmbio USD-BRL'!#REF!/'16. câmbio USD-BRL'!#REF!)^-1-1</f>
        <v>#REF!</v>
      </c>
    </row>
    <row r="45" spans="1:18" x14ac:dyDescent="0.2">
      <c r="A45" s="354">
        <v>37834</v>
      </c>
      <c r="B45" t="s">
        <v>1879</v>
      </c>
      <c r="C45" t="s">
        <v>1880</v>
      </c>
      <c r="D45" t="s">
        <v>1881</v>
      </c>
      <c r="E45" t="s">
        <v>1882</v>
      </c>
      <c r="F45" t="s">
        <v>1883</v>
      </c>
      <c r="G45">
        <v>153084600</v>
      </c>
      <c r="J45" s="354">
        <v>36822</v>
      </c>
      <c r="K45">
        <v>2.0466660000000001</v>
      </c>
      <c r="L45">
        <v>2.1755550000000001</v>
      </c>
      <c r="M45">
        <v>1.844444</v>
      </c>
      <c r="N45">
        <v>2.1555550000000001</v>
      </c>
      <c r="O45">
        <v>1.599224</v>
      </c>
      <c r="P45">
        <v>5522850</v>
      </c>
      <c r="R45" s="273" t="e">
        <f>(O45/O44)*('16. câmbio USD-BRL'!#REF!/'16. câmbio USD-BRL'!#REF!)^-1-1</f>
        <v>#REF!</v>
      </c>
    </row>
    <row r="46" spans="1:18" x14ac:dyDescent="0.2">
      <c r="A46" s="354">
        <v>37865</v>
      </c>
      <c r="B46" t="s">
        <v>1884</v>
      </c>
      <c r="C46" t="s">
        <v>1885</v>
      </c>
      <c r="D46" t="s">
        <v>1882</v>
      </c>
      <c r="E46" t="s">
        <v>1886</v>
      </c>
      <c r="F46" t="s">
        <v>1887</v>
      </c>
      <c r="G46">
        <v>86721300</v>
      </c>
      <c r="J46" s="354">
        <v>36829</v>
      </c>
      <c r="K46">
        <v>2.2000000000000002</v>
      </c>
      <c r="L46">
        <v>2.2222219999999999</v>
      </c>
      <c r="M46">
        <v>2.0688879999999998</v>
      </c>
      <c r="N46">
        <v>2.0888879999999999</v>
      </c>
      <c r="O46">
        <v>1.5497620000000001</v>
      </c>
      <c r="P46">
        <v>5693850</v>
      </c>
      <c r="R46" s="273" t="e">
        <f>(O46/O45)*('16. câmbio USD-BRL'!#REF!/'16. câmbio USD-BRL'!#REF!)^-1-1</f>
        <v>#REF!</v>
      </c>
    </row>
    <row r="47" spans="1:18" x14ac:dyDescent="0.2">
      <c r="A47" s="354">
        <v>37895</v>
      </c>
      <c r="B47" t="s">
        <v>1885</v>
      </c>
      <c r="C47" t="s">
        <v>1888</v>
      </c>
      <c r="D47" t="s">
        <v>1885</v>
      </c>
      <c r="E47" t="s">
        <v>1889</v>
      </c>
      <c r="F47" t="s">
        <v>1890</v>
      </c>
      <c r="G47">
        <v>114054750</v>
      </c>
      <c r="J47" s="354">
        <v>36836</v>
      </c>
      <c r="K47">
        <v>2.1111110000000002</v>
      </c>
      <c r="L47">
        <v>2.2444440000000001</v>
      </c>
      <c r="M47">
        <v>2.0066660000000001</v>
      </c>
      <c r="N47">
        <v>2.06</v>
      </c>
      <c r="O47">
        <v>1.52833</v>
      </c>
      <c r="P47">
        <v>5133600</v>
      </c>
      <c r="R47" s="273" t="e">
        <f>(O47/O46)*('16. câmbio USD-BRL'!#REF!/'16. câmbio USD-BRL'!#REF!)^-1-1</f>
        <v>#REF!</v>
      </c>
    </row>
    <row r="48" spans="1:18" x14ac:dyDescent="0.2">
      <c r="A48" s="354">
        <v>37926</v>
      </c>
      <c r="B48" t="s">
        <v>1891</v>
      </c>
      <c r="C48" t="s">
        <v>1892</v>
      </c>
      <c r="D48" t="s">
        <v>1893</v>
      </c>
      <c r="E48" t="s">
        <v>1894</v>
      </c>
      <c r="F48" t="s">
        <v>1895</v>
      </c>
      <c r="G48">
        <v>61765650</v>
      </c>
      <c r="J48" s="354">
        <v>36843</v>
      </c>
      <c r="K48">
        <v>2.0666660000000001</v>
      </c>
      <c r="L48">
        <v>2.0888879999999999</v>
      </c>
      <c r="M48">
        <v>1.911111</v>
      </c>
      <c r="N48">
        <v>2</v>
      </c>
      <c r="O48">
        <v>1.483816</v>
      </c>
      <c r="P48">
        <v>2987550</v>
      </c>
      <c r="R48" s="273" t="e">
        <f>(O48/O47)*('16. câmbio USD-BRL'!#REF!/'16. câmbio USD-BRL'!#REF!)^-1-1</f>
        <v>#REF!</v>
      </c>
    </row>
    <row r="49" spans="1:18" x14ac:dyDescent="0.2">
      <c r="A49" s="354">
        <v>37956</v>
      </c>
      <c r="B49" t="s">
        <v>1896</v>
      </c>
      <c r="C49" t="s">
        <v>1897</v>
      </c>
      <c r="D49" t="s">
        <v>1898</v>
      </c>
      <c r="E49" t="s">
        <v>1899</v>
      </c>
      <c r="F49" t="s">
        <v>1900</v>
      </c>
      <c r="G49">
        <v>65366550</v>
      </c>
      <c r="J49" s="354">
        <v>36850</v>
      </c>
      <c r="K49">
        <v>2</v>
      </c>
      <c r="L49">
        <v>2.1266660000000002</v>
      </c>
      <c r="M49">
        <v>1.98</v>
      </c>
      <c r="N49">
        <v>2.0888879999999999</v>
      </c>
      <c r="O49">
        <v>1.5497620000000001</v>
      </c>
      <c r="P49">
        <v>8580150</v>
      </c>
      <c r="R49" s="273" t="e">
        <f>(O49/O48)*('16. câmbio USD-BRL'!#REF!/'16. câmbio USD-BRL'!#REF!)^-1-1</f>
        <v>#REF!</v>
      </c>
    </row>
    <row r="50" spans="1:18" x14ac:dyDescent="0.2">
      <c r="A50" s="354">
        <v>37987</v>
      </c>
      <c r="B50" t="s">
        <v>1899</v>
      </c>
      <c r="C50" t="s">
        <v>1901</v>
      </c>
      <c r="D50" t="s">
        <v>1902</v>
      </c>
      <c r="E50" t="s">
        <v>1903</v>
      </c>
      <c r="F50" t="s">
        <v>1904</v>
      </c>
      <c r="G50">
        <v>84223800</v>
      </c>
      <c r="J50" s="354">
        <v>36857</v>
      </c>
      <c r="K50">
        <v>2.0777770000000002</v>
      </c>
      <c r="L50">
        <v>2.1</v>
      </c>
      <c r="M50">
        <v>1.7777769999999999</v>
      </c>
      <c r="N50">
        <v>1.8044439999999999</v>
      </c>
      <c r="O50">
        <v>1.338732</v>
      </c>
      <c r="P50">
        <v>5566050</v>
      </c>
      <c r="R50" s="273" t="e">
        <f>(O50/O49)*('16. câmbio USD-BRL'!#REF!/'16. câmbio USD-BRL'!#REF!)^-1-1</f>
        <v>#REF!</v>
      </c>
    </row>
    <row r="51" spans="1:18" x14ac:dyDescent="0.2">
      <c r="A51" s="354">
        <v>38018</v>
      </c>
      <c r="B51" t="s">
        <v>1905</v>
      </c>
      <c r="C51" t="s">
        <v>1906</v>
      </c>
      <c r="D51" t="s">
        <v>1907</v>
      </c>
      <c r="E51" t="s">
        <v>1908</v>
      </c>
      <c r="F51" t="s">
        <v>1909</v>
      </c>
      <c r="G51">
        <v>81022500</v>
      </c>
      <c r="J51" s="354">
        <v>36864</v>
      </c>
      <c r="K51">
        <v>1.8111109999999999</v>
      </c>
      <c r="L51">
        <v>2.0444439999999999</v>
      </c>
      <c r="M51">
        <v>1.755555</v>
      </c>
      <c r="N51">
        <v>2.0222220000000002</v>
      </c>
      <c r="O51">
        <v>1.5003029999999999</v>
      </c>
      <c r="P51">
        <v>9890550</v>
      </c>
      <c r="R51" s="273" t="e">
        <f>(O51/O50)*('16. câmbio USD-BRL'!#REF!/'16. câmbio USD-BRL'!#REF!)^-1-1</f>
        <v>#REF!</v>
      </c>
    </row>
    <row r="52" spans="1:18" x14ac:dyDescent="0.2">
      <c r="A52" s="354">
        <v>38047</v>
      </c>
      <c r="B52" t="s">
        <v>1897</v>
      </c>
      <c r="C52" t="s">
        <v>1910</v>
      </c>
      <c r="D52" t="s">
        <v>1911</v>
      </c>
      <c r="E52" t="s">
        <v>1912</v>
      </c>
      <c r="F52" t="s">
        <v>1913</v>
      </c>
      <c r="G52">
        <v>90505800</v>
      </c>
      <c r="J52" s="354">
        <v>36871</v>
      </c>
      <c r="K52">
        <v>2.0333329999999998</v>
      </c>
      <c r="L52">
        <v>2.0977769999999998</v>
      </c>
      <c r="M52">
        <v>1.9555549999999999</v>
      </c>
      <c r="N52">
        <v>1.9555549999999999</v>
      </c>
      <c r="O52">
        <v>1.450842</v>
      </c>
      <c r="P52">
        <v>6701400</v>
      </c>
      <c r="R52" s="273" t="e">
        <f>(O52/O51)*('16. câmbio USD-BRL'!#REF!/'16. câmbio USD-BRL'!#REF!)^-1-1</f>
        <v>#REF!</v>
      </c>
    </row>
    <row r="53" spans="1:18" x14ac:dyDescent="0.2">
      <c r="A53" s="354">
        <v>38078</v>
      </c>
      <c r="B53" t="s">
        <v>1914</v>
      </c>
      <c r="C53" t="s">
        <v>1915</v>
      </c>
      <c r="D53" t="s">
        <v>1916</v>
      </c>
      <c r="E53" t="s">
        <v>1917</v>
      </c>
      <c r="F53" t="s">
        <v>1918</v>
      </c>
      <c r="G53">
        <v>90188550</v>
      </c>
      <c r="J53" s="354">
        <v>36878</v>
      </c>
      <c r="K53">
        <v>2.0422220000000002</v>
      </c>
      <c r="L53">
        <v>2.1</v>
      </c>
      <c r="M53">
        <v>1.877777</v>
      </c>
      <c r="N53">
        <v>1.8822220000000001</v>
      </c>
      <c r="O53">
        <v>1.396436</v>
      </c>
      <c r="P53">
        <v>5360400</v>
      </c>
      <c r="R53" s="273" t="e">
        <f>(O53/O52)*('16. câmbio USD-BRL'!#REF!/'16. câmbio USD-BRL'!#REF!)^-1-1</f>
        <v>#REF!</v>
      </c>
    </row>
    <row r="54" spans="1:18" x14ac:dyDescent="0.2">
      <c r="A54" s="354">
        <v>38108</v>
      </c>
      <c r="B54" t="s">
        <v>1917</v>
      </c>
      <c r="C54" t="s">
        <v>1919</v>
      </c>
      <c r="D54" t="s">
        <v>1920</v>
      </c>
      <c r="E54" t="s">
        <v>1921</v>
      </c>
      <c r="F54" t="s">
        <v>1922</v>
      </c>
      <c r="G54">
        <v>122454900</v>
      </c>
      <c r="J54" s="354">
        <v>36885</v>
      </c>
      <c r="K54">
        <v>1.8822220000000001</v>
      </c>
      <c r="L54">
        <v>2.0333329999999998</v>
      </c>
      <c r="M54">
        <v>1.8666659999999999</v>
      </c>
      <c r="N54">
        <v>1.951111</v>
      </c>
      <c r="O54">
        <v>1.4475450000000001</v>
      </c>
      <c r="P54">
        <v>2847600</v>
      </c>
      <c r="R54" s="273" t="e">
        <f>(O54/O53)*('16. câmbio USD-BRL'!#REF!/'16. câmbio USD-BRL'!#REF!)^-1-1</f>
        <v>#REF!</v>
      </c>
    </row>
    <row r="55" spans="1:18" x14ac:dyDescent="0.2">
      <c r="A55" s="354">
        <v>38139</v>
      </c>
      <c r="B55" t="s">
        <v>1923</v>
      </c>
      <c r="C55" t="s">
        <v>1924</v>
      </c>
      <c r="D55" t="s">
        <v>1925</v>
      </c>
      <c r="E55" t="s">
        <v>1926</v>
      </c>
      <c r="F55" t="s">
        <v>1927</v>
      </c>
      <c r="G55">
        <v>102439800</v>
      </c>
      <c r="J55" s="354">
        <v>36892</v>
      </c>
      <c r="K55">
        <v>1.951111</v>
      </c>
      <c r="L55">
        <v>2.3555549999999998</v>
      </c>
      <c r="M55">
        <v>1.933333</v>
      </c>
      <c r="N55">
        <v>2.2000000000000002</v>
      </c>
      <c r="O55">
        <v>1.632198</v>
      </c>
      <c r="P55">
        <v>6249150</v>
      </c>
      <c r="R55" s="273" t="e">
        <f>(O55/O54)*('16. câmbio USD-BRL'!#REF!/'16. câmbio USD-BRL'!#REF!)^-1-1</f>
        <v>#REF!</v>
      </c>
    </row>
    <row r="56" spans="1:18" x14ac:dyDescent="0.2">
      <c r="A56" s="354">
        <v>38169</v>
      </c>
      <c r="B56" t="s">
        <v>1928</v>
      </c>
      <c r="C56" t="s">
        <v>1929</v>
      </c>
      <c r="D56" t="s">
        <v>1930</v>
      </c>
      <c r="E56" t="s">
        <v>1931</v>
      </c>
      <c r="F56" t="s">
        <v>1932</v>
      </c>
      <c r="G56">
        <v>109065150</v>
      </c>
      <c r="J56" s="354">
        <v>36899</v>
      </c>
      <c r="K56">
        <v>2.2111109999999998</v>
      </c>
      <c r="L56">
        <v>2.3333330000000001</v>
      </c>
      <c r="M56">
        <v>2.16</v>
      </c>
      <c r="N56">
        <v>2.2599999999999998</v>
      </c>
      <c r="O56">
        <v>1.676712</v>
      </c>
      <c r="P56">
        <v>8577900</v>
      </c>
      <c r="R56" s="273" t="e">
        <f>(O56/O55)*('16. câmbio USD-BRL'!#REF!/'16. câmbio USD-BRL'!#REF!)^-1-1</f>
        <v>#REF!</v>
      </c>
    </row>
    <row r="57" spans="1:18" x14ac:dyDescent="0.2">
      <c r="A57" s="354">
        <v>38200</v>
      </c>
      <c r="B57" t="s">
        <v>1933</v>
      </c>
      <c r="C57" t="s">
        <v>1934</v>
      </c>
      <c r="D57" t="s">
        <v>1935</v>
      </c>
      <c r="E57" t="s">
        <v>1936</v>
      </c>
      <c r="F57" t="s">
        <v>1937</v>
      </c>
      <c r="G57">
        <v>107212050</v>
      </c>
      <c r="J57" s="354">
        <v>36906</v>
      </c>
      <c r="K57">
        <v>2.2599999999999998</v>
      </c>
      <c r="L57">
        <v>2.5088879999999998</v>
      </c>
      <c r="M57">
        <v>2.2555550000000002</v>
      </c>
      <c r="N57">
        <v>2.406666</v>
      </c>
      <c r="O57">
        <v>1.785525</v>
      </c>
      <c r="P57">
        <v>6210900</v>
      </c>
      <c r="R57" s="273" t="e">
        <f>(O57/O56)*('16. câmbio USD-BRL'!#REF!/'16. câmbio USD-BRL'!#REF!)^-1-1</f>
        <v>#REF!</v>
      </c>
    </row>
    <row r="58" spans="1:18" x14ac:dyDescent="0.2">
      <c r="A58" s="354">
        <v>38231</v>
      </c>
      <c r="B58" t="s">
        <v>1938</v>
      </c>
      <c r="C58" t="s">
        <v>1939</v>
      </c>
      <c r="D58" t="s">
        <v>1940</v>
      </c>
      <c r="E58" t="s">
        <v>1941</v>
      </c>
      <c r="F58" t="s">
        <v>1942</v>
      </c>
      <c r="G58">
        <v>77772150</v>
      </c>
      <c r="J58" s="354">
        <v>36913</v>
      </c>
      <c r="K58">
        <v>2.411111</v>
      </c>
      <c r="L58">
        <v>2.5777770000000002</v>
      </c>
      <c r="M58">
        <v>2.4</v>
      </c>
      <c r="N58">
        <v>2.5777770000000002</v>
      </c>
      <c r="O58">
        <v>1.9124730000000001</v>
      </c>
      <c r="P58">
        <v>11963700</v>
      </c>
      <c r="R58" s="273" t="e">
        <f>(O58/O57)*('16. câmbio USD-BRL'!#REF!/'16. câmbio USD-BRL'!#REF!)^-1-1</f>
        <v>#REF!</v>
      </c>
    </row>
    <row r="59" spans="1:18" x14ac:dyDescent="0.2">
      <c r="A59" s="354">
        <v>38261</v>
      </c>
      <c r="B59" t="s">
        <v>1943</v>
      </c>
      <c r="C59" t="s">
        <v>1944</v>
      </c>
      <c r="D59" t="s">
        <v>1945</v>
      </c>
      <c r="E59" t="s">
        <v>1946</v>
      </c>
      <c r="F59" t="s">
        <v>1947</v>
      </c>
      <c r="G59">
        <v>108261900</v>
      </c>
      <c r="J59" s="354">
        <v>36920</v>
      </c>
      <c r="K59">
        <v>2.6222219999999998</v>
      </c>
      <c r="L59">
        <v>2.6666660000000002</v>
      </c>
      <c r="M59">
        <v>2.4777770000000001</v>
      </c>
      <c r="N59">
        <v>2.4888880000000002</v>
      </c>
      <c r="O59">
        <v>1.8465259999999999</v>
      </c>
      <c r="P59">
        <v>17352450</v>
      </c>
      <c r="R59" s="273" t="e">
        <f>(O59/O58)*('16. câmbio USD-BRL'!#REF!/'16. câmbio USD-BRL'!#REF!)^-1-1</f>
        <v>#REF!</v>
      </c>
    </row>
    <row r="60" spans="1:18" x14ac:dyDescent="0.2">
      <c r="A60" s="354">
        <v>38292</v>
      </c>
      <c r="B60" t="s">
        <v>1948</v>
      </c>
      <c r="C60" t="s">
        <v>1949</v>
      </c>
      <c r="D60" t="s">
        <v>1950</v>
      </c>
      <c r="E60" t="s">
        <v>1949</v>
      </c>
      <c r="F60" t="s">
        <v>1951</v>
      </c>
      <c r="G60">
        <v>93109950</v>
      </c>
      <c r="J60" s="354">
        <v>36927</v>
      </c>
      <c r="K60">
        <v>2.4888880000000002</v>
      </c>
      <c r="L60">
        <v>2.6222219999999998</v>
      </c>
      <c r="M60">
        <v>2.4422220000000001</v>
      </c>
      <c r="N60">
        <v>2.4888880000000002</v>
      </c>
      <c r="O60">
        <v>1.8465259999999999</v>
      </c>
      <c r="P60">
        <v>9301500</v>
      </c>
      <c r="R60" s="273" t="e">
        <f>(O60/O59)*('16. câmbio USD-BRL'!#REF!/'16. câmbio USD-BRL'!#REF!)^-1-1</f>
        <v>#REF!</v>
      </c>
    </row>
    <row r="61" spans="1:18" x14ac:dyDescent="0.2">
      <c r="A61" s="354">
        <v>38322</v>
      </c>
      <c r="B61" t="s">
        <v>1952</v>
      </c>
      <c r="C61" t="s">
        <v>1953</v>
      </c>
      <c r="D61" t="s">
        <v>1954</v>
      </c>
      <c r="E61" t="s">
        <v>1955</v>
      </c>
      <c r="F61" t="s">
        <v>1956</v>
      </c>
      <c r="G61">
        <v>79426350</v>
      </c>
      <c r="J61" s="354">
        <v>36934</v>
      </c>
      <c r="K61">
        <v>2.5022220000000002</v>
      </c>
      <c r="L61">
        <v>2.6222219999999998</v>
      </c>
      <c r="M61">
        <v>2.3333330000000001</v>
      </c>
      <c r="N61">
        <v>2.4888880000000002</v>
      </c>
      <c r="O61">
        <v>1.8465259999999999</v>
      </c>
      <c r="P61">
        <v>6970050</v>
      </c>
      <c r="R61" s="273" t="e">
        <f>(O61/O60)*('16. câmbio USD-BRL'!#REF!/'16. câmbio USD-BRL'!#REF!)^-1-1</f>
        <v>#REF!</v>
      </c>
    </row>
    <row r="62" spans="1:18" x14ac:dyDescent="0.2">
      <c r="A62" s="354">
        <v>38353</v>
      </c>
      <c r="B62" t="s">
        <v>1957</v>
      </c>
      <c r="C62" t="s">
        <v>1958</v>
      </c>
      <c r="D62" t="s">
        <v>1959</v>
      </c>
      <c r="E62" t="s">
        <v>1960</v>
      </c>
      <c r="F62" t="s">
        <v>1961</v>
      </c>
      <c r="G62">
        <v>85964400</v>
      </c>
      <c r="J62" s="354">
        <v>36941</v>
      </c>
      <c r="K62">
        <v>2.4888880000000002</v>
      </c>
      <c r="L62">
        <v>2.5333329999999998</v>
      </c>
      <c r="M62">
        <v>2.3111109999999999</v>
      </c>
      <c r="N62">
        <v>2.4888880000000002</v>
      </c>
      <c r="O62">
        <v>1.8465259999999999</v>
      </c>
      <c r="P62">
        <v>5352300</v>
      </c>
      <c r="R62" s="273" t="e">
        <f>(O62/O61)*('16. câmbio USD-BRL'!#REF!/'16. câmbio USD-BRL'!#REF!)^-1-1</f>
        <v>#REF!</v>
      </c>
    </row>
    <row r="63" spans="1:18" x14ac:dyDescent="0.2">
      <c r="A63" s="354">
        <v>38384</v>
      </c>
      <c r="B63" t="s">
        <v>1962</v>
      </c>
      <c r="C63" t="s">
        <v>1963</v>
      </c>
      <c r="D63" t="s">
        <v>1964</v>
      </c>
      <c r="E63" t="s">
        <v>1965</v>
      </c>
      <c r="F63" t="s">
        <v>1966</v>
      </c>
      <c r="G63">
        <v>91476900</v>
      </c>
      <c r="J63" s="354">
        <v>36948</v>
      </c>
      <c r="K63">
        <v>2.4888880000000002</v>
      </c>
      <c r="L63">
        <v>2.4888880000000002</v>
      </c>
      <c r="M63">
        <v>2.3111109999999999</v>
      </c>
      <c r="N63">
        <v>2.42</v>
      </c>
      <c r="O63">
        <v>1.795417</v>
      </c>
      <c r="P63">
        <v>4002750</v>
      </c>
      <c r="R63" s="273" t="e">
        <f>(O63/O62)*('16. câmbio USD-BRL'!#REF!/'16. câmbio USD-BRL'!#REF!)^-1-1</f>
        <v>#REF!</v>
      </c>
    </row>
    <row r="64" spans="1:18" x14ac:dyDescent="0.2">
      <c r="A64" s="354">
        <v>38412</v>
      </c>
      <c r="B64" t="s">
        <v>1967</v>
      </c>
      <c r="C64" t="s">
        <v>1968</v>
      </c>
      <c r="D64" t="s">
        <v>1969</v>
      </c>
      <c r="E64" t="s">
        <v>1970</v>
      </c>
      <c r="F64" t="s">
        <v>1971</v>
      </c>
      <c r="G64">
        <v>114625800</v>
      </c>
      <c r="J64" s="354">
        <v>36955</v>
      </c>
      <c r="K64">
        <v>2.4888880000000002</v>
      </c>
      <c r="L64">
        <v>2.5533329999999999</v>
      </c>
      <c r="M64">
        <v>2.38</v>
      </c>
      <c r="N64">
        <v>2.4444439999999998</v>
      </c>
      <c r="O64">
        <v>1.813553</v>
      </c>
      <c r="P64">
        <v>13360950</v>
      </c>
      <c r="R64" s="273" t="e">
        <f>(O64/O63)*('16. câmbio USD-BRL'!#REF!/'16. câmbio USD-BRL'!#REF!)^-1-1</f>
        <v>#REF!</v>
      </c>
    </row>
    <row r="65" spans="1:18" x14ac:dyDescent="0.2">
      <c r="A65" s="354">
        <v>38443</v>
      </c>
      <c r="B65" t="s">
        <v>1972</v>
      </c>
      <c r="C65" t="s">
        <v>1973</v>
      </c>
      <c r="D65" t="s">
        <v>1974</v>
      </c>
      <c r="E65" t="s">
        <v>1975</v>
      </c>
      <c r="F65" t="s">
        <v>1976</v>
      </c>
      <c r="G65">
        <v>112255650</v>
      </c>
      <c r="J65" s="354">
        <v>36962</v>
      </c>
      <c r="K65">
        <v>2.4</v>
      </c>
      <c r="L65">
        <v>2.4777770000000001</v>
      </c>
      <c r="M65">
        <v>2.2000000000000002</v>
      </c>
      <c r="N65">
        <v>2.2444440000000001</v>
      </c>
      <c r="O65">
        <v>1.665171</v>
      </c>
      <c r="P65">
        <v>14124600</v>
      </c>
      <c r="R65" s="273" t="e">
        <f>(O65/O64)*('16. câmbio USD-BRL'!#REF!/'16. câmbio USD-BRL'!#REF!)^-1-1</f>
        <v>#REF!</v>
      </c>
    </row>
    <row r="66" spans="1:18" x14ac:dyDescent="0.2">
      <c r="A66" s="354">
        <v>38473</v>
      </c>
      <c r="B66" t="s">
        <v>1977</v>
      </c>
      <c r="C66" t="s">
        <v>1952</v>
      </c>
      <c r="D66" t="s">
        <v>1978</v>
      </c>
      <c r="E66" t="s">
        <v>1979</v>
      </c>
      <c r="F66" t="s">
        <v>1980</v>
      </c>
      <c r="G66">
        <v>146090250</v>
      </c>
      <c r="J66" s="354">
        <v>36969</v>
      </c>
      <c r="K66">
        <v>2.288888</v>
      </c>
      <c r="L66">
        <v>2.2999999999999998</v>
      </c>
      <c r="M66">
        <v>1.857777</v>
      </c>
      <c r="N66">
        <v>1.948888</v>
      </c>
      <c r="O66">
        <v>1.4458949999999999</v>
      </c>
      <c r="P66">
        <v>15456150</v>
      </c>
      <c r="R66" s="273" t="e">
        <f>(O66/O65)*('16. câmbio USD-BRL'!#REF!/'16. câmbio USD-BRL'!#REF!)^-1-1</f>
        <v>#REF!</v>
      </c>
    </row>
    <row r="67" spans="1:18" x14ac:dyDescent="0.2">
      <c r="A67" s="354">
        <v>38504</v>
      </c>
      <c r="B67" t="s">
        <v>1981</v>
      </c>
      <c r="C67" t="s">
        <v>1982</v>
      </c>
      <c r="D67" t="s">
        <v>1983</v>
      </c>
      <c r="E67" t="s">
        <v>1984</v>
      </c>
      <c r="F67" t="s">
        <v>1985</v>
      </c>
      <c r="G67">
        <v>132326100</v>
      </c>
      <c r="J67" s="354">
        <v>36976</v>
      </c>
      <c r="K67">
        <v>1.995555</v>
      </c>
      <c r="L67">
        <v>2.1111110000000002</v>
      </c>
      <c r="M67">
        <v>1.8888879999999999</v>
      </c>
      <c r="N67">
        <v>1.9088879999999999</v>
      </c>
      <c r="O67">
        <v>1.4162189999999999</v>
      </c>
      <c r="P67">
        <v>13820850</v>
      </c>
      <c r="R67" s="273" t="e">
        <f>(O67/O66)*('16. câmbio USD-BRL'!#REF!/'16. câmbio USD-BRL'!#REF!)^-1-1</f>
        <v>#REF!</v>
      </c>
    </row>
    <row r="68" spans="1:18" x14ac:dyDescent="0.2">
      <c r="A68" s="354">
        <v>38534</v>
      </c>
      <c r="B68" t="s">
        <v>1986</v>
      </c>
      <c r="C68" t="s">
        <v>1987</v>
      </c>
      <c r="D68" t="s">
        <v>1988</v>
      </c>
      <c r="E68" t="s">
        <v>1989</v>
      </c>
      <c r="F68" t="s">
        <v>1990</v>
      </c>
      <c r="G68">
        <v>178516350</v>
      </c>
      <c r="J68" s="354">
        <v>36983</v>
      </c>
      <c r="K68">
        <v>1.8755550000000001</v>
      </c>
      <c r="L68">
        <v>2.1</v>
      </c>
      <c r="M68">
        <v>1.822222</v>
      </c>
      <c r="N68">
        <v>2.0866660000000001</v>
      </c>
      <c r="O68">
        <v>1.548114</v>
      </c>
      <c r="P68">
        <v>5422050</v>
      </c>
      <c r="R68" s="273" t="e">
        <f>(O68/O67)*('16. câmbio USD-BRL'!#REF!/'16. câmbio USD-BRL'!#REF!)^-1-1</f>
        <v>#REF!</v>
      </c>
    </row>
    <row r="69" spans="1:18" x14ac:dyDescent="0.2">
      <c r="A69" s="354">
        <v>38565</v>
      </c>
      <c r="B69" t="s">
        <v>1991</v>
      </c>
      <c r="C69" t="s">
        <v>1992</v>
      </c>
      <c r="D69" t="s">
        <v>1993</v>
      </c>
      <c r="E69" t="s">
        <v>1994</v>
      </c>
      <c r="F69" t="s">
        <v>1995</v>
      </c>
      <c r="G69">
        <v>155896200</v>
      </c>
      <c r="J69" s="354">
        <v>36990</v>
      </c>
      <c r="K69">
        <v>2.0866660000000001</v>
      </c>
      <c r="L69">
        <v>2.1511110000000002</v>
      </c>
      <c r="M69">
        <v>1.9777769999999999</v>
      </c>
      <c r="N69">
        <v>2.02</v>
      </c>
      <c r="O69">
        <v>1.4986539999999999</v>
      </c>
      <c r="P69">
        <v>9458100</v>
      </c>
      <c r="R69" s="273" t="e">
        <f>(O69/O68)*('16. câmbio USD-BRL'!#REF!/'16. câmbio USD-BRL'!#REF!)^-1-1</f>
        <v>#REF!</v>
      </c>
    </row>
    <row r="70" spans="1:18" x14ac:dyDescent="0.2">
      <c r="A70" s="354">
        <v>38596</v>
      </c>
      <c r="B70" t="s">
        <v>1996</v>
      </c>
      <c r="C70" t="s">
        <v>1997</v>
      </c>
      <c r="D70" t="s">
        <v>1998</v>
      </c>
      <c r="E70" t="s">
        <v>1999</v>
      </c>
      <c r="F70" t="s">
        <v>2000</v>
      </c>
      <c r="G70">
        <v>117171900</v>
      </c>
      <c r="J70" s="354">
        <v>36997</v>
      </c>
      <c r="K70">
        <v>1.9444440000000001</v>
      </c>
      <c r="L70">
        <v>2.1</v>
      </c>
      <c r="M70">
        <v>1.8888879999999999</v>
      </c>
      <c r="N70">
        <v>1.9</v>
      </c>
      <c r="O70">
        <v>1.4096249999999999</v>
      </c>
      <c r="P70">
        <v>7786350</v>
      </c>
      <c r="R70" s="273" t="e">
        <f>(O70/O69)*('16. câmbio USD-BRL'!#REF!/'16. câmbio USD-BRL'!#REF!)^-1-1</f>
        <v>#REF!</v>
      </c>
    </row>
    <row r="71" spans="1:18" x14ac:dyDescent="0.2">
      <c r="A71" s="354">
        <v>38626</v>
      </c>
      <c r="B71" t="s">
        <v>1999</v>
      </c>
      <c r="C71" t="s">
        <v>2001</v>
      </c>
      <c r="D71" t="s">
        <v>2002</v>
      </c>
      <c r="E71" t="s">
        <v>2003</v>
      </c>
      <c r="F71" t="s">
        <v>2004</v>
      </c>
      <c r="G71">
        <v>134231400</v>
      </c>
      <c r="J71" s="354">
        <v>37004</v>
      </c>
      <c r="K71">
        <v>1.933333</v>
      </c>
      <c r="L71">
        <v>1.9777769999999999</v>
      </c>
      <c r="M71">
        <v>1.8111109999999999</v>
      </c>
      <c r="N71">
        <v>1.968888</v>
      </c>
      <c r="O71">
        <v>1.460734</v>
      </c>
      <c r="P71">
        <v>11801700</v>
      </c>
      <c r="R71" s="273" t="e">
        <f>(O71/O70)*('16. câmbio USD-BRL'!#REF!/'16. câmbio USD-BRL'!#REF!)^-1-1</f>
        <v>#REF!</v>
      </c>
    </row>
    <row r="72" spans="1:18" x14ac:dyDescent="0.2">
      <c r="A72" s="354">
        <v>38657</v>
      </c>
      <c r="B72" t="s">
        <v>2005</v>
      </c>
      <c r="C72" t="s">
        <v>2006</v>
      </c>
      <c r="D72" t="s">
        <v>2007</v>
      </c>
      <c r="E72" t="s">
        <v>2006</v>
      </c>
      <c r="F72" t="s">
        <v>2008</v>
      </c>
      <c r="G72">
        <v>94970700</v>
      </c>
      <c r="J72" s="354">
        <v>37011</v>
      </c>
      <c r="K72">
        <v>1.9777769999999999</v>
      </c>
      <c r="L72">
        <v>2.0111110000000001</v>
      </c>
      <c r="M72">
        <v>1.8888879999999999</v>
      </c>
      <c r="N72">
        <v>1.9555549999999999</v>
      </c>
      <c r="O72">
        <v>1.450842</v>
      </c>
      <c r="P72">
        <v>4320900</v>
      </c>
      <c r="R72" s="273" t="e">
        <f>(O72/O71)*('16. câmbio USD-BRL'!#REF!/'16. câmbio USD-BRL'!#REF!)^-1-1</f>
        <v>#REF!</v>
      </c>
    </row>
    <row r="73" spans="1:18" x14ac:dyDescent="0.2">
      <c r="A73" s="354">
        <v>38687</v>
      </c>
      <c r="B73" t="s">
        <v>2009</v>
      </c>
      <c r="C73" t="s">
        <v>2010</v>
      </c>
      <c r="D73" t="s">
        <v>2011</v>
      </c>
      <c r="E73" t="s">
        <v>2012</v>
      </c>
      <c r="F73" t="s">
        <v>2013</v>
      </c>
      <c r="G73">
        <v>71260650</v>
      </c>
      <c r="J73" s="354">
        <v>37018</v>
      </c>
      <c r="K73">
        <v>1.98</v>
      </c>
      <c r="L73">
        <v>1.98</v>
      </c>
      <c r="M73">
        <v>1.535555</v>
      </c>
      <c r="N73">
        <v>1.555555</v>
      </c>
      <c r="O73">
        <v>1.1540790000000001</v>
      </c>
      <c r="P73">
        <v>20758050</v>
      </c>
      <c r="R73" s="273" t="e">
        <f>(O73/O72)*('16. câmbio USD-BRL'!#REF!/'16. câmbio USD-BRL'!#REF!)^-1-1</f>
        <v>#REF!</v>
      </c>
    </row>
    <row r="74" spans="1:18" x14ac:dyDescent="0.2">
      <c r="A74" s="354">
        <v>38718</v>
      </c>
      <c r="B74" t="s">
        <v>2014</v>
      </c>
      <c r="C74" t="s">
        <v>2015</v>
      </c>
      <c r="D74" t="s">
        <v>2016</v>
      </c>
      <c r="E74" t="s">
        <v>2017</v>
      </c>
      <c r="F74" t="s">
        <v>2018</v>
      </c>
      <c r="G74">
        <v>108386100</v>
      </c>
      <c r="J74" s="354">
        <v>37025</v>
      </c>
      <c r="K74">
        <v>1.5666659999999999</v>
      </c>
      <c r="L74">
        <v>1.611111</v>
      </c>
      <c r="M74">
        <v>1.451111</v>
      </c>
      <c r="N74">
        <v>1.5444439999999999</v>
      </c>
      <c r="O74">
        <v>1.1458349999999999</v>
      </c>
      <c r="P74">
        <v>13743000</v>
      </c>
      <c r="R74" s="273" t="e">
        <f>(O74/O73)*('16. câmbio USD-BRL'!#REF!/'16. câmbio USD-BRL'!#REF!)^-1-1</f>
        <v>#REF!</v>
      </c>
    </row>
    <row r="75" spans="1:18" x14ac:dyDescent="0.2">
      <c r="A75" s="354">
        <v>38749</v>
      </c>
      <c r="B75" t="s">
        <v>2019</v>
      </c>
      <c r="C75" t="s">
        <v>2020</v>
      </c>
      <c r="D75" t="s">
        <v>2021</v>
      </c>
      <c r="E75" t="s">
        <v>2022</v>
      </c>
      <c r="F75" t="s">
        <v>2023</v>
      </c>
      <c r="G75">
        <v>93489750</v>
      </c>
      <c r="J75" s="354">
        <v>37032</v>
      </c>
      <c r="K75">
        <v>1.5444439999999999</v>
      </c>
      <c r="L75">
        <v>1.5444439999999999</v>
      </c>
      <c r="M75">
        <v>1.3044439999999999</v>
      </c>
      <c r="N75">
        <v>1.322222</v>
      </c>
      <c r="O75">
        <v>0.98096700000000003</v>
      </c>
      <c r="P75">
        <v>23338800</v>
      </c>
      <c r="R75" s="273" t="e">
        <f>(O75/O74)*('16. câmbio USD-BRL'!#REF!/'16. câmbio USD-BRL'!#REF!)^-1-1</f>
        <v>#REF!</v>
      </c>
    </row>
    <row r="76" spans="1:18" x14ac:dyDescent="0.2">
      <c r="A76" s="354">
        <v>38777</v>
      </c>
      <c r="B76" t="s">
        <v>2024</v>
      </c>
      <c r="C76" t="s">
        <v>2025</v>
      </c>
      <c r="D76" t="s">
        <v>2026</v>
      </c>
      <c r="E76" t="s">
        <v>2027</v>
      </c>
      <c r="F76" t="s">
        <v>2028</v>
      </c>
      <c r="G76">
        <v>112740750</v>
      </c>
      <c r="J76" s="354">
        <v>37039</v>
      </c>
      <c r="K76">
        <v>1.3288880000000001</v>
      </c>
      <c r="L76">
        <v>1.4622219999999999</v>
      </c>
      <c r="M76">
        <v>1.3</v>
      </c>
      <c r="N76">
        <v>1.4555549999999999</v>
      </c>
      <c r="O76">
        <v>1.079888</v>
      </c>
      <c r="P76">
        <v>9479700</v>
      </c>
      <c r="R76" s="273" t="e">
        <f>(O76/O75)*('16. câmbio USD-BRL'!#REF!/'16. câmbio USD-BRL'!#REF!)^-1-1</f>
        <v>#REF!</v>
      </c>
    </row>
    <row r="77" spans="1:18" x14ac:dyDescent="0.2">
      <c r="A77" s="354">
        <v>38808</v>
      </c>
      <c r="B77" t="s">
        <v>2029</v>
      </c>
      <c r="C77" t="s">
        <v>2030</v>
      </c>
      <c r="D77" t="s">
        <v>2031</v>
      </c>
      <c r="E77" t="s">
        <v>2032</v>
      </c>
      <c r="F77" t="s">
        <v>2033</v>
      </c>
      <c r="G77">
        <v>73040850</v>
      </c>
      <c r="J77" s="354">
        <v>37046</v>
      </c>
      <c r="K77">
        <v>1.4822219999999999</v>
      </c>
      <c r="L77">
        <v>1.5666659999999999</v>
      </c>
      <c r="M77">
        <v>1.4222220000000001</v>
      </c>
      <c r="N77">
        <v>1.5266660000000001</v>
      </c>
      <c r="O77">
        <v>1.132646</v>
      </c>
      <c r="P77">
        <v>28578150</v>
      </c>
      <c r="R77" s="273" t="e">
        <f>(O77/O76)*('16. câmbio USD-BRL'!#REF!/'16. câmbio USD-BRL'!#REF!)^-1-1</f>
        <v>#REF!</v>
      </c>
    </row>
    <row r="78" spans="1:18" x14ac:dyDescent="0.2">
      <c r="A78" s="354">
        <v>38838</v>
      </c>
      <c r="B78" t="s">
        <v>2032</v>
      </c>
      <c r="C78" t="s">
        <v>2034</v>
      </c>
      <c r="D78" t="s">
        <v>2035</v>
      </c>
      <c r="E78" t="s">
        <v>2036</v>
      </c>
      <c r="F78" t="s">
        <v>2037</v>
      </c>
      <c r="G78">
        <v>7754123808</v>
      </c>
      <c r="J78" s="354">
        <v>37053</v>
      </c>
      <c r="K78">
        <v>1.542222</v>
      </c>
      <c r="L78">
        <v>1.5511109999999999</v>
      </c>
      <c r="M78">
        <v>1.4222220000000001</v>
      </c>
      <c r="N78">
        <v>1.4444440000000001</v>
      </c>
      <c r="O78">
        <v>1.071644</v>
      </c>
      <c r="P78">
        <v>7231050</v>
      </c>
      <c r="R78" s="273" t="e">
        <f>(O78/O77)*('16. câmbio USD-BRL'!#REF!/'16. câmbio USD-BRL'!#REF!)^-1-1</f>
        <v>#REF!</v>
      </c>
    </row>
    <row r="79" spans="1:18" x14ac:dyDescent="0.2">
      <c r="A79" s="354">
        <v>38869</v>
      </c>
      <c r="B79" t="s">
        <v>2038</v>
      </c>
      <c r="C79" t="s">
        <v>2039</v>
      </c>
      <c r="D79" t="s">
        <v>2040</v>
      </c>
      <c r="E79" t="s">
        <v>2041</v>
      </c>
      <c r="F79" t="s">
        <v>2042</v>
      </c>
      <c r="G79">
        <v>8351880516</v>
      </c>
      <c r="J79" s="354">
        <v>37060</v>
      </c>
      <c r="K79">
        <v>1.44</v>
      </c>
      <c r="L79">
        <v>1.5444439999999999</v>
      </c>
      <c r="M79">
        <v>1.3555550000000001</v>
      </c>
      <c r="N79">
        <v>1.515555</v>
      </c>
      <c r="O79">
        <v>1.124403</v>
      </c>
      <c r="P79">
        <v>11668050</v>
      </c>
      <c r="R79" s="273" t="e">
        <f>(O79/O78)*('16. câmbio USD-BRL'!#REF!/'16. câmbio USD-BRL'!#REF!)^-1-1</f>
        <v>#REF!</v>
      </c>
    </row>
    <row r="80" spans="1:18" x14ac:dyDescent="0.2">
      <c r="A80" s="354">
        <v>38899</v>
      </c>
      <c r="B80" t="s">
        <v>2043</v>
      </c>
      <c r="C80" t="s">
        <v>2044</v>
      </c>
      <c r="D80" t="s">
        <v>2045</v>
      </c>
      <c r="E80" t="s">
        <v>2046</v>
      </c>
      <c r="F80" t="s">
        <v>2047</v>
      </c>
      <c r="G80">
        <v>4924235871</v>
      </c>
      <c r="J80" s="354">
        <v>37067</v>
      </c>
      <c r="K80">
        <v>1.515555</v>
      </c>
      <c r="L80">
        <v>1.522222</v>
      </c>
      <c r="M80">
        <v>1.4288879999999999</v>
      </c>
      <c r="N80">
        <v>1.453333</v>
      </c>
      <c r="O80">
        <v>1.0782389999999999</v>
      </c>
      <c r="P80">
        <v>6804450</v>
      </c>
      <c r="R80" s="273" t="e">
        <f>(O80/O79)*('16. câmbio USD-BRL'!#REF!/'16. câmbio USD-BRL'!#REF!)^-1-1</f>
        <v>#REF!</v>
      </c>
    </row>
    <row r="81" spans="1:18" x14ac:dyDescent="0.2">
      <c r="A81" s="354">
        <v>38930</v>
      </c>
      <c r="B81" t="s">
        <v>2048</v>
      </c>
      <c r="C81" t="s">
        <v>2049</v>
      </c>
      <c r="D81" t="s">
        <v>2050</v>
      </c>
      <c r="E81" t="s">
        <v>2051</v>
      </c>
      <c r="F81" t="s">
        <v>2052</v>
      </c>
      <c r="G81">
        <v>8601689862</v>
      </c>
      <c r="J81" s="354">
        <v>37074</v>
      </c>
      <c r="K81">
        <v>1.4444440000000001</v>
      </c>
      <c r="L81">
        <v>1.486666</v>
      </c>
      <c r="M81">
        <v>1.3955550000000001</v>
      </c>
      <c r="N81">
        <v>1.42</v>
      </c>
      <c r="O81">
        <v>1.053509</v>
      </c>
      <c r="P81">
        <v>5549850</v>
      </c>
      <c r="R81" s="273" t="e">
        <f>(O81/O80)*('16. câmbio USD-BRL'!#REF!/'16. câmbio USD-BRL'!#REF!)^-1-1</f>
        <v>#REF!</v>
      </c>
    </row>
    <row r="82" spans="1:18" x14ac:dyDescent="0.2">
      <c r="A82" s="354">
        <v>38961</v>
      </c>
      <c r="B82" t="s">
        <v>2053</v>
      </c>
      <c r="C82" t="s">
        <v>2054</v>
      </c>
      <c r="D82" t="s">
        <v>2055</v>
      </c>
      <c r="E82" t="s">
        <v>2056</v>
      </c>
      <c r="F82" t="s">
        <v>2057</v>
      </c>
      <c r="G82">
        <v>1416196062</v>
      </c>
      <c r="J82" s="354">
        <v>37081</v>
      </c>
      <c r="K82">
        <v>1.42</v>
      </c>
      <c r="L82">
        <v>1.433333</v>
      </c>
      <c r="M82">
        <v>1.3111109999999999</v>
      </c>
      <c r="N82">
        <v>1.3533329999999999</v>
      </c>
      <c r="O82">
        <v>1.0040480000000001</v>
      </c>
      <c r="P82">
        <v>9611100</v>
      </c>
      <c r="R82" s="273" t="e">
        <f>(O82/O81)*('16. câmbio USD-BRL'!#REF!/'16. câmbio USD-BRL'!#REF!)^-1-1</f>
        <v>#REF!</v>
      </c>
    </row>
    <row r="83" spans="1:18" x14ac:dyDescent="0.2">
      <c r="A83" s="354">
        <v>38991</v>
      </c>
      <c r="B83" t="s">
        <v>2058</v>
      </c>
      <c r="C83" t="s">
        <v>2059</v>
      </c>
      <c r="D83" t="s">
        <v>2060</v>
      </c>
      <c r="E83" t="s">
        <v>2061</v>
      </c>
      <c r="F83" t="s">
        <v>2062</v>
      </c>
      <c r="G83">
        <v>98414100</v>
      </c>
      <c r="J83" s="354">
        <v>37088</v>
      </c>
      <c r="K83">
        <v>1.3555550000000001</v>
      </c>
      <c r="L83">
        <v>1.448888</v>
      </c>
      <c r="M83">
        <v>1.317777</v>
      </c>
      <c r="N83">
        <v>1.4422219999999999</v>
      </c>
      <c r="O83">
        <v>1.0699959999999999</v>
      </c>
      <c r="P83">
        <v>6400800</v>
      </c>
      <c r="R83" s="273" t="e">
        <f>(O83/O82)*('16. câmbio USD-BRL'!#REF!/'16. câmbio USD-BRL'!#REF!)^-1-1</f>
        <v>#REF!</v>
      </c>
    </row>
    <row r="84" spans="1:18" x14ac:dyDescent="0.2">
      <c r="A84" s="354">
        <v>39022</v>
      </c>
      <c r="B84" t="s">
        <v>2063</v>
      </c>
      <c r="C84" t="s">
        <v>2064</v>
      </c>
      <c r="D84" t="s">
        <v>2065</v>
      </c>
      <c r="E84" t="s">
        <v>2066</v>
      </c>
      <c r="F84" t="s">
        <v>2067</v>
      </c>
      <c r="G84">
        <v>86125950</v>
      </c>
      <c r="J84" s="354">
        <v>37095</v>
      </c>
      <c r="K84">
        <v>1.4444440000000001</v>
      </c>
      <c r="L84">
        <v>1.466666</v>
      </c>
      <c r="M84">
        <v>1.3555550000000001</v>
      </c>
      <c r="N84">
        <v>1.3888879999999999</v>
      </c>
      <c r="O84">
        <v>1.030427</v>
      </c>
      <c r="P84">
        <v>5962050</v>
      </c>
      <c r="R84" s="273" t="e">
        <f>(O84/O83)*('16. câmbio USD-BRL'!#REF!/'16. câmbio USD-BRL'!#REF!)^-1-1</f>
        <v>#REF!</v>
      </c>
    </row>
    <row r="85" spans="1:18" x14ac:dyDescent="0.2">
      <c r="A85" s="354">
        <v>39052</v>
      </c>
      <c r="B85" t="s">
        <v>2068</v>
      </c>
      <c r="C85" t="s">
        <v>2069</v>
      </c>
      <c r="D85" t="s">
        <v>2070</v>
      </c>
      <c r="E85" t="s">
        <v>2071</v>
      </c>
      <c r="F85" t="s">
        <v>2072</v>
      </c>
      <c r="G85">
        <v>73823850</v>
      </c>
      <c r="J85" s="354">
        <v>37102</v>
      </c>
      <c r="K85">
        <v>1.4</v>
      </c>
      <c r="L85">
        <v>1.4222220000000001</v>
      </c>
      <c r="M85">
        <v>1.3688880000000001</v>
      </c>
      <c r="N85">
        <v>1.406666</v>
      </c>
      <c r="O85">
        <v>1.043617</v>
      </c>
      <c r="P85">
        <v>4284000</v>
      </c>
      <c r="R85" s="273" t="e">
        <f>(O85/O84)*('16. câmbio USD-BRL'!#REF!/'16. câmbio USD-BRL'!#REF!)^-1-1</f>
        <v>#REF!</v>
      </c>
    </row>
    <row r="86" spans="1:18" x14ac:dyDescent="0.2">
      <c r="A86" s="354">
        <v>39083</v>
      </c>
      <c r="B86" t="s">
        <v>2071</v>
      </c>
      <c r="C86" t="s">
        <v>2073</v>
      </c>
      <c r="D86" t="s">
        <v>2074</v>
      </c>
      <c r="E86" t="s">
        <v>2075</v>
      </c>
      <c r="F86" t="s">
        <v>2076</v>
      </c>
      <c r="G86">
        <v>99622800</v>
      </c>
      <c r="J86" s="354">
        <v>37109</v>
      </c>
      <c r="K86">
        <v>1.433333</v>
      </c>
      <c r="L86">
        <v>1.4555549999999999</v>
      </c>
      <c r="M86">
        <v>1.3888879999999999</v>
      </c>
      <c r="N86">
        <v>1.42</v>
      </c>
      <c r="O86">
        <v>1.053509</v>
      </c>
      <c r="P86">
        <v>6057900</v>
      </c>
      <c r="R86" s="273" t="e">
        <f>(O86/O85)*('16. câmbio USD-BRL'!#REF!/'16. câmbio USD-BRL'!#REF!)^-1-1</f>
        <v>#REF!</v>
      </c>
    </row>
    <row r="87" spans="1:18" x14ac:dyDescent="0.2">
      <c r="A87" s="354">
        <v>39114</v>
      </c>
      <c r="B87" t="s">
        <v>2077</v>
      </c>
      <c r="C87" t="s">
        <v>2078</v>
      </c>
      <c r="D87" t="s">
        <v>2077</v>
      </c>
      <c r="E87" t="s">
        <v>2079</v>
      </c>
      <c r="F87" t="s">
        <v>2080</v>
      </c>
      <c r="G87">
        <v>114781050</v>
      </c>
      <c r="J87" s="354">
        <v>37116</v>
      </c>
      <c r="K87">
        <v>1.4222220000000001</v>
      </c>
      <c r="L87">
        <v>1.4377770000000001</v>
      </c>
      <c r="M87">
        <v>1.315555</v>
      </c>
      <c r="N87">
        <v>1.3266659999999999</v>
      </c>
      <c r="O87">
        <v>0.98426400000000003</v>
      </c>
      <c r="P87">
        <v>6675300</v>
      </c>
      <c r="R87" s="273" t="e">
        <f>(O87/O86)*('16. câmbio USD-BRL'!#REF!/'16. câmbio USD-BRL'!#REF!)^-1-1</f>
        <v>#REF!</v>
      </c>
    </row>
    <row r="88" spans="1:18" x14ac:dyDescent="0.2">
      <c r="A88" s="354">
        <v>39142</v>
      </c>
      <c r="B88" t="s">
        <v>2081</v>
      </c>
      <c r="C88" t="s">
        <v>2082</v>
      </c>
      <c r="D88" t="s">
        <v>2083</v>
      </c>
      <c r="E88" t="s">
        <v>2084</v>
      </c>
      <c r="F88" t="s">
        <v>2085</v>
      </c>
      <c r="G88">
        <v>132405300</v>
      </c>
      <c r="J88" s="354">
        <v>37123</v>
      </c>
      <c r="K88">
        <v>1.3288880000000001</v>
      </c>
      <c r="L88">
        <v>1.377777</v>
      </c>
      <c r="M88">
        <v>1.288888</v>
      </c>
      <c r="N88">
        <v>1.357777</v>
      </c>
      <c r="O88">
        <v>1.0073460000000001</v>
      </c>
      <c r="P88">
        <v>10540350</v>
      </c>
      <c r="R88" s="273" t="e">
        <f>(O88/O87)*('16. câmbio USD-BRL'!#REF!/'16. câmbio USD-BRL'!#REF!)^-1-1</f>
        <v>#REF!</v>
      </c>
    </row>
    <row r="89" spans="1:18" x14ac:dyDescent="0.2">
      <c r="A89" s="354">
        <v>39173</v>
      </c>
      <c r="B89" t="s">
        <v>2086</v>
      </c>
      <c r="C89" t="s">
        <v>2087</v>
      </c>
      <c r="D89" t="s">
        <v>2088</v>
      </c>
      <c r="E89" t="s">
        <v>2089</v>
      </c>
      <c r="F89" t="s">
        <v>2090</v>
      </c>
      <c r="G89">
        <v>119385000</v>
      </c>
      <c r="J89" s="354">
        <v>37130</v>
      </c>
      <c r="K89">
        <v>1.3333330000000001</v>
      </c>
      <c r="L89">
        <v>1.3466659999999999</v>
      </c>
      <c r="M89">
        <v>1.2666660000000001</v>
      </c>
      <c r="N89">
        <v>1.2666660000000001</v>
      </c>
      <c r="O89">
        <v>0.93974999999999997</v>
      </c>
      <c r="P89">
        <v>8916300</v>
      </c>
      <c r="R89" s="273" t="e">
        <f>(O89/O88)*('16. câmbio USD-BRL'!#REF!/'16. câmbio USD-BRL'!#REF!)^-1-1</f>
        <v>#REF!</v>
      </c>
    </row>
    <row r="90" spans="1:18" x14ac:dyDescent="0.2">
      <c r="A90" s="354">
        <v>39203</v>
      </c>
      <c r="B90" t="s">
        <v>2089</v>
      </c>
      <c r="C90" t="s">
        <v>2091</v>
      </c>
      <c r="D90" t="s">
        <v>2089</v>
      </c>
      <c r="E90" t="s">
        <v>2092</v>
      </c>
      <c r="F90" t="s">
        <v>2093</v>
      </c>
      <c r="G90">
        <v>118653300</v>
      </c>
      <c r="J90" s="354">
        <v>37137</v>
      </c>
      <c r="K90">
        <v>1.2844439999999999</v>
      </c>
      <c r="L90">
        <v>1.3266659999999999</v>
      </c>
      <c r="M90">
        <v>1.26</v>
      </c>
      <c r="N90">
        <v>1.2933330000000001</v>
      </c>
      <c r="O90">
        <v>0.959534</v>
      </c>
      <c r="P90">
        <v>7635150</v>
      </c>
      <c r="R90" s="273" t="e">
        <f>(O90/O89)*('16. câmbio USD-BRL'!#REF!/'16. câmbio USD-BRL'!#REF!)^-1-1</f>
        <v>#REF!</v>
      </c>
    </row>
    <row r="91" spans="1:18" x14ac:dyDescent="0.2">
      <c r="A91" s="354">
        <v>39234</v>
      </c>
      <c r="B91" t="s">
        <v>1618</v>
      </c>
      <c r="C91" t="s">
        <v>2094</v>
      </c>
      <c r="D91" t="s">
        <v>2095</v>
      </c>
      <c r="E91" t="s">
        <v>2096</v>
      </c>
      <c r="F91" t="s">
        <v>2097</v>
      </c>
      <c r="G91">
        <v>82127250</v>
      </c>
      <c r="J91" s="354">
        <v>37144</v>
      </c>
      <c r="K91">
        <v>1.282222</v>
      </c>
      <c r="L91">
        <v>1.322222</v>
      </c>
      <c r="M91">
        <v>0.98666600000000004</v>
      </c>
      <c r="N91">
        <v>1.0866659999999999</v>
      </c>
      <c r="O91">
        <v>0.80620599999999998</v>
      </c>
      <c r="P91">
        <v>11110500</v>
      </c>
      <c r="R91" s="273" t="e">
        <f>(O91/O90)*('16. câmbio USD-BRL'!#REF!/'16. câmbio USD-BRL'!#REF!)^-1-1</f>
        <v>#REF!</v>
      </c>
    </row>
    <row r="92" spans="1:18" x14ac:dyDescent="0.2">
      <c r="A92" s="354">
        <v>39264</v>
      </c>
      <c r="B92" t="s">
        <v>2096</v>
      </c>
      <c r="C92" t="s">
        <v>2098</v>
      </c>
      <c r="D92" t="s">
        <v>2099</v>
      </c>
      <c r="E92" t="s">
        <v>2100</v>
      </c>
      <c r="F92" t="s">
        <v>2101</v>
      </c>
      <c r="G92">
        <v>102633750</v>
      </c>
      <c r="J92" s="354">
        <v>37151</v>
      </c>
      <c r="K92">
        <v>0.98888799999999999</v>
      </c>
      <c r="L92">
        <v>1.0888880000000001</v>
      </c>
      <c r="M92">
        <v>0.84444399999999997</v>
      </c>
      <c r="N92">
        <v>0.86444399999999999</v>
      </c>
      <c r="O92">
        <v>0.64133799999999996</v>
      </c>
      <c r="P92">
        <v>16239150</v>
      </c>
      <c r="R92" s="273" t="e">
        <f>(O92/O91)*('16. câmbio USD-BRL'!#REF!/'16. câmbio USD-BRL'!#REF!)^-1-1</f>
        <v>#REF!</v>
      </c>
    </row>
    <row r="93" spans="1:18" x14ac:dyDescent="0.2">
      <c r="A93" s="354">
        <v>39295</v>
      </c>
      <c r="B93" t="s">
        <v>2102</v>
      </c>
      <c r="C93" t="s">
        <v>2103</v>
      </c>
      <c r="D93" t="s">
        <v>2104</v>
      </c>
      <c r="E93" t="s">
        <v>2105</v>
      </c>
      <c r="F93" t="s">
        <v>2106</v>
      </c>
      <c r="G93">
        <v>148577850</v>
      </c>
      <c r="J93" s="354">
        <v>37158</v>
      </c>
      <c r="K93">
        <v>0.86444399999999999</v>
      </c>
      <c r="L93">
        <v>0.90666599999999997</v>
      </c>
      <c r="M93">
        <v>0.83555500000000005</v>
      </c>
      <c r="N93">
        <v>0.88222199999999995</v>
      </c>
      <c r="O93">
        <v>0.654528</v>
      </c>
      <c r="P93">
        <v>12865050</v>
      </c>
      <c r="R93" s="273" t="e">
        <f>(O93/O92)*('16. câmbio USD-BRL'!#REF!/'16. câmbio USD-BRL'!#REF!)^-1-1</f>
        <v>#REF!</v>
      </c>
    </row>
    <row r="94" spans="1:18" x14ac:dyDescent="0.2">
      <c r="A94" s="354">
        <v>39326</v>
      </c>
      <c r="B94" t="s">
        <v>2105</v>
      </c>
      <c r="C94" t="s">
        <v>2107</v>
      </c>
      <c r="D94" t="s">
        <v>2108</v>
      </c>
      <c r="E94" t="s">
        <v>2109</v>
      </c>
      <c r="F94" t="s">
        <v>2110</v>
      </c>
      <c r="G94">
        <v>93850650</v>
      </c>
      <c r="J94" s="354">
        <v>37165</v>
      </c>
      <c r="K94">
        <v>0.86</v>
      </c>
      <c r="L94">
        <v>0.88444400000000001</v>
      </c>
      <c r="M94">
        <v>0.82222200000000001</v>
      </c>
      <c r="N94">
        <v>0.83555500000000005</v>
      </c>
      <c r="O94">
        <v>0.61990500000000004</v>
      </c>
      <c r="P94">
        <v>10454400</v>
      </c>
      <c r="R94" s="273" t="e">
        <f>(O94/O93)*('16. câmbio USD-BRL'!#REF!/'16. câmbio USD-BRL'!#REF!)^-1-1</f>
        <v>#REF!</v>
      </c>
    </row>
    <row r="95" spans="1:18" x14ac:dyDescent="0.2">
      <c r="A95" s="354">
        <v>39356</v>
      </c>
      <c r="B95" t="s">
        <v>2111</v>
      </c>
      <c r="C95" t="s">
        <v>2112</v>
      </c>
      <c r="D95" t="s">
        <v>2113</v>
      </c>
      <c r="E95" t="s">
        <v>2114</v>
      </c>
      <c r="F95" t="s">
        <v>2115</v>
      </c>
      <c r="G95">
        <v>105105600</v>
      </c>
      <c r="J95" s="354">
        <v>37172</v>
      </c>
      <c r="K95">
        <v>0.82222200000000001</v>
      </c>
      <c r="L95">
        <v>0.85333300000000001</v>
      </c>
      <c r="M95">
        <v>0.8</v>
      </c>
      <c r="N95">
        <v>0.85111099999999995</v>
      </c>
      <c r="O95">
        <v>0.63144599999999995</v>
      </c>
      <c r="P95">
        <v>12830400</v>
      </c>
      <c r="R95" s="273" t="e">
        <f>(O95/O94)*('16. câmbio USD-BRL'!#REF!/'16. câmbio USD-BRL'!#REF!)^-1-1</f>
        <v>#REF!</v>
      </c>
    </row>
    <row r="96" spans="1:18" x14ac:dyDescent="0.2">
      <c r="A96" s="354">
        <v>39387</v>
      </c>
      <c r="B96" t="s">
        <v>2116</v>
      </c>
      <c r="C96" t="s">
        <v>2117</v>
      </c>
      <c r="D96" t="s">
        <v>2118</v>
      </c>
      <c r="E96" t="s">
        <v>2119</v>
      </c>
      <c r="F96" t="s">
        <v>2120</v>
      </c>
      <c r="G96">
        <v>90522300</v>
      </c>
      <c r="J96" s="354">
        <v>37179</v>
      </c>
      <c r="K96">
        <v>0.84888799999999998</v>
      </c>
      <c r="L96">
        <v>0.95333299999999999</v>
      </c>
      <c r="M96">
        <v>0.82888799999999996</v>
      </c>
      <c r="N96">
        <v>0.9</v>
      </c>
      <c r="O96">
        <v>0.667717</v>
      </c>
      <c r="P96">
        <v>24113700</v>
      </c>
      <c r="R96" s="273" t="e">
        <f>(O96/O95)*('16. câmbio USD-BRL'!#REF!/'16. câmbio USD-BRL'!#REF!)^-1-1</f>
        <v>#REF!</v>
      </c>
    </row>
    <row r="97" spans="1:18" x14ac:dyDescent="0.2">
      <c r="A97" s="354">
        <v>39417</v>
      </c>
      <c r="B97" t="s">
        <v>2121</v>
      </c>
      <c r="C97" t="s">
        <v>2122</v>
      </c>
      <c r="D97" t="s">
        <v>2123</v>
      </c>
      <c r="E97" t="s">
        <v>2124</v>
      </c>
      <c r="F97" t="s">
        <v>2125</v>
      </c>
      <c r="G97">
        <v>101361300</v>
      </c>
      <c r="J97" s="354">
        <v>37186</v>
      </c>
      <c r="K97">
        <v>0.90444400000000003</v>
      </c>
      <c r="L97">
        <v>0.94444399999999995</v>
      </c>
      <c r="M97">
        <v>0.87777700000000003</v>
      </c>
      <c r="N97">
        <v>0.92222199999999999</v>
      </c>
      <c r="O97">
        <v>0.68420400000000003</v>
      </c>
      <c r="P97">
        <v>13996350</v>
      </c>
      <c r="R97" s="273" t="e">
        <f>(O97/O96)*('16. câmbio USD-BRL'!#REF!/'16. câmbio USD-BRL'!#REF!)^-1-1</f>
        <v>#REF!</v>
      </c>
    </row>
    <row r="98" spans="1:18" x14ac:dyDescent="0.2">
      <c r="A98" s="354">
        <v>39448</v>
      </c>
      <c r="B98" t="s">
        <v>2124</v>
      </c>
      <c r="C98" t="s">
        <v>2126</v>
      </c>
      <c r="D98" t="s">
        <v>2127</v>
      </c>
      <c r="E98" t="s">
        <v>2126</v>
      </c>
      <c r="F98" t="s">
        <v>2128</v>
      </c>
      <c r="G98">
        <v>119521500</v>
      </c>
      <c r="J98" s="354">
        <v>37193</v>
      </c>
      <c r="K98">
        <v>0.92</v>
      </c>
      <c r="L98">
        <v>0.92</v>
      </c>
      <c r="M98">
        <v>0.84444399999999997</v>
      </c>
      <c r="N98">
        <v>0.87111099999999997</v>
      </c>
      <c r="O98">
        <v>0.64628399999999997</v>
      </c>
      <c r="P98">
        <v>8236800</v>
      </c>
      <c r="R98" s="273" t="e">
        <f>(O98/O97)*('16. câmbio USD-BRL'!#REF!/'16. câmbio USD-BRL'!#REF!)^-1-1</f>
        <v>#REF!</v>
      </c>
    </row>
    <row r="99" spans="1:18" x14ac:dyDescent="0.2">
      <c r="A99" s="354">
        <v>39479</v>
      </c>
      <c r="B99" t="s">
        <v>2129</v>
      </c>
      <c r="C99" t="s">
        <v>2130</v>
      </c>
      <c r="D99" t="s">
        <v>2129</v>
      </c>
      <c r="E99" t="s">
        <v>2131</v>
      </c>
      <c r="F99" t="s">
        <v>2132</v>
      </c>
      <c r="G99">
        <v>126767400</v>
      </c>
      <c r="J99" s="354">
        <v>37200</v>
      </c>
      <c r="K99">
        <v>0.88888800000000001</v>
      </c>
      <c r="L99">
        <v>1.111111</v>
      </c>
      <c r="M99">
        <v>0.88666599999999995</v>
      </c>
      <c r="N99">
        <v>1.097777</v>
      </c>
      <c r="O99">
        <v>0.81445000000000001</v>
      </c>
      <c r="P99">
        <v>25469550</v>
      </c>
      <c r="R99" s="273" t="e">
        <f>(O99/O98)*('16. câmbio USD-BRL'!#REF!/'16. câmbio USD-BRL'!#REF!)^-1-1</f>
        <v>#REF!</v>
      </c>
    </row>
    <row r="100" spans="1:18" x14ac:dyDescent="0.2">
      <c r="A100" s="354">
        <v>39508</v>
      </c>
      <c r="B100" t="s">
        <v>2133</v>
      </c>
      <c r="C100" t="s">
        <v>2134</v>
      </c>
      <c r="D100" t="s">
        <v>2135</v>
      </c>
      <c r="E100" t="s">
        <v>2136</v>
      </c>
      <c r="F100" t="s">
        <v>2137</v>
      </c>
      <c r="G100">
        <v>82679100</v>
      </c>
      <c r="J100" s="354">
        <v>37207</v>
      </c>
      <c r="K100">
        <v>1.0888880000000001</v>
      </c>
      <c r="L100">
        <v>1.173333</v>
      </c>
      <c r="M100">
        <v>1.0244439999999999</v>
      </c>
      <c r="N100">
        <v>1.171111</v>
      </c>
      <c r="O100">
        <v>0.86885699999999999</v>
      </c>
      <c r="P100">
        <v>10738800</v>
      </c>
      <c r="R100" s="273" t="e">
        <f>(O100/O99)*('16. câmbio USD-BRL'!#REF!/'16. câmbio USD-BRL'!#REF!)^-1-1</f>
        <v>#REF!</v>
      </c>
    </row>
    <row r="101" spans="1:18" x14ac:dyDescent="0.2">
      <c r="A101" s="354">
        <v>39539</v>
      </c>
      <c r="B101" t="s">
        <v>2138</v>
      </c>
      <c r="C101" t="s">
        <v>2139</v>
      </c>
      <c r="D101" t="s">
        <v>2140</v>
      </c>
      <c r="E101" t="s">
        <v>2139</v>
      </c>
      <c r="F101" t="s">
        <v>2141</v>
      </c>
      <c r="G101">
        <v>80862600</v>
      </c>
      <c r="J101" s="354">
        <v>37214</v>
      </c>
      <c r="K101">
        <v>1.213333</v>
      </c>
      <c r="L101">
        <v>1.5111110000000001</v>
      </c>
      <c r="M101">
        <v>1.2</v>
      </c>
      <c r="N101">
        <v>1.4444440000000001</v>
      </c>
      <c r="O101">
        <v>1.071644</v>
      </c>
      <c r="P101">
        <v>30973950</v>
      </c>
      <c r="R101" s="273" t="e">
        <f>(O101/O100)*('16. câmbio USD-BRL'!#REF!/'16. câmbio USD-BRL'!#REF!)^-1-1</f>
        <v>#REF!</v>
      </c>
    </row>
    <row r="102" spans="1:18" x14ac:dyDescent="0.2">
      <c r="A102" s="354">
        <v>39569</v>
      </c>
      <c r="B102" t="s">
        <v>2139</v>
      </c>
      <c r="C102" t="s">
        <v>2142</v>
      </c>
      <c r="D102" t="s">
        <v>2143</v>
      </c>
      <c r="E102" t="s">
        <v>2144</v>
      </c>
      <c r="F102" t="s">
        <v>2145</v>
      </c>
      <c r="G102">
        <v>66184600</v>
      </c>
      <c r="J102" s="354">
        <v>37221</v>
      </c>
      <c r="K102">
        <v>1.4622219999999999</v>
      </c>
      <c r="L102">
        <v>1.495555</v>
      </c>
      <c r="M102">
        <v>1.1688879999999999</v>
      </c>
      <c r="N102">
        <v>1.2777769999999999</v>
      </c>
      <c r="O102">
        <v>0.94799299999999997</v>
      </c>
      <c r="P102">
        <v>21647250</v>
      </c>
      <c r="R102" s="273" t="e">
        <f>(O102/O101)*('16. câmbio USD-BRL'!#REF!/'16. câmbio USD-BRL'!#REF!)^-1-1</f>
        <v>#REF!</v>
      </c>
    </row>
    <row r="103" spans="1:18" x14ac:dyDescent="0.2">
      <c r="A103" s="354">
        <v>39600</v>
      </c>
      <c r="B103" t="s">
        <v>2146</v>
      </c>
      <c r="C103" t="s">
        <v>2147</v>
      </c>
      <c r="D103" t="s">
        <v>2148</v>
      </c>
      <c r="E103" t="s">
        <v>2149</v>
      </c>
      <c r="F103" t="s">
        <v>2150</v>
      </c>
      <c r="G103">
        <v>69105200</v>
      </c>
      <c r="J103" s="354">
        <v>37228</v>
      </c>
      <c r="K103">
        <v>1.2666660000000001</v>
      </c>
      <c r="L103">
        <v>1.397777</v>
      </c>
      <c r="M103">
        <v>1.2666660000000001</v>
      </c>
      <c r="N103">
        <v>1.335555</v>
      </c>
      <c r="O103">
        <v>0.99085900000000005</v>
      </c>
      <c r="P103">
        <v>16679700</v>
      </c>
      <c r="R103" s="273" t="e">
        <f>(O103/O102)*('16. câmbio USD-BRL'!#REF!/'16. câmbio USD-BRL'!#REF!)^-1-1</f>
        <v>#REF!</v>
      </c>
    </row>
    <row r="104" spans="1:18" x14ac:dyDescent="0.2">
      <c r="A104" s="354">
        <v>39630</v>
      </c>
      <c r="B104" t="s">
        <v>2151</v>
      </c>
      <c r="C104" t="s">
        <v>2152</v>
      </c>
      <c r="D104" t="s">
        <v>2153</v>
      </c>
      <c r="E104" t="s">
        <v>2154</v>
      </c>
      <c r="F104" t="s">
        <v>2155</v>
      </c>
      <c r="G104">
        <v>79208000</v>
      </c>
      <c r="J104" s="354">
        <v>37235</v>
      </c>
      <c r="K104">
        <v>1.3333330000000001</v>
      </c>
      <c r="L104">
        <v>1.4444440000000001</v>
      </c>
      <c r="M104">
        <v>1.2911109999999999</v>
      </c>
      <c r="N104">
        <v>1.344444</v>
      </c>
      <c r="O104">
        <v>0.99745399999999995</v>
      </c>
      <c r="P104">
        <v>11191500</v>
      </c>
      <c r="R104" s="273" t="e">
        <f>(O104/O103)*('16. câmbio USD-BRL'!#REF!/'16. câmbio USD-BRL'!#REF!)^-1-1</f>
        <v>#REF!</v>
      </c>
    </row>
    <row r="105" spans="1:18" x14ac:dyDescent="0.2">
      <c r="A105" s="354">
        <v>39661</v>
      </c>
      <c r="B105" t="s">
        <v>2156</v>
      </c>
      <c r="C105" t="s">
        <v>2157</v>
      </c>
      <c r="D105" t="s">
        <v>2158</v>
      </c>
      <c r="E105" t="s">
        <v>2159</v>
      </c>
      <c r="F105" t="s">
        <v>2160</v>
      </c>
      <c r="G105">
        <v>82655600</v>
      </c>
      <c r="J105" s="354">
        <v>37242</v>
      </c>
      <c r="K105">
        <v>1.3755550000000001</v>
      </c>
      <c r="L105">
        <v>1.411111</v>
      </c>
      <c r="M105">
        <v>1.288888</v>
      </c>
      <c r="N105">
        <v>1.3666659999999999</v>
      </c>
      <c r="O105">
        <v>1.013941</v>
      </c>
      <c r="P105">
        <v>10952100</v>
      </c>
      <c r="R105" s="273" t="e">
        <f>(O105/O104)*('16. câmbio USD-BRL'!#REF!/'16. câmbio USD-BRL'!#REF!)^-1-1</f>
        <v>#REF!</v>
      </c>
    </row>
    <row r="106" spans="1:18" x14ac:dyDescent="0.2">
      <c r="A106" s="354">
        <v>39692</v>
      </c>
      <c r="B106" t="s">
        <v>2161</v>
      </c>
      <c r="C106" t="s">
        <v>2162</v>
      </c>
      <c r="D106" t="s">
        <v>1696</v>
      </c>
      <c r="E106" t="s">
        <v>2163</v>
      </c>
      <c r="F106" t="s">
        <v>2164</v>
      </c>
      <c r="G106">
        <v>162822000</v>
      </c>
      <c r="J106" s="354">
        <v>37249</v>
      </c>
      <c r="K106">
        <v>1.3666659999999999</v>
      </c>
      <c r="L106">
        <v>1.488888</v>
      </c>
      <c r="M106">
        <v>1.351111</v>
      </c>
      <c r="N106">
        <v>1.446666</v>
      </c>
      <c r="O106">
        <v>1.0732930000000001</v>
      </c>
      <c r="P106">
        <v>5809500</v>
      </c>
      <c r="R106" s="273" t="e">
        <f>(O106/O105)*('16. câmbio USD-BRL'!#REF!/'16. câmbio USD-BRL'!#REF!)^-1-1</f>
        <v>#REF!</v>
      </c>
    </row>
    <row r="107" spans="1:18" x14ac:dyDescent="0.2">
      <c r="A107" s="354">
        <v>39722</v>
      </c>
      <c r="B107" t="s">
        <v>2165</v>
      </c>
      <c r="C107" t="s">
        <v>2166</v>
      </c>
      <c r="D107" t="s">
        <v>2167</v>
      </c>
      <c r="E107" t="s">
        <v>2168</v>
      </c>
      <c r="F107" t="s">
        <v>2169</v>
      </c>
      <c r="G107">
        <v>180733800</v>
      </c>
      <c r="J107" s="354">
        <v>37256</v>
      </c>
      <c r="K107">
        <v>1.446666</v>
      </c>
      <c r="L107">
        <v>1.5533330000000001</v>
      </c>
      <c r="M107">
        <v>1.4222220000000001</v>
      </c>
      <c r="N107">
        <v>1.5444439999999999</v>
      </c>
      <c r="O107">
        <v>1.1458349999999999</v>
      </c>
      <c r="P107">
        <v>6136650</v>
      </c>
      <c r="R107" s="273" t="e">
        <f>(O107/O106)*('16. câmbio USD-BRL'!#REF!/'16. câmbio USD-BRL'!#REF!)^-1-1</f>
        <v>#REF!</v>
      </c>
    </row>
    <row r="108" spans="1:18" x14ac:dyDescent="0.2">
      <c r="A108" s="354">
        <v>39753</v>
      </c>
      <c r="B108" t="s">
        <v>2170</v>
      </c>
      <c r="C108" t="s">
        <v>2171</v>
      </c>
      <c r="D108" t="s">
        <v>2172</v>
      </c>
      <c r="E108" t="s">
        <v>1518</v>
      </c>
      <c r="F108" t="s">
        <v>2173</v>
      </c>
      <c r="G108">
        <v>117173200</v>
      </c>
      <c r="J108" s="354">
        <v>37263</v>
      </c>
      <c r="K108">
        <v>1.542222</v>
      </c>
      <c r="L108">
        <v>1.577777</v>
      </c>
      <c r="M108">
        <v>1.4822219999999999</v>
      </c>
      <c r="N108">
        <v>1.493333</v>
      </c>
      <c r="O108">
        <v>1.1079159999999999</v>
      </c>
      <c r="P108">
        <v>9954450</v>
      </c>
      <c r="R108" s="273" t="e">
        <f>(O108/O107)*('16. câmbio USD-BRL'!#REF!/'16. câmbio USD-BRL'!#REF!)^-1-1</f>
        <v>#REF!</v>
      </c>
    </row>
    <row r="109" spans="1:18" x14ac:dyDescent="0.2">
      <c r="A109" s="354">
        <v>39783</v>
      </c>
      <c r="B109" t="s">
        <v>2174</v>
      </c>
      <c r="C109" t="s">
        <v>2175</v>
      </c>
      <c r="D109" t="s">
        <v>2176</v>
      </c>
      <c r="E109" t="s">
        <v>2177</v>
      </c>
      <c r="F109" t="s">
        <v>2178</v>
      </c>
      <c r="G109">
        <v>105549800</v>
      </c>
      <c r="J109" s="354">
        <v>37270</v>
      </c>
      <c r="K109">
        <v>1.4555549999999999</v>
      </c>
      <c r="L109">
        <v>1.577777</v>
      </c>
      <c r="M109">
        <v>1.4022220000000001</v>
      </c>
      <c r="N109">
        <v>1.542222</v>
      </c>
      <c r="O109">
        <v>1.1441870000000001</v>
      </c>
      <c r="P109">
        <v>9735750</v>
      </c>
      <c r="R109" s="273" t="e">
        <f>(O109/O108)*('16. câmbio USD-BRL'!#REF!/'16. câmbio USD-BRL'!#REF!)^-1-1</f>
        <v>#REF!</v>
      </c>
    </row>
    <row r="110" spans="1:18" x14ac:dyDescent="0.2">
      <c r="A110" s="354">
        <v>39814</v>
      </c>
      <c r="B110" t="s">
        <v>2177</v>
      </c>
      <c r="C110" t="s">
        <v>2179</v>
      </c>
      <c r="D110" t="s">
        <v>2177</v>
      </c>
      <c r="E110" t="s">
        <v>2180</v>
      </c>
      <c r="F110" t="s">
        <v>2181</v>
      </c>
      <c r="G110">
        <v>127592000</v>
      </c>
      <c r="J110" s="354">
        <v>37277</v>
      </c>
      <c r="K110">
        <v>1.5444439999999999</v>
      </c>
      <c r="L110">
        <v>1.62</v>
      </c>
      <c r="M110">
        <v>1.513333</v>
      </c>
      <c r="N110">
        <v>1.577777</v>
      </c>
      <c r="O110">
        <v>1.1705650000000001</v>
      </c>
      <c r="P110">
        <v>7800300</v>
      </c>
      <c r="R110" s="273" t="e">
        <f>(O110/O109)*('16. câmbio USD-BRL'!#REF!/'16. câmbio USD-BRL'!#REF!)^-1-1</f>
        <v>#REF!</v>
      </c>
    </row>
    <row r="111" spans="1:18" x14ac:dyDescent="0.2">
      <c r="A111" s="354">
        <v>39845</v>
      </c>
      <c r="B111" t="s">
        <v>2182</v>
      </c>
      <c r="C111" t="s">
        <v>2183</v>
      </c>
      <c r="D111" t="s">
        <v>2184</v>
      </c>
      <c r="E111" t="s">
        <v>2185</v>
      </c>
      <c r="F111" t="s">
        <v>2186</v>
      </c>
      <c r="G111">
        <v>96607400</v>
      </c>
      <c r="J111" s="354">
        <v>37284</v>
      </c>
      <c r="K111">
        <v>1.577777</v>
      </c>
      <c r="L111">
        <v>1.6133329999999999</v>
      </c>
      <c r="M111">
        <v>1.5111110000000001</v>
      </c>
      <c r="N111">
        <v>1.555555</v>
      </c>
      <c r="O111">
        <v>1.1540790000000001</v>
      </c>
      <c r="P111">
        <v>9778950</v>
      </c>
      <c r="R111" s="273" t="e">
        <f>(O111/O110)*('16. câmbio USD-BRL'!#REF!/'16. câmbio USD-BRL'!#REF!)^-1-1</f>
        <v>#REF!</v>
      </c>
    </row>
    <row r="112" spans="1:18" x14ac:dyDescent="0.2">
      <c r="A112" s="354">
        <v>39873</v>
      </c>
      <c r="B112" t="s">
        <v>2187</v>
      </c>
      <c r="C112" t="s">
        <v>1707</v>
      </c>
      <c r="D112" t="s">
        <v>2188</v>
      </c>
      <c r="E112" t="s">
        <v>2189</v>
      </c>
      <c r="F112" t="s">
        <v>2190</v>
      </c>
      <c r="G112">
        <v>134065200</v>
      </c>
      <c r="J112" s="354">
        <v>37291</v>
      </c>
      <c r="K112">
        <v>1.557777</v>
      </c>
      <c r="L112">
        <v>1.6133329999999999</v>
      </c>
      <c r="M112">
        <v>1.5333330000000001</v>
      </c>
      <c r="N112">
        <v>1.604444</v>
      </c>
      <c r="O112">
        <v>1.19035</v>
      </c>
      <c r="P112">
        <v>7067250</v>
      </c>
      <c r="R112" s="273" t="e">
        <f>(O112/O111)*('16. câmbio USD-BRL'!#REF!/'16. câmbio USD-BRL'!#REF!)^-1-1</f>
        <v>#REF!</v>
      </c>
    </row>
    <row r="113" spans="1:18" x14ac:dyDescent="0.2">
      <c r="A113" s="354">
        <v>39904</v>
      </c>
      <c r="B113" t="s">
        <v>2191</v>
      </c>
      <c r="C113" t="s">
        <v>2192</v>
      </c>
      <c r="D113" t="s">
        <v>2193</v>
      </c>
      <c r="E113" t="s">
        <v>2194</v>
      </c>
      <c r="F113" t="s">
        <v>2195</v>
      </c>
      <c r="G113">
        <v>139618200</v>
      </c>
      <c r="J113" s="354">
        <v>37298</v>
      </c>
      <c r="K113">
        <v>1.604444</v>
      </c>
      <c r="L113">
        <v>1.666666</v>
      </c>
      <c r="M113">
        <v>1.5333330000000001</v>
      </c>
      <c r="N113">
        <v>1.6333329999999999</v>
      </c>
      <c r="O113">
        <v>1.2117830000000001</v>
      </c>
      <c r="P113">
        <v>5027850</v>
      </c>
      <c r="R113" s="273" t="e">
        <f>(O113/O112)*('16. câmbio USD-BRL'!#REF!/'16. câmbio USD-BRL'!#REF!)^-1-1</f>
        <v>#REF!</v>
      </c>
    </row>
    <row r="114" spans="1:18" x14ac:dyDescent="0.2">
      <c r="A114" s="354">
        <v>39934</v>
      </c>
      <c r="B114" t="s">
        <v>2194</v>
      </c>
      <c r="C114" t="s">
        <v>2196</v>
      </c>
      <c r="D114" t="s">
        <v>2197</v>
      </c>
      <c r="E114" t="s">
        <v>2196</v>
      </c>
      <c r="F114" t="s">
        <v>2198</v>
      </c>
      <c r="G114">
        <v>165804400</v>
      </c>
      <c r="J114" s="354">
        <v>37305</v>
      </c>
      <c r="K114">
        <v>1.631111</v>
      </c>
      <c r="L114">
        <v>1.733333</v>
      </c>
      <c r="M114">
        <v>1.5888880000000001</v>
      </c>
      <c r="N114">
        <v>1.68</v>
      </c>
      <c r="O114">
        <v>1.246405</v>
      </c>
      <c r="P114">
        <v>15928650</v>
      </c>
      <c r="R114" s="273" t="e">
        <f>(O114/O113)*('16. câmbio USD-BRL'!#REF!/'16. câmbio USD-BRL'!#REF!)^-1-1</f>
        <v>#REF!</v>
      </c>
    </row>
    <row r="115" spans="1:18" x14ac:dyDescent="0.2">
      <c r="A115" s="354">
        <v>39965</v>
      </c>
      <c r="B115" t="s">
        <v>2199</v>
      </c>
      <c r="C115" t="s">
        <v>2200</v>
      </c>
      <c r="D115" t="s">
        <v>2201</v>
      </c>
      <c r="E115" t="s">
        <v>2202</v>
      </c>
      <c r="F115" t="s">
        <v>2203</v>
      </c>
      <c r="G115">
        <v>143002400</v>
      </c>
      <c r="J115" s="354">
        <v>37312</v>
      </c>
      <c r="K115">
        <v>1.711111</v>
      </c>
      <c r="L115">
        <v>1.8555550000000001</v>
      </c>
      <c r="M115">
        <v>1.6755549999999999</v>
      </c>
      <c r="N115">
        <v>1.7777769999999999</v>
      </c>
      <c r="O115">
        <v>1.3189470000000001</v>
      </c>
      <c r="P115">
        <v>18218700</v>
      </c>
      <c r="R115" s="273" t="e">
        <f>(O115/O114)*('16. câmbio USD-BRL'!#REF!/'16. câmbio USD-BRL'!#REF!)^-1-1</f>
        <v>#REF!</v>
      </c>
    </row>
    <row r="116" spans="1:18" x14ac:dyDescent="0.2">
      <c r="A116" s="354">
        <v>39995</v>
      </c>
      <c r="B116" t="s">
        <v>2204</v>
      </c>
      <c r="C116" t="s">
        <v>2205</v>
      </c>
      <c r="D116" t="s">
        <v>2206</v>
      </c>
      <c r="E116" t="s">
        <v>2207</v>
      </c>
      <c r="F116" t="s">
        <v>2208</v>
      </c>
      <c r="G116">
        <v>158345600</v>
      </c>
      <c r="J116" s="354">
        <v>37319</v>
      </c>
      <c r="K116">
        <v>1.711111</v>
      </c>
      <c r="L116">
        <v>1.7444440000000001</v>
      </c>
      <c r="M116">
        <v>1.5377769999999999</v>
      </c>
      <c r="N116">
        <v>1.6622220000000001</v>
      </c>
      <c r="O116">
        <v>1.2332160000000001</v>
      </c>
      <c r="P116">
        <v>21645900</v>
      </c>
      <c r="R116" s="273" t="e">
        <f>(O116/O115)*('16. câmbio USD-BRL'!#REF!/'16. câmbio USD-BRL'!#REF!)^-1-1</f>
        <v>#REF!</v>
      </c>
    </row>
    <row r="117" spans="1:18" x14ac:dyDescent="0.2">
      <c r="A117" s="354">
        <v>40026</v>
      </c>
      <c r="B117" t="s">
        <v>2209</v>
      </c>
      <c r="C117" t="s">
        <v>2210</v>
      </c>
      <c r="D117" t="s">
        <v>2211</v>
      </c>
      <c r="E117" t="s">
        <v>2212</v>
      </c>
      <c r="F117" t="s">
        <v>2213</v>
      </c>
      <c r="G117">
        <v>124850200</v>
      </c>
      <c r="J117" s="354">
        <v>37326</v>
      </c>
      <c r="K117">
        <v>1.6533329999999999</v>
      </c>
      <c r="L117">
        <v>1.788888</v>
      </c>
      <c r="M117">
        <v>1.5888880000000001</v>
      </c>
      <c r="N117">
        <v>1.7644439999999999</v>
      </c>
      <c r="O117">
        <v>1.3090550000000001</v>
      </c>
      <c r="P117">
        <v>15997500</v>
      </c>
      <c r="R117" s="273" t="e">
        <f>(O117/O116)*('16. câmbio USD-BRL'!#REF!/'16. câmbio USD-BRL'!#REF!)^-1-1</f>
        <v>#REF!</v>
      </c>
    </row>
    <row r="118" spans="1:18" x14ac:dyDescent="0.2">
      <c r="A118" s="354">
        <v>40057</v>
      </c>
      <c r="B118" t="s">
        <v>2214</v>
      </c>
      <c r="C118" t="s">
        <v>1653</v>
      </c>
      <c r="D118" t="s">
        <v>2215</v>
      </c>
      <c r="E118" t="s">
        <v>2216</v>
      </c>
      <c r="F118" t="s">
        <v>2217</v>
      </c>
      <c r="G118">
        <v>110682600</v>
      </c>
      <c r="J118" s="354">
        <v>37333</v>
      </c>
      <c r="K118">
        <v>1.8</v>
      </c>
      <c r="L118">
        <v>1.824444</v>
      </c>
      <c r="M118">
        <v>1.582222</v>
      </c>
      <c r="N118">
        <v>1.6422220000000001</v>
      </c>
      <c r="O118">
        <v>1.218378</v>
      </c>
      <c r="P118">
        <v>19010250</v>
      </c>
      <c r="R118" s="273" t="e">
        <f>(O118/O117)*('16. câmbio USD-BRL'!#REF!/'16. câmbio USD-BRL'!#REF!)^-1-1</f>
        <v>#REF!</v>
      </c>
    </row>
    <row r="119" spans="1:18" x14ac:dyDescent="0.2">
      <c r="A119" s="354">
        <v>40087</v>
      </c>
      <c r="B119" t="s">
        <v>2218</v>
      </c>
      <c r="C119" t="s">
        <v>2219</v>
      </c>
      <c r="D119" t="s">
        <v>2220</v>
      </c>
      <c r="E119" t="s">
        <v>2221</v>
      </c>
      <c r="F119" t="s">
        <v>2222</v>
      </c>
      <c r="G119">
        <v>112882600</v>
      </c>
      <c r="J119" s="354">
        <v>37340</v>
      </c>
      <c r="K119">
        <v>1.611111</v>
      </c>
      <c r="L119">
        <v>1.6888879999999999</v>
      </c>
      <c r="M119">
        <v>1.555555</v>
      </c>
      <c r="N119">
        <v>1.6688879999999999</v>
      </c>
      <c r="O119">
        <v>1.2381610000000001</v>
      </c>
      <c r="P119">
        <v>9116100</v>
      </c>
      <c r="R119" s="273" t="e">
        <f>(O119/O118)*('16. câmbio USD-BRL'!#REF!/'16. câmbio USD-BRL'!#REF!)^-1-1</f>
        <v>#REF!</v>
      </c>
    </row>
    <row r="120" spans="1:18" x14ac:dyDescent="0.2">
      <c r="A120" s="354">
        <v>40118</v>
      </c>
      <c r="B120" t="s">
        <v>2221</v>
      </c>
      <c r="C120" t="s">
        <v>2223</v>
      </c>
      <c r="D120" t="s">
        <v>2224</v>
      </c>
      <c r="E120" t="s">
        <v>2225</v>
      </c>
      <c r="F120" t="s">
        <v>2226</v>
      </c>
      <c r="G120">
        <v>90927000</v>
      </c>
      <c r="J120" s="354">
        <v>37347</v>
      </c>
      <c r="K120">
        <v>1.6688879999999999</v>
      </c>
      <c r="L120">
        <v>1.711111</v>
      </c>
      <c r="M120">
        <v>1.611111</v>
      </c>
      <c r="N120">
        <v>1.666666</v>
      </c>
      <c r="O120">
        <v>1.236513</v>
      </c>
      <c r="P120">
        <v>11839050</v>
      </c>
      <c r="R120" s="273" t="e">
        <f>(O120/O119)*('16. câmbio USD-BRL'!#REF!/'16. câmbio USD-BRL'!#REF!)^-1-1</f>
        <v>#REF!</v>
      </c>
    </row>
    <row r="121" spans="1:18" x14ac:dyDescent="0.2">
      <c r="A121" s="354">
        <v>40148</v>
      </c>
      <c r="B121" t="s">
        <v>2227</v>
      </c>
      <c r="C121" t="s">
        <v>2228</v>
      </c>
      <c r="D121" t="s">
        <v>2229</v>
      </c>
      <c r="E121" t="s">
        <v>2230</v>
      </c>
      <c r="F121" t="s">
        <v>2231</v>
      </c>
      <c r="G121">
        <v>87365000</v>
      </c>
      <c r="J121" s="354">
        <v>37354</v>
      </c>
      <c r="K121">
        <v>1.6488879999999999</v>
      </c>
      <c r="L121">
        <v>1.797777</v>
      </c>
      <c r="M121">
        <v>1.604444</v>
      </c>
      <c r="N121">
        <v>1.795555</v>
      </c>
      <c r="O121">
        <v>1.3321369999999999</v>
      </c>
      <c r="P121">
        <v>11976300</v>
      </c>
      <c r="R121" s="273" t="e">
        <f>(O121/O120)*('16. câmbio USD-BRL'!#REF!/'16. câmbio USD-BRL'!#REF!)^-1-1</f>
        <v>#REF!</v>
      </c>
    </row>
    <row r="122" spans="1:18" x14ac:dyDescent="0.2">
      <c r="A122" s="354">
        <v>40179</v>
      </c>
      <c r="B122" t="s">
        <v>2230</v>
      </c>
      <c r="C122" t="s">
        <v>2232</v>
      </c>
      <c r="D122" t="s">
        <v>2233</v>
      </c>
      <c r="E122" t="s">
        <v>2234</v>
      </c>
      <c r="F122" t="s">
        <v>2235</v>
      </c>
      <c r="G122">
        <v>90540800</v>
      </c>
      <c r="J122" s="354">
        <v>37361</v>
      </c>
      <c r="K122">
        <v>1.7666660000000001</v>
      </c>
      <c r="L122">
        <v>1.857777</v>
      </c>
      <c r="M122">
        <v>1.733333</v>
      </c>
      <c r="N122">
        <v>1.8111109999999999</v>
      </c>
      <c r="O122">
        <v>1.3436779999999999</v>
      </c>
      <c r="P122">
        <v>44964900</v>
      </c>
      <c r="R122" s="273" t="e">
        <f>(O122/O121)*('16. câmbio USD-BRL'!#REF!/'16. câmbio USD-BRL'!#REF!)^-1-1</f>
        <v>#REF!</v>
      </c>
    </row>
    <row r="123" spans="1:18" x14ac:dyDescent="0.2">
      <c r="A123" s="354">
        <v>40210</v>
      </c>
      <c r="B123" t="s">
        <v>2236</v>
      </c>
      <c r="C123" t="s">
        <v>2237</v>
      </c>
      <c r="D123" t="s">
        <v>2238</v>
      </c>
      <c r="E123" t="s">
        <v>2237</v>
      </c>
      <c r="F123" t="s">
        <v>2239</v>
      </c>
      <c r="G123">
        <v>96766200</v>
      </c>
      <c r="J123" s="354">
        <v>37368</v>
      </c>
      <c r="K123">
        <v>1.8111109999999999</v>
      </c>
      <c r="L123">
        <v>1.844444</v>
      </c>
      <c r="M123">
        <v>1.733333</v>
      </c>
      <c r="N123">
        <v>1.733333</v>
      </c>
      <c r="O123">
        <v>1.285974</v>
      </c>
      <c r="P123">
        <v>13050000</v>
      </c>
      <c r="R123" s="273" t="e">
        <f>(O123/O122)*('16. câmbio USD-BRL'!#REF!/'16. câmbio USD-BRL'!#REF!)^-1-1</f>
        <v>#REF!</v>
      </c>
    </row>
    <row r="124" spans="1:18" x14ac:dyDescent="0.2">
      <c r="A124" s="354">
        <v>40238</v>
      </c>
      <c r="B124" t="s">
        <v>2240</v>
      </c>
      <c r="C124" t="s">
        <v>2241</v>
      </c>
      <c r="D124" t="s">
        <v>2242</v>
      </c>
      <c r="E124" t="s">
        <v>2243</v>
      </c>
      <c r="F124" t="s">
        <v>2244</v>
      </c>
      <c r="G124">
        <v>113796000</v>
      </c>
      <c r="J124" s="354">
        <v>37375</v>
      </c>
      <c r="K124">
        <v>1.7444440000000001</v>
      </c>
      <c r="L124">
        <v>1.8</v>
      </c>
      <c r="M124">
        <v>1.711111</v>
      </c>
      <c r="N124">
        <v>1.711111</v>
      </c>
      <c r="O124">
        <v>1.269487</v>
      </c>
      <c r="P124">
        <v>20237850</v>
      </c>
      <c r="R124" s="273" t="e">
        <f>(O124/O123)*('16. câmbio USD-BRL'!#REF!/'16. câmbio USD-BRL'!#REF!)^-1-1</f>
        <v>#REF!</v>
      </c>
    </row>
    <row r="125" spans="1:18" x14ac:dyDescent="0.2">
      <c r="A125" s="354">
        <v>40269</v>
      </c>
      <c r="B125" t="s">
        <v>2241</v>
      </c>
      <c r="C125" t="s">
        <v>2245</v>
      </c>
      <c r="D125" t="s">
        <v>2246</v>
      </c>
      <c r="E125" t="s">
        <v>2247</v>
      </c>
      <c r="F125" t="s">
        <v>2248</v>
      </c>
      <c r="G125">
        <v>103705600</v>
      </c>
      <c r="J125" s="354">
        <v>37382</v>
      </c>
      <c r="K125">
        <v>1.7222219999999999</v>
      </c>
      <c r="L125">
        <v>1.7244440000000001</v>
      </c>
      <c r="M125">
        <v>1.535555</v>
      </c>
      <c r="N125">
        <v>1.6</v>
      </c>
      <c r="O125">
        <v>1.1870529999999999</v>
      </c>
      <c r="P125">
        <v>13098600</v>
      </c>
      <c r="R125" s="273" t="e">
        <f>(O125/O124)*('16. câmbio USD-BRL'!#REF!/'16. câmbio USD-BRL'!#REF!)^-1-1</f>
        <v>#REF!</v>
      </c>
    </row>
    <row r="126" spans="1:18" x14ac:dyDescent="0.2">
      <c r="A126" s="354">
        <v>40299</v>
      </c>
      <c r="B126" t="s">
        <v>2247</v>
      </c>
      <c r="C126" t="s">
        <v>2247</v>
      </c>
      <c r="D126" t="s">
        <v>2249</v>
      </c>
      <c r="E126" t="s">
        <v>1572</v>
      </c>
      <c r="F126" t="s">
        <v>2250</v>
      </c>
      <c r="G126">
        <v>122538400</v>
      </c>
      <c r="J126" s="354">
        <v>37389</v>
      </c>
      <c r="K126">
        <v>1.5866659999999999</v>
      </c>
      <c r="L126">
        <v>1.733333</v>
      </c>
      <c r="M126">
        <v>1.542222</v>
      </c>
      <c r="N126">
        <v>1.6777770000000001</v>
      </c>
      <c r="O126">
        <v>1.244756</v>
      </c>
      <c r="P126">
        <v>9138600</v>
      </c>
      <c r="R126" s="273" t="e">
        <f>(O126/O125)*('16. câmbio USD-BRL'!#REF!/'16. câmbio USD-BRL'!#REF!)^-1-1</f>
        <v>#REF!</v>
      </c>
    </row>
    <row r="127" spans="1:18" x14ac:dyDescent="0.2">
      <c r="A127" s="354">
        <v>40330</v>
      </c>
      <c r="B127" t="s">
        <v>2251</v>
      </c>
      <c r="C127" t="s">
        <v>2252</v>
      </c>
      <c r="D127" t="s">
        <v>2253</v>
      </c>
      <c r="E127" t="s">
        <v>2254</v>
      </c>
      <c r="F127" t="s">
        <v>2255</v>
      </c>
      <c r="G127">
        <v>136291310</v>
      </c>
      <c r="J127" s="354">
        <v>37396</v>
      </c>
      <c r="K127">
        <v>1.7044440000000001</v>
      </c>
      <c r="L127">
        <v>1.7044440000000001</v>
      </c>
      <c r="M127">
        <v>1.5888880000000001</v>
      </c>
      <c r="N127">
        <v>1.631111</v>
      </c>
      <c r="O127">
        <v>1.210135</v>
      </c>
      <c r="P127">
        <v>4630950</v>
      </c>
      <c r="R127" s="273" t="e">
        <f>(O127/O126)*('16. câmbio USD-BRL'!#REF!/'16. câmbio USD-BRL'!#REF!)^-1-1</f>
        <v>#REF!</v>
      </c>
    </row>
    <row r="128" spans="1:18" x14ac:dyDescent="0.2">
      <c r="A128" s="354">
        <v>40360</v>
      </c>
      <c r="B128" t="s">
        <v>1634</v>
      </c>
      <c r="C128" t="s">
        <v>2256</v>
      </c>
      <c r="D128" t="s">
        <v>2218</v>
      </c>
      <c r="E128" t="s">
        <v>2257</v>
      </c>
      <c r="F128" t="s">
        <v>2258</v>
      </c>
      <c r="G128">
        <v>250984200</v>
      </c>
      <c r="J128" s="354">
        <v>37403</v>
      </c>
      <c r="K128">
        <v>1.644444</v>
      </c>
      <c r="L128">
        <v>1.7866660000000001</v>
      </c>
      <c r="M128">
        <v>1.577777</v>
      </c>
      <c r="N128">
        <v>1.7</v>
      </c>
      <c r="O128">
        <v>1.261244</v>
      </c>
      <c r="P128">
        <v>5660550</v>
      </c>
      <c r="R128" s="273" t="e">
        <f>(O128/O127)*('16. câmbio USD-BRL'!#REF!/'16. câmbio USD-BRL'!#REF!)^-1-1</f>
        <v>#REF!</v>
      </c>
    </row>
    <row r="129" spans="1:18" x14ac:dyDescent="0.2">
      <c r="A129" s="354">
        <v>40391</v>
      </c>
      <c r="B129" t="s">
        <v>2259</v>
      </c>
      <c r="C129" t="s">
        <v>2260</v>
      </c>
      <c r="D129" t="s">
        <v>2261</v>
      </c>
      <c r="E129" t="s">
        <v>2262</v>
      </c>
      <c r="F129" t="s">
        <v>2263</v>
      </c>
      <c r="G129">
        <v>239852400</v>
      </c>
      <c r="J129" s="354">
        <v>37410</v>
      </c>
      <c r="K129">
        <v>1.7</v>
      </c>
      <c r="L129">
        <v>1.7444440000000001</v>
      </c>
      <c r="M129">
        <v>1.62</v>
      </c>
      <c r="N129">
        <v>1.673333</v>
      </c>
      <c r="O129">
        <v>1.2414590000000001</v>
      </c>
      <c r="P129">
        <v>6967800</v>
      </c>
      <c r="R129" s="273" t="e">
        <f>(O129/O128)*('16. câmbio USD-BRL'!#REF!/'16. câmbio USD-BRL'!#REF!)^-1-1</f>
        <v>#REF!</v>
      </c>
    </row>
    <row r="130" spans="1:18" x14ac:dyDescent="0.2">
      <c r="A130" s="354">
        <v>40422</v>
      </c>
      <c r="B130" t="s">
        <v>2264</v>
      </c>
      <c r="C130" t="s">
        <v>2265</v>
      </c>
      <c r="D130" t="s">
        <v>2266</v>
      </c>
      <c r="E130" t="s">
        <v>2267</v>
      </c>
      <c r="F130" t="s">
        <v>2268</v>
      </c>
      <c r="G130">
        <v>235493500</v>
      </c>
      <c r="J130" s="354">
        <v>37417</v>
      </c>
      <c r="K130">
        <v>1.6755549999999999</v>
      </c>
      <c r="L130">
        <v>1.708888</v>
      </c>
      <c r="M130">
        <v>1.6222220000000001</v>
      </c>
      <c r="N130">
        <v>1.624444</v>
      </c>
      <c r="O130">
        <v>1.2051879999999999</v>
      </c>
      <c r="P130">
        <v>12174750</v>
      </c>
      <c r="R130" s="273" t="e">
        <f>(O130/O129)*('16. câmbio USD-BRL'!#REF!/'16. câmbio USD-BRL'!#REF!)^-1-1</f>
        <v>#REF!</v>
      </c>
    </row>
    <row r="131" spans="1:18" x14ac:dyDescent="0.2">
      <c r="A131" s="354">
        <v>40452</v>
      </c>
      <c r="B131" t="s">
        <v>2221</v>
      </c>
      <c r="C131" t="s">
        <v>2269</v>
      </c>
      <c r="D131" t="s">
        <v>2270</v>
      </c>
      <c r="E131" t="s">
        <v>2271</v>
      </c>
      <c r="F131" t="s">
        <v>2272</v>
      </c>
      <c r="G131">
        <v>122230500</v>
      </c>
      <c r="J131" s="354">
        <v>37424</v>
      </c>
      <c r="K131">
        <v>1.6333329999999999</v>
      </c>
      <c r="L131">
        <v>1.733333</v>
      </c>
      <c r="M131">
        <v>1.3555550000000001</v>
      </c>
      <c r="N131">
        <v>1.357777</v>
      </c>
      <c r="O131">
        <v>1.0073460000000001</v>
      </c>
      <c r="P131">
        <v>11114550</v>
      </c>
      <c r="R131" s="273" t="e">
        <f>(O131/O130)*('16. câmbio USD-BRL'!#REF!/'16. câmbio USD-BRL'!#REF!)^-1-1</f>
        <v>#REF!</v>
      </c>
    </row>
    <row r="132" spans="1:18" x14ac:dyDescent="0.2">
      <c r="A132" s="354">
        <v>40483</v>
      </c>
      <c r="B132" t="s">
        <v>1647</v>
      </c>
      <c r="C132" t="s">
        <v>1648</v>
      </c>
      <c r="D132" t="s">
        <v>2273</v>
      </c>
      <c r="E132" t="s">
        <v>2273</v>
      </c>
      <c r="F132" t="s">
        <v>2274</v>
      </c>
      <c r="G132">
        <v>92689700</v>
      </c>
      <c r="J132" s="354">
        <v>37431</v>
      </c>
      <c r="K132">
        <v>1.4155549999999999</v>
      </c>
      <c r="L132">
        <v>1.548888</v>
      </c>
      <c r="M132">
        <v>1.377777</v>
      </c>
      <c r="N132">
        <v>1.5111110000000001</v>
      </c>
      <c r="O132">
        <v>1.1211059999999999</v>
      </c>
      <c r="P132">
        <v>12178350</v>
      </c>
      <c r="R132" s="273" t="e">
        <f>(O132/O131)*('16. câmbio USD-BRL'!#REF!/'16. câmbio USD-BRL'!#REF!)^-1-1</f>
        <v>#REF!</v>
      </c>
    </row>
    <row r="133" spans="1:18" x14ac:dyDescent="0.2">
      <c r="A133" s="354">
        <v>40513</v>
      </c>
      <c r="B133" t="s">
        <v>2275</v>
      </c>
      <c r="C133" t="s">
        <v>1685</v>
      </c>
      <c r="D133" t="s">
        <v>2276</v>
      </c>
      <c r="E133" t="s">
        <v>2277</v>
      </c>
      <c r="F133" t="s">
        <v>2278</v>
      </c>
      <c r="G133">
        <v>102431500</v>
      </c>
      <c r="J133" s="354">
        <v>37438</v>
      </c>
      <c r="K133">
        <v>1.5111110000000001</v>
      </c>
      <c r="L133">
        <v>1.555555</v>
      </c>
      <c r="M133">
        <v>1.411111</v>
      </c>
      <c r="N133">
        <v>1.4622219999999999</v>
      </c>
      <c r="O133">
        <v>1.0848340000000001</v>
      </c>
      <c r="P133">
        <v>8064450</v>
      </c>
      <c r="R133" s="273" t="e">
        <f>(O133/O132)*('16. câmbio USD-BRL'!#REF!/'16. câmbio USD-BRL'!#REF!)^-1-1</f>
        <v>#REF!</v>
      </c>
    </row>
    <row r="134" spans="1:18" x14ac:dyDescent="0.2">
      <c r="A134" s="354">
        <v>40544</v>
      </c>
      <c r="B134" t="s">
        <v>2279</v>
      </c>
      <c r="C134" t="s">
        <v>1667</v>
      </c>
      <c r="D134" t="s">
        <v>2280</v>
      </c>
      <c r="E134" t="s">
        <v>2281</v>
      </c>
      <c r="F134" t="s">
        <v>2282</v>
      </c>
      <c r="G134">
        <v>128440700</v>
      </c>
      <c r="J134" s="354">
        <v>37445</v>
      </c>
      <c r="K134">
        <v>1.448888</v>
      </c>
      <c r="L134">
        <v>1.488888</v>
      </c>
      <c r="M134">
        <v>1.3666659999999999</v>
      </c>
      <c r="N134">
        <v>1.397777</v>
      </c>
      <c r="O134">
        <v>1.0370220000000001</v>
      </c>
      <c r="P134">
        <v>7370550</v>
      </c>
      <c r="R134" s="273" t="e">
        <f>(O134/O133)*('16. câmbio USD-BRL'!#REF!/'16. câmbio USD-BRL'!#REF!)^-1-1</f>
        <v>#REF!</v>
      </c>
    </row>
    <row r="135" spans="1:18" x14ac:dyDescent="0.2">
      <c r="A135" s="354">
        <v>40575</v>
      </c>
      <c r="B135" t="s">
        <v>2283</v>
      </c>
      <c r="C135" t="s">
        <v>1645</v>
      </c>
      <c r="D135" t="s">
        <v>2284</v>
      </c>
      <c r="E135" t="s">
        <v>2285</v>
      </c>
      <c r="F135" t="s">
        <v>2286</v>
      </c>
      <c r="G135">
        <v>119702564</v>
      </c>
      <c r="J135" s="354">
        <v>37452</v>
      </c>
      <c r="K135">
        <v>1.4</v>
      </c>
      <c r="L135">
        <v>1.4444440000000001</v>
      </c>
      <c r="M135">
        <v>1.3288880000000001</v>
      </c>
      <c r="N135">
        <v>1.4222220000000001</v>
      </c>
      <c r="O135">
        <v>1.055158</v>
      </c>
      <c r="P135">
        <v>13681350</v>
      </c>
      <c r="R135" s="273" t="e">
        <f>(O135/O134)*('16. câmbio USD-BRL'!#REF!/'16. câmbio USD-BRL'!#REF!)^-1-1</f>
        <v>#REF!</v>
      </c>
    </row>
    <row r="136" spans="1:18" x14ac:dyDescent="0.2">
      <c r="A136" s="354">
        <v>40603</v>
      </c>
      <c r="B136" t="s">
        <v>2287</v>
      </c>
      <c r="C136" t="s">
        <v>2288</v>
      </c>
      <c r="D136" t="s">
        <v>2289</v>
      </c>
      <c r="E136" t="s">
        <v>2290</v>
      </c>
      <c r="F136" t="s">
        <v>2291</v>
      </c>
      <c r="G136">
        <v>114285400</v>
      </c>
      <c r="J136" s="354">
        <v>37459</v>
      </c>
      <c r="K136">
        <v>1.3311109999999999</v>
      </c>
      <c r="L136">
        <v>1.4222220000000001</v>
      </c>
      <c r="M136">
        <v>1.2</v>
      </c>
      <c r="N136">
        <v>1.2666660000000001</v>
      </c>
      <c r="O136">
        <v>0.93974999999999997</v>
      </c>
      <c r="P136">
        <v>12130650</v>
      </c>
      <c r="R136" s="273" t="e">
        <f>(O136/O135)*('16. câmbio USD-BRL'!#REF!/'16. câmbio USD-BRL'!#REF!)^-1-1</f>
        <v>#REF!</v>
      </c>
    </row>
    <row r="137" spans="1:18" x14ac:dyDescent="0.2">
      <c r="A137" s="354">
        <v>40634</v>
      </c>
      <c r="B137" t="s">
        <v>2290</v>
      </c>
      <c r="C137" t="s">
        <v>2290</v>
      </c>
      <c r="D137" t="s">
        <v>2292</v>
      </c>
      <c r="E137" t="s">
        <v>2293</v>
      </c>
      <c r="F137" t="s">
        <v>2294</v>
      </c>
      <c r="G137">
        <v>103155100</v>
      </c>
      <c r="J137" s="354">
        <v>37466</v>
      </c>
      <c r="K137">
        <v>1.2444440000000001</v>
      </c>
      <c r="L137">
        <v>1.3</v>
      </c>
      <c r="M137">
        <v>1.1222220000000001</v>
      </c>
      <c r="N137">
        <v>1.1888879999999999</v>
      </c>
      <c r="O137">
        <v>0.882046</v>
      </c>
      <c r="P137">
        <v>20412450</v>
      </c>
      <c r="R137" s="273" t="e">
        <f>(O137/O136)*('16. câmbio USD-BRL'!#REF!/'16. câmbio USD-BRL'!#REF!)^-1-1</f>
        <v>#REF!</v>
      </c>
    </row>
    <row r="138" spans="1:18" x14ac:dyDescent="0.2">
      <c r="A138" s="354">
        <v>40664</v>
      </c>
      <c r="B138" t="s">
        <v>2295</v>
      </c>
      <c r="C138" t="s">
        <v>2296</v>
      </c>
      <c r="D138" t="s">
        <v>2297</v>
      </c>
      <c r="E138" t="s">
        <v>2298</v>
      </c>
      <c r="F138" t="s">
        <v>2299</v>
      </c>
      <c r="G138">
        <v>104707110</v>
      </c>
      <c r="J138" s="354">
        <v>37473</v>
      </c>
      <c r="K138">
        <v>1.193333</v>
      </c>
      <c r="L138">
        <v>1.351111</v>
      </c>
      <c r="M138">
        <v>1.144444</v>
      </c>
      <c r="N138">
        <v>1.3088880000000001</v>
      </c>
      <c r="O138">
        <v>0.97107500000000002</v>
      </c>
      <c r="P138">
        <v>19980450</v>
      </c>
      <c r="R138" s="273" t="e">
        <f>(O138/O137)*('16. câmbio USD-BRL'!#REF!/'16. câmbio USD-BRL'!#REF!)^-1-1</f>
        <v>#REF!</v>
      </c>
    </row>
    <row r="139" spans="1:18" x14ac:dyDescent="0.2">
      <c r="A139" s="354">
        <v>40695</v>
      </c>
      <c r="B139" t="s">
        <v>2300</v>
      </c>
      <c r="C139" t="s">
        <v>2301</v>
      </c>
      <c r="D139" t="s">
        <v>2302</v>
      </c>
      <c r="E139" t="s">
        <v>2303</v>
      </c>
      <c r="F139" t="s">
        <v>2304</v>
      </c>
      <c r="G139">
        <v>98865200</v>
      </c>
      <c r="J139" s="354">
        <v>37480</v>
      </c>
      <c r="K139">
        <v>1.3111109999999999</v>
      </c>
      <c r="L139">
        <v>1.3488880000000001</v>
      </c>
      <c r="M139">
        <v>1.144444</v>
      </c>
      <c r="N139">
        <v>1.166666</v>
      </c>
      <c r="O139">
        <v>0.86555899999999997</v>
      </c>
      <c r="P139">
        <v>15349500</v>
      </c>
      <c r="R139" s="273" t="e">
        <f>(O139/O138)*('16. câmbio USD-BRL'!#REF!/'16. câmbio USD-BRL'!#REF!)^-1-1</f>
        <v>#REF!</v>
      </c>
    </row>
    <row r="140" spans="1:18" x14ac:dyDescent="0.2">
      <c r="A140" s="354">
        <v>40725</v>
      </c>
      <c r="B140" t="s">
        <v>2303</v>
      </c>
      <c r="C140" t="s">
        <v>2305</v>
      </c>
      <c r="D140" t="s">
        <v>2306</v>
      </c>
      <c r="E140" t="s">
        <v>2307</v>
      </c>
      <c r="F140" t="s">
        <v>2308</v>
      </c>
      <c r="G140">
        <v>99166120</v>
      </c>
      <c r="J140" s="354">
        <v>37487</v>
      </c>
      <c r="K140">
        <v>1.1333329999999999</v>
      </c>
      <c r="L140">
        <v>1.166666</v>
      </c>
      <c r="M140">
        <v>1.0688880000000001</v>
      </c>
      <c r="N140">
        <v>1.1088880000000001</v>
      </c>
      <c r="O140">
        <v>0.82269300000000001</v>
      </c>
      <c r="P140">
        <v>21442050</v>
      </c>
      <c r="R140" s="273" t="e">
        <f>(O140/O139)*('16. câmbio USD-BRL'!#REF!/'16. câmbio USD-BRL'!#REF!)^-1-1</f>
        <v>#REF!</v>
      </c>
    </row>
    <row r="141" spans="1:18" x14ac:dyDescent="0.2">
      <c r="A141" s="354">
        <v>40756</v>
      </c>
      <c r="B141" t="s">
        <v>2309</v>
      </c>
      <c r="C141" t="s">
        <v>2305</v>
      </c>
      <c r="D141" t="s">
        <v>2310</v>
      </c>
      <c r="E141" t="s">
        <v>2311</v>
      </c>
      <c r="F141" t="s">
        <v>2312</v>
      </c>
      <c r="G141">
        <v>232001000</v>
      </c>
      <c r="J141" s="354">
        <v>37494</v>
      </c>
      <c r="K141">
        <v>1.1133329999999999</v>
      </c>
      <c r="L141">
        <v>1.3066660000000001</v>
      </c>
      <c r="M141">
        <v>1.1133329999999999</v>
      </c>
      <c r="N141">
        <v>1.2711110000000001</v>
      </c>
      <c r="O141">
        <v>0.943048</v>
      </c>
      <c r="P141">
        <v>22869900</v>
      </c>
      <c r="R141" s="273" t="e">
        <f>(O141/O140)*('16. câmbio USD-BRL'!#REF!/'16. câmbio USD-BRL'!#REF!)^-1-1</f>
        <v>#REF!</v>
      </c>
    </row>
    <row r="142" spans="1:18" x14ac:dyDescent="0.2">
      <c r="A142" s="354">
        <v>40787</v>
      </c>
      <c r="B142" t="s">
        <v>2313</v>
      </c>
      <c r="C142" t="s">
        <v>2314</v>
      </c>
      <c r="D142" t="s">
        <v>2315</v>
      </c>
      <c r="E142" t="s">
        <v>2316</v>
      </c>
      <c r="F142" t="s">
        <v>2317</v>
      </c>
      <c r="G142">
        <v>152143400</v>
      </c>
      <c r="J142" s="354">
        <v>37501</v>
      </c>
      <c r="K142">
        <v>1.288888</v>
      </c>
      <c r="L142">
        <v>1.3066660000000001</v>
      </c>
      <c r="M142">
        <v>1.164444</v>
      </c>
      <c r="N142">
        <v>1.1822220000000001</v>
      </c>
      <c r="O142">
        <v>0.87709999999999999</v>
      </c>
      <c r="P142">
        <v>13436550</v>
      </c>
      <c r="R142" s="273" t="e">
        <f>(O142/O141)*('16. câmbio USD-BRL'!#REF!/'16. câmbio USD-BRL'!#REF!)^-1-1</f>
        <v>#REF!</v>
      </c>
    </row>
    <row r="143" spans="1:18" x14ac:dyDescent="0.2">
      <c r="A143" s="354">
        <v>40817</v>
      </c>
      <c r="B143" t="s">
        <v>2318</v>
      </c>
      <c r="C143" t="s">
        <v>2319</v>
      </c>
      <c r="D143" t="s">
        <v>2320</v>
      </c>
      <c r="E143" t="s">
        <v>2321</v>
      </c>
      <c r="F143" t="s">
        <v>2322</v>
      </c>
      <c r="G143">
        <v>108353000</v>
      </c>
      <c r="J143" s="354">
        <v>37508</v>
      </c>
      <c r="K143">
        <v>1.193333</v>
      </c>
      <c r="L143">
        <v>1.24</v>
      </c>
      <c r="M143">
        <v>1.1488879999999999</v>
      </c>
      <c r="N143">
        <v>1.226666</v>
      </c>
      <c r="O143">
        <v>0.91007300000000002</v>
      </c>
      <c r="P143">
        <v>6087150</v>
      </c>
      <c r="R143" s="273" t="e">
        <f>(O143/O142)*('16. câmbio USD-BRL'!#REF!/'16. câmbio USD-BRL'!#REF!)^-1-1</f>
        <v>#REF!</v>
      </c>
    </row>
    <row r="144" spans="1:18" x14ac:dyDescent="0.2">
      <c r="A144" s="354">
        <v>40848</v>
      </c>
      <c r="B144" t="s">
        <v>2323</v>
      </c>
      <c r="C144" t="s">
        <v>2324</v>
      </c>
      <c r="D144" t="s">
        <v>2325</v>
      </c>
      <c r="E144" t="s">
        <v>2326</v>
      </c>
      <c r="F144" t="s">
        <v>2327</v>
      </c>
      <c r="G144">
        <v>124360300</v>
      </c>
      <c r="J144" s="354">
        <v>37515</v>
      </c>
      <c r="K144">
        <v>1.233333</v>
      </c>
      <c r="L144">
        <v>1.233333</v>
      </c>
      <c r="M144">
        <v>1.1577770000000001</v>
      </c>
      <c r="N144">
        <v>1.1822220000000001</v>
      </c>
      <c r="O144">
        <v>0.87709999999999999</v>
      </c>
      <c r="P144">
        <v>8379900</v>
      </c>
      <c r="R144" s="273" t="e">
        <f>(O144/O143)*('16. câmbio USD-BRL'!#REF!/'16. câmbio USD-BRL'!#REF!)^-1-1</f>
        <v>#REF!</v>
      </c>
    </row>
    <row r="145" spans="1:18" x14ac:dyDescent="0.2">
      <c r="A145" s="354">
        <v>40878</v>
      </c>
      <c r="B145" t="s">
        <v>2328</v>
      </c>
      <c r="C145" t="s">
        <v>2329</v>
      </c>
      <c r="D145" t="s">
        <v>2330</v>
      </c>
      <c r="E145" t="s">
        <v>2331</v>
      </c>
      <c r="F145" t="s">
        <v>2332</v>
      </c>
      <c r="G145">
        <v>94463300</v>
      </c>
      <c r="J145" s="354">
        <v>37522</v>
      </c>
      <c r="K145">
        <v>1.1599999999999999</v>
      </c>
      <c r="L145">
        <v>1.1599999999999999</v>
      </c>
      <c r="M145">
        <v>1.0244439999999999</v>
      </c>
      <c r="N145">
        <v>1.0244439999999999</v>
      </c>
      <c r="O145">
        <v>0.76004300000000002</v>
      </c>
      <c r="P145">
        <v>11088450</v>
      </c>
      <c r="R145" s="273" t="e">
        <f>(O145/O144)*('16. câmbio USD-BRL'!#REF!/'16. câmbio USD-BRL'!#REF!)^-1-1</f>
        <v>#REF!</v>
      </c>
    </row>
    <row r="146" spans="1:18" x14ac:dyDescent="0.2">
      <c r="A146" s="354">
        <v>40909</v>
      </c>
      <c r="B146" t="s">
        <v>2331</v>
      </c>
      <c r="C146" t="s">
        <v>2333</v>
      </c>
      <c r="D146" t="s">
        <v>2334</v>
      </c>
      <c r="E146" t="s">
        <v>2335</v>
      </c>
      <c r="F146" t="s">
        <v>2336</v>
      </c>
      <c r="G146">
        <v>102359600</v>
      </c>
      <c r="J146" s="354">
        <v>37529</v>
      </c>
      <c r="K146">
        <v>1</v>
      </c>
      <c r="L146">
        <v>1.0955550000000001</v>
      </c>
      <c r="M146">
        <v>0.97555499999999995</v>
      </c>
      <c r="N146">
        <v>1.077777</v>
      </c>
      <c r="O146">
        <v>0.79961099999999996</v>
      </c>
      <c r="P146">
        <v>16922700</v>
      </c>
      <c r="R146" s="273" t="e">
        <f>(O146/O145)*('16. câmbio USD-BRL'!#REF!/'16. câmbio USD-BRL'!#REF!)^-1-1</f>
        <v>#REF!</v>
      </c>
    </row>
    <row r="147" spans="1:18" x14ac:dyDescent="0.2">
      <c r="A147" s="354">
        <v>40940</v>
      </c>
      <c r="B147" t="s">
        <v>2337</v>
      </c>
      <c r="C147" t="s">
        <v>2338</v>
      </c>
      <c r="D147" t="s">
        <v>2339</v>
      </c>
      <c r="E147" t="s">
        <v>2340</v>
      </c>
      <c r="F147" t="s">
        <v>2341</v>
      </c>
      <c r="G147">
        <v>91432400</v>
      </c>
      <c r="J147" s="354">
        <v>37536</v>
      </c>
      <c r="K147">
        <v>1.084444</v>
      </c>
      <c r="L147">
        <v>1.084444</v>
      </c>
      <c r="M147">
        <v>0.94888799999999995</v>
      </c>
      <c r="N147">
        <v>0.97777700000000001</v>
      </c>
      <c r="O147">
        <v>0.72542099999999998</v>
      </c>
      <c r="P147">
        <v>13757850</v>
      </c>
      <c r="R147" s="273" t="e">
        <f>(O147/O146)*('16. câmbio USD-BRL'!#REF!/'16. câmbio USD-BRL'!#REF!)^-1-1</f>
        <v>#REF!</v>
      </c>
    </row>
    <row r="148" spans="1:18" x14ac:dyDescent="0.2">
      <c r="A148" s="354">
        <v>40969</v>
      </c>
      <c r="B148" t="s">
        <v>2340</v>
      </c>
      <c r="C148" t="s">
        <v>2303</v>
      </c>
      <c r="D148" t="s">
        <v>2340</v>
      </c>
      <c r="E148" t="s">
        <v>2342</v>
      </c>
      <c r="F148" t="s">
        <v>2343</v>
      </c>
      <c r="G148">
        <v>149027800</v>
      </c>
      <c r="J148" s="354">
        <v>37543</v>
      </c>
      <c r="K148">
        <v>0.97777700000000001</v>
      </c>
      <c r="L148">
        <v>0.97777700000000001</v>
      </c>
      <c r="M148">
        <v>0.88888800000000001</v>
      </c>
      <c r="N148">
        <v>0.95555500000000004</v>
      </c>
      <c r="O148">
        <v>0.70893399999999995</v>
      </c>
      <c r="P148">
        <v>13043250</v>
      </c>
      <c r="R148" s="273" t="e">
        <f>(O148/O147)*('16. câmbio USD-BRL'!#REF!/'16. câmbio USD-BRL'!#REF!)^-1-1</f>
        <v>#REF!</v>
      </c>
    </row>
    <row r="149" spans="1:18" x14ac:dyDescent="0.2">
      <c r="A149" s="354">
        <v>41000</v>
      </c>
      <c r="B149" t="s">
        <v>2344</v>
      </c>
      <c r="C149" t="s">
        <v>2345</v>
      </c>
      <c r="D149" t="s">
        <v>2346</v>
      </c>
      <c r="E149" t="s">
        <v>2347</v>
      </c>
      <c r="F149" t="s">
        <v>2348</v>
      </c>
      <c r="G149">
        <v>95047800</v>
      </c>
      <c r="J149" s="354">
        <v>37550</v>
      </c>
      <c r="K149">
        <v>0.98888799999999999</v>
      </c>
      <c r="L149">
        <v>1.211111</v>
      </c>
      <c r="M149">
        <v>0.94666600000000001</v>
      </c>
      <c r="N149">
        <v>1.171111</v>
      </c>
      <c r="O149">
        <v>0.86885699999999999</v>
      </c>
      <c r="P149">
        <v>25323300</v>
      </c>
      <c r="R149" s="273" t="e">
        <f>(O149/O148)*('16. câmbio USD-BRL'!#REF!/'16. câmbio USD-BRL'!#REF!)^-1-1</f>
        <v>#REF!</v>
      </c>
    </row>
    <row r="150" spans="1:18" x14ac:dyDescent="0.2">
      <c r="A150" s="354">
        <v>41030</v>
      </c>
      <c r="B150" t="s">
        <v>2347</v>
      </c>
      <c r="C150" t="s">
        <v>2349</v>
      </c>
      <c r="D150" t="s">
        <v>2350</v>
      </c>
      <c r="E150" t="s">
        <v>2350</v>
      </c>
      <c r="F150" t="s">
        <v>2351</v>
      </c>
      <c r="G150">
        <v>123740400</v>
      </c>
      <c r="J150" s="354">
        <v>37557</v>
      </c>
      <c r="K150">
        <v>1.1977770000000001</v>
      </c>
      <c r="L150">
        <v>1.248888</v>
      </c>
      <c r="M150">
        <v>1.0955550000000001</v>
      </c>
      <c r="N150">
        <v>1.2177770000000001</v>
      </c>
      <c r="O150">
        <v>0.90347900000000003</v>
      </c>
      <c r="P150">
        <v>15267150</v>
      </c>
      <c r="R150" s="273" t="e">
        <f>(O150/O149)*('16. câmbio USD-BRL'!#REF!/'16. câmbio USD-BRL'!#REF!)^-1-1</f>
        <v>#REF!</v>
      </c>
    </row>
    <row r="151" spans="1:18" x14ac:dyDescent="0.2">
      <c r="A151" s="354">
        <v>41061</v>
      </c>
      <c r="B151" t="s">
        <v>2352</v>
      </c>
      <c r="C151" t="s">
        <v>2353</v>
      </c>
      <c r="D151" t="s">
        <v>2354</v>
      </c>
      <c r="E151" t="s">
        <v>2355</v>
      </c>
      <c r="F151" t="s">
        <v>2356</v>
      </c>
      <c r="G151">
        <v>192327200</v>
      </c>
      <c r="J151" s="354">
        <v>37564</v>
      </c>
      <c r="K151">
        <v>1.2222219999999999</v>
      </c>
      <c r="L151">
        <v>1.2666660000000001</v>
      </c>
      <c r="M151">
        <v>1.1533329999999999</v>
      </c>
      <c r="N151">
        <v>1.173333</v>
      </c>
      <c r="O151">
        <v>0.87050499999999997</v>
      </c>
      <c r="P151">
        <v>9250650</v>
      </c>
      <c r="R151" s="273" t="e">
        <f>(O151/O150)*('16. câmbio USD-BRL'!#REF!/'16. câmbio USD-BRL'!#REF!)^-1-1</f>
        <v>#REF!</v>
      </c>
    </row>
    <row r="152" spans="1:18" x14ac:dyDescent="0.2">
      <c r="A152" s="354">
        <v>41091</v>
      </c>
      <c r="B152" t="s">
        <v>2355</v>
      </c>
      <c r="C152" t="s">
        <v>2357</v>
      </c>
      <c r="D152" t="s">
        <v>2358</v>
      </c>
      <c r="E152" t="s">
        <v>2359</v>
      </c>
      <c r="F152" t="s">
        <v>2360</v>
      </c>
      <c r="G152">
        <v>179616200</v>
      </c>
      <c r="J152" s="354">
        <v>37571</v>
      </c>
      <c r="K152">
        <v>1.1777770000000001</v>
      </c>
      <c r="L152">
        <v>1.2022219999999999</v>
      </c>
      <c r="M152">
        <v>1.0933330000000001</v>
      </c>
      <c r="N152">
        <v>1.2</v>
      </c>
      <c r="O152">
        <v>0.89029000000000003</v>
      </c>
      <c r="P152">
        <v>6420600</v>
      </c>
      <c r="R152" s="273" t="e">
        <f>(O152/O151)*('16. câmbio USD-BRL'!#REF!/'16. câmbio USD-BRL'!#REF!)^-1-1</f>
        <v>#REF!</v>
      </c>
    </row>
    <row r="153" spans="1:18" x14ac:dyDescent="0.2">
      <c r="A153" s="354">
        <v>41122</v>
      </c>
      <c r="B153" t="s">
        <v>2361</v>
      </c>
      <c r="C153" t="s">
        <v>2362</v>
      </c>
      <c r="D153" t="s">
        <v>2363</v>
      </c>
      <c r="E153" t="s">
        <v>2364</v>
      </c>
      <c r="F153" t="s">
        <v>2365</v>
      </c>
      <c r="G153">
        <v>234248100</v>
      </c>
      <c r="J153" s="354">
        <v>37578</v>
      </c>
      <c r="K153">
        <v>1.2</v>
      </c>
      <c r="L153">
        <v>1.344444</v>
      </c>
      <c r="M153">
        <v>1.1844440000000001</v>
      </c>
      <c r="N153">
        <v>1.317777</v>
      </c>
      <c r="O153">
        <v>0.97766900000000001</v>
      </c>
      <c r="P153">
        <v>18553050</v>
      </c>
      <c r="R153" s="273" t="e">
        <f>(O153/O152)*('16. câmbio USD-BRL'!#REF!/'16. câmbio USD-BRL'!#REF!)^-1-1</f>
        <v>#REF!</v>
      </c>
    </row>
    <row r="154" spans="1:18" x14ac:dyDescent="0.2">
      <c r="A154" s="354">
        <v>41153</v>
      </c>
      <c r="B154" t="s">
        <v>2366</v>
      </c>
      <c r="C154" t="s">
        <v>2367</v>
      </c>
      <c r="D154" t="s">
        <v>1263</v>
      </c>
      <c r="E154" t="s">
        <v>2368</v>
      </c>
      <c r="F154" t="s">
        <v>2369</v>
      </c>
      <c r="G154">
        <v>277182100</v>
      </c>
      <c r="J154" s="354">
        <v>37585</v>
      </c>
      <c r="K154">
        <v>1.3333330000000001</v>
      </c>
      <c r="L154">
        <v>1.406666</v>
      </c>
      <c r="M154">
        <v>1.3111109999999999</v>
      </c>
      <c r="N154">
        <v>1.357777</v>
      </c>
      <c r="O154">
        <v>1.0073460000000001</v>
      </c>
      <c r="P154">
        <v>14453550</v>
      </c>
      <c r="R154" s="273" t="e">
        <f>(O154/O153)*('16. câmbio USD-BRL'!#REF!/'16. câmbio USD-BRL'!#REF!)^-1-1</f>
        <v>#REF!</v>
      </c>
    </row>
    <row r="155" spans="1:18" x14ac:dyDescent="0.2">
      <c r="A155" s="354">
        <v>41183</v>
      </c>
      <c r="B155" t="s">
        <v>2325</v>
      </c>
      <c r="C155" t="s">
        <v>1499</v>
      </c>
      <c r="D155" t="s">
        <v>1402</v>
      </c>
      <c r="E155" t="s">
        <v>2370</v>
      </c>
      <c r="F155" t="s">
        <v>2371</v>
      </c>
      <c r="G155">
        <v>152003300</v>
      </c>
      <c r="J155" s="354">
        <v>37592</v>
      </c>
      <c r="K155">
        <v>1.3666659999999999</v>
      </c>
      <c r="L155">
        <v>1.4</v>
      </c>
      <c r="M155">
        <v>1.2933330000000001</v>
      </c>
      <c r="N155">
        <v>1.3333330000000001</v>
      </c>
      <c r="O155">
        <v>0.98921000000000003</v>
      </c>
      <c r="P155">
        <v>11536650</v>
      </c>
      <c r="R155" s="273" t="e">
        <f>(O155/O154)*('16. câmbio USD-BRL'!#REF!/'16. câmbio USD-BRL'!#REF!)^-1-1</f>
        <v>#REF!</v>
      </c>
    </row>
    <row r="156" spans="1:18" x14ac:dyDescent="0.2">
      <c r="A156" s="354">
        <v>41214</v>
      </c>
      <c r="B156" t="s">
        <v>2372</v>
      </c>
      <c r="C156" t="s">
        <v>2373</v>
      </c>
      <c r="D156" t="s">
        <v>2374</v>
      </c>
      <c r="E156" t="s">
        <v>2324</v>
      </c>
      <c r="F156" t="s">
        <v>2375</v>
      </c>
      <c r="G156">
        <v>168313000</v>
      </c>
      <c r="J156" s="354">
        <v>37599</v>
      </c>
      <c r="K156">
        <v>1.335555</v>
      </c>
      <c r="L156">
        <v>1.38</v>
      </c>
      <c r="M156">
        <v>1.2844439999999999</v>
      </c>
      <c r="N156">
        <v>1.344444</v>
      </c>
      <c r="O156">
        <v>0.99745399999999995</v>
      </c>
      <c r="P156">
        <v>11543400</v>
      </c>
      <c r="R156" s="273" t="e">
        <f>(O156/O155)*('16. câmbio USD-BRL'!#REF!/'16. câmbio USD-BRL'!#REF!)^-1-1</f>
        <v>#REF!</v>
      </c>
    </row>
    <row r="157" spans="1:18" x14ac:dyDescent="0.2">
      <c r="A157" s="354">
        <v>41244</v>
      </c>
      <c r="B157" t="s">
        <v>2376</v>
      </c>
      <c r="C157" t="s">
        <v>2377</v>
      </c>
      <c r="D157" t="s">
        <v>2378</v>
      </c>
      <c r="E157" t="s">
        <v>2379</v>
      </c>
      <c r="F157" t="s">
        <v>2380</v>
      </c>
      <c r="G157">
        <v>118714100</v>
      </c>
      <c r="J157" s="354">
        <v>37606</v>
      </c>
      <c r="K157">
        <v>1.3666659999999999</v>
      </c>
      <c r="L157">
        <v>1.411111</v>
      </c>
      <c r="M157">
        <v>1.3066660000000001</v>
      </c>
      <c r="N157">
        <v>1.397777</v>
      </c>
      <c r="O157">
        <v>1.0370220000000001</v>
      </c>
      <c r="P157">
        <v>23492250</v>
      </c>
      <c r="R157" s="273" t="e">
        <f>(O157/O156)*('16. câmbio USD-BRL'!#REF!/'16. câmbio USD-BRL'!#REF!)^-1-1</f>
        <v>#REF!</v>
      </c>
    </row>
    <row r="158" spans="1:18" x14ac:dyDescent="0.2">
      <c r="A158" s="354">
        <v>41275</v>
      </c>
      <c r="B158" t="s">
        <v>2379</v>
      </c>
      <c r="C158" t="s">
        <v>2381</v>
      </c>
      <c r="D158" t="s">
        <v>2331</v>
      </c>
      <c r="E158" t="s">
        <v>1982</v>
      </c>
      <c r="F158" t="s">
        <v>2382</v>
      </c>
      <c r="G158">
        <v>146951400</v>
      </c>
      <c r="J158" s="354">
        <v>37613</v>
      </c>
      <c r="K158">
        <v>1.4</v>
      </c>
      <c r="L158">
        <v>1.5</v>
      </c>
      <c r="M158">
        <v>1.3933329999999999</v>
      </c>
      <c r="N158">
        <v>1.468888</v>
      </c>
      <c r="O158">
        <v>1.08978</v>
      </c>
      <c r="P158">
        <v>6422850</v>
      </c>
      <c r="R158" s="273" t="e">
        <f>(O158/O157)*('16. câmbio USD-BRL'!#REF!/'16. câmbio USD-BRL'!#REF!)^-1-1</f>
        <v>#REF!</v>
      </c>
    </row>
    <row r="159" spans="1:18" x14ac:dyDescent="0.2">
      <c r="A159" s="354">
        <v>41306</v>
      </c>
      <c r="B159" t="s">
        <v>2383</v>
      </c>
      <c r="C159" t="s">
        <v>2384</v>
      </c>
      <c r="D159" t="s">
        <v>1419</v>
      </c>
      <c r="E159" t="s">
        <v>2385</v>
      </c>
      <c r="F159" t="s">
        <v>2386</v>
      </c>
      <c r="G159">
        <v>135067000</v>
      </c>
      <c r="J159" s="354">
        <v>37620</v>
      </c>
      <c r="K159">
        <v>1.468888</v>
      </c>
      <c r="L159">
        <v>1.5688880000000001</v>
      </c>
      <c r="M159">
        <v>1.4577770000000001</v>
      </c>
      <c r="N159">
        <v>1.522222</v>
      </c>
      <c r="O159">
        <v>1.1293489999999999</v>
      </c>
      <c r="P159">
        <v>6393600</v>
      </c>
      <c r="R159" s="273" t="e">
        <f>(O159/O158)*('16. câmbio USD-BRL'!#REF!/'16. câmbio USD-BRL'!#REF!)^-1-1</f>
        <v>#REF!</v>
      </c>
    </row>
    <row r="160" spans="1:18" x14ac:dyDescent="0.2">
      <c r="A160" s="354">
        <v>41334</v>
      </c>
      <c r="B160" t="s">
        <v>2387</v>
      </c>
      <c r="C160" t="s">
        <v>2388</v>
      </c>
      <c r="D160" t="s">
        <v>2389</v>
      </c>
      <c r="E160" t="s">
        <v>2390</v>
      </c>
      <c r="F160" t="s">
        <v>2391</v>
      </c>
      <c r="G160">
        <v>129853300</v>
      </c>
      <c r="J160" s="354">
        <v>37627</v>
      </c>
      <c r="K160">
        <v>1.542222</v>
      </c>
      <c r="L160">
        <v>1.664444</v>
      </c>
      <c r="M160">
        <v>1.535555</v>
      </c>
      <c r="N160">
        <v>1.5933330000000001</v>
      </c>
      <c r="O160">
        <v>1.182107</v>
      </c>
      <c r="P160">
        <v>11444400</v>
      </c>
      <c r="R160" s="273" t="e">
        <f>(O160/O159)*('16. câmbio USD-BRL'!#REF!/'16. câmbio USD-BRL'!#REF!)^-1-1</f>
        <v>#REF!</v>
      </c>
    </row>
    <row r="161" spans="1:18" x14ac:dyDescent="0.2">
      <c r="A161" s="354">
        <v>41365</v>
      </c>
      <c r="B161" t="s">
        <v>2392</v>
      </c>
      <c r="C161" t="s">
        <v>2393</v>
      </c>
      <c r="D161" t="s">
        <v>2394</v>
      </c>
      <c r="E161" t="s">
        <v>2395</v>
      </c>
      <c r="F161" t="s">
        <v>2396</v>
      </c>
      <c r="G161">
        <v>133457800</v>
      </c>
      <c r="J161" s="354">
        <v>37634</v>
      </c>
      <c r="K161">
        <v>1.5933330000000001</v>
      </c>
      <c r="L161">
        <v>1.6555550000000001</v>
      </c>
      <c r="M161">
        <v>1.5444439999999999</v>
      </c>
      <c r="N161">
        <v>1.5444439999999999</v>
      </c>
      <c r="O161">
        <v>1.1458349999999999</v>
      </c>
      <c r="P161">
        <v>14566050</v>
      </c>
      <c r="R161" s="273" t="e">
        <f>(O161/O160)*('16. câmbio USD-BRL'!#REF!/'16. câmbio USD-BRL'!#REF!)^-1-1</f>
        <v>#REF!</v>
      </c>
    </row>
    <row r="162" spans="1:18" x14ac:dyDescent="0.2">
      <c r="A162" s="354">
        <v>41395</v>
      </c>
      <c r="B162" t="s">
        <v>2395</v>
      </c>
      <c r="C162" t="s">
        <v>2397</v>
      </c>
      <c r="D162" t="s">
        <v>1338</v>
      </c>
      <c r="E162" t="s">
        <v>2398</v>
      </c>
      <c r="F162" t="s">
        <v>2399</v>
      </c>
      <c r="G162">
        <v>149055100</v>
      </c>
      <c r="J162" s="354">
        <v>37641</v>
      </c>
      <c r="K162">
        <v>1.555555</v>
      </c>
      <c r="L162">
        <v>1.693333</v>
      </c>
      <c r="M162">
        <v>1.522222</v>
      </c>
      <c r="N162">
        <v>1.644444</v>
      </c>
      <c r="O162">
        <v>1.2200260000000001</v>
      </c>
      <c r="P162">
        <v>18556650</v>
      </c>
      <c r="R162" s="273" t="e">
        <f>(O162/O161)*('16. câmbio USD-BRL'!#REF!/'16. câmbio USD-BRL'!#REF!)^-1-1</f>
        <v>#REF!</v>
      </c>
    </row>
    <row r="163" spans="1:18" x14ac:dyDescent="0.2">
      <c r="A163" s="354">
        <v>41426</v>
      </c>
      <c r="B163" t="s">
        <v>1410</v>
      </c>
      <c r="C163" t="s">
        <v>2400</v>
      </c>
      <c r="D163" t="s">
        <v>2401</v>
      </c>
      <c r="E163" t="s">
        <v>2402</v>
      </c>
      <c r="F163" t="s">
        <v>2403</v>
      </c>
      <c r="G163">
        <v>147122300</v>
      </c>
      <c r="J163" s="354">
        <v>37648</v>
      </c>
      <c r="K163">
        <v>1.62</v>
      </c>
      <c r="L163">
        <v>1.6822220000000001</v>
      </c>
      <c r="M163">
        <v>1.5688880000000001</v>
      </c>
      <c r="N163">
        <v>1.644444</v>
      </c>
      <c r="O163">
        <v>1.2200260000000001</v>
      </c>
      <c r="P163">
        <v>11380500</v>
      </c>
      <c r="R163" s="273" t="e">
        <f>(O163/O162)*('16. câmbio USD-BRL'!#REF!/'16. câmbio USD-BRL'!#REF!)^-1-1</f>
        <v>#REF!</v>
      </c>
    </row>
    <row r="164" spans="1:18" x14ac:dyDescent="0.2">
      <c r="A164" s="354">
        <v>41456</v>
      </c>
      <c r="B164" t="s">
        <v>2404</v>
      </c>
      <c r="C164" t="s">
        <v>2405</v>
      </c>
      <c r="D164" t="s">
        <v>2406</v>
      </c>
      <c r="E164" t="s">
        <v>2407</v>
      </c>
      <c r="F164" t="s">
        <v>2408</v>
      </c>
      <c r="G164">
        <v>180175800</v>
      </c>
      <c r="J164" s="354">
        <v>37655</v>
      </c>
      <c r="K164">
        <v>1.666666</v>
      </c>
      <c r="L164">
        <v>1.666666</v>
      </c>
      <c r="M164">
        <v>1.562222</v>
      </c>
      <c r="N164">
        <v>1.5888880000000001</v>
      </c>
      <c r="O164">
        <v>1.178809</v>
      </c>
      <c r="P164">
        <v>6979950</v>
      </c>
      <c r="R164" s="273" t="e">
        <f>(O164/O163)*('16. câmbio USD-BRL'!#REF!/'16. câmbio USD-BRL'!#REF!)^-1-1</f>
        <v>#REF!</v>
      </c>
    </row>
    <row r="165" spans="1:18" x14ac:dyDescent="0.2">
      <c r="A165" s="354">
        <v>41487</v>
      </c>
      <c r="B165" t="s">
        <v>2409</v>
      </c>
      <c r="C165" t="s">
        <v>2410</v>
      </c>
      <c r="D165" t="s">
        <v>2411</v>
      </c>
      <c r="E165" t="s">
        <v>2412</v>
      </c>
      <c r="F165" t="s">
        <v>2413</v>
      </c>
      <c r="G165">
        <v>223544000</v>
      </c>
      <c r="J165" s="354">
        <v>37662</v>
      </c>
      <c r="K165">
        <v>1.6</v>
      </c>
      <c r="L165">
        <v>1.711111</v>
      </c>
      <c r="M165">
        <v>1.562222</v>
      </c>
      <c r="N165">
        <v>1.5955550000000001</v>
      </c>
      <c r="O165">
        <v>1.1837549999999999</v>
      </c>
      <c r="P165">
        <v>21431700</v>
      </c>
      <c r="R165" s="273" t="e">
        <f>(O165/O164)*('16. câmbio USD-BRL'!#REF!/'16. câmbio USD-BRL'!#REF!)^-1-1</f>
        <v>#REF!</v>
      </c>
    </row>
    <row r="166" spans="1:18" x14ac:dyDescent="0.2">
      <c r="A166" s="354">
        <v>41518</v>
      </c>
      <c r="B166" t="s">
        <v>1503</v>
      </c>
      <c r="C166" t="s">
        <v>2414</v>
      </c>
      <c r="D166" t="s">
        <v>2415</v>
      </c>
      <c r="E166" t="s">
        <v>2316</v>
      </c>
      <c r="F166" t="s">
        <v>2416</v>
      </c>
      <c r="G166">
        <v>124730100</v>
      </c>
      <c r="J166" s="354">
        <v>37669</v>
      </c>
      <c r="K166">
        <v>1.6222220000000001</v>
      </c>
      <c r="L166">
        <v>1.6777770000000001</v>
      </c>
      <c r="M166">
        <v>1.6066659999999999</v>
      </c>
      <c r="N166">
        <v>1.664444</v>
      </c>
      <c r="O166">
        <v>1.234864</v>
      </c>
      <c r="P166">
        <v>10877400</v>
      </c>
      <c r="R166" s="273" t="e">
        <f>(O166/O165)*('16. câmbio USD-BRL'!#REF!/'16. câmbio USD-BRL'!#REF!)^-1-1</f>
        <v>#REF!</v>
      </c>
    </row>
    <row r="167" spans="1:18" x14ac:dyDescent="0.2">
      <c r="A167" s="354">
        <v>41548</v>
      </c>
      <c r="B167" t="s">
        <v>1499</v>
      </c>
      <c r="C167" t="s">
        <v>2417</v>
      </c>
      <c r="D167" t="s">
        <v>1503</v>
      </c>
      <c r="E167" t="s">
        <v>2418</v>
      </c>
      <c r="F167" t="s">
        <v>2419</v>
      </c>
      <c r="G167">
        <v>157226700</v>
      </c>
      <c r="J167" s="354">
        <v>37676</v>
      </c>
      <c r="K167">
        <v>1.6622220000000001</v>
      </c>
      <c r="L167">
        <v>1.7422219999999999</v>
      </c>
      <c r="M167">
        <v>1.651111</v>
      </c>
      <c r="N167">
        <v>1.6822220000000001</v>
      </c>
      <c r="O167">
        <v>1.248054</v>
      </c>
      <c r="P167">
        <v>11322450</v>
      </c>
      <c r="R167" s="273" t="e">
        <f>(O167/O166)*('16. câmbio USD-BRL'!#REF!/'16. câmbio USD-BRL'!#REF!)^-1-1</f>
        <v>#REF!</v>
      </c>
    </row>
    <row r="168" spans="1:18" x14ac:dyDescent="0.2">
      <c r="A168" s="354">
        <v>41579</v>
      </c>
      <c r="B168" t="s">
        <v>2333</v>
      </c>
      <c r="C168" t="s">
        <v>2420</v>
      </c>
      <c r="D168" t="s">
        <v>2421</v>
      </c>
      <c r="E168" t="s">
        <v>2422</v>
      </c>
      <c r="F168" t="s">
        <v>2423</v>
      </c>
      <c r="G168">
        <v>124919000</v>
      </c>
      <c r="J168" s="354">
        <v>37683</v>
      </c>
      <c r="K168">
        <v>1.6822220000000001</v>
      </c>
      <c r="L168">
        <v>1.7666660000000001</v>
      </c>
      <c r="M168">
        <v>1.6577770000000001</v>
      </c>
      <c r="N168">
        <v>1.74</v>
      </c>
      <c r="O168">
        <v>1.2909200000000001</v>
      </c>
      <c r="P168">
        <v>4145850</v>
      </c>
      <c r="R168" s="273" t="e">
        <f>(O168/O167)*('16. câmbio USD-BRL'!#REF!/'16. câmbio USD-BRL'!#REF!)^-1-1</f>
        <v>#REF!</v>
      </c>
    </row>
    <row r="169" spans="1:18" x14ac:dyDescent="0.2">
      <c r="A169" s="354">
        <v>41609</v>
      </c>
      <c r="B169" t="s">
        <v>2424</v>
      </c>
      <c r="C169" t="s">
        <v>2425</v>
      </c>
      <c r="D169" t="s">
        <v>2426</v>
      </c>
      <c r="E169" t="s">
        <v>2427</v>
      </c>
      <c r="F169" t="s">
        <v>2428</v>
      </c>
      <c r="G169">
        <v>103066100</v>
      </c>
      <c r="J169" s="354">
        <v>37690</v>
      </c>
      <c r="K169">
        <v>1.68</v>
      </c>
      <c r="L169">
        <v>1.733333</v>
      </c>
      <c r="M169">
        <v>1.611111</v>
      </c>
      <c r="N169">
        <v>1.72</v>
      </c>
      <c r="O169">
        <v>1.2760819999999999</v>
      </c>
      <c r="P169">
        <v>9743850</v>
      </c>
      <c r="R169" s="273" t="e">
        <f>(O169/O168)*('16. câmbio USD-BRL'!#REF!/'16. câmbio USD-BRL'!#REF!)^-1-1</f>
        <v>#REF!</v>
      </c>
    </row>
    <row r="170" spans="1:18" x14ac:dyDescent="0.2">
      <c r="A170" s="354">
        <v>41640</v>
      </c>
      <c r="B170" t="s">
        <v>2427</v>
      </c>
      <c r="C170" t="s">
        <v>2429</v>
      </c>
      <c r="D170" t="s">
        <v>2430</v>
      </c>
      <c r="E170" t="s">
        <v>2431</v>
      </c>
      <c r="F170" t="s">
        <v>2432</v>
      </c>
      <c r="G170">
        <v>148687300</v>
      </c>
      <c r="J170" s="354">
        <v>37697</v>
      </c>
      <c r="K170">
        <v>1.6955549999999999</v>
      </c>
      <c r="L170">
        <v>1.7711110000000001</v>
      </c>
      <c r="M170">
        <v>1.666666</v>
      </c>
      <c r="N170">
        <v>1.7666660000000001</v>
      </c>
      <c r="O170">
        <v>1.3107040000000001</v>
      </c>
      <c r="P170">
        <v>14616000</v>
      </c>
      <c r="R170" s="273" t="e">
        <f>(O170/O169)*('16. câmbio USD-BRL'!#REF!/'16. câmbio USD-BRL'!#REF!)^-1-1</f>
        <v>#REF!</v>
      </c>
    </row>
    <row r="171" spans="1:18" x14ac:dyDescent="0.2">
      <c r="A171" s="354">
        <v>41671</v>
      </c>
      <c r="B171" t="s">
        <v>2433</v>
      </c>
      <c r="C171" t="s">
        <v>2434</v>
      </c>
      <c r="D171" t="s">
        <v>1411</v>
      </c>
      <c r="E171" t="s">
        <v>2435</v>
      </c>
      <c r="F171" t="s">
        <v>2436</v>
      </c>
      <c r="G171">
        <v>133418200</v>
      </c>
      <c r="J171" s="354">
        <v>37704</v>
      </c>
      <c r="K171">
        <v>1.72</v>
      </c>
      <c r="L171">
        <v>1.9977769999999999</v>
      </c>
      <c r="M171">
        <v>1.7</v>
      </c>
      <c r="N171">
        <v>1.995555</v>
      </c>
      <c r="O171">
        <v>1.4805189999999999</v>
      </c>
      <c r="P171">
        <v>20971350</v>
      </c>
      <c r="R171" s="273" t="e">
        <f>(O171/O170)*('16. câmbio USD-BRL'!#REF!/'16. câmbio USD-BRL'!#REF!)^-1-1</f>
        <v>#REF!</v>
      </c>
    </row>
    <row r="172" spans="1:18" x14ac:dyDescent="0.2">
      <c r="A172" s="354">
        <v>41699</v>
      </c>
      <c r="B172" t="s">
        <v>2435</v>
      </c>
      <c r="C172" t="s">
        <v>2437</v>
      </c>
      <c r="D172" t="s">
        <v>2438</v>
      </c>
      <c r="E172" t="s">
        <v>2439</v>
      </c>
      <c r="F172" t="s">
        <v>2440</v>
      </c>
      <c r="G172">
        <v>160132600</v>
      </c>
      <c r="J172" s="354">
        <v>37711</v>
      </c>
      <c r="K172">
        <v>1.931111</v>
      </c>
      <c r="L172">
        <v>2.1888879999999999</v>
      </c>
      <c r="M172">
        <v>1.931111</v>
      </c>
      <c r="N172">
        <v>2.1777769999999999</v>
      </c>
      <c r="O172">
        <v>1.61571</v>
      </c>
      <c r="P172">
        <v>23079150</v>
      </c>
      <c r="R172" s="273" t="e">
        <f>(O172/O171)*('16. câmbio USD-BRL'!#REF!/'16. câmbio USD-BRL'!#REF!)^-1-1</f>
        <v>#REF!</v>
      </c>
    </row>
    <row r="173" spans="1:18" x14ac:dyDescent="0.2">
      <c r="A173" s="354">
        <v>41730</v>
      </c>
      <c r="B173" t="s">
        <v>2441</v>
      </c>
      <c r="C173" t="s">
        <v>2316</v>
      </c>
      <c r="D173" t="s">
        <v>2353</v>
      </c>
      <c r="E173" t="s">
        <v>2442</v>
      </c>
      <c r="F173" t="s">
        <v>2443</v>
      </c>
      <c r="G173">
        <v>168056300</v>
      </c>
      <c r="J173" s="354">
        <v>37718</v>
      </c>
      <c r="K173">
        <v>2.1911109999999998</v>
      </c>
      <c r="L173">
        <v>2.2666659999999998</v>
      </c>
      <c r="M173">
        <v>1.9777769999999999</v>
      </c>
      <c r="N173">
        <v>2.2000000000000002</v>
      </c>
      <c r="O173">
        <v>1.632198</v>
      </c>
      <c r="P173">
        <v>29551050</v>
      </c>
      <c r="R173" s="273" t="e">
        <f>(O173/O172)*('16. câmbio USD-BRL'!#REF!/'16. câmbio USD-BRL'!#REF!)^-1-1</f>
        <v>#REF!</v>
      </c>
    </row>
    <row r="174" spans="1:18" x14ac:dyDescent="0.2">
      <c r="A174" s="354">
        <v>41760</v>
      </c>
      <c r="B174" t="s">
        <v>2442</v>
      </c>
      <c r="C174" t="s">
        <v>2444</v>
      </c>
      <c r="D174" t="s">
        <v>2445</v>
      </c>
      <c r="E174" t="s">
        <v>1473</v>
      </c>
      <c r="F174" t="s">
        <v>2446</v>
      </c>
      <c r="G174">
        <v>107781100</v>
      </c>
      <c r="J174" s="354">
        <v>37725</v>
      </c>
      <c r="K174">
        <v>2.2555550000000002</v>
      </c>
      <c r="L174">
        <v>2.5</v>
      </c>
      <c r="M174">
        <v>2.2000000000000002</v>
      </c>
      <c r="N174">
        <v>2.446666</v>
      </c>
      <c r="O174">
        <v>1.8152010000000001</v>
      </c>
      <c r="P174">
        <v>27279000</v>
      </c>
      <c r="R174" s="273" t="e">
        <f>(O174/O173)*('16. câmbio USD-BRL'!#REF!/'16. câmbio USD-BRL'!#REF!)^-1-1</f>
        <v>#REF!</v>
      </c>
    </row>
    <row r="175" spans="1:18" x14ac:dyDescent="0.2">
      <c r="A175" s="354">
        <v>41791</v>
      </c>
      <c r="B175" t="s">
        <v>2447</v>
      </c>
      <c r="C175" t="s">
        <v>2448</v>
      </c>
      <c r="D175" t="s">
        <v>2402</v>
      </c>
      <c r="E175" t="s">
        <v>2449</v>
      </c>
      <c r="F175" t="s">
        <v>2450</v>
      </c>
      <c r="G175">
        <v>94140000</v>
      </c>
      <c r="J175" s="354">
        <v>37732</v>
      </c>
      <c r="K175">
        <v>2.446666</v>
      </c>
      <c r="L175">
        <v>2.5333329999999998</v>
      </c>
      <c r="M175">
        <v>2.3444440000000002</v>
      </c>
      <c r="N175">
        <v>2.3666659999999999</v>
      </c>
      <c r="O175">
        <v>1.755849</v>
      </c>
      <c r="P175">
        <v>15758550</v>
      </c>
      <c r="R175" s="273" t="e">
        <f>(O175/O174)*('16. câmbio USD-BRL'!#REF!/'16. câmbio USD-BRL'!#REF!)^-1-1</f>
        <v>#REF!</v>
      </c>
    </row>
    <row r="176" spans="1:18" x14ac:dyDescent="0.2">
      <c r="A176" s="354">
        <v>41821</v>
      </c>
      <c r="B176" t="s">
        <v>2451</v>
      </c>
      <c r="C176" t="s">
        <v>2452</v>
      </c>
      <c r="D176" t="s">
        <v>2453</v>
      </c>
      <c r="E176" t="s">
        <v>2454</v>
      </c>
      <c r="F176" t="s">
        <v>2455</v>
      </c>
      <c r="G176">
        <v>147657600</v>
      </c>
      <c r="J176" s="354">
        <v>37739</v>
      </c>
      <c r="K176">
        <v>2.351111</v>
      </c>
      <c r="L176">
        <v>2.5533329999999999</v>
      </c>
      <c r="M176">
        <v>2.3444440000000002</v>
      </c>
      <c r="N176">
        <v>2.4555549999999999</v>
      </c>
      <c r="O176">
        <v>1.821796</v>
      </c>
      <c r="P176">
        <v>17020800</v>
      </c>
      <c r="R176" s="273" t="e">
        <f>(O176/O175)*('16. câmbio USD-BRL'!#REF!/'16. câmbio USD-BRL'!#REF!)^-1-1</f>
        <v>#REF!</v>
      </c>
    </row>
    <row r="177" spans="1:18" x14ac:dyDescent="0.2">
      <c r="A177" s="354">
        <v>41852</v>
      </c>
      <c r="B177" t="s">
        <v>2456</v>
      </c>
      <c r="C177" t="s">
        <v>2353</v>
      </c>
      <c r="D177" t="s">
        <v>1338</v>
      </c>
      <c r="E177" t="s">
        <v>2457</v>
      </c>
      <c r="F177" t="s">
        <v>2458</v>
      </c>
      <c r="G177">
        <v>123150300</v>
      </c>
      <c r="J177" s="354">
        <v>37746</v>
      </c>
      <c r="K177">
        <v>2.4444439999999998</v>
      </c>
      <c r="L177">
        <v>2.466666</v>
      </c>
      <c r="M177">
        <v>2.2933330000000001</v>
      </c>
      <c r="N177">
        <v>2.4444439999999998</v>
      </c>
      <c r="O177">
        <v>1.813553</v>
      </c>
      <c r="P177">
        <v>15269850</v>
      </c>
      <c r="R177" s="273" t="e">
        <f>(O177/O176)*('16. câmbio USD-BRL'!#REF!/'16. câmbio USD-BRL'!#REF!)^-1-1</f>
        <v>#REF!</v>
      </c>
    </row>
    <row r="178" spans="1:18" x14ac:dyDescent="0.2">
      <c r="A178" s="354">
        <v>41883</v>
      </c>
      <c r="B178" t="s">
        <v>2457</v>
      </c>
      <c r="C178" t="s">
        <v>2459</v>
      </c>
      <c r="D178" t="s">
        <v>2460</v>
      </c>
      <c r="E178" t="s">
        <v>2461</v>
      </c>
      <c r="F178" t="s">
        <v>2462</v>
      </c>
      <c r="G178">
        <v>169785100</v>
      </c>
      <c r="J178" s="354">
        <v>37753</v>
      </c>
      <c r="K178">
        <v>2.4444439999999998</v>
      </c>
      <c r="L178">
        <v>2.4888880000000002</v>
      </c>
      <c r="M178">
        <v>2.1888879999999999</v>
      </c>
      <c r="N178">
        <v>2.2644440000000001</v>
      </c>
      <c r="O178">
        <v>1.68001</v>
      </c>
      <c r="P178">
        <v>13259250</v>
      </c>
      <c r="R178" s="273" t="e">
        <f>(O178/O177)*('16. câmbio USD-BRL'!#REF!/'16. câmbio USD-BRL'!#REF!)^-1-1</f>
        <v>#REF!</v>
      </c>
    </row>
    <row r="179" spans="1:18" x14ac:dyDescent="0.2">
      <c r="A179" s="354">
        <v>41913</v>
      </c>
      <c r="B179" t="s">
        <v>2463</v>
      </c>
      <c r="C179" t="s">
        <v>2464</v>
      </c>
      <c r="D179" t="s">
        <v>2465</v>
      </c>
      <c r="E179" t="s">
        <v>2466</v>
      </c>
      <c r="F179" t="s">
        <v>2467</v>
      </c>
      <c r="G179">
        <v>178566800</v>
      </c>
      <c r="J179" s="354">
        <v>37760</v>
      </c>
      <c r="K179">
        <v>2.2511109999999999</v>
      </c>
      <c r="L179">
        <v>2.2999999999999998</v>
      </c>
      <c r="M179">
        <v>2.1555550000000001</v>
      </c>
      <c r="N179">
        <v>2.288888</v>
      </c>
      <c r="O179">
        <v>1.6981440000000001</v>
      </c>
      <c r="P179">
        <v>9782550</v>
      </c>
      <c r="R179" s="273" t="e">
        <f>(O179/O178)*('16. câmbio USD-BRL'!#REF!/'16. câmbio USD-BRL'!#REF!)^-1-1</f>
        <v>#REF!</v>
      </c>
    </row>
    <row r="180" spans="1:18" x14ac:dyDescent="0.2">
      <c r="A180" s="354">
        <v>41944</v>
      </c>
      <c r="B180" t="s">
        <v>2468</v>
      </c>
      <c r="C180" t="s">
        <v>2469</v>
      </c>
      <c r="D180" t="s">
        <v>2470</v>
      </c>
      <c r="E180" t="s">
        <v>2471</v>
      </c>
      <c r="F180" t="s">
        <v>2472</v>
      </c>
      <c r="G180">
        <v>118851400</v>
      </c>
      <c r="J180" s="354">
        <v>37767</v>
      </c>
      <c r="K180">
        <v>2.288888</v>
      </c>
      <c r="L180">
        <v>2.431111</v>
      </c>
      <c r="M180">
        <v>2.233333</v>
      </c>
      <c r="N180">
        <v>2.42</v>
      </c>
      <c r="O180">
        <v>1.795417</v>
      </c>
      <c r="P180">
        <v>11559150</v>
      </c>
      <c r="R180" s="273" t="e">
        <f>(O180/O179)*('16. câmbio USD-BRL'!#REF!/'16. câmbio USD-BRL'!#REF!)^-1-1</f>
        <v>#REF!</v>
      </c>
    </row>
    <row r="181" spans="1:18" x14ac:dyDescent="0.2">
      <c r="A181" s="354">
        <v>41974</v>
      </c>
      <c r="B181" t="s">
        <v>2473</v>
      </c>
      <c r="C181" t="s">
        <v>2474</v>
      </c>
      <c r="D181" t="s">
        <v>2475</v>
      </c>
      <c r="E181" t="s">
        <v>2476</v>
      </c>
      <c r="F181" t="s">
        <v>2477</v>
      </c>
      <c r="G181">
        <v>192459728</v>
      </c>
      <c r="J181" s="354">
        <v>37774</v>
      </c>
      <c r="K181">
        <v>2.426666</v>
      </c>
      <c r="L181">
        <v>2.5955550000000001</v>
      </c>
      <c r="M181">
        <v>2.377777</v>
      </c>
      <c r="N181">
        <v>2.5644439999999999</v>
      </c>
      <c r="O181">
        <v>1.9025810000000001</v>
      </c>
      <c r="P181">
        <v>17280450</v>
      </c>
      <c r="R181" s="273" t="e">
        <f>(O181/O180)*('16. câmbio USD-BRL'!#REF!/'16. câmbio USD-BRL'!#REF!)^-1-1</f>
        <v>#REF!</v>
      </c>
    </row>
    <row r="182" spans="1:18" x14ac:dyDescent="0.2">
      <c r="A182" s="354">
        <v>42005</v>
      </c>
      <c r="B182" t="s">
        <v>2476</v>
      </c>
      <c r="C182" t="s">
        <v>2478</v>
      </c>
      <c r="D182" t="s">
        <v>2479</v>
      </c>
      <c r="E182" t="s">
        <v>2479</v>
      </c>
      <c r="F182" t="s">
        <v>2480</v>
      </c>
      <c r="G182">
        <v>156996100</v>
      </c>
      <c r="J182" s="354">
        <v>37781</v>
      </c>
      <c r="K182">
        <v>2.5133329999999998</v>
      </c>
      <c r="L182">
        <v>2.822222</v>
      </c>
      <c r="M182">
        <v>2.5133329999999998</v>
      </c>
      <c r="N182">
        <v>2.748888</v>
      </c>
      <c r="O182">
        <v>2.0394209999999999</v>
      </c>
      <c r="P182">
        <v>13212000</v>
      </c>
      <c r="R182" s="273" t="e">
        <f>(O182/O181)*('16. câmbio USD-BRL'!#REF!/'16. câmbio USD-BRL'!#REF!)^-1-1</f>
        <v>#REF!</v>
      </c>
    </row>
    <row r="183" spans="1:18" x14ac:dyDescent="0.2">
      <c r="A183" s="354">
        <v>42036</v>
      </c>
      <c r="B183" t="s">
        <v>2481</v>
      </c>
      <c r="C183" t="s">
        <v>2482</v>
      </c>
      <c r="D183" t="s">
        <v>2483</v>
      </c>
      <c r="E183" t="s">
        <v>2484</v>
      </c>
      <c r="F183" t="s">
        <v>2485</v>
      </c>
      <c r="G183">
        <v>193882200</v>
      </c>
      <c r="J183" s="354">
        <v>37788</v>
      </c>
      <c r="K183">
        <v>2.7222219999999999</v>
      </c>
      <c r="L183">
        <v>2.9244439999999998</v>
      </c>
      <c r="M183">
        <v>2.6711109999999998</v>
      </c>
      <c r="N183">
        <v>2.7555550000000002</v>
      </c>
      <c r="O183">
        <v>2.044368</v>
      </c>
      <c r="P183">
        <v>15407550</v>
      </c>
      <c r="R183" s="273" t="e">
        <f>(O183/O182)*('16. câmbio USD-BRL'!#REF!/'16. câmbio USD-BRL'!#REF!)^-1-1</f>
        <v>#REF!</v>
      </c>
    </row>
    <row r="184" spans="1:18" x14ac:dyDescent="0.2">
      <c r="A184" s="354">
        <v>42064</v>
      </c>
      <c r="B184" t="s">
        <v>2486</v>
      </c>
      <c r="C184" t="s">
        <v>2487</v>
      </c>
      <c r="D184" t="s">
        <v>2488</v>
      </c>
      <c r="E184" t="s">
        <v>2489</v>
      </c>
      <c r="F184" t="s">
        <v>2490</v>
      </c>
      <c r="G184">
        <v>197205000</v>
      </c>
      <c r="J184" s="354">
        <v>37795</v>
      </c>
      <c r="K184">
        <v>2.7777769999999999</v>
      </c>
      <c r="L184">
        <v>2.8444440000000002</v>
      </c>
      <c r="M184">
        <v>2.5888879999999999</v>
      </c>
      <c r="N184">
        <v>2.8444440000000002</v>
      </c>
      <c r="O184">
        <v>2.1103160000000001</v>
      </c>
      <c r="P184">
        <v>15822900</v>
      </c>
      <c r="R184" s="273" t="e">
        <f>(O184/O183)*('16. câmbio USD-BRL'!#REF!/'16. câmbio USD-BRL'!#REF!)^-1-1</f>
        <v>#REF!</v>
      </c>
    </row>
    <row r="185" spans="1:18" x14ac:dyDescent="0.2">
      <c r="A185" s="354">
        <v>42095</v>
      </c>
      <c r="B185" t="s">
        <v>2491</v>
      </c>
      <c r="C185" t="s">
        <v>2492</v>
      </c>
      <c r="D185" t="s">
        <v>2493</v>
      </c>
      <c r="E185" t="s">
        <v>2494</v>
      </c>
      <c r="F185" t="s">
        <v>2495</v>
      </c>
      <c r="G185">
        <v>160437300</v>
      </c>
      <c r="J185" s="354">
        <v>37802</v>
      </c>
      <c r="K185">
        <v>2.8333330000000001</v>
      </c>
      <c r="L185">
        <v>2.9644439999999999</v>
      </c>
      <c r="M185">
        <v>2.8</v>
      </c>
      <c r="N185">
        <v>2.9644439999999999</v>
      </c>
      <c r="O185">
        <v>2.1993450000000001</v>
      </c>
      <c r="P185">
        <v>10874250</v>
      </c>
      <c r="R185" s="273" t="e">
        <f>(O185/O184)*('16. câmbio USD-BRL'!#REF!/'16. câmbio USD-BRL'!#REF!)^-1-1</f>
        <v>#REF!</v>
      </c>
    </row>
    <row r="186" spans="1:18" x14ac:dyDescent="0.2">
      <c r="A186" s="354">
        <v>42125</v>
      </c>
      <c r="B186" t="s">
        <v>2494</v>
      </c>
      <c r="C186" t="s">
        <v>2496</v>
      </c>
      <c r="D186" t="s">
        <v>2497</v>
      </c>
      <c r="E186" t="s">
        <v>2498</v>
      </c>
      <c r="F186" t="s">
        <v>2499</v>
      </c>
      <c r="G186">
        <v>185304000</v>
      </c>
      <c r="J186" s="354">
        <v>37809</v>
      </c>
      <c r="K186">
        <v>2.966666</v>
      </c>
      <c r="L186">
        <v>3.4644439999999999</v>
      </c>
      <c r="M186">
        <v>2.9622220000000001</v>
      </c>
      <c r="N186">
        <v>3.4</v>
      </c>
      <c r="O186">
        <v>2.5224869999999999</v>
      </c>
      <c r="P186">
        <v>20454750</v>
      </c>
      <c r="R186" s="273" t="e">
        <f>(O186/O185)*('16. câmbio USD-BRL'!#REF!/'16. câmbio USD-BRL'!#REF!)^-1-1</f>
        <v>#REF!</v>
      </c>
    </row>
    <row r="187" spans="1:18" x14ac:dyDescent="0.2">
      <c r="A187" s="354">
        <v>42156</v>
      </c>
      <c r="B187" t="s">
        <v>2500</v>
      </c>
      <c r="C187" t="s">
        <v>2471</v>
      </c>
      <c r="D187" t="s">
        <v>2501</v>
      </c>
      <c r="E187" t="s">
        <v>2501</v>
      </c>
      <c r="F187" t="s">
        <v>2502</v>
      </c>
      <c r="G187">
        <v>138940700</v>
      </c>
      <c r="J187" s="354">
        <v>37816</v>
      </c>
      <c r="K187">
        <v>3.3333330000000001</v>
      </c>
      <c r="L187">
        <v>3.5888879999999999</v>
      </c>
      <c r="M187">
        <v>3.2666659999999998</v>
      </c>
      <c r="N187">
        <v>3.4688880000000002</v>
      </c>
      <c r="O187">
        <v>2.5735960000000002</v>
      </c>
      <c r="P187">
        <v>27024750</v>
      </c>
      <c r="R187" s="273" t="e">
        <f>(O187/O186)*('16. câmbio USD-BRL'!#REF!/'16. câmbio USD-BRL'!#REF!)^-1-1</f>
        <v>#REF!</v>
      </c>
    </row>
    <row r="188" spans="1:18" x14ac:dyDescent="0.2">
      <c r="A188" s="354">
        <v>42186</v>
      </c>
      <c r="B188" t="s">
        <v>2503</v>
      </c>
      <c r="C188" t="s">
        <v>2504</v>
      </c>
      <c r="D188" t="s">
        <v>2505</v>
      </c>
      <c r="E188" t="s">
        <v>2506</v>
      </c>
      <c r="F188" t="s">
        <v>2507</v>
      </c>
      <c r="G188">
        <v>141483500</v>
      </c>
      <c r="J188" s="354">
        <v>37823</v>
      </c>
      <c r="K188">
        <v>3.4777770000000001</v>
      </c>
      <c r="L188">
        <v>3.6333329999999999</v>
      </c>
      <c r="M188">
        <v>3.4444439999999998</v>
      </c>
      <c r="N188">
        <v>3.5333329999999998</v>
      </c>
      <c r="O188">
        <v>2.6214080000000002</v>
      </c>
      <c r="P188">
        <v>21936600</v>
      </c>
      <c r="R188" s="273" t="e">
        <f>(O188/O187)*('16. câmbio USD-BRL'!#REF!/'16. câmbio USD-BRL'!#REF!)^-1-1</f>
        <v>#REF!</v>
      </c>
    </row>
    <row r="189" spans="1:18" x14ac:dyDescent="0.2">
      <c r="A189" s="354">
        <v>42217</v>
      </c>
      <c r="B189" t="s">
        <v>2508</v>
      </c>
      <c r="C189" t="s">
        <v>2509</v>
      </c>
      <c r="D189" t="s">
        <v>2510</v>
      </c>
      <c r="E189" t="s">
        <v>2511</v>
      </c>
      <c r="F189" t="s">
        <v>2512</v>
      </c>
      <c r="G189">
        <v>160207900</v>
      </c>
      <c r="J189" s="354">
        <v>37830</v>
      </c>
      <c r="K189">
        <v>3.5333329999999998</v>
      </c>
      <c r="L189">
        <v>3.5333329999999998</v>
      </c>
      <c r="M189">
        <v>3.1466660000000002</v>
      </c>
      <c r="N189">
        <v>3.2444440000000001</v>
      </c>
      <c r="O189">
        <v>2.407079</v>
      </c>
      <c r="P189">
        <v>13162950</v>
      </c>
      <c r="R189" s="273" t="e">
        <f>(O189/O188)*('16. câmbio USD-BRL'!#REF!/'16. câmbio USD-BRL'!#REF!)^-1-1</f>
        <v>#REF!</v>
      </c>
    </row>
    <row r="190" spans="1:18" x14ac:dyDescent="0.2">
      <c r="A190" s="354">
        <v>42248</v>
      </c>
      <c r="B190" t="s">
        <v>2513</v>
      </c>
      <c r="C190" t="s">
        <v>2514</v>
      </c>
      <c r="D190" t="s">
        <v>2513</v>
      </c>
      <c r="E190" t="s">
        <v>2479</v>
      </c>
      <c r="F190" t="s">
        <v>2515</v>
      </c>
      <c r="G190">
        <v>236703100</v>
      </c>
      <c r="J190" s="354">
        <v>37837</v>
      </c>
      <c r="K190">
        <v>3.2644440000000001</v>
      </c>
      <c r="L190">
        <v>3.6</v>
      </c>
      <c r="M190">
        <v>3.0688879999999998</v>
      </c>
      <c r="N190">
        <v>3.466666</v>
      </c>
      <c r="O190">
        <v>2.5719470000000002</v>
      </c>
      <c r="P190">
        <v>76954950</v>
      </c>
      <c r="R190" s="273" t="e">
        <f>(O190/O189)*('16. câmbio USD-BRL'!#REF!/'16. câmbio USD-BRL'!#REF!)^-1-1</f>
        <v>#REF!</v>
      </c>
    </row>
    <row r="191" spans="1:18" x14ac:dyDescent="0.2">
      <c r="A191" s="354">
        <v>42278</v>
      </c>
      <c r="B191" t="s">
        <v>2516</v>
      </c>
      <c r="C191" t="s">
        <v>2517</v>
      </c>
      <c r="D191" t="s">
        <v>2518</v>
      </c>
      <c r="E191" t="s">
        <v>2519</v>
      </c>
      <c r="F191" t="s">
        <v>2520</v>
      </c>
      <c r="G191">
        <v>219054000</v>
      </c>
      <c r="J191" s="354">
        <v>37844</v>
      </c>
      <c r="K191">
        <v>3.466666</v>
      </c>
      <c r="L191">
        <v>3.9333330000000002</v>
      </c>
      <c r="M191">
        <v>3.3555549999999998</v>
      </c>
      <c r="N191">
        <v>3.7222219999999999</v>
      </c>
      <c r="O191">
        <v>2.7615460000000001</v>
      </c>
      <c r="P191">
        <v>23931900</v>
      </c>
      <c r="R191" s="273" t="e">
        <f>(O191/O190)*('16. câmbio USD-BRL'!#REF!/'16. câmbio USD-BRL'!#REF!)^-1-1</f>
        <v>#REF!</v>
      </c>
    </row>
    <row r="192" spans="1:18" x14ac:dyDescent="0.2">
      <c r="A192" s="354">
        <v>42309</v>
      </c>
      <c r="B192" t="s">
        <v>2519</v>
      </c>
      <c r="C192" t="s">
        <v>2521</v>
      </c>
      <c r="D192" t="s">
        <v>1747</v>
      </c>
      <c r="E192" t="s">
        <v>1747</v>
      </c>
      <c r="F192" t="s">
        <v>2522</v>
      </c>
      <c r="G192">
        <v>247326200</v>
      </c>
      <c r="J192" s="354">
        <v>37851</v>
      </c>
      <c r="K192">
        <v>3.7866659999999999</v>
      </c>
      <c r="L192">
        <v>4.1333330000000004</v>
      </c>
      <c r="M192">
        <v>3.6333329999999999</v>
      </c>
      <c r="N192">
        <v>4.0111109999999996</v>
      </c>
      <c r="O192">
        <v>2.9758749999999998</v>
      </c>
      <c r="P192">
        <v>23497650</v>
      </c>
      <c r="R192" s="273" t="e">
        <f>(O192/O191)*('16. câmbio USD-BRL'!#REF!/'16. câmbio USD-BRL'!#REF!)^-1-1</f>
        <v>#REF!</v>
      </c>
    </row>
    <row r="193" spans="1:18" x14ac:dyDescent="0.2">
      <c r="A193" s="354">
        <v>42339</v>
      </c>
      <c r="B193" t="s">
        <v>2523</v>
      </c>
      <c r="C193" t="s">
        <v>2524</v>
      </c>
      <c r="D193" t="s">
        <v>2525</v>
      </c>
      <c r="E193" t="s">
        <v>2526</v>
      </c>
      <c r="F193" t="s">
        <v>2527</v>
      </c>
      <c r="G193">
        <v>188289800</v>
      </c>
      <c r="J193" s="354">
        <v>37858</v>
      </c>
      <c r="K193">
        <v>4.0222220000000002</v>
      </c>
      <c r="L193">
        <v>4.1111110000000002</v>
      </c>
      <c r="M193">
        <v>3.6466660000000002</v>
      </c>
      <c r="N193">
        <v>3.7777769999999999</v>
      </c>
      <c r="O193">
        <v>2.8027630000000001</v>
      </c>
      <c r="P193">
        <v>25215750</v>
      </c>
      <c r="R193" s="273" t="e">
        <f>(O193/O192)*('16. câmbio USD-BRL'!#REF!/'16. câmbio USD-BRL'!#REF!)^-1-1</f>
        <v>#REF!</v>
      </c>
    </row>
    <row r="194" spans="1:18" x14ac:dyDescent="0.2">
      <c r="A194" s="354">
        <v>42370</v>
      </c>
      <c r="B194" t="s">
        <v>2526</v>
      </c>
      <c r="C194" t="s">
        <v>2526</v>
      </c>
      <c r="D194" t="s">
        <v>2528</v>
      </c>
      <c r="E194" t="s">
        <v>2529</v>
      </c>
      <c r="F194" t="s">
        <v>2530</v>
      </c>
      <c r="G194">
        <v>256523400</v>
      </c>
      <c r="J194" s="354">
        <v>37865</v>
      </c>
      <c r="K194">
        <v>3.802222</v>
      </c>
      <c r="L194">
        <v>4.1333330000000004</v>
      </c>
      <c r="M194">
        <v>3.78</v>
      </c>
      <c r="N194">
        <v>4.1111110000000002</v>
      </c>
      <c r="O194">
        <v>3.0500660000000002</v>
      </c>
      <c r="P194">
        <v>16894800</v>
      </c>
      <c r="R194" s="273" t="e">
        <f>(O194/O193)*('16. câmbio USD-BRL'!#REF!/'16. câmbio USD-BRL'!#REF!)^-1-1</f>
        <v>#REF!</v>
      </c>
    </row>
    <row r="195" spans="1:18" x14ac:dyDescent="0.2">
      <c r="A195" s="354">
        <v>42401</v>
      </c>
      <c r="B195" t="s">
        <v>2528</v>
      </c>
      <c r="C195" t="s">
        <v>2531</v>
      </c>
      <c r="D195" t="s">
        <v>2532</v>
      </c>
      <c r="E195" t="s">
        <v>2533</v>
      </c>
      <c r="F195" t="s">
        <v>2534</v>
      </c>
      <c r="G195">
        <v>388081600</v>
      </c>
      <c r="J195" s="354">
        <v>37872</v>
      </c>
      <c r="K195">
        <v>4.08</v>
      </c>
      <c r="L195">
        <v>4.0888879999999999</v>
      </c>
      <c r="M195">
        <v>3.788888</v>
      </c>
      <c r="N195">
        <v>4.0244439999999999</v>
      </c>
      <c r="O195">
        <v>2.9857680000000002</v>
      </c>
      <c r="P195">
        <v>24470100</v>
      </c>
      <c r="R195" s="273" t="e">
        <f>(O195/O194)*('16. câmbio USD-BRL'!#REF!/'16. câmbio USD-BRL'!#REF!)^-1-1</f>
        <v>#REF!</v>
      </c>
    </row>
    <row r="196" spans="1:18" x14ac:dyDescent="0.2">
      <c r="A196" s="354">
        <v>42430</v>
      </c>
      <c r="B196" t="s">
        <v>2535</v>
      </c>
      <c r="C196" t="s">
        <v>2536</v>
      </c>
      <c r="D196" t="s">
        <v>2533</v>
      </c>
      <c r="E196" t="s">
        <v>2537</v>
      </c>
      <c r="F196" t="s">
        <v>2538</v>
      </c>
      <c r="G196">
        <v>657078100</v>
      </c>
      <c r="J196" s="354">
        <v>37879</v>
      </c>
      <c r="K196">
        <v>4.0222220000000002</v>
      </c>
      <c r="L196">
        <v>4.233333</v>
      </c>
      <c r="M196">
        <v>3.9222220000000001</v>
      </c>
      <c r="N196">
        <v>4.1777769999999999</v>
      </c>
      <c r="O196">
        <v>3.099526</v>
      </c>
      <c r="P196">
        <v>17016750</v>
      </c>
      <c r="R196" s="273" t="e">
        <f>(O196/O195)*('16. câmbio USD-BRL'!#REF!/'16. câmbio USD-BRL'!#REF!)^-1-1</f>
        <v>#REF!</v>
      </c>
    </row>
    <row r="197" spans="1:18" x14ac:dyDescent="0.2">
      <c r="A197" s="354">
        <v>42461</v>
      </c>
      <c r="B197" t="s">
        <v>2539</v>
      </c>
      <c r="C197" t="s">
        <v>2540</v>
      </c>
      <c r="D197" t="s">
        <v>2525</v>
      </c>
      <c r="E197" t="s">
        <v>2541</v>
      </c>
      <c r="F197" t="s">
        <v>2542</v>
      </c>
      <c r="G197">
        <v>426535400</v>
      </c>
      <c r="J197" s="354">
        <v>37886</v>
      </c>
      <c r="K197">
        <v>4.1155549999999996</v>
      </c>
      <c r="L197">
        <v>4.1288879999999999</v>
      </c>
      <c r="M197">
        <v>3.7777769999999999</v>
      </c>
      <c r="N197">
        <v>3.9044439999999998</v>
      </c>
      <c r="O197">
        <v>2.896738</v>
      </c>
      <c r="P197">
        <v>16717950</v>
      </c>
      <c r="R197" s="273" t="e">
        <f>(O197/O196)*('16. câmbio USD-BRL'!#REF!/'16. câmbio USD-BRL'!#REF!)^-1-1</f>
        <v>#REF!</v>
      </c>
    </row>
    <row r="198" spans="1:18" x14ac:dyDescent="0.2">
      <c r="A198" s="354">
        <v>42491</v>
      </c>
      <c r="B198" t="s">
        <v>2543</v>
      </c>
      <c r="C198" t="s">
        <v>2544</v>
      </c>
      <c r="D198" t="s">
        <v>2545</v>
      </c>
      <c r="E198" t="s">
        <v>2546</v>
      </c>
      <c r="F198" t="s">
        <v>2547</v>
      </c>
      <c r="G198">
        <v>548623100</v>
      </c>
      <c r="J198" s="354">
        <v>37893</v>
      </c>
      <c r="K198">
        <v>3.9222220000000001</v>
      </c>
      <c r="L198">
        <v>4.8</v>
      </c>
      <c r="M198">
        <v>3.9044439999999998</v>
      </c>
      <c r="N198">
        <v>4.733333</v>
      </c>
      <c r="O198">
        <v>3.511698</v>
      </c>
      <c r="P198">
        <v>37107900</v>
      </c>
      <c r="R198" s="273" t="e">
        <f>(O198/O197)*('16. câmbio USD-BRL'!#REF!/'16. câmbio USD-BRL'!#REF!)^-1-1</f>
        <v>#REF!</v>
      </c>
    </row>
    <row r="199" spans="1:18" x14ac:dyDescent="0.2">
      <c r="A199" s="354">
        <v>42522</v>
      </c>
      <c r="B199" t="s">
        <v>2548</v>
      </c>
      <c r="C199" t="s">
        <v>2523</v>
      </c>
      <c r="D199" t="s">
        <v>1803</v>
      </c>
      <c r="E199" t="s">
        <v>2549</v>
      </c>
      <c r="F199" t="s">
        <v>2550</v>
      </c>
      <c r="G199">
        <v>611638900</v>
      </c>
      <c r="J199" s="354">
        <v>37900</v>
      </c>
      <c r="K199">
        <v>4.6666660000000002</v>
      </c>
      <c r="L199">
        <v>5.877777</v>
      </c>
      <c r="M199">
        <v>4.5822219999999998</v>
      </c>
      <c r="N199">
        <v>4.9555550000000004</v>
      </c>
      <c r="O199">
        <v>3.6765650000000001</v>
      </c>
      <c r="P199">
        <v>34879500</v>
      </c>
      <c r="R199" s="273" t="e">
        <f>(O199/O198)*('16. câmbio USD-BRL'!#REF!/'16. câmbio USD-BRL'!#REF!)^-1-1</f>
        <v>#REF!</v>
      </c>
    </row>
    <row r="200" spans="1:18" x14ac:dyDescent="0.2">
      <c r="A200" s="354">
        <v>42552</v>
      </c>
      <c r="B200" t="s">
        <v>2549</v>
      </c>
      <c r="C200" t="s">
        <v>2551</v>
      </c>
      <c r="D200" t="s">
        <v>2552</v>
      </c>
      <c r="E200" t="s">
        <v>2553</v>
      </c>
      <c r="F200" t="s">
        <v>2554</v>
      </c>
      <c r="G200">
        <v>727627200</v>
      </c>
      <c r="J200" s="354">
        <v>37907</v>
      </c>
      <c r="K200">
        <v>4.9577770000000001</v>
      </c>
      <c r="L200">
        <v>5.3333329999999997</v>
      </c>
      <c r="M200">
        <v>4.8466659999999999</v>
      </c>
      <c r="N200">
        <v>5.2555550000000002</v>
      </c>
      <c r="O200">
        <v>3.8991389999999999</v>
      </c>
      <c r="P200">
        <v>19406700</v>
      </c>
      <c r="R200" s="273" t="e">
        <f>(O200/O199)*('16. câmbio USD-BRL'!#REF!/'16. câmbio USD-BRL'!#REF!)^-1-1</f>
        <v>#REF!</v>
      </c>
    </row>
    <row r="201" spans="1:18" x14ac:dyDescent="0.2">
      <c r="A201" s="354">
        <v>42583</v>
      </c>
      <c r="B201" t="s">
        <v>2555</v>
      </c>
      <c r="C201" t="s">
        <v>2556</v>
      </c>
      <c r="D201" t="s">
        <v>2557</v>
      </c>
      <c r="E201" t="s">
        <v>2558</v>
      </c>
      <c r="F201" t="s">
        <v>2559</v>
      </c>
      <c r="G201">
        <v>814934100</v>
      </c>
      <c r="J201" s="354">
        <v>37914</v>
      </c>
      <c r="K201">
        <v>5.2222220000000004</v>
      </c>
      <c r="L201">
        <v>5.7755549999999998</v>
      </c>
      <c r="M201">
        <v>5.1822220000000003</v>
      </c>
      <c r="N201">
        <v>5.4777769999999997</v>
      </c>
      <c r="O201">
        <v>4.064006</v>
      </c>
      <c r="P201">
        <v>21065400</v>
      </c>
      <c r="R201" s="273" t="e">
        <f>(O201/O200)*('16. câmbio USD-BRL'!#REF!/'16. câmbio USD-BRL'!#REF!)^-1-1</f>
        <v>#REF!</v>
      </c>
    </row>
    <row r="202" spans="1:18" x14ac:dyDescent="0.2">
      <c r="A202" s="354">
        <v>42614</v>
      </c>
      <c r="B202" t="s">
        <v>2560</v>
      </c>
      <c r="C202" t="s">
        <v>2561</v>
      </c>
      <c r="D202" t="s">
        <v>2562</v>
      </c>
      <c r="E202" t="s">
        <v>2563</v>
      </c>
      <c r="F202" t="s">
        <v>2564</v>
      </c>
      <c r="G202">
        <v>439779400</v>
      </c>
      <c r="J202" s="354">
        <v>37921</v>
      </c>
      <c r="K202">
        <v>5.555555</v>
      </c>
      <c r="L202">
        <v>5.7222220000000004</v>
      </c>
      <c r="M202">
        <v>5.0688880000000003</v>
      </c>
      <c r="N202">
        <v>5.0977769999999998</v>
      </c>
      <c r="O202">
        <v>3.7820809999999998</v>
      </c>
      <c r="P202">
        <v>13216950</v>
      </c>
      <c r="R202" s="273" t="e">
        <f>(O202/O201)*('16. câmbio USD-BRL'!#REF!/'16. câmbio USD-BRL'!#REF!)^-1-1</f>
        <v>#REF!</v>
      </c>
    </row>
    <row r="203" spans="1:18" x14ac:dyDescent="0.2">
      <c r="A203" s="354">
        <v>42644</v>
      </c>
      <c r="B203" t="s">
        <v>2565</v>
      </c>
      <c r="C203" t="s">
        <v>2566</v>
      </c>
      <c r="D203" t="s">
        <v>2560</v>
      </c>
      <c r="E203" t="s">
        <v>2567</v>
      </c>
      <c r="F203" t="s">
        <v>2568</v>
      </c>
      <c r="G203">
        <v>525093900</v>
      </c>
      <c r="J203" s="354">
        <v>37928</v>
      </c>
      <c r="K203">
        <v>5.2222220000000004</v>
      </c>
      <c r="L203">
        <v>5.5333329999999998</v>
      </c>
      <c r="M203">
        <v>5.1111110000000002</v>
      </c>
      <c r="N203">
        <v>5.1155549999999996</v>
      </c>
      <c r="O203">
        <v>3.7952699999999999</v>
      </c>
      <c r="P203">
        <v>15192000</v>
      </c>
      <c r="R203" s="273" t="e">
        <f>(O203/O202)*('16. câmbio USD-BRL'!#REF!/'16. câmbio USD-BRL'!#REF!)^-1-1</f>
        <v>#REF!</v>
      </c>
    </row>
    <row r="204" spans="1:18" x14ac:dyDescent="0.2">
      <c r="A204" s="354">
        <v>42675</v>
      </c>
      <c r="B204" t="s">
        <v>2569</v>
      </c>
      <c r="C204" t="s">
        <v>2570</v>
      </c>
      <c r="D204" t="s">
        <v>2571</v>
      </c>
      <c r="E204" t="s">
        <v>2503</v>
      </c>
      <c r="F204" t="s">
        <v>2572</v>
      </c>
      <c r="G204">
        <v>690832900</v>
      </c>
      <c r="J204" s="354">
        <v>37935</v>
      </c>
      <c r="K204">
        <v>5.1311109999999998</v>
      </c>
      <c r="L204">
        <v>6</v>
      </c>
      <c r="M204">
        <v>5.0044440000000003</v>
      </c>
      <c r="N204">
        <v>5.9555550000000004</v>
      </c>
      <c r="O204">
        <v>4.4184729999999997</v>
      </c>
      <c r="P204">
        <v>23787000</v>
      </c>
      <c r="R204" s="273" t="e">
        <f>(O204/O203)*('16. câmbio USD-BRL'!#REF!/'16. câmbio USD-BRL'!#REF!)^-1-1</f>
        <v>#REF!</v>
      </c>
    </row>
    <row r="205" spans="1:18" x14ac:dyDescent="0.2">
      <c r="A205" s="354">
        <v>42705</v>
      </c>
      <c r="B205" t="s">
        <v>2573</v>
      </c>
      <c r="C205" t="s">
        <v>2574</v>
      </c>
      <c r="D205" t="s">
        <v>2575</v>
      </c>
      <c r="E205" t="s">
        <v>2576</v>
      </c>
      <c r="F205" t="s">
        <v>2577</v>
      </c>
      <c r="G205">
        <v>349469600</v>
      </c>
      <c r="J205" s="354">
        <v>37942</v>
      </c>
      <c r="K205">
        <v>5.9333330000000002</v>
      </c>
      <c r="L205">
        <v>6.2777770000000004</v>
      </c>
      <c r="M205">
        <v>5.7911109999999999</v>
      </c>
      <c r="N205">
        <v>6.0888879999999999</v>
      </c>
      <c r="O205">
        <v>4.5173949999999996</v>
      </c>
      <c r="P205">
        <v>13127850</v>
      </c>
      <c r="R205" s="273" t="e">
        <f>(O205/O204)*('16. câmbio USD-BRL'!O1/'16. câmbio USD-BRL'!#REF!)^-1-1</f>
        <v>#REF!</v>
      </c>
    </row>
    <row r="206" spans="1:18" x14ac:dyDescent="0.2">
      <c r="A206" s="354">
        <v>42736</v>
      </c>
      <c r="B206" t="s">
        <v>2576</v>
      </c>
      <c r="C206" t="s">
        <v>2578</v>
      </c>
      <c r="D206" t="s">
        <v>2579</v>
      </c>
      <c r="E206" t="s">
        <v>2471</v>
      </c>
      <c r="F206" t="s">
        <v>2580</v>
      </c>
      <c r="G206">
        <v>403545900</v>
      </c>
      <c r="J206" s="354">
        <v>37949</v>
      </c>
      <c r="K206">
        <v>6.1311109999999998</v>
      </c>
      <c r="L206">
        <v>6.2133330000000004</v>
      </c>
      <c r="M206">
        <v>5.8</v>
      </c>
      <c r="N206">
        <v>6.2</v>
      </c>
      <c r="O206">
        <v>4.5998289999999997</v>
      </c>
      <c r="P206">
        <v>9658800</v>
      </c>
      <c r="R206" s="273" t="e">
        <f>(O206/O205)*('16. câmbio USD-BRL'!O2/'16. câmbio USD-BRL'!O1)^-1-1</f>
        <v>#VALUE!</v>
      </c>
    </row>
    <row r="207" spans="1:18" x14ac:dyDescent="0.2">
      <c r="A207" s="354">
        <v>42767</v>
      </c>
      <c r="B207" t="s">
        <v>2581</v>
      </c>
      <c r="C207" t="s">
        <v>2582</v>
      </c>
      <c r="D207" t="s">
        <v>2566</v>
      </c>
      <c r="E207" t="s">
        <v>2583</v>
      </c>
      <c r="F207" t="s">
        <v>2584</v>
      </c>
      <c r="G207">
        <v>246708600</v>
      </c>
      <c r="J207" s="354">
        <v>37956</v>
      </c>
      <c r="K207">
        <v>6.2511109999999999</v>
      </c>
      <c r="L207">
        <v>6.6666660000000002</v>
      </c>
      <c r="M207">
        <v>6.104444</v>
      </c>
      <c r="N207">
        <v>6.377777</v>
      </c>
      <c r="O207">
        <v>4.7317239999999998</v>
      </c>
      <c r="P207">
        <v>20866500</v>
      </c>
      <c r="R207" s="273" t="e">
        <f>(O207/O206)*('16. câmbio USD-BRL'!O3/'16. câmbio USD-BRL'!O2)^-1-1</f>
        <v>#VALUE!</v>
      </c>
    </row>
    <row r="208" spans="1:18" x14ac:dyDescent="0.2">
      <c r="A208" s="354">
        <v>42795</v>
      </c>
      <c r="B208" t="s">
        <v>2585</v>
      </c>
      <c r="C208" t="s">
        <v>2586</v>
      </c>
      <c r="D208" t="s">
        <v>2587</v>
      </c>
      <c r="E208" t="s">
        <v>2588</v>
      </c>
      <c r="F208" t="s">
        <v>2589</v>
      </c>
      <c r="G208">
        <v>363478000</v>
      </c>
      <c r="J208" s="354">
        <v>37963</v>
      </c>
      <c r="K208">
        <v>6.3666660000000004</v>
      </c>
      <c r="L208">
        <v>6.9777769999999997</v>
      </c>
      <c r="M208">
        <v>6.3666660000000004</v>
      </c>
      <c r="N208">
        <v>6.4888880000000002</v>
      </c>
      <c r="O208">
        <v>4.8141569999999998</v>
      </c>
      <c r="P208">
        <v>12805650</v>
      </c>
      <c r="R208" s="273">
        <f>(O208/O207)*('16. câmbio USD-BRL'!O4/'16. câmbio USD-BRL'!O3)^-1-1</f>
        <v>1.7074694567638549E-2</v>
      </c>
    </row>
    <row r="209" spans="1:18" x14ac:dyDescent="0.2">
      <c r="A209" s="354">
        <v>42826</v>
      </c>
      <c r="B209" t="s">
        <v>2590</v>
      </c>
      <c r="C209" t="s">
        <v>2591</v>
      </c>
      <c r="D209" t="s">
        <v>2592</v>
      </c>
      <c r="E209" t="s">
        <v>2593</v>
      </c>
      <c r="F209" t="s">
        <v>2594</v>
      </c>
      <c r="G209">
        <v>319699900</v>
      </c>
      <c r="J209" s="354">
        <v>37970</v>
      </c>
      <c r="K209">
        <v>6.62</v>
      </c>
      <c r="L209">
        <v>6.9777769999999997</v>
      </c>
      <c r="M209">
        <v>6.1555549999999997</v>
      </c>
      <c r="N209">
        <v>6.9333330000000002</v>
      </c>
      <c r="O209">
        <v>5.1438949999999997</v>
      </c>
      <c r="P209">
        <v>17222850</v>
      </c>
      <c r="R209" s="273">
        <f>(O209/O208)*('16. câmbio USD-BRL'!O5/'16. câmbio USD-BRL'!O4)^-1-1</f>
        <v>7.2879965974905314E-2</v>
      </c>
    </row>
    <row r="210" spans="1:18" x14ac:dyDescent="0.2">
      <c r="A210" s="354">
        <v>42856</v>
      </c>
      <c r="B210" t="s">
        <v>2593</v>
      </c>
      <c r="C210" t="s">
        <v>2595</v>
      </c>
      <c r="D210" t="s">
        <v>2596</v>
      </c>
      <c r="E210" t="s">
        <v>2597</v>
      </c>
      <c r="F210" t="s">
        <v>2598</v>
      </c>
      <c r="G210">
        <v>365386700</v>
      </c>
      <c r="J210" s="354">
        <v>37977</v>
      </c>
      <c r="K210">
        <v>6.911111</v>
      </c>
      <c r="L210">
        <v>7.5888879999999999</v>
      </c>
      <c r="M210">
        <v>6.911111</v>
      </c>
      <c r="N210">
        <v>7.3111110000000004</v>
      </c>
      <c r="O210">
        <v>5.4241710000000003</v>
      </c>
      <c r="P210">
        <v>10826100</v>
      </c>
      <c r="R210" s="273">
        <f>(O210/O209)*('16. câmbio USD-BRL'!O6/'16. câmbio USD-BRL'!O5)^-1-1</f>
        <v>6.2483915217804498E-2</v>
      </c>
    </row>
    <row r="211" spans="1:18" x14ac:dyDescent="0.2">
      <c r="A211" s="354">
        <v>42887</v>
      </c>
      <c r="B211" t="s">
        <v>2599</v>
      </c>
      <c r="C211" t="s">
        <v>2600</v>
      </c>
      <c r="D211" t="s">
        <v>2601</v>
      </c>
      <c r="E211" t="s">
        <v>2602</v>
      </c>
      <c r="F211" t="s">
        <v>2603</v>
      </c>
      <c r="G211">
        <v>218509000</v>
      </c>
      <c r="J211" s="354">
        <v>37984</v>
      </c>
      <c r="K211">
        <v>7.4</v>
      </c>
      <c r="L211">
        <v>7.6666660000000002</v>
      </c>
      <c r="M211">
        <v>7.3555549999999998</v>
      </c>
      <c r="N211">
        <v>7.5333329999999998</v>
      </c>
      <c r="O211">
        <v>5.5890399999999998</v>
      </c>
      <c r="P211">
        <v>4829850</v>
      </c>
      <c r="R211" s="273">
        <f>(O211/O210)*('16. câmbio USD-BRL'!O7/'16. câmbio USD-BRL'!O6)^-1-1</f>
        <v>3.9352087025841698E-2</v>
      </c>
    </row>
    <row r="212" spans="1:18" x14ac:dyDescent="0.2">
      <c r="A212" s="354">
        <v>42917</v>
      </c>
      <c r="B212" t="s">
        <v>2604</v>
      </c>
      <c r="C212" t="s">
        <v>2605</v>
      </c>
      <c r="D212" t="s">
        <v>2606</v>
      </c>
      <c r="E212" t="s">
        <v>2607</v>
      </c>
      <c r="F212" t="s">
        <v>2608</v>
      </c>
      <c r="G212">
        <v>232306600</v>
      </c>
      <c r="J212" s="354">
        <v>37991</v>
      </c>
      <c r="K212">
        <v>7.5777770000000002</v>
      </c>
      <c r="L212">
        <v>8.8000000000000007</v>
      </c>
      <c r="M212">
        <v>7.5777770000000002</v>
      </c>
      <c r="N212">
        <v>8.7555549999999993</v>
      </c>
      <c r="O212">
        <v>6.4958179999999999</v>
      </c>
      <c r="P212">
        <v>19146150</v>
      </c>
      <c r="R212" s="273">
        <f>(O212/O211)*('16. câmbio USD-BRL'!O8/'16. câmbio USD-BRL'!O7)^-1-1</f>
        <v>0.18113374287455786</v>
      </c>
    </row>
    <row r="213" spans="1:18" x14ac:dyDescent="0.2">
      <c r="A213" s="354">
        <v>42948</v>
      </c>
      <c r="B213" t="s">
        <v>2609</v>
      </c>
      <c r="C213" t="s">
        <v>2610</v>
      </c>
      <c r="D213" t="s">
        <v>2607</v>
      </c>
      <c r="E213" t="s">
        <v>2611</v>
      </c>
      <c r="F213" t="s">
        <v>2612</v>
      </c>
      <c r="G213">
        <v>361082600</v>
      </c>
      <c r="J213" s="354">
        <v>37998</v>
      </c>
      <c r="K213">
        <v>8.7066660000000002</v>
      </c>
      <c r="L213">
        <v>9.1555549999999997</v>
      </c>
      <c r="M213">
        <v>7.8444440000000002</v>
      </c>
      <c r="N213">
        <v>8.0866659999999992</v>
      </c>
      <c r="O213">
        <v>5.9995630000000002</v>
      </c>
      <c r="P213">
        <v>20299950</v>
      </c>
      <c r="R213" s="273">
        <f>(O213/O212)*('16. câmbio USD-BRL'!O9/'16. câmbio USD-BRL'!O8)^-1-1</f>
        <v>-7.5415950702457213E-2</v>
      </c>
    </row>
    <row r="214" spans="1:18" x14ac:dyDescent="0.2">
      <c r="A214" s="354">
        <v>42979</v>
      </c>
      <c r="B214" t="s">
        <v>2613</v>
      </c>
      <c r="C214" t="s">
        <v>2614</v>
      </c>
      <c r="D214" t="s">
        <v>2613</v>
      </c>
      <c r="E214" t="s">
        <v>2615</v>
      </c>
      <c r="F214" t="s">
        <v>2616</v>
      </c>
      <c r="G214">
        <v>548608300</v>
      </c>
      <c r="J214" s="354">
        <v>38005</v>
      </c>
      <c r="K214">
        <v>8.1955550000000006</v>
      </c>
      <c r="L214">
        <v>8.44</v>
      </c>
      <c r="M214">
        <v>7.377777</v>
      </c>
      <c r="N214">
        <v>7.6666660000000002</v>
      </c>
      <c r="O214">
        <v>5.6879609999999996</v>
      </c>
      <c r="P214">
        <v>16738200</v>
      </c>
      <c r="R214" s="273">
        <f>(O214/O213)*('16. câmbio USD-BRL'!O10/'16. câmbio USD-BRL'!O9)^-1-1</f>
        <v>-5.6277172386919427E-2</v>
      </c>
    </row>
    <row r="215" spans="1:18" x14ac:dyDescent="0.2">
      <c r="A215" s="354">
        <v>43009</v>
      </c>
      <c r="B215" t="s">
        <v>2617</v>
      </c>
      <c r="C215" t="s">
        <v>2618</v>
      </c>
      <c r="D215" t="s">
        <v>2619</v>
      </c>
      <c r="E215" t="s">
        <v>2620</v>
      </c>
      <c r="F215" t="s">
        <v>2621</v>
      </c>
      <c r="G215">
        <v>508455000</v>
      </c>
      <c r="J215" s="354">
        <v>38012</v>
      </c>
      <c r="K215">
        <v>7.8088879999999996</v>
      </c>
      <c r="L215">
        <v>8.1977770000000003</v>
      </c>
      <c r="M215">
        <v>6.6222219999999998</v>
      </c>
      <c r="N215">
        <v>6.8355550000000003</v>
      </c>
      <c r="O215">
        <v>5.0713530000000002</v>
      </c>
      <c r="P215">
        <v>26855100</v>
      </c>
      <c r="R215" s="273">
        <f>(O215/O214)*('16. câmbio USD-BRL'!O11/'16. câmbio USD-BRL'!O10)^-1-1</f>
        <v>-0.13638215917015972</v>
      </c>
    </row>
    <row r="216" spans="1:18" x14ac:dyDescent="0.2">
      <c r="A216" s="354">
        <v>43040</v>
      </c>
      <c r="B216" t="s">
        <v>2459</v>
      </c>
      <c r="C216" t="s">
        <v>2622</v>
      </c>
      <c r="D216" t="s">
        <v>2623</v>
      </c>
      <c r="E216" t="s">
        <v>2624</v>
      </c>
      <c r="F216" t="s">
        <v>2625</v>
      </c>
      <c r="G216">
        <v>409834500</v>
      </c>
      <c r="J216" s="354">
        <v>38019</v>
      </c>
      <c r="K216">
        <v>6.6911110000000003</v>
      </c>
      <c r="L216">
        <v>7.2444439999999997</v>
      </c>
      <c r="M216">
        <v>6.0444440000000004</v>
      </c>
      <c r="N216">
        <v>6.5777770000000002</v>
      </c>
      <c r="O216">
        <v>4.8801050000000004</v>
      </c>
      <c r="P216">
        <v>29853000</v>
      </c>
      <c r="R216" s="273">
        <f>(O216/O215)*('16. câmbio USD-BRL'!O12/'16. câmbio USD-BRL'!O11)^-1-1</f>
        <v>-3.7711435192935627E-2</v>
      </c>
    </row>
    <row r="217" spans="1:18" x14ac:dyDescent="0.2">
      <c r="A217" s="354">
        <v>43070</v>
      </c>
      <c r="B217" t="s">
        <v>2626</v>
      </c>
      <c r="C217" t="s">
        <v>2627</v>
      </c>
      <c r="D217" t="s">
        <v>2628</v>
      </c>
      <c r="E217" t="s">
        <v>1401</v>
      </c>
      <c r="F217" t="s">
        <v>2629</v>
      </c>
      <c r="G217">
        <v>255815700</v>
      </c>
      <c r="J217" s="354">
        <v>38026</v>
      </c>
      <c r="K217">
        <v>6.7755549999999998</v>
      </c>
      <c r="L217">
        <v>7.7444439999999997</v>
      </c>
      <c r="M217">
        <v>6.6888880000000004</v>
      </c>
      <c r="N217">
        <v>7.377777</v>
      </c>
      <c r="O217">
        <v>5.4736320000000003</v>
      </c>
      <c r="P217">
        <v>22135950</v>
      </c>
      <c r="R217" s="273">
        <f>(O217/O216)*('16. câmbio USD-BRL'!O13/'16. câmbio USD-BRL'!O12)^-1-1</f>
        <v>0.13243630334095302</v>
      </c>
    </row>
    <row r="218" spans="1:18" x14ac:dyDescent="0.2">
      <c r="A218" s="354">
        <v>43101</v>
      </c>
      <c r="B218" t="s">
        <v>1401</v>
      </c>
      <c r="C218" t="s">
        <v>2630</v>
      </c>
      <c r="D218" t="s">
        <v>1401</v>
      </c>
      <c r="E218" t="s">
        <v>2433</v>
      </c>
      <c r="F218" t="s">
        <v>2631</v>
      </c>
      <c r="G218">
        <v>400348600</v>
      </c>
      <c r="J218" s="354">
        <v>38033</v>
      </c>
      <c r="K218">
        <v>7.3311109999999999</v>
      </c>
      <c r="L218">
        <v>8.0399999999999991</v>
      </c>
      <c r="M218">
        <v>6.6222219999999998</v>
      </c>
      <c r="N218">
        <v>7</v>
      </c>
      <c r="O218">
        <v>5.1933569999999998</v>
      </c>
      <c r="P218">
        <v>22125600</v>
      </c>
      <c r="R218" s="273">
        <f>(O218/O217)*('16. câmbio USD-BRL'!O14/'16. câmbio USD-BRL'!O13)^-1-1</f>
        <v>-6.8210377294103064E-2</v>
      </c>
    </row>
    <row r="219" spans="1:18" x14ac:dyDescent="0.2">
      <c r="A219" s="354">
        <v>43132</v>
      </c>
      <c r="B219" t="s">
        <v>2333</v>
      </c>
      <c r="C219" t="s">
        <v>2632</v>
      </c>
      <c r="D219" t="s">
        <v>2633</v>
      </c>
      <c r="E219" t="s">
        <v>2634</v>
      </c>
      <c r="F219" t="s">
        <v>2635</v>
      </c>
      <c r="G219">
        <v>284574700</v>
      </c>
      <c r="J219" s="354">
        <v>38040</v>
      </c>
      <c r="K219">
        <v>7</v>
      </c>
      <c r="L219">
        <v>7.4444439999999998</v>
      </c>
      <c r="M219">
        <v>6.8911110000000004</v>
      </c>
      <c r="N219">
        <v>7.3888879999999997</v>
      </c>
      <c r="O219">
        <v>5.4818759999999997</v>
      </c>
      <c r="P219">
        <v>6907950</v>
      </c>
      <c r="R219" s="273">
        <f>(O219/O218)*('16. câmbio USD-BRL'!O15/'16. câmbio USD-BRL'!O14)^-1-1</f>
        <v>7.4450018345410873E-2</v>
      </c>
    </row>
    <row r="220" spans="1:18" x14ac:dyDescent="0.2">
      <c r="A220" s="354">
        <v>43160</v>
      </c>
      <c r="B220" t="s">
        <v>2634</v>
      </c>
      <c r="C220" t="s">
        <v>2422</v>
      </c>
      <c r="D220" t="s">
        <v>2636</v>
      </c>
      <c r="E220" t="s">
        <v>2347</v>
      </c>
      <c r="F220" t="s">
        <v>2637</v>
      </c>
      <c r="G220">
        <v>255119400</v>
      </c>
      <c r="J220" s="354">
        <v>38047</v>
      </c>
      <c r="K220">
        <v>7.6111110000000002</v>
      </c>
      <c r="L220">
        <v>8.733333</v>
      </c>
      <c r="M220">
        <v>7.4888880000000002</v>
      </c>
      <c r="N220">
        <v>8.733333</v>
      </c>
      <c r="O220">
        <v>6.47933</v>
      </c>
      <c r="P220">
        <v>28805850</v>
      </c>
      <c r="R220" s="273">
        <f>(O220/O219)*('16. câmbio USD-BRL'!O16/'16. câmbio USD-BRL'!O15)^-1-1</f>
        <v>0.1980386876609801</v>
      </c>
    </row>
    <row r="221" spans="1:18" x14ac:dyDescent="0.2">
      <c r="A221" s="354">
        <v>43191</v>
      </c>
      <c r="B221" t="s">
        <v>2638</v>
      </c>
      <c r="C221" t="s">
        <v>2639</v>
      </c>
      <c r="D221" t="s">
        <v>2415</v>
      </c>
      <c r="E221" t="s">
        <v>2388</v>
      </c>
      <c r="F221" t="s">
        <v>2640</v>
      </c>
      <c r="G221">
        <v>205264200</v>
      </c>
      <c r="J221" s="354">
        <v>38054</v>
      </c>
      <c r="K221">
        <v>8.8000000000000007</v>
      </c>
      <c r="L221">
        <v>9.0444440000000004</v>
      </c>
      <c r="M221">
        <v>7.8488879999999996</v>
      </c>
      <c r="N221">
        <v>8.4888879999999993</v>
      </c>
      <c r="O221">
        <v>6.2979750000000001</v>
      </c>
      <c r="P221">
        <v>26779050</v>
      </c>
      <c r="R221" s="273">
        <f>(O221/O220)*('16. câmbio USD-BRL'!O17/'16. câmbio USD-BRL'!O16)^-1-1</f>
        <v>-3.9054398096462384E-2</v>
      </c>
    </row>
    <row r="222" spans="1:18" x14ac:dyDescent="0.2">
      <c r="A222" s="354">
        <v>43221</v>
      </c>
      <c r="B222" t="s">
        <v>2388</v>
      </c>
      <c r="C222" t="s">
        <v>2641</v>
      </c>
      <c r="D222" t="s">
        <v>2642</v>
      </c>
      <c r="E222" t="s">
        <v>2642</v>
      </c>
      <c r="F222" t="s">
        <v>2643</v>
      </c>
      <c r="G222">
        <v>242757500</v>
      </c>
      <c r="J222" s="354">
        <v>38061</v>
      </c>
      <c r="K222">
        <v>8.4444440000000007</v>
      </c>
      <c r="L222">
        <v>8.6</v>
      </c>
      <c r="M222">
        <v>8.0222219999999993</v>
      </c>
      <c r="N222">
        <v>8.3088879999999996</v>
      </c>
      <c r="O222">
        <v>6.1644310000000004</v>
      </c>
      <c r="P222">
        <v>13145850</v>
      </c>
      <c r="R222" s="273">
        <f>(O222/O221)*('16. câmbio USD-BRL'!O18/'16. câmbio USD-BRL'!O17)^-1-1</f>
        <v>-2.1541791744500105E-2</v>
      </c>
    </row>
    <row r="223" spans="1:18" x14ac:dyDescent="0.2">
      <c r="A223" s="354">
        <v>43252</v>
      </c>
      <c r="B223" t="s">
        <v>2644</v>
      </c>
      <c r="C223" t="s">
        <v>2645</v>
      </c>
      <c r="D223" t="s">
        <v>2646</v>
      </c>
      <c r="E223" t="s">
        <v>2647</v>
      </c>
      <c r="F223" t="s">
        <v>2648</v>
      </c>
      <c r="G223">
        <v>294358700</v>
      </c>
      <c r="J223" s="354">
        <v>38068</v>
      </c>
      <c r="K223">
        <v>8.26</v>
      </c>
      <c r="L223">
        <v>8.322222</v>
      </c>
      <c r="M223">
        <v>7.4444439999999998</v>
      </c>
      <c r="N223">
        <v>8.3000000000000007</v>
      </c>
      <c r="O223">
        <v>6.1578359999999996</v>
      </c>
      <c r="P223">
        <v>12719250</v>
      </c>
      <c r="R223" s="273">
        <f>(O223/O222)*('16. câmbio USD-BRL'!O19/'16. câmbio USD-BRL'!O18)^-1-1</f>
        <v>-1.3654258507051265E-2</v>
      </c>
    </row>
    <row r="224" spans="1:18" x14ac:dyDescent="0.2">
      <c r="A224" s="354">
        <v>43282</v>
      </c>
      <c r="B224" t="s">
        <v>2649</v>
      </c>
      <c r="C224" t="s">
        <v>2650</v>
      </c>
      <c r="D224" t="s">
        <v>2651</v>
      </c>
      <c r="E224" t="s">
        <v>2652</v>
      </c>
      <c r="F224" t="s">
        <v>2653</v>
      </c>
      <c r="G224">
        <v>331161400</v>
      </c>
      <c r="J224" s="354">
        <v>38075</v>
      </c>
      <c r="K224">
        <v>8.2555549999999993</v>
      </c>
      <c r="L224">
        <v>9.288888</v>
      </c>
      <c r="M224">
        <v>8.233333</v>
      </c>
      <c r="N224">
        <v>9.2488880000000009</v>
      </c>
      <c r="O224">
        <v>6.8618249999999996</v>
      </c>
      <c r="P224">
        <v>17813250</v>
      </c>
      <c r="R224" s="273">
        <f>(O224/O223)*('16. câmbio USD-BRL'!O20/'16. câmbio USD-BRL'!O19)^-1-1</f>
        <v>0.13127198538812168</v>
      </c>
    </row>
    <row r="225" spans="1:18" x14ac:dyDescent="0.2">
      <c r="A225" s="354">
        <v>43313</v>
      </c>
      <c r="B225" t="s">
        <v>2442</v>
      </c>
      <c r="C225" t="s">
        <v>2452</v>
      </c>
      <c r="D225" t="s">
        <v>2654</v>
      </c>
      <c r="E225" t="s">
        <v>2655</v>
      </c>
      <c r="F225" t="s">
        <v>2656</v>
      </c>
      <c r="G225">
        <v>340205100</v>
      </c>
      <c r="J225" s="354">
        <v>38082</v>
      </c>
      <c r="K225">
        <v>9.3333329999999997</v>
      </c>
      <c r="L225">
        <v>9.4444440000000007</v>
      </c>
      <c r="M225">
        <v>8.3644440000000007</v>
      </c>
      <c r="N225">
        <v>8.5333330000000007</v>
      </c>
      <c r="O225">
        <v>6.3309490000000004</v>
      </c>
      <c r="P225">
        <v>12509550</v>
      </c>
      <c r="R225" s="273">
        <f>(O225/O224)*('16. câmbio USD-BRL'!O21/'16. câmbio USD-BRL'!O20)^-1-1</f>
        <v>-7.4487359316390722E-2</v>
      </c>
    </row>
    <row r="226" spans="1:18" x14ac:dyDescent="0.2">
      <c r="A226" s="354">
        <v>43344</v>
      </c>
      <c r="B226" t="s">
        <v>2655</v>
      </c>
      <c r="C226" t="s">
        <v>2657</v>
      </c>
      <c r="D226" t="s">
        <v>2658</v>
      </c>
      <c r="E226" t="s">
        <v>2659</v>
      </c>
      <c r="F226" t="s">
        <v>2660</v>
      </c>
      <c r="G226">
        <v>310977000</v>
      </c>
      <c r="J226" s="354">
        <v>38089</v>
      </c>
      <c r="K226">
        <v>8.6</v>
      </c>
      <c r="L226">
        <v>8.8888879999999997</v>
      </c>
      <c r="M226">
        <v>7.7844439999999997</v>
      </c>
      <c r="N226">
        <v>8</v>
      </c>
      <c r="O226">
        <v>5.935263</v>
      </c>
      <c r="P226">
        <v>23389650</v>
      </c>
      <c r="R226" s="273">
        <f>(O226/O225)*('16. câmbio USD-BRL'!O22/'16. câmbio USD-BRL'!O21)^-1-1</f>
        <v>-7.0237540826552536E-2</v>
      </c>
    </row>
    <row r="227" spans="1:18" x14ac:dyDescent="0.2">
      <c r="A227" s="354">
        <v>43374</v>
      </c>
      <c r="B227" t="s">
        <v>2448</v>
      </c>
      <c r="C227" t="s">
        <v>2437</v>
      </c>
      <c r="D227" t="s">
        <v>2661</v>
      </c>
      <c r="E227" t="s">
        <v>2441</v>
      </c>
      <c r="F227" t="s">
        <v>2662</v>
      </c>
      <c r="G227">
        <v>450235200</v>
      </c>
      <c r="J227" s="354">
        <v>38096</v>
      </c>
      <c r="K227">
        <v>8.1088880000000003</v>
      </c>
      <c r="L227">
        <v>8.1088880000000003</v>
      </c>
      <c r="M227">
        <v>7.1333330000000004</v>
      </c>
      <c r="N227">
        <v>7.2711110000000003</v>
      </c>
      <c r="O227">
        <v>5.3944960000000002</v>
      </c>
      <c r="P227">
        <v>14140350</v>
      </c>
      <c r="R227" s="273">
        <f>(O227/O226)*('16. câmbio USD-BRL'!O23/'16. câmbio USD-BRL'!O22)^-1-1</f>
        <v>-9.1110874109538109E-2</v>
      </c>
    </row>
    <row r="228" spans="1:18" x14ac:dyDescent="0.2">
      <c r="A228" s="354">
        <v>43405</v>
      </c>
      <c r="B228" t="s">
        <v>1982</v>
      </c>
      <c r="C228" t="s">
        <v>2663</v>
      </c>
      <c r="D228" t="s">
        <v>2664</v>
      </c>
      <c r="E228" t="s">
        <v>1402</v>
      </c>
      <c r="F228" t="s">
        <v>2665</v>
      </c>
      <c r="G228">
        <v>303159100</v>
      </c>
      <c r="J228" s="354">
        <v>38103</v>
      </c>
      <c r="K228">
        <v>7.8555549999999998</v>
      </c>
      <c r="L228">
        <v>8</v>
      </c>
      <c r="M228">
        <v>6.38</v>
      </c>
      <c r="N228">
        <v>6.4444439999999998</v>
      </c>
      <c r="O228">
        <v>4.7811849999999998</v>
      </c>
      <c r="P228">
        <v>31391550</v>
      </c>
      <c r="R228" s="273">
        <f>(O228/O227)*('16. câmbio USD-BRL'!O24/'16. câmbio USD-BRL'!O23)^-1-1</f>
        <v>-0.12034686513695758</v>
      </c>
    </row>
    <row r="229" spans="1:18" x14ac:dyDescent="0.2">
      <c r="A229" s="354">
        <v>43435</v>
      </c>
      <c r="B229" t="s">
        <v>2370</v>
      </c>
      <c r="C229" t="s">
        <v>2666</v>
      </c>
      <c r="D229" t="s">
        <v>2667</v>
      </c>
      <c r="E229" t="s">
        <v>2668</v>
      </c>
      <c r="F229" t="s">
        <v>2669</v>
      </c>
      <c r="G229">
        <v>317247600</v>
      </c>
      <c r="J229" s="354">
        <v>38110</v>
      </c>
      <c r="K229">
        <v>6.4444439999999998</v>
      </c>
      <c r="L229">
        <v>6.9888880000000002</v>
      </c>
      <c r="M229">
        <v>6.0111109999999996</v>
      </c>
      <c r="N229">
        <v>6.0333329999999998</v>
      </c>
      <c r="O229">
        <v>4.476178</v>
      </c>
      <c r="P229">
        <v>39584250</v>
      </c>
      <c r="R229" s="273">
        <f>(O229/O228)*('16. câmbio USD-BRL'!O25/'16. câmbio USD-BRL'!O24)^-1-1</f>
        <v>-0.10385952965339229</v>
      </c>
    </row>
    <row r="230" spans="1:18" x14ac:dyDescent="0.2">
      <c r="A230" s="354">
        <v>43466</v>
      </c>
      <c r="B230" t="s">
        <v>2668</v>
      </c>
      <c r="C230" t="s">
        <v>1447</v>
      </c>
      <c r="D230" t="s">
        <v>2670</v>
      </c>
      <c r="E230" t="s">
        <v>2370</v>
      </c>
      <c r="F230" t="s">
        <v>2671</v>
      </c>
      <c r="G230">
        <v>381424300</v>
      </c>
      <c r="J230" s="354">
        <v>38117</v>
      </c>
      <c r="K230">
        <v>5.7755549999999998</v>
      </c>
      <c r="L230">
        <v>6.1088880000000003</v>
      </c>
      <c r="M230">
        <v>5.2644440000000001</v>
      </c>
      <c r="N230">
        <v>5.7555550000000002</v>
      </c>
      <c r="O230">
        <v>4.270092</v>
      </c>
      <c r="P230">
        <v>34697250</v>
      </c>
      <c r="R230" s="273">
        <f>(O230/O229)*('16. câmbio USD-BRL'!O26/'16. câmbio USD-BRL'!O25)^-1-1</f>
        <v>-5.4381583789503085E-2</v>
      </c>
    </row>
    <row r="231" spans="1:18" x14ac:dyDescent="0.2">
      <c r="A231" s="354">
        <v>43497</v>
      </c>
      <c r="B231" t="s">
        <v>2395</v>
      </c>
      <c r="C231" t="s">
        <v>2672</v>
      </c>
      <c r="D231" t="s">
        <v>2444</v>
      </c>
      <c r="E231" t="s">
        <v>2673</v>
      </c>
      <c r="F231" t="s">
        <v>2674</v>
      </c>
      <c r="G231">
        <v>298659500</v>
      </c>
      <c r="J231" s="354">
        <v>38124</v>
      </c>
      <c r="K231">
        <v>5.555555</v>
      </c>
      <c r="L231">
        <v>6.5111109999999996</v>
      </c>
      <c r="M231">
        <v>5.466666</v>
      </c>
      <c r="N231">
        <v>5.9977770000000001</v>
      </c>
      <c r="O231">
        <v>4.4497989999999996</v>
      </c>
      <c r="P231">
        <v>24695100</v>
      </c>
      <c r="R231" s="273">
        <f>(O231/O230)*('16. câmbio USD-BRL'!O27/'16. câmbio USD-BRL'!O26)^-1-1</f>
        <v>7.8166642199590797E-3</v>
      </c>
    </row>
    <row r="232" spans="1:18" x14ac:dyDescent="0.2">
      <c r="A232" s="354">
        <v>43525</v>
      </c>
      <c r="B232" t="s">
        <v>2385</v>
      </c>
      <c r="C232" t="s">
        <v>2675</v>
      </c>
      <c r="D232" t="s">
        <v>2676</v>
      </c>
      <c r="E232" t="s">
        <v>2677</v>
      </c>
      <c r="F232" t="s">
        <v>2678</v>
      </c>
      <c r="G232">
        <v>290698300</v>
      </c>
      <c r="J232" s="354">
        <v>38131</v>
      </c>
      <c r="K232">
        <v>6.1</v>
      </c>
      <c r="L232">
        <v>6.8644439999999998</v>
      </c>
      <c r="M232">
        <v>5.911111</v>
      </c>
      <c r="N232">
        <v>6.5777770000000002</v>
      </c>
      <c r="O232">
        <v>4.8801050000000004</v>
      </c>
      <c r="P232">
        <v>22311450</v>
      </c>
      <c r="R232" s="273">
        <f>(O232/O231)*('16. câmbio USD-BRL'!O28/'16. câmbio USD-BRL'!O27)^-1-1</f>
        <v>0.13399306637424924</v>
      </c>
    </row>
    <row r="233" spans="1:18" x14ac:dyDescent="0.2">
      <c r="A233" s="354">
        <v>43556</v>
      </c>
      <c r="B233" t="s">
        <v>2672</v>
      </c>
      <c r="C233" t="s">
        <v>1439</v>
      </c>
      <c r="D233" t="s">
        <v>2679</v>
      </c>
      <c r="E233" t="s">
        <v>2680</v>
      </c>
      <c r="F233" t="s">
        <v>2681</v>
      </c>
      <c r="G233">
        <v>268883100</v>
      </c>
      <c r="J233" s="354">
        <v>38138</v>
      </c>
      <c r="K233">
        <v>6.62</v>
      </c>
      <c r="L233">
        <v>6.78</v>
      </c>
      <c r="M233">
        <v>6.466666</v>
      </c>
      <c r="N233">
        <v>6.6555549999999997</v>
      </c>
      <c r="O233">
        <v>4.9378089999999997</v>
      </c>
      <c r="P233">
        <v>17955900</v>
      </c>
      <c r="R233" s="273">
        <f>(O233/O232)*('16. câmbio USD-BRL'!O29/'16. câmbio USD-BRL'!O28)^-1-1</f>
        <v>-7.9515548885578102E-4</v>
      </c>
    </row>
    <row r="234" spans="1:18" x14ac:dyDescent="0.2">
      <c r="A234" s="354">
        <v>43586</v>
      </c>
      <c r="B234" t="s">
        <v>2680</v>
      </c>
      <c r="C234" t="s">
        <v>2682</v>
      </c>
      <c r="D234" t="s">
        <v>2683</v>
      </c>
      <c r="E234" t="s">
        <v>2352</v>
      </c>
      <c r="F234" t="s">
        <v>2684</v>
      </c>
      <c r="G234">
        <v>227291400</v>
      </c>
      <c r="J234" s="354">
        <v>38145</v>
      </c>
      <c r="K234">
        <v>6.7244440000000001</v>
      </c>
      <c r="L234">
        <v>6.8111110000000004</v>
      </c>
      <c r="M234">
        <v>6.4488880000000002</v>
      </c>
      <c r="N234">
        <v>6.6688879999999999</v>
      </c>
      <c r="O234">
        <v>4.9477019999999996</v>
      </c>
      <c r="P234">
        <v>15115500</v>
      </c>
      <c r="R234" s="273">
        <f>(O234/O233)*('16. câmbio USD-BRL'!O30/'16. câmbio USD-BRL'!O29)^-1-1</f>
        <v>-1.5089204532342526E-3</v>
      </c>
    </row>
    <row r="235" spans="1:18" x14ac:dyDescent="0.2">
      <c r="A235" s="354">
        <v>43617</v>
      </c>
      <c r="B235" t="s">
        <v>2366</v>
      </c>
      <c r="C235" t="s">
        <v>2685</v>
      </c>
      <c r="D235" t="s">
        <v>2661</v>
      </c>
      <c r="E235" t="s">
        <v>2686</v>
      </c>
      <c r="F235" t="s">
        <v>2687</v>
      </c>
      <c r="G235">
        <v>203072100</v>
      </c>
      <c r="J235" s="354">
        <v>38152</v>
      </c>
      <c r="K235">
        <v>6.6311109999999998</v>
      </c>
      <c r="L235">
        <v>6.9755549999999999</v>
      </c>
      <c r="M235">
        <v>6.5222220000000002</v>
      </c>
      <c r="N235">
        <v>6.6422220000000003</v>
      </c>
      <c r="O235">
        <v>4.927918</v>
      </c>
      <c r="P235">
        <v>27202950</v>
      </c>
      <c r="R235" s="273">
        <f>(O235/O234)*('16. câmbio USD-BRL'!O31/'16. câmbio USD-BRL'!O30)^-1-1</f>
        <v>-4.315922948732176E-3</v>
      </c>
    </row>
    <row r="236" spans="1:18" x14ac:dyDescent="0.2">
      <c r="A236" s="354">
        <v>43647</v>
      </c>
      <c r="B236" t="s">
        <v>2688</v>
      </c>
      <c r="C236" t="s">
        <v>2370</v>
      </c>
      <c r="D236" t="s">
        <v>2689</v>
      </c>
      <c r="E236" t="s">
        <v>2442</v>
      </c>
      <c r="F236" t="s">
        <v>2690</v>
      </c>
      <c r="G236">
        <v>258515000</v>
      </c>
      <c r="J236" s="354">
        <v>38159</v>
      </c>
      <c r="K236">
        <v>6.6666660000000002</v>
      </c>
      <c r="L236">
        <v>7.233333</v>
      </c>
      <c r="M236">
        <v>6.4</v>
      </c>
      <c r="N236">
        <v>7.0777770000000002</v>
      </c>
      <c r="O236">
        <v>5.2510599999999998</v>
      </c>
      <c r="P236">
        <v>25735050</v>
      </c>
      <c r="R236" s="273">
        <f>(O236/O235)*('16. câmbio USD-BRL'!O32/'16. câmbio USD-BRL'!O31)^-1-1</f>
        <v>7.585588972348889E-2</v>
      </c>
    </row>
    <row r="237" spans="1:18" x14ac:dyDescent="0.2">
      <c r="A237" s="354">
        <v>43678</v>
      </c>
      <c r="B237" t="s">
        <v>2691</v>
      </c>
      <c r="C237" t="s">
        <v>2692</v>
      </c>
      <c r="D237" t="s">
        <v>2693</v>
      </c>
      <c r="E237" t="s">
        <v>2404</v>
      </c>
      <c r="F237" t="s">
        <v>2694</v>
      </c>
      <c r="G237">
        <v>283073900</v>
      </c>
      <c r="J237" s="354">
        <v>38166</v>
      </c>
      <c r="K237">
        <v>7.16</v>
      </c>
      <c r="L237">
        <v>7.6644439999999996</v>
      </c>
      <c r="M237">
        <v>6.8444440000000002</v>
      </c>
      <c r="N237">
        <v>7.6222219999999998</v>
      </c>
      <c r="O237">
        <v>5.6549880000000003</v>
      </c>
      <c r="P237">
        <v>30433050</v>
      </c>
      <c r="R237" s="273">
        <f>(O237/O236)*('16. câmbio USD-BRL'!O33/'16. câmbio USD-BRL'!O32)^-1-1</f>
        <v>0.10172886749901866</v>
      </c>
    </row>
    <row r="238" spans="1:18" x14ac:dyDescent="0.2">
      <c r="A238" s="354">
        <v>43709</v>
      </c>
      <c r="B238" t="s">
        <v>2695</v>
      </c>
      <c r="C238" t="s">
        <v>2696</v>
      </c>
      <c r="D238" t="s">
        <v>2697</v>
      </c>
      <c r="E238" t="s">
        <v>2698</v>
      </c>
      <c r="F238" t="s">
        <v>2699</v>
      </c>
      <c r="G238">
        <v>229562700</v>
      </c>
      <c r="J238" s="354">
        <v>38173</v>
      </c>
      <c r="K238">
        <v>7.6888880000000004</v>
      </c>
      <c r="L238">
        <v>7.877777</v>
      </c>
      <c r="M238">
        <v>7.6222219999999998</v>
      </c>
      <c r="N238">
        <v>7.8288880000000001</v>
      </c>
      <c r="O238">
        <v>5.8083150000000003</v>
      </c>
      <c r="P238">
        <v>17591400</v>
      </c>
      <c r="R238" s="273">
        <f>(O238/O237)*('16. câmbio USD-BRL'!O34/'16. câmbio USD-BRL'!O33)^-1-1</f>
        <v>2.6438074972326975E-2</v>
      </c>
    </row>
    <row r="239" spans="1:18" x14ac:dyDescent="0.2">
      <c r="A239" s="354">
        <v>43739</v>
      </c>
      <c r="B239" t="s">
        <v>2700</v>
      </c>
      <c r="C239" t="s">
        <v>2701</v>
      </c>
      <c r="D239" t="s">
        <v>2702</v>
      </c>
      <c r="E239" t="s">
        <v>2703</v>
      </c>
      <c r="F239" t="s">
        <v>2704</v>
      </c>
      <c r="G239">
        <v>283281500</v>
      </c>
      <c r="J239" s="354">
        <v>38180</v>
      </c>
      <c r="K239">
        <v>7.8733329999999997</v>
      </c>
      <c r="L239">
        <v>8.822222</v>
      </c>
      <c r="M239">
        <v>7.8666660000000004</v>
      </c>
      <c r="N239">
        <v>8.7111110000000007</v>
      </c>
      <c r="O239">
        <v>6.4628439999999996</v>
      </c>
      <c r="P239">
        <v>37241100</v>
      </c>
      <c r="R239" s="273">
        <f>(O239/O238)*('16. câmbio USD-BRL'!O35/'16. câmbio USD-BRL'!O34)^-1-1</f>
        <v>0.12751917538108981</v>
      </c>
    </row>
    <row r="240" spans="1:18" x14ac:dyDescent="0.2">
      <c r="A240" s="354">
        <v>43770</v>
      </c>
      <c r="B240" t="s">
        <v>2705</v>
      </c>
      <c r="C240" t="s">
        <v>2706</v>
      </c>
      <c r="D240" t="s">
        <v>2707</v>
      </c>
      <c r="E240" t="s">
        <v>2708</v>
      </c>
      <c r="F240" t="s">
        <v>2709</v>
      </c>
      <c r="G240">
        <v>286580500</v>
      </c>
      <c r="J240" s="354">
        <v>38187</v>
      </c>
      <c r="K240">
        <v>8.6888880000000004</v>
      </c>
      <c r="L240">
        <v>9.0777769999999993</v>
      </c>
      <c r="M240">
        <v>8.3555550000000007</v>
      </c>
      <c r="N240">
        <v>8.7555549999999993</v>
      </c>
      <c r="O240">
        <v>6.4958179999999999</v>
      </c>
      <c r="P240">
        <v>20421000</v>
      </c>
      <c r="R240" s="273">
        <f>(O240/O239)*('16. câmbio USD-BRL'!O36/'16. câmbio USD-BRL'!O35)^-1-1</f>
        <v>-1.2017239883153841E-2</v>
      </c>
    </row>
    <row r="241" spans="1:18" x14ac:dyDescent="0.2">
      <c r="A241" s="354">
        <v>43800</v>
      </c>
      <c r="B241" t="s">
        <v>2644</v>
      </c>
      <c r="C241" t="s">
        <v>2372</v>
      </c>
      <c r="D241" t="s">
        <v>2659</v>
      </c>
      <c r="E241" t="s">
        <v>2389</v>
      </c>
      <c r="F241" t="s">
        <v>2710</v>
      </c>
      <c r="G241">
        <v>254490400</v>
      </c>
      <c r="J241" s="354">
        <v>38194</v>
      </c>
      <c r="K241">
        <v>8.8888879999999997</v>
      </c>
      <c r="L241">
        <v>9.6666659999999993</v>
      </c>
      <c r="M241">
        <v>8.2755550000000007</v>
      </c>
      <c r="N241">
        <v>9.5888880000000007</v>
      </c>
      <c r="O241">
        <v>7.1140730000000003</v>
      </c>
      <c r="P241">
        <v>20975850</v>
      </c>
      <c r="R241" s="273">
        <f>(O241/O240)*('16. câmbio USD-BRL'!O37/'16. câmbio USD-BRL'!O36)^-1-1</f>
        <v>0.10130980572699544</v>
      </c>
    </row>
    <row r="242" spans="1:18" x14ac:dyDescent="0.2">
      <c r="A242" s="354">
        <v>43831</v>
      </c>
      <c r="B242" t="s">
        <v>2389</v>
      </c>
      <c r="C242" t="s">
        <v>2711</v>
      </c>
      <c r="D242" t="s">
        <v>2712</v>
      </c>
      <c r="E242" t="s">
        <v>2614</v>
      </c>
      <c r="F242" t="s">
        <v>2713</v>
      </c>
      <c r="G242">
        <v>480098800</v>
      </c>
      <c r="J242" s="354">
        <v>38201</v>
      </c>
      <c r="K242">
        <v>9.4888879999999993</v>
      </c>
      <c r="L242">
        <v>10.066666</v>
      </c>
      <c r="M242">
        <v>8.9577770000000001</v>
      </c>
      <c r="N242">
        <v>9.4888879999999993</v>
      </c>
      <c r="O242">
        <v>7.0398829999999997</v>
      </c>
      <c r="P242">
        <v>30640500</v>
      </c>
      <c r="R242" s="273">
        <f>(O242/O241)*('16. câmbio USD-BRL'!O38/'16. câmbio USD-BRL'!O37)^-1-1</f>
        <v>-8.7962077520520321E-3</v>
      </c>
    </row>
    <row r="243" spans="1:18" x14ac:dyDescent="0.2">
      <c r="A243" s="354">
        <v>43862</v>
      </c>
      <c r="B243" t="s">
        <v>2372</v>
      </c>
      <c r="C243" t="s">
        <v>2383</v>
      </c>
      <c r="D243" t="s">
        <v>2701</v>
      </c>
      <c r="E243" t="s">
        <v>2714</v>
      </c>
      <c r="F243" t="s">
        <v>2715</v>
      </c>
      <c r="G243">
        <v>327891700</v>
      </c>
      <c r="J243" s="354">
        <v>38208</v>
      </c>
      <c r="K243">
        <v>9.56</v>
      </c>
      <c r="L243">
        <v>9.8444439999999993</v>
      </c>
      <c r="M243">
        <v>9.1777770000000007</v>
      </c>
      <c r="N243">
        <v>9.6888880000000004</v>
      </c>
      <c r="O243">
        <v>7.1882619999999999</v>
      </c>
      <c r="P243">
        <v>30597300</v>
      </c>
      <c r="R243" s="273">
        <f>(O243/O242)*('16. câmbio USD-BRL'!O39/'16. câmbio USD-BRL'!O38)^-1-1</f>
        <v>2.5135515948347509E-2</v>
      </c>
    </row>
    <row r="244" spans="1:18" x14ac:dyDescent="0.2">
      <c r="A244" s="354">
        <v>43891</v>
      </c>
      <c r="B244" t="s">
        <v>2716</v>
      </c>
      <c r="C244" t="s">
        <v>2362</v>
      </c>
      <c r="D244" t="s">
        <v>2717</v>
      </c>
      <c r="E244" t="s">
        <v>2718</v>
      </c>
      <c r="F244" t="s">
        <v>2719</v>
      </c>
      <c r="G244">
        <v>446911600</v>
      </c>
      <c r="J244" s="354">
        <v>38215</v>
      </c>
      <c r="K244">
        <v>9.733333</v>
      </c>
      <c r="L244">
        <v>10.6</v>
      </c>
      <c r="M244">
        <v>9.6888880000000004</v>
      </c>
      <c r="N244">
        <v>10.366666</v>
      </c>
      <c r="O244">
        <v>7.6911129999999996</v>
      </c>
      <c r="P244">
        <v>24694650</v>
      </c>
      <c r="R244" s="273">
        <f>(O244/O243)*('16. câmbio USD-BRL'!O40/'16. câmbio USD-BRL'!O39)^-1-1</f>
        <v>8.9808542641528488E-2</v>
      </c>
    </row>
    <row r="245" spans="1:18" x14ac:dyDescent="0.2">
      <c r="A245" s="354">
        <v>43922</v>
      </c>
      <c r="B245" t="s">
        <v>2720</v>
      </c>
      <c r="C245" t="s">
        <v>1310</v>
      </c>
      <c r="D245" t="s">
        <v>2721</v>
      </c>
      <c r="E245" t="s">
        <v>2722</v>
      </c>
      <c r="F245" t="s">
        <v>2723</v>
      </c>
      <c r="G245">
        <v>443427900</v>
      </c>
      <c r="J245" s="354">
        <v>38222</v>
      </c>
      <c r="K245">
        <v>10.388888</v>
      </c>
      <c r="L245">
        <v>10.44</v>
      </c>
      <c r="M245">
        <v>9.7822220000000009</v>
      </c>
      <c r="N245">
        <v>10.199999999999999</v>
      </c>
      <c r="O245">
        <v>7.5674619999999999</v>
      </c>
      <c r="P245">
        <v>14795100</v>
      </c>
      <c r="R245" s="273">
        <f>(O245/O244)*('16. câmbio USD-BRL'!O41/'16. câmbio USD-BRL'!O40)^-1-1</f>
        <v>-1.2077440462725297E-2</v>
      </c>
    </row>
    <row r="246" spans="1:18" x14ac:dyDescent="0.2">
      <c r="A246" s="354">
        <v>43952</v>
      </c>
      <c r="B246" t="s">
        <v>2722</v>
      </c>
      <c r="C246" t="s">
        <v>2492</v>
      </c>
      <c r="D246" t="s">
        <v>2484</v>
      </c>
      <c r="E246" t="s">
        <v>2724</v>
      </c>
      <c r="F246" t="s">
        <v>2725</v>
      </c>
      <c r="G246">
        <v>556431700</v>
      </c>
      <c r="J246" s="354">
        <v>38229</v>
      </c>
      <c r="K246">
        <v>9.8888879999999997</v>
      </c>
      <c r="L246">
        <v>10.431111</v>
      </c>
      <c r="M246">
        <v>9.7822220000000009</v>
      </c>
      <c r="N246">
        <v>10.066666</v>
      </c>
      <c r="O246">
        <v>7.4685410000000001</v>
      </c>
      <c r="P246">
        <v>17713350</v>
      </c>
      <c r="R246" s="273" t="e">
        <f>(O246/O245)*('16. câmbio USD-BRL'!O42/'16. câmbio USD-BRL'!O41)^-1-1</f>
        <v>#VALUE!</v>
      </c>
    </row>
    <row r="247" spans="1:18" x14ac:dyDescent="0.2">
      <c r="A247" s="354">
        <v>43983</v>
      </c>
      <c r="B247" t="s">
        <v>2726</v>
      </c>
      <c r="C247" t="s">
        <v>2727</v>
      </c>
      <c r="D247" t="s">
        <v>2728</v>
      </c>
      <c r="E247" t="s">
        <v>2729</v>
      </c>
      <c r="F247" t="s">
        <v>2730</v>
      </c>
      <c r="G247">
        <v>561795100</v>
      </c>
      <c r="J247" s="354">
        <v>38236</v>
      </c>
      <c r="K247">
        <v>10.113333000000001</v>
      </c>
      <c r="L247">
        <v>10.222222</v>
      </c>
      <c r="M247">
        <v>9.3333329999999997</v>
      </c>
      <c r="N247">
        <v>9.411111</v>
      </c>
      <c r="O247">
        <v>6.9821780000000002</v>
      </c>
      <c r="P247">
        <v>12561300</v>
      </c>
      <c r="R247" s="273" t="e">
        <f>(O247/O246)*('16. câmbio USD-BRL'!O43/'16. câmbio USD-BRL'!O42)^-1-1</f>
        <v>#VALUE!</v>
      </c>
    </row>
    <row r="248" spans="1:18" x14ac:dyDescent="0.2">
      <c r="A248" s="354">
        <v>44013</v>
      </c>
      <c r="B248" t="s">
        <v>2649</v>
      </c>
      <c r="C248" t="s">
        <v>2731</v>
      </c>
      <c r="D248" t="s">
        <v>2702</v>
      </c>
      <c r="E248" t="s">
        <v>2732</v>
      </c>
      <c r="F248" t="s">
        <v>2733</v>
      </c>
      <c r="G248">
        <v>440398700</v>
      </c>
      <c r="J248" s="354">
        <v>38243</v>
      </c>
      <c r="K248">
        <v>9.4088879999999993</v>
      </c>
      <c r="L248">
        <v>10.077776999999999</v>
      </c>
      <c r="M248">
        <v>9.3800000000000008</v>
      </c>
      <c r="N248">
        <v>9.9777769999999997</v>
      </c>
      <c r="O248">
        <v>7.4025939999999997</v>
      </c>
      <c r="P248">
        <v>16365150</v>
      </c>
      <c r="R248" s="273" t="e">
        <f>(O248/O247)*('16. câmbio USD-BRL'!O44/'16. câmbio USD-BRL'!O43)^-1-1</f>
        <v>#VALUE!</v>
      </c>
    </row>
    <row r="249" spans="1:18" x14ac:dyDescent="0.2">
      <c r="A249" s="354">
        <v>44044</v>
      </c>
      <c r="B249" t="s">
        <v>2734</v>
      </c>
      <c r="C249" t="s">
        <v>2735</v>
      </c>
      <c r="D249" t="s">
        <v>2736</v>
      </c>
      <c r="E249" t="s">
        <v>2331</v>
      </c>
      <c r="F249" t="s">
        <v>2737</v>
      </c>
      <c r="G249">
        <v>455725400</v>
      </c>
      <c r="J249" s="354">
        <v>38250</v>
      </c>
      <c r="K249">
        <v>10.14</v>
      </c>
      <c r="L249">
        <v>10.188888</v>
      </c>
      <c r="M249">
        <v>9.3555550000000007</v>
      </c>
      <c r="N249">
        <v>9.377777</v>
      </c>
      <c r="O249">
        <v>6.9574499999999997</v>
      </c>
      <c r="P249">
        <v>20927700</v>
      </c>
      <c r="R249" s="273" t="e">
        <f>(O249/O248)*('16. câmbio USD-BRL'!O45/'16. câmbio USD-BRL'!O44)^-1-1</f>
        <v>#VALUE!</v>
      </c>
    </row>
    <row r="250" spans="1:18" x14ac:dyDescent="0.2">
      <c r="A250" s="354">
        <v>44075</v>
      </c>
      <c r="B250" t="s">
        <v>2738</v>
      </c>
      <c r="C250" t="s">
        <v>2739</v>
      </c>
      <c r="D250" t="s">
        <v>2740</v>
      </c>
      <c r="E250" t="s">
        <v>2415</v>
      </c>
      <c r="F250" t="s">
        <v>2741</v>
      </c>
      <c r="G250">
        <v>481635200</v>
      </c>
      <c r="J250" s="354">
        <v>38257</v>
      </c>
      <c r="K250">
        <v>9.3555550000000007</v>
      </c>
      <c r="L250">
        <v>9.9866659999999996</v>
      </c>
      <c r="M250">
        <v>9.0044439999999994</v>
      </c>
      <c r="N250">
        <v>9.8666660000000004</v>
      </c>
      <c r="O250">
        <v>7.3201590000000003</v>
      </c>
      <c r="P250">
        <v>20920500</v>
      </c>
      <c r="R250" s="273" t="e">
        <f>(O250/O249)*('16. câmbio USD-BRL'!O46/'16. câmbio USD-BRL'!O45)^-1-1</f>
        <v>#VALUE!</v>
      </c>
    </row>
    <row r="251" spans="1:18" x14ac:dyDescent="0.2">
      <c r="A251" s="354">
        <v>44105</v>
      </c>
      <c r="B251" t="s">
        <v>2742</v>
      </c>
      <c r="C251" t="s">
        <v>2743</v>
      </c>
      <c r="D251" t="s">
        <v>2744</v>
      </c>
      <c r="E251" t="s">
        <v>2388</v>
      </c>
      <c r="F251" t="s">
        <v>2745</v>
      </c>
      <c r="G251">
        <v>386565200</v>
      </c>
      <c r="J251" s="354">
        <v>38264</v>
      </c>
      <c r="K251">
        <v>9.9333329999999993</v>
      </c>
      <c r="L251">
        <v>10.8</v>
      </c>
      <c r="M251">
        <v>9.9333329999999993</v>
      </c>
      <c r="N251">
        <v>10.199999999999999</v>
      </c>
      <c r="O251">
        <v>7.5674619999999999</v>
      </c>
      <c r="P251">
        <v>25051050</v>
      </c>
      <c r="R251" s="273" t="e">
        <f>(O251/O250)*('16. câmbio USD-BRL'!O47/'16. câmbio USD-BRL'!O46)^-1-1</f>
        <v>#VALUE!</v>
      </c>
    </row>
    <row r="252" spans="1:18" x14ac:dyDescent="0.2">
      <c r="A252" s="354">
        <v>44136</v>
      </c>
      <c r="B252" t="s">
        <v>2388</v>
      </c>
      <c r="C252" t="s">
        <v>2746</v>
      </c>
      <c r="D252" t="s">
        <v>1499</v>
      </c>
      <c r="E252" t="s">
        <v>2747</v>
      </c>
      <c r="F252" t="s">
        <v>2748</v>
      </c>
      <c r="G252">
        <v>320858400</v>
      </c>
      <c r="J252" s="354">
        <v>38271</v>
      </c>
      <c r="K252">
        <v>10.220000000000001</v>
      </c>
      <c r="L252">
        <v>10.333333</v>
      </c>
      <c r="M252">
        <v>9.466666</v>
      </c>
      <c r="N252">
        <v>9.7555549999999993</v>
      </c>
      <c r="O252">
        <v>7.2377250000000002</v>
      </c>
      <c r="P252">
        <v>18938250</v>
      </c>
      <c r="R252" s="273" t="e">
        <f>(O252/O251)*('16. câmbio USD-BRL'!O48/'16. câmbio USD-BRL'!O47)^-1-1</f>
        <v>#VALUE!</v>
      </c>
    </row>
    <row r="253" spans="1:18" x14ac:dyDescent="0.2">
      <c r="A253" s="354">
        <v>44166</v>
      </c>
      <c r="B253" t="s">
        <v>2749</v>
      </c>
      <c r="C253" t="s">
        <v>2750</v>
      </c>
      <c r="D253" t="s">
        <v>2751</v>
      </c>
      <c r="E253" t="s">
        <v>2752</v>
      </c>
      <c r="F253" t="s">
        <v>2753</v>
      </c>
      <c r="G253">
        <v>399490300</v>
      </c>
      <c r="J253" s="354">
        <v>38278</v>
      </c>
      <c r="K253">
        <v>9.5333330000000007</v>
      </c>
      <c r="L253">
        <v>9.8444439999999993</v>
      </c>
      <c r="M253">
        <v>8.788888</v>
      </c>
      <c r="N253">
        <v>8.8755550000000003</v>
      </c>
      <c r="O253">
        <v>6.5848449999999996</v>
      </c>
      <c r="P253">
        <v>27826650</v>
      </c>
      <c r="R253" s="273" t="e">
        <f>(O253/O252)*('16. câmbio USD-BRL'!O49/'16. câmbio USD-BRL'!O48)^-1-1</f>
        <v>#VALUE!</v>
      </c>
    </row>
    <row r="254" spans="1:18" x14ac:dyDescent="0.2">
      <c r="A254" s="354">
        <v>44197</v>
      </c>
      <c r="B254" t="s">
        <v>2752</v>
      </c>
      <c r="C254" t="s">
        <v>2754</v>
      </c>
      <c r="D254" t="s">
        <v>2755</v>
      </c>
      <c r="E254" t="s">
        <v>2756</v>
      </c>
      <c r="F254" t="s">
        <v>2757</v>
      </c>
      <c r="G254">
        <v>393712800</v>
      </c>
      <c r="J254" s="354">
        <v>38285</v>
      </c>
      <c r="K254">
        <v>8.8888879999999997</v>
      </c>
      <c r="L254">
        <v>9.6555549999999997</v>
      </c>
      <c r="M254">
        <v>8.4888879999999993</v>
      </c>
      <c r="N254">
        <v>9.5622220000000002</v>
      </c>
      <c r="O254">
        <v>7.09429</v>
      </c>
      <c r="P254">
        <v>32214600</v>
      </c>
      <c r="R254" s="273" t="e">
        <f>(O254/O253)*('16. câmbio USD-BRL'!O50/'16. câmbio USD-BRL'!O49)^-1-1</f>
        <v>#VALUE!</v>
      </c>
    </row>
    <row r="255" spans="1:18" x14ac:dyDescent="0.2">
      <c r="A255" s="354">
        <v>44228</v>
      </c>
      <c r="B255" t="s">
        <v>2758</v>
      </c>
      <c r="C255" t="s">
        <v>2759</v>
      </c>
      <c r="D255" t="s">
        <v>2367</v>
      </c>
      <c r="E255" t="s">
        <v>2760</v>
      </c>
      <c r="F255" t="s">
        <v>2761</v>
      </c>
      <c r="G255">
        <v>434221700</v>
      </c>
      <c r="J255" s="354">
        <v>38292</v>
      </c>
      <c r="K255">
        <v>9.7111110000000007</v>
      </c>
      <c r="L255">
        <v>10.144444</v>
      </c>
      <c r="M255">
        <v>9.4644440000000003</v>
      </c>
      <c r="N255">
        <v>9.9177769999999992</v>
      </c>
      <c r="O255">
        <v>7.3580779999999999</v>
      </c>
      <c r="P255">
        <v>17637750</v>
      </c>
      <c r="R255" s="273" t="e">
        <f>(O255/O254)*('16. câmbio USD-BRL'!O51/'16. câmbio USD-BRL'!O50)^-1-1</f>
        <v>#VALUE!</v>
      </c>
    </row>
    <row r="256" spans="1:18" x14ac:dyDescent="0.2">
      <c r="A256" s="354">
        <v>44256</v>
      </c>
      <c r="B256" t="s">
        <v>2762</v>
      </c>
      <c r="C256" t="s">
        <v>2763</v>
      </c>
      <c r="D256" t="s">
        <v>2764</v>
      </c>
      <c r="E256" t="s">
        <v>2765</v>
      </c>
      <c r="F256" t="s">
        <v>2766</v>
      </c>
      <c r="G256">
        <v>495722700</v>
      </c>
      <c r="J256" s="354">
        <v>38299</v>
      </c>
      <c r="K256">
        <v>9.8422219999999996</v>
      </c>
      <c r="L256">
        <v>10.711111000000001</v>
      </c>
      <c r="M256">
        <v>9.6355550000000001</v>
      </c>
      <c r="N256">
        <v>10.711111000000001</v>
      </c>
      <c r="O256">
        <v>7.9466609999999998</v>
      </c>
      <c r="P256">
        <v>21825450</v>
      </c>
      <c r="R256" s="273" t="e">
        <f>(O256/O255)*('16. câmbio USD-BRL'!O52/'16. câmbio USD-BRL'!O51)^-1-1</f>
        <v>#VALUE!</v>
      </c>
    </row>
    <row r="257" spans="1:18" x14ac:dyDescent="0.2">
      <c r="A257" s="354">
        <v>44287</v>
      </c>
      <c r="B257" t="s">
        <v>2767</v>
      </c>
      <c r="C257" t="s">
        <v>2768</v>
      </c>
      <c r="D257" t="s">
        <v>2769</v>
      </c>
      <c r="E257" t="s">
        <v>2251</v>
      </c>
      <c r="F257" t="s">
        <v>2770</v>
      </c>
      <c r="G257">
        <v>416216900</v>
      </c>
      <c r="J257" s="354">
        <v>38306</v>
      </c>
      <c r="K257">
        <v>10.711111000000001</v>
      </c>
      <c r="L257">
        <v>11.1</v>
      </c>
      <c r="M257">
        <v>10.233333</v>
      </c>
      <c r="N257">
        <v>10.444444000000001</v>
      </c>
      <c r="O257">
        <v>7.7488140000000003</v>
      </c>
      <c r="P257">
        <v>19017450</v>
      </c>
      <c r="R257" s="273" t="e">
        <f>(O257/O256)*('16. câmbio USD-BRL'!O53/'16. câmbio USD-BRL'!O52)^-1-1</f>
        <v>#VALUE!</v>
      </c>
    </row>
    <row r="258" spans="1:18" x14ac:dyDescent="0.2">
      <c r="A258" s="354">
        <v>44317</v>
      </c>
      <c r="B258" t="s">
        <v>2771</v>
      </c>
      <c r="C258" t="s">
        <v>2772</v>
      </c>
      <c r="D258" t="s">
        <v>1693</v>
      </c>
      <c r="E258" t="s">
        <v>2773</v>
      </c>
      <c r="F258" t="s">
        <v>2774</v>
      </c>
      <c r="G258">
        <v>488873100</v>
      </c>
      <c r="J258" s="354">
        <v>38313</v>
      </c>
      <c r="K258">
        <v>10.366666</v>
      </c>
      <c r="L258">
        <v>11.468888</v>
      </c>
      <c r="M258">
        <v>10.177777000000001</v>
      </c>
      <c r="N258">
        <v>11.388888</v>
      </c>
      <c r="O258">
        <v>8.4495079999999998</v>
      </c>
      <c r="P258">
        <v>22950450</v>
      </c>
      <c r="R258" s="273" t="e">
        <f>(O258/O257)*('16. câmbio USD-BRL'!O54/'16. câmbio USD-BRL'!O53)^-1-1</f>
        <v>#VALUE!</v>
      </c>
    </row>
    <row r="259" spans="1:18" x14ac:dyDescent="0.2">
      <c r="A259" s="354">
        <v>44348</v>
      </c>
      <c r="B259" t="s">
        <v>2775</v>
      </c>
      <c r="C259" t="s">
        <v>2776</v>
      </c>
      <c r="D259" t="s">
        <v>2777</v>
      </c>
      <c r="E259" t="s">
        <v>2778</v>
      </c>
      <c r="F259" t="s">
        <v>2779</v>
      </c>
      <c r="G259">
        <v>357293700</v>
      </c>
      <c r="J259" s="354">
        <v>38320</v>
      </c>
      <c r="K259">
        <v>11.422222</v>
      </c>
      <c r="L259">
        <v>12.4</v>
      </c>
      <c r="M259">
        <v>11.122222000000001</v>
      </c>
      <c r="N259">
        <v>11.82</v>
      </c>
      <c r="O259">
        <v>8.7693510000000003</v>
      </c>
      <c r="P259">
        <v>27495900</v>
      </c>
      <c r="R259" s="273" t="e">
        <f>(O259/O258)*('16. câmbio USD-BRL'!O55/'16. câmbio USD-BRL'!O54)^-1-1</f>
        <v>#VALUE!</v>
      </c>
    </row>
    <row r="260" spans="1:18" x14ac:dyDescent="0.2">
      <c r="A260" s="354">
        <v>44378</v>
      </c>
      <c r="B260" t="s">
        <v>2780</v>
      </c>
      <c r="C260" t="s">
        <v>1615</v>
      </c>
      <c r="D260" t="s">
        <v>2781</v>
      </c>
      <c r="E260" t="s">
        <v>2782</v>
      </c>
      <c r="F260" t="s">
        <v>2783</v>
      </c>
      <c r="G260">
        <v>379608300</v>
      </c>
      <c r="J260" s="354">
        <v>38327</v>
      </c>
      <c r="K260">
        <v>11.884444</v>
      </c>
      <c r="L260">
        <v>11.884444</v>
      </c>
      <c r="M260">
        <v>10.888888</v>
      </c>
      <c r="N260">
        <v>11.044444</v>
      </c>
      <c r="O260">
        <v>8.1939609999999998</v>
      </c>
      <c r="P260">
        <v>20447100</v>
      </c>
      <c r="R260" s="273" t="e">
        <f>(O260/O259)*('16. câmbio USD-BRL'!O56/'16. câmbio USD-BRL'!O55)^-1-1</f>
        <v>#VALUE!</v>
      </c>
    </row>
    <row r="261" spans="1:18" x14ac:dyDescent="0.2">
      <c r="A261" s="354">
        <v>44409</v>
      </c>
      <c r="B261" t="s">
        <v>2784</v>
      </c>
      <c r="C261" t="s">
        <v>2785</v>
      </c>
      <c r="D261" t="s">
        <v>2786</v>
      </c>
      <c r="E261" t="s">
        <v>1682</v>
      </c>
      <c r="F261" t="s">
        <v>2787</v>
      </c>
      <c r="G261">
        <v>465585900</v>
      </c>
      <c r="J261" s="354">
        <v>38334</v>
      </c>
      <c r="K261">
        <v>11.133333</v>
      </c>
      <c r="L261">
        <v>12.173333</v>
      </c>
      <c r="M261">
        <v>11.097777000000001</v>
      </c>
      <c r="N261">
        <v>12.155555</v>
      </c>
      <c r="O261">
        <v>9.0183040000000005</v>
      </c>
      <c r="P261">
        <v>24776550</v>
      </c>
      <c r="R261" s="273" t="e">
        <f>(O261/O260)*('16. câmbio USD-BRL'!O57/'16. câmbio USD-BRL'!O56)^-1-1</f>
        <v>#VALUE!</v>
      </c>
    </row>
    <row r="262" spans="1:18" x14ac:dyDescent="0.2">
      <c r="A262" s="354">
        <v>44440</v>
      </c>
      <c r="B262" t="s">
        <v>1698</v>
      </c>
      <c r="C262" t="s">
        <v>2754</v>
      </c>
      <c r="D262" t="s">
        <v>2788</v>
      </c>
      <c r="E262" t="s">
        <v>2789</v>
      </c>
      <c r="F262" t="s">
        <v>2790</v>
      </c>
      <c r="G262">
        <v>615799000</v>
      </c>
      <c r="J262" s="354">
        <v>38341</v>
      </c>
      <c r="K262">
        <v>12.133333</v>
      </c>
      <c r="L262">
        <v>12.155555</v>
      </c>
      <c r="M262">
        <v>11.557777</v>
      </c>
      <c r="N262">
        <v>11.617777</v>
      </c>
      <c r="O262">
        <v>8.6193209999999993</v>
      </c>
      <c r="P262">
        <v>9962550</v>
      </c>
      <c r="R262" s="273" t="e">
        <f>(O262/O261)*('16. câmbio USD-BRL'!O58/'16. câmbio USD-BRL'!O57)^-1-1</f>
        <v>#VALUE!</v>
      </c>
    </row>
    <row r="263" spans="1:18" x14ac:dyDescent="0.2">
      <c r="A263" s="354">
        <v>44470</v>
      </c>
      <c r="B263" t="s">
        <v>2791</v>
      </c>
      <c r="C263" t="s">
        <v>2792</v>
      </c>
      <c r="D263" t="s">
        <v>2793</v>
      </c>
      <c r="E263" t="s">
        <v>2794</v>
      </c>
      <c r="F263" t="s">
        <v>2795</v>
      </c>
      <c r="G263">
        <v>502625600</v>
      </c>
      <c r="J263" s="354">
        <v>38348</v>
      </c>
      <c r="K263">
        <v>11.622222000000001</v>
      </c>
      <c r="L263">
        <v>12.064444</v>
      </c>
      <c r="M263">
        <v>11.622222000000001</v>
      </c>
      <c r="N263">
        <v>11.988887999999999</v>
      </c>
      <c r="O263">
        <v>8.8946520000000007</v>
      </c>
      <c r="P263">
        <v>8423100</v>
      </c>
      <c r="R263" s="273" t="e">
        <f>(O263/O262)*('16. câmbio USD-BRL'!O59/'16. câmbio USD-BRL'!O58)^-1-1</f>
        <v>#VALUE!</v>
      </c>
    </row>
    <row r="264" spans="1:18" x14ac:dyDescent="0.2">
      <c r="A264" s="354">
        <v>44501</v>
      </c>
      <c r="B264" t="s">
        <v>2796</v>
      </c>
      <c r="C264" t="s">
        <v>2797</v>
      </c>
      <c r="D264" t="s">
        <v>2798</v>
      </c>
      <c r="E264" t="s">
        <v>2799</v>
      </c>
      <c r="F264" t="s">
        <v>2800</v>
      </c>
      <c r="G264">
        <v>501109200</v>
      </c>
      <c r="J264" s="354">
        <v>38355</v>
      </c>
      <c r="K264">
        <v>12.044444</v>
      </c>
      <c r="L264">
        <v>12.133333</v>
      </c>
      <c r="M264">
        <v>10.577776999999999</v>
      </c>
      <c r="N264">
        <v>10.733333</v>
      </c>
      <c r="O264">
        <v>7.9631460000000001</v>
      </c>
      <c r="P264">
        <v>25722900</v>
      </c>
      <c r="R264" s="273" t="e">
        <f>(O264/O263)*('16. câmbio USD-BRL'!O60/'16. câmbio USD-BRL'!O59)^-1-1</f>
        <v>#VALUE!</v>
      </c>
    </row>
    <row r="265" spans="1:18" x14ac:dyDescent="0.2">
      <c r="A265" s="354">
        <v>44531</v>
      </c>
      <c r="B265" t="s">
        <v>2801</v>
      </c>
      <c r="C265" t="s">
        <v>2802</v>
      </c>
      <c r="D265" t="s">
        <v>1526</v>
      </c>
      <c r="E265" t="s">
        <v>2803</v>
      </c>
      <c r="F265" t="s">
        <v>2804</v>
      </c>
      <c r="G265">
        <v>356371500</v>
      </c>
      <c r="J265" s="354">
        <v>38362</v>
      </c>
      <c r="K265">
        <v>10.866666</v>
      </c>
      <c r="L265">
        <v>12.066666</v>
      </c>
      <c r="M265">
        <v>10.522221999999999</v>
      </c>
      <c r="N265">
        <v>12.066666</v>
      </c>
      <c r="O265">
        <v>8.9523550000000007</v>
      </c>
      <c r="P265">
        <v>26837100</v>
      </c>
      <c r="R265" s="273" t="e">
        <f>(O265/O264)*('16. câmbio USD-BRL'!O61/'16. câmbio USD-BRL'!O60)^-1-1</f>
        <v>#VALUE!</v>
      </c>
    </row>
    <row r="266" spans="1:18" x14ac:dyDescent="0.2">
      <c r="A266" s="354">
        <v>44562</v>
      </c>
      <c r="B266" t="s">
        <v>2805</v>
      </c>
      <c r="C266" t="s">
        <v>2806</v>
      </c>
      <c r="D266" t="s">
        <v>2807</v>
      </c>
      <c r="E266" t="s">
        <v>2808</v>
      </c>
      <c r="F266" t="s">
        <v>2809</v>
      </c>
      <c r="G266">
        <v>461983000</v>
      </c>
      <c r="J266" s="354">
        <v>38369</v>
      </c>
      <c r="K266">
        <v>12</v>
      </c>
      <c r="L266">
        <v>12.088888000000001</v>
      </c>
      <c r="M266">
        <v>11.36</v>
      </c>
      <c r="N266">
        <v>11.5</v>
      </c>
      <c r="O266">
        <v>8.5319420000000008</v>
      </c>
      <c r="P266">
        <v>14151600</v>
      </c>
      <c r="R266" s="273" t="e">
        <f>(O266/O265)*('16. câmbio USD-BRL'!O62/'16. câmbio USD-BRL'!O61)^-1-1</f>
        <v>#VALUE!</v>
      </c>
    </row>
    <row r="267" spans="1:18" x14ac:dyDescent="0.2">
      <c r="A267" s="354">
        <v>44593</v>
      </c>
      <c r="B267" t="s">
        <v>2810</v>
      </c>
      <c r="C267" t="s">
        <v>2811</v>
      </c>
      <c r="D267" t="s">
        <v>2758</v>
      </c>
      <c r="E267" t="s">
        <v>2812</v>
      </c>
      <c r="F267" t="s">
        <v>2813</v>
      </c>
      <c r="G267">
        <v>413343300</v>
      </c>
      <c r="J267" s="354">
        <v>38376</v>
      </c>
      <c r="K267">
        <v>11.488887999999999</v>
      </c>
      <c r="L267">
        <v>12</v>
      </c>
      <c r="M267">
        <v>11.251111</v>
      </c>
      <c r="N267">
        <v>11.666665999999999</v>
      </c>
      <c r="O267">
        <v>8.6555909999999994</v>
      </c>
      <c r="P267">
        <v>17740800</v>
      </c>
      <c r="R267" s="273" t="e">
        <f>(O267/O266)*('16. câmbio USD-BRL'!O63/'16. câmbio USD-BRL'!O62)^-1-1</f>
        <v>#VALUE!</v>
      </c>
    </row>
    <row r="268" spans="1:18" x14ac:dyDescent="0.2">
      <c r="A268" s="354">
        <v>44621</v>
      </c>
      <c r="B268" t="s">
        <v>2812</v>
      </c>
      <c r="C268" t="s">
        <v>2814</v>
      </c>
      <c r="D268" t="s">
        <v>1973</v>
      </c>
      <c r="E268" t="s">
        <v>2815</v>
      </c>
      <c r="F268" t="s">
        <v>2816</v>
      </c>
      <c r="G268">
        <v>401244500</v>
      </c>
      <c r="J268" s="354">
        <v>38383</v>
      </c>
      <c r="K268">
        <v>11.764443999999999</v>
      </c>
      <c r="L268">
        <v>12.666665999999999</v>
      </c>
      <c r="M268">
        <v>11.755554999999999</v>
      </c>
      <c r="N268">
        <v>12.666665999999999</v>
      </c>
      <c r="O268">
        <v>9.3975010000000001</v>
      </c>
      <c r="P268">
        <v>19654650</v>
      </c>
      <c r="R268" s="273" t="e">
        <f>(O268/O267)*('16. câmbio USD-BRL'!O64/'16. câmbio USD-BRL'!O63)^-1-1</f>
        <v>#VALUE!</v>
      </c>
    </row>
    <row r="269" spans="1:18" x14ac:dyDescent="0.2">
      <c r="A269" s="354">
        <v>44652</v>
      </c>
      <c r="B269" t="s">
        <v>2817</v>
      </c>
      <c r="C269" t="s">
        <v>2818</v>
      </c>
      <c r="D269" t="s">
        <v>2309</v>
      </c>
      <c r="E269" t="s">
        <v>2323</v>
      </c>
      <c r="F269" t="s">
        <v>2819</v>
      </c>
      <c r="G269">
        <v>361814800</v>
      </c>
      <c r="J269" s="354">
        <v>38390</v>
      </c>
      <c r="K269">
        <v>12.666665999999999</v>
      </c>
      <c r="L269">
        <v>13.333333</v>
      </c>
      <c r="M269">
        <v>12.466666</v>
      </c>
      <c r="N269">
        <v>13.244444</v>
      </c>
      <c r="O269">
        <v>9.8261579999999995</v>
      </c>
      <c r="P269">
        <v>13407300</v>
      </c>
      <c r="R269" s="273" t="e">
        <f>(O269/O268)*('16. câmbio USD-BRL'!O65/'16. câmbio USD-BRL'!O64)^-1-1</f>
        <v>#VALUE!</v>
      </c>
    </row>
    <row r="270" spans="1:18" x14ac:dyDescent="0.2">
      <c r="A270" s="354">
        <v>44682</v>
      </c>
      <c r="B270" t="s">
        <v>2820</v>
      </c>
      <c r="C270" t="s">
        <v>2821</v>
      </c>
      <c r="D270" t="s">
        <v>2822</v>
      </c>
      <c r="E270" t="s">
        <v>2823</v>
      </c>
      <c r="F270" t="s">
        <v>2823</v>
      </c>
      <c r="G270">
        <v>388034100</v>
      </c>
      <c r="J270" s="354">
        <v>38397</v>
      </c>
      <c r="K270">
        <v>13.108888</v>
      </c>
      <c r="L270">
        <v>14.186666000000001</v>
      </c>
      <c r="M270">
        <v>12.784444000000001</v>
      </c>
      <c r="N270">
        <v>14.055555</v>
      </c>
      <c r="O270">
        <v>10.427929000000001</v>
      </c>
      <c r="P270">
        <v>24232950</v>
      </c>
      <c r="R270" s="273" t="e">
        <f>(O270/O269)*('16. câmbio USD-BRL'!O66/'16. câmbio USD-BRL'!O65)^-1-1</f>
        <v>#VALUE!</v>
      </c>
    </row>
    <row r="271" spans="1:18" x14ac:dyDescent="0.2">
      <c r="A271" s="354">
        <v>44713</v>
      </c>
      <c r="B271" t="s">
        <v>2824</v>
      </c>
      <c r="C271" t="s">
        <v>2825</v>
      </c>
      <c r="D271" t="s">
        <v>2628</v>
      </c>
      <c r="E271" t="s">
        <v>2657</v>
      </c>
      <c r="F271" t="s">
        <v>2657</v>
      </c>
      <c r="G271">
        <v>396744300</v>
      </c>
      <c r="J271" s="354">
        <v>38404</v>
      </c>
      <c r="K271">
        <v>13.953333000000001</v>
      </c>
      <c r="L271">
        <v>15.777777</v>
      </c>
      <c r="M271">
        <v>13.666665999999999</v>
      </c>
      <c r="N271">
        <v>15.177777000000001</v>
      </c>
      <c r="O271">
        <v>11.260513</v>
      </c>
      <c r="P271">
        <v>32553000</v>
      </c>
      <c r="R271" s="273" t="e">
        <f>(O271/O270)*('16. câmbio USD-BRL'!O67/'16. câmbio USD-BRL'!O66)^-1-1</f>
        <v>#VALUE!</v>
      </c>
    </row>
    <row r="272" spans="1:18" x14ac:dyDescent="0.2">
      <c r="A272" s="354">
        <v>44743</v>
      </c>
      <c r="B272" t="s">
        <v>2409</v>
      </c>
      <c r="C272" t="s">
        <v>2826</v>
      </c>
      <c r="D272" t="s">
        <v>2661</v>
      </c>
      <c r="E272" t="s">
        <v>2689</v>
      </c>
      <c r="F272" t="s">
        <v>2689</v>
      </c>
      <c r="G272">
        <v>351544600</v>
      </c>
      <c r="J272" s="354">
        <v>38411</v>
      </c>
      <c r="K272">
        <v>15.255554999999999</v>
      </c>
      <c r="L272">
        <v>15.666665999999999</v>
      </c>
      <c r="M272">
        <v>14.157776999999999</v>
      </c>
      <c r="N272">
        <v>14.8</v>
      </c>
      <c r="O272">
        <v>10.98024</v>
      </c>
      <c r="P272">
        <v>23378400</v>
      </c>
      <c r="R272" s="273" t="e">
        <f>(O272/O271)*('16. câmbio USD-BRL'!O68/'16. câmbio USD-BRL'!O67)^-1-1</f>
        <v>#VALUE!</v>
      </c>
    </row>
    <row r="273" spans="1:18" x14ac:dyDescent="0.2">
      <c r="A273" s="354">
        <v>44774</v>
      </c>
      <c r="B273" t="s">
        <v>2680</v>
      </c>
      <c r="C273" t="s">
        <v>2435</v>
      </c>
      <c r="D273" t="s">
        <v>2827</v>
      </c>
      <c r="E273" t="s">
        <v>2456</v>
      </c>
      <c r="F273" t="s">
        <v>2456</v>
      </c>
      <c r="G273">
        <v>463831200</v>
      </c>
      <c r="J273" s="354">
        <v>38418</v>
      </c>
      <c r="K273">
        <v>14.844443999999999</v>
      </c>
      <c r="L273">
        <v>15.288888</v>
      </c>
      <c r="M273">
        <v>13.722222</v>
      </c>
      <c r="N273">
        <v>13.777777</v>
      </c>
      <c r="O273">
        <v>10.221842000000001</v>
      </c>
      <c r="P273">
        <v>27933300</v>
      </c>
      <c r="R273" s="273" t="e">
        <f>(O273/O272)*('16. câmbio USD-BRL'!O69/'16. câmbio USD-BRL'!O68)^-1-1</f>
        <v>#VALUE!</v>
      </c>
    </row>
    <row r="274" spans="1:18" x14ac:dyDescent="0.2">
      <c r="A274" s="354">
        <v>44805</v>
      </c>
      <c r="B274" t="s">
        <v>2828</v>
      </c>
      <c r="C274" t="s">
        <v>2829</v>
      </c>
      <c r="D274" t="s">
        <v>2611</v>
      </c>
      <c r="E274" t="s">
        <v>2830</v>
      </c>
      <c r="F274" t="s">
        <v>2830</v>
      </c>
      <c r="G274">
        <v>495048500</v>
      </c>
      <c r="J274" s="354">
        <v>38425</v>
      </c>
      <c r="K274">
        <v>13.888888</v>
      </c>
      <c r="L274">
        <v>13.888888</v>
      </c>
      <c r="M274">
        <v>12.948888</v>
      </c>
      <c r="N274">
        <v>13.111110999999999</v>
      </c>
      <c r="O274">
        <v>9.7272379999999998</v>
      </c>
      <c r="P274">
        <v>28885950</v>
      </c>
      <c r="R274" s="273" t="e">
        <f>(O274/O273)*('16. câmbio USD-BRL'!O70/'16. câmbio USD-BRL'!O69)^-1-1</f>
        <v>#VALUE!</v>
      </c>
    </row>
    <row r="275" spans="1:18" x14ac:dyDescent="0.2">
      <c r="A275" s="354">
        <v>44835</v>
      </c>
      <c r="B275" t="s">
        <v>2615</v>
      </c>
      <c r="C275" t="s">
        <v>2831</v>
      </c>
      <c r="D275" t="s">
        <v>2832</v>
      </c>
      <c r="E275" t="s">
        <v>2833</v>
      </c>
      <c r="F275" t="s">
        <v>2833</v>
      </c>
      <c r="G275">
        <v>369067200</v>
      </c>
      <c r="J275" s="354">
        <v>38432</v>
      </c>
      <c r="K275">
        <v>13.111110999999999</v>
      </c>
      <c r="L275">
        <v>13.533333000000001</v>
      </c>
      <c r="M275">
        <v>12.468888</v>
      </c>
      <c r="N275">
        <v>13.366666</v>
      </c>
      <c r="O275">
        <v>9.9168369999999992</v>
      </c>
      <c r="P275">
        <v>19397700</v>
      </c>
      <c r="R275" s="273" t="e">
        <f>(O275/O274)*('16. câmbio USD-BRL'!O71/'16. câmbio USD-BRL'!O70)^-1-1</f>
        <v>#VALUE!</v>
      </c>
    </row>
    <row r="276" spans="1:18" x14ac:dyDescent="0.2">
      <c r="A276" s="354">
        <v>44866</v>
      </c>
      <c r="B276" t="s">
        <v>2834</v>
      </c>
      <c r="C276" t="s">
        <v>2364</v>
      </c>
      <c r="D276" t="s">
        <v>1928</v>
      </c>
      <c r="E276" t="s">
        <v>2701</v>
      </c>
      <c r="F276" t="s">
        <v>2701</v>
      </c>
      <c r="G276">
        <v>406375900</v>
      </c>
      <c r="J276" s="354">
        <v>38439</v>
      </c>
      <c r="K276">
        <v>13.366666</v>
      </c>
      <c r="L276">
        <v>13.4</v>
      </c>
      <c r="M276">
        <v>12.155555</v>
      </c>
      <c r="N276">
        <v>12.842222</v>
      </c>
      <c r="O276">
        <v>9.5277480000000008</v>
      </c>
      <c r="P276">
        <v>23472900</v>
      </c>
      <c r="R276" s="273" t="e">
        <f>(O276/O275)*('16. câmbio USD-BRL'!O72/'16. câmbio USD-BRL'!O71)^-1-1</f>
        <v>#VALUE!</v>
      </c>
    </row>
    <row r="277" spans="1:18" x14ac:dyDescent="0.2">
      <c r="A277" s="354">
        <v>44896</v>
      </c>
      <c r="B277" t="s">
        <v>2835</v>
      </c>
      <c r="C277" t="s">
        <v>2456</v>
      </c>
      <c r="D277" t="s">
        <v>2836</v>
      </c>
      <c r="E277" t="s">
        <v>2837</v>
      </c>
      <c r="F277" t="s">
        <v>2837</v>
      </c>
      <c r="G277">
        <v>450618200</v>
      </c>
      <c r="J277" s="354">
        <v>38446</v>
      </c>
      <c r="K277">
        <v>12.775555000000001</v>
      </c>
      <c r="L277">
        <v>12.864444000000001</v>
      </c>
      <c r="M277">
        <v>11.368888</v>
      </c>
      <c r="N277">
        <v>11.688888</v>
      </c>
      <c r="O277">
        <v>8.6720790000000001</v>
      </c>
      <c r="P277">
        <v>31726350</v>
      </c>
      <c r="R277" s="273" t="e">
        <f>(O277/O276)*('16. câmbio USD-BRL'!O73/'16. câmbio USD-BRL'!O72)^-1-1</f>
        <v>#VALUE!</v>
      </c>
    </row>
    <row r="278" spans="1:18" x14ac:dyDescent="0.2">
      <c r="A278" s="354">
        <v>44927</v>
      </c>
      <c r="B278" t="s">
        <v>2651</v>
      </c>
      <c r="C278" t="s">
        <v>2838</v>
      </c>
      <c r="D278" t="s">
        <v>2611</v>
      </c>
      <c r="E278" t="s">
        <v>2409</v>
      </c>
      <c r="F278" t="s">
        <v>2409</v>
      </c>
      <c r="G278">
        <v>318829300</v>
      </c>
      <c r="J278" s="354">
        <v>38453</v>
      </c>
      <c r="K278">
        <v>11.733333</v>
      </c>
      <c r="L278">
        <v>11.733333</v>
      </c>
      <c r="M278">
        <v>10.444444000000001</v>
      </c>
      <c r="N278">
        <v>10.866666</v>
      </c>
      <c r="O278">
        <v>8.0620670000000008</v>
      </c>
      <c r="P278">
        <v>36170100</v>
      </c>
      <c r="R278" s="273" t="e">
        <f>(O278/O277)*('16. câmbio USD-BRL'!O74/'16. câmbio USD-BRL'!O73)^-1-1</f>
        <v>#VALUE!</v>
      </c>
    </row>
    <row r="279" spans="1:18" x14ac:dyDescent="0.2">
      <c r="A279" s="354">
        <v>44958</v>
      </c>
      <c r="B279" t="s">
        <v>2708</v>
      </c>
      <c r="C279" t="s">
        <v>2626</v>
      </c>
      <c r="D279" t="s">
        <v>2839</v>
      </c>
      <c r="E279" t="s">
        <v>2840</v>
      </c>
      <c r="F279" t="s">
        <v>2840</v>
      </c>
      <c r="G279">
        <v>269849400</v>
      </c>
      <c r="J279" s="354">
        <v>38460</v>
      </c>
      <c r="K279">
        <v>10.695555000000001</v>
      </c>
      <c r="L279">
        <v>11.755554999999999</v>
      </c>
      <c r="M279">
        <v>10.244444</v>
      </c>
      <c r="N279">
        <v>11.588888000000001</v>
      </c>
      <c r="O279">
        <v>8.5978890000000003</v>
      </c>
      <c r="P279">
        <v>18779400</v>
      </c>
      <c r="R279" s="273" t="e">
        <f>(O279/O278)*('16. câmbio USD-BRL'!O75/'16. câmbio USD-BRL'!O74)^-1-1</f>
        <v>#VALUE!</v>
      </c>
    </row>
    <row r="280" spans="1:18" x14ac:dyDescent="0.2">
      <c r="A280" s="354">
        <v>44986</v>
      </c>
      <c r="B280" t="s">
        <v>2610</v>
      </c>
      <c r="C280" t="s">
        <v>2707</v>
      </c>
      <c r="D280" t="s">
        <v>2841</v>
      </c>
      <c r="E280" t="s">
        <v>2842</v>
      </c>
      <c r="F280" t="s">
        <v>2842</v>
      </c>
      <c r="G280">
        <v>75714300</v>
      </c>
      <c r="J280" s="354">
        <v>38467</v>
      </c>
      <c r="K280">
        <v>11.666665999999999</v>
      </c>
      <c r="L280">
        <v>12.22</v>
      </c>
      <c r="M280">
        <v>10.711111000000001</v>
      </c>
      <c r="N280">
        <v>11.111110999999999</v>
      </c>
      <c r="O280">
        <v>8.2434220000000007</v>
      </c>
      <c r="P280">
        <v>20278350</v>
      </c>
      <c r="R280" s="273" t="e">
        <f>(O280/O279)*('16. câmbio USD-BRL'!O76/'16. câmbio USD-BRL'!O75)^-1-1</f>
        <v>#VALUE!</v>
      </c>
    </row>
    <row r="281" spans="1:18" x14ac:dyDescent="0.2">
      <c r="J281" s="354">
        <v>38474</v>
      </c>
      <c r="K281">
        <v>11.155555</v>
      </c>
      <c r="L281">
        <v>12.066666</v>
      </c>
      <c r="M281">
        <v>10.891111</v>
      </c>
      <c r="N281">
        <v>11.8</v>
      </c>
      <c r="O281">
        <v>8.7545140000000004</v>
      </c>
      <c r="P281">
        <v>20556450</v>
      </c>
      <c r="R281" s="273" t="e">
        <f>(O281/O280)*('16. câmbio USD-BRL'!O77/'16. câmbio USD-BRL'!O76)^-1-1</f>
        <v>#VALUE!</v>
      </c>
    </row>
    <row r="282" spans="1:18" x14ac:dyDescent="0.2">
      <c r="J282" s="354">
        <v>38481</v>
      </c>
      <c r="K282">
        <v>11.844443999999999</v>
      </c>
      <c r="L282">
        <v>11.844443999999999</v>
      </c>
      <c r="M282">
        <v>9.4577770000000001</v>
      </c>
      <c r="N282">
        <v>9.5644439999999999</v>
      </c>
      <c r="O282">
        <v>7.0959380000000003</v>
      </c>
      <c r="P282">
        <v>39864150</v>
      </c>
      <c r="R282" s="273" t="e">
        <f>(O282/O281)*('16. câmbio USD-BRL'!O78/'16. câmbio USD-BRL'!O77)^-1-1</f>
        <v>#VALUE!</v>
      </c>
    </row>
    <row r="283" spans="1:18" x14ac:dyDescent="0.2">
      <c r="J283" s="354">
        <v>38488</v>
      </c>
      <c r="K283">
        <v>9.5777769999999993</v>
      </c>
      <c r="L283">
        <v>9.9155549999999995</v>
      </c>
      <c r="M283">
        <v>9.2355549999999997</v>
      </c>
      <c r="N283">
        <v>9.4</v>
      </c>
      <c r="O283">
        <v>6.9739339999999999</v>
      </c>
      <c r="P283">
        <v>39973500</v>
      </c>
      <c r="R283" s="273" t="e">
        <f>(O283/O282)*('16. câmbio USD-BRL'!O79/'16. câmbio USD-BRL'!O78)^-1-1</f>
        <v>#VALUE!</v>
      </c>
    </row>
    <row r="284" spans="1:18" x14ac:dyDescent="0.2">
      <c r="J284" s="354">
        <v>38495</v>
      </c>
      <c r="K284">
        <v>9.4888879999999993</v>
      </c>
      <c r="L284">
        <v>9.6666659999999993</v>
      </c>
      <c r="M284">
        <v>8.6666659999999993</v>
      </c>
      <c r="N284">
        <v>9.5888880000000007</v>
      </c>
      <c r="O284">
        <v>7.1140730000000003</v>
      </c>
      <c r="P284">
        <v>34953300</v>
      </c>
      <c r="R284" s="273" t="e">
        <f>(O284/O283)*('16. câmbio USD-BRL'!O80/'16. câmbio USD-BRL'!O79)^-1-1</f>
        <v>#VALUE!</v>
      </c>
    </row>
    <row r="285" spans="1:18" x14ac:dyDescent="0.2">
      <c r="J285" s="354">
        <v>38502</v>
      </c>
      <c r="K285">
        <v>9.6666659999999993</v>
      </c>
      <c r="L285">
        <v>10.34</v>
      </c>
      <c r="M285">
        <v>9.6</v>
      </c>
      <c r="N285">
        <v>9.7777770000000004</v>
      </c>
      <c r="O285">
        <v>7.2542109999999997</v>
      </c>
      <c r="P285">
        <v>33706800</v>
      </c>
      <c r="R285" s="273" t="e">
        <f>(O285/O284)*('16. câmbio USD-BRL'!O81/'16. câmbio USD-BRL'!O80)^-1-1</f>
        <v>#VALUE!</v>
      </c>
    </row>
    <row r="286" spans="1:18" x14ac:dyDescent="0.2">
      <c r="J286" s="354">
        <v>38509</v>
      </c>
      <c r="K286">
        <v>9.5288880000000002</v>
      </c>
      <c r="L286">
        <v>9.5288880000000002</v>
      </c>
      <c r="M286">
        <v>8.2244440000000001</v>
      </c>
      <c r="N286">
        <v>8.6222220000000007</v>
      </c>
      <c r="O286">
        <v>6.3968959999999999</v>
      </c>
      <c r="P286">
        <v>37812150</v>
      </c>
      <c r="R286" s="273" t="e">
        <f>(O286/O285)*('16. câmbio USD-BRL'!O82/'16. câmbio USD-BRL'!O81)^-1-1</f>
        <v>#VALUE!</v>
      </c>
    </row>
    <row r="287" spans="1:18" x14ac:dyDescent="0.2">
      <c r="J287" s="354">
        <v>38516</v>
      </c>
      <c r="K287">
        <v>8.7155550000000002</v>
      </c>
      <c r="L287">
        <v>9.3333329999999997</v>
      </c>
      <c r="M287">
        <v>8.322222</v>
      </c>
      <c r="N287">
        <v>9.1777770000000007</v>
      </c>
      <c r="O287">
        <v>6.8090659999999996</v>
      </c>
      <c r="P287">
        <v>28873800</v>
      </c>
      <c r="R287" s="273" t="e">
        <f>(O287/O286)*('16. câmbio USD-BRL'!O83/'16. câmbio USD-BRL'!O82)^-1-1</f>
        <v>#VALUE!</v>
      </c>
    </row>
    <row r="288" spans="1:18" x14ac:dyDescent="0.2">
      <c r="J288" s="354">
        <v>38523</v>
      </c>
      <c r="K288">
        <v>9.1666659999999993</v>
      </c>
      <c r="L288">
        <v>9.297777</v>
      </c>
      <c r="M288">
        <v>8.3355549999999994</v>
      </c>
      <c r="N288">
        <v>8.5088880000000007</v>
      </c>
      <c r="O288">
        <v>6.3128120000000001</v>
      </c>
      <c r="P288">
        <v>26954550</v>
      </c>
      <c r="R288" s="273" t="e">
        <f>(O288/O287)*('16. câmbio USD-BRL'!O84/'16. câmbio USD-BRL'!O83)^-1-1</f>
        <v>#VALUE!</v>
      </c>
    </row>
    <row r="289" spans="10:18" x14ac:dyDescent="0.2">
      <c r="J289" s="354">
        <v>38530</v>
      </c>
      <c r="K289">
        <v>8.3888879999999997</v>
      </c>
      <c r="L289">
        <v>8.82</v>
      </c>
      <c r="M289">
        <v>8.288888</v>
      </c>
      <c r="N289">
        <v>8.7111110000000007</v>
      </c>
      <c r="O289">
        <v>6.4628439999999996</v>
      </c>
      <c r="P289">
        <v>18985050</v>
      </c>
      <c r="R289" s="273" t="e">
        <f>(O289/O288)*('16. câmbio USD-BRL'!O85/'16. câmbio USD-BRL'!O84)^-1-1</f>
        <v>#VALUE!</v>
      </c>
    </row>
    <row r="290" spans="10:18" x14ac:dyDescent="0.2">
      <c r="J290" s="354">
        <v>38537</v>
      </c>
      <c r="K290">
        <v>8.5977770000000007</v>
      </c>
      <c r="L290">
        <v>8.644444</v>
      </c>
      <c r="M290">
        <v>7.6911110000000003</v>
      </c>
      <c r="N290">
        <v>7.822222</v>
      </c>
      <c r="O290">
        <v>5.8033700000000001</v>
      </c>
      <c r="P290">
        <v>27104850</v>
      </c>
      <c r="R290" s="273" t="e">
        <f>(O290/O289)*('16. câmbio USD-BRL'!O86/'16. câmbio USD-BRL'!O85)^-1-1</f>
        <v>#VALUE!</v>
      </c>
    </row>
    <row r="291" spans="10:18" x14ac:dyDescent="0.2">
      <c r="J291" s="354">
        <v>38544</v>
      </c>
      <c r="K291">
        <v>7.8466659999999999</v>
      </c>
      <c r="L291">
        <v>9.6888880000000004</v>
      </c>
      <c r="M291">
        <v>7.8466659999999999</v>
      </c>
      <c r="N291">
        <v>8.7777770000000004</v>
      </c>
      <c r="O291">
        <v>6.5123030000000002</v>
      </c>
      <c r="P291">
        <v>47267100</v>
      </c>
      <c r="R291" s="273" t="e">
        <f>(O291/O290)*('16. câmbio USD-BRL'!O87/'16. câmbio USD-BRL'!O86)^-1-1</f>
        <v>#VALUE!</v>
      </c>
    </row>
    <row r="292" spans="10:18" x14ac:dyDescent="0.2">
      <c r="J292" s="354">
        <v>38551</v>
      </c>
      <c r="K292">
        <v>8.7777770000000004</v>
      </c>
      <c r="L292">
        <v>9.7777770000000004</v>
      </c>
      <c r="M292">
        <v>8.5688879999999994</v>
      </c>
      <c r="N292">
        <v>9.0066659999999992</v>
      </c>
      <c r="O292">
        <v>6.682118</v>
      </c>
      <c r="P292">
        <v>48647250</v>
      </c>
      <c r="R292" s="273" t="e">
        <f>(O292/O291)*('16. câmbio USD-BRL'!O88/'16. câmbio USD-BRL'!O87)^-1-1</f>
        <v>#VALUE!</v>
      </c>
    </row>
    <row r="293" spans="10:18" x14ac:dyDescent="0.2">
      <c r="J293" s="354">
        <v>38558</v>
      </c>
      <c r="K293">
        <v>8.822222</v>
      </c>
      <c r="L293">
        <v>9.6</v>
      </c>
      <c r="M293">
        <v>8.2444439999999997</v>
      </c>
      <c r="N293">
        <v>9.5044439999999994</v>
      </c>
      <c r="O293">
        <v>7.0514229999999998</v>
      </c>
      <c r="P293">
        <v>52233750</v>
      </c>
      <c r="R293" s="273" t="e">
        <f>(O293/O292)*('16. câmbio USD-BRL'!O89/'16. câmbio USD-BRL'!O88)^-1-1</f>
        <v>#VALUE!</v>
      </c>
    </row>
    <row r="294" spans="10:18" x14ac:dyDescent="0.2">
      <c r="J294" s="354">
        <v>38565</v>
      </c>
      <c r="K294">
        <v>9.3333329999999997</v>
      </c>
      <c r="L294">
        <v>10.422222</v>
      </c>
      <c r="M294">
        <v>9.2377769999999995</v>
      </c>
      <c r="N294">
        <v>10.133333</v>
      </c>
      <c r="O294">
        <v>7.5179999999999998</v>
      </c>
      <c r="P294">
        <v>33277500</v>
      </c>
      <c r="R294" s="273" t="e">
        <f>(O294/O293)*('16. câmbio USD-BRL'!O90/'16. câmbio USD-BRL'!O89)^-1-1</f>
        <v>#VALUE!</v>
      </c>
    </row>
    <row r="295" spans="10:18" x14ac:dyDescent="0.2">
      <c r="J295" s="354">
        <v>38572</v>
      </c>
      <c r="K295">
        <v>10.328887999999999</v>
      </c>
      <c r="L295">
        <v>10.864444000000001</v>
      </c>
      <c r="M295">
        <v>9.7666660000000007</v>
      </c>
      <c r="N295">
        <v>10.199999999999999</v>
      </c>
      <c r="O295">
        <v>7.5674619999999999</v>
      </c>
      <c r="P295">
        <v>43413750</v>
      </c>
      <c r="R295" s="273" t="e">
        <f>(O295/O294)*('16. câmbio USD-BRL'!O91/'16. câmbio USD-BRL'!O90)^-1-1</f>
        <v>#VALUE!</v>
      </c>
    </row>
    <row r="296" spans="10:18" x14ac:dyDescent="0.2">
      <c r="J296" s="354">
        <v>38579</v>
      </c>
      <c r="K296">
        <v>10.4</v>
      </c>
      <c r="L296">
        <v>10.917776999999999</v>
      </c>
      <c r="M296">
        <v>9.8000000000000007</v>
      </c>
      <c r="N296">
        <v>10.222222</v>
      </c>
      <c r="O296">
        <v>7.5839470000000002</v>
      </c>
      <c r="P296">
        <v>35304300</v>
      </c>
      <c r="R296" s="273" t="e">
        <f>(O296/O295)*('16. câmbio USD-BRL'!O92/'16. câmbio USD-BRL'!O91)^-1-1</f>
        <v>#VALUE!</v>
      </c>
    </row>
    <row r="297" spans="10:18" x14ac:dyDescent="0.2">
      <c r="J297" s="354">
        <v>38586</v>
      </c>
      <c r="K297">
        <v>10.444444000000001</v>
      </c>
      <c r="L297">
        <v>10.655555</v>
      </c>
      <c r="M297">
        <v>10.111110999999999</v>
      </c>
      <c r="N297">
        <v>10.553333</v>
      </c>
      <c r="O297">
        <v>7.8296020000000004</v>
      </c>
      <c r="P297">
        <v>24201000</v>
      </c>
      <c r="R297" s="273" t="e">
        <f>(O297/O296)*('16. câmbio USD-BRL'!O93/'16. câmbio USD-BRL'!O92)^-1-1</f>
        <v>#VALUE!</v>
      </c>
    </row>
    <row r="298" spans="10:18" x14ac:dyDescent="0.2">
      <c r="J298" s="354">
        <v>38593</v>
      </c>
      <c r="K298">
        <v>10.555555</v>
      </c>
      <c r="L298">
        <v>10.995555</v>
      </c>
      <c r="M298">
        <v>10.133333</v>
      </c>
      <c r="N298">
        <v>10.506665999999999</v>
      </c>
      <c r="O298">
        <v>7.7949789999999997</v>
      </c>
      <c r="P298">
        <v>30701700</v>
      </c>
      <c r="R298" s="273" t="e">
        <f>(O298/O297)*('16. câmbio USD-BRL'!O94/'16. câmbio USD-BRL'!O93)^-1-1</f>
        <v>#VALUE!</v>
      </c>
    </row>
    <row r="299" spans="10:18" x14ac:dyDescent="0.2">
      <c r="J299" s="354">
        <v>38600</v>
      </c>
      <c r="K299">
        <v>10.511111</v>
      </c>
      <c r="L299">
        <v>11.133333</v>
      </c>
      <c r="M299">
        <v>10.491111</v>
      </c>
      <c r="N299">
        <v>11.086665999999999</v>
      </c>
      <c r="O299">
        <v>8.2252869999999998</v>
      </c>
      <c r="P299">
        <v>16779600</v>
      </c>
      <c r="R299" s="273" t="e">
        <f>(O299/O298)*('16. câmbio USD-BRL'!O95/'16. câmbio USD-BRL'!O94)^-1-1</f>
        <v>#VALUE!</v>
      </c>
    </row>
    <row r="300" spans="10:18" x14ac:dyDescent="0.2">
      <c r="J300" s="354">
        <v>38607</v>
      </c>
      <c r="K300">
        <v>11.066666</v>
      </c>
      <c r="L300">
        <v>12.266666000000001</v>
      </c>
      <c r="M300">
        <v>10.822222</v>
      </c>
      <c r="N300">
        <v>12.266666000000001</v>
      </c>
      <c r="O300">
        <v>9.1007379999999998</v>
      </c>
      <c r="P300">
        <v>30227850</v>
      </c>
      <c r="R300" s="273" t="e">
        <f>(O300/O299)*('16. câmbio USD-BRL'!O96/'16. câmbio USD-BRL'!O95)^-1-1</f>
        <v>#VALUE!</v>
      </c>
    </row>
    <row r="301" spans="10:18" x14ac:dyDescent="0.2">
      <c r="J301" s="354">
        <v>38614</v>
      </c>
      <c r="K301">
        <v>12.244444</v>
      </c>
      <c r="L301">
        <v>12.444444000000001</v>
      </c>
      <c r="M301">
        <v>11.444444000000001</v>
      </c>
      <c r="N301">
        <v>11.906666</v>
      </c>
      <c r="O301">
        <v>8.8336489999999994</v>
      </c>
      <c r="P301">
        <v>31903200</v>
      </c>
      <c r="R301" s="273" t="e">
        <f>(O301/O300)*('16. câmbio USD-BRL'!O97/'16. câmbio USD-BRL'!O96)^-1-1</f>
        <v>#VALUE!</v>
      </c>
    </row>
    <row r="302" spans="10:18" x14ac:dyDescent="0.2">
      <c r="J302" s="354">
        <v>38621</v>
      </c>
      <c r="K302">
        <v>11.986666</v>
      </c>
      <c r="L302">
        <v>11.986666</v>
      </c>
      <c r="M302">
        <v>11.124444</v>
      </c>
      <c r="N302">
        <v>11.533333000000001</v>
      </c>
      <c r="O302">
        <v>8.5566709999999997</v>
      </c>
      <c r="P302">
        <v>27259200</v>
      </c>
      <c r="R302" s="273" t="e">
        <f>(O302/O301)*('16. câmbio USD-BRL'!O98/'16. câmbio USD-BRL'!O97)^-1-1</f>
        <v>#VALUE!</v>
      </c>
    </row>
    <row r="303" spans="10:18" x14ac:dyDescent="0.2">
      <c r="J303" s="354">
        <v>38628</v>
      </c>
      <c r="K303">
        <v>11.533333000000001</v>
      </c>
      <c r="L303">
        <v>11.886666</v>
      </c>
      <c r="M303">
        <v>9.822222</v>
      </c>
      <c r="N303">
        <v>10.666665999999999</v>
      </c>
      <c r="O303">
        <v>7.9136829999999998</v>
      </c>
      <c r="P303">
        <v>38971800</v>
      </c>
      <c r="R303" s="273" t="e">
        <f>(O303/O302)*('16. câmbio USD-BRL'!O99/'16. câmbio USD-BRL'!O98)^-1-1</f>
        <v>#VALUE!</v>
      </c>
    </row>
    <row r="304" spans="10:18" x14ac:dyDescent="0.2">
      <c r="J304" s="354">
        <v>38635</v>
      </c>
      <c r="K304">
        <v>10.777777</v>
      </c>
      <c r="L304">
        <v>11.022221999999999</v>
      </c>
      <c r="M304">
        <v>9.911111</v>
      </c>
      <c r="N304">
        <v>10.044444</v>
      </c>
      <c r="O304">
        <v>7.4520540000000004</v>
      </c>
      <c r="P304">
        <v>17983350</v>
      </c>
      <c r="R304" s="273" t="e">
        <f>(O304/O303)*('16. câmbio USD-BRL'!O100/'16. câmbio USD-BRL'!O99)^-1-1</f>
        <v>#VALUE!</v>
      </c>
    </row>
    <row r="305" spans="10:18" x14ac:dyDescent="0.2">
      <c r="J305" s="354">
        <v>38642</v>
      </c>
      <c r="K305">
        <v>10.133333</v>
      </c>
      <c r="L305">
        <v>10.377777</v>
      </c>
      <c r="M305">
        <v>8.7844440000000006</v>
      </c>
      <c r="N305">
        <v>9.4466660000000005</v>
      </c>
      <c r="O305">
        <v>7.008559</v>
      </c>
      <c r="P305">
        <v>46632150</v>
      </c>
      <c r="R305" s="273" t="e">
        <f>(O305/O304)*('16. câmbio USD-BRL'!O101/'16. câmbio USD-BRL'!O100)^-1-1</f>
        <v>#VALUE!</v>
      </c>
    </row>
    <row r="306" spans="10:18" x14ac:dyDescent="0.2">
      <c r="J306" s="354">
        <v>38649</v>
      </c>
      <c r="K306">
        <v>9.4222219999999997</v>
      </c>
      <c r="L306">
        <v>9.9888879999999993</v>
      </c>
      <c r="M306">
        <v>9.288888</v>
      </c>
      <c r="N306">
        <v>9.7111110000000007</v>
      </c>
      <c r="O306">
        <v>7.2047509999999999</v>
      </c>
      <c r="P306">
        <v>26752050</v>
      </c>
      <c r="R306" s="273" t="e">
        <f>(O306/O305)*('16. câmbio USD-BRL'!O102/'16. câmbio USD-BRL'!O101)^-1-1</f>
        <v>#VALUE!</v>
      </c>
    </row>
    <row r="307" spans="10:18" x14ac:dyDescent="0.2">
      <c r="J307" s="354">
        <v>38656</v>
      </c>
      <c r="K307">
        <v>9.733333</v>
      </c>
      <c r="L307">
        <v>10.664444</v>
      </c>
      <c r="M307">
        <v>9.733333</v>
      </c>
      <c r="N307">
        <v>10</v>
      </c>
      <c r="O307">
        <v>7.4190820000000004</v>
      </c>
      <c r="P307">
        <v>20462400</v>
      </c>
      <c r="R307" s="273" t="e">
        <f>(O307/O306)*('16. câmbio USD-BRL'!O103/'16. câmbio USD-BRL'!O102)^-1-1</f>
        <v>#VALUE!</v>
      </c>
    </row>
    <row r="308" spans="10:18" x14ac:dyDescent="0.2">
      <c r="J308" s="354">
        <v>38663</v>
      </c>
      <c r="K308">
        <v>10</v>
      </c>
      <c r="L308">
        <v>10.528888</v>
      </c>
      <c r="M308">
        <v>9.8911110000000004</v>
      </c>
      <c r="N308">
        <v>10.246665999999999</v>
      </c>
      <c r="O308">
        <v>7.6020820000000002</v>
      </c>
      <c r="P308">
        <v>22386150</v>
      </c>
      <c r="R308" s="273" t="e">
        <f>(O308/O307)*('16. câmbio USD-BRL'!O104/'16. câmbio USD-BRL'!O103)^-1-1</f>
        <v>#VALUE!</v>
      </c>
    </row>
    <row r="309" spans="10:18" x14ac:dyDescent="0.2">
      <c r="J309" s="354">
        <v>38670</v>
      </c>
      <c r="K309">
        <v>10.197777</v>
      </c>
      <c r="L309">
        <v>11.108888</v>
      </c>
      <c r="M309">
        <v>9.7911110000000008</v>
      </c>
      <c r="N309">
        <v>11.108888</v>
      </c>
      <c r="O309">
        <v>8.2417750000000005</v>
      </c>
      <c r="P309">
        <v>18922950</v>
      </c>
      <c r="R309" s="273" t="e">
        <f>(O309/O308)*('16. câmbio USD-BRL'!O105/'16. câmbio USD-BRL'!O104)^-1-1</f>
        <v>#VALUE!</v>
      </c>
    </row>
    <row r="310" spans="10:18" x14ac:dyDescent="0.2">
      <c r="J310" s="354">
        <v>38677</v>
      </c>
      <c r="K310">
        <v>11.1</v>
      </c>
      <c r="L310">
        <v>11.333333</v>
      </c>
      <c r="M310">
        <v>10.533333000000001</v>
      </c>
      <c r="N310">
        <v>11.108888</v>
      </c>
      <c r="O310">
        <v>8.2417750000000005</v>
      </c>
      <c r="P310">
        <v>23034150</v>
      </c>
      <c r="R310" s="273" t="e">
        <f>(O310/O309)*('16. câmbio USD-BRL'!O106/'16. câmbio USD-BRL'!O105)^-1-1</f>
        <v>#VALUE!</v>
      </c>
    </row>
    <row r="311" spans="10:18" x14ac:dyDescent="0.2">
      <c r="J311" s="354">
        <v>38684</v>
      </c>
      <c r="K311">
        <v>11.177777000000001</v>
      </c>
      <c r="L311">
        <v>11.991111</v>
      </c>
      <c r="M311">
        <v>10.822222</v>
      </c>
      <c r="N311">
        <v>11.622222000000001</v>
      </c>
      <c r="O311">
        <v>8.6226190000000003</v>
      </c>
      <c r="P311">
        <v>25689600</v>
      </c>
      <c r="R311" s="273" t="e">
        <f>(O311/O310)*('16. câmbio USD-BRL'!O107/'16. câmbio USD-BRL'!O106)^-1-1</f>
        <v>#VALUE!</v>
      </c>
    </row>
    <row r="312" spans="10:18" x14ac:dyDescent="0.2">
      <c r="J312" s="354">
        <v>38691</v>
      </c>
      <c r="K312">
        <v>11.411111</v>
      </c>
      <c r="L312">
        <v>11.977777</v>
      </c>
      <c r="M312">
        <v>11.224444</v>
      </c>
      <c r="N312">
        <v>11.62</v>
      </c>
      <c r="O312">
        <v>8.6209699999999998</v>
      </c>
      <c r="P312">
        <v>19701450</v>
      </c>
      <c r="R312" s="273" t="e">
        <f>(O312/O311)*('16. câmbio USD-BRL'!O108/'16. câmbio USD-BRL'!O107)^-1-1</f>
        <v>#VALUE!</v>
      </c>
    </row>
    <row r="313" spans="10:18" x14ac:dyDescent="0.2">
      <c r="J313" s="354">
        <v>38698</v>
      </c>
      <c r="K313">
        <v>11.477777</v>
      </c>
      <c r="L313">
        <v>12.177777000000001</v>
      </c>
      <c r="M313">
        <v>11.377777</v>
      </c>
      <c r="N313">
        <v>11.955555</v>
      </c>
      <c r="O313">
        <v>8.869923</v>
      </c>
      <c r="P313">
        <v>16830450</v>
      </c>
      <c r="R313" s="273" t="e">
        <f>(O313/O312)*('16. câmbio USD-BRL'!O109/'16. câmbio USD-BRL'!O108)^-1-1</f>
        <v>#VALUE!</v>
      </c>
    </row>
    <row r="314" spans="10:18" x14ac:dyDescent="0.2">
      <c r="J314" s="354">
        <v>38705</v>
      </c>
      <c r="K314">
        <v>11.955555</v>
      </c>
      <c r="L314">
        <v>12.664444</v>
      </c>
      <c r="M314">
        <v>11.808888</v>
      </c>
      <c r="N314">
        <v>12.377777</v>
      </c>
      <c r="O314">
        <v>9.1831709999999998</v>
      </c>
      <c r="P314">
        <v>15628500</v>
      </c>
      <c r="R314" s="273" t="e">
        <f>(O314/O313)*('16. câmbio USD-BRL'!O110/'16. câmbio USD-BRL'!O109)^-1-1</f>
        <v>#VALUE!</v>
      </c>
    </row>
    <row r="315" spans="10:18" x14ac:dyDescent="0.2">
      <c r="J315" s="354">
        <v>38712</v>
      </c>
      <c r="K315">
        <v>12.502222</v>
      </c>
      <c r="L315">
        <v>12.677777000000001</v>
      </c>
      <c r="M315">
        <v>12.224444</v>
      </c>
      <c r="N315">
        <v>12.355555000000001</v>
      </c>
      <c r="O315">
        <v>9.1666849999999993</v>
      </c>
      <c r="P315">
        <v>7467750</v>
      </c>
      <c r="R315" s="273" t="e">
        <f>(O315/O314)*('16. câmbio USD-BRL'!O111/'16. câmbio USD-BRL'!O110)^-1-1</f>
        <v>#VALUE!</v>
      </c>
    </row>
    <row r="316" spans="10:18" x14ac:dyDescent="0.2">
      <c r="J316" s="354">
        <v>38719</v>
      </c>
      <c r="K316">
        <v>11.775555000000001</v>
      </c>
      <c r="L316">
        <v>12.444444000000001</v>
      </c>
      <c r="M316">
        <v>11.666665999999999</v>
      </c>
      <c r="N316">
        <v>11.888888</v>
      </c>
      <c r="O316">
        <v>8.8204609999999999</v>
      </c>
      <c r="P316">
        <v>20611350</v>
      </c>
      <c r="R316" s="273" t="e">
        <f>(O316/O315)*('16. câmbio USD-BRL'!O112/'16. câmbio USD-BRL'!O111)^-1-1</f>
        <v>#VALUE!</v>
      </c>
    </row>
    <row r="317" spans="10:18" x14ac:dyDescent="0.2">
      <c r="J317" s="354">
        <v>38726</v>
      </c>
      <c r="K317">
        <v>11.888888</v>
      </c>
      <c r="L317">
        <v>12.353332999999999</v>
      </c>
      <c r="M317">
        <v>11.553333</v>
      </c>
      <c r="N317">
        <v>12.055555</v>
      </c>
      <c r="O317">
        <v>8.9441129999999998</v>
      </c>
      <c r="P317">
        <v>22860450</v>
      </c>
      <c r="R317" s="273" t="e">
        <f>(O317/O316)*('16. câmbio USD-BRL'!O113/'16. câmbio USD-BRL'!O112)^-1-1</f>
        <v>#VALUE!</v>
      </c>
    </row>
    <row r="318" spans="10:18" x14ac:dyDescent="0.2">
      <c r="J318" s="354">
        <v>38733</v>
      </c>
      <c r="K318">
        <v>12.066666</v>
      </c>
      <c r="L318">
        <v>12.666665999999999</v>
      </c>
      <c r="M318">
        <v>11.957777</v>
      </c>
      <c r="N318">
        <v>12.666665999999999</v>
      </c>
      <c r="O318">
        <v>9.3975010000000001</v>
      </c>
      <c r="P318">
        <v>18383400</v>
      </c>
      <c r="R318" s="273" t="e">
        <f>(O318/O317)*('16. câmbio USD-BRL'!O114/'16. câmbio USD-BRL'!O113)^-1-1</f>
        <v>#VALUE!</v>
      </c>
    </row>
    <row r="319" spans="10:18" x14ac:dyDescent="0.2">
      <c r="J319" s="354">
        <v>38740</v>
      </c>
      <c r="K319">
        <v>12.622222000000001</v>
      </c>
      <c r="L319">
        <v>15.531110999999999</v>
      </c>
      <c r="M319">
        <v>12.622222000000001</v>
      </c>
      <c r="N319">
        <v>14.577776999999999</v>
      </c>
      <c r="O319">
        <v>10.815369</v>
      </c>
      <c r="P319">
        <v>29337300</v>
      </c>
      <c r="R319" s="273" t="e">
        <f>(O319/O318)*('16. câmbio USD-BRL'!O115/'16. câmbio USD-BRL'!O114)^-1-1</f>
        <v>#VALUE!</v>
      </c>
    </row>
    <row r="320" spans="10:18" x14ac:dyDescent="0.2">
      <c r="J320" s="354">
        <v>38747</v>
      </c>
      <c r="K320">
        <v>14.511111</v>
      </c>
      <c r="L320">
        <v>16.593332</v>
      </c>
      <c r="M320">
        <v>14.355555000000001</v>
      </c>
      <c r="N320">
        <v>14.868888</v>
      </c>
      <c r="O320">
        <v>11.031347999999999</v>
      </c>
      <c r="P320">
        <v>40379850</v>
      </c>
      <c r="R320" s="273" t="e">
        <f>(O320/O319)*('16. câmbio USD-BRL'!O116/'16. câmbio USD-BRL'!O115)^-1-1</f>
        <v>#VALUE!</v>
      </c>
    </row>
    <row r="321" spans="10:18" x14ac:dyDescent="0.2">
      <c r="J321" s="354">
        <v>38754</v>
      </c>
      <c r="K321">
        <v>14.891111</v>
      </c>
      <c r="L321">
        <v>15.308888</v>
      </c>
      <c r="M321">
        <v>13.911111</v>
      </c>
      <c r="N321">
        <v>14.777777</v>
      </c>
      <c r="O321">
        <v>10.963751999999999</v>
      </c>
      <c r="P321">
        <v>27029700</v>
      </c>
      <c r="R321" s="273" t="e">
        <f>(O321/O320)*('16. câmbio USD-BRL'!O117/'16. câmbio USD-BRL'!O116)^-1-1</f>
        <v>#VALUE!</v>
      </c>
    </row>
    <row r="322" spans="10:18" x14ac:dyDescent="0.2">
      <c r="J322" s="354">
        <v>38761</v>
      </c>
      <c r="K322">
        <v>14.555555</v>
      </c>
      <c r="L322">
        <v>16.328887999999999</v>
      </c>
      <c r="M322">
        <v>13.833333</v>
      </c>
      <c r="N322">
        <v>16.133333</v>
      </c>
      <c r="O322">
        <v>11.96945</v>
      </c>
      <c r="P322">
        <v>26334900</v>
      </c>
      <c r="R322" s="273" t="e">
        <f>(O322/O321)*('16. câmbio USD-BRL'!O118/'16. câmbio USD-BRL'!O117)^-1-1</f>
        <v>#VALUE!</v>
      </c>
    </row>
    <row r="323" spans="10:18" x14ac:dyDescent="0.2">
      <c r="J323" s="354">
        <v>38768</v>
      </c>
      <c r="K323">
        <v>16.200001</v>
      </c>
      <c r="L323">
        <v>16.886665000000001</v>
      </c>
      <c r="M323">
        <v>15.444444000000001</v>
      </c>
      <c r="N323">
        <v>15.588888000000001</v>
      </c>
      <c r="O323">
        <v>11.565521</v>
      </c>
      <c r="P323">
        <v>16938900</v>
      </c>
      <c r="R323" s="273" t="e">
        <f>(O323/O322)*('16. câmbio USD-BRL'!O119/'16. câmbio USD-BRL'!O118)^-1-1</f>
        <v>#VALUE!</v>
      </c>
    </row>
    <row r="324" spans="10:18" x14ac:dyDescent="0.2">
      <c r="J324" s="354">
        <v>38775</v>
      </c>
      <c r="K324">
        <v>15.588888000000001</v>
      </c>
      <c r="L324">
        <v>17</v>
      </c>
      <c r="M324">
        <v>15.175554999999999</v>
      </c>
      <c r="N324">
        <v>16.666665999999999</v>
      </c>
      <c r="O324">
        <v>12.365131</v>
      </c>
      <c r="P324">
        <v>8628750</v>
      </c>
      <c r="R324" s="273" t="e">
        <f>(O324/O323)*('16. câmbio USD-BRL'!O120/'16. câmbio USD-BRL'!O119)^-1-1</f>
        <v>#VALUE!</v>
      </c>
    </row>
    <row r="325" spans="10:18" x14ac:dyDescent="0.2">
      <c r="J325" s="354">
        <v>38782</v>
      </c>
      <c r="K325">
        <v>16.737777999999999</v>
      </c>
      <c r="L325">
        <v>16.891110999999999</v>
      </c>
      <c r="M325">
        <v>14.908887999999999</v>
      </c>
      <c r="N325">
        <v>15.964444</v>
      </c>
      <c r="O325">
        <v>11.844151</v>
      </c>
      <c r="P325">
        <v>31727250</v>
      </c>
      <c r="R325" s="273" t="e">
        <f>(O325/O324)*('16. câmbio USD-BRL'!O121/'16. câmbio USD-BRL'!O120)^-1-1</f>
        <v>#VALUE!</v>
      </c>
    </row>
    <row r="326" spans="10:18" x14ac:dyDescent="0.2">
      <c r="J326" s="354">
        <v>38789</v>
      </c>
      <c r="K326">
        <v>15.977777</v>
      </c>
      <c r="L326">
        <v>17.108889000000001</v>
      </c>
      <c r="M326">
        <v>15.575555</v>
      </c>
      <c r="N326">
        <v>16.222221000000001</v>
      </c>
      <c r="O326">
        <v>12.035397</v>
      </c>
      <c r="P326">
        <v>27427500</v>
      </c>
      <c r="R326" s="273" t="e">
        <f>(O326/O325)*('16. câmbio USD-BRL'!O122/'16. câmbio USD-BRL'!O121)^-1-1</f>
        <v>#VALUE!</v>
      </c>
    </row>
    <row r="327" spans="10:18" x14ac:dyDescent="0.2">
      <c r="J327" s="354">
        <v>38796</v>
      </c>
      <c r="K327">
        <v>16.331112000000001</v>
      </c>
      <c r="L327">
        <v>16.662222</v>
      </c>
      <c r="M327">
        <v>15.777777</v>
      </c>
      <c r="N327">
        <v>16.062221999999998</v>
      </c>
      <c r="O327">
        <v>11.916691</v>
      </c>
      <c r="P327">
        <v>16573950</v>
      </c>
      <c r="R327" s="273" t="e">
        <f>(O327/O326)*('16. câmbio USD-BRL'!O123/'16. câmbio USD-BRL'!O122)^-1-1</f>
        <v>#VALUE!</v>
      </c>
    </row>
    <row r="328" spans="10:18" x14ac:dyDescent="0.2">
      <c r="J328" s="354">
        <v>38803</v>
      </c>
      <c r="K328">
        <v>15.944444000000001</v>
      </c>
      <c r="L328">
        <v>17.886665000000001</v>
      </c>
      <c r="M328">
        <v>15.822222</v>
      </c>
      <c r="N328">
        <v>17.833331999999999</v>
      </c>
      <c r="O328">
        <v>13.230689999999999</v>
      </c>
      <c r="P328">
        <v>28383300</v>
      </c>
      <c r="R328" s="273">
        <f>(O328/O327)*('16. câmbio USD-BRL'!O124/'16. câmbio USD-BRL'!O123)^-1-1</f>
        <v>0.10094149074298953</v>
      </c>
    </row>
    <row r="329" spans="10:18" x14ac:dyDescent="0.2">
      <c r="J329" s="354">
        <v>38810</v>
      </c>
      <c r="K329">
        <v>17.777777</v>
      </c>
      <c r="L329">
        <v>18.642220999999999</v>
      </c>
      <c r="M329">
        <v>17.433332</v>
      </c>
      <c r="N329">
        <v>17.911111999999999</v>
      </c>
      <c r="O329">
        <v>13.288397</v>
      </c>
      <c r="P329">
        <v>19636200</v>
      </c>
      <c r="R329" s="273">
        <f>(O329/O328)*('16. câmbio USD-BRL'!O125/'16. câmbio USD-BRL'!O124)^-1-1</f>
        <v>1.9413855004152492E-2</v>
      </c>
    </row>
    <row r="330" spans="10:18" x14ac:dyDescent="0.2">
      <c r="J330" s="354">
        <v>38817</v>
      </c>
      <c r="K330">
        <v>17.833331999999999</v>
      </c>
      <c r="L330">
        <v>17.886665000000001</v>
      </c>
      <c r="M330">
        <v>16.733333999999999</v>
      </c>
      <c r="N330">
        <v>17.044443000000001</v>
      </c>
      <c r="O330">
        <v>12.64541</v>
      </c>
      <c r="P330">
        <v>19799550</v>
      </c>
      <c r="R330" s="273">
        <f>(O330/O329)*('16. câmbio USD-BRL'!O126/'16. câmbio USD-BRL'!O125)^-1-1</f>
        <v>-5.0832034758336309E-2</v>
      </c>
    </row>
    <row r="331" spans="10:18" x14ac:dyDescent="0.2">
      <c r="J331" s="354">
        <v>38824</v>
      </c>
      <c r="K331">
        <v>17.264444000000001</v>
      </c>
      <c r="L331">
        <v>18.177776000000001</v>
      </c>
      <c r="M331">
        <v>16.677776000000001</v>
      </c>
      <c r="N331">
        <v>17.113333000000001</v>
      </c>
      <c r="O331">
        <v>12.696519</v>
      </c>
      <c r="P331">
        <v>13981500</v>
      </c>
      <c r="R331" s="273">
        <f>(O331/O330)*('16. câmbio USD-BRL'!O127/'16. câmbio USD-BRL'!O126)^-1-1</f>
        <v>1.4515281339286146E-2</v>
      </c>
    </row>
    <row r="332" spans="10:18" x14ac:dyDescent="0.2">
      <c r="J332" s="354">
        <v>38831</v>
      </c>
      <c r="K332">
        <v>17.171109999999999</v>
      </c>
      <c r="L332">
        <v>17.666665999999999</v>
      </c>
      <c r="M332">
        <v>16.888887</v>
      </c>
      <c r="N332">
        <v>17.666665999999999</v>
      </c>
      <c r="O332">
        <v>13.107041000000001</v>
      </c>
      <c r="P332">
        <v>19623600</v>
      </c>
      <c r="R332" s="273">
        <f>(O332/O331)*('16. câmbio USD-BRL'!O128/'16. câmbio USD-BRL'!O127)^-1-1</f>
        <v>4.461078636289284E-2</v>
      </c>
    </row>
    <row r="333" spans="10:18" x14ac:dyDescent="0.2">
      <c r="J333" s="354">
        <v>38838</v>
      </c>
      <c r="K333">
        <v>17.666665999999999</v>
      </c>
      <c r="L333">
        <v>19.511109999999999</v>
      </c>
      <c r="M333">
        <v>17.577777999999999</v>
      </c>
      <c r="N333">
        <v>19.333331999999999</v>
      </c>
      <c r="O333">
        <v>14.343553</v>
      </c>
      <c r="P333">
        <v>21303900</v>
      </c>
      <c r="R333" s="273">
        <f>(O333/O332)*('16. câmbio USD-BRL'!O129/'16. câmbio USD-BRL'!O128)^-1-1</f>
        <v>0.11386420027369581</v>
      </c>
    </row>
    <row r="334" spans="10:18" x14ac:dyDescent="0.2">
      <c r="J334" s="354">
        <v>38845</v>
      </c>
      <c r="K334">
        <v>19.308886999999999</v>
      </c>
      <c r="L334">
        <v>20.088888000000001</v>
      </c>
      <c r="M334">
        <v>17.222221000000001</v>
      </c>
      <c r="N334">
        <v>17.533332999999999</v>
      </c>
      <c r="O334">
        <v>13.008120999999999</v>
      </c>
      <c r="P334">
        <v>2185294482</v>
      </c>
      <c r="R334" s="273">
        <f>(O334/O333)*('16. câmbio USD-BRL'!O130/'16. câmbio USD-BRL'!O129)^-1-1</f>
        <v>-0.12315556811944672</v>
      </c>
    </row>
    <row r="335" spans="10:18" x14ac:dyDescent="0.2">
      <c r="J335" s="354">
        <v>38852</v>
      </c>
      <c r="K335">
        <v>17.313334000000001</v>
      </c>
      <c r="L335">
        <v>18.246666000000001</v>
      </c>
      <c r="M335">
        <v>16.666665999999999</v>
      </c>
      <c r="N335">
        <v>16.888887</v>
      </c>
      <c r="O335">
        <v>12.529999</v>
      </c>
      <c r="P335">
        <v>1677775410</v>
      </c>
      <c r="R335" s="273">
        <f>(O335/O334)*('16. câmbio USD-BRL'!O131/'16. câmbio USD-BRL'!O130)^-1-1</f>
        <v>-6.7226970758927029E-2</v>
      </c>
    </row>
    <row r="336" spans="10:18" x14ac:dyDescent="0.2">
      <c r="J336" s="354">
        <v>38859</v>
      </c>
      <c r="K336">
        <v>16.444445000000002</v>
      </c>
      <c r="L336">
        <v>17.766666000000001</v>
      </c>
      <c r="M336">
        <v>15.133333</v>
      </c>
      <c r="N336">
        <v>17.748888000000001</v>
      </c>
      <c r="O336">
        <v>13.16804</v>
      </c>
      <c r="P336">
        <v>2660337522</v>
      </c>
      <c r="R336" s="273">
        <f>(O336/O335)*('16. câmbio USD-BRL'!O132/'16. câmbio USD-BRL'!O131)^-1-1</f>
        <v>2.3663754588140629E-2</v>
      </c>
    </row>
    <row r="337" spans="10:18" x14ac:dyDescent="0.2">
      <c r="J337" s="354">
        <v>38866</v>
      </c>
      <c r="K337">
        <v>17.722221000000001</v>
      </c>
      <c r="L337">
        <v>18.115555000000001</v>
      </c>
      <c r="M337">
        <v>16.122223000000002</v>
      </c>
      <c r="N337">
        <v>17.511109999999999</v>
      </c>
      <c r="O337">
        <v>12.991635</v>
      </c>
      <c r="P337">
        <v>2269037034</v>
      </c>
      <c r="R337" s="273">
        <f>(O337/O336)*('16. câmbio USD-BRL'!O133/'16. câmbio USD-BRL'!O132)^-1-1</f>
        <v>-2.4981682855319653E-2</v>
      </c>
    </row>
    <row r="338" spans="10:18" x14ac:dyDescent="0.2">
      <c r="J338" s="354">
        <v>38873</v>
      </c>
      <c r="K338">
        <v>17.368888999999999</v>
      </c>
      <c r="L338">
        <v>17.488887999999999</v>
      </c>
      <c r="M338">
        <v>15.784444000000001</v>
      </c>
      <c r="N338">
        <v>16.488887999999999</v>
      </c>
      <c r="O338">
        <v>12.233237000000001</v>
      </c>
      <c r="P338">
        <v>2206595790</v>
      </c>
      <c r="R338" s="273">
        <f>(O338/O337)*('16. câmbio USD-BRL'!O134/'16. câmbio USD-BRL'!O133)^-1-1</f>
        <v>-4.9084623376326131E-2</v>
      </c>
    </row>
    <row r="339" spans="10:18" x14ac:dyDescent="0.2">
      <c r="J339" s="354">
        <v>38880</v>
      </c>
      <c r="K339">
        <v>16.444445000000002</v>
      </c>
      <c r="L339">
        <v>16.662222</v>
      </c>
      <c r="M339">
        <v>14.622222000000001</v>
      </c>
      <c r="N339">
        <v>16.444445000000002</v>
      </c>
      <c r="O339">
        <v>12.200265</v>
      </c>
      <c r="P339">
        <v>1969444980</v>
      </c>
      <c r="R339" s="273">
        <f>(O339/O338)*('16. câmbio USD-BRL'!O135/'16. câmbio USD-BRL'!O134)^-1-1</f>
        <v>3.1639073434233111E-3</v>
      </c>
    </row>
    <row r="340" spans="10:18" x14ac:dyDescent="0.2">
      <c r="J340" s="354">
        <v>38887</v>
      </c>
      <c r="K340">
        <v>16.442222999999998</v>
      </c>
      <c r="L340">
        <v>16.711110999999999</v>
      </c>
      <c r="M340">
        <v>15.26</v>
      </c>
      <c r="N340">
        <v>15.777777</v>
      </c>
      <c r="O340">
        <v>11.705658</v>
      </c>
      <c r="P340">
        <v>1801383930</v>
      </c>
      <c r="R340" s="273">
        <f>(O340/O339)*('16. câmbio USD-BRL'!O136/'16. câmbio USD-BRL'!O135)^-1-1</f>
        <v>-3.9557492800249894E-2</v>
      </c>
    </row>
    <row r="341" spans="10:18" x14ac:dyDescent="0.2">
      <c r="J341" s="354">
        <v>38894</v>
      </c>
      <c r="K341">
        <v>15.888888</v>
      </c>
      <c r="L341">
        <v>17.711110999999999</v>
      </c>
      <c r="M341">
        <v>15.666665999999999</v>
      </c>
      <c r="N341">
        <v>17.255554</v>
      </c>
      <c r="O341">
        <v>12.802033</v>
      </c>
      <c r="P341">
        <v>1314831276</v>
      </c>
      <c r="R341" s="273">
        <f>(O341/O340)*('16. câmbio USD-BRL'!O137/'16. câmbio USD-BRL'!O136)^-1-1</f>
        <v>0.13565778111691196</v>
      </c>
    </row>
    <row r="342" spans="10:18" x14ac:dyDescent="0.2">
      <c r="J342" s="354">
        <v>38901</v>
      </c>
      <c r="K342">
        <v>17.286667000000001</v>
      </c>
      <c r="L342">
        <v>18.222221000000001</v>
      </c>
      <c r="M342">
        <v>17.142220999999999</v>
      </c>
      <c r="N342">
        <v>17.566666000000001</v>
      </c>
      <c r="O342">
        <v>13.032849000000001</v>
      </c>
      <c r="P342">
        <v>1484574948</v>
      </c>
      <c r="R342" s="273">
        <f>(O342/O341)*('16. câmbio USD-BRL'!O138/'16. câmbio USD-BRL'!O137)^-1-1</f>
        <v>1.5305245720371952E-2</v>
      </c>
    </row>
    <row r="343" spans="10:18" x14ac:dyDescent="0.2">
      <c r="J343" s="354">
        <v>38908</v>
      </c>
      <c r="K343">
        <v>17.711110999999999</v>
      </c>
      <c r="L343">
        <v>17.911111999999999</v>
      </c>
      <c r="M343">
        <v>16.253332</v>
      </c>
      <c r="N343">
        <v>16.468886999999999</v>
      </c>
      <c r="O343">
        <v>12.218400000000001</v>
      </c>
      <c r="P343">
        <v>1588521969</v>
      </c>
      <c r="R343" s="273">
        <f>(O343/O342)*('16. câmbio USD-BRL'!O139/'16. câmbio USD-BRL'!O138)^-1-1</f>
        <v>-3.097050024208059E-2</v>
      </c>
    </row>
    <row r="344" spans="10:18" x14ac:dyDescent="0.2">
      <c r="J344" s="354">
        <v>38915</v>
      </c>
      <c r="K344">
        <v>16.222221000000001</v>
      </c>
      <c r="L344">
        <v>17.311111</v>
      </c>
      <c r="M344">
        <v>15.888888</v>
      </c>
      <c r="N344">
        <v>16.100000000000001</v>
      </c>
      <c r="O344">
        <v>11.944718</v>
      </c>
      <c r="P344">
        <v>992193102</v>
      </c>
      <c r="R344" s="273">
        <f>(O344/O343)*('16. câmbio USD-BRL'!O140/'16. câmbio USD-BRL'!O139)^-1-1</f>
        <v>-6.3318669549482509E-2</v>
      </c>
    </row>
    <row r="345" spans="10:18" x14ac:dyDescent="0.2">
      <c r="J345" s="354">
        <v>38922</v>
      </c>
      <c r="K345">
        <v>15.977777</v>
      </c>
      <c r="L345">
        <v>16.953333000000001</v>
      </c>
      <c r="M345">
        <v>15.782222000000001</v>
      </c>
      <c r="N345">
        <v>16.775555000000001</v>
      </c>
      <c r="O345">
        <v>12.445919999999999</v>
      </c>
      <c r="P345">
        <v>751862880</v>
      </c>
      <c r="R345" s="273">
        <f>(O345/O344)*('16. câmbio USD-BRL'!O141/'16. câmbio USD-BRL'!O140)^-1-1</f>
        <v>4.8090440858500783E-2</v>
      </c>
    </row>
    <row r="346" spans="10:18" x14ac:dyDescent="0.2">
      <c r="J346" s="354">
        <v>38929</v>
      </c>
      <c r="K346">
        <v>16.686665999999999</v>
      </c>
      <c r="L346">
        <v>16.777777</v>
      </c>
      <c r="M346">
        <v>16.088888000000001</v>
      </c>
      <c r="N346">
        <v>16.644444</v>
      </c>
      <c r="O346">
        <v>12.348646</v>
      </c>
      <c r="P346">
        <v>1630263276</v>
      </c>
      <c r="R346" s="273">
        <f>(O346/O345)*('16. câmbio USD-BRL'!O142/'16. câmbio USD-BRL'!O141)^-1-1</f>
        <v>-4.7966394061762507E-3</v>
      </c>
    </row>
    <row r="347" spans="10:18" x14ac:dyDescent="0.2">
      <c r="J347" s="354">
        <v>38936</v>
      </c>
      <c r="K347">
        <v>16.506665999999999</v>
      </c>
      <c r="L347">
        <v>16.799999</v>
      </c>
      <c r="M347">
        <v>15.842222</v>
      </c>
      <c r="N347">
        <v>15.888888</v>
      </c>
      <c r="O347">
        <v>11.788095</v>
      </c>
      <c r="P347">
        <v>1304771292</v>
      </c>
      <c r="R347" s="273">
        <f>(O347/O346)*('16. câmbio USD-BRL'!O143/'16. câmbio USD-BRL'!O142)^-1-1</f>
        <v>9.8229699641050328E-3</v>
      </c>
    </row>
    <row r="348" spans="10:18" x14ac:dyDescent="0.2">
      <c r="J348" s="354">
        <v>38943</v>
      </c>
      <c r="K348">
        <v>16</v>
      </c>
      <c r="L348">
        <v>16.733333999999999</v>
      </c>
      <c r="M348">
        <v>15.844443999999999</v>
      </c>
      <c r="N348">
        <v>16.077777999999999</v>
      </c>
      <c r="O348">
        <v>11.928231</v>
      </c>
      <c r="P348">
        <v>1770435810</v>
      </c>
      <c r="R348" s="273">
        <f>(O348/O347)*('16. câmbio USD-BRL'!O144/'16. câmbio USD-BRL'!O143)^-1-1</f>
        <v>-3.2964342442631023E-2</v>
      </c>
    </row>
    <row r="349" spans="10:18" x14ac:dyDescent="0.2">
      <c r="J349" s="354">
        <v>38950</v>
      </c>
      <c r="K349">
        <v>16.077777999999999</v>
      </c>
      <c r="L349">
        <v>16.077777999999999</v>
      </c>
      <c r="M349">
        <v>14.422222</v>
      </c>
      <c r="N349">
        <v>14.944444000000001</v>
      </c>
      <c r="O349">
        <v>11.087402000000001</v>
      </c>
      <c r="P349">
        <v>2183130180</v>
      </c>
      <c r="R349" s="273">
        <f>(O349/O348)*('16. câmbio USD-BRL'!O145/'16. câmbio USD-BRL'!O144)^-1-1</f>
        <v>-7.4931688173992206E-2</v>
      </c>
    </row>
    <row r="350" spans="10:18" x14ac:dyDescent="0.2">
      <c r="J350" s="354">
        <v>38957</v>
      </c>
      <c r="K350">
        <v>14.9</v>
      </c>
      <c r="L350">
        <v>15.211111000000001</v>
      </c>
      <c r="M350">
        <v>14.642222</v>
      </c>
      <c r="N350">
        <v>15.211111000000001</v>
      </c>
      <c r="O350">
        <v>11.285245</v>
      </c>
      <c r="P350">
        <v>2159355888</v>
      </c>
      <c r="R350" s="273">
        <f>(O350/O349)*('16. câmbio USD-BRL'!O146/'16. câmbio USD-BRL'!O145)^-1-1</f>
        <v>2.2635027397785779E-2</v>
      </c>
    </row>
    <row r="351" spans="10:18" x14ac:dyDescent="0.2">
      <c r="J351" s="354">
        <v>38964</v>
      </c>
      <c r="K351">
        <v>15.233333</v>
      </c>
      <c r="L351">
        <v>15.793333000000001</v>
      </c>
      <c r="M351">
        <v>15.066666</v>
      </c>
      <c r="N351">
        <v>15.244444</v>
      </c>
      <c r="O351">
        <v>11.309976000000001</v>
      </c>
      <c r="P351">
        <v>1004726700</v>
      </c>
      <c r="R351" s="273">
        <f>(O351/O350)*('16. câmbio USD-BRL'!O147/'16. câmbio USD-BRL'!O146)^-1-1</f>
        <v>-7.4247921523173943E-4</v>
      </c>
    </row>
    <row r="352" spans="10:18" x14ac:dyDescent="0.2">
      <c r="J352" s="354">
        <v>38971</v>
      </c>
      <c r="K352">
        <v>15.004443999999999</v>
      </c>
      <c r="L352">
        <v>15.288888</v>
      </c>
      <c r="M352">
        <v>14.471111000000001</v>
      </c>
      <c r="N352">
        <v>14.575555</v>
      </c>
      <c r="O352">
        <v>10.81372</v>
      </c>
      <c r="P352">
        <v>23506650</v>
      </c>
      <c r="R352" s="273">
        <f>(O352/O351)*('16. câmbio USD-BRL'!O148/'16. câmbio USD-BRL'!O147)^-1-1</f>
        <v>-4.3433222234005475E-2</v>
      </c>
    </row>
    <row r="353" spans="10:18" x14ac:dyDescent="0.2">
      <c r="J353" s="354">
        <v>38978</v>
      </c>
      <c r="K353">
        <v>14.66</v>
      </c>
      <c r="L353">
        <v>14.768888</v>
      </c>
      <c r="M353">
        <v>13.602221999999999</v>
      </c>
      <c r="N353">
        <v>13.82</v>
      </c>
      <c r="O353">
        <v>10.253170000000001</v>
      </c>
      <c r="P353">
        <v>24350850</v>
      </c>
      <c r="R353" s="273">
        <f>(O353/O352)*('16. câmbio USD-BRL'!O149/'16. câmbio USD-BRL'!O148)^-1-1</f>
        <v>-7.7191632570822732E-2</v>
      </c>
    </row>
    <row r="354" spans="10:18" x14ac:dyDescent="0.2">
      <c r="J354" s="354">
        <v>38985</v>
      </c>
      <c r="K354">
        <v>13.82</v>
      </c>
      <c r="L354">
        <v>14.8</v>
      </c>
      <c r="M354">
        <v>13.342222</v>
      </c>
      <c r="N354">
        <v>14.444444000000001</v>
      </c>
      <c r="O354">
        <v>10.716447000000001</v>
      </c>
      <c r="P354">
        <v>24428250</v>
      </c>
      <c r="R354" s="273">
        <f>(O354/O353)*('16. câmbio USD-BRL'!O150/'16. câmbio USD-BRL'!O149)^-1-1</f>
        <v>6.7992360724089984E-2</v>
      </c>
    </row>
    <row r="355" spans="10:18" x14ac:dyDescent="0.2">
      <c r="J355" s="354">
        <v>38992</v>
      </c>
      <c r="K355">
        <v>14.555555</v>
      </c>
      <c r="L355">
        <v>15.4</v>
      </c>
      <c r="M355">
        <v>14.244444</v>
      </c>
      <c r="N355">
        <v>15.355555000000001</v>
      </c>
      <c r="O355">
        <v>11.392407</v>
      </c>
      <c r="P355">
        <v>25562700</v>
      </c>
      <c r="R355" s="273">
        <f>(O355/O354)*('16. câmbio USD-BRL'!O151/'16. câmbio USD-BRL'!O150)^-1-1</f>
        <v>6.3273514629865746E-2</v>
      </c>
    </row>
    <row r="356" spans="10:18" x14ac:dyDescent="0.2">
      <c r="J356" s="354">
        <v>38999</v>
      </c>
      <c r="K356">
        <v>15.273332999999999</v>
      </c>
      <c r="L356">
        <v>16.191110999999999</v>
      </c>
      <c r="M356">
        <v>15.177777000000001</v>
      </c>
      <c r="N356">
        <v>16.002222</v>
      </c>
      <c r="O356">
        <v>11.872178</v>
      </c>
      <c r="P356">
        <v>18241200</v>
      </c>
      <c r="R356" s="273">
        <f>(O356/O355)*('16. câmbio USD-BRL'!O152/'16. câmbio USD-BRL'!O151)^-1-1</f>
        <v>5.4301683835640047E-2</v>
      </c>
    </row>
    <row r="357" spans="10:18" x14ac:dyDescent="0.2">
      <c r="J357" s="354">
        <v>39006</v>
      </c>
      <c r="K357">
        <v>15.955555</v>
      </c>
      <c r="L357">
        <v>16.844443999999999</v>
      </c>
      <c r="M357">
        <v>15.473333</v>
      </c>
      <c r="N357">
        <v>15.731111</v>
      </c>
      <c r="O357">
        <v>11.671037999999999</v>
      </c>
      <c r="P357">
        <v>28055700</v>
      </c>
      <c r="R357" s="273">
        <f>(O357/O356)*('16. câmbio USD-BRL'!O153/'16. câmbio USD-BRL'!O152)^-1-1</f>
        <v>-1.5560461899779554E-2</v>
      </c>
    </row>
    <row r="358" spans="10:18" x14ac:dyDescent="0.2">
      <c r="J358" s="354">
        <v>39013</v>
      </c>
      <c r="K358">
        <v>16.02</v>
      </c>
      <c r="L358">
        <v>16.622223000000002</v>
      </c>
      <c r="M358">
        <v>15.48</v>
      </c>
      <c r="N358">
        <v>16.166665999999999</v>
      </c>
      <c r="O358">
        <v>11.99418</v>
      </c>
      <c r="P358">
        <v>19702800</v>
      </c>
      <c r="R358" s="273">
        <f>(O358/O357)*('16. câmbio USD-BRL'!O154/'16. câmbio USD-BRL'!O153)^-1-1</f>
        <v>2.9133940186979457E-2</v>
      </c>
    </row>
    <row r="359" spans="10:18" x14ac:dyDescent="0.2">
      <c r="J359" s="354">
        <v>39020</v>
      </c>
      <c r="K359">
        <v>16.059999000000001</v>
      </c>
      <c r="L359">
        <v>16.766666000000001</v>
      </c>
      <c r="M359">
        <v>15.688888</v>
      </c>
      <c r="N359">
        <v>16.766666000000001</v>
      </c>
      <c r="O359">
        <v>12.439323</v>
      </c>
      <c r="P359">
        <v>15892200</v>
      </c>
      <c r="R359" s="273">
        <f>(O359/O358)*('16. câmbio USD-BRL'!O155/'16. câmbio USD-BRL'!O154)^-1-1</f>
        <v>3.2414950596733272E-2</v>
      </c>
    </row>
    <row r="360" spans="10:18" x14ac:dyDescent="0.2">
      <c r="J360" s="354">
        <v>39027</v>
      </c>
      <c r="K360">
        <v>16.888887</v>
      </c>
      <c r="L360">
        <v>17.195554999999999</v>
      </c>
      <c r="M360">
        <v>16.111111000000001</v>
      </c>
      <c r="N360">
        <v>16.228888000000001</v>
      </c>
      <c r="O360">
        <v>12.040342000000001</v>
      </c>
      <c r="P360">
        <v>24205950</v>
      </c>
      <c r="R360" s="273">
        <f>(O360/O359)*('16. câmbio USD-BRL'!O156/'16. câmbio USD-BRL'!O155)^-1-1</f>
        <v>-3.4239151718656324E-2</v>
      </c>
    </row>
    <row r="361" spans="10:18" x14ac:dyDescent="0.2">
      <c r="J361" s="354">
        <v>39034</v>
      </c>
      <c r="K361">
        <v>16.111111000000001</v>
      </c>
      <c r="L361">
        <v>16.822222</v>
      </c>
      <c r="M361">
        <v>15.977777</v>
      </c>
      <c r="N361">
        <v>16.175554000000002</v>
      </c>
      <c r="O361">
        <v>12.000773000000001</v>
      </c>
      <c r="P361">
        <v>17551800</v>
      </c>
      <c r="R361" s="273">
        <f>(O361/O360)*('16. câmbio USD-BRL'!O157/'16. câmbio USD-BRL'!O156)^-1-1</f>
        <v>-9.746549388959691E-3</v>
      </c>
    </row>
    <row r="362" spans="10:18" x14ac:dyDescent="0.2">
      <c r="J362" s="354">
        <v>39041</v>
      </c>
      <c r="K362">
        <v>16.175554000000002</v>
      </c>
      <c r="L362">
        <v>16.988887999999999</v>
      </c>
      <c r="M362">
        <v>16.175554000000002</v>
      </c>
      <c r="N362">
        <v>16.688889</v>
      </c>
      <c r="O362">
        <v>12.38162</v>
      </c>
      <c r="P362">
        <v>15725250</v>
      </c>
      <c r="R362" s="273">
        <f>(O362/O361)*('16. câmbio USD-BRL'!O158/'16. câmbio USD-BRL'!O157)^-1-1</f>
        <v>3.0304227629901037E-2</v>
      </c>
    </row>
    <row r="363" spans="10:18" x14ac:dyDescent="0.2">
      <c r="J363" s="354">
        <v>39048</v>
      </c>
      <c r="K363">
        <v>16.700001</v>
      </c>
      <c r="L363">
        <v>16.766666000000001</v>
      </c>
      <c r="M363">
        <v>15.888888</v>
      </c>
      <c r="N363">
        <v>16.055554999999998</v>
      </c>
      <c r="O363">
        <v>11.911747</v>
      </c>
      <c r="P363">
        <v>23737050</v>
      </c>
      <c r="R363" s="273">
        <f>(O363/O362)*('16. câmbio USD-BRL'!O159/'16. câmbio USD-BRL'!O158)^-1-1</f>
        <v>-3.5720201145289732E-2</v>
      </c>
    </row>
    <row r="364" spans="10:18" x14ac:dyDescent="0.2">
      <c r="J364" s="354">
        <v>39055</v>
      </c>
      <c r="K364">
        <v>16.111111000000001</v>
      </c>
      <c r="L364">
        <v>16.835553999999998</v>
      </c>
      <c r="M364">
        <v>16.011109999999999</v>
      </c>
      <c r="N364">
        <v>16.444445000000002</v>
      </c>
      <c r="O364">
        <v>12.200265</v>
      </c>
      <c r="P364">
        <v>21303450</v>
      </c>
      <c r="R364" s="273">
        <f>(O364/O363)*('16. câmbio USD-BRL'!O160/'16. câmbio USD-BRL'!O159)^-1-1</f>
        <v>3.4673516446394048E-2</v>
      </c>
    </row>
    <row r="365" spans="10:18" x14ac:dyDescent="0.2">
      <c r="J365" s="354">
        <v>39062</v>
      </c>
      <c r="K365">
        <v>16.600000000000001</v>
      </c>
      <c r="L365">
        <v>17.155556000000001</v>
      </c>
      <c r="M365">
        <v>16.011109999999999</v>
      </c>
      <c r="N365">
        <v>17.042221000000001</v>
      </c>
      <c r="O365">
        <v>12.643761</v>
      </c>
      <c r="P365">
        <v>23913900</v>
      </c>
      <c r="R365" s="273">
        <f>(O365/O364)*('16. câmbio USD-BRL'!O161/'16. câmbio USD-BRL'!O160)^-1-1</f>
        <v>3.3786474815033385E-2</v>
      </c>
    </row>
    <row r="366" spans="10:18" x14ac:dyDescent="0.2">
      <c r="J366" s="354">
        <v>39069</v>
      </c>
      <c r="K366">
        <v>17.133333</v>
      </c>
      <c r="L366">
        <v>17.622223000000002</v>
      </c>
      <c r="M366">
        <v>16.977777</v>
      </c>
      <c r="N366">
        <v>17.533332999999999</v>
      </c>
      <c r="O366">
        <v>13.008120999999999</v>
      </c>
      <c r="P366">
        <v>17782650</v>
      </c>
      <c r="R366" s="273">
        <f>(O366/O365)*('16. câmbio USD-BRL'!O162/'16. câmbio USD-BRL'!O161)^-1-1</f>
        <v>2.594291417871708E-2</v>
      </c>
    </row>
    <row r="367" spans="10:18" x14ac:dyDescent="0.2">
      <c r="J367" s="354">
        <v>39076</v>
      </c>
      <c r="K367">
        <v>17.533332999999999</v>
      </c>
      <c r="L367">
        <v>17.977777</v>
      </c>
      <c r="M367">
        <v>17.495556000000001</v>
      </c>
      <c r="N367">
        <v>17.888887</v>
      </c>
      <c r="O367">
        <v>13.271910999999999</v>
      </c>
      <c r="P367">
        <v>6689250</v>
      </c>
      <c r="R367" s="273">
        <f>(O367/O366)*('16. câmbio USD-BRL'!O163/'16. câmbio USD-BRL'!O162)^-1-1</f>
        <v>2.8178730267213847E-2</v>
      </c>
    </row>
    <row r="368" spans="10:18" x14ac:dyDescent="0.2">
      <c r="J368" s="354">
        <v>39083</v>
      </c>
      <c r="K368">
        <v>17.888887</v>
      </c>
      <c r="L368">
        <v>18.144444</v>
      </c>
      <c r="M368">
        <v>16.244444000000001</v>
      </c>
      <c r="N368">
        <v>16.244444000000001</v>
      </c>
      <c r="O368">
        <v>12.051882000000001</v>
      </c>
      <c r="P368">
        <v>18111600</v>
      </c>
      <c r="R368" s="273">
        <f>(O368/O367)*('16. câmbio USD-BRL'!O164/'16. câmbio USD-BRL'!O163)^-1-1</f>
        <v>-9.8692851820032623E-2</v>
      </c>
    </row>
    <row r="369" spans="10:18" x14ac:dyDescent="0.2">
      <c r="J369" s="354">
        <v>39090</v>
      </c>
      <c r="K369">
        <v>16.511109999999999</v>
      </c>
      <c r="L369">
        <v>16.844443999999999</v>
      </c>
      <c r="M369">
        <v>15.677777000000001</v>
      </c>
      <c r="N369">
        <v>16.722221000000001</v>
      </c>
      <c r="O369">
        <v>12.406347999999999</v>
      </c>
      <c r="P369">
        <v>26419950</v>
      </c>
      <c r="R369" s="273">
        <f>(O369/O368)*('16. câmbio USD-BRL'!O165/'16. câmbio USD-BRL'!O164)^-1-1</f>
        <v>3.4228759812200416E-2</v>
      </c>
    </row>
    <row r="370" spans="10:18" x14ac:dyDescent="0.2">
      <c r="J370" s="354">
        <v>39097</v>
      </c>
      <c r="K370">
        <v>16.833331999999999</v>
      </c>
      <c r="L370">
        <v>17.044443000000001</v>
      </c>
      <c r="M370">
        <v>16.133333</v>
      </c>
      <c r="N370">
        <v>16.799999</v>
      </c>
      <c r="O370">
        <v>12.464054000000001</v>
      </c>
      <c r="P370">
        <v>17559450</v>
      </c>
      <c r="R370" s="273">
        <f>(O370/O369)*('16. câmbio USD-BRL'!O166/'16. câmbio USD-BRL'!O165)^-1-1</f>
        <v>1.0562433042486052E-2</v>
      </c>
    </row>
    <row r="371" spans="10:18" x14ac:dyDescent="0.2">
      <c r="J371" s="354">
        <v>39104</v>
      </c>
      <c r="K371">
        <v>16.802220999999999</v>
      </c>
      <c r="L371">
        <v>17.977777</v>
      </c>
      <c r="M371">
        <v>16.444445000000002</v>
      </c>
      <c r="N371">
        <v>17.977777</v>
      </c>
      <c r="O371">
        <v>13.337857</v>
      </c>
      <c r="P371">
        <v>23579100</v>
      </c>
      <c r="R371" s="273">
        <f>(O371/O370)*('16. câmbio USD-BRL'!O167/'16. câmbio USD-BRL'!O166)^-1-1</f>
        <v>6.6591537067899775E-2</v>
      </c>
    </row>
    <row r="372" spans="10:18" x14ac:dyDescent="0.2">
      <c r="J372" s="354">
        <v>39111</v>
      </c>
      <c r="K372">
        <v>18</v>
      </c>
      <c r="L372">
        <v>19.044443000000001</v>
      </c>
      <c r="M372">
        <v>17.355554999999999</v>
      </c>
      <c r="N372">
        <v>19</v>
      </c>
      <c r="O372">
        <v>14.096251000000001</v>
      </c>
      <c r="P372">
        <v>26668800</v>
      </c>
      <c r="R372" s="273">
        <f>(O372/O371)*('16. câmbio USD-BRL'!O168/'16. câmbio USD-BRL'!O167)^-1-1</f>
        <v>7.6558012661974484E-2</v>
      </c>
    </row>
    <row r="373" spans="10:18" x14ac:dyDescent="0.2">
      <c r="J373" s="354">
        <v>39118</v>
      </c>
      <c r="K373">
        <v>19.866667</v>
      </c>
      <c r="L373">
        <v>20.855554999999999</v>
      </c>
      <c r="M373">
        <v>18.777777</v>
      </c>
      <c r="N373">
        <v>19.244444000000001</v>
      </c>
      <c r="O373">
        <v>14.277604999999999</v>
      </c>
      <c r="P373">
        <v>37036800</v>
      </c>
      <c r="R373" s="273">
        <f>(O373/O372)*('16. câmbio USD-BRL'!O169/'16. câmbio USD-BRL'!O168)^-1-1</f>
        <v>1.0450947896979201E-2</v>
      </c>
    </row>
    <row r="374" spans="10:18" x14ac:dyDescent="0.2">
      <c r="J374" s="354">
        <v>39125</v>
      </c>
      <c r="K374">
        <v>19.111111000000001</v>
      </c>
      <c r="L374">
        <v>22</v>
      </c>
      <c r="M374">
        <v>19.064444000000002</v>
      </c>
      <c r="N374">
        <v>21.744444000000001</v>
      </c>
      <c r="O374">
        <v>16.132380000000001</v>
      </c>
      <c r="P374">
        <v>35586900</v>
      </c>
      <c r="R374" s="273">
        <f>(O374/O373)*('16. câmbio USD-BRL'!O170/'16. câmbio USD-BRL'!O169)^-1-1</f>
        <v>0.13521196234618404</v>
      </c>
    </row>
    <row r="375" spans="10:18" x14ac:dyDescent="0.2">
      <c r="J375" s="354">
        <v>39132</v>
      </c>
      <c r="K375">
        <v>21.744444000000001</v>
      </c>
      <c r="L375">
        <v>21.877776999999998</v>
      </c>
      <c r="M375">
        <v>20.306664999999999</v>
      </c>
      <c r="N375">
        <v>20.597776</v>
      </c>
      <c r="O375">
        <v>15.281656999999999</v>
      </c>
      <c r="P375">
        <v>14001750</v>
      </c>
      <c r="R375" s="273">
        <f>(O375/O374)*('16. câmbio USD-BRL'!O171/'16. câmbio USD-BRL'!O170)^-1-1</f>
        <v>-5.1279694140678012E-2</v>
      </c>
    </row>
    <row r="376" spans="10:18" x14ac:dyDescent="0.2">
      <c r="J376" s="354">
        <v>39139</v>
      </c>
      <c r="K376">
        <v>20.822222</v>
      </c>
      <c r="L376">
        <v>20.988887999999999</v>
      </c>
      <c r="M376">
        <v>18.488887999999999</v>
      </c>
      <c r="N376">
        <v>18.488887999999999</v>
      </c>
      <c r="O376">
        <v>13.717052000000001</v>
      </c>
      <c r="P376">
        <v>30020850</v>
      </c>
      <c r="R376" s="273">
        <f>(O376/O375)*('16. câmbio USD-BRL'!O172/'16. câmbio USD-BRL'!O171)^-1-1</f>
        <v>-0.11637332515453269</v>
      </c>
    </row>
    <row r="377" spans="10:18" x14ac:dyDescent="0.2">
      <c r="J377" s="354">
        <v>39146</v>
      </c>
      <c r="K377">
        <v>17.777777</v>
      </c>
      <c r="L377">
        <v>19.873332999999999</v>
      </c>
      <c r="M377">
        <v>17.402221999999998</v>
      </c>
      <c r="N377">
        <v>19.844443999999999</v>
      </c>
      <c r="O377">
        <v>14.722751000000001</v>
      </c>
      <c r="P377">
        <v>27452700</v>
      </c>
      <c r="R377" s="273">
        <f>(O377/O376)*('16. câmbio USD-BRL'!O173/'16. câmbio USD-BRL'!O172)^-1-1</f>
        <v>8.6400410159344521E-2</v>
      </c>
    </row>
    <row r="378" spans="10:18" x14ac:dyDescent="0.2">
      <c r="J378" s="354">
        <v>39153</v>
      </c>
      <c r="K378">
        <v>19.799999</v>
      </c>
      <c r="L378">
        <v>20.333331999999999</v>
      </c>
      <c r="M378">
        <v>18.622223000000002</v>
      </c>
      <c r="N378">
        <v>19.066666000000001</v>
      </c>
      <c r="O378">
        <v>14.145711</v>
      </c>
      <c r="P378">
        <v>33731550</v>
      </c>
      <c r="R378" s="273">
        <f>(O378/O377)*('16. câmbio USD-BRL'!O174/'16. câmbio USD-BRL'!O173)^-1-1</f>
        <v>-3.7813954184618193E-2</v>
      </c>
    </row>
    <row r="379" spans="10:18" x14ac:dyDescent="0.2">
      <c r="J379" s="354">
        <v>39160</v>
      </c>
      <c r="K379">
        <v>19.222221000000001</v>
      </c>
      <c r="L379">
        <v>21.288889000000001</v>
      </c>
      <c r="M379">
        <v>18.851109999999998</v>
      </c>
      <c r="N379">
        <v>20.977777</v>
      </c>
      <c r="O379">
        <v>15.563582</v>
      </c>
      <c r="P379">
        <v>28623600</v>
      </c>
      <c r="R379" s="273">
        <f>(O379/O378)*('16. câmbio USD-BRL'!O175/'16. câmbio USD-BRL'!O174)^-1-1</f>
        <v>0.11463982552245944</v>
      </c>
    </row>
    <row r="380" spans="10:18" x14ac:dyDescent="0.2">
      <c r="J380" s="354">
        <v>39167</v>
      </c>
      <c r="K380">
        <v>20.98</v>
      </c>
      <c r="L380">
        <v>22.200001</v>
      </c>
      <c r="M380">
        <v>20.457777</v>
      </c>
      <c r="N380">
        <v>22.173331999999998</v>
      </c>
      <c r="O380">
        <v>16.450575000000001</v>
      </c>
      <c r="P380">
        <v>28016100</v>
      </c>
      <c r="R380" s="273">
        <f>(O380/O379)*('16. câmbio USD-BRL'!O176/'16. câmbio USD-BRL'!O175)^-1-1</f>
        <v>6.0592029643163681E-2</v>
      </c>
    </row>
    <row r="381" spans="10:18" x14ac:dyDescent="0.2">
      <c r="J381" s="354">
        <v>39174</v>
      </c>
      <c r="K381">
        <v>21.777777</v>
      </c>
      <c r="L381">
        <v>22.544443000000001</v>
      </c>
      <c r="M381">
        <v>21.155556000000001</v>
      </c>
      <c r="N381">
        <v>21.322222</v>
      </c>
      <c r="O381">
        <v>15.819124</v>
      </c>
      <c r="P381">
        <v>22423950</v>
      </c>
      <c r="R381" s="273">
        <f>(O381/O380)*('16. câmbio USD-BRL'!O177/'16. câmbio USD-BRL'!O176)^-1-1</f>
        <v>-2.5293792628670375E-2</v>
      </c>
    </row>
    <row r="382" spans="10:18" x14ac:dyDescent="0.2">
      <c r="J382" s="354">
        <v>39181</v>
      </c>
      <c r="K382">
        <v>21.655556000000001</v>
      </c>
      <c r="L382">
        <v>21.691110999999999</v>
      </c>
      <c r="M382">
        <v>19.977777</v>
      </c>
      <c r="N382">
        <v>21.088888000000001</v>
      </c>
      <c r="O382">
        <v>15.646017000000001</v>
      </c>
      <c r="P382">
        <v>29572650</v>
      </c>
      <c r="R382" s="273">
        <f>(O382/O381)*('16. câmbio USD-BRL'!O178/'16. câmbio USD-BRL'!O177)^-1-1</f>
        <v>-5.5966395569777561E-3</v>
      </c>
    </row>
    <row r="383" spans="10:18" x14ac:dyDescent="0.2">
      <c r="J383" s="354">
        <v>39188</v>
      </c>
      <c r="K383">
        <v>21.222221000000001</v>
      </c>
      <c r="L383">
        <v>22.133333</v>
      </c>
      <c r="M383">
        <v>20.555554999999998</v>
      </c>
      <c r="N383">
        <v>22.044443000000001</v>
      </c>
      <c r="O383">
        <v>16.354948</v>
      </c>
      <c r="P383">
        <v>29176200</v>
      </c>
      <c r="R383" s="273">
        <f>(O383/O382)*('16. câmbio USD-BRL'!O179/'16. câmbio USD-BRL'!O178)^-1-1</f>
        <v>4.2415755860312432E-2</v>
      </c>
    </row>
    <row r="384" spans="10:18" x14ac:dyDescent="0.2">
      <c r="J384" s="354">
        <v>39195</v>
      </c>
      <c r="K384">
        <v>21.911111999999999</v>
      </c>
      <c r="L384">
        <v>22.111111000000001</v>
      </c>
      <c r="M384">
        <v>20.566666000000001</v>
      </c>
      <c r="N384">
        <v>21.313334000000001</v>
      </c>
      <c r="O384">
        <v>15.812529</v>
      </c>
      <c r="P384">
        <v>33460200</v>
      </c>
      <c r="R384" s="273">
        <f>(O384/O383)*('16. câmbio USD-BRL'!O180/'16. câmbio USD-BRL'!O179)^-1-1</f>
        <v>-3.5740483582148097E-2</v>
      </c>
    </row>
    <row r="385" spans="10:18" x14ac:dyDescent="0.2">
      <c r="J385" s="354">
        <v>39202</v>
      </c>
      <c r="K385">
        <v>21.182221999999999</v>
      </c>
      <c r="L385">
        <v>23.046665000000001</v>
      </c>
      <c r="M385">
        <v>21.088888000000001</v>
      </c>
      <c r="N385">
        <v>22.711110999999999</v>
      </c>
      <c r="O385">
        <v>16.84956</v>
      </c>
      <c r="P385">
        <v>27848700</v>
      </c>
      <c r="R385" s="273">
        <f>(O385/O384)*('16. câmbio USD-BRL'!O181/'16. câmbio USD-BRL'!O180)^-1-1</f>
        <v>6.6740366658726069E-2</v>
      </c>
    </row>
    <row r="386" spans="10:18" x14ac:dyDescent="0.2">
      <c r="J386" s="354">
        <v>39209</v>
      </c>
      <c r="K386">
        <v>22.611111000000001</v>
      </c>
      <c r="L386">
        <v>23.442222999999998</v>
      </c>
      <c r="M386">
        <v>22.446667000000001</v>
      </c>
      <c r="N386">
        <v>22.666665999999999</v>
      </c>
      <c r="O386">
        <v>16.816582</v>
      </c>
      <c r="P386">
        <v>22260150</v>
      </c>
      <c r="R386" s="273">
        <f>(O386/O385)*('16. câmbio USD-BRL'!O182/'16. câmbio USD-BRL'!O181)^-1-1</f>
        <v>3.7422176440800037E-3</v>
      </c>
    </row>
    <row r="387" spans="10:18" x14ac:dyDescent="0.2">
      <c r="J387" s="354">
        <v>39216</v>
      </c>
      <c r="K387">
        <v>22.533332999999999</v>
      </c>
      <c r="L387">
        <v>24.615555000000001</v>
      </c>
      <c r="M387">
        <v>22.277777</v>
      </c>
      <c r="N387">
        <v>24.611111000000001</v>
      </c>
      <c r="O387">
        <v>18.259180000000001</v>
      </c>
      <c r="P387">
        <v>27936450</v>
      </c>
      <c r="R387" s="273">
        <f>(O387/O386)*('16. câmbio USD-BRL'!O183/'16. câmbio USD-BRL'!O182)^-1-1</f>
        <v>0.11553101254359222</v>
      </c>
    </row>
    <row r="388" spans="10:18" x14ac:dyDescent="0.2">
      <c r="J388" s="354">
        <v>39223</v>
      </c>
      <c r="K388">
        <v>24.666665999999999</v>
      </c>
      <c r="L388">
        <v>24.977777</v>
      </c>
      <c r="M388">
        <v>22.466664999999999</v>
      </c>
      <c r="N388">
        <v>23.377776999999998</v>
      </c>
      <c r="O388">
        <v>17.344159999999999</v>
      </c>
      <c r="P388">
        <v>27466200</v>
      </c>
      <c r="R388" s="273">
        <f>(O388/O387)*('16. câmbio USD-BRL'!O184/'16. câmbio USD-BRL'!O183)^-1-1</f>
        <v>-4.150643282209987E-2</v>
      </c>
    </row>
    <row r="389" spans="10:18" x14ac:dyDescent="0.2">
      <c r="J389" s="354">
        <v>39230</v>
      </c>
      <c r="K389">
        <v>23.404444000000002</v>
      </c>
      <c r="L389">
        <v>24.511109999999999</v>
      </c>
      <c r="M389">
        <v>22.688889</v>
      </c>
      <c r="N389">
        <v>24.333331999999999</v>
      </c>
      <c r="O389">
        <v>18.053093000000001</v>
      </c>
      <c r="P389">
        <v>22141800</v>
      </c>
      <c r="R389" s="273">
        <f>(O389/O388)*('16. câmbio USD-BRL'!O185/'16. câmbio USD-BRL'!O184)^-1-1</f>
        <v>3.9536565061829121E-2</v>
      </c>
    </row>
    <row r="390" spans="10:18" x14ac:dyDescent="0.2">
      <c r="J390" s="354">
        <v>39237</v>
      </c>
      <c r="K390">
        <v>23.911111999999999</v>
      </c>
      <c r="L390">
        <v>24.511109999999999</v>
      </c>
      <c r="M390">
        <v>23.071111999999999</v>
      </c>
      <c r="N390">
        <v>23.777777</v>
      </c>
      <c r="O390">
        <v>17.640923000000001</v>
      </c>
      <c r="P390">
        <v>15999750</v>
      </c>
      <c r="R390" s="273">
        <f>(O390/O389)*('16. câmbio USD-BRL'!O186/'16. câmbio USD-BRL'!O185)^-1-1</f>
        <v>-3.1889912940627596E-2</v>
      </c>
    </row>
    <row r="391" spans="10:18" x14ac:dyDescent="0.2">
      <c r="J391" s="354">
        <v>39244</v>
      </c>
      <c r="K391">
        <v>23.884443000000001</v>
      </c>
      <c r="L391">
        <v>24.846665999999999</v>
      </c>
      <c r="M391">
        <v>23.446667000000001</v>
      </c>
      <c r="N391">
        <v>24.657778</v>
      </c>
      <c r="O391">
        <v>18.293804000000002</v>
      </c>
      <c r="P391">
        <v>24313050</v>
      </c>
      <c r="R391" s="273">
        <f>(O391/O390)*('16. câmbio USD-BRL'!O187/'16. câmbio USD-BRL'!O186)^-1-1</f>
        <v>6.7570512886003797E-2</v>
      </c>
    </row>
    <row r="392" spans="10:18" x14ac:dyDescent="0.2">
      <c r="J392" s="354">
        <v>39251</v>
      </c>
      <c r="K392">
        <v>24.666665999999999</v>
      </c>
      <c r="L392">
        <v>24.808886999999999</v>
      </c>
      <c r="M392">
        <v>23.517776000000001</v>
      </c>
      <c r="N392">
        <v>23.711110999999999</v>
      </c>
      <c r="O392">
        <v>17.591459</v>
      </c>
      <c r="P392">
        <v>19280250</v>
      </c>
      <c r="R392" s="273">
        <f>(O392/O391)*('16. câmbio USD-BRL'!O188/'16. câmbio USD-BRL'!O187)^-1-1</f>
        <v>-4.4903391168898965E-2</v>
      </c>
    </row>
    <row r="393" spans="10:18" x14ac:dyDescent="0.2">
      <c r="J393" s="354">
        <v>39258</v>
      </c>
      <c r="K393">
        <v>23.771111000000001</v>
      </c>
      <c r="L393">
        <v>24.666665999999999</v>
      </c>
      <c r="M393">
        <v>23.377776999999998</v>
      </c>
      <c r="N393">
        <v>24.444445000000002</v>
      </c>
      <c r="O393">
        <v>18.135527</v>
      </c>
      <c r="P393">
        <v>18286200</v>
      </c>
      <c r="R393" s="273">
        <f>(O393/O392)*('16. câmbio USD-BRL'!O189/'16. câmbio USD-BRL'!O188)^-1-1</f>
        <v>2.6863296180007934E-2</v>
      </c>
    </row>
    <row r="394" spans="10:18" x14ac:dyDescent="0.2">
      <c r="J394" s="354">
        <v>39265</v>
      </c>
      <c r="K394">
        <v>24.444445000000002</v>
      </c>
      <c r="L394">
        <v>25.775555000000001</v>
      </c>
      <c r="M394">
        <v>24.355554999999999</v>
      </c>
      <c r="N394">
        <v>25.177776000000001</v>
      </c>
      <c r="O394">
        <v>18.679594000000002</v>
      </c>
      <c r="P394">
        <v>20226600</v>
      </c>
      <c r="R394" s="273">
        <f>(O394/O393)*('16. câmbio USD-BRL'!O190/'16. câmbio USD-BRL'!O189)^-1-1</f>
        <v>4.6173530658367046E-2</v>
      </c>
    </row>
    <row r="395" spans="10:18" x14ac:dyDescent="0.2">
      <c r="J395" s="354">
        <v>39272</v>
      </c>
      <c r="K395">
        <v>25.177776000000001</v>
      </c>
      <c r="L395">
        <v>25.733333999999999</v>
      </c>
      <c r="M395">
        <v>24.488887999999999</v>
      </c>
      <c r="N395">
        <v>25.486666</v>
      </c>
      <c r="O395">
        <v>18.908760000000001</v>
      </c>
      <c r="P395">
        <v>18874350</v>
      </c>
      <c r="R395" s="273">
        <f>(O395/O394)*('16. câmbio USD-BRL'!O191/'16. câmbio USD-BRL'!O190)^-1-1</f>
        <v>2.7921607391635517E-2</v>
      </c>
    </row>
    <row r="396" spans="10:18" x14ac:dyDescent="0.2">
      <c r="J396" s="354">
        <v>39279</v>
      </c>
      <c r="K396">
        <v>25.4</v>
      </c>
      <c r="L396">
        <v>26.644444</v>
      </c>
      <c r="M396">
        <v>24.746666000000001</v>
      </c>
      <c r="N396">
        <v>26.291111000000001</v>
      </c>
      <c r="O396">
        <v>19.505583000000001</v>
      </c>
      <c r="P396">
        <v>20396250</v>
      </c>
      <c r="R396" s="273">
        <f>(O396/O395)*('16. câmbio USD-BRL'!O192/'16. câmbio USD-BRL'!O191)^-1-1</f>
        <v>3.7168423048057786E-2</v>
      </c>
    </row>
    <row r="397" spans="10:18" x14ac:dyDescent="0.2">
      <c r="J397" s="354">
        <v>39286</v>
      </c>
      <c r="K397">
        <v>26.511109999999999</v>
      </c>
      <c r="L397">
        <v>26.888887</v>
      </c>
      <c r="M397">
        <v>24.444445000000002</v>
      </c>
      <c r="N397">
        <v>24.444445000000002</v>
      </c>
      <c r="O397">
        <v>18.135527</v>
      </c>
      <c r="P397">
        <v>32884650</v>
      </c>
      <c r="R397" s="273">
        <f>(O397/O396)*('16. câmbio USD-BRL'!O193/'16. câmbio USD-BRL'!O192)^-1-1</f>
        <v>-9.6817649846128506E-2</v>
      </c>
    </row>
    <row r="398" spans="10:18" x14ac:dyDescent="0.2">
      <c r="J398" s="354">
        <v>39293</v>
      </c>
      <c r="K398">
        <v>24.891110999999999</v>
      </c>
      <c r="L398">
        <v>26.299999</v>
      </c>
      <c r="M398">
        <v>24.555554999999998</v>
      </c>
      <c r="N398">
        <v>25.111111000000001</v>
      </c>
      <c r="O398">
        <v>18.630137999999999</v>
      </c>
      <c r="P398">
        <v>22539600</v>
      </c>
      <c r="R398" s="273">
        <f>(O398/O397)*('16. câmbio USD-BRL'!O194/'16. câmbio USD-BRL'!O193)^-1-1</f>
        <v>4.8366382383042916E-2</v>
      </c>
    </row>
    <row r="399" spans="10:18" x14ac:dyDescent="0.2">
      <c r="J399" s="354">
        <v>39300</v>
      </c>
      <c r="K399">
        <v>25.233333999999999</v>
      </c>
      <c r="L399">
        <v>26.215554999999998</v>
      </c>
      <c r="M399">
        <v>24</v>
      </c>
      <c r="N399">
        <v>24.077777999999999</v>
      </c>
      <c r="O399">
        <v>17.863496999999999</v>
      </c>
      <c r="P399">
        <v>34536600</v>
      </c>
      <c r="R399" s="273">
        <f>(O399/O398)*('16. câmbio USD-BRL'!O195/'16. câmbio USD-BRL'!O194)^-1-1</f>
        <v>-7.2320608406694631E-2</v>
      </c>
    </row>
    <row r="400" spans="10:18" x14ac:dyDescent="0.2">
      <c r="J400" s="354">
        <v>39307</v>
      </c>
      <c r="K400">
        <v>24.799999</v>
      </c>
      <c r="L400">
        <v>25.066666000000001</v>
      </c>
      <c r="M400">
        <v>19.911111999999999</v>
      </c>
      <c r="N400">
        <v>21.977777</v>
      </c>
      <c r="O400">
        <v>16.305489000000001</v>
      </c>
      <c r="P400">
        <v>51817050</v>
      </c>
      <c r="R400" s="273">
        <f>(O400/O399)*('16. câmbio USD-BRL'!O196/'16. câmbio USD-BRL'!O195)^-1-1</f>
        <v>-0.1236636019444679</v>
      </c>
    </row>
    <row r="401" spans="10:18" x14ac:dyDescent="0.2">
      <c r="J401" s="354">
        <v>39314</v>
      </c>
      <c r="K401">
        <v>22.477777</v>
      </c>
      <c r="L401">
        <v>24.666665999999999</v>
      </c>
      <c r="M401">
        <v>21.866667</v>
      </c>
      <c r="N401">
        <v>24.448889000000001</v>
      </c>
      <c r="O401">
        <v>18.138829999999999</v>
      </c>
      <c r="P401">
        <v>22948200</v>
      </c>
      <c r="R401" s="273">
        <f>(O401/O400)*('16. câmbio USD-BRL'!O197/'16. câmbio USD-BRL'!O196)^-1-1</f>
        <v>0.13878260509281781</v>
      </c>
    </row>
    <row r="402" spans="10:18" x14ac:dyDescent="0.2">
      <c r="J402" s="354">
        <v>39321</v>
      </c>
      <c r="K402">
        <v>24.644444</v>
      </c>
      <c r="L402">
        <v>25.971111000000001</v>
      </c>
      <c r="M402">
        <v>23.4</v>
      </c>
      <c r="N402">
        <v>25.971111000000001</v>
      </c>
      <c r="O402">
        <v>19.268174999999999</v>
      </c>
      <c r="P402">
        <v>26988300</v>
      </c>
      <c r="R402" s="273">
        <f>(O402/O401)*('16. câmbio USD-BRL'!O198/'16. câmbio USD-BRL'!O197)^-1-1</f>
        <v>6.6968635509289332E-2</v>
      </c>
    </row>
    <row r="403" spans="10:18" x14ac:dyDescent="0.2">
      <c r="J403" s="354">
        <v>39328</v>
      </c>
      <c r="K403">
        <v>25.971111000000001</v>
      </c>
      <c r="L403">
        <v>26.311111</v>
      </c>
      <c r="M403">
        <v>25.333331999999999</v>
      </c>
      <c r="N403">
        <v>25.333331999999999</v>
      </c>
      <c r="O403">
        <v>18.795002</v>
      </c>
      <c r="P403">
        <v>13398750</v>
      </c>
      <c r="R403" s="273">
        <f>(O403/O402)*('16. câmbio USD-BRL'!O199/'16. câmbio USD-BRL'!O198)^-1-1</f>
        <v>7.0940029393948834E-3</v>
      </c>
    </row>
    <row r="404" spans="10:18" x14ac:dyDescent="0.2">
      <c r="J404" s="354">
        <v>39335</v>
      </c>
      <c r="K404">
        <v>24.777777</v>
      </c>
      <c r="L404">
        <v>25.711110999999999</v>
      </c>
      <c r="M404">
        <v>24.426666000000001</v>
      </c>
      <c r="N404">
        <v>24.933332</v>
      </c>
      <c r="O404">
        <v>18.498239999999999</v>
      </c>
      <c r="P404">
        <v>24117300</v>
      </c>
      <c r="R404" s="273">
        <f>(O404/O403)*('16. câmbio USD-BRL'!O200/'16. câmbio USD-BRL'!O199)^-1-1</f>
        <v>-9.8008274449010724E-3</v>
      </c>
    </row>
    <row r="405" spans="10:18" x14ac:dyDescent="0.2">
      <c r="J405" s="354">
        <v>39342</v>
      </c>
      <c r="K405">
        <v>24.657778</v>
      </c>
      <c r="L405">
        <v>26.888887</v>
      </c>
      <c r="M405">
        <v>24.553332999999999</v>
      </c>
      <c r="N405">
        <v>26.511109999999999</v>
      </c>
      <c r="O405">
        <v>19.668806</v>
      </c>
      <c r="P405">
        <v>29930400</v>
      </c>
      <c r="R405" s="273">
        <f>(O405/O404)*('16. câmbio USD-BRL'!O201/'16. câmbio USD-BRL'!O200)^-1-1</f>
        <v>8.2174976614987072E-2</v>
      </c>
    </row>
    <row r="406" spans="10:18" x14ac:dyDescent="0.2">
      <c r="J406" s="354">
        <v>39349</v>
      </c>
      <c r="K406">
        <v>26.822222</v>
      </c>
      <c r="L406">
        <v>29.044443000000001</v>
      </c>
      <c r="M406">
        <v>26.588888000000001</v>
      </c>
      <c r="N406">
        <v>28.444445000000002</v>
      </c>
      <c r="O406">
        <v>21.103155000000001</v>
      </c>
      <c r="P406">
        <v>26404200</v>
      </c>
      <c r="R406" s="273">
        <f>(O406/O405)*('16. câmbio USD-BRL'!O202/'16. câmbio USD-BRL'!O201)^-1-1</f>
        <v>8.6380507010402674E-2</v>
      </c>
    </row>
    <row r="407" spans="10:18" x14ac:dyDescent="0.2">
      <c r="J407" s="354">
        <v>39356</v>
      </c>
      <c r="K407">
        <v>28.766666000000001</v>
      </c>
      <c r="L407">
        <v>31.111111000000001</v>
      </c>
      <c r="M407">
        <v>28.051110999999999</v>
      </c>
      <c r="N407">
        <v>30.666665999999999</v>
      </c>
      <c r="O407">
        <v>22.751846</v>
      </c>
      <c r="P407">
        <v>21204450</v>
      </c>
      <c r="R407" s="273">
        <f>(O407/O406)*('16. câmbio USD-BRL'!O203/'16. câmbio USD-BRL'!O202)^-1-1</f>
        <v>9.5447013685855175E-2</v>
      </c>
    </row>
    <row r="408" spans="10:18" x14ac:dyDescent="0.2">
      <c r="J408" s="354">
        <v>39363</v>
      </c>
      <c r="K408">
        <v>30.442222999999998</v>
      </c>
      <c r="L408">
        <v>30.995556000000001</v>
      </c>
      <c r="M408">
        <v>29.224443000000001</v>
      </c>
      <c r="N408">
        <v>30.033332999999999</v>
      </c>
      <c r="O408">
        <v>22.281973000000001</v>
      </c>
      <c r="P408">
        <v>19107450</v>
      </c>
      <c r="R408" s="273">
        <f>(O408/O407)*('16. câmbio USD-BRL'!O204/'16. câmbio USD-BRL'!O203)^-1-1</f>
        <v>-1.7549607549251722E-2</v>
      </c>
    </row>
    <row r="409" spans="10:18" x14ac:dyDescent="0.2">
      <c r="J409" s="354">
        <v>39370</v>
      </c>
      <c r="K409">
        <v>30.777777</v>
      </c>
      <c r="L409">
        <v>30.777777</v>
      </c>
      <c r="M409">
        <v>28.666665999999999</v>
      </c>
      <c r="N409">
        <v>28.666665999999999</v>
      </c>
      <c r="O409">
        <v>21.26803</v>
      </c>
      <c r="P409">
        <v>29910150</v>
      </c>
      <c r="R409" s="273">
        <f>(O409/O408)*('16. câmbio USD-BRL'!O205/'16. câmbio USD-BRL'!O204)^-1-1</f>
        <v>-4.0813903019983555E-2</v>
      </c>
    </row>
    <row r="410" spans="10:18" x14ac:dyDescent="0.2">
      <c r="J410" s="354">
        <v>39377</v>
      </c>
      <c r="K410">
        <v>28.42</v>
      </c>
      <c r="L410">
        <v>30.219999000000001</v>
      </c>
      <c r="M410">
        <v>28.059999000000001</v>
      </c>
      <c r="N410">
        <v>30.111111000000001</v>
      </c>
      <c r="O410">
        <v>22.339673999999999</v>
      </c>
      <c r="P410">
        <v>20360250</v>
      </c>
      <c r="R410" s="273">
        <f>(O410/O409)*('16. câmbio USD-BRL'!O206/'16. câmbio USD-BRL'!O205)^-1-1</f>
        <v>6.1293896838114925E-2</v>
      </c>
    </row>
    <row r="411" spans="10:18" x14ac:dyDescent="0.2">
      <c r="J411" s="354">
        <v>39384</v>
      </c>
      <c r="K411">
        <v>30.268888</v>
      </c>
      <c r="L411">
        <v>30.648887999999999</v>
      </c>
      <c r="M411">
        <v>29.777777</v>
      </c>
      <c r="N411">
        <v>30.111111000000001</v>
      </c>
      <c r="O411">
        <v>22.339673999999999</v>
      </c>
      <c r="P411">
        <v>19716750</v>
      </c>
      <c r="R411" s="273">
        <f>(O411/O410)*('16. câmbio USD-BRL'!O207/'16. câmbio USD-BRL'!O206)^-1-1</f>
        <v>1.40772532188842E-2</v>
      </c>
    </row>
    <row r="412" spans="10:18" x14ac:dyDescent="0.2">
      <c r="J412" s="354">
        <v>39391</v>
      </c>
      <c r="K412">
        <v>29.555554999999998</v>
      </c>
      <c r="L412">
        <v>30.6</v>
      </c>
      <c r="M412">
        <v>28.777777</v>
      </c>
      <c r="N412">
        <v>29.155556000000001</v>
      </c>
      <c r="O412">
        <v>21.630738999999998</v>
      </c>
      <c r="P412">
        <v>26731350</v>
      </c>
      <c r="R412" s="273">
        <f>(O412/O411)*('16. câmbio USD-BRL'!O208/'16. câmbio USD-BRL'!O207)^-1-1</f>
        <v>-3.1623518569520281E-2</v>
      </c>
    </row>
    <row r="413" spans="10:18" x14ac:dyDescent="0.2">
      <c r="J413" s="354">
        <v>39398</v>
      </c>
      <c r="K413">
        <v>28.940000999999999</v>
      </c>
      <c r="L413">
        <v>29.077777999999999</v>
      </c>
      <c r="M413">
        <v>27.644444</v>
      </c>
      <c r="N413">
        <v>28.555554999999998</v>
      </c>
      <c r="O413">
        <v>21.185593000000001</v>
      </c>
      <c r="P413">
        <v>19876050</v>
      </c>
      <c r="R413" s="273">
        <f>(O413/O412)*('16. câmbio USD-BRL'!O209/'16. câmbio USD-BRL'!O208)^-1-1</f>
        <v>-1.7317401054652737E-2</v>
      </c>
    </row>
    <row r="414" spans="10:18" x14ac:dyDescent="0.2">
      <c r="J414" s="354">
        <v>39405</v>
      </c>
      <c r="K414">
        <v>28.773333000000001</v>
      </c>
      <c r="L414">
        <v>28.877776999999998</v>
      </c>
      <c r="M414">
        <v>27.266666000000001</v>
      </c>
      <c r="N414">
        <v>28.222221000000001</v>
      </c>
      <c r="O414">
        <v>20.938293000000002</v>
      </c>
      <c r="P414">
        <v>13355100</v>
      </c>
      <c r="R414" s="273">
        <f>(O414/O413)*('16. câmbio USD-BRL'!O210/'16. câmbio USD-BRL'!O209)^-1-1</f>
        <v>-4.2463742194426279E-2</v>
      </c>
    </row>
    <row r="415" spans="10:18" x14ac:dyDescent="0.2">
      <c r="J415" s="354">
        <v>39412</v>
      </c>
      <c r="K415">
        <v>27.875554999999999</v>
      </c>
      <c r="L415">
        <v>30.4</v>
      </c>
      <c r="M415">
        <v>26.168887999999999</v>
      </c>
      <c r="N415">
        <v>30.299999</v>
      </c>
      <c r="O415">
        <v>22.479811000000002</v>
      </c>
      <c r="P415">
        <v>25366350</v>
      </c>
      <c r="R415" s="273">
        <f>(O415/O414)*('16. câmbio USD-BRL'!O211/'16. câmbio USD-BRL'!O210)^-1-1</f>
        <v>8.6680251438962852E-2</v>
      </c>
    </row>
    <row r="416" spans="10:18" x14ac:dyDescent="0.2">
      <c r="J416" s="354">
        <v>39419</v>
      </c>
      <c r="K416">
        <v>30.4</v>
      </c>
      <c r="L416">
        <v>30.516666000000001</v>
      </c>
      <c r="M416">
        <v>29.17</v>
      </c>
      <c r="N416">
        <v>29.9</v>
      </c>
      <c r="O416">
        <v>22.183046000000001</v>
      </c>
      <c r="P416">
        <v>23299800</v>
      </c>
      <c r="R416" s="273">
        <f>(O416/O415)*('16. câmbio USD-BRL'!O212/'16. câmbio USD-BRL'!O211)^-1-1</f>
        <v>-4.1168199591397059E-3</v>
      </c>
    </row>
    <row r="417" spans="10:18" x14ac:dyDescent="0.2">
      <c r="J417" s="354">
        <v>39426</v>
      </c>
      <c r="K417">
        <v>30.059999000000001</v>
      </c>
      <c r="L417">
        <v>30.48</v>
      </c>
      <c r="M417">
        <v>27.1</v>
      </c>
      <c r="N417">
        <v>27.623332999999999</v>
      </c>
      <c r="O417">
        <v>20.493970999999998</v>
      </c>
      <c r="P417">
        <v>33168000</v>
      </c>
      <c r="R417" s="273">
        <f>(O417/O416)*('16. câmbio USD-BRL'!O213/'16. câmbio USD-BRL'!O212)^-1-1</f>
        <v>-9.3806103241581118E-2</v>
      </c>
    </row>
    <row r="418" spans="10:18" x14ac:dyDescent="0.2">
      <c r="J418" s="354">
        <v>39433</v>
      </c>
      <c r="K418">
        <v>27.266666000000001</v>
      </c>
      <c r="L418">
        <v>27.450001</v>
      </c>
      <c r="M418">
        <v>24.83</v>
      </c>
      <c r="N418">
        <v>25.833331999999999</v>
      </c>
      <c r="O418">
        <v>19.165955</v>
      </c>
      <c r="P418">
        <v>34438800</v>
      </c>
      <c r="R418" s="273">
        <f>(O418/O417)*('16. câmbio USD-BRL'!O214/'16. câmbio USD-BRL'!O213)^-1-1</f>
        <v>-6.2343813046111585E-2</v>
      </c>
    </row>
    <row r="419" spans="10:18" x14ac:dyDescent="0.2">
      <c r="J419" s="354">
        <v>39440</v>
      </c>
      <c r="K419">
        <v>25.833331999999999</v>
      </c>
      <c r="L419">
        <v>27.583331999999999</v>
      </c>
      <c r="M419">
        <v>25.833331999999999</v>
      </c>
      <c r="N419">
        <v>27.166665999999999</v>
      </c>
      <c r="O419">
        <v>20.155169000000001</v>
      </c>
      <c r="P419">
        <v>10454700</v>
      </c>
      <c r="R419" s="273">
        <f>(O419/O418)*('16. câmbio USD-BRL'!O215/'16. câmbio USD-BRL'!O214)^-1-1</f>
        <v>6.4703947811303175E-2</v>
      </c>
    </row>
    <row r="420" spans="10:18" x14ac:dyDescent="0.2">
      <c r="J420" s="354">
        <v>39447</v>
      </c>
      <c r="K420">
        <v>27.166665999999999</v>
      </c>
      <c r="L420">
        <v>27.266666000000001</v>
      </c>
      <c r="M420">
        <v>26.049999</v>
      </c>
      <c r="N420">
        <v>26.166665999999999</v>
      </c>
      <c r="O420">
        <v>19.518463000000001</v>
      </c>
      <c r="P420">
        <v>9328200</v>
      </c>
      <c r="R420" s="273">
        <f>(O420/O419)*('16. câmbio USD-BRL'!O216/'16. câmbio USD-BRL'!O215)^-1-1</f>
        <v>-2.6024001972291932E-2</v>
      </c>
    </row>
    <row r="421" spans="10:18" x14ac:dyDescent="0.2">
      <c r="J421" s="354">
        <v>39454</v>
      </c>
      <c r="K421">
        <v>26.036667000000001</v>
      </c>
      <c r="L421">
        <v>26.966664999999999</v>
      </c>
      <c r="M421">
        <v>24.9</v>
      </c>
      <c r="N421">
        <v>25.356667000000002</v>
      </c>
      <c r="O421">
        <v>18.914262999999998</v>
      </c>
      <c r="P421">
        <v>24642600</v>
      </c>
      <c r="R421" s="273">
        <f>(O421/O420)*('16. câmbio USD-BRL'!O217/'16. câmbio USD-BRL'!O216)^-1-1</f>
        <v>-2.4515733369627757E-2</v>
      </c>
    </row>
    <row r="422" spans="10:18" x14ac:dyDescent="0.2">
      <c r="J422" s="354">
        <v>39461</v>
      </c>
      <c r="K422">
        <v>25.666665999999999</v>
      </c>
      <c r="L422">
        <v>26.933332</v>
      </c>
      <c r="M422">
        <v>25.200001</v>
      </c>
      <c r="N422">
        <v>26.933332</v>
      </c>
      <c r="O422">
        <v>20.090343000000001</v>
      </c>
      <c r="P422">
        <v>31486800</v>
      </c>
      <c r="R422" s="273">
        <f>(O422/O421)*('16. câmbio USD-BRL'!O218/'16. câmbio USD-BRL'!O217)^-1-1</f>
        <v>3.5138783540755059E-2</v>
      </c>
    </row>
    <row r="423" spans="10:18" x14ac:dyDescent="0.2">
      <c r="J423" s="354">
        <v>39468</v>
      </c>
      <c r="K423">
        <v>25</v>
      </c>
      <c r="L423">
        <v>25.799999</v>
      </c>
      <c r="M423">
        <v>23.376664999999999</v>
      </c>
      <c r="N423">
        <v>25.333331999999999</v>
      </c>
      <c r="O423">
        <v>18.896858000000002</v>
      </c>
      <c r="P423">
        <v>31392300</v>
      </c>
      <c r="R423" s="273">
        <f>(O423/O422)*('16. câmbio USD-BRL'!O219/'16. câmbio USD-BRL'!O218)^-1-1</f>
        <v>-5.3647057435084577E-2</v>
      </c>
    </row>
    <row r="424" spans="10:18" x14ac:dyDescent="0.2">
      <c r="J424" s="354">
        <v>39475</v>
      </c>
      <c r="K424">
        <v>24.663333999999999</v>
      </c>
      <c r="L424">
        <v>29.35</v>
      </c>
      <c r="M424">
        <v>24.566666000000001</v>
      </c>
      <c r="N424">
        <v>29.316666000000001</v>
      </c>
      <c r="O424">
        <v>21.868137000000001</v>
      </c>
      <c r="P424">
        <v>32142300</v>
      </c>
      <c r="R424" s="273">
        <f>(O424/O423)*('16. câmbio USD-BRL'!O220/'16. câmbio USD-BRL'!O219)^-1-1</f>
        <v>0.18383522450706447</v>
      </c>
    </row>
    <row r="425" spans="10:18" x14ac:dyDescent="0.2">
      <c r="J425" s="354">
        <v>39482</v>
      </c>
      <c r="K425">
        <v>29.316666000000001</v>
      </c>
      <c r="L425">
        <v>31.633333</v>
      </c>
      <c r="M425">
        <v>28.216664999999999</v>
      </c>
      <c r="N425">
        <v>30.65</v>
      </c>
      <c r="O425">
        <v>22.862711000000001</v>
      </c>
      <c r="P425">
        <v>24694200</v>
      </c>
      <c r="R425" s="273">
        <f>(O425/O424)*('16. câmbio USD-BRL'!O221/'16. câmbio USD-BRL'!O220)^-1-1</f>
        <v>3.4130800092104119E-2</v>
      </c>
    </row>
    <row r="426" spans="10:18" x14ac:dyDescent="0.2">
      <c r="J426" s="354">
        <v>39489</v>
      </c>
      <c r="K426">
        <v>30.833331999999999</v>
      </c>
      <c r="L426">
        <v>31.466664999999999</v>
      </c>
      <c r="M426">
        <v>29.713332999999999</v>
      </c>
      <c r="N426">
        <v>31.133333</v>
      </c>
      <c r="O426">
        <v>23.223244000000001</v>
      </c>
      <c r="P426">
        <v>31675500</v>
      </c>
      <c r="R426" s="273">
        <f>(O426/O425)*('16. câmbio USD-BRL'!O222/'16. câmbio USD-BRL'!O221)^-1-1</f>
        <v>2.2686591243280096E-2</v>
      </c>
    </row>
    <row r="427" spans="10:18" x14ac:dyDescent="0.2">
      <c r="J427" s="354">
        <v>39496</v>
      </c>
      <c r="K427">
        <v>31.666665999999999</v>
      </c>
      <c r="L427">
        <v>35.333331999999999</v>
      </c>
      <c r="M427">
        <v>30.75</v>
      </c>
      <c r="N427">
        <v>34.903331999999999</v>
      </c>
      <c r="O427">
        <v>26.035397</v>
      </c>
      <c r="P427">
        <v>32244600</v>
      </c>
      <c r="R427" s="273">
        <f>(O427/O426)*('16. câmbio USD-BRL'!O223/'16. câmbio USD-BRL'!O222)^-1-1</f>
        <v>0.14903728228296842</v>
      </c>
    </row>
    <row r="428" spans="10:18" x14ac:dyDescent="0.2">
      <c r="J428" s="354">
        <v>39503</v>
      </c>
      <c r="K428">
        <v>34.650002000000001</v>
      </c>
      <c r="L428">
        <v>35.166663999999997</v>
      </c>
      <c r="M428">
        <v>32.666663999999997</v>
      </c>
      <c r="N428">
        <v>32.666663999999997</v>
      </c>
      <c r="O428">
        <v>24.367000999999998</v>
      </c>
      <c r="P428">
        <v>28682400</v>
      </c>
      <c r="R428" s="273">
        <f>(O428/O427)*('16. câmbio USD-BRL'!O224/'16. câmbio USD-BRL'!O223)^-1-1</f>
        <v>-4.9305646536458858E-2</v>
      </c>
    </row>
    <row r="429" spans="10:18" x14ac:dyDescent="0.2">
      <c r="J429" s="354">
        <v>39510</v>
      </c>
      <c r="K429">
        <v>32.823334000000003</v>
      </c>
      <c r="L429">
        <v>35.166663999999997</v>
      </c>
      <c r="M429">
        <v>32.599997999999999</v>
      </c>
      <c r="N429">
        <v>33.433334000000002</v>
      </c>
      <c r="O429">
        <v>24.938880999999999</v>
      </c>
      <c r="P429">
        <v>25941900</v>
      </c>
      <c r="R429" s="273">
        <f>(O429/O428)*('16. câmbio USD-BRL'!O225/'16. câmbio USD-BRL'!O224)^-1-1</f>
        <v>1.8493783207559122E-2</v>
      </c>
    </row>
    <row r="430" spans="10:18" x14ac:dyDescent="0.2">
      <c r="J430" s="354">
        <v>39517</v>
      </c>
      <c r="K430">
        <v>33.516666000000001</v>
      </c>
      <c r="L430">
        <v>34.533332999999999</v>
      </c>
      <c r="M430">
        <v>31.75</v>
      </c>
      <c r="N430">
        <v>34.533332999999999</v>
      </c>
      <c r="O430">
        <v>25.759398999999998</v>
      </c>
      <c r="P430">
        <v>16421700</v>
      </c>
      <c r="R430" s="273">
        <f>(O430/O429)*('16. câmbio USD-BRL'!O226/'16. câmbio USD-BRL'!O225)^-1-1</f>
        <v>2.037857494533557E-2</v>
      </c>
    </row>
    <row r="431" spans="10:18" x14ac:dyDescent="0.2">
      <c r="J431" s="354">
        <v>39524</v>
      </c>
      <c r="K431">
        <v>33.799999</v>
      </c>
      <c r="L431">
        <v>35.366664999999998</v>
      </c>
      <c r="M431">
        <v>31.870000999999998</v>
      </c>
      <c r="N431">
        <v>33.366664999999998</v>
      </c>
      <c r="O431">
        <v>24.889144999999999</v>
      </c>
      <c r="P431">
        <v>18133200</v>
      </c>
      <c r="R431" s="273">
        <f>(O431/O430)*('16. câmbio USD-BRL'!O227/'16. câmbio USD-BRL'!O226)^-1-1</f>
        <v>-5.0740951609481888E-2</v>
      </c>
    </row>
    <row r="432" spans="10:18" x14ac:dyDescent="0.2">
      <c r="J432" s="354">
        <v>39531</v>
      </c>
      <c r="K432">
        <v>33.650002000000001</v>
      </c>
      <c r="L432">
        <v>34.303333000000002</v>
      </c>
      <c r="M432">
        <v>32.433334000000002</v>
      </c>
      <c r="N432">
        <v>33.266666000000001</v>
      </c>
      <c r="O432">
        <v>24.814561999999999</v>
      </c>
      <c r="P432">
        <v>18803100</v>
      </c>
      <c r="R432" s="273">
        <f>(O432/O431)*('16. câmbio USD-BRL'!O228/'16. câmbio USD-BRL'!O227)^-1-1</f>
        <v>-2.8818577854120564E-3</v>
      </c>
    </row>
    <row r="433" spans="10:18" x14ac:dyDescent="0.2">
      <c r="J433" s="354">
        <v>39538</v>
      </c>
      <c r="K433">
        <v>33.266666000000001</v>
      </c>
      <c r="L433">
        <v>35</v>
      </c>
      <c r="M433">
        <v>32.606667000000002</v>
      </c>
      <c r="N433">
        <v>34.950001</v>
      </c>
      <c r="O433">
        <v>26.232958</v>
      </c>
      <c r="P433">
        <v>19042800</v>
      </c>
      <c r="R433" s="273">
        <f>(O433/O432)*('16. câmbio USD-BRL'!O229/'16. câmbio USD-BRL'!O228)^-1-1</f>
        <v>7.7751027518861093E-2</v>
      </c>
    </row>
    <row r="434" spans="10:18" x14ac:dyDescent="0.2">
      <c r="J434" s="354">
        <v>39545</v>
      </c>
      <c r="K434">
        <v>34.950001</v>
      </c>
      <c r="L434">
        <v>36.566665999999998</v>
      </c>
      <c r="M434">
        <v>34.869999</v>
      </c>
      <c r="N434">
        <v>35</v>
      </c>
      <c r="O434">
        <v>26.270489000000001</v>
      </c>
      <c r="P434">
        <v>9050100</v>
      </c>
      <c r="R434" s="273">
        <f>(O434/O433)*('16. câmbio USD-BRL'!O230/'16. câmbio USD-BRL'!O229)^-1-1</f>
        <v>1.5249269087242778E-2</v>
      </c>
    </row>
    <row r="435" spans="10:18" x14ac:dyDescent="0.2">
      <c r="J435" s="354">
        <v>39552</v>
      </c>
      <c r="K435">
        <v>34.776665000000001</v>
      </c>
      <c r="L435">
        <v>37.5</v>
      </c>
      <c r="M435">
        <v>34.233333999999999</v>
      </c>
      <c r="N435">
        <v>35.933334000000002</v>
      </c>
      <c r="O435">
        <v>26.971029000000001</v>
      </c>
      <c r="P435">
        <v>24339000</v>
      </c>
      <c r="R435" s="273">
        <f>(O435/O434)*('16. câmbio USD-BRL'!O231/'16. câmbio USD-BRL'!O230)^-1-1</f>
        <v>3.952680444208001E-2</v>
      </c>
    </row>
    <row r="436" spans="10:18" x14ac:dyDescent="0.2">
      <c r="J436" s="354">
        <v>39559</v>
      </c>
      <c r="K436">
        <v>35.933334000000002</v>
      </c>
      <c r="L436">
        <v>37.983333999999999</v>
      </c>
      <c r="M436">
        <v>35.933334000000002</v>
      </c>
      <c r="N436">
        <v>37.983333999999999</v>
      </c>
      <c r="O436">
        <v>28.509727000000002</v>
      </c>
      <c r="P436">
        <v>14352900</v>
      </c>
      <c r="R436" s="273">
        <f>(O436/O435)*('16. câmbio USD-BRL'!O232/'16. câmbio USD-BRL'!O231)^-1-1</f>
        <v>5.5460958496018842E-2</v>
      </c>
    </row>
    <row r="437" spans="10:18" x14ac:dyDescent="0.2">
      <c r="J437" s="354">
        <v>39566</v>
      </c>
      <c r="K437">
        <v>37.983333999999999</v>
      </c>
      <c r="L437">
        <v>40.580002</v>
      </c>
      <c r="M437">
        <v>36.626666999999998</v>
      </c>
      <c r="N437">
        <v>40.580002</v>
      </c>
      <c r="O437">
        <v>30.458753999999999</v>
      </c>
      <c r="P437">
        <v>17457000</v>
      </c>
      <c r="R437" s="273">
        <f>(O437/O436)*('16. câmbio USD-BRL'!O233/'16. câmbio USD-BRL'!O232)^-1-1</f>
        <v>8.1697798107570163E-2</v>
      </c>
    </row>
    <row r="438" spans="10:18" x14ac:dyDescent="0.2">
      <c r="J438" s="354">
        <v>39573</v>
      </c>
      <c r="K438">
        <v>40.5</v>
      </c>
      <c r="L438">
        <v>42.974997999999999</v>
      </c>
      <c r="M438">
        <v>39.93</v>
      </c>
      <c r="N438">
        <v>42.950001</v>
      </c>
      <c r="O438">
        <v>32.237633000000002</v>
      </c>
      <c r="P438">
        <v>26481200</v>
      </c>
      <c r="R438" s="273">
        <f>(O438/O437)*('16. câmbio USD-BRL'!O234/'16. câmbio USD-BRL'!O233)^-1-1</f>
        <v>3.1401206073453647E-2</v>
      </c>
    </row>
    <row r="439" spans="10:18" x14ac:dyDescent="0.2">
      <c r="J439" s="354">
        <v>39580</v>
      </c>
      <c r="K439">
        <v>42.950001</v>
      </c>
      <c r="L439">
        <v>46.669998</v>
      </c>
      <c r="M439">
        <v>42.560001</v>
      </c>
      <c r="N439">
        <v>46.599997999999999</v>
      </c>
      <c r="O439">
        <v>34.977268000000002</v>
      </c>
      <c r="P439">
        <v>12377800</v>
      </c>
      <c r="R439" s="273">
        <f>(O439/O438)*('16. câmbio USD-BRL'!O235/'16. câmbio USD-BRL'!O234)^-1-1</f>
        <v>0.11542422826246423</v>
      </c>
    </row>
    <row r="440" spans="10:18" x14ac:dyDescent="0.2">
      <c r="J440" s="354">
        <v>39587</v>
      </c>
      <c r="K440">
        <v>46.700001</v>
      </c>
      <c r="L440">
        <v>47.900002000000001</v>
      </c>
      <c r="M440">
        <v>44.005001</v>
      </c>
      <c r="N440">
        <v>44.349997999999999</v>
      </c>
      <c r="O440">
        <v>33.288451999999999</v>
      </c>
      <c r="P440">
        <v>15894000</v>
      </c>
      <c r="R440" s="273">
        <f>(O440/O439)*('16. câmbio USD-BRL'!O236/'16. câmbio USD-BRL'!O235)^-1-1</f>
        <v>-5.4339624342197523E-2</v>
      </c>
    </row>
    <row r="441" spans="10:18" x14ac:dyDescent="0.2">
      <c r="J441" s="354">
        <v>39594</v>
      </c>
      <c r="K441">
        <v>44.349997999999999</v>
      </c>
      <c r="L441">
        <v>44.75</v>
      </c>
      <c r="M441">
        <v>43.075001</v>
      </c>
      <c r="N441">
        <v>44.75</v>
      </c>
      <c r="O441">
        <v>33.588692000000002</v>
      </c>
      <c r="P441">
        <v>11431600</v>
      </c>
      <c r="R441" s="273">
        <f>(O441/O440)*('16. câmbio USD-BRL'!O237/'16. câmbio USD-BRL'!O236)^-1-1</f>
        <v>2.612136678529775E-2</v>
      </c>
    </row>
    <row r="442" spans="10:18" x14ac:dyDescent="0.2">
      <c r="J442" s="354">
        <v>39601</v>
      </c>
      <c r="K442">
        <v>44.445</v>
      </c>
      <c r="L442">
        <v>44.555</v>
      </c>
      <c r="M442">
        <v>41.255001</v>
      </c>
      <c r="N442">
        <v>42.974997999999999</v>
      </c>
      <c r="O442">
        <v>32.256405000000001</v>
      </c>
      <c r="P442">
        <v>21142000</v>
      </c>
      <c r="R442" s="273">
        <f>(O442/O441)*('16. câmbio USD-BRL'!O238/'16. câmbio USD-BRL'!O237)^-1-1</f>
        <v>-3.9723932851602695E-2</v>
      </c>
    </row>
    <row r="443" spans="10:18" x14ac:dyDescent="0.2">
      <c r="J443" s="354">
        <v>39608</v>
      </c>
      <c r="K443">
        <v>43.700001</v>
      </c>
      <c r="L443">
        <v>44.139999000000003</v>
      </c>
      <c r="M443">
        <v>41.055</v>
      </c>
      <c r="N443">
        <v>41.665000999999997</v>
      </c>
      <c r="O443">
        <v>31.273133999999999</v>
      </c>
      <c r="P443">
        <v>7820400</v>
      </c>
      <c r="R443" s="273">
        <f>(O443/O442)*('16. câmbio USD-BRL'!O239/'16. câmbio USD-BRL'!O238)^-1-1</f>
        <v>-3.2986025213915804E-2</v>
      </c>
    </row>
    <row r="444" spans="10:18" x14ac:dyDescent="0.2">
      <c r="J444" s="354">
        <v>39615</v>
      </c>
      <c r="K444">
        <v>41.799999</v>
      </c>
      <c r="L444">
        <v>43.700001</v>
      </c>
      <c r="M444">
        <v>40.384998000000003</v>
      </c>
      <c r="N444">
        <v>40.384998000000003</v>
      </c>
      <c r="O444">
        <v>30.312387000000001</v>
      </c>
      <c r="P444">
        <v>17087200</v>
      </c>
      <c r="R444" s="273">
        <f>(O444/O443)*('16. câmbio USD-BRL'!O240/'16. câmbio USD-BRL'!O239)^-1-1</f>
        <v>-1.3992737316463333E-2</v>
      </c>
    </row>
    <row r="445" spans="10:18" x14ac:dyDescent="0.2">
      <c r="J445" s="354">
        <v>39622</v>
      </c>
      <c r="K445">
        <v>41</v>
      </c>
      <c r="L445">
        <v>41.474997999999999</v>
      </c>
      <c r="M445">
        <v>38.240001999999997</v>
      </c>
      <c r="N445">
        <v>39.849997999999999</v>
      </c>
      <c r="O445">
        <v>29.910820000000001</v>
      </c>
      <c r="P445">
        <v>19381000</v>
      </c>
      <c r="R445" s="273">
        <f>(O445/O444)*('16. câmbio USD-BRL'!O241/'16. câmbio USD-BRL'!O240)^-1-1</f>
        <v>-1.4357023568974725E-2</v>
      </c>
    </row>
    <row r="446" spans="10:18" x14ac:dyDescent="0.2">
      <c r="J446" s="354">
        <v>39629</v>
      </c>
      <c r="K446">
        <v>39.900002000000001</v>
      </c>
      <c r="L446">
        <v>40.400002000000001</v>
      </c>
      <c r="M446">
        <v>33</v>
      </c>
      <c r="N446">
        <v>33.5</v>
      </c>
      <c r="O446">
        <v>25.144604000000001</v>
      </c>
      <c r="P446">
        <v>20960800</v>
      </c>
      <c r="R446" s="273">
        <f>(O446/O445)*('16. câmbio USD-BRL'!O242/'16. câmbio USD-BRL'!O241)^-1-1</f>
        <v>-0.15987230566740551</v>
      </c>
    </row>
    <row r="447" spans="10:18" x14ac:dyDescent="0.2">
      <c r="J447" s="354">
        <v>39636</v>
      </c>
      <c r="K447">
        <v>33.5</v>
      </c>
      <c r="L447">
        <v>37.775002000000001</v>
      </c>
      <c r="M447">
        <v>33.299999</v>
      </c>
      <c r="N447">
        <v>36.945</v>
      </c>
      <c r="O447">
        <v>27.730371000000002</v>
      </c>
      <c r="P447">
        <v>7723000</v>
      </c>
      <c r="R447" s="273">
        <f>(O447/O446)*('16. câmbio USD-BRL'!O243/'16. câmbio USD-BRL'!O242)^-1-1</f>
        <v>0.10318017433937765</v>
      </c>
    </row>
    <row r="448" spans="10:18" x14ac:dyDescent="0.2">
      <c r="J448" s="354">
        <v>39643</v>
      </c>
      <c r="K448">
        <v>36.945</v>
      </c>
      <c r="L448">
        <v>38</v>
      </c>
      <c r="M448">
        <v>35.150002000000001</v>
      </c>
      <c r="N448">
        <v>35.490001999999997</v>
      </c>
      <c r="O448">
        <v>26.638269000000001</v>
      </c>
      <c r="P448">
        <v>14296000</v>
      </c>
      <c r="R448" s="273">
        <f>(O448/O447)*('16. câmbio USD-BRL'!O244/'16. câmbio USD-BRL'!O243)^-1-1</f>
        <v>-3.1826110527800267E-2</v>
      </c>
    </row>
    <row r="449" spans="10:18" x14ac:dyDescent="0.2">
      <c r="J449" s="354">
        <v>39650</v>
      </c>
      <c r="K449">
        <v>35.904998999999997</v>
      </c>
      <c r="L449">
        <v>36.599997999999999</v>
      </c>
      <c r="M449">
        <v>32.525002000000001</v>
      </c>
      <c r="N449">
        <v>32.525002000000001</v>
      </c>
      <c r="O449">
        <v>24.412785</v>
      </c>
      <c r="P449">
        <v>18570400</v>
      </c>
      <c r="R449" s="273">
        <f>(O449/O448)*('16. câmbio USD-BRL'!O245/'16. câmbio USD-BRL'!O244)^-1-1</f>
        <v>-7.1980880408834436E-2</v>
      </c>
    </row>
    <row r="450" spans="10:18" x14ac:dyDescent="0.2">
      <c r="J450" s="354">
        <v>39657</v>
      </c>
      <c r="K450">
        <v>31.85</v>
      </c>
      <c r="L450">
        <v>35.755001</v>
      </c>
      <c r="M450">
        <v>31.285</v>
      </c>
      <c r="N450">
        <v>32.625</v>
      </c>
      <c r="O450">
        <v>24.487848</v>
      </c>
      <c r="P450">
        <v>25958200</v>
      </c>
      <c r="R450" s="273">
        <f>(O450/O449)*('16. câmbio USD-BRL'!O246/'16. câmbio USD-BRL'!O245)^-1-1</f>
        <v>7.8274325509246623E-3</v>
      </c>
    </row>
    <row r="451" spans="10:18" x14ac:dyDescent="0.2">
      <c r="J451" s="354">
        <v>39664</v>
      </c>
      <c r="K451">
        <v>32.294998</v>
      </c>
      <c r="L451">
        <v>32.294998</v>
      </c>
      <c r="M451">
        <v>29.674999</v>
      </c>
      <c r="N451">
        <v>30.045000000000002</v>
      </c>
      <c r="O451">
        <v>22.551331999999999</v>
      </c>
      <c r="P451">
        <v>19358800</v>
      </c>
      <c r="R451" s="273" t="e">
        <f>(O451/O450)*('16. câmbio USD-BRL'!O247/'16. câmbio USD-BRL'!O246)^-1-1</f>
        <v>#VALUE!</v>
      </c>
    </row>
    <row r="452" spans="10:18" x14ac:dyDescent="0.2">
      <c r="J452" s="354">
        <v>39671</v>
      </c>
      <c r="K452">
        <v>30.405000999999999</v>
      </c>
      <c r="L452">
        <v>30.495000999999998</v>
      </c>
      <c r="M452">
        <v>26.555</v>
      </c>
      <c r="N452">
        <v>26.950001</v>
      </c>
      <c r="O452">
        <v>20.228276999999999</v>
      </c>
      <c r="P452">
        <v>25329400</v>
      </c>
      <c r="R452" s="273" t="e">
        <f>(O452/O451)*('16. câmbio USD-BRL'!O248/'16. câmbio USD-BRL'!O247)^-1-1</f>
        <v>#VALUE!</v>
      </c>
    </row>
    <row r="453" spans="10:18" x14ac:dyDescent="0.2">
      <c r="J453" s="354">
        <v>39678</v>
      </c>
      <c r="K453">
        <v>27.049999</v>
      </c>
      <c r="L453">
        <v>28.905000999999999</v>
      </c>
      <c r="M453">
        <v>26.055</v>
      </c>
      <c r="N453">
        <v>28</v>
      </c>
      <c r="O453">
        <v>21.016392</v>
      </c>
      <c r="P453">
        <v>15235400</v>
      </c>
      <c r="R453" s="273" t="e">
        <f>(O453/O452)*('16. câmbio USD-BRL'!O249/'16. câmbio USD-BRL'!O248)^-1-1</f>
        <v>#VALUE!</v>
      </c>
    </row>
    <row r="454" spans="10:18" x14ac:dyDescent="0.2">
      <c r="J454" s="354">
        <v>39685</v>
      </c>
      <c r="K454">
        <v>28</v>
      </c>
      <c r="L454">
        <v>29.075001</v>
      </c>
      <c r="M454">
        <v>26.75</v>
      </c>
      <c r="N454">
        <v>28.6</v>
      </c>
      <c r="O454">
        <v>21.782589000000002</v>
      </c>
      <c r="P454">
        <v>18106200</v>
      </c>
      <c r="R454" s="273" t="e">
        <f>(O454/O453)*('16. câmbio USD-BRL'!O250/'16. câmbio USD-BRL'!O249)^-1-1</f>
        <v>#VALUE!</v>
      </c>
    </row>
    <row r="455" spans="10:18" x14ac:dyDescent="0.2">
      <c r="J455" s="354">
        <v>39692</v>
      </c>
      <c r="K455">
        <v>28.5</v>
      </c>
      <c r="L455">
        <v>28.674999</v>
      </c>
      <c r="M455">
        <v>23.135000000000002</v>
      </c>
      <c r="N455">
        <v>24</v>
      </c>
      <c r="O455">
        <v>18.279097</v>
      </c>
      <c r="P455">
        <v>25703600</v>
      </c>
      <c r="R455" s="273">
        <f>(O455/O454)*('16. câmbio USD-BRL'!O251/'16. câmbio USD-BRL'!O250)^-1-1</f>
        <v>-0.20850270090183998</v>
      </c>
    </row>
    <row r="456" spans="10:18" x14ac:dyDescent="0.2">
      <c r="J456" s="354">
        <v>39699</v>
      </c>
      <c r="K456">
        <v>24.98</v>
      </c>
      <c r="L456">
        <v>25.1</v>
      </c>
      <c r="M456">
        <v>21.200001</v>
      </c>
      <c r="N456">
        <v>23</v>
      </c>
      <c r="O456">
        <v>17.517467</v>
      </c>
      <c r="P456">
        <v>33565000</v>
      </c>
      <c r="R456" s="273">
        <f>(O456/O455)*('16. câmbio USD-BRL'!O252/'16. câmbio USD-BRL'!O251)^-1-1</f>
        <v>-6.7869249306593549E-2</v>
      </c>
    </row>
    <row r="457" spans="10:18" x14ac:dyDescent="0.2">
      <c r="J457" s="354">
        <v>39706</v>
      </c>
      <c r="K457">
        <v>21.75</v>
      </c>
      <c r="L457">
        <v>23.549999</v>
      </c>
      <c r="M457">
        <v>18.079999999999998</v>
      </c>
      <c r="N457">
        <v>23.5</v>
      </c>
      <c r="O457">
        <v>17.898281000000001</v>
      </c>
      <c r="P457">
        <v>54114600</v>
      </c>
      <c r="R457" s="273">
        <f>(O457/O456)*('16. câmbio USD-BRL'!O253/'16. câmbio USD-BRL'!O252)^-1-1</f>
        <v>7.7782826404915184E-5</v>
      </c>
    </row>
    <row r="458" spans="10:18" x14ac:dyDescent="0.2">
      <c r="J458" s="354">
        <v>39713</v>
      </c>
      <c r="K458">
        <v>23.735001</v>
      </c>
      <c r="L458">
        <v>24.469999000000001</v>
      </c>
      <c r="M458">
        <v>21.605</v>
      </c>
      <c r="N458">
        <v>22.834999</v>
      </c>
      <c r="O458">
        <v>17.391794000000001</v>
      </c>
      <c r="P458">
        <v>36956000</v>
      </c>
      <c r="R458" s="273">
        <f>(O458/O457)*('16. câmbio USD-BRL'!O254/'16. câmbio USD-BRL'!O253)^-1-1</f>
        <v>-4.491736010937597E-2</v>
      </c>
    </row>
    <row r="459" spans="10:18" x14ac:dyDescent="0.2">
      <c r="J459" s="354">
        <v>39720</v>
      </c>
      <c r="K459">
        <v>21.799999</v>
      </c>
      <c r="L459">
        <v>22.065000999999999</v>
      </c>
      <c r="M459">
        <v>17.02</v>
      </c>
      <c r="N459">
        <v>17.149999999999999</v>
      </c>
      <c r="O459">
        <v>13.061939000000001</v>
      </c>
      <c r="P459">
        <v>32128800</v>
      </c>
      <c r="R459" s="273">
        <f>(O459/O458)*('16. câmbio USD-BRL'!O255/'16. câmbio USD-BRL'!O254)^-1-1</f>
        <v>-0.31373781155217295</v>
      </c>
    </row>
    <row r="460" spans="10:18" x14ac:dyDescent="0.2">
      <c r="J460" s="354">
        <v>39727</v>
      </c>
      <c r="K460">
        <v>15.05</v>
      </c>
      <c r="L460">
        <v>15.675000000000001</v>
      </c>
      <c r="M460">
        <v>11.7</v>
      </c>
      <c r="N460">
        <v>13.5</v>
      </c>
      <c r="O460">
        <v>10.28199</v>
      </c>
      <c r="P460">
        <v>43885400</v>
      </c>
      <c r="R460" s="273">
        <f>(O460/O459)*('16. câmbio USD-BRL'!O256/'16. câmbio USD-BRL'!O255)^-1-1</f>
        <v>-0.29212302676532709</v>
      </c>
    </row>
    <row r="461" spans="10:18" x14ac:dyDescent="0.2">
      <c r="J461" s="354">
        <v>39734</v>
      </c>
      <c r="K461">
        <v>14.64</v>
      </c>
      <c r="L461">
        <v>16.725000000000001</v>
      </c>
      <c r="M461">
        <v>12.2</v>
      </c>
      <c r="N461">
        <v>13.75</v>
      </c>
      <c r="O461">
        <v>10.4724</v>
      </c>
      <c r="P461">
        <v>45152800</v>
      </c>
      <c r="R461" s="273">
        <f>(O461/O460)*('16. câmbio USD-BRL'!O257/'16. câmbio USD-BRL'!O256)^-1-1</f>
        <v>0.10714986528529558</v>
      </c>
    </row>
    <row r="462" spans="10:18" x14ac:dyDescent="0.2">
      <c r="J462" s="354">
        <v>39741</v>
      </c>
      <c r="K462">
        <v>13.925000000000001</v>
      </c>
      <c r="L462">
        <v>15.35</v>
      </c>
      <c r="M462">
        <v>10.93</v>
      </c>
      <c r="N462">
        <v>11.95</v>
      </c>
      <c r="O462">
        <v>9.1014660000000003</v>
      </c>
      <c r="P462">
        <v>32859400</v>
      </c>
      <c r="R462" s="273">
        <f>(O462/O461)*('16. câmbio USD-BRL'!O258/'16. câmbio USD-BRL'!O257)^-1-1</f>
        <v>-0.21042066837608941</v>
      </c>
    </row>
    <row r="463" spans="10:18" x14ac:dyDescent="0.2">
      <c r="J463" s="354">
        <v>39748</v>
      </c>
      <c r="K463">
        <v>11.5</v>
      </c>
      <c r="L463">
        <v>15.125</v>
      </c>
      <c r="M463">
        <v>11.2</v>
      </c>
      <c r="N463">
        <v>14</v>
      </c>
      <c r="O463">
        <v>10.662807000000001</v>
      </c>
      <c r="P463">
        <v>39190200</v>
      </c>
      <c r="R463" s="273">
        <f>(O463/O462)*('16. câmbio USD-BRL'!O259/'16. câmbio USD-BRL'!O258)^-1-1</f>
        <v>0.27199864782304739</v>
      </c>
    </row>
    <row r="464" spans="10:18" x14ac:dyDescent="0.2">
      <c r="J464" s="354">
        <v>39755</v>
      </c>
      <c r="K464">
        <v>14.195</v>
      </c>
      <c r="L464">
        <v>14.725</v>
      </c>
      <c r="M464">
        <v>11.9</v>
      </c>
      <c r="N464">
        <v>12.005000000000001</v>
      </c>
      <c r="O464">
        <v>9.1433549999999997</v>
      </c>
      <c r="P464">
        <v>27888000</v>
      </c>
      <c r="R464" s="273">
        <f>(O464/O463)*('16. câmbio USD-BRL'!O260/'16. câmbio USD-BRL'!O259)^-1-1</f>
        <v>-0.16188435973968152</v>
      </c>
    </row>
    <row r="465" spans="10:18" x14ac:dyDescent="0.2">
      <c r="J465" s="354">
        <v>39762</v>
      </c>
      <c r="K465">
        <v>12.855</v>
      </c>
      <c r="L465">
        <v>12.94</v>
      </c>
      <c r="M465">
        <v>10.4</v>
      </c>
      <c r="N465">
        <v>10.9</v>
      </c>
      <c r="O465">
        <v>8.3017570000000003</v>
      </c>
      <c r="P465">
        <v>43535800</v>
      </c>
      <c r="R465" s="273">
        <f>(O465/O464)*('16. câmbio USD-BRL'!O261/'16. câmbio USD-BRL'!O260)^-1-1</f>
        <v>-0.1250761518782858</v>
      </c>
    </row>
    <row r="466" spans="10:18" x14ac:dyDescent="0.2">
      <c r="J466" s="354">
        <v>39769</v>
      </c>
      <c r="K466">
        <v>10.45</v>
      </c>
      <c r="L466">
        <v>11.21</v>
      </c>
      <c r="M466">
        <v>9.3249999999999993</v>
      </c>
      <c r="N466">
        <v>9.5749999999999993</v>
      </c>
      <c r="O466">
        <v>7.2925990000000001</v>
      </c>
      <c r="P466">
        <v>25853800</v>
      </c>
      <c r="R466" s="273">
        <f>(O466/O465)*('16. câmbio USD-BRL'!O262/'16. câmbio USD-BRL'!O261)^-1-1</f>
        <v>-0.18675774619988583</v>
      </c>
    </row>
    <row r="467" spans="10:18" x14ac:dyDescent="0.2">
      <c r="J467" s="354">
        <v>39776</v>
      </c>
      <c r="K467">
        <v>9.5749999999999993</v>
      </c>
      <c r="L467">
        <v>11.925000000000001</v>
      </c>
      <c r="M467">
        <v>9.5749999999999993</v>
      </c>
      <c r="N467">
        <v>11.685</v>
      </c>
      <c r="O467">
        <v>8.8996359999999992</v>
      </c>
      <c r="P467">
        <v>19895600</v>
      </c>
      <c r="R467" s="273">
        <f>(O467/O466)*('16. câmbio USD-BRL'!O263/'16. câmbio USD-BRL'!O262)^-1-1</f>
        <v>0.30056230483434221</v>
      </c>
    </row>
    <row r="468" spans="10:18" x14ac:dyDescent="0.2">
      <c r="J468" s="354">
        <v>39783</v>
      </c>
      <c r="K468">
        <v>11.205</v>
      </c>
      <c r="L468">
        <v>11.664999999999999</v>
      </c>
      <c r="M468">
        <v>10.71</v>
      </c>
      <c r="N468">
        <v>11.1</v>
      </c>
      <c r="O468">
        <v>8.4540819999999997</v>
      </c>
      <c r="P468">
        <v>28733400</v>
      </c>
      <c r="R468" s="273">
        <f>(O468/O467)*('16. câmbio USD-BRL'!O264/'16. câmbio USD-BRL'!O263)^-1-1</f>
        <v>-0.16456745674000595</v>
      </c>
    </row>
    <row r="469" spans="10:18" x14ac:dyDescent="0.2">
      <c r="J469" s="354">
        <v>39790</v>
      </c>
      <c r="K469">
        <v>11.69</v>
      </c>
      <c r="L469">
        <v>14.39</v>
      </c>
      <c r="M469">
        <v>11.69</v>
      </c>
      <c r="N469">
        <v>13.744999999999999</v>
      </c>
      <c r="O469">
        <v>10.468591</v>
      </c>
      <c r="P469">
        <v>34785400</v>
      </c>
      <c r="R469" s="273">
        <f>(O469/O468)*('16. câmbio USD-BRL'!O265/'16. câmbio USD-BRL'!O264)^-1-1</f>
        <v>0.35239320283216347</v>
      </c>
    </row>
    <row r="470" spans="10:18" x14ac:dyDescent="0.2">
      <c r="J470" s="354">
        <v>39797</v>
      </c>
      <c r="K470">
        <v>13.9</v>
      </c>
      <c r="L470">
        <v>14.845000000000001</v>
      </c>
      <c r="M470">
        <v>13.4</v>
      </c>
      <c r="N470">
        <v>14.275</v>
      </c>
      <c r="O470">
        <v>10.872252</v>
      </c>
      <c r="P470">
        <v>24267600</v>
      </c>
      <c r="R470" s="273">
        <f>(O470/O469)*('16. câmbio USD-BRL'!O266/'16. câmbio USD-BRL'!O265)^-1-1</f>
        <v>2.9358765637485185E-2</v>
      </c>
    </row>
    <row r="471" spans="10:18" x14ac:dyDescent="0.2">
      <c r="J471" s="354">
        <v>39804</v>
      </c>
      <c r="K471">
        <v>14.17</v>
      </c>
      <c r="L471">
        <v>14.35</v>
      </c>
      <c r="M471">
        <v>12.33</v>
      </c>
      <c r="N471">
        <v>12.7</v>
      </c>
      <c r="O471">
        <v>9.6726880000000008</v>
      </c>
      <c r="P471">
        <v>10148600</v>
      </c>
      <c r="R471" s="273">
        <f>(O471/O470)*('16. câmbio USD-BRL'!O267/'16. câmbio USD-BRL'!O266)^-1-1</f>
        <v>-9.3350872767340776E-2</v>
      </c>
    </row>
    <row r="472" spans="10:18" x14ac:dyDescent="0.2">
      <c r="J472" s="354">
        <v>39811</v>
      </c>
      <c r="K472">
        <v>12.975</v>
      </c>
      <c r="L472">
        <v>14.545</v>
      </c>
      <c r="M472">
        <v>12.865</v>
      </c>
      <c r="N472">
        <v>14.355</v>
      </c>
      <c r="O472">
        <v>10.933185</v>
      </c>
      <c r="P472">
        <v>11082400</v>
      </c>
      <c r="R472" s="273">
        <f>(O472/O471)*('16. câmbio USD-BRL'!O268/'16. câmbio USD-BRL'!O267)^-1-1</f>
        <v>0.13671676653973019</v>
      </c>
    </row>
    <row r="473" spans="10:18" x14ac:dyDescent="0.2">
      <c r="J473" s="354">
        <v>39818</v>
      </c>
      <c r="K473">
        <v>14.2</v>
      </c>
      <c r="L473">
        <v>15.9</v>
      </c>
      <c r="M473">
        <v>13.98</v>
      </c>
      <c r="N473">
        <v>15.355</v>
      </c>
      <c r="O473">
        <v>12.051163000000001</v>
      </c>
      <c r="P473">
        <v>29941000</v>
      </c>
      <c r="R473" s="273">
        <f>(O473/O472)*('16. câmbio USD-BRL'!O269/'16. câmbio USD-BRL'!O268)^-1-1</f>
        <v>0.13660421215880714</v>
      </c>
    </row>
    <row r="474" spans="10:18" x14ac:dyDescent="0.2">
      <c r="J474" s="354">
        <v>39825</v>
      </c>
      <c r="K474">
        <v>15</v>
      </c>
      <c r="L474">
        <v>15.1</v>
      </c>
      <c r="M474">
        <v>13.555</v>
      </c>
      <c r="N474">
        <v>14.97</v>
      </c>
      <c r="O474">
        <v>11.749002000000001</v>
      </c>
      <c r="P474">
        <v>31080200</v>
      </c>
      <c r="R474" s="273">
        <f>(O474/O473)*('16. câmbio USD-BRL'!O270/'16. câmbio USD-BRL'!O269)^-1-1</f>
        <v>-4.5040023557464837E-2</v>
      </c>
    </row>
    <row r="475" spans="10:18" x14ac:dyDescent="0.2">
      <c r="J475" s="354">
        <v>39832</v>
      </c>
      <c r="K475">
        <v>15.2</v>
      </c>
      <c r="L475">
        <v>15.2</v>
      </c>
      <c r="M475">
        <v>14.035</v>
      </c>
      <c r="N475">
        <v>14.15</v>
      </c>
      <c r="O475">
        <v>11.105435999999999</v>
      </c>
      <c r="P475">
        <v>28607800</v>
      </c>
      <c r="R475" s="273">
        <f>(O475/O474)*('16. câmbio USD-BRL'!O271/'16. câmbio USD-BRL'!O270)^-1-1</f>
        <v>-5.8967724423023338E-2</v>
      </c>
    </row>
    <row r="476" spans="10:18" x14ac:dyDescent="0.2">
      <c r="J476" s="354">
        <v>39839</v>
      </c>
      <c r="K476">
        <v>14.255000000000001</v>
      </c>
      <c r="L476">
        <v>14.85</v>
      </c>
      <c r="M476">
        <v>13.605</v>
      </c>
      <c r="N476">
        <v>14.43</v>
      </c>
      <c r="O476">
        <v>11.325191</v>
      </c>
      <c r="P476">
        <v>34495400</v>
      </c>
      <c r="R476" s="273">
        <f>(O476/O475)*('16. câmbio USD-BRL'!O272/'16. câmbio USD-BRL'!O271)^-1-1</f>
        <v>1.5066203034191483E-2</v>
      </c>
    </row>
    <row r="477" spans="10:18" x14ac:dyDescent="0.2">
      <c r="J477" s="354">
        <v>39846</v>
      </c>
      <c r="K477">
        <v>14.154999999999999</v>
      </c>
      <c r="L477">
        <v>16.375</v>
      </c>
      <c r="M477">
        <v>13.945</v>
      </c>
      <c r="N477">
        <v>16.004999000000002</v>
      </c>
      <c r="O477">
        <v>12.561308</v>
      </c>
      <c r="P477">
        <v>26952200</v>
      </c>
      <c r="R477" s="273">
        <f>(O477/O476)*('16. câmbio USD-BRL'!O273/'16. câmbio USD-BRL'!O272)^-1-1</f>
        <v>0.15884307067196257</v>
      </c>
    </row>
    <row r="478" spans="10:18" x14ac:dyDescent="0.2">
      <c r="J478" s="354">
        <v>39853</v>
      </c>
      <c r="K478">
        <v>16.004999000000002</v>
      </c>
      <c r="L478">
        <v>16.004999000000002</v>
      </c>
      <c r="M478">
        <v>13.875</v>
      </c>
      <c r="N478">
        <v>14.55</v>
      </c>
      <c r="O478">
        <v>11.419371</v>
      </c>
      <c r="P478">
        <v>28398000</v>
      </c>
      <c r="R478" s="273">
        <f>(O478/O477)*('16. câmbio USD-BRL'!O274/'16. câmbio USD-BRL'!O273)^-1-1</f>
        <v>-9.8126356252710933E-2</v>
      </c>
    </row>
    <row r="479" spans="10:18" x14ac:dyDescent="0.2">
      <c r="J479" s="354">
        <v>39860</v>
      </c>
      <c r="K479">
        <v>14.475</v>
      </c>
      <c r="L479">
        <v>14.55</v>
      </c>
      <c r="M479">
        <v>13.275</v>
      </c>
      <c r="N479">
        <v>13.5</v>
      </c>
      <c r="O479">
        <v>10.595292000000001</v>
      </c>
      <c r="P479">
        <v>25913000</v>
      </c>
      <c r="R479" s="273">
        <f>(O479/O478)*('16. câmbio USD-BRL'!O275/'16. câmbio USD-BRL'!O274)^-1-1</f>
        <v>-0.11510967421823104</v>
      </c>
    </row>
    <row r="480" spans="10:18" x14ac:dyDescent="0.2">
      <c r="J480" s="354">
        <v>39867</v>
      </c>
      <c r="K480">
        <v>13.5</v>
      </c>
      <c r="L480">
        <v>13.61</v>
      </c>
      <c r="M480">
        <v>12.675000000000001</v>
      </c>
      <c r="N480">
        <v>12.965</v>
      </c>
      <c r="O480">
        <v>10.175404</v>
      </c>
      <c r="P480">
        <v>15344200</v>
      </c>
      <c r="R480" s="273">
        <f>(O480/O479)*('16. câmbio USD-BRL'!O276/'16. câmbio USD-BRL'!O275)^-1-1</f>
        <v>-3.4840417863957973E-2</v>
      </c>
    </row>
    <row r="481" spans="10:18" x14ac:dyDescent="0.2">
      <c r="J481" s="354">
        <v>39874</v>
      </c>
      <c r="K481">
        <v>12.69</v>
      </c>
      <c r="L481">
        <v>13.404999999999999</v>
      </c>
      <c r="M481">
        <v>11.875</v>
      </c>
      <c r="N481">
        <v>12.15</v>
      </c>
      <c r="O481">
        <v>9.5357629999999993</v>
      </c>
      <c r="P481">
        <v>26831400</v>
      </c>
      <c r="R481" s="273">
        <f>(O481/O480)*('16. câmbio USD-BRL'!O277/'16. câmbio USD-BRL'!O276)^-1-1</f>
        <v>-6.1408869281525558E-2</v>
      </c>
    </row>
    <row r="482" spans="10:18" x14ac:dyDescent="0.2">
      <c r="J482" s="354">
        <v>39881</v>
      </c>
      <c r="K482">
        <v>11.945</v>
      </c>
      <c r="L482">
        <v>12.52</v>
      </c>
      <c r="M482">
        <v>11.635</v>
      </c>
      <c r="N482">
        <v>12.25</v>
      </c>
      <c r="O482">
        <v>9.7972079999999995</v>
      </c>
      <c r="P482">
        <v>33762600</v>
      </c>
      <c r="R482" s="273">
        <f>(O482/O481)*('16. câmbio USD-BRL'!O278/'16. câmbio USD-BRL'!O277)^-1-1</f>
        <v>3.9864343800488644E-2</v>
      </c>
    </row>
    <row r="483" spans="10:18" x14ac:dyDescent="0.2">
      <c r="J483" s="354">
        <v>39888</v>
      </c>
      <c r="K483">
        <v>12.3</v>
      </c>
      <c r="L483">
        <v>13.14</v>
      </c>
      <c r="M483">
        <v>11.435</v>
      </c>
      <c r="N483">
        <v>12.88</v>
      </c>
      <c r="O483">
        <v>10.301064999999999</v>
      </c>
      <c r="P483">
        <v>25439000</v>
      </c>
      <c r="R483" s="273">
        <f>(O483/O482)*('16. câmbio USD-BRL'!O279/'16. câmbio USD-BRL'!O278)^-1-1</f>
        <v>9.579129835235678E-2</v>
      </c>
    </row>
    <row r="484" spans="10:18" x14ac:dyDescent="0.2">
      <c r="J484" s="354">
        <v>39895</v>
      </c>
      <c r="K484">
        <v>13.25</v>
      </c>
      <c r="L484">
        <v>15.12</v>
      </c>
      <c r="M484">
        <v>13.16</v>
      </c>
      <c r="N484">
        <v>14.975</v>
      </c>
      <c r="O484">
        <v>11.976588</v>
      </c>
      <c r="P484">
        <v>40190000</v>
      </c>
      <c r="R484" s="273">
        <f>(O484/O483)*('16. câmbio USD-BRL'!O280/'16. câmbio USD-BRL'!O279)^-1-1</f>
        <v>0.14836465030689028</v>
      </c>
    </row>
    <row r="485" spans="10:18" x14ac:dyDescent="0.2">
      <c r="J485" s="354">
        <v>39902</v>
      </c>
      <c r="K485">
        <v>14.484999999999999</v>
      </c>
      <c r="L485">
        <v>16.065000999999999</v>
      </c>
      <c r="M485">
        <v>14.02</v>
      </c>
      <c r="N485">
        <v>15.904999999999999</v>
      </c>
      <c r="O485">
        <v>12.720373</v>
      </c>
      <c r="P485">
        <v>33128400</v>
      </c>
      <c r="R485" s="273">
        <f>(O485/O484)*('16. câmbio USD-BRL'!O281/'16. câmbio USD-BRL'!O280)^-1-1</f>
        <v>9.95404995563689E-2</v>
      </c>
    </row>
    <row r="486" spans="10:18" x14ac:dyDescent="0.2">
      <c r="J486" s="354">
        <v>39909</v>
      </c>
      <c r="K486">
        <v>15.75</v>
      </c>
      <c r="L486">
        <v>16.045000000000002</v>
      </c>
      <c r="M486">
        <v>15.265000000000001</v>
      </c>
      <c r="N486">
        <v>15.85</v>
      </c>
      <c r="O486">
        <v>12.676386000000001</v>
      </c>
      <c r="P486">
        <v>20371600</v>
      </c>
      <c r="R486" s="273">
        <f>(O486/O485)*('16. câmbio USD-BRL'!O282/'16. câmbio USD-BRL'!O281)^-1-1</f>
        <v>-1.6159783120498039E-2</v>
      </c>
    </row>
    <row r="487" spans="10:18" x14ac:dyDescent="0.2">
      <c r="J487" s="354">
        <v>39916</v>
      </c>
      <c r="K487">
        <v>15.835000000000001</v>
      </c>
      <c r="L487">
        <v>17.440000999999999</v>
      </c>
      <c r="M487">
        <v>15.255000000000001</v>
      </c>
      <c r="N487">
        <v>17.355</v>
      </c>
      <c r="O487">
        <v>13.880041</v>
      </c>
      <c r="P487">
        <v>40403800</v>
      </c>
      <c r="R487" s="273">
        <f>(O487/O486)*('16. câmbio USD-BRL'!O283/'16. câmbio USD-BRL'!O282)^-1-1</f>
        <v>0.11650349537688509</v>
      </c>
    </row>
    <row r="488" spans="10:18" x14ac:dyDescent="0.2">
      <c r="J488" s="354">
        <v>39923</v>
      </c>
      <c r="K488">
        <v>17.004999000000002</v>
      </c>
      <c r="L488">
        <v>17.174999</v>
      </c>
      <c r="M488">
        <v>16.350000000000001</v>
      </c>
      <c r="N488">
        <v>16.879999000000002</v>
      </c>
      <c r="O488">
        <v>13.500151000000001</v>
      </c>
      <c r="P488">
        <v>26100000</v>
      </c>
      <c r="R488" s="273">
        <f>(O488/O487)*('16. câmbio USD-BRL'!O284/'16. câmbio USD-BRL'!O283)^-1-1</f>
        <v>-3.1805376988136125E-2</v>
      </c>
    </row>
    <row r="489" spans="10:18" x14ac:dyDescent="0.2">
      <c r="J489" s="354">
        <v>39930</v>
      </c>
      <c r="K489">
        <v>16.555</v>
      </c>
      <c r="L489">
        <v>16.774999999999999</v>
      </c>
      <c r="M489">
        <v>15.45</v>
      </c>
      <c r="N489">
        <v>15.925000000000001</v>
      </c>
      <c r="O489">
        <v>12.736369</v>
      </c>
      <c r="P489">
        <v>27456600</v>
      </c>
      <c r="R489" s="273">
        <f>(O489/O488)*('16. câmbio USD-BRL'!O285/'16. câmbio USD-BRL'!O284)^-1-1</f>
        <v>-7.0078029375273188E-2</v>
      </c>
    </row>
    <row r="490" spans="10:18" x14ac:dyDescent="0.2">
      <c r="J490" s="354">
        <v>39937</v>
      </c>
      <c r="K490">
        <v>16.600000000000001</v>
      </c>
      <c r="L490">
        <v>17.600000000000001</v>
      </c>
      <c r="M490">
        <v>16.5</v>
      </c>
      <c r="N490">
        <v>17.5</v>
      </c>
      <c r="O490">
        <v>13.99601</v>
      </c>
      <c r="P490">
        <v>50855400</v>
      </c>
      <c r="R490" s="273">
        <f>(O490/O489)*('16. câmbio USD-BRL'!O286/'16. câmbio USD-BRL'!O285)^-1-1</f>
        <v>0.16387524384859287</v>
      </c>
    </row>
    <row r="491" spans="10:18" x14ac:dyDescent="0.2">
      <c r="J491" s="354">
        <v>39944</v>
      </c>
      <c r="K491">
        <v>17.25</v>
      </c>
      <c r="L491">
        <v>18.139999</v>
      </c>
      <c r="M491">
        <v>15.895</v>
      </c>
      <c r="N491">
        <v>15.975</v>
      </c>
      <c r="O491">
        <v>12.776358</v>
      </c>
      <c r="P491">
        <v>39476600</v>
      </c>
      <c r="R491" s="273">
        <f>(O491/O490)*('16. câmbio USD-BRL'!O287/'16. câmbio USD-BRL'!O286)^-1-1</f>
        <v>-7.4371199930114984E-2</v>
      </c>
    </row>
    <row r="492" spans="10:18" x14ac:dyDescent="0.2">
      <c r="J492" s="354">
        <v>39951</v>
      </c>
      <c r="K492">
        <v>16.190000999999999</v>
      </c>
      <c r="L492">
        <v>18.285</v>
      </c>
      <c r="M492">
        <v>16.149999999999999</v>
      </c>
      <c r="N492">
        <v>17.325001</v>
      </c>
      <c r="O492">
        <v>13.85605</v>
      </c>
      <c r="P492">
        <v>38076600</v>
      </c>
      <c r="R492" s="273">
        <f>(O492/O491)*('16. câmbio USD-BRL'!O288/'16. câmbio USD-BRL'!O287)^-1-1</f>
        <v>8.7775871759371515E-2</v>
      </c>
    </row>
    <row r="493" spans="10:18" x14ac:dyDescent="0.2">
      <c r="J493" s="354">
        <v>39958</v>
      </c>
      <c r="K493">
        <v>17.34</v>
      </c>
      <c r="L493">
        <v>19.75</v>
      </c>
      <c r="M493">
        <v>17.200001</v>
      </c>
      <c r="N493">
        <v>19.75</v>
      </c>
      <c r="O493">
        <v>15.795495000000001</v>
      </c>
      <c r="P493">
        <v>37395800</v>
      </c>
      <c r="R493" s="273">
        <f>(O493/O492)*('16. câmbio USD-BRL'!O289/'16. câmbio USD-BRL'!O288)^-1-1</f>
        <v>0.20348110814053832</v>
      </c>
    </row>
    <row r="494" spans="10:18" x14ac:dyDescent="0.2">
      <c r="J494" s="354">
        <v>39965</v>
      </c>
      <c r="K494">
        <v>20.024999999999999</v>
      </c>
      <c r="L494">
        <v>21.049999</v>
      </c>
      <c r="M494">
        <v>19.125</v>
      </c>
      <c r="N494">
        <v>20.174999</v>
      </c>
      <c r="O494">
        <v>16.135399</v>
      </c>
      <c r="P494">
        <v>41739400</v>
      </c>
      <c r="R494" s="273">
        <f>(O494/O493)*('16. câmbio USD-BRL'!O290/'16. câmbio USD-BRL'!O289)^-1-1</f>
        <v>2.6122413112959597E-2</v>
      </c>
    </row>
    <row r="495" spans="10:18" x14ac:dyDescent="0.2">
      <c r="J495" s="354">
        <v>39972</v>
      </c>
      <c r="K495">
        <v>19.995000999999998</v>
      </c>
      <c r="L495">
        <v>20.950001</v>
      </c>
      <c r="M495">
        <v>19.639999</v>
      </c>
      <c r="N495">
        <v>20.85</v>
      </c>
      <c r="O495">
        <v>16.675246999999999</v>
      </c>
      <c r="P495">
        <v>26247200</v>
      </c>
      <c r="R495" s="273">
        <f>(O495/O494)*('16. câmbio USD-BRL'!O291/'16. câmbio USD-BRL'!O290)^-1-1</f>
        <v>2.6946130278597824E-2</v>
      </c>
    </row>
    <row r="496" spans="10:18" x14ac:dyDescent="0.2">
      <c r="J496" s="354">
        <v>39979</v>
      </c>
      <c r="K496">
        <v>20.6</v>
      </c>
      <c r="L496">
        <v>20.6</v>
      </c>
      <c r="M496">
        <v>18.864999999999998</v>
      </c>
      <c r="N496">
        <v>19.57</v>
      </c>
      <c r="O496">
        <v>15.651538</v>
      </c>
      <c r="P496">
        <v>30946600</v>
      </c>
      <c r="R496" s="273">
        <f>(O496/O495)*('16. câmbio USD-BRL'!O292/'16. câmbio USD-BRL'!O291)^-1-1</f>
        <v>-5.2261456428925324E-2</v>
      </c>
    </row>
    <row r="497" spans="10:18" x14ac:dyDescent="0.2">
      <c r="J497" s="354">
        <v>39986</v>
      </c>
      <c r="K497">
        <v>19.245000999999998</v>
      </c>
      <c r="L497">
        <v>20.940000999999999</v>
      </c>
      <c r="M497">
        <v>18.355</v>
      </c>
      <c r="N497">
        <v>20.674999</v>
      </c>
      <c r="O497">
        <v>16.535285999999999</v>
      </c>
      <c r="P497">
        <v>31491200</v>
      </c>
      <c r="R497" s="273">
        <f>(O497/O496)*('16. câmbio USD-BRL'!O293/'16. câmbio USD-BRL'!O292)^-1-1</f>
        <v>6.0926332804736694E-2</v>
      </c>
    </row>
    <row r="498" spans="10:18" x14ac:dyDescent="0.2">
      <c r="J498" s="354">
        <v>39993</v>
      </c>
      <c r="K498">
        <v>20.940000999999999</v>
      </c>
      <c r="L498">
        <v>21.719999000000001</v>
      </c>
      <c r="M498">
        <v>20.299999</v>
      </c>
      <c r="N498">
        <v>20.364999999999998</v>
      </c>
      <c r="O498">
        <v>16.287358999999999</v>
      </c>
      <c r="P498">
        <v>28527800</v>
      </c>
      <c r="R498" s="273">
        <f>(O498/O497)*('16. câmbio USD-BRL'!O294/'16. câmbio USD-BRL'!O293)^-1-1</f>
        <v>-1.9806800506673272E-2</v>
      </c>
    </row>
    <row r="499" spans="10:18" x14ac:dyDescent="0.2">
      <c r="J499" s="354">
        <v>40000</v>
      </c>
      <c r="K499">
        <v>20.125</v>
      </c>
      <c r="L499">
        <v>20.584999</v>
      </c>
      <c r="M499">
        <v>18.795000000000002</v>
      </c>
      <c r="N499">
        <v>18.795000000000002</v>
      </c>
      <c r="O499">
        <v>15.031719000000001</v>
      </c>
      <c r="P499">
        <v>23865200</v>
      </c>
      <c r="R499" s="273">
        <f>(O499/O498)*('16. câmbio USD-BRL'!O295/'16. câmbio USD-BRL'!O294)^-1-1</f>
        <v>-0.10579869024158928</v>
      </c>
    </row>
    <row r="500" spans="10:18" x14ac:dyDescent="0.2">
      <c r="J500" s="354">
        <v>40007</v>
      </c>
      <c r="K500">
        <v>18.875</v>
      </c>
      <c r="L500">
        <v>19.5</v>
      </c>
      <c r="M500">
        <v>17.510000000000002</v>
      </c>
      <c r="N500">
        <v>19.25</v>
      </c>
      <c r="O500">
        <v>15.395612</v>
      </c>
      <c r="P500">
        <v>52734000</v>
      </c>
      <c r="R500" s="273">
        <f>(O500/O499)*('16. câmbio USD-BRL'!O296/'16. câmbio USD-BRL'!O295)^-1-1</f>
        <v>4.4845693683341237E-2</v>
      </c>
    </row>
    <row r="501" spans="10:18" x14ac:dyDescent="0.2">
      <c r="J501" s="354">
        <v>40014</v>
      </c>
      <c r="K501">
        <v>19.605</v>
      </c>
      <c r="L501">
        <v>21.700001</v>
      </c>
      <c r="M501">
        <v>19.504999000000002</v>
      </c>
      <c r="N501">
        <v>20.940000999999999</v>
      </c>
      <c r="O501">
        <v>16.747226999999999</v>
      </c>
      <c r="P501">
        <v>39210800</v>
      </c>
      <c r="R501" s="273">
        <f>(O501/O500)*('16. câmbio USD-BRL'!O297/'16. câmbio USD-BRL'!O296)^-1-1</f>
        <v>0.10611644102443463</v>
      </c>
    </row>
    <row r="502" spans="10:18" x14ac:dyDescent="0.2">
      <c r="J502" s="354">
        <v>40021</v>
      </c>
      <c r="K502">
        <v>21.024999999999999</v>
      </c>
      <c r="L502">
        <v>22.24</v>
      </c>
      <c r="M502">
        <v>20.625</v>
      </c>
      <c r="N502">
        <v>22.139999</v>
      </c>
      <c r="O502">
        <v>17.706952999999999</v>
      </c>
      <c r="P502">
        <v>26585800</v>
      </c>
      <c r="R502" s="273">
        <f>(O502/O501)*('16. câmbio USD-BRL'!O298/'16. câmbio USD-BRL'!O297)^-1-1</f>
        <v>7.4498999778691788E-2</v>
      </c>
    </row>
    <row r="503" spans="10:18" x14ac:dyDescent="0.2">
      <c r="J503" s="354">
        <v>40028</v>
      </c>
      <c r="K503">
        <v>22.5</v>
      </c>
      <c r="L503">
        <v>23.200001</v>
      </c>
      <c r="M503">
        <v>22.055</v>
      </c>
      <c r="N503">
        <v>23.165001</v>
      </c>
      <c r="O503">
        <v>18.526720000000001</v>
      </c>
      <c r="P503">
        <v>28773400</v>
      </c>
      <c r="R503" s="273">
        <f>(O503/O502)*('16. câmbio USD-BRL'!O299/'16. câmbio USD-BRL'!O298)^-1-1</f>
        <v>0.10101004500853517</v>
      </c>
    </row>
    <row r="504" spans="10:18" x14ac:dyDescent="0.2">
      <c r="J504" s="354">
        <v>40035</v>
      </c>
      <c r="K504">
        <v>22.85</v>
      </c>
      <c r="L504">
        <v>25.065000999999999</v>
      </c>
      <c r="M504">
        <v>22.84</v>
      </c>
      <c r="N504">
        <v>24.305</v>
      </c>
      <c r="O504">
        <v>19.520285000000001</v>
      </c>
      <c r="P504">
        <v>37992400</v>
      </c>
      <c r="R504" s="273">
        <f>(O504/O503)*('16. câmbio USD-BRL'!O300/'16. câmbio USD-BRL'!O299)^-1-1</f>
        <v>3.6536559028737203E-2</v>
      </c>
    </row>
    <row r="505" spans="10:18" x14ac:dyDescent="0.2">
      <c r="J505" s="354">
        <v>40042</v>
      </c>
      <c r="K505">
        <v>23.495000999999998</v>
      </c>
      <c r="L505">
        <v>24.200001</v>
      </c>
      <c r="M505">
        <v>22.635000000000002</v>
      </c>
      <c r="N505">
        <v>24.15</v>
      </c>
      <c r="O505">
        <v>19.395796000000001</v>
      </c>
      <c r="P505">
        <v>24514400</v>
      </c>
      <c r="R505" s="273">
        <f>(O505/O504)*('16. câmbio USD-BRL'!O301/'16. câmbio USD-BRL'!O300)^-1-1</f>
        <v>5.9737044606580358E-3</v>
      </c>
    </row>
    <row r="506" spans="10:18" x14ac:dyDescent="0.2">
      <c r="J506" s="354">
        <v>40049</v>
      </c>
      <c r="K506">
        <v>24.299999</v>
      </c>
      <c r="L506">
        <v>24.5</v>
      </c>
      <c r="M506">
        <v>22.674999</v>
      </c>
      <c r="N506">
        <v>22.76</v>
      </c>
      <c r="O506">
        <v>18.279437999999999</v>
      </c>
      <c r="P506">
        <v>27900000</v>
      </c>
      <c r="R506" s="273">
        <f>(O506/O505)*('16. câmbio USD-BRL'!O302/'16. câmbio USD-BRL'!O301)^-1-1</f>
        <v>-8.5087941391095434E-2</v>
      </c>
    </row>
    <row r="507" spans="10:18" x14ac:dyDescent="0.2">
      <c r="J507" s="354">
        <v>40056</v>
      </c>
      <c r="K507">
        <v>22.5</v>
      </c>
      <c r="L507">
        <v>22.735001</v>
      </c>
      <c r="M507">
        <v>21.405000999999999</v>
      </c>
      <c r="N507">
        <v>22</v>
      </c>
      <c r="O507">
        <v>17.669052000000001</v>
      </c>
      <c r="P507">
        <v>28162400</v>
      </c>
      <c r="R507" s="273">
        <f>(O507/O506)*('16. câmbio USD-BRL'!O303/'16. câmbio USD-BRL'!O302)^-1-1</f>
        <v>-3.9684284063424058E-2</v>
      </c>
    </row>
    <row r="508" spans="10:18" x14ac:dyDescent="0.2">
      <c r="J508" s="354">
        <v>40063</v>
      </c>
      <c r="K508">
        <v>22</v>
      </c>
      <c r="L508">
        <v>23.120000999999998</v>
      </c>
      <c r="M508">
        <v>22</v>
      </c>
      <c r="N508">
        <v>22.4</v>
      </c>
      <c r="O508">
        <v>17.990307000000001</v>
      </c>
      <c r="P508">
        <v>19347000</v>
      </c>
      <c r="R508" s="273">
        <f>(O508/O507)*('16. câmbio USD-BRL'!O304/'16. câmbio USD-BRL'!O303)^-1-1</f>
        <v>3.783041881125615E-2</v>
      </c>
    </row>
    <row r="509" spans="10:18" x14ac:dyDescent="0.2">
      <c r="J509" s="354">
        <v>40070</v>
      </c>
      <c r="K509">
        <v>22.225000000000001</v>
      </c>
      <c r="L509">
        <v>23.950001</v>
      </c>
      <c r="M509">
        <v>22.024999999999999</v>
      </c>
      <c r="N509">
        <v>23.5</v>
      </c>
      <c r="O509">
        <v>18.873761999999999</v>
      </c>
      <c r="P509">
        <v>32229800</v>
      </c>
      <c r="R509" s="273">
        <f>(O509/O508)*('16. câmbio USD-BRL'!O305/'16. câmbio USD-BRL'!O304)^-1-1</f>
        <v>7.8446263595634225E-2</v>
      </c>
    </row>
    <row r="510" spans="10:18" x14ac:dyDescent="0.2">
      <c r="J510" s="354">
        <v>40077</v>
      </c>
      <c r="K510">
        <v>23.344999000000001</v>
      </c>
      <c r="L510">
        <v>24.1</v>
      </c>
      <c r="M510">
        <v>23.024999999999999</v>
      </c>
      <c r="N510">
        <v>23.450001</v>
      </c>
      <c r="O510">
        <v>18.833599</v>
      </c>
      <c r="P510">
        <v>25415800</v>
      </c>
      <c r="R510" s="273">
        <f>(O510/O509)*('16. câmbio USD-BRL'!O306/'16. câmbio USD-BRL'!O305)^-1-1</f>
        <v>3.003053004110523E-3</v>
      </c>
    </row>
    <row r="511" spans="10:18" x14ac:dyDescent="0.2">
      <c r="J511" s="354">
        <v>40084</v>
      </c>
      <c r="K511">
        <v>23.549999</v>
      </c>
      <c r="L511">
        <v>23.860001</v>
      </c>
      <c r="M511">
        <v>22.559999000000001</v>
      </c>
      <c r="N511">
        <v>23.15</v>
      </c>
      <c r="O511">
        <v>18.592659000000001</v>
      </c>
      <c r="P511">
        <v>21608000</v>
      </c>
      <c r="R511" s="273">
        <f>(O511/O510)*('16. câmbio USD-BRL'!O307/'16. câmbio USD-BRL'!O306)^-1-1</f>
        <v>-3.1106860949520199E-3</v>
      </c>
    </row>
    <row r="512" spans="10:18" x14ac:dyDescent="0.2">
      <c r="J512" s="354">
        <v>40091</v>
      </c>
      <c r="K512">
        <v>23.204999999999998</v>
      </c>
      <c r="L512">
        <v>24.855</v>
      </c>
      <c r="M512">
        <v>23.165001</v>
      </c>
      <c r="N512">
        <v>24.844999000000001</v>
      </c>
      <c r="O512">
        <v>19.953976000000001</v>
      </c>
      <c r="P512">
        <v>28098000</v>
      </c>
      <c r="R512" s="273">
        <f>(O512/O511)*('16. câmbio USD-BRL'!O308/'16. câmbio USD-BRL'!O307)^-1-1</f>
        <v>0.10234591455493103</v>
      </c>
    </row>
    <row r="513" spans="10:18" x14ac:dyDescent="0.2">
      <c r="J513" s="354">
        <v>40098</v>
      </c>
      <c r="K513">
        <v>24.844999000000001</v>
      </c>
      <c r="L513">
        <v>26.65</v>
      </c>
      <c r="M513">
        <v>24.67</v>
      </c>
      <c r="N513">
        <v>26.200001</v>
      </c>
      <c r="O513">
        <v>21.042235999999999</v>
      </c>
      <c r="P513">
        <v>25022000</v>
      </c>
      <c r="R513" s="273">
        <f>(O513/O512)*('16. câmbio USD-BRL'!O309/'16. câmbio USD-BRL'!O308)^-1-1</f>
        <v>7.2331259722290708E-2</v>
      </c>
    </row>
    <row r="514" spans="10:18" x14ac:dyDescent="0.2">
      <c r="J514" s="354">
        <v>40105</v>
      </c>
      <c r="K514">
        <v>26.225000000000001</v>
      </c>
      <c r="L514">
        <v>27.299999</v>
      </c>
      <c r="M514">
        <v>25.375</v>
      </c>
      <c r="N514">
        <v>25.504999000000002</v>
      </c>
      <c r="O514">
        <v>20.484048999999999</v>
      </c>
      <c r="P514">
        <v>16471400</v>
      </c>
      <c r="R514" s="273">
        <f>(O514/O513)*('16. câmbio USD-BRL'!O310/'16. câmbio USD-BRL'!O309)^-1-1</f>
        <v>-2.9276244079903924E-2</v>
      </c>
    </row>
    <row r="515" spans="10:18" x14ac:dyDescent="0.2">
      <c r="J515" s="354">
        <v>40112</v>
      </c>
      <c r="K515">
        <v>25.41</v>
      </c>
      <c r="L515">
        <v>25.85</v>
      </c>
      <c r="M515">
        <v>22.504999000000002</v>
      </c>
      <c r="N515">
        <v>23</v>
      </c>
      <c r="O515">
        <v>18.472187000000002</v>
      </c>
      <c r="P515">
        <v>32880800</v>
      </c>
      <c r="R515" s="273">
        <f>(O515/O514)*('16. câmbio USD-BRL'!O311/'16. câmbio USD-BRL'!O310)^-1-1</f>
        <v>-0.14331037759647125</v>
      </c>
    </row>
    <row r="516" spans="10:18" x14ac:dyDescent="0.2">
      <c r="J516" s="354">
        <v>40119</v>
      </c>
      <c r="K516">
        <v>23</v>
      </c>
      <c r="L516">
        <v>24</v>
      </c>
      <c r="M516">
        <v>22.195</v>
      </c>
      <c r="N516">
        <v>23.9</v>
      </c>
      <c r="O516">
        <v>19.195017</v>
      </c>
      <c r="P516">
        <v>26406600</v>
      </c>
      <c r="R516" s="273">
        <f>(O516/O515)*('16. câmbio USD-BRL'!O312/'16. câmbio USD-BRL'!O311)^-1-1</f>
        <v>6.1366216226574899E-2</v>
      </c>
    </row>
    <row r="517" spans="10:18" x14ac:dyDescent="0.2">
      <c r="J517" s="354">
        <v>40126</v>
      </c>
      <c r="K517">
        <v>24.524999999999999</v>
      </c>
      <c r="L517">
        <v>25.040001</v>
      </c>
      <c r="M517">
        <v>23.65</v>
      </c>
      <c r="N517">
        <v>24.5</v>
      </c>
      <c r="O517">
        <v>19.676897</v>
      </c>
      <c r="P517">
        <v>24005800</v>
      </c>
      <c r="R517" s="273">
        <f>(O517/O516)*('16. câmbio USD-BRL'!O313/'16. câmbio USD-BRL'!O312)^-1-1</f>
        <v>2.0167466294058523E-2</v>
      </c>
    </row>
    <row r="518" spans="10:18" x14ac:dyDescent="0.2">
      <c r="J518" s="354">
        <v>40133</v>
      </c>
      <c r="K518">
        <v>24.5</v>
      </c>
      <c r="L518">
        <v>25.450001</v>
      </c>
      <c r="M518">
        <v>24.334999</v>
      </c>
      <c r="N518">
        <v>24.709999</v>
      </c>
      <c r="O518">
        <v>19.845552000000001</v>
      </c>
      <c r="P518">
        <v>11962000</v>
      </c>
      <c r="R518" s="273">
        <f>(O518/O517)*('16. câmbio USD-BRL'!O314/'16. câmbio USD-BRL'!O313)^-1-1</f>
        <v>3.0999765698622728E-3</v>
      </c>
    </row>
    <row r="519" spans="10:18" x14ac:dyDescent="0.2">
      <c r="J519" s="354">
        <v>40140</v>
      </c>
      <c r="K519">
        <v>25</v>
      </c>
      <c r="L519">
        <v>25.799999</v>
      </c>
      <c r="M519">
        <v>24.15</v>
      </c>
      <c r="N519">
        <v>25.225000000000001</v>
      </c>
      <c r="O519">
        <v>20.259174000000002</v>
      </c>
      <c r="P519">
        <v>23852800</v>
      </c>
      <c r="R519" s="273">
        <f>(O519/O518)*('16. câmbio USD-BRL'!O315/'16. câmbio USD-BRL'!O314)^-1-1</f>
        <v>1.9371350988132807E-2</v>
      </c>
    </row>
    <row r="520" spans="10:18" x14ac:dyDescent="0.2">
      <c r="J520" s="354">
        <v>40147</v>
      </c>
      <c r="K520">
        <v>25.200001</v>
      </c>
      <c r="L520">
        <v>26.35</v>
      </c>
      <c r="M520">
        <v>25.1</v>
      </c>
      <c r="N520">
        <v>25.575001</v>
      </c>
      <c r="O520">
        <v>20.540272000000002</v>
      </c>
      <c r="P520">
        <v>22262800</v>
      </c>
      <c r="R520" s="273">
        <f>(O520/O519)*('16. câmbio USD-BRL'!O316/'16. câmbio USD-BRL'!O315)^-1-1</f>
        <v>2.1409262959700914E-2</v>
      </c>
    </row>
    <row r="521" spans="10:18" x14ac:dyDescent="0.2">
      <c r="J521" s="354">
        <v>40154</v>
      </c>
      <c r="K521">
        <v>25.575001</v>
      </c>
      <c r="L521">
        <v>26.15</v>
      </c>
      <c r="M521">
        <v>24.5</v>
      </c>
      <c r="N521">
        <v>25.26</v>
      </c>
      <c r="O521">
        <v>20.287282999999999</v>
      </c>
      <c r="P521">
        <v>26543200</v>
      </c>
      <c r="R521" s="273">
        <f>(O521/O520)*('16. câmbio USD-BRL'!O317/'16. câmbio USD-BRL'!O316)^-1-1</f>
        <v>-5.9687810326362056E-3</v>
      </c>
    </row>
    <row r="522" spans="10:18" x14ac:dyDescent="0.2">
      <c r="J522" s="354">
        <v>40161</v>
      </c>
      <c r="K522">
        <v>25.5</v>
      </c>
      <c r="L522">
        <v>25.625</v>
      </c>
      <c r="M522">
        <v>23.75</v>
      </c>
      <c r="N522">
        <v>23.924999</v>
      </c>
      <c r="O522">
        <v>19.215094000000001</v>
      </c>
      <c r="P522">
        <v>22371600</v>
      </c>
      <c r="R522" s="273">
        <f>(O522/O521)*('16. câmbio USD-BRL'!O318/'16. câmbio USD-BRL'!O317)^-1-1</f>
        <v>-9.2613092114697371E-2</v>
      </c>
    </row>
    <row r="523" spans="10:18" x14ac:dyDescent="0.2">
      <c r="J523" s="354">
        <v>40168</v>
      </c>
      <c r="K523">
        <v>24.23</v>
      </c>
      <c r="L523">
        <v>24.395</v>
      </c>
      <c r="M523">
        <v>23.35</v>
      </c>
      <c r="N523">
        <v>24.155000999999999</v>
      </c>
      <c r="O523">
        <v>19.399815</v>
      </c>
      <c r="P523">
        <v>12440200</v>
      </c>
      <c r="R523" s="273">
        <f>(O523/O522)*('16. câmbio USD-BRL'!O319/'16. câmbio USD-BRL'!O318)^-1-1</f>
        <v>4.4276407111485172E-2</v>
      </c>
    </row>
    <row r="524" spans="10:18" x14ac:dyDescent="0.2">
      <c r="J524" s="354">
        <v>40175</v>
      </c>
      <c r="K524">
        <v>24.209999</v>
      </c>
      <c r="L524">
        <v>24.99</v>
      </c>
      <c r="M524">
        <v>24.209999</v>
      </c>
      <c r="N524">
        <v>24.695</v>
      </c>
      <c r="O524">
        <v>19.833508999999999</v>
      </c>
      <c r="P524">
        <v>8447000</v>
      </c>
      <c r="R524" s="273">
        <f>(O524/O523)*('16. câmbio USD-BRL'!O320/'16. câmbio USD-BRL'!O319)^-1-1</f>
        <v>1.3088093763012898E-2</v>
      </c>
    </row>
    <row r="525" spans="10:18" x14ac:dyDescent="0.2">
      <c r="J525" s="354">
        <v>40182</v>
      </c>
      <c r="K525">
        <v>24.75</v>
      </c>
      <c r="L525">
        <v>25.799999</v>
      </c>
      <c r="M525">
        <v>24.700001</v>
      </c>
      <c r="N525">
        <v>25.424999</v>
      </c>
      <c r="O525">
        <v>20.691872</v>
      </c>
      <c r="P525">
        <v>20101200</v>
      </c>
      <c r="R525" s="273">
        <f>(O525/O524)*('16. câmbio USD-BRL'!O321/'16. câmbio USD-BRL'!O320)^-1-1</f>
        <v>4.9904325626643598E-2</v>
      </c>
    </row>
    <row r="526" spans="10:18" x14ac:dyDescent="0.2">
      <c r="J526" s="354">
        <v>40189</v>
      </c>
      <c r="K526">
        <v>25.684999000000001</v>
      </c>
      <c r="L526">
        <v>25.9</v>
      </c>
      <c r="M526">
        <v>24.424999</v>
      </c>
      <c r="N526">
        <v>25.15</v>
      </c>
      <c r="O526">
        <v>20.468064999999999</v>
      </c>
      <c r="P526">
        <v>19635000</v>
      </c>
      <c r="R526" s="273">
        <f>(O526/O525)*('16. câmbio USD-BRL'!O322/'16. câmbio USD-BRL'!O321)^-1-1</f>
        <v>-1.0359070441370966E-2</v>
      </c>
    </row>
    <row r="527" spans="10:18" x14ac:dyDescent="0.2">
      <c r="J527" s="354">
        <v>40196</v>
      </c>
      <c r="K527">
        <v>25.24</v>
      </c>
      <c r="L527">
        <v>25.545000000000002</v>
      </c>
      <c r="M527">
        <v>22.934999000000001</v>
      </c>
      <c r="N527">
        <v>23.25</v>
      </c>
      <c r="O527">
        <v>18.921769999999999</v>
      </c>
      <c r="P527">
        <v>24657400</v>
      </c>
      <c r="R527" s="273">
        <f>(O527/O526)*('16. câmbio USD-BRL'!O323/'16. câmbio USD-BRL'!O322)^-1-1</f>
        <v>-0.12012010930803552</v>
      </c>
    </row>
    <row r="528" spans="10:18" x14ac:dyDescent="0.2">
      <c r="J528" s="354">
        <v>40203</v>
      </c>
      <c r="K528">
        <v>23.25</v>
      </c>
      <c r="L528">
        <v>25.125</v>
      </c>
      <c r="M528">
        <v>23.049999</v>
      </c>
      <c r="N528">
        <v>24.799999</v>
      </c>
      <c r="O528">
        <v>20.183219999999999</v>
      </c>
      <c r="P528">
        <v>26147200</v>
      </c>
      <c r="R528" s="273">
        <f>(O528/O527)*('16. câmbio USD-BRL'!O324/'16. câmbio USD-BRL'!O323)^-1-1</f>
        <v>5.4778662515044152E-2</v>
      </c>
    </row>
    <row r="529" spans="10:18" x14ac:dyDescent="0.2">
      <c r="J529" s="354">
        <v>40210</v>
      </c>
      <c r="K529">
        <v>24.9</v>
      </c>
      <c r="L529">
        <v>25.450001</v>
      </c>
      <c r="M529">
        <v>23.35</v>
      </c>
      <c r="N529">
        <v>23.85</v>
      </c>
      <c r="O529">
        <v>19.410077999999999</v>
      </c>
      <c r="P529">
        <v>22477400</v>
      </c>
      <c r="R529" s="273">
        <f>(O529/O528)*('16. câmbio USD-BRL'!O325/'16. câmbio USD-BRL'!O324)^-1-1</f>
        <v>-3.5211552865481055E-2</v>
      </c>
    </row>
    <row r="530" spans="10:18" x14ac:dyDescent="0.2">
      <c r="J530" s="354">
        <v>40217</v>
      </c>
      <c r="K530">
        <v>24</v>
      </c>
      <c r="L530">
        <v>24.139999</v>
      </c>
      <c r="M530">
        <v>22.959999</v>
      </c>
      <c r="N530">
        <v>23.075001</v>
      </c>
      <c r="O530">
        <v>18.779347999999999</v>
      </c>
      <c r="P530">
        <v>29710400</v>
      </c>
      <c r="R530" s="273">
        <f>(O530/O529)*('16. câmbio USD-BRL'!O326/'16. câmbio USD-BRL'!O325)^-1-1</f>
        <v>-2.0744983010289597E-2</v>
      </c>
    </row>
    <row r="531" spans="10:18" x14ac:dyDescent="0.2">
      <c r="J531" s="354">
        <v>40224</v>
      </c>
      <c r="K531">
        <v>23.075001</v>
      </c>
      <c r="L531">
        <v>24.855</v>
      </c>
      <c r="M531">
        <v>23.075001</v>
      </c>
      <c r="N531">
        <v>24.75</v>
      </c>
      <c r="O531">
        <v>20.142524999999999</v>
      </c>
      <c r="P531">
        <v>17468200</v>
      </c>
      <c r="R531" s="273">
        <f>(O531/O530)*('16. câmbio USD-BRL'!O327/'16. câmbio USD-BRL'!O326)^-1-1</f>
        <v>9.1938436560193848E-2</v>
      </c>
    </row>
    <row r="532" spans="10:18" x14ac:dyDescent="0.2">
      <c r="J532" s="354">
        <v>40231</v>
      </c>
      <c r="K532">
        <v>24.9</v>
      </c>
      <c r="L532">
        <v>25.66</v>
      </c>
      <c r="M532">
        <v>23.254999000000002</v>
      </c>
      <c r="N532">
        <v>25.66</v>
      </c>
      <c r="O532">
        <v>20.883123000000001</v>
      </c>
      <c r="P532">
        <v>27110200</v>
      </c>
      <c r="R532" s="273">
        <f>(O532/O531)*('16. câmbio USD-BRL'!O328/'16. câmbio USD-BRL'!O327)^-1-1</f>
        <v>5.4788319489524229E-2</v>
      </c>
    </row>
    <row r="533" spans="10:18" x14ac:dyDescent="0.2">
      <c r="J533" s="354">
        <v>40238</v>
      </c>
      <c r="K533">
        <v>25.75</v>
      </c>
      <c r="L533">
        <v>27.120000999999998</v>
      </c>
      <c r="M533">
        <v>25.405000999999999</v>
      </c>
      <c r="N533">
        <v>27.120000999999998</v>
      </c>
      <c r="O533">
        <v>22.071331000000001</v>
      </c>
      <c r="P533">
        <v>25942000</v>
      </c>
      <c r="R533" s="273">
        <f>(O533/O532)*('16. câmbio USD-BRL'!O329/'16. câmbio USD-BRL'!O328)^-1-1</f>
        <v>7.0051871292099666E-2</v>
      </c>
    </row>
    <row r="534" spans="10:18" x14ac:dyDescent="0.2">
      <c r="J534" s="354">
        <v>40245</v>
      </c>
      <c r="K534">
        <v>27.174999</v>
      </c>
      <c r="L534">
        <v>28.809999000000001</v>
      </c>
      <c r="M534">
        <v>26.805</v>
      </c>
      <c r="N534">
        <v>27.799999</v>
      </c>
      <c r="O534">
        <v>22.624739000000002</v>
      </c>
      <c r="P534">
        <v>32946200</v>
      </c>
      <c r="R534" s="273">
        <f>(O534/O533)*('16. câmbio USD-BRL'!O330/'16. câmbio USD-BRL'!O329)^-1-1</f>
        <v>3.2906361133322459E-2</v>
      </c>
    </row>
    <row r="535" spans="10:18" x14ac:dyDescent="0.2">
      <c r="J535" s="354">
        <v>40252</v>
      </c>
      <c r="K535">
        <v>27.6</v>
      </c>
      <c r="L535">
        <v>28.945</v>
      </c>
      <c r="M535">
        <v>27.049999</v>
      </c>
      <c r="N535">
        <v>27.700001</v>
      </c>
      <c r="O535">
        <v>22.543358000000001</v>
      </c>
      <c r="P535">
        <v>15039800</v>
      </c>
      <c r="R535" s="273">
        <f>(O535/O534)*('16. câmbio USD-BRL'!O331/'16. câmbio USD-BRL'!O330)^-1-1</f>
        <v>-2.1854490776395785E-2</v>
      </c>
    </row>
    <row r="536" spans="10:18" x14ac:dyDescent="0.2">
      <c r="J536" s="354">
        <v>40259</v>
      </c>
      <c r="K536">
        <v>27.389999</v>
      </c>
      <c r="L536">
        <v>28.805</v>
      </c>
      <c r="M536">
        <v>27.16</v>
      </c>
      <c r="N536">
        <v>28.4</v>
      </c>
      <c r="O536">
        <v>23.113049</v>
      </c>
      <c r="P536">
        <v>21985400</v>
      </c>
      <c r="R536" s="273">
        <f>(O536/O535)*('16. câmbio USD-BRL'!O332/'16. câmbio USD-BRL'!O331)^-1-1</f>
        <v>1.0287820328340525E-2</v>
      </c>
    </row>
    <row r="537" spans="10:18" x14ac:dyDescent="0.2">
      <c r="J537" s="354">
        <v>40266</v>
      </c>
      <c r="K537">
        <v>28.610001</v>
      </c>
      <c r="L537">
        <v>31.5</v>
      </c>
      <c r="M537">
        <v>28.610001</v>
      </c>
      <c r="N537">
        <v>31.450001</v>
      </c>
      <c r="O537">
        <v>25.665087</v>
      </c>
      <c r="P537">
        <v>22033800</v>
      </c>
      <c r="R537" s="273">
        <f>(O537/O536)*('16. câmbio USD-BRL'!O333/'16. câmbio USD-BRL'!O332)^-1-1</f>
        <v>0.14564520000170811</v>
      </c>
    </row>
    <row r="538" spans="10:18" x14ac:dyDescent="0.2">
      <c r="J538" s="354">
        <v>40273</v>
      </c>
      <c r="K538">
        <v>31.825001</v>
      </c>
      <c r="L538">
        <v>32.224997999999999</v>
      </c>
      <c r="M538">
        <v>29.799999</v>
      </c>
      <c r="N538">
        <v>30.6</v>
      </c>
      <c r="O538">
        <v>24.971437000000002</v>
      </c>
      <c r="P538">
        <v>26385600</v>
      </c>
      <c r="R538" s="273">
        <f>(O538/O537)*('16. câmbio USD-BRL'!O334/'16. câmbio USD-BRL'!O333)^-1-1</f>
        <v>-5.625463585298407E-2</v>
      </c>
    </row>
    <row r="539" spans="10:18" x14ac:dyDescent="0.2">
      <c r="J539" s="354">
        <v>40280</v>
      </c>
      <c r="K539">
        <v>30.6</v>
      </c>
      <c r="L539">
        <v>31.389999</v>
      </c>
      <c r="M539">
        <v>29.549999</v>
      </c>
      <c r="N539">
        <v>30.045000000000002</v>
      </c>
      <c r="O539">
        <v>24.518519999999999</v>
      </c>
      <c r="P539">
        <v>25723800</v>
      </c>
      <c r="R539" s="273">
        <f>(O539/O538)*('16. câmbio USD-BRL'!O335/'16. câmbio USD-BRL'!O334)^-1-1</f>
        <v>-1.0820490103456648E-2</v>
      </c>
    </row>
    <row r="540" spans="10:18" x14ac:dyDescent="0.2">
      <c r="J540" s="354">
        <v>40287</v>
      </c>
      <c r="K540">
        <v>29.75</v>
      </c>
      <c r="L540">
        <v>30.235001</v>
      </c>
      <c r="M540">
        <v>28.629999000000002</v>
      </c>
      <c r="N540">
        <v>29.215</v>
      </c>
      <c r="O540">
        <v>23.841194000000002</v>
      </c>
      <c r="P540">
        <v>22403000</v>
      </c>
      <c r="R540" s="273">
        <f>(O540/O539)*('16. câmbio USD-BRL'!O336/'16. câmbio USD-BRL'!O335)^-1-1</f>
        <v>-3.032795702774671E-2</v>
      </c>
    </row>
    <row r="541" spans="10:18" x14ac:dyDescent="0.2">
      <c r="J541" s="354">
        <v>40294</v>
      </c>
      <c r="K541">
        <v>29.299999</v>
      </c>
      <c r="L541">
        <v>29.57</v>
      </c>
      <c r="M541">
        <v>27.65</v>
      </c>
      <c r="N541">
        <v>28.055</v>
      </c>
      <c r="O541">
        <v>22.894563999999999</v>
      </c>
      <c r="P541">
        <v>25042000</v>
      </c>
      <c r="R541" s="273">
        <f>(O541/O540)*('16. câmbio USD-BRL'!O337/'16. câmbio USD-BRL'!O336)^-1-1</f>
        <v>1.0027976079987955E-2</v>
      </c>
    </row>
    <row r="542" spans="10:18" x14ac:dyDescent="0.2">
      <c r="J542" s="354">
        <v>40301</v>
      </c>
      <c r="K542">
        <v>28.055</v>
      </c>
      <c r="L542">
        <v>28.055</v>
      </c>
      <c r="M542">
        <v>24.75</v>
      </c>
      <c r="N542">
        <v>25.155000999999999</v>
      </c>
      <c r="O542">
        <v>20.527992000000001</v>
      </c>
      <c r="P542">
        <v>28475600</v>
      </c>
      <c r="R542" s="273">
        <f>(O542/O541)*('16. câmbio USD-BRL'!O338/'16. câmbio USD-BRL'!O337)^-1-1</f>
        <v>-0.16014377638905952</v>
      </c>
    </row>
    <row r="543" spans="10:18" x14ac:dyDescent="0.2">
      <c r="J543" s="354">
        <v>40308</v>
      </c>
      <c r="K543">
        <v>26.5</v>
      </c>
      <c r="L543">
        <v>27.200001</v>
      </c>
      <c r="M543">
        <v>24.895</v>
      </c>
      <c r="N543">
        <v>25.075001</v>
      </c>
      <c r="O543">
        <v>20.462706000000001</v>
      </c>
      <c r="P543">
        <v>20778400</v>
      </c>
      <c r="R543" s="273">
        <f>(O543/O542)*('16. câmbio USD-BRL'!O339/'16. câmbio USD-BRL'!O338)^-1-1</f>
        <v>1.5491583421630928E-2</v>
      </c>
    </row>
    <row r="544" spans="10:18" x14ac:dyDescent="0.2">
      <c r="J544" s="354">
        <v>40315</v>
      </c>
      <c r="K544">
        <v>25.075001</v>
      </c>
      <c r="L544">
        <v>25.075001</v>
      </c>
      <c r="M544">
        <v>21.305</v>
      </c>
      <c r="N544">
        <v>22.700001</v>
      </c>
      <c r="O544">
        <v>18.524563000000001</v>
      </c>
      <c r="P544">
        <v>32984000</v>
      </c>
      <c r="R544" s="273">
        <f>(O544/O543)*('16. câmbio USD-BRL'!O340/'16. câmbio USD-BRL'!O339)^-1-1</f>
        <v>-0.11659478523952449</v>
      </c>
    </row>
    <row r="545" spans="10:18" x14ac:dyDescent="0.2">
      <c r="J545" s="354">
        <v>40322</v>
      </c>
      <c r="K545">
        <v>22.700001</v>
      </c>
      <c r="L545">
        <v>23.195</v>
      </c>
      <c r="M545">
        <v>21.565000999999999</v>
      </c>
      <c r="N545">
        <v>22.65</v>
      </c>
      <c r="O545">
        <v>18.483758999999999</v>
      </c>
      <c r="P545">
        <v>37169200</v>
      </c>
      <c r="R545" s="273">
        <f>(O545/O544)*('16. câmbio USD-BRL'!O341/'16. câmbio USD-BRL'!O340)^-1-1</f>
        <v>-1.017671648688534E-2</v>
      </c>
    </row>
    <row r="546" spans="10:18" x14ac:dyDescent="0.2">
      <c r="J546" s="354">
        <v>40329</v>
      </c>
      <c r="K546">
        <v>22.825001</v>
      </c>
      <c r="L546">
        <v>23.299999</v>
      </c>
      <c r="M546">
        <v>21.735001</v>
      </c>
      <c r="N546">
        <v>21.950001</v>
      </c>
      <c r="O546">
        <v>17.912517999999999</v>
      </c>
      <c r="P546">
        <v>18705600</v>
      </c>
      <c r="R546" s="273">
        <f>(O546/O545)*('16. câmbio USD-BRL'!O342/'16. câmbio USD-BRL'!O341)^-1-1</f>
        <v>-1.8955573298878314E-2</v>
      </c>
    </row>
    <row r="547" spans="10:18" x14ac:dyDescent="0.2">
      <c r="J547" s="354">
        <v>40336</v>
      </c>
      <c r="K547">
        <v>21.975000000000001</v>
      </c>
      <c r="L547">
        <v>23.200001</v>
      </c>
      <c r="M547">
        <v>20.754999000000002</v>
      </c>
      <c r="N547">
        <v>23.004999000000002</v>
      </c>
      <c r="O547">
        <v>18.773461999999999</v>
      </c>
      <c r="P547">
        <v>31568400</v>
      </c>
      <c r="R547" s="273">
        <f>(O547/O546)*('16. câmbio USD-BRL'!O343/'16. câmbio USD-BRL'!O342)^-1-1</f>
        <v>6.954664948683642E-2</v>
      </c>
    </row>
    <row r="548" spans="10:18" x14ac:dyDescent="0.2">
      <c r="J548" s="354">
        <v>40343</v>
      </c>
      <c r="K548">
        <v>23.315000999999999</v>
      </c>
      <c r="L548">
        <v>23.945</v>
      </c>
      <c r="M548">
        <v>23.02</v>
      </c>
      <c r="N548">
        <v>23.454999999999998</v>
      </c>
      <c r="O548">
        <v>19.140692000000001</v>
      </c>
      <c r="P548">
        <v>25467110</v>
      </c>
      <c r="R548" s="273">
        <f>(O548/O547)*('16. câmbio USD-BRL'!O344/'16. câmbio USD-BRL'!O343)^-1-1</f>
        <v>3.8241549480326542E-2</v>
      </c>
    </row>
    <row r="549" spans="10:18" x14ac:dyDescent="0.2">
      <c r="J549" s="354">
        <v>40350</v>
      </c>
      <c r="K549">
        <v>23.799999</v>
      </c>
      <c r="L549">
        <v>25.780000999999999</v>
      </c>
      <c r="M549">
        <v>23.540001</v>
      </c>
      <c r="N549">
        <v>25.530000999999999</v>
      </c>
      <c r="O549">
        <v>20.834015000000001</v>
      </c>
      <c r="P549">
        <v>32900600</v>
      </c>
      <c r="R549" s="273">
        <f>(O549/O548)*('16. câmbio USD-BRL'!O345/'16. câmbio USD-BRL'!O344)^-1-1</f>
        <v>5.4651315358029695E-2</v>
      </c>
    </row>
    <row r="550" spans="10:18" x14ac:dyDescent="0.2">
      <c r="J550" s="354">
        <v>40357</v>
      </c>
      <c r="K550">
        <v>25.6</v>
      </c>
      <c r="L550">
        <v>26.024999999999999</v>
      </c>
      <c r="M550">
        <v>23.549999</v>
      </c>
      <c r="N550">
        <v>24.915001</v>
      </c>
      <c r="O550">
        <v>20.332134</v>
      </c>
      <c r="P550">
        <v>47155000</v>
      </c>
      <c r="R550" s="273">
        <f>(O550/O549)*('16. câmbio USD-BRL'!O346/'16. câmbio USD-BRL'!O345)^-1-1</f>
        <v>5.2200048440549374E-3</v>
      </c>
    </row>
    <row r="551" spans="10:18" x14ac:dyDescent="0.2">
      <c r="J551" s="354">
        <v>40364</v>
      </c>
      <c r="K551">
        <v>24.915001</v>
      </c>
      <c r="L551">
        <v>26.605</v>
      </c>
      <c r="M551">
        <v>24.735001</v>
      </c>
      <c r="N551">
        <v>26.459999</v>
      </c>
      <c r="O551">
        <v>21.592946999999999</v>
      </c>
      <c r="P551">
        <v>25606400</v>
      </c>
      <c r="R551" s="273">
        <f>(O551/O550)*('16. câmbio USD-BRL'!O347/'16. câmbio USD-BRL'!O346)^-1-1</f>
        <v>7.3565930034423799E-2</v>
      </c>
    </row>
    <row r="552" spans="10:18" x14ac:dyDescent="0.2">
      <c r="J552" s="354">
        <v>40371</v>
      </c>
      <c r="K552">
        <v>26.445</v>
      </c>
      <c r="L552">
        <v>26.715</v>
      </c>
      <c r="M552">
        <v>23.555</v>
      </c>
      <c r="N552">
        <v>23.645</v>
      </c>
      <c r="O552">
        <v>19.295738</v>
      </c>
      <c r="P552">
        <v>75050800</v>
      </c>
      <c r="R552" s="273">
        <f>(O552/O551)*('16. câmbio USD-BRL'!O348/'16. câmbio USD-BRL'!O347)^-1-1</f>
        <v>-0.14307992829884597</v>
      </c>
    </row>
    <row r="553" spans="10:18" x14ac:dyDescent="0.2">
      <c r="J553" s="354">
        <v>40378</v>
      </c>
      <c r="K553">
        <v>23.655000999999999</v>
      </c>
      <c r="L553">
        <v>26.92</v>
      </c>
      <c r="M553">
        <v>23.655000999999999</v>
      </c>
      <c r="N553">
        <v>26.625</v>
      </c>
      <c r="O553">
        <v>21.727599999999999</v>
      </c>
      <c r="P553">
        <v>58272800</v>
      </c>
      <c r="R553" s="273">
        <f>(O553/O552)*('16. câmbio USD-BRL'!O349/'16. câmbio USD-BRL'!O348)^-1-1</f>
        <v>0.17253244257416922</v>
      </c>
    </row>
    <row r="554" spans="10:18" x14ac:dyDescent="0.2">
      <c r="J554" s="354">
        <v>40385</v>
      </c>
      <c r="K554">
        <v>26.635000000000002</v>
      </c>
      <c r="L554">
        <v>27.23</v>
      </c>
      <c r="M554">
        <v>24.674999</v>
      </c>
      <c r="N554">
        <v>24.74</v>
      </c>
      <c r="O554">
        <v>20.189322000000001</v>
      </c>
      <c r="P554">
        <v>75680000</v>
      </c>
      <c r="R554" s="273">
        <f>(O554/O553)*('16. câmbio USD-BRL'!O350/'16. câmbio USD-BRL'!O349)^-1-1</f>
        <v>-7.1232343017267996E-2</v>
      </c>
    </row>
    <row r="555" spans="10:18" x14ac:dyDescent="0.2">
      <c r="J555" s="354">
        <v>40392</v>
      </c>
      <c r="K555">
        <v>25.129999000000002</v>
      </c>
      <c r="L555">
        <v>26.1</v>
      </c>
      <c r="M555">
        <v>24.754999000000002</v>
      </c>
      <c r="N555">
        <v>25.25</v>
      </c>
      <c r="O555">
        <v>20.605516000000001</v>
      </c>
      <c r="P555">
        <v>55721200</v>
      </c>
      <c r="R555" s="273">
        <f>(O555/O554)*('16. câmbio USD-BRL'!O351/'16. câmbio USD-BRL'!O350)^-1-1</f>
        <v>-3.0746397265939418E-3</v>
      </c>
    </row>
    <row r="556" spans="10:18" x14ac:dyDescent="0.2">
      <c r="J556" s="354">
        <v>40399</v>
      </c>
      <c r="K556">
        <v>25.514999</v>
      </c>
      <c r="L556">
        <v>25.58</v>
      </c>
      <c r="M556">
        <v>23.754999000000002</v>
      </c>
      <c r="N556">
        <v>23.975000000000001</v>
      </c>
      <c r="O556">
        <v>19.565038999999999</v>
      </c>
      <c r="P556">
        <v>51560400</v>
      </c>
      <c r="R556" s="273">
        <f>(O556/O555)*('16. câmbio USD-BRL'!O352/'16. câmbio USD-BRL'!O351)^-1-1</f>
        <v>-5.7429295493184096E-2</v>
      </c>
    </row>
    <row r="557" spans="10:18" x14ac:dyDescent="0.2">
      <c r="J557" s="354">
        <v>40406</v>
      </c>
      <c r="K557">
        <v>24.094999000000001</v>
      </c>
      <c r="L557">
        <v>24.485001</v>
      </c>
      <c r="M557">
        <v>23.049999</v>
      </c>
      <c r="N557">
        <v>23.1</v>
      </c>
      <c r="O557">
        <v>18.850985999999999</v>
      </c>
      <c r="P557">
        <v>61776800</v>
      </c>
      <c r="R557" s="273">
        <f>(O557/O556)*('16. câmbio USD-BRL'!O353/'16. câmbio USD-BRL'!O352)^-1-1</f>
        <v>-3.3322274667106355E-2</v>
      </c>
    </row>
    <row r="558" spans="10:18" x14ac:dyDescent="0.2">
      <c r="J558" s="354">
        <v>40413</v>
      </c>
      <c r="K558">
        <v>23.32</v>
      </c>
      <c r="L558">
        <v>23.5</v>
      </c>
      <c r="M558">
        <v>21.805</v>
      </c>
      <c r="N558">
        <v>22.52</v>
      </c>
      <c r="O558">
        <v>18.377669999999998</v>
      </c>
      <c r="P558">
        <v>54628400</v>
      </c>
      <c r="R558" s="273">
        <f>(O558/O557)*('16. câmbio USD-BRL'!O354/'16. câmbio USD-BRL'!O353)^-1-1</f>
        <v>-2.2721433240514344E-2</v>
      </c>
    </row>
    <row r="559" spans="10:18" x14ac:dyDescent="0.2">
      <c r="J559" s="354">
        <v>40420</v>
      </c>
      <c r="K559">
        <v>22.475000000000001</v>
      </c>
      <c r="L559">
        <v>22.889999</v>
      </c>
      <c r="M559">
        <v>21.764999</v>
      </c>
      <c r="N559">
        <v>22.25</v>
      </c>
      <c r="O559">
        <v>18.157336999999998</v>
      </c>
      <c r="P559">
        <v>52148400</v>
      </c>
      <c r="R559" s="273">
        <f>(O559/O558)*('16. câmbio USD-BRL'!O355/'16. câmbio USD-BRL'!O354)^-1-1</f>
        <v>-2.4470125502747964E-3</v>
      </c>
    </row>
    <row r="560" spans="10:18" x14ac:dyDescent="0.2">
      <c r="J560" s="354">
        <v>40427</v>
      </c>
      <c r="K560">
        <v>22.375</v>
      </c>
      <c r="L560">
        <v>22.834999</v>
      </c>
      <c r="M560">
        <v>22.15</v>
      </c>
      <c r="N560">
        <v>22.309999000000001</v>
      </c>
      <c r="O560">
        <v>18.206295000000001</v>
      </c>
      <c r="P560">
        <v>32106800</v>
      </c>
      <c r="R560" s="273">
        <f>(O560/O559)*('16. câmbio USD-BRL'!O356/'16. câmbio USD-BRL'!O355)^-1-1</f>
        <v>1.2180971165163257E-2</v>
      </c>
    </row>
    <row r="561" spans="10:18" x14ac:dyDescent="0.2">
      <c r="J561" s="354">
        <v>40434</v>
      </c>
      <c r="K561">
        <v>22.6</v>
      </c>
      <c r="L561">
        <v>22.700001</v>
      </c>
      <c r="M561">
        <v>21.815000999999999</v>
      </c>
      <c r="N561">
        <v>21.85</v>
      </c>
      <c r="O561">
        <v>17.830914</v>
      </c>
      <c r="P561">
        <v>73013600</v>
      </c>
      <c r="R561" s="273">
        <f>(O561/O560)*('16. câmbio USD-BRL'!O357/'16. câmbio USD-BRL'!O356)^-1-1</f>
        <v>-1.7367848181682133E-2</v>
      </c>
    </row>
    <row r="562" spans="10:18" x14ac:dyDescent="0.2">
      <c r="J562" s="354">
        <v>40441</v>
      </c>
      <c r="K562">
        <v>21.924999</v>
      </c>
      <c r="L562">
        <v>22.950001</v>
      </c>
      <c r="M562">
        <v>21.91</v>
      </c>
      <c r="N562">
        <v>22.174999</v>
      </c>
      <c r="O562">
        <v>18.096128</v>
      </c>
      <c r="P562">
        <v>71119600</v>
      </c>
      <c r="R562" s="273">
        <f>(O562/O561)*('16. câmbio USD-BRL'!O358/'16. câmbio USD-BRL'!O357)^-1-1</f>
        <v>1.4755664322372297E-2</v>
      </c>
    </row>
    <row r="563" spans="10:18" x14ac:dyDescent="0.2">
      <c r="J563" s="354">
        <v>40448</v>
      </c>
      <c r="K563">
        <v>22.4</v>
      </c>
      <c r="L563">
        <v>23.43</v>
      </c>
      <c r="M563">
        <v>21.965</v>
      </c>
      <c r="N563">
        <v>22.59</v>
      </c>
      <c r="O563">
        <v>18.434797</v>
      </c>
      <c r="P563">
        <v>29782400</v>
      </c>
      <c r="R563" s="273">
        <f>(O563/O562)*('16. câmbio USD-BRL'!O359/'16. câmbio USD-BRL'!O358)^-1-1</f>
        <v>3.1688433540717709E-2</v>
      </c>
    </row>
    <row r="564" spans="10:18" x14ac:dyDescent="0.2">
      <c r="J564" s="354">
        <v>40455</v>
      </c>
      <c r="K564">
        <v>22.65</v>
      </c>
      <c r="L564">
        <v>22.84</v>
      </c>
      <c r="M564">
        <v>21.02</v>
      </c>
      <c r="N564">
        <v>21.32</v>
      </c>
      <c r="O564">
        <v>17.398401</v>
      </c>
      <c r="P564">
        <v>26499900</v>
      </c>
      <c r="R564" s="273">
        <f>(O564/O563)*('16. câmbio USD-BRL'!O360/'16. câmbio USD-BRL'!O359)^-1-1</f>
        <v>-4.5925604673000553E-2</v>
      </c>
    </row>
    <row r="565" spans="10:18" x14ac:dyDescent="0.2">
      <c r="J565" s="354">
        <v>40462</v>
      </c>
      <c r="K565">
        <v>21.370000999999998</v>
      </c>
      <c r="L565">
        <v>21.59</v>
      </c>
      <c r="M565">
        <v>20.559999000000001</v>
      </c>
      <c r="N565">
        <v>21.59</v>
      </c>
      <c r="O565">
        <v>17.821106</v>
      </c>
      <c r="P565">
        <v>23970200</v>
      </c>
      <c r="R565" s="273">
        <f>(O565/O564)*('16. câmbio USD-BRL'!O361/'16. câmbio USD-BRL'!O360)^-1-1</f>
        <v>3.4904972352886698E-2</v>
      </c>
    </row>
    <row r="566" spans="10:18" x14ac:dyDescent="0.2">
      <c r="J566" s="354">
        <v>40469</v>
      </c>
      <c r="K566">
        <v>21.450001</v>
      </c>
      <c r="L566">
        <v>21.83</v>
      </c>
      <c r="M566">
        <v>19.57</v>
      </c>
      <c r="N566">
        <v>20.59</v>
      </c>
      <c r="O566">
        <v>16.995671999999999</v>
      </c>
      <c r="P566">
        <v>32834100</v>
      </c>
      <c r="R566" s="273">
        <f>(O566/O565)*('16. câmbio USD-BRL'!O362/'16. câmbio USD-BRL'!O361)^-1-1</f>
        <v>-6.5121191982764337E-2</v>
      </c>
    </row>
    <row r="567" spans="10:18" x14ac:dyDescent="0.2">
      <c r="J567" s="354">
        <v>40476</v>
      </c>
      <c r="K567">
        <v>20.85</v>
      </c>
      <c r="L567">
        <v>21.549999</v>
      </c>
      <c r="M567">
        <v>19.649999999999999</v>
      </c>
      <c r="N567">
        <v>21.23</v>
      </c>
      <c r="O567">
        <v>17.523951</v>
      </c>
      <c r="P567">
        <v>32414600</v>
      </c>
      <c r="R567" s="273">
        <f>(O567/O566)*('16. câmbio USD-BRL'!O363/'16. câmbio USD-BRL'!O362)^-1-1</f>
        <v>1.9349199821749874E-2</v>
      </c>
    </row>
    <row r="568" spans="10:18" x14ac:dyDescent="0.2">
      <c r="J568" s="354">
        <v>40483</v>
      </c>
      <c r="K568">
        <v>21.4</v>
      </c>
      <c r="L568">
        <v>22.49</v>
      </c>
      <c r="M568">
        <v>21.25</v>
      </c>
      <c r="N568">
        <v>22.280000999999999</v>
      </c>
      <c r="O568">
        <v>18.390654000000001</v>
      </c>
      <c r="P568">
        <v>20820200</v>
      </c>
      <c r="R568" s="273">
        <f>(O568/O567)*('16. câmbio USD-BRL'!O364/'16. câmbio USD-BRL'!O363)^-1-1</f>
        <v>7.3772388205636474E-2</v>
      </c>
    </row>
    <row r="569" spans="10:18" x14ac:dyDescent="0.2">
      <c r="J569" s="354">
        <v>40490</v>
      </c>
      <c r="K569">
        <v>22.200001</v>
      </c>
      <c r="L569">
        <v>23.1</v>
      </c>
      <c r="M569">
        <v>21.82</v>
      </c>
      <c r="N569">
        <v>22.17</v>
      </c>
      <c r="O569">
        <v>18.299855999999998</v>
      </c>
      <c r="P569">
        <v>18534400</v>
      </c>
      <c r="R569" s="273">
        <f>(O569/O568)*('16. câmbio USD-BRL'!O365/'16. câmbio USD-BRL'!O364)^-1-1</f>
        <v>-3.1988555421668119E-2</v>
      </c>
    </row>
    <row r="570" spans="10:18" x14ac:dyDescent="0.2">
      <c r="J570" s="354">
        <v>40497</v>
      </c>
      <c r="K570">
        <v>22.17</v>
      </c>
      <c r="L570">
        <v>22.17</v>
      </c>
      <c r="M570">
        <v>21.139999</v>
      </c>
      <c r="N570">
        <v>21.6</v>
      </c>
      <c r="O570">
        <v>17.829355</v>
      </c>
      <c r="P570">
        <v>14008200</v>
      </c>
      <c r="R570" s="273">
        <f>(O570/O569)*('16. câmbio USD-BRL'!O366/'16. câmbio USD-BRL'!O365)^-1-1</f>
        <v>-1.9731657422869087E-2</v>
      </c>
    </row>
    <row r="571" spans="10:18" x14ac:dyDescent="0.2">
      <c r="J571" s="354">
        <v>40504</v>
      </c>
      <c r="K571">
        <v>21.610001</v>
      </c>
      <c r="L571">
        <v>21.65</v>
      </c>
      <c r="M571">
        <v>19.32</v>
      </c>
      <c r="N571">
        <v>19.350000000000001</v>
      </c>
      <c r="O571">
        <v>15.972132</v>
      </c>
      <c r="P571">
        <v>26611500</v>
      </c>
      <c r="R571" s="273">
        <f>(O571/O570)*('16. câmbio USD-BRL'!O367/'16. câmbio USD-BRL'!O366)^-1-1</f>
        <v>-0.10651648191078056</v>
      </c>
    </row>
    <row r="572" spans="10:18" x14ac:dyDescent="0.2">
      <c r="J572" s="354">
        <v>40511</v>
      </c>
      <c r="K572">
        <v>19.260000000000002</v>
      </c>
      <c r="L572">
        <v>19.690000999999999</v>
      </c>
      <c r="M572">
        <v>18.52</v>
      </c>
      <c r="N572">
        <v>18.780000999999999</v>
      </c>
      <c r="O572">
        <v>15.501639000000001</v>
      </c>
      <c r="P572">
        <v>32434700</v>
      </c>
      <c r="R572" s="273">
        <f>(O572/O571)*('16. câmbio USD-BRL'!O368/'16. câmbio USD-BRL'!O367)^-1-1</f>
        <v>-2.1471459533066617E-2</v>
      </c>
    </row>
    <row r="573" spans="10:18" x14ac:dyDescent="0.2">
      <c r="J573" s="354">
        <v>40518</v>
      </c>
      <c r="K573">
        <v>18.920000000000002</v>
      </c>
      <c r="L573">
        <v>20.07</v>
      </c>
      <c r="M573">
        <v>18.75</v>
      </c>
      <c r="N573">
        <v>19.170000000000002</v>
      </c>
      <c r="O573">
        <v>15.823556999999999</v>
      </c>
      <c r="P573">
        <v>27516400</v>
      </c>
      <c r="R573" s="273">
        <f>(O573/O572)*('16. câmbio USD-BRL'!O369/'16. câmbio USD-BRL'!O368)^-1-1</f>
        <v>1.9508424803204472E-2</v>
      </c>
    </row>
    <row r="574" spans="10:18" x14ac:dyDescent="0.2">
      <c r="J574" s="354">
        <v>40525</v>
      </c>
      <c r="K574">
        <v>19.399999999999999</v>
      </c>
      <c r="L574">
        <v>19.98</v>
      </c>
      <c r="M574">
        <v>18.870000999999998</v>
      </c>
      <c r="N574">
        <v>19.139999</v>
      </c>
      <c r="O574">
        <v>15.798793</v>
      </c>
      <c r="P574">
        <v>23279500</v>
      </c>
      <c r="R574" s="273">
        <f>(O574/O573)*('16. câmbio USD-BRL'!O370/'16. câmbio USD-BRL'!O369)^-1-1</f>
        <v>-1.9750914456619917E-3</v>
      </c>
    </row>
    <row r="575" spans="10:18" x14ac:dyDescent="0.2">
      <c r="J575" s="354">
        <v>40532</v>
      </c>
      <c r="K575">
        <v>19.260000000000002</v>
      </c>
      <c r="L575">
        <v>19.510000000000002</v>
      </c>
      <c r="M575">
        <v>18.73</v>
      </c>
      <c r="N575">
        <v>18.969999000000001</v>
      </c>
      <c r="O575">
        <v>15.658467999999999</v>
      </c>
      <c r="P575">
        <v>15865000</v>
      </c>
      <c r="R575" s="273">
        <f>(O575/O574)*('16. câmbio USD-BRL'!O371/'16. câmbio USD-BRL'!O370)^-1-1</f>
        <v>-1.8540481043315404E-3</v>
      </c>
    </row>
    <row r="576" spans="10:18" x14ac:dyDescent="0.2">
      <c r="J576" s="354">
        <v>40539</v>
      </c>
      <c r="K576">
        <v>18.799999</v>
      </c>
      <c r="L576">
        <v>19.16</v>
      </c>
      <c r="M576">
        <v>18.299999</v>
      </c>
      <c r="N576">
        <v>19.16</v>
      </c>
      <c r="O576">
        <v>15.815305</v>
      </c>
      <c r="P576">
        <v>16051300</v>
      </c>
      <c r="R576" s="273">
        <f>(O576/O575)*('16. câmbio USD-BRL'!O372/'16. câmbio USD-BRL'!O371)^-1-1</f>
        <v>2.8429765139829311E-2</v>
      </c>
    </row>
    <row r="577" spans="10:18" x14ac:dyDescent="0.2">
      <c r="J577" s="354">
        <v>40546</v>
      </c>
      <c r="K577">
        <v>19.350000000000001</v>
      </c>
      <c r="L577">
        <v>20.639999</v>
      </c>
      <c r="M577">
        <v>19.100000000000001</v>
      </c>
      <c r="N577">
        <v>20.6</v>
      </c>
      <c r="O577">
        <v>17.176646999999999</v>
      </c>
      <c r="P577">
        <v>38223800</v>
      </c>
      <c r="R577" s="273">
        <f>(O577/O576)*('16. câmbio USD-BRL'!O373/'16. câmbio USD-BRL'!O372)^-1-1</f>
        <v>7.0680831492347496E-2</v>
      </c>
    </row>
    <row r="578" spans="10:18" x14ac:dyDescent="0.2">
      <c r="J578" s="354">
        <v>40553</v>
      </c>
      <c r="K578">
        <v>20.25</v>
      </c>
      <c r="L578">
        <v>21</v>
      </c>
      <c r="M578">
        <v>19.920000000000002</v>
      </c>
      <c r="N578">
        <v>20.350000000000001</v>
      </c>
      <c r="O578">
        <v>16.968192999999999</v>
      </c>
      <c r="P578">
        <v>30745300</v>
      </c>
      <c r="R578" s="273">
        <f>(O578/O577)*('16. câmbio USD-BRL'!O374/'16. câmbio USD-BRL'!O373)^-1-1</f>
        <v>-2.1329580031912432E-3</v>
      </c>
    </row>
    <row r="579" spans="10:18" x14ac:dyDescent="0.2">
      <c r="J579" s="354">
        <v>40560</v>
      </c>
      <c r="K579">
        <v>20.190000999999999</v>
      </c>
      <c r="L579">
        <v>20.41</v>
      </c>
      <c r="M579">
        <v>19.209999</v>
      </c>
      <c r="N579">
        <v>19.75</v>
      </c>
      <c r="O579">
        <v>16.467903</v>
      </c>
      <c r="P579">
        <v>24209100</v>
      </c>
      <c r="R579" s="273">
        <f>(O579/O578)*('16. câmbio USD-BRL'!O375/'16. câmbio USD-BRL'!O374)^-1-1</f>
        <v>-9.4231752022099213E-3</v>
      </c>
    </row>
    <row r="580" spans="10:18" x14ac:dyDescent="0.2">
      <c r="J580" s="354">
        <v>40567</v>
      </c>
      <c r="K580">
        <v>19.75</v>
      </c>
      <c r="L580">
        <v>19.889999</v>
      </c>
      <c r="M580">
        <v>18.27</v>
      </c>
      <c r="N580">
        <v>18.700001</v>
      </c>
      <c r="O580">
        <v>15.592396000000001</v>
      </c>
      <c r="P580">
        <v>26666100</v>
      </c>
      <c r="R580" s="273">
        <f>(O580/O579)*('16. câmbio USD-BRL'!O376/'16. câmbio USD-BRL'!O375)^-1-1</f>
        <v>-7.4170010212964432E-2</v>
      </c>
    </row>
    <row r="581" spans="10:18" x14ac:dyDescent="0.2">
      <c r="J581" s="354">
        <v>40574</v>
      </c>
      <c r="K581">
        <v>18.77</v>
      </c>
      <c r="L581">
        <v>20.379999000000002</v>
      </c>
      <c r="M581">
        <v>18.77</v>
      </c>
      <c r="N581">
        <v>18.950001</v>
      </c>
      <c r="O581">
        <v>15.800848999999999</v>
      </c>
      <c r="P581">
        <v>27650114</v>
      </c>
      <c r="R581" s="273">
        <f>(O581/O580)*('16. câmbio USD-BRL'!O377/'16. câmbio USD-BRL'!O376)^-1-1</f>
        <v>1.5737707897066411E-2</v>
      </c>
    </row>
    <row r="582" spans="10:18" x14ac:dyDescent="0.2">
      <c r="J582" s="354">
        <v>40581</v>
      </c>
      <c r="K582">
        <v>19.139999</v>
      </c>
      <c r="L582">
        <v>19.459999</v>
      </c>
      <c r="M582">
        <v>18.600000000000001</v>
      </c>
      <c r="N582">
        <v>19.049999</v>
      </c>
      <c r="O582">
        <v>15.884230000000001</v>
      </c>
      <c r="P582">
        <v>19881350</v>
      </c>
      <c r="R582" s="273">
        <f>(O582/O581)*('16. câmbio USD-BRL'!O378/'16. câmbio USD-BRL'!O377)^-1-1</f>
        <v>7.8746099000015501E-3</v>
      </c>
    </row>
    <row r="583" spans="10:18" x14ac:dyDescent="0.2">
      <c r="J583" s="354">
        <v>40588</v>
      </c>
      <c r="K583">
        <v>19.100000000000001</v>
      </c>
      <c r="L583">
        <v>21.25</v>
      </c>
      <c r="M583">
        <v>18.77</v>
      </c>
      <c r="N583">
        <v>21.030000999999999</v>
      </c>
      <c r="O583">
        <v>17.535191000000001</v>
      </c>
      <c r="P583">
        <v>41142000</v>
      </c>
      <c r="R583" s="273">
        <f>(O583/O582)*('16. câmbio USD-BRL'!O379/'16. câmbio USD-BRL'!O378)^-1-1</f>
        <v>0.10533197885700818</v>
      </c>
    </row>
    <row r="584" spans="10:18" x14ac:dyDescent="0.2">
      <c r="J584" s="354">
        <v>40595</v>
      </c>
      <c r="K584">
        <v>20.9</v>
      </c>
      <c r="L584">
        <v>20.91</v>
      </c>
      <c r="M584">
        <v>18.600000000000001</v>
      </c>
      <c r="N584">
        <v>18.600000000000001</v>
      </c>
      <c r="O584">
        <v>15.509012999999999</v>
      </c>
      <c r="P584">
        <v>34331100</v>
      </c>
      <c r="R584" s="273">
        <f>(O584/O583)*('16. câmbio USD-BRL'!O380/'16. câmbio USD-BRL'!O379)^-1-1</f>
        <v>-0.11592159590700268</v>
      </c>
    </row>
    <row r="585" spans="10:18" x14ac:dyDescent="0.2">
      <c r="J585" s="354">
        <v>40602</v>
      </c>
      <c r="K585">
        <v>18.719999000000001</v>
      </c>
      <c r="L585">
        <v>20.799999</v>
      </c>
      <c r="M585">
        <v>18.25</v>
      </c>
      <c r="N585">
        <v>20.799999</v>
      </c>
      <c r="O585">
        <v>17.343409999999999</v>
      </c>
      <c r="P585">
        <v>47863600</v>
      </c>
      <c r="R585" s="273">
        <f>(O585/O584)*('16. câmbio USD-BRL'!O381/'16. câmbio USD-BRL'!O380)^-1-1</f>
        <v>0.12722836310569607</v>
      </c>
    </row>
    <row r="586" spans="10:18" x14ac:dyDescent="0.2">
      <c r="J586" s="354">
        <v>40609</v>
      </c>
      <c r="K586">
        <v>20.799999</v>
      </c>
      <c r="L586">
        <v>21.219999000000001</v>
      </c>
      <c r="M586">
        <v>19.73</v>
      </c>
      <c r="N586">
        <v>21.08</v>
      </c>
      <c r="O586">
        <v>17.576879999999999</v>
      </c>
      <c r="P586">
        <v>17820400</v>
      </c>
      <c r="R586" s="273">
        <f>(O586/O585)*('16. câmbio USD-BRL'!O382/'16. câmbio USD-BRL'!O381)^-1-1</f>
        <v>7.6581703613514129E-3</v>
      </c>
    </row>
    <row r="587" spans="10:18" x14ac:dyDescent="0.2">
      <c r="J587" s="354">
        <v>40616</v>
      </c>
      <c r="K587">
        <v>20.91</v>
      </c>
      <c r="L587">
        <v>21.799999</v>
      </c>
      <c r="M587">
        <v>20.6</v>
      </c>
      <c r="N587">
        <v>21.08</v>
      </c>
      <c r="O587">
        <v>17.576879999999999</v>
      </c>
      <c r="P587">
        <v>43646500</v>
      </c>
      <c r="R587" s="273">
        <f>(O587/O586)*('16. câmbio USD-BRL'!O383/'16. câmbio USD-BRL'!O382)^-1-1</f>
        <v>-1.2206013694551987E-2</v>
      </c>
    </row>
    <row r="588" spans="10:18" x14ac:dyDescent="0.2">
      <c r="J588" s="354">
        <v>40623</v>
      </c>
      <c r="K588">
        <v>21.5</v>
      </c>
      <c r="L588">
        <v>21.5</v>
      </c>
      <c r="M588">
        <v>20.25</v>
      </c>
      <c r="N588">
        <v>20.469999000000001</v>
      </c>
      <c r="O588">
        <v>17.068251</v>
      </c>
      <c r="P588">
        <v>10249300</v>
      </c>
      <c r="R588" s="273">
        <f>(O588/O587)*('16. câmbio USD-BRL'!O384/'16. câmbio USD-BRL'!O383)^-1-1</f>
        <v>-1.6048472694416227E-2</v>
      </c>
    </row>
    <row r="589" spans="10:18" x14ac:dyDescent="0.2">
      <c r="J589" s="354">
        <v>40630</v>
      </c>
      <c r="K589">
        <v>20.469999000000001</v>
      </c>
      <c r="L589">
        <v>20.469999000000001</v>
      </c>
      <c r="M589">
        <v>20.469999000000001</v>
      </c>
      <c r="N589">
        <v>20.469999000000001</v>
      </c>
      <c r="O589">
        <v>17.188648000000001</v>
      </c>
      <c r="P589">
        <v>0</v>
      </c>
      <c r="R589" s="273">
        <f>(O589/O588)*('16. câmbio USD-BRL'!O385/'16. câmbio USD-BRL'!O384)^-1-1</f>
        <v>2.5806150321579624E-2</v>
      </c>
    </row>
    <row r="590" spans="10:18" x14ac:dyDescent="0.2">
      <c r="J590" s="354">
        <v>40637</v>
      </c>
      <c r="K590">
        <v>20.469999000000001</v>
      </c>
      <c r="L590">
        <v>20.469999000000001</v>
      </c>
      <c r="M590">
        <v>19.420000000000002</v>
      </c>
      <c r="N590">
        <v>19.719999000000001</v>
      </c>
      <c r="O590">
        <v>16.558873999999999</v>
      </c>
      <c r="P590">
        <v>16103400</v>
      </c>
      <c r="R590" s="273">
        <f>(O590/O589)*('16. câmbio USD-BRL'!O386/'16. câmbio USD-BRL'!O385)^-1-1</f>
        <v>-1.5894844656984874E-2</v>
      </c>
    </row>
    <row r="591" spans="10:18" x14ac:dyDescent="0.2">
      <c r="J591" s="354">
        <v>40644</v>
      </c>
      <c r="K591">
        <v>19.66</v>
      </c>
      <c r="L591">
        <v>19.68</v>
      </c>
      <c r="M591">
        <v>17.299999</v>
      </c>
      <c r="N591">
        <v>17.629999000000002</v>
      </c>
      <c r="O591">
        <v>14.803905</v>
      </c>
      <c r="P591">
        <v>42249800</v>
      </c>
      <c r="R591" s="273">
        <f>(O591/O590)*('16. câmbio USD-BRL'!O387/'16. câmbio USD-BRL'!O386)^-1-1</f>
        <v>-0.1054781839772827</v>
      </c>
    </row>
    <row r="592" spans="10:18" x14ac:dyDescent="0.2">
      <c r="J592" s="354">
        <v>40651</v>
      </c>
      <c r="K592">
        <v>17.469999000000001</v>
      </c>
      <c r="L592">
        <v>17.57</v>
      </c>
      <c r="M592">
        <v>17.049999</v>
      </c>
      <c r="N592">
        <v>17.399999999999999</v>
      </c>
      <c r="O592">
        <v>14.610775</v>
      </c>
      <c r="P592">
        <v>15575400</v>
      </c>
      <c r="R592" s="273">
        <f>(O592/O591)*('16. câmbio USD-BRL'!O388/'16. câmbio USD-BRL'!O387)^-1-1</f>
        <v>1.4218965048455878E-3</v>
      </c>
    </row>
    <row r="593" spans="10:18" x14ac:dyDescent="0.2">
      <c r="J593" s="354">
        <v>40658</v>
      </c>
      <c r="K593">
        <v>17.59</v>
      </c>
      <c r="L593">
        <v>17.670000000000002</v>
      </c>
      <c r="M593">
        <v>15.94</v>
      </c>
      <c r="N593">
        <v>16.149999999999999</v>
      </c>
      <c r="O593">
        <v>13.56115</v>
      </c>
      <c r="P593">
        <v>29226500</v>
      </c>
      <c r="R593" s="273">
        <f>(O593/O592)*('16. câmbio USD-BRL'!O389/'16. câmbio USD-BRL'!O388)^-1-1</f>
        <v>-8.1961517880676293E-2</v>
      </c>
    </row>
    <row r="594" spans="10:18" x14ac:dyDescent="0.2">
      <c r="J594" s="354">
        <v>40665</v>
      </c>
      <c r="K594">
        <v>16.23</v>
      </c>
      <c r="L594">
        <v>16.379999000000002</v>
      </c>
      <c r="M594">
        <v>14.85</v>
      </c>
      <c r="N594">
        <v>15.4</v>
      </c>
      <c r="O594">
        <v>12.931374999999999</v>
      </c>
      <c r="P594">
        <v>37997700</v>
      </c>
      <c r="R594" s="273">
        <f>(O594/O593)*('16. câmbio USD-BRL'!O390/'16. câmbio USD-BRL'!O389)^-1-1</f>
        <v>-6.914905219916978E-2</v>
      </c>
    </row>
    <row r="595" spans="10:18" x14ac:dyDescent="0.2">
      <c r="J595" s="354">
        <v>40672</v>
      </c>
      <c r="K595">
        <v>15.5</v>
      </c>
      <c r="L595">
        <v>15.6</v>
      </c>
      <c r="M595">
        <v>14.98</v>
      </c>
      <c r="N595">
        <v>15.07</v>
      </c>
      <c r="O595">
        <v>12.654272000000001</v>
      </c>
      <c r="P595">
        <v>14605510</v>
      </c>
      <c r="R595" s="273">
        <f>(O595/O594)*('16. câmbio USD-BRL'!O391/'16. câmbio USD-BRL'!O390)^-1-1</f>
        <v>-1.6283138485663318E-2</v>
      </c>
    </row>
    <row r="596" spans="10:18" x14ac:dyDescent="0.2">
      <c r="J596" s="354">
        <v>40679</v>
      </c>
      <c r="K596">
        <v>15.07</v>
      </c>
      <c r="L596">
        <v>15.6</v>
      </c>
      <c r="M596">
        <v>14.7</v>
      </c>
      <c r="N596">
        <v>14.75</v>
      </c>
      <c r="O596">
        <v>12.385571000000001</v>
      </c>
      <c r="P596">
        <v>21986400</v>
      </c>
      <c r="R596" s="273">
        <f>(O596/O595)*('16. câmbio USD-BRL'!O392/'16. câmbio USD-BRL'!O391)^-1-1</f>
        <v>-2.0870589182949928E-2</v>
      </c>
    </row>
    <row r="597" spans="10:18" x14ac:dyDescent="0.2">
      <c r="J597" s="354">
        <v>40686</v>
      </c>
      <c r="K597">
        <v>14.5</v>
      </c>
      <c r="L597">
        <v>15.14</v>
      </c>
      <c r="M597">
        <v>14.31</v>
      </c>
      <c r="N597">
        <v>14.92</v>
      </c>
      <c r="O597">
        <v>12.528319</v>
      </c>
      <c r="P597">
        <v>23688800</v>
      </c>
      <c r="R597" s="273">
        <f>(O597/O596)*('16. câmbio USD-BRL'!O393/'16. câmbio USD-BRL'!O392)^-1-1</f>
        <v>7.5348626960349829E-3</v>
      </c>
    </row>
    <row r="598" spans="10:18" x14ac:dyDescent="0.2">
      <c r="J598" s="354">
        <v>40693</v>
      </c>
      <c r="K598">
        <v>15.05</v>
      </c>
      <c r="L598">
        <v>15.38</v>
      </c>
      <c r="M598">
        <v>14.65</v>
      </c>
      <c r="N598">
        <v>15.07</v>
      </c>
      <c r="O598">
        <v>12.654272000000001</v>
      </c>
      <c r="P598">
        <v>19299500</v>
      </c>
      <c r="R598" s="273">
        <f>(O598/O597)*('16. câmbio USD-BRL'!O394/'16. câmbio USD-BRL'!O393)^-1-1</f>
        <v>3.8738341757939665E-2</v>
      </c>
    </row>
    <row r="599" spans="10:18" x14ac:dyDescent="0.2">
      <c r="J599" s="354">
        <v>40700</v>
      </c>
      <c r="K599">
        <v>15.14</v>
      </c>
      <c r="L599">
        <v>15.14</v>
      </c>
      <c r="M599">
        <v>14.02</v>
      </c>
      <c r="N599">
        <v>14.02</v>
      </c>
      <c r="O599">
        <v>11.772591</v>
      </c>
      <c r="P599">
        <v>21926500</v>
      </c>
      <c r="R599" s="273">
        <f>(O599/O598)*('16. câmbio USD-BRL'!O395/'16. câmbio USD-BRL'!O394)^-1-1</f>
        <v>-7.5185354545760474E-2</v>
      </c>
    </row>
    <row r="600" spans="10:18" x14ac:dyDescent="0.2">
      <c r="J600" s="354">
        <v>40707</v>
      </c>
      <c r="K600">
        <v>14.09</v>
      </c>
      <c r="L600">
        <v>14.09</v>
      </c>
      <c r="M600">
        <v>13.15</v>
      </c>
      <c r="N600">
        <v>13.22</v>
      </c>
      <c r="O600">
        <v>11.100828999999999</v>
      </c>
      <c r="P600">
        <v>22263800</v>
      </c>
      <c r="R600" s="273">
        <f>(O600/O599)*('16. câmbio USD-BRL'!O396/'16. câmbio USD-BRL'!O395)^-1-1</f>
        <v>-6.8333811473347716E-2</v>
      </c>
    </row>
    <row r="601" spans="10:18" x14ac:dyDescent="0.2">
      <c r="J601" s="354">
        <v>40714</v>
      </c>
      <c r="K601">
        <v>13.1</v>
      </c>
      <c r="L601">
        <v>13.55</v>
      </c>
      <c r="M601">
        <v>12.91</v>
      </c>
      <c r="N601">
        <v>12.93</v>
      </c>
      <c r="O601">
        <v>10.857317</v>
      </c>
      <c r="P601">
        <v>19813500</v>
      </c>
      <c r="R601" s="273">
        <f>(O601/O600)*('16. câmbio USD-BRL'!O397/'16. câmbio USD-BRL'!O396)^-1-1</f>
        <v>-1.2343300500770482E-2</v>
      </c>
    </row>
    <row r="602" spans="10:18" x14ac:dyDescent="0.2">
      <c r="J602" s="354">
        <v>40721</v>
      </c>
      <c r="K602">
        <v>13.01</v>
      </c>
      <c r="L602">
        <v>14.08</v>
      </c>
      <c r="M602">
        <v>12.85</v>
      </c>
      <c r="N602">
        <v>13.91</v>
      </c>
      <c r="O602">
        <v>11.680221</v>
      </c>
      <c r="P602">
        <v>28683200</v>
      </c>
      <c r="R602" s="273">
        <f>(O602/O601)*('16. câmbio USD-BRL'!O398/'16. câmbio USD-BRL'!O397)^-1-1</f>
        <v>9.5842249666965307E-2</v>
      </c>
    </row>
    <row r="603" spans="10:18" x14ac:dyDescent="0.2">
      <c r="J603" s="354">
        <v>40728</v>
      </c>
      <c r="K603">
        <v>13.9</v>
      </c>
      <c r="L603">
        <v>14.24</v>
      </c>
      <c r="M603">
        <v>13.3</v>
      </c>
      <c r="N603">
        <v>13.44</v>
      </c>
      <c r="O603">
        <v>11.285562000000001</v>
      </c>
      <c r="P603">
        <v>16627800</v>
      </c>
      <c r="R603" s="273">
        <f>(O603/O602)*('16. câmbio USD-BRL'!O399/'16. câmbio USD-BRL'!O398)^-1-1</f>
        <v>-2.9499910950523733E-2</v>
      </c>
    </row>
    <row r="604" spans="10:18" x14ac:dyDescent="0.2">
      <c r="J604" s="354">
        <v>40735</v>
      </c>
      <c r="K604">
        <v>13.2</v>
      </c>
      <c r="L604">
        <v>13.28</v>
      </c>
      <c r="M604">
        <v>11.95</v>
      </c>
      <c r="N604">
        <v>11.96</v>
      </c>
      <c r="O604">
        <v>10.042808000000001</v>
      </c>
      <c r="P604">
        <v>24805000</v>
      </c>
      <c r="R604" s="273">
        <f>(O604/O603)*('16. câmbio USD-BRL'!O400/'16. câmbio USD-BRL'!O399)^-1-1</f>
        <v>-0.12253718683630044</v>
      </c>
    </row>
    <row r="605" spans="10:18" x14ac:dyDescent="0.2">
      <c r="J605" s="354">
        <v>40742</v>
      </c>
      <c r="K605">
        <v>11.89</v>
      </c>
      <c r="L605">
        <v>12.2</v>
      </c>
      <c r="M605">
        <v>11.4</v>
      </c>
      <c r="N605">
        <v>11.63</v>
      </c>
      <c r="O605">
        <v>9.7657059999999998</v>
      </c>
      <c r="P605">
        <v>28074300</v>
      </c>
      <c r="R605" s="273">
        <f>(O605/O604)*('16. câmbio USD-BRL'!O401/'16. câmbio USD-BRL'!O400)^-1-1</f>
        <v>-1.243246802985154E-2</v>
      </c>
    </row>
    <row r="606" spans="10:18" x14ac:dyDescent="0.2">
      <c r="J606" s="354">
        <v>40749</v>
      </c>
      <c r="K606">
        <v>11.64</v>
      </c>
      <c r="L606">
        <v>11.71</v>
      </c>
      <c r="M606">
        <v>10.66</v>
      </c>
      <c r="N606">
        <v>11</v>
      </c>
      <c r="O606">
        <v>9.2366960000000002</v>
      </c>
      <c r="P606">
        <v>22966420</v>
      </c>
      <c r="R606" s="273">
        <f>(O606/O605)*('16. câmbio USD-BRL'!O402/'16. câmbio USD-BRL'!O401)^-1-1</f>
        <v>-6.0524931003768101E-2</v>
      </c>
    </row>
    <row r="607" spans="10:18" x14ac:dyDescent="0.2">
      <c r="J607" s="354">
        <v>40756</v>
      </c>
      <c r="K607">
        <v>11.3</v>
      </c>
      <c r="L607">
        <v>11.35</v>
      </c>
      <c r="M607">
        <v>9.86</v>
      </c>
      <c r="N607">
        <v>10.7</v>
      </c>
      <c r="O607">
        <v>8.9847859999999997</v>
      </c>
      <c r="P607">
        <v>41869400</v>
      </c>
      <c r="R607" s="273">
        <f>(O607/O606)*('16. câmbio USD-BRL'!O403/'16. câmbio USD-BRL'!O402)^-1-1</f>
        <v>-3.5909333231495477E-2</v>
      </c>
    </row>
    <row r="608" spans="10:18" x14ac:dyDescent="0.2">
      <c r="J608" s="354">
        <v>40763</v>
      </c>
      <c r="K608">
        <v>10.08</v>
      </c>
      <c r="L608">
        <v>13.47</v>
      </c>
      <c r="M608">
        <v>9.91</v>
      </c>
      <c r="N608">
        <v>13.45</v>
      </c>
      <c r="O608">
        <v>11.29396</v>
      </c>
      <c r="P608">
        <v>69485000</v>
      </c>
      <c r="R608" s="273">
        <f>(O608/O607)*('16. câmbio USD-BRL'!O404/'16. câmbio USD-BRL'!O403)^-1-1</f>
        <v>0.22100187357177692</v>
      </c>
    </row>
    <row r="609" spans="10:18" x14ac:dyDescent="0.2">
      <c r="J609" s="354">
        <v>40770</v>
      </c>
      <c r="K609">
        <v>13.63</v>
      </c>
      <c r="L609">
        <v>14.24</v>
      </c>
      <c r="M609">
        <v>11.8</v>
      </c>
      <c r="N609">
        <v>12.26</v>
      </c>
      <c r="O609">
        <v>10.294718</v>
      </c>
      <c r="P609">
        <v>52912000</v>
      </c>
      <c r="R609" s="273">
        <f>(O609/O608)*('16. câmbio USD-BRL'!O405/'16. câmbio USD-BRL'!O404)^-1-1</f>
        <v>-7.9230084089001784E-2</v>
      </c>
    </row>
    <row r="610" spans="10:18" x14ac:dyDescent="0.2">
      <c r="J610" s="354">
        <v>40777</v>
      </c>
      <c r="K610">
        <v>12.6</v>
      </c>
      <c r="L610">
        <v>13.72</v>
      </c>
      <c r="M610">
        <v>12.17</v>
      </c>
      <c r="N610">
        <v>12.25</v>
      </c>
      <c r="O610">
        <v>10.28632</v>
      </c>
      <c r="P610">
        <v>40442600</v>
      </c>
      <c r="R610" s="273">
        <f>(O610/O609)*('16. câmbio USD-BRL'!O406/'16. câmbio USD-BRL'!O405)^-1-1</f>
        <v>-2.0577522248654834E-3</v>
      </c>
    </row>
    <row r="611" spans="10:18" x14ac:dyDescent="0.2">
      <c r="J611" s="354">
        <v>40784</v>
      </c>
      <c r="K611">
        <v>12.45</v>
      </c>
      <c r="L611">
        <v>12.73</v>
      </c>
      <c r="M611">
        <v>11.42</v>
      </c>
      <c r="N611">
        <v>11.6</v>
      </c>
      <c r="O611">
        <v>9.7405170000000005</v>
      </c>
      <c r="P611">
        <v>43863300</v>
      </c>
      <c r="R611" s="273">
        <f>(O611/O610)*('16. câmbio USD-BRL'!O407/'16. câmbio USD-BRL'!O406)^-1-1</f>
        <v>-4.7138986154430129E-2</v>
      </c>
    </row>
    <row r="612" spans="10:18" x14ac:dyDescent="0.2">
      <c r="J612" s="354">
        <v>40791</v>
      </c>
      <c r="K612">
        <v>11.36</v>
      </c>
      <c r="L612">
        <v>12.44</v>
      </c>
      <c r="M612">
        <v>11.01</v>
      </c>
      <c r="N612">
        <v>11.95</v>
      </c>
      <c r="O612">
        <v>10.034409999999999</v>
      </c>
      <c r="P612">
        <v>32613700</v>
      </c>
      <c r="R612" s="273">
        <f>(O612/O611)*('16. câmbio USD-BRL'!O408/'16. câmbio USD-BRL'!O407)^-1-1</f>
        <v>-2.6366092303683475E-3</v>
      </c>
    </row>
    <row r="613" spans="10:18" x14ac:dyDescent="0.2">
      <c r="J613" s="354">
        <v>40798</v>
      </c>
      <c r="K613">
        <v>11.75</v>
      </c>
      <c r="L613">
        <v>12.43</v>
      </c>
      <c r="M613">
        <v>11.41</v>
      </c>
      <c r="N613">
        <v>12.29</v>
      </c>
      <c r="O613">
        <v>10.319908</v>
      </c>
      <c r="P613">
        <v>28412800</v>
      </c>
      <c r="R613" s="273">
        <f>(O613/O612)*('16. câmbio USD-BRL'!O409/'16. câmbio USD-BRL'!O408)^-1-1</f>
        <v>-6.148760679827503E-3</v>
      </c>
    </row>
    <row r="614" spans="10:18" x14ac:dyDescent="0.2">
      <c r="J614" s="354">
        <v>40805</v>
      </c>
      <c r="K614">
        <v>12.1</v>
      </c>
      <c r="L614">
        <v>12.79</v>
      </c>
      <c r="M614">
        <v>11.52</v>
      </c>
      <c r="N614">
        <v>11.6</v>
      </c>
      <c r="O614">
        <v>9.7405170000000005</v>
      </c>
      <c r="P614">
        <v>43915500</v>
      </c>
      <c r="R614" s="273">
        <f>(O614/O613)*('16. câmbio USD-BRL'!O410/'16. câmbio USD-BRL'!O409)^-1-1</f>
        <v>-0.14048064172989749</v>
      </c>
    </row>
    <row r="615" spans="10:18" x14ac:dyDescent="0.2">
      <c r="J615" s="354">
        <v>40812</v>
      </c>
      <c r="K615">
        <v>11.84</v>
      </c>
      <c r="L615">
        <v>11.84</v>
      </c>
      <c r="M615">
        <v>10.51</v>
      </c>
      <c r="N615">
        <v>10.52</v>
      </c>
      <c r="O615">
        <v>8.8336389999999998</v>
      </c>
      <c r="P615">
        <v>30630100</v>
      </c>
      <c r="R615" s="273">
        <f>(O615/O614)*('16. câmbio USD-BRL'!O411/'16. câmbio USD-BRL'!O410)^-1-1</f>
        <v>-6.8740488538051481E-2</v>
      </c>
    </row>
    <row r="616" spans="10:18" x14ac:dyDescent="0.2">
      <c r="J616" s="354">
        <v>40819</v>
      </c>
      <c r="K616">
        <v>10.46</v>
      </c>
      <c r="L616">
        <v>10.75</v>
      </c>
      <c r="M616">
        <v>10.01</v>
      </c>
      <c r="N616">
        <v>10.4</v>
      </c>
      <c r="O616">
        <v>8.7328759999999992</v>
      </c>
      <c r="P616">
        <v>32383300</v>
      </c>
      <c r="R616" s="273">
        <f>(O616/O615)*('16. câmbio USD-BRL'!O412/'16. câmbio USD-BRL'!O411)^-1-1</f>
        <v>8.40793315881605E-5</v>
      </c>
    </row>
    <row r="617" spans="10:18" x14ac:dyDescent="0.2">
      <c r="J617" s="354">
        <v>40826</v>
      </c>
      <c r="K617">
        <v>10.4</v>
      </c>
      <c r="L617">
        <v>11.14</v>
      </c>
      <c r="M617">
        <v>10.4</v>
      </c>
      <c r="N617">
        <v>11.14</v>
      </c>
      <c r="O617">
        <v>9.3542550000000002</v>
      </c>
      <c r="P617">
        <v>26824700</v>
      </c>
      <c r="R617" s="273">
        <f>(O617/O616)*('16. câmbio USD-BRL'!O413/'16. câmbio USD-BRL'!O412)^-1-1</f>
        <v>0.11023688808080623</v>
      </c>
    </row>
    <row r="618" spans="10:18" x14ac:dyDescent="0.2">
      <c r="J618" s="354">
        <v>40833</v>
      </c>
      <c r="K618">
        <v>11.04</v>
      </c>
      <c r="L618">
        <v>11.25</v>
      </c>
      <c r="M618">
        <v>10.42</v>
      </c>
      <c r="N618">
        <v>11.25</v>
      </c>
      <c r="O618">
        <v>9.4466190000000001</v>
      </c>
      <c r="P618">
        <v>28679200</v>
      </c>
      <c r="R618" s="273">
        <f>(O618/O617)*('16. câmbio USD-BRL'!O414/'16. câmbio USD-BRL'!O413)^-1-1</f>
        <v>-1.4934871041005437E-2</v>
      </c>
    </row>
    <row r="619" spans="10:18" x14ac:dyDescent="0.2">
      <c r="J619" s="354">
        <v>40840</v>
      </c>
      <c r="K619">
        <v>11.41</v>
      </c>
      <c r="L619">
        <v>12.65</v>
      </c>
      <c r="M619">
        <v>11.37</v>
      </c>
      <c r="N619">
        <v>12.35</v>
      </c>
      <c r="O619">
        <v>10.370289</v>
      </c>
      <c r="P619">
        <v>16638900</v>
      </c>
      <c r="R619" s="273">
        <f>(O619/O618)*('16. câmbio USD-BRL'!O415/'16. câmbio USD-BRL'!O414)^-1-1</f>
        <v>0.14788121700852619</v>
      </c>
    </row>
    <row r="620" spans="10:18" x14ac:dyDescent="0.2">
      <c r="J620" s="354">
        <v>40847</v>
      </c>
      <c r="K620">
        <v>12.05</v>
      </c>
      <c r="L620">
        <v>12.17</v>
      </c>
      <c r="M620">
        <v>11.3</v>
      </c>
      <c r="N620">
        <v>11.87</v>
      </c>
      <c r="O620">
        <v>9.9672339999999995</v>
      </c>
      <c r="P620">
        <v>20595400</v>
      </c>
      <c r="R620" s="273">
        <f>(O620/O619)*('16. câmbio USD-BRL'!O416/'16. câmbio USD-BRL'!O415)^-1-1</f>
        <v>-5.1355787292877486E-2</v>
      </c>
    </row>
    <row r="621" spans="10:18" x14ac:dyDescent="0.2">
      <c r="J621" s="354">
        <v>40854</v>
      </c>
      <c r="K621">
        <v>11.88</v>
      </c>
      <c r="L621">
        <v>12.5</v>
      </c>
      <c r="M621">
        <v>11.56</v>
      </c>
      <c r="N621">
        <v>12.4</v>
      </c>
      <c r="O621">
        <v>10.412274999999999</v>
      </c>
      <c r="P621">
        <v>24061700</v>
      </c>
      <c r="R621" s="273">
        <f>(O621/O620)*('16. câmbio USD-BRL'!O417/'16. câmbio USD-BRL'!O416)^-1-1</f>
        <v>2.7734187617556749E-2</v>
      </c>
    </row>
    <row r="622" spans="10:18" x14ac:dyDescent="0.2">
      <c r="J622" s="354">
        <v>40861</v>
      </c>
      <c r="K622">
        <v>12.33</v>
      </c>
      <c r="L622">
        <v>12.41</v>
      </c>
      <c r="M622">
        <v>11.7</v>
      </c>
      <c r="N622">
        <v>11.98</v>
      </c>
      <c r="O622">
        <v>10.059602999999999</v>
      </c>
      <c r="P622">
        <v>21707800</v>
      </c>
      <c r="R622" s="273">
        <f>(O622/O621)*('16. câmbio USD-BRL'!O418/'16. câmbio USD-BRL'!O417)^-1-1</f>
        <v>-3.6334708863440923E-2</v>
      </c>
    </row>
    <row r="623" spans="10:18" x14ac:dyDescent="0.2">
      <c r="J623" s="354">
        <v>40868</v>
      </c>
      <c r="K623">
        <v>11.83</v>
      </c>
      <c r="L623">
        <v>12.02</v>
      </c>
      <c r="M623">
        <v>10.31</v>
      </c>
      <c r="N623">
        <v>10.6</v>
      </c>
      <c r="O623">
        <v>8.900817</v>
      </c>
      <c r="P623">
        <v>29383100</v>
      </c>
      <c r="R623" s="273">
        <f>(O623/O622)*('16. câmbio USD-BRL'!O419/'16. câmbio USD-BRL'!O418)^-1-1</f>
        <v>-0.16755868890943615</v>
      </c>
    </row>
    <row r="624" spans="10:18" x14ac:dyDescent="0.2">
      <c r="J624" s="354">
        <v>40875</v>
      </c>
      <c r="K624">
        <v>11.05</v>
      </c>
      <c r="L624">
        <v>11.36</v>
      </c>
      <c r="M624">
        <v>10.17</v>
      </c>
      <c r="N624">
        <v>10.62</v>
      </c>
      <c r="O624">
        <v>8.9176090000000006</v>
      </c>
      <c r="P624">
        <v>43521700</v>
      </c>
      <c r="R624" s="273">
        <f>(O624/O623)*('16. câmbio USD-BRL'!O420/'16. câmbio USD-BRL'!O419)^-1-1</f>
        <v>4.4490416351305351E-2</v>
      </c>
    </row>
    <row r="625" spans="10:18" x14ac:dyDescent="0.2">
      <c r="J625" s="354">
        <v>40882</v>
      </c>
      <c r="K625">
        <v>10.79</v>
      </c>
      <c r="L625">
        <v>11.23</v>
      </c>
      <c r="M625">
        <v>10.41</v>
      </c>
      <c r="N625">
        <v>10.49</v>
      </c>
      <c r="O625">
        <v>8.8084480000000003</v>
      </c>
      <c r="P625">
        <v>24743300</v>
      </c>
      <c r="R625" s="273">
        <f>(O625/O624)*('16. câmbio USD-BRL'!O421/'16. câmbio USD-BRL'!O420)^-1-1</f>
        <v>-2.202623533173298E-2</v>
      </c>
    </row>
    <row r="626" spans="10:18" x14ac:dyDescent="0.2">
      <c r="J626" s="354">
        <v>40889</v>
      </c>
      <c r="K626">
        <v>10.49</v>
      </c>
      <c r="L626">
        <v>10.49</v>
      </c>
      <c r="M626">
        <v>10</v>
      </c>
      <c r="N626">
        <v>10</v>
      </c>
      <c r="O626">
        <v>8.3969959999999997</v>
      </c>
      <c r="P626">
        <v>26535200</v>
      </c>
      <c r="R626" s="273">
        <f>(O626/O625)*('16. câmbio USD-BRL'!O422/'16. câmbio USD-BRL'!O421)^-1-1</f>
        <v>-6.8148271880095868E-2</v>
      </c>
    </row>
    <row r="627" spans="10:18" x14ac:dyDescent="0.2">
      <c r="J627" s="354">
        <v>40896</v>
      </c>
      <c r="K627">
        <v>10</v>
      </c>
      <c r="L627">
        <v>10.48</v>
      </c>
      <c r="M627">
        <v>9.7100000000000009</v>
      </c>
      <c r="N627">
        <v>10.48</v>
      </c>
      <c r="O627">
        <v>8.8000509999999998</v>
      </c>
      <c r="P627">
        <v>20172900</v>
      </c>
      <c r="R627" s="273">
        <f>(O627/O626)*('16. câmbio USD-BRL'!O423/'16. câmbio USD-BRL'!O422)^-1-1</f>
        <v>5.2416110825055595E-2</v>
      </c>
    </row>
    <row r="628" spans="10:18" x14ac:dyDescent="0.2">
      <c r="J628" s="354">
        <v>40903</v>
      </c>
      <c r="K628">
        <v>10.46</v>
      </c>
      <c r="L628">
        <v>10.62</v>
      </c>
      <c r="M628">
        <v>10.15</v>
      </c>
      <c r="N628">
        <v>10.15</v>
      </c>
      <c r="O628">
        <v>8.5229479999999995</v>
      </c>
      <c r="P628">
        <v>11929400</v>
      </c>
      <c r="R628" s="273">
        <f>(O628/O627)*('16. câmbio USD-BRL'!O424/'16. câmbio USD-BRL'!O423)^-1-1</f>
        <v>-3.8862191260642609E-2</v>
      </c>
    </row>
    <row r="629" spans="10:18" x14ac:dyDescent="0.2">
      <c r="J629" s="354">
        <v>40910</v>
      </c>
      <c r="K629">
        <v>10.15</v>
      </c>
      <c r="L629">
        <v>10.85</v>
      </c>
      <c r="M629">
        <v>10.08</v>
      </c>
      <c r="N629">
        <v>10.4</v>
      </c>
      <c r="O629">
        <v>8.7328759999999992</v>
      </c>
      <c r="P629">
        <v>25695100</v>
      </c>
      <c r="R629" s="273">
        <f>(O629/O628)*('16. câmbio USD-BRL'!O425/'16. câmbio USD-BRL'!O424)^-1-1</f>
        <v>3.4391416413026787E-2</v>
      </c>
    </row>
    <row r="630" spans="10:18" x14ac:dyDescent="0.2">
      <c r="J630" s="354">
        <v>40917</v>
      </c>
      <c r="K630">
        <v>10.46</v>
      </c>
      <c r="L630">
        <v>11.4</v>
      </c>
      <c r="M630">
        <v>10.44</v>
      </c>
      <c r="N630">
        <v>10.96</v>
      </c>
      <c r="O630">
        <v>9.2031080000000003</v>
      </c>
      <c r="P630">
        <v>26887600</v>
      </c>
      <c r="R630" s="273">
        <f>(O630/O629)*('16. câmbio USD-BRL'!O426/'16. câmbio USD-BRL'!O425)^-1-1</f>
        <v>8.7271721808531266E-2</v>
      </c>
    </row>
    <row r="631" spans="10:18" x14ac:dyDescent="0.2">
      <c r="J631" s="354">
        <v>40924</v>
      </c>
      <c r="K631">
        <v>10.94</v>
      </c>
      <c r="L631">
        <v>11.48</v>
      </c>
      <c r="M631">
        <v>10.86</v>
      </c>
      <c r="N631">
        <v>11.48</v>
      </c>
      <c r="O631">
        <v>9.6397510000000004</v>
      </c>
      <c r="P631">
        <v>20396600</v>
      </c>
      <c r="R631" s="273">
        <f>(O631/O630)*('16. câmbio USD-BRL'!O427/'16. câmbio USD-BRL'!O426)^-1-1</f>
        <v>6.5714905883770713E-2</v>
      </c>
    </row>
    <row r="632" spans="10:18" x14ac:dyDescent="0.2">
      <c r="J632" s="354">
        <v>40931</v>
      </c>
      <c r="K632">
        <v>11.54</v>
      </c>
      <c r="L632">
        <v>11.95</v>
      </c>
      <c r="M632">
        <v>11.32</v>
      </c>
      <c r="N632">
        <v>11.71</v>
      </c>
      <c r="O632">
        <v>9.8328810000000004</v>
      </c>
      <c r="P632">
        <v>22616400</v>
      </c>
      <c r="R632" s="273">
        <f>(O632/O631)*('16. câmbio USD-BRL'!O428/'16. câmbio USD-BRL'!O427)^-1-1</f>
        <v>3.3005272283664455E-2</v>
      </c>
    </row>
    <row r="633" spans="10:18" x14ac:dyDescent="0.2">
      <c r="J633" s="354">
        <v>40938</v>
      </c>
      <c r="K633">
        <v>11.57</v>
      </c>
      <c r="L633">
        <v>12.22</v>
      </c>
      <c r="M633">
        <v>11.42</v>
      </c>
      <c r="N633">
        <v>12</v>
      </c>
      <c r="O633">
        <v>10.076394000000001</v>
      </c>
      <c r="P633">
        <v>23370600</v>
      </c>
      <c r="R633" s="273">
        <f>(O633/O632)*('16. câmbio USD-BRL'!O429/'16. câmbio USD-BRL'!O428)^-1-1</f>
        <v>3.8326747998200128E-2</v>
      </c>
    </row>
    <row r="634" spans="10:18" x14ac:dyDescent="0.2">
      <c r="J634" s="354">
        <v>40945</v>
      </c>
      <c r="K634">
        <v>12.05</v>
      </c>
      <c r="L634">
        <v>12.43</v>
      </c>
      <c r="M634">
        <v>11.84</v>
      </c>
      <c r="N634">
        <v>11.85</v>
      </c>
      <c r="O634">
        <v>9.9504400000000004</v>
      </c>
      <c r="P634">
        <v>26715700</v>
      </c>
      <c r="R634" s="273">
        <f>(O634/O633)*('16. câmbio USD-BRL'!O430/'16. câmbio USD-BRL'!O429)^-1-1</f>
        <v>-1.4510758981654437E-2</v>
      </c>
    </row>
    <row r="635" spans="10:18" x14ac:dyDescent="0.2">
      <c r="J635" s="354">
        <v>40952</v>
      </c>
      <c r="K635">
        <v>12.05</v>
      </c>
      <c r="L635">
        <v>12.28</v>
      </c>
      <c r="M635">
        <v>11.69</v>
      </c>
      <c r="N635">
        <v>11.98</v>
      </c>
      <c r="O635">
        <v>10.059602999999999</v>
      </c>
      <c r="P635">
        <v>25166000</v>
      </c>
      <c r="R635" s="273">
        <f>(O635/O634)*('16. câmbio USD-BRL'!O431/'16. câmbio USD-BRL'!O430)^-1-1</f>
        <v>1.6589474464639764E-2</v>
      </c>
    </row>
    <row r="636" spans="10:18" x14ac:dyDescent="0.2">
      <c r="J636" s="354">
        <v>40959</v>
      </c>
      <c r="K636">
        <v>11.98</v>
      </c>
      <c r="L636">
        <v>12.12</v>
      </c>
      <c r="M636">
        <v>11.82</v>
      </c>
      <c r="N636">
        <v>11.86</v>
      </c>
      <c r="O636">
        <v>9.9588370000000008</v>
      </c>
      <c r="P636">
        <v>10204300</v>
      </c>
      <c r="R636" s="273">
        <f>(O636/O635)*('16. câmbio USD-BRL'!O432/'16. câmbio USD-BRL'!O431)^-1-1</f>
        <v>-8.4506509045274569E-3</v>
      </c>
    </row>
    <row r="637" spans="10:18" x14ac:dyDescent="0.2">
      <c r="J637" s="354">
        <v>40966</v>
      </c>
      <c r="K637">
        <v>11.75</v>
      </c>
      <c r="L637">
        <v>12.26</v>
      </c>
      <c r="M637">
        <v>11.61</v>
      </c>
      <c r="N637">
        <v>12.18</v>
      </c>
      <c r="O637">
        <v>10.227542</v>
      </c>
      <c r="P637">
        <v>24777900</v>
      </c>
      <c r="R637" s="273">
        <f>(O637/O636)*('16. câmbio USD-BRL'!O433/'16. câmbio USD-BRL'!O432)^-1-1</f>
        <v>1.3500686685659513E-2</v>
      </c>
    </row>
    <row r="638" spans="10:18" x14ac:dyDescent="0.2">
      <c r="J638" s="354">
        <v>40973</v>
      </c>
      <c r="K638">
        <v>12.26</v>
      </c>
      <c r="L638">
        <v>12.7</v>
      </c>
      <c r="M638">
        <v>11.71</v>
      </c>
      <c r="N638">
        <v>12.01</v>
      </c>
      <c r="O638">
        <v>10.084795</v>
      </c>
      <c r="P638">
        <v>39172800</v>
      </c>
      <c r="R638" s="273">
        <f>(O638/O637)*('16. câmbio USD-BRL'!O434/'16. câmbio USD-BRL'!O433)^-1-1</f>
        <v>-4.6915232449052491E-2</v>
      </c>
    </row>
    <row r="639" spans="10:18" x14ac:dyDescent="0.2">
      <c r="J639" s="354">
        <v>40980</v>
      </c>
      <c r="K639">
        <v>11.89</v>
      </c>
      <c r="L639">
        <v>13.68</v>
      </c>
      <c r="M639">
        <v>11.85</v>
      </c>
      <c r="N639">
        <v>13.61</v>
      </c>
      <c r="O639">
        <v>11.428311000000001</v>
      </c>
      <c r="P639">
        <v>34922800</v>
      </c>
      <c r="R639" s="273">
        <f>(O639/O638)*('16. câmbio USD-BRL'!O435/'16. câmbio USD-BRL'!O434)^-1-1</f>
        <v>0.12792622027443179</v>
      </c>
    </row>
    <row r="640" spans="10:18" x14ac:dyDescent="0.2">
      <c r="J640" s="354">
        <v>40987</v>
      </c>
      <c r="K640">
        <v>13.61</v>
      </c>
      <c r="L640">
        <v>13.7</v>
      </c>
      <c r="M640">
        <v>12.68</v>
      </c>
      <c r="N640">
        <v>13.1</v>
      </c>
      <c r="O640">
        <v>11.000063000000001</v>
      </c>
      <c r="P640">
        <v>26121700</v>
      </c>
      <c r="R640" s="273">
        <f>(O640/O639)*('16. câmbio USD-BRL'!O436/'16. câmbio USD-BRL'!O435)^-1-1</f>
        <v>-4.3697167613152343E-2</v>
      </c>
    </row>
    <row r="641" spans="10:18" x14ac:dyDescent="0.2">
      <c r="J641" s="354">
        <v>40994</v>
      </c>
      <c r="K641">
        <v>13.29</v>
      </c>
      <c r="L641">
        <v>13.38</v>
      </c>
      <c r="M641">
        <v>11.76</v>
      </c>
      <c r="N641">
        <v>12.01</v>
      </c>
      <c r="O641">
        <v>10.149406000000001</v>
      </c>
      <c r="P641">
        <v>36772300</v>
      </c>
      <c r="R641" s="273">
        <f>(O641/O640)*('16. câmbio USD-BRL'!O437/'16. câmbio USD-BRL'!O436)^-1-1</f>
        <v>-8.5019225754332517E-2</v>
      </c>
    </row>
    <row r="642" spans="10:18" x14ac:dyDescent="0.2">
      <c r="J642" s="354">
        <v>41001</v>
      </c>
      <c r="K642">
        <v>12.07</v>
      </c>
      <c r="L642">
        <v>12.52</v>
      </c>
      <c r="M642">
        <v>11.81</v>
      </c>
      <c r="N642">
        <v>12.05</v>
      </c>
      <c r="O642">
        <v>10.183210000000001</v>
      </c>
      <c r="P642">
        <v>18048400</v>
      </c>
      <c r="R642" s="273">
        <f>(O642/O641)*('16. câmbio USD-BRL'!O438/'16. câmbio USD-BRL'!O437)^-1-1</f>
        <v>6.9181013545034364E-3</v>
      </c>
    </row>
    <row r="643" spans="10:18" x14ac:dyDescent="0.2">
      <c r="J643" s="354">
        <v>41008</v>
      </c>
      <c r="K643">
        <v>11.86</v>
      </c>
      <c r="L643">
        <v>11.95</v>
      </c>
      <c r="M643">
        <v>11.07</v>
      </c>
      <c r="N643">
        <v>11.24</v>
      </c>
      <c r="O643">
        <v>9.4986940000000004</v>
      </c>
      <c r="P643">
        <v>26365700</v>
      </c>
      <c r="R643" s="273">
        <f>(O643/O642)*('16. câmbio USD-BRL'!O439/'16. câmbio USD-BRL'!O438)^-1-1</f>
        <v>-7.7169713937615625E-2</v>
      </c>
    </row>
    <row r="644" spans="10:18" x14ac:dyDescent="0.2">
      <c r="J644" s="354">
        <v>41015</v>
      </c>
      <c r="K644">
        <v>11.26</v>
      </c>
      <c r="L644">
        <v>12.19</v>
      </c>
      <c r="M644">
        <v>11.12</v>
      </c>
      <c r="N644">
        <v>11.65</v>
      </c>
      <c r="O644">
        <v>9.8451789999999999</v>
      </c>
      <c r="P644">
        <v>25264600</v>
      </c>
      <c r="R644" s="273">
        <f>(O644/O643)*('16. câmbio USD-BRL'!O440/'16. câmbio USD-BRL'!O439)^-1-1</f>
        <v>1.8245673561547271E-2</v>
      </c>
    </row>
    <row r="645" spans="10:18" x14ac:dyDescent="0.2">
      <c r="J645" s="354">
        <v>41022</v>
      </c>
      <c r="K645">
        <v>11.36</v>
      </c>
      <c r="L645">
        <v>11.67</v>
      </c>
      <c r="M645">
        <v>10.95</v>
      </c>
      <c r="N645">
        <v>11.02</v>
      </c>
      <c r="O645">
        <v>9.3127779999999998</v>
      </c>
      <c r="P645">
        <v>22551800</v>
      </c>
      <c r="R645" s="273">
        <f>(O645/O644)*('16. câmbio USD-BRL'!O441/'16. câmbio USD-BRL'!O440)^-1-1</f>
        <v>-6.1403840440524604E-2</v>
      </c>
    </row>
    <row r="646" spans="10:18" x14ac:dyDescent="0.2">
      <c r="J646" s="354">
        <v>41029</v>
      </c>
      <c r="K646">
        <v>11</v>
      </c>
      <c r="L646">
        <v>11.1</v>
      </c>
      <c r="M646">
        <v>10.25</v>
      </c>
      <c r="N646">
        <v>10.25</v>
      </c>
      <c r="O646">
        <v>8.6620659999999994</v>
      </c>
      <c r="P646">
        <v>17941800</v>
      </c>
      <c r="R646" s="273">
        <f>(O646/O645)*('16. câmbio USD-BRL'!O442/'16. câmbio USD-BRL'!O441)^-1-1</f>
        <v>-7.536686963114636E-2</v>
      </c>
    </row>
    <row r="647" spans="10:18" x14ac:dyDescent="0.2">
      <c r="J647" s="354">
        <v>41036</v>
      </c>
      <c r="K647">
        <v>10.1</v>
      </c>
      <c r="L647">
        <v>10.57</v>
      </c>
      <c r="M647">
        <v>9.94</v>
      </c>
      <c r="N647">
        <v>10.35</v>
      </c>
      <c r="O647">
        <v>8.746575</v>
      </c>
      <c r="P647">
        <v>30339800</v>
      </c>
      <c r="R647" s="273">
        <f>(O647/O646)*('16. câmbio USD-BRL'!O443/'16. câmbio USD-BRL'!O442)^-1-1</f>
        <v>-2.3610535621413686E-2</v>
      </c>
    </row>
    <row r="648" spans="10:18" x14ac:dyDescent="0.2">
      <c r="J648" s="354">
        <v>41043</v>
      </c>
      <c r="K648">
        <v>10.199999999999999</v>
      </c>
      <c r="L648">
        <v>10.28</v>
      </c>
      <c r="M648">
        <v>9.1</v>
      </c>
      <c r="N648">
        <v>9.39</v>
      </c>
      <c r="O648">
        <v>7.9352980000000004</v>
      </c>
      <c r="P648">
        <v>29348200</v>
      </c>
      <c r="R648" s="273">
        <f>(O648/O647)*('16. câmbio USD-BRL'!O444/'16. câmbio USD-BRL'!O443)^-1-1</f>
        <v>-0.12038463477678674</v>
      </c>
    </row>
    <row r="649" spans="10:18" x14ac:dyDescent="0.2">
      <c r="J649" s="354">
        <v>41050</v>
      </c>
      <c r="K649">
        <v>9.39</v>
      </c>
      <c r="L649">
        <v>9.98</v>
      </c>
      <c r="M649">
        <v>9.0299999999999994</v>
      </c>
      <c r="N649">
        <v>9.2200000000000006</v>
      </c>
      <c r="O649">
        <v>7.7916359999999996</v>
      </c>
      <c r="P649">
        <v>23595800</v>
      </c>
      <c r="R649" s="273">
        <f>(O649/O648)*('16. câmbio USD-BRL'!O445/'16. câmbio USD-BRL'!O444)^-1-1</f>
        <v>1.8576914079329043E-3</v>
      </c>
    </row>
    <row r="650" spans="10:18" x14ac:dyDescent="0.2">
      <c r="J650" s="354">
        <v>41057</v>
      </c>
      <c r="K650">
        <v>9.35</v>
      </c>
      <c r="L650">
        <v>9.4</v>
      </c>
      <c r="M650">
        <v>8.16</v>
      </c>
      <c r="N650">
        <v>8.36</v>
      </c>
      <c r="O650">
        <v>7.0648660000000003</v>
      </c>
      <c r="P650">
        <v>32408100</v>
      </c>
      <c r="R650" s="273">
        <f>(O650/O649)*('16. câmbio USD-BRL'!O446/'16. câmbio USD-BRL'!O445)^-1-1</f>
        <v>-0.11801380993450228</v>
      </c>
    </row>
    <row r="651" spans="10:18" x14ac:dyDescent="0.2">
      <c r="J651" s="354">
        <v>41064</v>
      </c>
      <c r="K651">
        <v>8.48</v>
      </c>
      <c r="L651">
        <v>8.5399999999999991</v>
      </c>
      <c r="M651">
        <v>7.37</v>
      </c>
      <c r="N651">
        <v>7.69</v>
      </c>
      <c r="O651">
        <v>6.4986629999999996</v>
      </c>
      <c r="P651">
        <v>42685000</v>
      </c>
      <c r="R651" s="273">
        <f>(O651/O650)*('16. câmbio USD-BRL'!O447/'16. câmbio USD-BRL'!O446)^-1-1</f>
        <v>-6.4162754324665672E-2</v>
      </c>
    </row>
    <row r="652" spans="10:18" x14ac:dyDescent="0.2">
      <c r="J652" s="354">
        <v>41071</v>
      </c>
      <c r="K652">
        <v>7.83</v>
      </c>
      <c r="L652">
        <v>8.11</v>
      </c>
      <c r="M652">
        <v>7.26</v>
      </c>
      <c r="N652">
        <v>7.45</v>
      </c>
      <c r="O652">
        <v>6.2958429999999996</v>
      </c>
      <c r="P652">
        <v>48190000</v>
      </c>
      <c r="R652" s="273">
        <f>(O652/O651)*('16. câmbio USD-BRL'!O448/'16. câmbio USD-BRL'!O447)^-1-1</f>
        <v>-5.0223053245857074E-2</v>
      </c>
    </row>
    <row r="653" spans="10:18" x14ac:dyDescent="0.2">
      <c r="J653" s="354">
        <v>41078</v>
      </c>
      <c r="K653">
        <v>7.45</v>
      </c>
      <c r="L653">
        <v>7.45</v>
      </c>
      <c r="M653">
        <v>6.48</v>
      </c>
      <c r="N653">
        <v>6.49</v>
      </c>
      <c r="O653">
        <v>5.4845670000000002</v>
      </c>
      <c r="P653">
        <v>53131800</v>
      </c>
      <c r="R653" s="273">
        <f>(O653/O652)*('16. câmbio USD-BRL'!O449/'16. câmbio USD-BRL'!O448)^-1-1</f>
        <v>-0.13809728247832842</v>
      </c>
    </row>
    <row r="654" spans="10:18" x14ac:dyDescent="0.2">
      <c r="J654" s="354">
        <v>41085</v>
      </c>
      <c r="K654">
        <v>6.34</v>
      </c>
      <c r="L654">
        <v>6.54</v>
      </c>
      <c r="M654">
        <v>6.02</v>
      </c>
      <c r="N654">
        <v>6.32</v>
      </c>
      <c r="O654">
        <v>5.3409040000000001</v>
      </c>
      <c r="P654">
        <v>41244400</v>
      </c>
      <c r="R654" s="273">
        <f>(O654/O653)*('16. câmbio USD-BRL'!O450/'16. câmbio USD-BRL'!O449)^-1-1</f>
        <v>6.9997796271481505E-4</v>
      </c>
    </row>
    <row r="655" spans="10:18" x14ac:dyDescent="0.2">
      <c r="J655" s="354">
        <v>41092</v>
      </c>
      <c r="K655">
        <v>6.32</v>
      </c>
      <c r="L655">
        <v>7.23</v>
      </c>
      <c r="M655">
        <v>6.15</v>
      </c>
      <c r="N655">
        <v>6.58</v>
      </c>
      <c r="O655">
        <v>5.5606239999999998</v>
      </c>
      <c r="P655">
        <v>47333000</v>
      </c>
      <c r="R655" s="273">
        <f>(O655/O654)*('16. câmbio USD-BRL'!O451/'16. câmbio USD-BRL'!O450)^-1-1</f>
        <v>3.9019288610852909E-2</v>
      </c>
    </row>
    <row r="656" spans="10:18" x14ac:dyDescent="0.2">
      <c r="J656" s="354">
        <v>41099</v>
      </c>
      <c r="K656">
        <v>6.58</v>
      </c>
      <c r="L656">
        <v>6.69</v>
      </c>
      <c r="M656">
        <v>5.82</v>
      </c>
      <c r="N656">
        <v>6.34</v>
      </c>
      <c r="O656">
        <v>5.3578049999999999</v>
      </c>
      <c r="P656">
        <v>34226800</v>
      </c>
      <c r="R656" s="273">
        <f>(O656/O655)*('16. câmbio USD-BRL'!O452/'16. câmbio USD-BRL'!O451)^-1-1</f>
        <v>-4.6606055520422407E-2</v>
      </c>
    </row>
    <row r="657" spans="10:18" x14ac:dyDescent="0.2">
      <c r="J657" s="354">
        <v>41106</v>
      </c>
      <c r="K657">
        <v>6.34</v>
      </c>
      <c r="L657">
        <v>6.34</v>
      </c>
      <c r="M657">
        <v>5.91</v>
      </c>
      <c r="N657">
        <v>5.95</v>
      </c>
      <c r="O657">
        <v>5.0282239999999998</v>
      </c>
      <c r="P657">
        <v>26568600</v>
      </c>
      <c r="R657" s="273">
        <f>(O657/O656)*('16. câmbio USD-BRL'!O453/'16. câmbio USD-BRL'!O452)^-1-1</f>
        <v>-5.5994224430850115E-2</v>
      </c>
    </row>
    <row r="658" spans="10:18" x14ac:dyDescent="0.2">
      <c r="J658" s="354">
        <v>41113</v>
      </c>
      <c r="K658">
        <v>5.8</v>
      </c>
      <c r="L658">
        <v>6.78</v>
      </c>
      <c r="M658">
        <v>5.57</v>
      </c>
      <c r="N658">
        <v>6.63</v>
      </c>
      <c r="O658">
        <v>5.6028789999999997</v>
      </c>
      <c r="P658">
        <v>38550600</v>
      </c>
      <c r="R658" s="273">
        <f>(O658/O657)*('16. câmbio USD-BRL'!O454/'16. câmbio USD-BRL'!O453)^-1-1</f>
        <v>0.11649325997131199</v>
      </c>
    </row>
    <row r="659" spans="10:18" x14ac:dyDescent="0.2">
      <c r="J659" s="354">
        <v>41120</v>
      </c>
      <c r="K659">
        <v>6.65</v>
      </c>
      <c r="L659">
        <v>7.9</v>
      </c>
      <c r="M659">
        <v>6.62</v>
      </c>
      <c r="N659">
        <v>7.9</v>
      </c>
      <c r="O659">
        <v>6.6761290000000004</v>
      </c>
      <c r="P659">
        <v>59780300</v>
      </c>
      <c r="R659" s="273">
        <f>(O659/O658)*('16. câmbio USD-BRL'!O455/'16. câmbio USD-BRL'!O454)^-1-1</f>
        <v>0.18743679650204381</v>
      </c>
    </row>
    <row r="660" spans="10:18" x14ac:dyDescent="0.2">
      <c r="J660" s="354">
        <v>41127</v>
      </c>
      <c r="K660">
        <v>7.9</v>
      </c>
      <c r="L660">
        <v>8.89</v>
      </c>
      <c r="M660">
        <v>7.58</v>
      </c>
      <c r="N660">
        <v>8.02</v>
      </c>
      <c r="O660">
        <v>6.7775400000000001</v>
      </c>
      <c r="P660">
        <v>76979500</v>
      </c>
      <c r="R660" s="273">
        <f>(O660/O659)*('16. câmbio USD-BRL'!O456/'16. câmbio USD-BRL'!O455)^-1-1</f>
        <v>2.1288992725411626E-2</v>
      </c>
    </row>
    <row r="661" spans="10:18" x14ac:dyDescent="0.2">
      <c r="J661" s="354">
        <v>41134</v>
      </c>
      <c r="K661">
        <v>7.91</v>
      </c>
      <c r="L661">
        <v>8.41</v>
      </c>
      <c r="M661">
        <v>7.65</v>
      </c>
      <c r="N661">
        <v>7.96</v>
      </c>
      <c r="O661">
        <v>6.7268350000000003</v>
      </c>
      <c r="P661">
        <v>47516000</v>
      </c>
      <c r="R661" s="273">
        <f>(O661/O660)*('16. câmbio USD-BRL'!O457/'16. câmbio USD-BRL'!O456)^-1-1</f>
        <v>-6.7415993203926439E-3</v>
      </c>
    </row>
    <row r="662" spans="10:18" x14ac:dyDescent="0.2">
      <c r="J662" s="354">
        <v>41141</v>
      </c>
      <c r="K662">
        <v>7.96</v>
      </c>
      <c r="L662">
        <v>8.9499999999999993</v>
      </c>
      <c r="M662">
        <v>7.96</v>
      </c>
      <c r="N662">
        <v>8.41</v>
      </c>
      <c r="O662">
        <v>7.107119</v>
      </c>
      <c r="P662">
        <v>46568800</v>
      </c>
      <c r="R662" s="273">
        <f>(O662/O661)*('16. câmbio USD-BRL'!O458/'16. câmbio USD-BRL'!O457)^-1-1</f>
        <v>5.1048920101164574E-2</v>
      </c>
    </row>
    <row r="663" spans="10:18" x14ac:dyDescent="0.2">
      <c r="J663" s="354">
        <v>41148</v>
      </c>
      <c r="K663">
        <v>8.31</v>
      </c>
      <c r="L663">
        <v>8.49</v>
      </c>
      <c r="M663">
        <v>7.76</v>
      </c>
      <c r="N663">
        <v>8.15</v>
      </c>
      <c r="O663">
        <v>6.8873990000000003</v>
      </c>
      <c r="P663">
        <v>36340700</v>
      </c>
      <c r="R663" s="273">
        <f>(O663/O662)*('16. câmbio USD-BRL'!O459/'16. câmbio USD-BRL'!O458)^-1-1</f>
        <v>-3.3113926579518838E-2</v>
      </c>
    </row>
    <row r="664" spans="10:18" x14ac:dyDescent="0.2">
      <c r="J664" s="354">
        <v>41155</v>
      </c>
      <c r="K664">
        <v>8.27</v>
      </c>
      <c r="L664">
        <v>10.14</v>
      </c>
      <c r="M664">
        <v>7.95</v>
      </c>
      <c r="N664">
        <v>9.6300000000000008</v>
      </c>
      <c r="O664">
        <v>8.1381169999999994</v>
      </c>
      <c r="P664">
        <v>80865200</v>
      </c>
      <c r="R664" s="273">
        <f>(O664/O663)*('16. câmbio USD-BRL'!O460/'16. câmbio USD-BRL'!O459)^-1-1</f>
        <v>0.18299531463190122</v>
      </c>
    </row>
    <row r="665" spans="10:18" x14ac:dyDescent="0.2">
      <c r="J665" s="354">
        <v>41162</v>
      </c>
      <c r="K665">
        <v>10</v>
      </c>
      <c r="L665">
        <v>12.96</v>
      </c>
      <c r="M665">
        <v>9.6199999999999992</v>
      </c>
      <c r="N665">
        <v>11.91</v>
      </c>
      <c r="O665">
        <v>10.064899</v>
      </c>
      <c r="P665">
        <v>95674600</v>
      </c>
      <c r="R665" s="273">
        <f>(O665/O664)*('16. câmbio USD-BRL'!O461/'16. câmbio USD-BRL'!O460)^-1-1</f>
        <v>0.24660846123558189</v>
      </c>
    </row>
    <row r="666" spans="10:18" x14ac:dyDescent="0.2">
      <c r="J666" s="354">
        <v>41169</v>
      </c>
      <c r="K666">
        <v>11.72</v>
      </c>
      <c r="L666">
        <v>11.93</v>
      </c>
      <c r="M666">
        <v>11.21</v>
      </c>
      <c r="N666">
        <v>11.56</v>
      </c>
      <c r="O666">
        <v>9.7691219999999994</v>
      </c>
      <c r="P666">
        <v>35880900</v>
      </c>
      <c r="R666" s="273">
        <f>(O666/O665)*('16. câmbio USD-BRL'!O462/'16. câmbio USD-BRL'!O461)^-1-1</f>
        <v>-3.3954458978470825E-2</v>
      </c>
    </row>
    <row r="667" spans="10:18" x14ac:dyDescent="0.2">
      <c r="J667" s="354">
        <v>41176</v>
      </c>
      <c r="K667">
        <v>11.59</v>
      </c>
      <c r="L667">
        <v>11.64</v>
      </c>
      <c r="M667">
        <v>9.83</v>
      </c>
      <c r="N667">
        <v>10.119999999999999</v>
      </c>
      <c r="O667">
        <v>8.5522080000000003</v>
      </c>
      <c r="P667">
        <v>64761400</v>
      </c>
      <c r="R667" s="273">
        <f>(O667/O666)*('16. câmbio USD-BRL'!O463/'16. câmbio USD-BRL'!O462)^-1-1</f>
        <v>-0.12621212335868437</v>
      </c>
    </row>
    <row r="668" spans="10:18" x14ac:dyDescent="0.2">
      <c r="J668" s="354">
        <v>41183</v>
      </c>
      <c r="K668">
        <v>10.17</v>
      </c>
      <c r="L668">
        <v>10.65</v>
      </c>
      <c r="M668">
        <v>9.9600000000000009</v>
      </c>
      <c r="N668">
        <v>10.16</v>
      </c>
      <c r="O668">
        <v>8.5860090000000007</v>
      </c>
      <c r="P668">
        <v>33426000</v>
      </c>
      <c r="R668" s="273">
        <f>(O668/O667)*('16. câmbio USD-BRL'!O464/'16. câmbio USD-BRL'!O463)^-1-1</f>
        <v>1.6618577950382685E-2</v>
      </c>
    </row>
    <row r="669" spans="10:18" x14ac:dyDescent="0.2">
      <c r="J669" s="354">
        <v>41190</v>
      </c>
      <c r="K669">
        <v>9.98</v>
      </c>
      <c r="L669">
        <v>10.45</v>
      </c>
      <c r="M669">
        <v>9.36</v>
      </c>
      <c r="N669">
        <v>9.56</v>
      </c>
      <c r="O669">
        <v>8.0789629999999999</v>
      </c>
      <c r="P669">
        <v>37344100</v>
      </c>
      <c r="R669" s="273">
        <f>(O669/O668)*('16. câmbio USD-BRL'!O465/'16. câmbio USD-BRL'!O464)^-1-1</f>
        <v>-7.9516250293937052E-2</v>
      </c>
    </row>
    <row r="670" spans="10:18" x14ac:dyDescent="0.2">
      <c r="J670" s="354">
        <v>41197</v>
      </c>
      <c r="K670">
        <v>9.6199999999999992</v>
      </c>
      <c r="L670">
        <v>10.64</v>
      </c>
      <c r="M670">
        <v>9.35</v>
      </c>
      <c r="N670">
        <v>10</v>
      </c>
      <c r="O670">
        <v>8.4507969999999997</v>
      </c>
      <c r="P670">
        <v>43786300</v>
      </c>
      <c r="R670" s="273">
        <f>(O670/O669)*('16. câmbio USD-BRL'!O466/'16. câmbio USD-BRL'!O465)^-1-1</f>
        <v>5.4859374839907327E-2</v>
      </c>
    </row>
    <row r="671" spans="10:18" x14ac:dyDescent="0.2">
      <c r="J671" s="354">
        <v>41204</v>
      </c>
      <c r="K671">
        <v>10.07</v>
      </c>
      <c r="L671">
        <v>10.4</v>
      </c>
      <c r="M671">
        <v>9.6300000000000008</v>
      </c>
      <c r="N671">
        <v>9.6999999999999993</v>
      </c>
      <c r="O671">
        <v>8.1972719999999999</v>
      </c>
      <c r="P671">
        <v>26413600</v>
      </c>
      <c r="R671" s="273">
        <f>(O671/O670)*('16. câmbio USD-BRL'!O467/'16. câmbio USD-BRL'!O466)^-1-1</f>
        <v>-3.023961147031784E-2</v>
      </c>
    </row>
    <row r="672" spans="10:18" x14ac:dyDescent="0.2">
      <c r="J672" s="354">
        <v>41211</v>
      </c>
      <c r="K672">
        <v>9.66</v>
      </c>
      <c r="L672">
        <v>10.4</v>
      </c>
      <c r="M672">
        <v>9.42</v>
      </c>
      <c r="N672">
        <v>10.29</v>
      </c>
      <c r="O672">
        <v>8.6958710000000004</v>
      </c>
      <c r="P672">
        <v>25418700</v>
      </c>
      <c r="R672" s="273">
        <f>(O672/O671)*('16. câmbio USD-BRL'!O468/'16. câmbio USD-BRL'!O467)^-1-1</f>
        <v>5.8942612802734828E-2</v>
      </c>
    </row>
    <row r="673" spans="10:18" x14ac:dyDescent="0.2">
      <c r="J673" s="354">
        <v>41218</v>
      </c>
      <c r="K673">
        <v>10.119999999999999</v>
      </c>
      <c r="L673">
        <v>11.18</v>
      </c>
      <c r="M673">
        <v>10.08</v>
      </c>
      <c r="N673">
        <v>10.66</v>
      </c>
      <c r="O673">
        <v>9.0085479999999993</v>
      </c>
      <c r="P673">
        <v>49069000</v>
      </c>
      <c r="R673" s="273">
        <f>(O673/O672)*('16. câmbio USD-BRL'!O469/'16. câmbio USD-BRL'!O468)^-1-1</f>
        <v>2.8001692565824188E-2</v>
      </c>
    </row>
    <row r="674" spans="10:18" x14ac:dyDescent="0.2">
      <c r="J674" s="354">
        <v>41225</v>
      </c>
      <c r="K674">
        <v>10.8</v>
      </c>
      <c r="L674">
        <v>11.03</v>
      </c>
      <c r="M674">
        <v>10.5</v>
      </c>
      <c r="N674">
        <v>10.7</v>
      </c>
      <c r="O674">
        <v>9.0423530000000003</v>
      </c>
      <c r="P674">
        <v>36233300</v>
      </c>
      <c r="R674" s="273">
        <f>(O674/O673)*('16. câmbio USD-BRL'!O470/'16. câmbio USD-BRL'!O469)^-1-1</f>
        <v>-1.3663326735893211E-2</v>
      </c>
    </row>
    <row r="675" spans="10:18" x14ac:dyDescent="0.2">
      <c r="J675" s="354">
        <v>41232</v>
      </c>
      <c r="K675">
        <v>10.82</v>
      </c>
      <c r="L675">
        <v>11.89</v>
      </c>
      <c r="M675">
        <v>10.75</v>
      </c>
      <c r="N675">
        <v>11.8</v>
      </c>
      <c r="O675">
        <v>9.97194</v>
      </c>
      <c r="P675">
        <v>25799900</v>
      </c>
      <c r="R675" s="273">
        <f>(O675/O674)*('16. câmbio USD-BRL'!O471/'16. câmbio USD-BRL'!O470)^-1-1</f>
        <v>0.10306874612413863</v>
      </c>
    </row>
    <row r="676" spans="10:18" x14ac:dyDescent="0.2">
      <c r="J676" s="354">
        <v>41239</v>
      </c>
      <c r="K676">
        <v>11.73</v>
      </c>
      <c r="L676">
        <v>12.98</v>
      </c>
      <c r="M676">
        <v>11.44</v>
      </c>
      <c r="N676">
        <v>12.5</v>
      </c>
      <c r="O676">
        <v>10.563496000000001</v>
      </c>
      <c r="P676">
        <v>42825400</v>
      </c>
      <c r="R676" s="273">
        <f>(O676/O675)*('16. câmbio USD-BRL'!O472/'16. câmbio USD-BRL'!O471)^-1-1</f>
        <v>3.2614373779960903E-2</v>
      </c>
    </row>
    <row r="677" spans="10:18" x14ac:dyDescent="0.2">
      <c r="J677" s="354">
        <v>41246</v>
      </c>
      <c r="K677">
        <v>12.62</v>
      </c>
      <c r="L677">
        <v>13.33</v>
      </c>
      <c r="M677">
        <v>11.85</v>
      </c>
      <c r="N677">
        <v>12.43</v>
      </c>
      <c r="O677">
        <v>10.504341999999999</v>
      </c>
      <c r="P677">
        <v>38018600</v>
      </c>
      <c r="R677" s="273">
        <f>(O677/O676)*('16. câmbio USD-BRL'!O473/'16. câmbio USD-BRL'!O472)^-1-1</f>
        <v>2.3366519742571867E-2</v>
      </c>
    </row>
    <row r="678" spans="10:18" x14ac:dyDescent="0.2">
      <c r="J678" s="354">
        <v>41253</v>
      </c>
      <c r="K678">
        <v>12.43</v>
      </c>
      <c r="L678">
        <v>12.77</v>
      </c>
      <c r="M678">
        <v>11.41</v>
      </c>
      <c r="N678">
        <v>11.46</v>
      </c>
      <c r="O678">
        <v>9.6846119999999996</v>
      </c>
      <c r="P678">
        <v>35248800</v>
      </c>
      <c r="R678" s="273">
        <f>(O678/O677)*('16. câmbio USD-BRL'!O474/'16. câmbio USD-BRL'!O473)^-1-1</f>
        <v>-8.3166392609476891E-2</v>
      </c>
    </row>
    <row r="679" spans="10:18" x14ac:dyDescent="0.2">
      <c r="J679" s="354">
        <v>41260</v>
      </c>
      <c r="K679">
        <v>11.39</v>
      </c>
      <c r="L679">
        <v>12.96</v>
      </c>
      <c r="M679">
        <v>11.21</v>
      </c>
      <c r="N679">
        <v>12.66</v>
      </c>
      <c r="O679">
        <v>10.69871</v>
      </c>
      <c r="P679">
        <v>35637900</v>
      </c>
      <c r="R679" s="273">
        <f>(O679/O678)*('16. câmbio USD-BRL'!O475/'16. câmbio USD-BRL'!O474)^-1-1</f>
        <v>0.11314725624531419</v>
      </c>
    </row>
    <row r="680" spans="10:18" x14ac:dyDescent="0.2">
      <c r="J680" s="354">
        <v>41267</v>
      </c>
      <c r="K680">
        <v>12.66</v>
      </c>
      <c r="L680">
        <v>13.1</v>
      </c>
      <c r="M680">
        <v>12.42</v>
      </c>
      <c r="N680">
        <v>12.8</v>
      </c>
      <c r="O680">
        <v>10.817021</v>
      </c>
      <c r="P680">
        <v>9808800</v>
      </c>
      <c r="R680" s="273">
        <f>(O680/O679)*('16. câmbio USD-BRL'!O476/'16. câmbio USD-BRL'!O475)^-1-1</f>
        <v>2.302245447659601E-2</v>
      </c>
    </row>
    <row r="681" spans="10:18" x14ac:dyDescent="0.2">
      <c r="J681" s="354">
        <v>41274</v>
      </c>
      <c r="K681">
        <v>12.8</v>
      </c>
      <c r="L681">
        <v>13.64</v>
      </c>
      <c r="M681">
        <v>12.52</v>
      </c>
      <c r="N681">
        <v>12.55</v>
      </c>
      <c r="O681">
        <v>10.605748999999999</v>
      </c>
      <c r="P681">
        <v>25485100</v>
      </c>
      <c r="R681" s="273">
        <f>(O681/O680)*('16. câmbio USD-BRL'!O477/'16. câmbio USD-BRL'!O476)^-1-1</f>
        <v>-1.340471786026709E-2</v>
      </c>
    </row>
    <row r="682" spans="10:18" x14ac:dyDescent="0.2">
      <c r="J682" s="354">
        <v>41281</v>
      </c>
      <c r="K682">
        <v>12.67</v>
      </c>
      <c r="L682">
        <v>12.67</v>
      </c>
      <c r="M682">
        <v>11.7</v>
      </c>
      <c r="N682">
        <v>12.09</v>
      </c>
      <c r="O682">
        <v>10.217014000000001</v>
      </c>
      <c r="P682">
        <v>31538500</v>
      </c>
      <c r="R682" s="273">
        <f>(O682/O681)*('16. câmbio USD-BRL'!O478/'16. câmbio USD-BRL'!O477)^-1-1</f>
        <v>-3.5371745978138081E-2</v>
      </c>
    </row>
    <row r="683" spans="10:18" x14ac:dyDescent="0.2">
      <c r="J683" s="354">
        <v>41288</v>
      </c>
      <c r="K683">
        <v>12.16</v>
      </c>
      <c r="L683">
        <v>12.59</v>
      </c>
      <c r="M683">
        <v>12.06</v>
      </c>
      <c r="N683">
        <v>12.3</v>
      </c>
      <c r="O683">
        <v>10.394481000000001</v>
      </c>
      <c r="P683">
        <v>21657400</v>
      </c>
      <c r="R683" s="273">
        <f>(O683/O682)*('16. câmbio USD-BRL'!O479/'16. câmbio USD-BRL'!O478)^-1-1</f>
        <v>1.7319630387938156E-2</v>
      </c>
    </row>
    <row r="684" spans="10:18" x14ac:dyDescent="0.2">
      <c r="J684" s="354">
        <v>41295</v>
      </c>
      <c r="K684">
        <v>12.33</v>
      </c>
      <c r="L684">
        <v>12.41</v>
      </c>
      <c r="M684">
        <v>10.5</v>
      </c>
      <c r="N684">
        <v>10.57</v>
      </c>
      <c r="O684">
        <v>8.9324919999999999</v>
      </c>
      <c r="P684">
        <v>37295900</v>
      </c>
      <c r="R684" s="273">
        <f>(O684/O683)*('16. câmbio USD-BRL'!O480/'16. câmbio USD-BRL'!O479)^-1-1</f>
        <v>-0.14009977554114783</v>
      </c>
    </row>
    <row r="685" spans="10:18" x14ac:dyDescent="0.2">
      <c r="J685" s="354">
        <v>41302</v>
      </c>
      <c r="K685">
        <v>10.65</v>
      </c>
      <c r="L685">
        <v>10.75</v>
      </c>
      <c r="M685">
        <v>10.15</v>
      </c>
      <c r="N685">
        <v>10.29</v>
      </c>
      <c r="O685">
        <v>8.6958710000000004</v>
      </c>
      <c r="P685">
        <v>35780500</v>
      </c>
      <c r="R685" s="273">
        <f>(O685/O684)*('16. câmbio USD-BRL'!O481/'16. câmbio USD-BRL'!O480)^-1-1</f>
        <v>-5.8572307012860758E-3</v>
      </c>
    </row>
    <row r="686" spans="10:18" x14ac:dyDescent="0.2">
      <c r="J686" s="354">
        <v>41309</v>
      </c>
      <c r="K686">
        <v>10.220000000000001</v>
      </c>
      <c r="L686">
        <v>10.41</v>
      </c>
      <c r="M686">
        <v>9.81</v>
      </c>
      <c r="N686">
        <v>10.36</v>
      </c>
      <c r="O686">
        <v>8.7550260000000009</v>
      </c>
      <c r="P686">
        <v>32740000</v>
      </c>
      <c r="R686" s="273">
        <f>(O686/O685)*('16. câmbio USD-BRL'!O482/'16. câmbio USD-BRL'!O481)^-1-1</f>
        <v>1.5132628562307016E-2</v>
      </c>
    </row>
    <row r="687" spans="10:18" x14ac:dyDescent="0.2">
      <c r="J687" s="354">
        <v>41316</v>
      </c>
      <c r="K687">
        <v>10.36</v>
      </c>
      <c r="L687">
        <v>10.55</v>
      </c>
      <c r="M687">
        <v>10.1</v>
      </c>
      <c r="N687">
        <v>10.14</v>
      </c>
      <c r="O687">
        <v>8.5691079999999999</v>
      </c>
      <c r="P687">
        <v>14028200</v>
      </c>
      <c r="R687" s="273">
        <f>(O687/O686)*('16. câmbio USD-BRL'!O483/'16. câmbio USD-BRL'!O482)^-1-1</f>
        <v>-1.8795137276602758E-2</v>
      </c>
    </row>
    <row r="688" spans="10:18" x14ac:dyDescent="0.2">
      <c r="J688" s="354">
        <v>41323</v>
      </c>
      <c r="K688">
        <v>10.15</v>
      </c>
      <c r="L688">
        <v>10.16</v>
      </c>
      <c r="M688">
        <v>9.16</v>
      </c>
      <c r="N688">
        <v>9.24</v>
      </c>
      <c r="O688">
        <v>7.8085360000000001</v>
      </c>
      <c r="P688">
        <v>40035700</v>
      </c>
      <c r="R688" s="273">
        <f>(O688/O687)*('16. câmbio USD-BRL'!O484/'16. câmbio USD-BRL'!O483)^-1-1</f>
        <v>-9.0562236879613289E-2</v>
      </c>
    </row>
    <row r="689" spans="10:18" x14ac:dyDescent="0.2">
      <c r="J689" s="354">
        <v>41330</v>
      </c>
      <c r="K689">
        <v>9.34</v>
      </c>
      <c r="L689">
        <v>10.210000000000001</v>
      </c>
      <c r="M689">
        <v>9</v>
      </c>
      <c r="N689">
        <v>9.69</v>
      </c>
      <c r="O689">
        <v>8.1888229999999993</v>
      </c>
      <c r="P689">
        <v>49558200</v>
      </c>
      <c r="R689" s="273">
        <f>(O689/O688)*('16. câmbio USD-BRL'!O485/'16. câmbio USD-BRL'!O484)^-1-1</f>
        <v>4.2349209401406629E-2</v>
      </c>
    </row>
    <row r="690" spans="10:18" x14ac:dyDescent="0.2">
      <c r="J690" s="354">
        <v>41337</v>
      </c>
      <c r="K690">
        <v>9.58</v>
      </c>
      <c r="L690">
        <v>10.87</v>
      </c>
      <c r="M690">
        <v>9.51</v>
      </c>
      <c r="N690">
        <v>10.32</v>
      </c>
      <c r="O690">
        <v>8.7212230000000002</v>
      </c>
      <c r="P690">
        <v>33943600</v>
      </c>
      <c r="R690" s="273">
        <f>(O690/O689)*('16. câmbio USD-BRL'!O486/'16. câmbio USD-BRL'!O485)^-1-1</f>
        <v>8.651429271104627E-2</v>
      </c>
    </row>
    <row r="691" spans="10:18" x14ac:dyDescent="0.2">
      <c r="J691" s="354">
        <v>41344</v>
      </c>
      <c r="K691">
        <v>10.25</v>
      </c>
      <c r="L691">
        <v>10.9</v>
      </c>
      <c r="M691">
        <v>10.08</v>
      </c>
      <c r="N691">
        <v>10.14</v>
      </c>
      <c r="O691">
        <v>8.5691079999999999</v>
      </c>
      <c r="P691">
        <v>43506300</v>
      </c>
      <c r="R691" s="273">
        <f>(O691/O690)*('16. câmbio USD-BRL'!O487/'16. câmbio USD-BRL'!O486)^-1-1</f>
        <v>-3.5764348359099141E-2</v>
      </c>
    </row>
    <row r="692" spans="10:18" x14ac:dyDescent="0.2">
      <c r="J692" s="354">
        <v>41351</v>
      </c>
      <c r="K692">
        <v>10.199999999999999</v>
      </c>
      <c r="L692">
        <v>10.56</v>
      </c>
      <c r="M692">
        <v>9.9</v>
      </c>
      <c r="N692">
        <v>10.210000000000001</v>
      </c>
      <c r="O692">
        <v>8.6282630000000005</v>
      </c>
      <c r="P692">
        <v>31556500</v>
      </c>
      <c r="R692" s="273">
        <f>(O692/O691)*('16. câmbio USD-BRL'!O488/'16. câmbio USD-BRL'!O487)^-1-1</f>
        <v>-6.9971484787829663E-3</v>
      </c>
    </row>
    <row r="693" spans="10:18" x14ac:dyDescent="0.2">
      <c r="J693" s="354">
        <v>41358</v>
      </c>
      <c r="K693">
        <v>10.19</v>
      </c>
      <c r="L693">
        <v>10.79</v>
      </c>
      <c r="M693">
        <v>9.9499999999999993</v>
      </c>
      <c r="N693">
        <v>10.76</v>
      </c>
      <c r="O693">
        <v>9.0930579999999992</v>
      </c>
      <c r="P693">
        <v>14745800</v>
      </c>
      <c r="R693" s="273">
        <f>(O693/O692)*('16. câmbio USD-BRL'!O489/'16. câmbio USD-BRL'!O488)^-1-1</f>
        <v>4.7344199757608507E-2</v>
      </c>
    </row>
    <row r="694" spans="10:18" x14ac:dyDescent="0.2">
      <c r="J694" s="354">
        <v>41365</v>
      </c>
      <c r="K694">
        <v>10.82</v>
      </c>
      <c r="L694">
        <v>11.57</v>
      </c>
      <c r="M694">
        <v>10.67</v>
      </c>
      <c r="N694">
        <v>11.11</v>
      </c>
      <c r="O694">
        <v>9.3888370000000005</v>
      </c>
      <c r="P694">
        <v>40205900</v>
      </c>
      <c r="R694" s="273">
        <f>(O694/O693)*('16. câmbio USD-BRL'!O490/'16. câmbio USD-BRL'!O489)^-1-1</f>
        <v>5.1166818314756224E-2</v>
      </c>
    </row>
    <row r="695" spans="10:18" x14ac:dyDescent="0.2">
      <c r="J695" s="354">
        <v>41372</v>
      </c>
      <c r="K695">
        <v>11.18</v>
      </c>
      <c r="L695">
        <v>11.48</v>
      </c>
      <c r="M695">
        <v>10.81</v>
      </c>
      <c r="N695">
        <v>10.98</v>
      </c>
      <c r="O695">
        <v>9.2789750000000009</v>
      </c>
      <c r="P695">
        <v>23718200</v>
      </c>
      <c r="R695" s="273">
        <f>(O695/O694)*('16. câmbio USD-BRL'!O491/'16. câmbio USD-BRL'!O490)^-1-1</f>
        <v>-3.1563945642908431E-3</v>
      </c>
    </row>
    <row r="696" spans="10:18" x14ac:dyDescent="0.2">
      <c r="J696" s="354">
        <v>41379</v>
      </c>
      <c r="K696">
        <v>10.82</v>
      </c>
      <c r="L696">
        <v>10.83</v>
      </c>
      <c r="M696">
        <v>10.029999999999999</v>
      </c>
      <c r="N696">
        <v>10.44</v>
      </c>
      <c r="O696">
        <v>8.8226320000000005</v>
      </c>
      <c r="P696">
        <v>30934600</v>
      </c>
      <c r="R696" s="273">
        <f>(O696/O695)*('16. câmbio USD-BRL'!O492/'16. câmbio USD-BRL'!O491)^-1-1</f>
        <v>-6.7673226465314706E-2</v>
      </c>
    </row>
    <row r="697" spans="10:18" x14ac:dyDescent="0.2">
      <c r="J697" s="354">
        <v>41386</v>
      </c>
      <c r="K697">
        <v>10.46</v>
      </c>
      <c r="L697">
        <v>10.8</v>
      </c>
      <c r="M697">
        <v>10.130000000000001</v>
      </c>
      <c r="N697">
        <v>10.63</v>
      </c>
      <c r="O697">
        <v>8.9831950000000003</v>
      </c>
      <c r="P697">
        <v>17620400</v>
      </c>
      <c r="R697" s="273">
        <f>(O697/O696)*('16. câmbio USD-BRL'!O493/'16. câmbio USD-BRL'!O492)^-1-1</f>
        <v>2.4277638423919834E-2</v>
      </c>
    </row>
    <row r="698" spans="10:18" x14ac:dyDescent="0.2">
      <c r="J698" s="354">
        <v>41393</v>
      </c>
      <c r="K698">
        <v>10.15</v>
      </c>
      <c r="L698">
        <v>10.199999999999999</v>
      </c>
      <c r="M698">
        <v>9.3800000000000008</v>
      </c>
      <c r="N698">
        <v>9.41</v>
      </c>
      <c r="O698">
        <v>7.9522009999999996</v>
      </c>
      <c r="P698">
        <v>37856700</v>
      </c>
      <c r="R698" s="273">
        <f>(O698/O697)*('16. câmbio USD-BRL'!O494/'16. câmbio USD-BRL'!O493)^-1-1</f>
        <v>-0.12212409123050239</v>
      </c>
    </row>
    <row r="699" spans="10:18" x14ac:dyDescent="0.2">
      <c r="J699" s="354">
        <v>41400</v>
      </c>
      <c r="K699">
        <v>9.48</v>
      </c>
      <c r="L699">
        <v>9.5</v>
      </c>
      <c r="M699">
        <v>8.5500000000000007</v>
      </c>
      <c r="N699">
        <v>8.7100000000000009</v>
      </c>
      <c r="O699">
        <v>7.3606439999999997</v>
      </c>
      <c r="P699">
        <v>40112000</v>
      </c>
      <c r="R699" s="273">
        <f>(O699/O698)*('16. câmbio USD-BRL'!O495/'16. câmbio USD-BRL'!O494)^-1-1</f>
        <v>-7.6135699642258525E-2</v>
      </c>
    </row>
    <row r="700" spans="10:18" x14ac:dyDescent="0.2">
      <c r="J700" s="354">
        <v>41407</v>
      </c>
      <c r="K700">
        <v>8.65</v>
      </c>
      <c r="L700">
        <v>8.84</v>
      </c>
      <c r="M700">
        <v>7.96</v>
      </c>
      <c r="N700">
        <v>8.69</v>
      </c>
      <c r="O700">
        <v>7.3437419999999998</v>
      </c>
      <c r="P700">
        <v>35323300</v>
      </c>
      <c r="R700" s="273">
        <f>(O700/O699)*('16. câmbio USD-BRL'!O496/'16. câmbio USD-BRL'!O495)^-1-1</f>
        <v>-1.0842960522467249E-2</v>
      </c>
    </row>
    <row r="701" spans="10:18" x14ac:dyDescent="0.2">
      <c r="J701" s="354">
        <v>41414</v>
      </c>
      <c r="K701">
        <v>8.25</v>
      </c>
      <c r="L701">
        <v>9.44</v>
      </c>
      <c r="M701">
        <v>8.2100000000000009</v>
      </c>
      <c r="N701">
        <v>9.33</v>
      </c>
      <c r="O701">
        <v>7.8845929999999997</v>
      </c>
      <c r="P701">
        <v>34257300</v>
      </c>
      <c r="R701" s="273">
        <f>(O701/O700)*('16. câmbio USD-BRL'!O497/'16. câmbio USD-BRL'!O496)^-1-1</f>
        <v>6.5412851472029354E-2</v>
      </c>
    </row>
    <row r="702" spans="10:18" x14ac:dyDescent="0.2">
      <c r="J702" s="354">
        <v>41421</v>
      </c>
      <c r="K702">
        <v>9.4</v>
      </c>
      <c r="L702">
        <v>9.61</v>
      </c>
      <c r="M702">
        <v>8.8000000000000007</v>
      </c>
      <c r="N702">
        <v>8.9</v>
      </c>
      <c r="O702">
        <v>7.5212089999999998</v>
      </c>
      <c r="P702">
        <v>22484500</v>
      </c>
      <c r="R702" s="273">
        <f>(O702/O701)*('16. câmbio USD-BRL'!O498/'16. câmbio USD-BRL'!O497)^-1-1</f>
        <v>-6.5714740357214696E-2</v>
      </c>
    </row>
    <row r="703" spans="10:18" x14ac:dyDescent="0.2">
      <c r="J703" s="354">
        <v>41428</v>
      </c>
      <c r="K703">
        <v>9.01</v>
      </c>
      <c r="L703">
        <v>9.2799999999999994</v>
      </c>
      <c r="M703">
        <v>8.1199999999999992</v>
      </c>
      <c r="N703">
        <v>8.24</v>
      </c>
      <c r="O703">
        <v>6.963457</v>
      </c>
      <c r="P703">
        <v>31098300</v>
      </c>
      <c r="R703" s="273">
        <f>(O703/O702)*('16. câmbio USD-BRL'!O499/'16. câmbio USD-BRL'!O498)^-1-1</f>
        <v>-9.1203413573005099E-2</v>
      </c>
    </row>
    <row r="704" spans="10:18" x14ac:dyDescent="0.2">
      <c r="J704" s="354">
        <v>41435</v>
      </c>
      <c r="K704">
        <v>8.1</v>
      </c>
      <c r="L704">
        <v>8.64</v>
      </c>
      <c r="M704">
        <v>7.51</v>
      </c>
      <c r="N704">
        <v>8.34</v>
      </c>
      <c r="O704">
        <v>7.0479669999999999</v>
      </c>
      <c r="P704">
        <v>38546800</v>
      </c>
      <c r="R704" s="273">
        <f>(O704/O703)*('16. câmbio USD-BRL'!O500/'16. câmbio USD-BRL'!O499)^-1-1</f>
        <v>2.7923684365072754E-2</v>
      </c>
    </row>
    <row r="705" spans="10:18" x14ac:dyDescent="0.2">
      <c r="J705" s="354">
        <v>41442</v>
      </c>
      <c r="K705">
        <v>8.4499999999999993</v>
      </c>
      <c r="L705">
        <v>8.57</v>
      </c>
      <c r="M705">
        <v>7.45</v>
      </c>
      <c r="N705">
        <v>8.1</v>
      </c>
      <c r="O705">
        <v>6.8451449999999996</v>
      </c>
      <c r="P705">
        <v>35619000</v>
      </c>
      <c r="R705" s="273">
        <f>(O705/O704)*('16. câmbio USD-BRL'!O501/'16. câmbio USD-BRL'!O500)^-1-1</f>
        <v>-9.043059732804104E-2</v>
      </c>
    </row>
    <row r="706" spans="10:18" x14ac:dyDescent="0.2">
      <c r="J706" s="354">
        <v>41449</v>
      </c>
      <c r="K706">
        <v>7.89</v>
      </c>
      <c r="L706">
        <v>8.3699999999999992</v>
      </c>
      <c r="M706">
        <v>7.39</v>
      </c>
      <c r="N706">
        <v>7.48</v>
      </c>
      <c r="O706">
        <v>6.3211969999999997</v>
      </c>
      <c r="P706">
        <v>41858200</v>
      </c>
      <c r="R706" s="273">
        <f>(O706/O705)*('16. câmbio USD-BRL'!O502/'16. câmbio USD-BRL'!O501)^-1-1</f>
        <v>-5.5747088968566949E-2</v>
      </c>
    </row>
    <row r="707" spans="10:18" x14ac:dyDescent="0.2">
      <c r="J707" s="354">
        <v>41456</v>
      </c>
      <c r="K707">
        <v>7.9</v>
      </c>
      <c r="L707">
        <v>8.1300000000000008</v>
      </c>
      <c r="M707">
        <v>6.5</v>
      </c>
      <c r="N707">
        <v>6.64</v>
      </c>
      <c r="O707">
        <v>5.6113289999999996</v>
      </c>
      <c r="P707">
        <v>47986100</v>
      </c>
      <c r="R707" s="273">
        <f>(O707/O706)*('16. câmbio USD-BRL'!O503/'16. câmbio USD-BRL'!O502)^-1-1</f>
        <v>-0.13532650536841095</v>
      </c>
    </row>
    <row r="708" spans="10:18" x14ac:dyDescent="0.2">
      <c r="J708" s="354">
        <v>41463</v>
      </c>
      <c r="K708">
        <v>6.6</v>
      </c>
      <c r="L708">
        <v>6.95</v>
      </c>
      <c r="M708">
        <v>6.51</v>
      </c>
      <c r="N708">
        <v>6.55</v>
      </c>
      <c r="O708">
        <v>5.5352730000000001</v>
      </c>
      <c r="P708">
        <v>26951500</v>
      </c>
      <c r="R708" s="273">
        <f>(O708/O707)*('16. câmbio USD-BRL'!O504/'16. câmbio USD-BRL'!O503)^-1-1</f>
        <v>-1.983404824188606E-2</v>
      </c>
    </row>
    <row r="709" spans="10:18" x14ac:dyDescent="0.2">
      <c r="J709" s="354">
        <v>41470</v>
      </c>
      <c r="K709">
        <v>6.74</v>
      </c>
      <c r="L709">
        <v>7.9</v>
      </c>
      <c r="M709">
        <v>6.74</v>
      </c>
      <c r="N709">
        <v>7.56</v>
      </c>
      <c r="O709">
        <v>6.3888030000000002</v>
      </c>
      <c r="P709">
        <v>44274200</v>
      </c>
      <c r="R709" s="273">
        <f>(O709/O708)*('16. câmbio USD-BRL'!O505/'16. câmbio USD-BRL'!O504)^-1-1</f>
        <v>0.16340519733564318</v>
      </c>
    </row>
    <row r="710" spans="10:18" x14ac:dyDescent="0.2">
      <c r="J710" s="354">
        <v>41477</v>
      </c>
      <c r="K710">
        <v>7.62</v>
      </c>
      <c r="L710">
        <v>8.18</v>
      </c>
      <c r="M710">
        <v>7.47</v>
      </c>
      <c r="N710">
        <v>7.81</v>
      </c>
      <c r="O710">
        <v>6.6000719999999999</v>
      </c>
      <c r="P710">
        <v>24620300</v>
      </c>
      <c r="R710" s="273">
        <f>(O710/O709)*('16. câmbio USD-BRL'!O506/'16. câmbio USD-BRL'!O505)^-1-1</f>
        <v>2.8302882751046088E-2</v>
      </c>
    </row>
    <row r="711" spans="10:18" x14ac:dyDescent="0.2">
      <c r="J711" s="354">
        <v>41484</v>
      </c>
      <c r="K711">
        <v>9.11</v>
      </c>
      <c r="L711">
        <v>9.89</v>
      </c>
      <c r="M711">
        <v>8.41</v>
      </c>
      <c r="N711">
        <v>8.65</v>
      </c>
      <c r="O711">
        <v>7.309939</v>
      </c>
      <c r="P711">
        <v>59973900</v>
      </c>
      <c r="R711" s="273">
        <f>(O711/O710)*('16. câmbio USD-BRL'!O507/'16. câmbio USD-BRL'!O506)^-1-1</f>
        <v>9.3200837639219491E-2</v>
      </c>
    </row>
    <row r="712" spans="10:18" x14ac:dyDescent="0.2">
      <c r="J712" s="354">
        <v>41491</v>
      </c>
      <c r="K712">
        <v>8.6999999999999993</v>
      </c>
      <c r="L712">
        <v>9.48</v>
      </c>
      <c r="M712">
        <v>8.48</v>
      </c>
      <c r="N712">
        <v>9.4499999999999993</v>
      </c>
      <c r="O712">
        <v>7.9860030000000002</v>
      </c>
      <c r="P712">
        <v>41158200</v>
      </c>
      <c r="R712" s="273">
        <f>(O712/O711)*('16. câmbio USD-BRL'!O508/'16. câmbio USD-BRL'!O507)^-1-1</f>
        <v>9.5122703933001818E-2</v>
      </c>
    </row>
    <row r="713" spans="10:18" x14ac:dyDescent="0.2">
      <c r="J713" s="354">
        <v>41498</v>
      </c>
      <c r="K713">
        <v>9.6</v>
      </c>
      <c r="L713">
        <v>10.39</v>
      </c>
      <c r="M713">
        <v>9.24</v>
      </c>
      <c r="N713">
        <v>10.32</v>
      </c>
      <c r="O713">
        <v>8.7212230000000002</v>
      </c>
      <c r="P713">
        <v>64132700</v>
      </c>
      <c r="R713" s="273">
        <f>(O713/O712)*('16. câmbio USD-BRL'!O509/'16. câmbio USD-BRL'!O508)^-1-1</f>
        <v>4.220601448867578E-2</v>
      </c>
    </row>
    <row r="714" spans="10:18" x14ac:dyDescent="0.2">
      <c r="J714" s="354">
        <v>41505</v>
      </c>
      <c r="K714">
        <v>10.33</v>
      </c>
      <c r="L714">
        <v>11.33</v>
      </c>
      <c r="M714">
        <v>9.92</v>
      </c>
      <c r="N714">
        <v>10.199999999999999</v>
      </c>
      <c r="O714">
        <v>8.6198130000000006</v>
      </c>
      <c r="P714">
        <v>59245700</v>
      </c>
      <c r="R714" s="273">
        <f>(O714/O713)*('16. câmbio USD-BRL'!O510/'16. câmbio USD-BRL'!O509)^-1-1</f>
        <v>-2.1667390417228871E-2</v>
      </c>
    </row>
    <row r="715" spans="10:18" x14ac:dyDescent="0.2">
      <c r="J715" s="354">
        <v>41512</v>
      </c>
      <c r="K715">
        <v>10.26</v>
      </c>
      <c r="L715">
        <v>10.49</v>
      </c>
      <c r="M715">
        <v>9.92</v>
      </c>
      <c r="N715">
        <v>10.39</v>
      </c>
      <c r="O715">
        <v>8.7803780000000007</v>
      </c>
      <c r="P715">
        <v>35377200</v>
      </c>
      <c r="R715" s="273">
        <f>(O715/O714)*('16. câmbio USD-BRL'!O511/'16. câmbio USD-BRL'!O510)^-1-1</f>
        <v>3.2019730095198984E-2</v>
      </c>
    </row>
    <row r="716" spans="10:18" x14ac:dyDescent="0.2">
      <c r="J716" s="354">
        <v>41519</v>
      </c>
      <c r="K716">
        <v>10.5</v>
      </c>
      <c r="L716">
        <v>10.75</v>
      </c>
      <c r="M716">
        <v>10.029999999999999</v>
      </c>
      <c r="N716">
        <v>10.199999999999999</v>
      </c>
      <c r="O716">
        <v>8.6198130000000006</v>
      </c>
      <c r="P716">
        <v>37933900</v>
      </c>
      <c r="R716" s="273">
        <f>(O716/O715)*('16. câmbio USD-BRL'!O512/'16. câmbio USD-BRL'!O511)^-1-1</f>
        <v>1.5893514600318959E-2</v>
      </c>
    </row>
    <row r="717" spans="10:18" x14ac:dyDescent="0.2">
      <c r="J717" s="354">
        <v>41526</v>
      </c>
      <c r="K717">
        <v>10.220000000000001</v>
      </c>
      <c r="L717">
        <v>10.69</v>
      </c>
      <c r="M717">
        <v>10.220000000000001</v>
      </c>
      <c r="N717">
        <v>10.6</v>
      </c>
      <c r="O717">
        <v>8.9578469999999992</v>
      </c>
      <c r="P717">
        <v>30871000</v>
      </c>
      <c r="R717" s="273">
        <f>(O717/O716)*('16. câmbio USD-BRL'!O513/'16. câmbio USD-BRL'!O512)^-1-1</f>
        <v>6.0371744815822748E-2</v>
      </c>
    </row>
    <row r="718" spans="10:18" x14ac:dyDescent="0.2">
      <c r="J718" s="354">
        <v>41533</v>
      </c>
      <c r="K718">
        <v>10.7</v>
      </c>
      <c r="L718">
        <v>10.79</v>
      </c>
      <c r="M718">
        <v>10.199999999999999</v>
      </c>
      <c r="N718">
        <v>10.4</v>
      </c>
      <c r="O718">
        <v>8.7888280000000005</v>
      </c>
      <c r="P718">
        <v>26504300</v>
      </c>
      <c r="R718" s="273">
        <f>(O718/O717)*('16. câmbio USD-BRL'!O514/'16. câmbio USD-BRL'!O513)^-1-1</f>
        <v>2.1099572881730921E-3</v>
      </c>
    </row>
    <row r="719" spans="10:18" x14ac:dyDescent="0.2">
      <c r="J719" s="354">
        <v>41540</v>
      </c>
      <c r="K719">
        <v>10.62</v>
      </c>
      <c r="L719">
        <v>10.78</v>
      </c>
      <c r="M719">
        <v>10.27</v>
      </c>
      <c r="N719">
        <v>10.62</v>
      </c>
      <c r="O719">
        <v>8.9747470000000007</v>
      </c>
      <c r="P719">
        <v>21057200</v>
      </c>
      <c r="R719" s="273">
        <f>(O719/O718)*('16. câmbio USD-BRL'!O515/'16. câmbio USD-BRL'!O514)^-1-1</f>
        <v>1.4170822997778609E-2</v>
      </c>
    </row>
    <row r="720" spans="10:18" x14ac:dyDescent="0.2">
      <c r="J720" s="354">
        <v>41547</v>
      </c>
      <c r="K720">
        <v>10.5</v>
      </c>
      <c r="L720">
        <v>11.43</v>
      </c>
      <c r="M720">
        <v>10.45</v>
      </c>
      <c r="N720">
        <v>11.15</v>
      </c>
      <c r="O720">
        <v>9.4226369999999999</v>
      </c>
      <c r="P720">
        <v>35442900</v>
      </c>
      <c r="R720" s="273">
        <f>(O720/O719)*('16. câmbio USD-BRL'!O516/'16. câmbio USD-BRL'!O515)^-1-1</f>
        <v>5.7134833051993406E-2</v>
      </c>
    </row>
    <row r="721" spans="10:18" x14ac:dyDescent="0.2">
      <c r="J721" s="354">
        <v>41554</v>
      </c>
      <c r="K721">
        <v>11.15</v>
      </c>
      <c r="L721">
        <v>11.71</v>
      </c>
      <c r="M721">
        <v>11.11</v>
      </c>
      <c r="N721">
        <v>11.63</v>
      </c>
      <c r="O721">
        <v>9.8282769999999999</v>
      </c>
      <c r="P721">
        <v>31992600</v>
      </c>
      <c r="R721" s="273">
        <f>(O721/O720)*('16. câmbio USD-BRL'!O517/'16. câmbio USD-BRL'!O516)^-1-1</f>
        <v>6.3034079133745147E-2</v>
      </c>
    </row>
    <row r="722" spans="10:18" x14ac:dyDescent="0.2">
      <c r="J722" s="354">
        <v>41561</v>
      </c>
      <c r="K722">
        <v>11.67</v>
      </c>
      <c r="L722">
        <v>12.48</v>
      </c>
      <c r="M722">
        <v>10.92</v>
      </c>
      <c r="N722">
        <v>11.24</v>
      </c>
      <c r="O722">
        <v>9.4986940000000004</v>
      </c>
      <c r="P722">
        <v>51015700</v>
      </c>
      <c r="R722" s="273">
        <f>(O722/O721)*('16. câmbio USD-BRL'!O518/'16. câmbio USD-BRL'!O517)^-1-1</f>
        <v>-3.3578776417303446E-2</v>
      </c>
    </row>
    <row r="723" spans="10:18" x14ac:dyDescent="0.2">
      <c r="J723" s="354">
        <v>41568</v>
      </c>
      <c r="K723">
        <v>11.31</v>
      </c>
      <c r="L723">
        <v>11.59</v>
      </c>
      <c r="M723">
        <v>11.09</v>
      </c>
      <c r="N723">
        <v>11.25</v>
      </c>
      <c r="O723">
        <v>9.5071469999999998</v>
      </c>
      <c r="P723">
        <v>21701800</v>
      </c>
      <c r="R723" s="273">
        <f>(O723/O722)*('16. câmbio USD-BRL'!O519/'16. câmbio USD-BRL'!O518)^-1-1</f>
        <v>-7.495130022687202E-3</v>
      </c>
    </row>
    <row r="724" spans="10:18" x14ac:dyDescent="0.2">
      <c r="J724" s="354">
        <v>41575</v>
      </c>
      <c r="K724">
        <v>11.27</v>
      </c>
      <c r="L724">
        <v>12.08</v>
      </c>
      <c r="M724">
        <v>11.22</v>
      </c>
      <c r="N724">
        <v>11.9</v>
      </c>
      <c r="O724">
        <v>10.056448</v>
      </c>
      <c r="P724">
        <v>32287700</v>
      </c>
      <c r="R724" s="273">
        <f>(O724/O723)*('16. câmbio USD-BRL'!O520/'16. câmbio USD-BRL'!O519)^-1-1</f>
        <v>2.6162271989851549E-2</v>
      </c>
    </row>
    <row r="725" spans="10:18" x14ac:dyDescent="0.2">
      <c r="J725" s="354">
        <v>41582</v>
      </c>
      <c r="K725">
        <v>11.85</v>
      </c>
      <c r="L725">
        <v>12.69</v>
      </c>
      <c r="M725">
        <v>11.46</v>
      </c>
      <c r="N725">
        <v>12.58</v>
      </c>
      <c r="O725">
        <v>10.631104000000001</v>
      </c>
      <c r="P725">
        <v>44428200</v>
      </c>
      <c r="R725" s="273">
        <f>(O725/O724)*('16. câmbio USD-BRL'!O521/'16. câmbio USD-BRL'!O520)^-1-1</f>
        <v>3.0775118372172949E-2</v>
      </c>
    </row>
    <row r="726" spans="10:18" x14ac:dyDescent="0.2">
      <c r="J726" s="354">
        <v>41589</v>
      </c>
      <c r="K726">
        <v>12.58</v>
      </c>
      <c r="L726">
        <v>12.77</v>
      </c>
      <c r="M726">
        <v>12.4</v>
      </c>
      <c r="N726">
        <v>12.74</v>
      </c>
      <c r="O726">
        <v>10.766315000000001</v>
      </c>
      <c r="P726">
        <v>25135900</v>
      </c>
      <c r="R726" s="273">
        <f>(O726/O725)*('16. câmbio USD-BRL'!O522/'16. câmbio USD-BRL'!O521)^-1-1</f>
        <v>9.83232471845219E-3</v>
      </c>
    </row>
    <row r="727" spans="10:18" x14ac:dyDescent="0.2">
      <c r="J727" s="354">
        <v>41596</v>
      </c>
      <c r="K727">
        <v>12.76</v>
      </c>
      <c r="L727">
        <v>13.29</v>
      </c>
      <c r="M727">
        <v>12.11</v>
      </c>
      <c r="N727">
        <v>12.22</v>
      </c>
      <c r="O727">
        <v>10.326874999999999</v>
      </c>
      <c r="P727">
        <v>27431200</v>
      </c>
      <c r="R727" s="273">
        <f>(O727/O726)*('16. câmbio USD-BRL'!O523/'16. câmbio USD-BRL'!O522)^-1-1</f>
        <v>-2.3056655518436386E-2</v>
      </c>
    </row>
    <row r="728" spans="10:18" x14ac:dyDescent="0.2">
      <c r="J728" s="354">
        <v>41603</v>
      </c>
      <c r="K728">
        <v>12.28</v>
      </c>
      <c r="L728">
        <v>12.58</v>
      </c>
      <c r="M728">
        <v>11.91</v>
      </c>
      <c r="N728">
        <v>12.45</v>
      </c>
      <c r="O728">
        <v>10.521242000000001</v>
      </c>
      <c r="P728">
        <v>21073400</v>
      </c>
      <c r="R728" s="273">
        <f>(O728/O727)*('16. câmbio USD-BRL'!O524/'16. câmbio USD-BRL'!O523)^-1-1</f>
        <v>-6.093931040641376E-3</v>
      </c>
    </row>
    <row r="729" spans="10:18" x14ac:dyDescent="0.2">
      <c r="J729" s="354">
        <v>41610</v>
      </c>
      <c r="K729">
        <v>12.36</v>
      </c>
      <c r="L729">
        <v>13.54</v>
      </c>
      <c r="M729">
        <v>12.09</v>
      </c>
      <c r="N729">
        <v>13.3</v>
      </c>
      <c r="O729">
        <v>11.239561</v>
      </c>
      <c r="P729">
        <v>36962700</v>
      </c>
      <c r="R729" s="273">
        <f>(O729/O728)*('16. câmbio USD-BRL'!O525/'16. câmbio USD-BRL'!O524)^-1-1</f>
        <v>7.2414163892872585E-2</v>
      </c>
    </row>
    <row r="730" spans="10:18" x14ac:dyDescent="0.2">
      <c r="J730" s="354">
        <v>41617</v>
      </c>
      <c r="K730">
        <v>13.43</v>
      </c>
      <c r="L730">
        <v>13.6</v>
      </c>
      <c r="M730">
        <v>12.93</v>
      </c>
      <c r="N730">
        <v>13.07</v>
      </c>
      <c r="O730">
        <v>11.045192999999999</v>
      </c>
      <c r="P730">
        <v>19881200</v>
      </c>
      <c r="R730" s="273">
        <f>(O730/O729)*('16. câmbio USD-BRL'!O526/'16. câmbio USD-BRL'!O525)^-1-1</f>
        <v>-1.8645744799509201E-2</v>
      </c>
    </row>
    <row r="731" spans="10:18" x14ac:dyDescent="0.2">
      <c r="J731" s="354">
        <v>41624</v>
      </c>
      <c r="K731">
        <v>13.15</v>
      </c>
      <c r="L731">
        <v>14.87</v>
      </c>
      <c r="M731">
        <v>13.01</v>
      </c>
      <c r="N731">
        <v>14.14</v>
      </c>
      <c r="O731">
        <v>11.949427</v>
      </c>
      <c r="P731">
        <v>36050400</v>
      </c>
      <c r="R731" s="273">
        <f>(O731/O730)*('16. câmbio USD-BRL'!O527/'16. câmbio USD-BRL'!O526)^-1-1</f>
        <v>5.5668016274046606E-2</v>
      </c>
    </row>
    <row r="732" spans="10:18" x14ac:dyDescent="0.2">
      <c r="J732" s="354">
        <v>41631</v>
      </c>
      <c r="K732">
        <v>14.17</v>
      </c>
      <c r="L732">
        <v>14.65</v>
      </c>
      <c r="M732">
        <v>14.11</v>
      </c>
      <c r="N732">
        <v>14.25</v>
      </c>
      <c r="O732">
        <v>12.042387</v>
      </c>
      <c r="P732">
        <v>7471800</v>
      </c>
      <c r="R732" s="273">
        <f>(O732/O731)*('16. câmbio USD-BRL'!O528/'16. câmbio USD-BRL'!O527)^-1-1</f>
        <v>2.9027684389053121E-2</v>
      </c>
    </row>
    <row r="733" spans="10:18" x14ac:dyDescent="0.2">
      <c r="J733" s="354">
        <v>41638</v>
      </c>
      <c r="K733">
        <v>14.23</v>
      </c>
      <c r="L733">
        <v>14.51</v>
      </c>
      <c r="M733">
        <v>13.33</v>
      </c>
      <c r="N733">
        <v>13.8</v>
      </c>
      <c r="O733">
        <v>11.662101</v>
      </c>
      <c r="P733">
        <v>28514900</v>
      </c>
      <c r="R733" s="273">
        <f>(O733/O732)*('16. câmbio USD-BRL'!O529/'16. câmbio USD-BRL'!O528)^-1-1</f>
        <v>-4.7096560000732146E-2</v>
      </c>
    </row>
    <row r="734" spans="10:18" x14ac:dyDescent="0.2">
      <c r="J734" s="354">
        <v>41645</v>
      </c>
      <c r="K734">
        <v>13.78</v>
      </c>
      <c r="L734">
        <v>14.34</v>
      </c>
      <c r="M734">
        <v>13.54</v>
      </c>
      <c r="N734">
        <v>13.74</v>
      </c>
      <c r="O734">
        <v>11.611394000000001</v>
      </c>
      <c r="P734">
        <v>29788100</v>
      </c>
      <c r="R734" s="273">
        <f>(O734/O733)*('16. câmbio USD-BRL'!O530/'16. câmbio USD-BRL'!O529)^-1-1</f>
        <v>3.2669132824134639E-3</v>
      </c>
    </row>
    <row r="735" spans="10:18" x14ac:dyDescent="0.2">
      <c r="J735" s="354">
        <v>41652</v>
      </c>
      <c r="K735">
        <v>13.71</v>
      </c>
      <c r="L735">
        <v>14.19</v>
      </c>
      <c r="M735">
        <v>13.42</v>
      </c>
      <c r="N735">
        <v>13.94</v>
      </c>
      <c r="O735">
        <v>11.780411000000001</v>
      </c>
      <c r="P735">
        <v>21294300</v>
      </c>
      <c r="R735" s="273">
        <f>(O735/O734)*('16. câmbio USD-BRL'!O531/'16. câmbio USD-BRL'!O530)^-1-1</f>
        <v>1.714924811588614E-2</v>
      </c>
    </row>
    <row r="736" spans="10:18" x14ac:dyDescent="0.2">
      <c r="J736" s="354">
        <v>41659</v>
      </c>
      <c r="K736">
        <v>13.94</v>
      </c>
      <c r="L736">
        <v>13.98</v>
      </c>
      <c r="M736">
        <v>12.04</v>
      </c>
      <c r="N736">
        <v>12.45</v>
      </c>
      <c r="O736">
        <v>10.521242000000001</v>
      </c>
      <c r="P736">
        <v>41474400</v>
      </c>
      <c r="R736" s="273">
        <f>(O736/O735)*('16. câmbio USD-BRL'!O532/'16. câmbio USD-BRL'!O531)^-1-1</f>
        <v>-0.12394136601624428</v>
      </c>
    </row>
    <row r="737" spans="10:18" x14ac:dyDescent="0.2">
      <c r="J737" s="354">
        <v>41666</v>
      </c>
      <c r="K737">
        <v>12.58</v>
      </c>
      <c r="L737">
        <v>12.69</v>
      </c>
      <c r="M737">
        <v>11.69</v>
      </c>
      <c r="N737">
        <v>11.9</v>
      </c>
      <c r="O737">
        <v>10.056448</v>
      </c>
      <c r="P737">
        <v>30315600</v>
      </c>
      <c r="R737" s="273">
        <f>(O737/O736)*('16. câmbio USD-BRL'!O533/'16. câmbio USD-BRL'!O532)^-1-1</f>
        <v>-5.5659387761010093E-2</v>
      </c>
    </row>
    <row r="738" spans="10:18" x14ac:dyDescent="0.2">
      <c r="J738" s="354">
        <v>41673</v>
      </c>
      <c r="K738">
        <v>11.86</v>
      </c>
      <c r="L738">
        <v>12.59</v>
      </c>
      <c r="M738">
        <v>11.47</v>
      </c>
      <c r="N738">
        <v>12.31</v>
      </c>
      <c r="O738">
        <v>10.40293</v>
      </c>
      <c r="P738">
        <v>22557700</v>
      </c>
      <c r="R738" s="273">
        <f>(O738/O737)*('16. câmbio USD-BRL'!O534/'16. câmbio USD-BRL'!O533)^-1-1</f>
        <v>5.4966838774541227E-2</v>
      </c>
    </row>
    <row r="739" spans="10:18" x14ac:dyDescent="0.2">
      <c r="J739" s="354">
        <v>41680</v>
      </c>
      <c r="K739">
        <v>12.19</v>
      </c>
      <c r="L739">
        <v>12.31</v>
      </c>
      <c r="M739">
        <v>11.31</v>
      </c>
      <c r="N739">
        <v>11.54</v>
      </c>
      <c r="O739">
        <v>9.7522179999999992</v>
      </c>
      <c r="P739">
        <v>35989700</v>
      </c>
      <c r="R739" s="273">
        <f>(O739/O738)*('16. câmbio USD-BRL'!O535/'16. câmbio USD-BRL'!O534)^-1-1</f>
        <v>-6.6050397589722087E-2</v>
      </c>
    </row>
    <row r="740" spans="10:18" x14ac:dyDescent="0.2">
      <c r="J740" s="354">
        <v>41687</v>
      </c>
      <c r="K740">
        <v>11.48</v>
      </c>
      <c r="L740">
        <v>11.57</v>
      </c>
      <c r="M740">
        <v>9.86</v>
      </c>
      <c r="N740">
        <v>10.41</v>
      </c>
      <c r="O740">
        <v>8.7972789999999996</v>
      </c>
      <c r="P740">
        <v>52137400</v>
      </c>
      <c r="R740" s="273">
        <f>(O740/O739)*('16. câmbio USD-BRL'!O536/'16. câmbio USD-BRL'!O535)^-1-1</f>
        <v>-8.1155052263127692E-2</v>
      </c>
    </row>
    <row r="741" spans="10:18" x14ac:dyDescent="0.2">
      <c r="J741" s="354">
        <v>41694</v>
      </c>
      <c r="K741">
        <v>10.4</v>
      </c>
      <c r="L741">
        <v>10.4</v>
      </c>
      <c r="M741">
        <v>9.75</v>
      </c>
      <c r="N741">
        <v>9.77</v>
      </c>
      <c r="O741">
        <v>8.2564290000000007</v>
      </c>
      <c r="P741">
        <v>22733400</v>
      </c>
      <c r="R741" s="273">
        <f>(O741/O740)*('16. câmbio USD-BRL'!O537/'16. câmbio USD-BRL'!O536)^-1-1</f>
        <v>-5.8583312746891214E-2</v>
      </c>
    </row>
    <row r="742" spans="10:18" x14ac:dyDescent="0.2">
      <c r="J742" s="354">
        <v>41701</v>
      </c>
      <c r="K742">
        <v>9.77</v>
      </c>
      <c r="L742">
        <v>9.93</v>
      </c>
      <c r="M742">
        <v>8.98</v>
      </c>
      <c r="N742">
        <v>9.09</v>
      </c>
      <c r="O742">
        <v>7.681775</v>
      </c>
      <c r="P742">
        <v>19786900</v>
      </c>
      <c r="R742" s="273">
        <f>(O742/O741)*('16. câmbio USD-BRL'!O538/'16. câmbio USD-BRL'!O537)^-1-1</f>
        <v>-7.0477174499771644E-2</v>
      </c>
    </row>
    <row r="743" spans="10:18" x14ac:dyDescent="0.2">
      <c r="J743" s="354">
        <v>41708</v>
      </c>
      <c r="K743">
        <v>8.94</v>
      </c>
      <c r="L743">
        <v>9.2799999999999994</v>
      </c>
      <c r="M743">
        <v>8.44</v>
      </c>
      <c r="N743">
        <v>9.0299999999999994</v>
      </c>
      <c r="O743">
        <v>7.6310700000000002</v>
      </c>
      <c r="P743">
        <v>52756900</v>
      </c>
      <c r="R743" s="273">
        <f>(O743/O742)*('16. câmbio USD-BRL'!O539/'16. câmbio USD-BRL'!O538)^-1-1</f>
        <v>-8.6804387413769168E-3</v>
      </c>
    </row>
    <row r="744" spans="10:18" x14ac:dyDescent="0.2">
      <c r="J744" s="354">
        <v>41715</v>
      </c>
      <c r="K744">
        <v>9.1300000000000008</v>
      </c>
      <c r="L744">
        <v>9.84</v>
      </c>
      <c r="M744">
        <v>8.81</v>
      </c>
      <c r="N744">
        <v>9.5500000000000007</v>
      </c>
      <c r="O744">
        <v>8.0705109999999998</v>
      </c>
      <c r="P744">
        <v>47828700</v>
      </c>
      <c r="R744" s="273">
        <f>(O744/O743)*('16. câmbio USD-BRL'!O540/'16. câmbio USD-BRL'!O539)^-1-1</f>
        <v>6.7022795862572426E-2</v>
      </c>
    </row>
    <row r="745" spans="10:18" x14ac:dyDescent="0.2">
      <c r="J745" s="354">
        <v>41722</v>
      </c>
      <c r="K745">
        <v>9.6199999999999992</v>
      </c>
      <c r="L745">
        <v>10.7</v>
      </c>
      <c r="M745">
        <v>9.5500000000000007</v>
      </c>
      <c r="N745">
        <v>10.32</v>
      </c>
      <c r="O745">
        <v>8.7212230000000002</v>
      </c>
      <c r="P745">
        <v>32870500</v>
      </c>
      <c r="R745" s="273">
        <f>(O745/O744)*('16. câmbio USD-BRL'!O541/'16. câmbio USD-BRL'!O540)^-1-1</f>
        <v>0.11113942222106199</v>
      </c>
    </row>
    <row r="746" spans="10:18" x14ac:dyDescent="0.2">
      <c r="J746" s="354">
        <v>41729</v>
      </c>
      <c r="K746">
        <v>10.48</v>
      </c>
      <c r="L746">
        <v>10.49</v>
      </c>
      <c r="M746">
        <v>9.86</v>
      </c>
      <c r="N746">
        <v>10.17</v>
      </c>
      <c r="O746">
        <v>8.5944599999999998</v>
      </c>
      <c r="P746">
        <v>37851300</v>
      </c>
      <c r="R746" s="273">
        <f>(O746/O745)*('16. câmbio USD-BRL'!O542/'16. câmbio USD-BRL'!O541)^-1-1</f>
        <v>-1.6540195350855158E-2</v>
      </c>
    </row>
    <row r="747" spans="10:18" x14ac:dyDescent="0.2">
      <c r="J747" s="354">
        <v>41736</v>
      </c>
      <c r="K747">
        <v>10.37</v>
      </c>
      <c r="L747">
        <v>10.52</v>
      </c>
      <c r="M747">
        <v>8.5399999999999991</v>
      </c>
      <c r="N747">
        <v>9.3000000000000007</v>
      </c>
      <c r="O747">
        <v>7.8592420000000001</v>
      </c>
      <c r="P747">
        <v>58886600</v>
      </c>
      <c r="R747" s="273">
        <f>(O747/O746)*('16. câmbio USD-BRL'!O543/'16. câmbio USD-BRL'!O542)^-1-1</f>
        <v>-6.7099673050655007E-2</v>
      </c>
    </row>
    <row r="748" spans="10:18" x14ac:dyDescent="0.2">
      <c r="J748" s="354">
        <v>41743</v>
      </c>
      <c r="K748">
        <v>9.35</v>
      </c>
      <c r="L748">
        <v>9.49</v>
      </c>
      <c r="M748">
        <v>8.94</v>
      </c>
      <c r="N748">
        <v>9.34</v>
      </c>
      <c r="O748">
        <v>7.8930439999999997</v>
      </c>
      <c r="P748">
        <v>21418000</v>
      </c>
      <c r="R748" s="273">
        <f>(O748/O747)*('16. câmbio USD-BRL'!O544/'16. câmbio USD-BRL'!O543)^-1-1</f>
        <v>-1.1978965676648912E-3</v>
      </c>
    </row>
    <row r="749" spans="10:18" x14ac:dyDescent="0.2">
      <c r="J749" s="354">
        <v>41750</v>
      </c>
      <c r="K749">
        <v>9.34</v>
      </c>
      <c r="L749">
        <v>9.75</v>
      </c>
      <c r="M749">
        <v>8.8000000000000007</v>
      </c>
      <c r="N749">
        <v>9</v>
      </c>
      <c r="O749">
        <v>7.6057189999999997</v>
      </c>
      <c r="P749">
        <v>43388400</v>
      </c>
      <c r="R749" s="273">
        <f>(O749/O748)*('16. câmbio USD-BRL'!O545/'16. câmbio USD-BRL'!O544)^-1-1</f>
        <v>-4.0964631674890728E-2</v>
      </c>
    </row>
    <row r="750" spans="10:18" x14ac:dyDescent="0.2">
      <c r="J750" s="354">
        <v>41757</v>
      </c>
      <c r="K750">
        <v>9</v>
      </c>
      <c r="L750">
        <v>9.23</v>
      </c>
      <c r="M750">
        <v>8.67</v>
      </c>
      <c r="N750">
        <v>8.99</v>
      </c>
      <c r="O750">
        <v>7.5972650000000002</v>
      </c>
      <c r="P750">
        <v>23149000</v>
      </c>
      <c r="R750" s="273">
        <f>(O750/O749)*('16. câmbio USD-BRL'!O546/'16. câmbio USD-BRL'!O545)^-1-1</f>
        <v>2.5155790440496428E-3</v>
      </c>
    </row>
    <row r="751" spans="10:18" x14ac:dyDescent="0.2">
      <c r="J751" s="354">
        <v>41764</v>
      </c>
      <c r="K751">
        <v>9</v>
      </c>
      <c r="L751">
        <v>9.16</v>
      </c>
      <c r="M751">
        <v>8.57</v>
      </c>
      <c r="N751">
        <v>8.6199999999999992</v>
      </c>
      <c r="O751">
        <v>7.2845870000000001</v>
      </c>
      <c r="P751">
        <v>28844400</v>
      </c>
      <c r="R751" s="273">
        <f>(O751/O750)*('16. câmbio USD-BRL'!O547/'16. câmbio USD-BRL'!O546)^-1-1</f>
        <v>-3.1079567853573908E-2</v>
      </c>
    </row>
    <row r="752" spans="10:18" x14ac:dyDescent="0.2">
      <c r="J752" s="354">
        <v>41771</v>
      </c>
      <c r="K752">
        <v>8.66</v>
      </c>
      <c r="L752">
        <v>8.8800000000000008</v>
      </c>
      <c r="M752">
        <v>8.65</v>
      </c>
      <c r="N752">
        <v>8.68</v>
      </c>
      <c r="O752">
        <v>7.3352919999999999</v>
      </c>
      <c r="P752">
        <v>20766400</v>
      </c>
      <c r="R752" s="273">
        <f>(O752/O751)*('16. câmbio USD-BRL'!O548/'16. câmbio USD-BRL'!O547)^-1-1</f>
        <v>1.03934069663425E-2</v>
      </c>
    </row>
    <row r="753" spans="10:18" x14ac:dyDescent="0.2">
      <c r="J753" s="354">
        <v>41778</v>
      </c>
      <c r="K753">
        <v>8.61</v>
      </c>
      <c r="L753">
        <v>8.67</v>
      </c>
      <c r="M753">
        <v>8.11</v>
      </c>
      <c r="N753">
        <v>8.3000000000000007</v>
      </c>
      <c r="O753">
        <v>7.0141619999999998</v>
      </c>
      <c r="P753">
        <v>26387200</v>
      </c>
      <c r="R753" s="273">
        <f>(O753/O752)*('16. câmbio USD-BRL'!O549/'16. câmbio USD-BRL'!O548)^-1-1</f>
        <v>-5.1966325191375562E-2</v>
      </c>
    </row>
    <row r="754" spans="10:18" x14ac:dyDescent="0.2">
      <c r="J754" s="354">
        <v>41785</v>
      </c>
      <c r="K754">
        <v>8.31</v>
      </c>
      <c r="L754">
        <v>8.41</v>
      </c>
      <c r="M754">
        <v>7.86</v>
      </c>
      <c r="N754">
        <v>7.88</v>
      </c>
      <c r="O754">
        <v>6.6592279999999997</v>
      </c>
      <c r="P754">
        <v>22035700</v>
      </c>
      <c r="R754" s="273">
        <f>(O754/O753)*('16. câmbio USD-BRL'!O550/'16. câmbio USD-BRL'!O549)^-1-1</f>
        <v>-5.2566516257010143E-2</v>
      </c>
    </row>
    <row r="755" spans="10:18" x14ac:dyDescent="0.2">
      <c r="J755" s="354">
        <v>41792</v>
      </c>
      <c r="K755">
        <v>7.97</v>
      </c>
      <c r="L755">
        <v>8.17</v>
      </c>
      <c r="M755">
        <v>7.84</v>
      </c>
      <c r="N755">
        <v>8.14</v>
      </c>
      <c r="O755">
        <v>6.8789490000000004</v>
      </c>
      <c r="P755">
        <v>28127400</v>
      </c>
      <c r="R755" s="273">
        <f>(O755/O754)*('16. câmbio USD-BRL'!O551/'16. câmbio USD-BRL'!O550)^-1-1</f>
        <v>2.4151777204690417E-2</v>
      </c>
    </row>
    <row r="756" spans="10:18" x14ac:dyDescent="0.2">
      <c r="J756" s="354">
        <v>41799</v>
      </c>
      <c r="K756">
        <v>8.1300000000000008</v>
      </c>
      <c r="L756">
        <v>8.3800000000000008</v>
      </c>
      <c r="M756">
        <v>7.97</v>
      </c>
      <c r="N756">
        <v>7.97</v>
      </c>
      <c r="O756">
        <v>6.7352850000000002</v>
      </c>
      <c r="P756">
        <v>23265100</v>
      </c>
      <c r="R756" s="273">
        <f>(O756/O755)*('16. câmbio USD-BRL'!O552/'16. câmbio USD-BRL'!O551)^-1-1</f>
        <v>-1.0650544618493019E-2</v>
      </c>
    </row>
    <row r="757" spans="10:18" x14ac:dyDescent="0.2">
      <c r="J757" s="354">
        <v>41806</v>
      </c>
      <c r="K757">
        <v>7.96</v>
      </c>
      <c r="L757">
        <v>8.31</v>
      </c>
      <c r="M757">
        <v>7.84</v>
      </c>
      <c r="N757">
        <v>8.11</v>
      </c>
      <c r="O757">
        <v>6.8535959999999996</v>
      </c>
      <c r="P757">
        <v>16173800</v>
      </c>
      <c r="R757" s="273">
        <f>(O757/O756)*('16. câmbio USD-BRL'!O553/'16. câmbio USD-BRL'!O552)^-1-1</f>
        <v>1.4959402632016783E-2</v>
      </c>
    </row>
    <row r="758" spans="10:18" x14ac:dyDescent="0.2">
      <c r="J758" s="354">
        <v>41813</v>
      </c>
      <c r="K758">
        <v>8.17</v>
      </c>
      <c r="L758">
        <v>8.25</v>
      </c>
      <c r="M758">
        <v>7.55</v>
      </c>
      <c r="N758">
        <v>7.58</v>
      </c>
      <c r="O758">
        <v>6.4057040000000001</v>
      </c>
      <c r="P758">
        <v>23429400</v>
      </c>
      <c r="R758" s="273">
        <f>(O758/O757)*('16. câmbio USD-BRL'!O554/'16. câmbio USD-BRL'!O553)^-1-1</f>
        <v>-5.1974310596547779E-2</v>
      </c>
    </row>
    <row r="759" spans="10:18" x14ac:dyDescent="0.2">
      <c r="J759" s="354">
        <v>41820</v>
      </c>
      <c r="K759">
        <v>7.6</v>
      </c>
      <c r="L759">
        <v>8.44</v>
      </c>
      <c r="M759">
        <v>7.48</v>
      </c>
      <c r="N759">
        <v>8.44</v>
      </c>
      <c r="O759">
        <v>7.1324730000000001</v>
      </c>
      <c r="P759">
        <v>28715500</v>
      </c>
      <c r="R759" s="273">
        <f>(O759/O758)*('16. câmbio USD-BRL'!O555/'16. câmbio USD-BRL'!O554)^-1-1</f>
        <v>0.10544497192525437</v>
      </c>
    </row>
    <row r="760" spans="10:18" x14ac:dyDescent="0.2">
      <c r="J760" s="354">
        <v>41827</v>
      </c>
      <c r="K760">
        <v>8.4</v>
      </c>
      <c r="L760">
        <v>8.59</v>
      </c>
      <c r="M760">
        <v>8.2100000000000009</v>
      </c>
      <c r="N760">
        <v>8.39</v>
      </c>
      <c r="O760">
        <v>7.0902190000000003</v>
      </c>
      <c r="P760">
        <v>17498500</v>
      </c>
      <c r="R760" s="273">
        <f>(O760/O759)*('16. câmbio USD-BRL'!O556/'16. câmbio USD-BRL'!O555)^-1-1</f>
        <v>-9.3759802775457146E-3</v>
      </c>
    </row>
    <row r="761" spans="10:18" x14ac:dyDescent="0.2">
      <c r="J761" s="354">
        <v>41834</v>
      </c>
      <c r="K761">
        <v>8.4499999999999993</v>
      </c>
      <c r="L761">
        <v>9.19</v>
      </c>
      <c r="M761">
        <v>8.36</v>
      </c>
      <c r="N761">
        <v>8.36</v>
      </c>
      <c r="O761">
        <v>7.0648660000000003</v>
      </c>
      <c r="P761">
        <v>39813200</v>
      </c>
      <c r="R761" s="273">
        <f>(O761/O760)*('16. câmbio USD-BRL'!O557/'16. câmbio USD-BRL'!O556)^-1-1</f>
        <v>-5.727972080245225E-3</v>
      </c>
    </row>
    <row r="762" spans="10:18" x14ac:dyDescent="0.2">
      <c r="J762" s="354">
        <v>41841</v>
      </c>
      <c r="K762">
        <v>8.4</v>
      </c>
      <c r="L762">
        <v>8.41</v>
      </c>
      <c r="M762">
        <v>7.77</v>
      </c>
      <c r="N762">
        <v>7.9</v>
      </c>
      <c r="O762">
        <v>6.6761290000000004</v>
      </c>
      <c r="P762">
        <v>41755600</v>
      </c>
      <c r="R762" s="273">
        <f>(O762/O761)*('16. câmbio USD-BRL'!O558/'16. câmbio USD-BRL'!O557)^-1-1</f>
        <v>-5.493892104129694E-2</v>
      </c>
    </row>
    <row r="763" spans="10:18" x14ac:dyDescent="0.2">
      <c r="J763" s="354">
        <v>41848</v>
      </c>
      <c r="K763">
        <v>7.98</v>
      </c>
      <c r="L763">
        <v>8.23</v>
      </c>
      <c r="M763">
        <v>7.9</v>
      </c>
      <c r="N763">
        <v>8.1</v>
      </c>
      <c r="O763">
        <v>6.8451449999999996</v>
      </c>
      <c r="P763">
        <v>27650700</v>
      </c>
      <c r="R763" s="273">
        <f>(O763/O762)*('16. câmbio USD-BRL'!O559/'16. câmbio USD-BRL'!O558)^-1-1</f>
        <v>1.1568495085785724E-2</v>
      </c>
    </row>
    <row r="764" spans="10:18" x14ac:dyDescent="0.2">
      <c r="J764" s="354">
        <v>41855</v>
      </c>
      <c r="K764">
        <v>8.14</v>
      </c>
      <c r="L764">
        <v>8.23</v>
      </c>
      <c r="M764">
        <v>7.97</v>
      </c>
      <c r="N764">
        <v>8.19</v>
      </c>
      <c r="O764">
        <v>6.9212030000000002</v>
      </c>
      <c r="P764">
        <v>27946400</v>
      </c>
      <c r="R764" s="273">
        <f>(O764/O763)*('16. câmbio USD-BRL'!O560/'16. câmbio USD-BRL'!O559)^-1-1</f>
        <v>-7.3460739257202867E-4</v>
      </c>
    </row>
    <row r="765" spans="10:18" x14ac:dyDescent="0.2">
      <c r="J765" s="354">
        <v>41862</v>
      </c>
      <c r="K765">
        <v>8.27</v>
      </c>
      <c r="L765">
        <v>8.5399999999999991</v>
      </c>
      <c r="M765">
        <v>8.08</v>
      </c>
      <c r="N765">
        <v>8.1999999999999993</v>
      </c>
      <c r="O765">
        <v>6.9296530000000001</v>
      </c>
      <c r="P765">
        <v>28404800</v>
      </c>
      <c r="R765" s="273">
        <f>(O765/O764)*('16. câmbio USD-BRL'!O561/'16. câmbio USD-BRL'!O560)^-1-1</f>
        <v>1.1249068979239052E-2</v>
      </c>
    </row>
    <row r="766" spans="10:18" x14ac:dyDescent="0.2">
      <c r="J766" s="354">
        <v>41869</v>
      </c>
      <c r="K766">
        <v>8.26</v>
      </c>
      <c r="L766">
        <v>8.2799999999999994</v>
      </c>
      <c r="M766">
        <v>8</v>
      </c>
      <c r="N766">
        <v>8.06</v>
      </c>
      <c r="O766">
        <v>6.8113419999999998</v>
      </c>
      <c r="P766">
        <v>27177400</v>
      </c>
      <c r="R766" s="273">
        <f>(O766/O765)*('16. câmbio USD-BRL'!O562/'16. câmbio USD-BRL'!O561)^-1-1</f>
        <v>-2.4208655899442766E-2</v>
      </c>
    </row>
    <row r="767" spans="10:18" x14ac:dyDescent="0.2">
      <c r="J767" s="354">
        <v>41876</v>
      </c>
      <c r="K767">
        <v>8.1</v>
      </c>
      <c r="L767">
        <v>8.4700000000000006</v>
      </c>
      <c r="M767">
        <v>8.01</v>
      </c>
      <c r="N767">
        <v>8.09</v>
      </c>
      <c r="O767">
        <v>6.8366949999999997</v>
      </c>
      <c r="P767">
        <v>34990100</v>
      </c>
      <c r="R767" s="273">
        <f>(O767/O766)*('16. câmbio USD-BRL'!O563/'16. câmbio USD-BRL'!O562)^-1-1</f>
        <v>2.2297960768983049E-2</v>
      </c>
    </row>
    <row r="768" spans="10:18" x14ac:dyDescent="0.2">
      <c r="J768" s="354">
        <v>41883</v>
      </c>
      <c r="K768">
        <v>8.09</v>
      </c>
      <c r="L768">
        <v>9.0399999999999991</v>
      </c>
      <c r="M768">
        <v>8.0500000000000007</v>
      </c>
      <c r="N768">
        <v>8.36</v>
      </c>
      <c r="O768">
        <v>7.0648660000000003</v>
      </c>
      <c r="P768">
        <v>42248300</v>
      </c>
      <c r="R768" s="273">
        <f>(O768/O767)*('16. câmbio USD-BRL'!O564/'16. câmbio USD-BRL'!O563)^-1-1</f>
        <v>2.982112432119699E-2</v>
      </c>
    </row>
    <row r="769" spans="10:18" x14ac:dyDescent="0.2">
      <c r="J769" s="354">
        <v>41890</v>
      </c>
      <c r="K769">
        <v>8.4</v>
      </c>
      <c r="L769">
        <v>8.48</v>
      </c>
      <c r="M769">
        <v>7.73</v>
      </c>
      <c r="N769">
        <v>8</v>
      </c>
      <c r="O769">
        <v>6.760637</v>
      </c>
      <c r="P769">
        <v>33622300</v>
      </c>
      <c r="R769" s="273">
        <f>(O769/O768)*('16. câmbio USD-BRL'!O565/'16. câmbio USD-BRL'!O564)^-1-1</f>
        <v>-5.6793559669425786E-2</v>
      </c>
    </row>
    <row r="770" spans="10:18" x14ac:dyDescent="0.2">
      <c r="J770" s="354">
        <v>41897</v>
      </c>
      <c r="K770">
        <v>8.02</v>
      </c>
      <c r="L770">
        <v>8.3800000000000008</v>
      </c>
      <c r="M770">
        <v>7.93</v>
      </c>
      <c r="N770">
        <v>8.17</v>
      </c>
      <c r="O770">
        <v>6.9043010000000002</v>
      </c>
      <c r="P770">
        <v>28463400</v>
      </c>
      <c r="R770" s="273">
        <f>(O770/O769)*('16. câmbio USD-BRL'!O566/'16. câmbio USD-BRL'!O565)^-1-1</f>
        <v>-1.8952206831983065E-2</v>
      </c>
    </row>
    <row r="771" spans="10:18" x14ac:dyDescent="0.2">
      <c r="J771" s="354">
        <v>41904</v>
      </c>
      <c r="K771">
        <v>8.1</v>
      </c>
      <c r="L771">
        <v>8.1</v>
      </c>
      <c r="M771">
        <v>7.03</v>
      </c>
      <c r="N771">
        <v>7.12</v>
      </c>
      <c r="O771">
        <v>6.0169680000000003</v>
      </c>
      <c r="P771">
        <v>37062300</v>
      </c>
      <c r="R771" s="273">
        <f>(O771/O770)*('16. câmbio USD-BRL'!O567/'16. câmbio USD-BRL'!O566)^-1-1</f>
        <v>-0.14825487244420699</v>
      </c>
    </row>
    <row r="772" spans="10:18" x14ac:dyDescent="0.2">
      <c r="J772" s="354">
        <v>41911</v>
      </c>
      <c r="K772">
        <v>6.85</v>
      </c>
      <c r="L772">
        <v>6.93</v>
      </c>
      <c r="M772">
        <v>6.11</v>
      </c>
      <c r="N772">
        <v>6.84</v>
      </c>
      <c r="O772">
        <v>5.7803449999999996</v>
      </c>
      <c r="P772">
        <v>64863100</v>
      </c>
      <c r="R772" s="273">
        <f>(O772/O771)*('16. câmbio USD-BRL'!O568/'16. câmbio USD-BRL'!O567)^-1-1</f>
        <v>-5.3061607706844316E-2</v>
      </c>
    </row>
    <row r="773" spans="10:18" x14ac:dyDescent="0.2">
      <c r="J773" s="354">
        <v>41918</v>
      </c>
      <c r="K773">
        <v>6.99</v>
      </c>
      <c r="L773">
        <v>7.19</v>
      </c>
      <c r="M773">
        <v>6.16</v>
      </c>
      <c r="N773">
        <v>6.16</v>
      </c>
      <c r="O773">
        <v>5.2056909999999998</v>
      </c>
      <c r="P773">
        <v>34069100</v>
      </c>
      <c r="R773" s="273">
        <f>(O773/O772)*('16. câmbio USD-BRL'!O569/'16. câmbio USD-BRL'!O568)^-1-1</f>
        <v>-7.3409182302140663E-2</v>
      </c>
    </row>
    <row r="774" spans="10:18" x14ac:dyDescent="0.2">
      <c r="J774" s="354">
        <v>41925</v>
      </c>
      <c r="K774">
        <v>6.28</v>
      </c>
      <c r="L774">
        <v>6.47</v>
      </c>
      <c r="M774">
        <v>5.85</v>
      </c>
      <c r="N774">
        <v>5.88</v>
      </c>
      <c r="O774">
        <v>4.9690690000000002</v>
      </c>
      <c r="P774">
        <v>28242800</v>
      </c>
      <c r="R774" s="273">
        <f>(O774/O773)*('16. câmbio USD-BRL'!O570/'16. câmbio USD-BRL'!O569)^-1-1</f>
        <v>-6.3008351346381275E-2</v>
      </c>
    </row>
    <row r="775" spans="10:18" x14ac:dyDescent="0.2">
      <c r="J775" s="354">
        <v>41932</v>
      </c>
      <c r="K775">
        <v>5.88</v>
      </c>
      <c r="L775">
        <v>6.35</v>
      </c>
      <c r="M775">
        <v>5.75</v>
      </c>
      <c r="N775">
        <v>6.22</v>
      </c>
      <c r="O775">
        <v>5.2563950000000004</v>
      </c>
      <c r="P775">
        <v>28910900</v>
      </c>
      <c r="R775" s="273">
        <f>(O775/O774)*('16. câmbio USD-BRL'!O571/'16. câmbio USD-BRL'!O570)^-1-1</f>
        <v>4.1455762838499943E-2</v>
      </c>
    </row>
    <row r="776" spans="10:18" x14ac:dyDescent="0.2">
      <c r="J776" s="354">
        <v>41939</v>
      </c>
      <c r="K776">
        <v>6.23</v>
      </c>
      <c r="L776">
        <v>6.41</v>
      </c>
      <c r="M776">
        <v>5.19</v>
      </c>
      <c r="N776">
        <v>5.7</v>
      </c>
      <c r="O776">
        <v>4.816954</v>
      </c>
      <c r="P776">
        <v>50869700</v>
      </c>
      <c r="R776" s="273">
        <f>(O776/O775)*('16. câmbio USD-BRL'!O572/'16. câmbio USD-BRL'!O571)^-1-1</f>
        <v>-6.2565997808882501E-2</v>
      </c>
    </row>
    <row r="777" spans="10:18" x14ac:dyDescent="0.2">
      <c r="J777" s="354">
        <v>41946</v>
      </c>
      <c r="K777">
        <v>5.69</v>
      </c>
      <c r="L777">
        <v>5.92</v>
      </c>
      <c r="M777">
        <v>5.35</v>
      </c>
      <c r="N777">
        <v>5.72</v>
      </c>
      <c r="O777">
        <v>4.8338549999999998</v>
      </c>
      <c r="P777">
        <v>26602300</v>
      </c>
      <c r="R777" s="273">
        <f>(O777/O776)*('16. câmbio USD-BRL'!O573/'16. câmbio USD-BRL'!O572)^-1-1</f>
        <v>-5.6351545257127711E-2</v>
      </c>
    </row>
    <row r="778" spans="10:18" x14ac:dyDescent="0.2">
      <c r="J778" s="354">
        <v>41953</v>
      </c>
      <c r="K778">
        <v>5.8</v>
      </c>
      <c r="L778">
        <v>5.83</v>
      </c>
      <c r="M778">
        <v>5.21</v>
      </c>
      <c r="N778">
        <v>5.48</v>
      </c>
      <c r="O778">
        <v>4.6310370000000001</v>
      </c>
      <c r="P778">
        <v>28551900</v>
      </c>
      <c r="R778" s="273">
        <f>(O778/O777)*('16. câmbio USD-BRL'!O574/'16. câmbio USD-BRL'!O573)^-1-1</f>
        <v>-5.3099557631211214E-2</v>
      </c>
    </row>
    <row r="779" spans="10:18" x14ac:dyDescent="0.2">
      <c r="J779" s="354">
        <v>41960</v>
      </c>
      <c r="K779">
        <v>5.47</v>
      </c>
      <c r="L779">
        <v>5.54</v>
      </c>
      <c r="M779">
        <v>4.95</v>
      </c>
      <c r="N779">
        <v>5.4</v>
      </c>
      <c r="O779">
        <v>4.5634309999999996</v>
      </c>
      <c r="P779">
        <v>28520700</v>
      </c>
      <c r="R779" s="273">
        <f>(O779/O778)*('16. câmbio USD-BRL'!O575/'16. câmbio USD-BRL'!O574)^-1-1</f>
        <v>1.8666689404416958E-2</v>
      </c>
    </row>
    <row r="780" spans="10:18" x14ac:dyDescent="0.2">
      <c r="J780" s="354">
        <v>41967</v>
      </c>
      <c r="K780">
        <v>5.46</v>
      </c>
      <c r="L780">
        <v>5.67</v>
      </c>
      <c r="M780">
        <v>5.08</v>
      </c>
      <c r="N780">
        <v>5.25</v>
      </c>
      <c r="O780">
        <v>4.4366680000000001</v>
      </c>
      <c r="P780">
        <v>35176500</v>
      </c>
      <c r="R780" s="273">
        <f>(O780/O779)*('16. câmbio USD-BRL'!O576/'16. câmbio USD-BRL'!O575)^-1-1</f>
        <v>-3.3625492058972251E-2</v>
      </c>
    </row>
    <row r="781" spans="10:18" x14ac:dyDescent="0.2">
      <c r="J781" s="354">
        <v>41974</v>
      </c>
      <c r="K781">
        <v>5.0199999999999996</v>
      </c>
      <c r="L781">
        <v>5.22</v>
      </c>
      <c r="M781">
        <v>4.82</v>
      </c>
      <c r="N781">
        <v>5.1100000000000003</v>
      </c>
      <c r="O781">
        <v>4.3183569999999998</v>
      </c>
      <c r="P781">
        <v>90756928</v>
      </c>
      <c r="R781" s="273">
        <f>(O781/O780)*('16. câmbio USD-BRL'!O577/'16. câmbio USD-BRL'!O576)^-1-1</f>
        <v>-4.8834892871978397E-2</v>
      </c>
    </row>
    <row r="782" spans="10:18" x14ac:dyDescent="0.2">
      <c r="J782" s="354">
        <v>41981</v>
      </c>
      <c r="K782">
        <v>5.13</v>
      </c>
      <c r="L782">
        <v>5.15</v>
      </c>
      <c r="M782">
        <v>4.32</v>
      </c>
      <c r="N782">
        <v>4.32</v>
      </c>
      <c r="O782">
        <v>3.650744</v>
      </c>
      <c r="P782">
        <v>29591300</v>
      </c>
      <c r="R782" s="273">
        <f>(O782/O781)*('16. câmbio USD-BRL'!O578/'16. câmbio USD-BRL'!O577)^-1-1</f>
        <v>-0.17485962800461163</v>
      </c>
    </row>
    <row r="783" spans="10:18" x14ac:dyDescent="0.2">
      <c r="J783" s="354">
        <v>41988</v>
      </c>
      <c r="K783">
        <v>4.3600000000000003</v>
      </c>
      <c r="L783">
        <v>5.63</v>
      </c>
      <c r="M783">
        <v>4.24</v>
      </c>
      <c r="N783">
        <v>5.23</v>
      </c>
      <c r="O783">
        <v>4.4197660000000001</v>
      </c>
      <c r="P783">
        <v>53206200</v>
      </c>
      <c r="R783" s="273">
        <f>(O783/O782)*('16. câmbio USD-BRL'!O579/'16. câmbio USD-BRL'!O578)^-1-1</f>
        <v>0.20623209014731847</v>
      </c>
    </row>
    <row r="784" spans="10:18" x14ac:dyDescent="0.2">
      <c r="J784" s="354">
        <v>41995</v>
      </c>
      <c r="K784">
        <v>5.28</v>
      </c>
      <c r="L784">
        <v>5.45</v>
      </c>
      <c r="M784">
        <v>5.13</v>
      </c>
      <c r="N784">
        <v>5.15</v>
      </c>
      <c r="O784">
        <v>4.3521599999999996</v>
      </c>
      <c r="P784">
        <v>13311800</v>
      </c>
      <c r="R784" s="273">
        <f>(O784/O783)*('16. câmbio USD-BRL'!O580/'16. câmbio USD-BRL'!O579)^-1-1</f>
        <v>-2.8412515018660045E-2</v>
      </c>
    </row>
    <row r="785" spans="10:18" x14ac:dyDescent="0.2">
      <c r="J785" s="354">
        <v>42002</v>
      </c>
      <c r="K785">
        <v>5.17</v>
      </c>
      <c r="L785">
        <v>5.25</v>
      </c>
      <c r="M785">
        <v>4.78</v>
      </c>
      <c r="N785">
        <v>4.79</v>
      </c>
      <c r="O785">
        <v>4.0479329999999996</v>
      </c>
      <c r="P785">
        <v>9414100</v>
      </c>
      <c r="R785" s="273">
        <f>(O785/O784)*('16. câmbio USD-BRL'!O581/'16. câmbio USD-BRL'!O580)^-1-1</f>
        <v>-5.5179142912027968E-2</v>
      </c>
    </row>
    <row r="786" spans="10:18" x14ac:dyDescent="0.2">
      <c r="J786" s="354">
        <v>42009</v>
      </c>
      <c r="K786">
        <v>4.75</v>
      </c>
      <c r="L786">
        <v>5.16</v>
      </c>
      <c r="M786">
        <v>4.5</v>
      </c>
      <c r="N786">
        <v>4.5599999999999996</v>
      </c>
      <c r="O786">
        <v>3.853564</v>
      </c>
      <c r="P786">
        <v>38640600</v>
      </c>
      <c r="R786" s="273">
        <f>(O786/O785)*('16. câmbio USD-BRL'!O582/'16. câmbio USD-BRL'!O581)^-1-1</f>
        <v>-5.0343389058605803E-2</v>
      </c>
    </row>
    <row r="787" spans="10:18" x14ac:dyDescent="0.2">
      <c r="J787" s="354">
        <v>42016</v>
      </c>
      <c r="K787">
        <v>4.53</v>
      </c>
      <c r="L787">
        <v>4.6500000000000004</v>
      </c>
      <c r="M787">
        <v>4.0199999999999996</v>
      </c>
      <c r="N787">
        <v>4.24</v>
      </c>
      <c r="O787">
        <v>3.5831379999999999</v>
      </c>
      <c r="P787">
        <v>44464900</v>
      </c>
      <c r="R787" s="273">
        <f>(O787/O786)*('16. câmbio USD-BRL'!O583/'16. câmbio USD-BRL'!O582)^-1-1</f>
        <v>-6.2775582241111905E-2</v>
      </c>
    </row>
    <row r="788" spans="10:18" x14ac:dyDescent="0.2">
      <c r="J788" s="354">
        <v>42023</v>
      </c>
      <c r="K788">
        <v>4.1900000000000004</v>
      </c>
      <c r="L788">
        <v>4.24</v>
      </c>
      <c r="M788">
        <v>3.94</v>
      </c>
      <c r="N788">
        <v>3.99</v>
      </c>
      <c r="O788">
        <v>3.3718680000000001</v>
      </c>
      <c r="P788">
        <v>37573200</v>
      </c>
      <c r="R788" s="273">
        <f>(O788/O787)*('16. câmbio USD-BRL'!O584/'16. câmbio USD-BRL'!O583)^-1-1</f>
        <v>-3.4070011483405938E-2</v>
      </c>
    </row>
    <row r="789" spans="10:18" x14ac:dyDescent="0.2">
      <c r="J789" s="354">
        <v>42030</v>
      </c>
      <c r="K789">
        <v>3.95</v>
      </c>
      <c r="L789">
        <v>3.98</v>
      </c>
      <c r="M789">
        <v>3.35</v>
      </c>
      <c r="N789">
        <v>3.35</v>
      </c>
      <c r="O789">
        <v>2.8310170000000001</v>
      </c>
      <c r="P789">
        <v>32496800</v>
      </c>
      <c r="R789" s="273">
        <f>(O789/O788)*('16. câmbio USD-BRL'!O585/'16. câmbio USD-BRL'!O584)^-1-1</f>
        <v>-0.19428208578861927</v>
      </c>
    </row>
    <row r="790" spans="10:18" x14ac:dyDescent="0.2">
      <c r="J790" s="354">
        <v>42037</v>
      </c>
      <c r="K790">
        <v>3.42</v>
      </c>
      <c r="L790">
        <v>3.65</v>
      </c>
      <c r="M790">
        <v>3.37</v>
      </c>
      <c r="N790">
        <v>3.54</v>
      </c>
      <c r="O790">
        <v>2.9915820000000002</v>
      </c>
      <c r="P790">
        <v>33719400</v>
      </c>
      <c r="R790" s="273">
        <f>(O790/O789)*('16. câmbio USD-BRL'!O586/'16. câmbio USD-BRL'!O585)^-1-1</f>
        <v>3.2510871286453247E-2</v>
      </c>
    </row>
    <row r="791" spans="10:18" x14ac:dyDescent="0.2">
      <c r="J791" s="354">
        <v>42044</v>
      </c>
      <c r="K791">
        <v>3.55</v>
      </c>
      <c r="L791">
        <v>4.08</v>
      </c>
      <c r="M791">
        <v>3.49</v>
      </c>
      <c r="N791">
        <v>3.6</v>
      </c>
      <c r="O791">
        <v>3.042287</v>
      </c>
      <c r="P791">
        <v>72287000</v>
      </c>
      <c r="R791" s="273">
        <f>(O791/O790)*('16. câmbio USD-BRL'!O587/'16. câmbio USD-BRL'!O586)^-1-1</f>
        <v>-1.5130171133834525E-2</v>
      </c>
    </row>
    <row r="792" spans="10:18" x14ac:dyDescent="0.2">
      <c r="J792" s="354">
        <v>42051</v>
      </c>
      <c r="K792">
        <v>3.6</v>
      </c>
      <c r="L792">
        <v>4.32</v>
      </c>
      <c r="M792">
        <v>3.6</v>
      </c>
      <c r="N792">
        <v>4.07</v>
      </c>
      <c r="O792">
        <v>3.4394740000000001</v>
      </c>
      <c r="P792">
        <v>38338300</v>
      </c>
      <c r="R792" s="273">
        <f>(O792/O791)*('16. câmbio USD-BRL'!O588/'16. câmbio USD-BRL'!O587)^-1-1</f>
        <v>0.11776247176200605</v>
      </c>
    </row>
    <row r="793" spans="10:18" x14ac:dyDescent="0.2">
      <c r="J793" s="354">
        <v>42058</v>
      </c>
      <c r="K793">
        <v>4.12</v>
      </c>
      <c r="L793">
        <v>4.22</v>
      </c>
      <c r="M793">
        <v>3.81</v>
      </c>
      <c r="N793">
        <v>4.13</v>
      </c>
      <c r="O793">
        <v>3.4901789999999999</v>
      </c>
      <c r="P793">
        <v>49537500</v>
      </c>
      <c r="R793" s="273">
        <f>(O793/O792)*('16. câmbio USD-BRL'!O589/'16. câmbio USD-BRL'!O588)^-1-1</f>
        <v>1.759025621814736E-4</v>
      </c>
    </row>
    <row r="794" spans="10:18" x14ac:dyDescent="0.2">
      <c r="J794" s="354">
        <v>42065</v>
      </c>
      <c r="K794">
        <v>4.1399999999999997</v>
      </c>
      <c r="L794">
        <v>4.59</v>
      </c>
      <c r="M794">
        <v>4.07</v>
      </c>
      <c r="N794">
        <v>4.42</v>
      </c>
      <c r="O794">
        <v>3.735252</v>
      </c>
      <c r="P794">
        <v>64242500</v>
      </c>
      <c r="R794" s="273">
        <f>(O794/O793)*('16. câmbio USD-BRL'!O590/'16. câmbio USD-BRL'!O589)^-1-1</f>
        <v>3.6293112297312025E-2</v>
      </c>
    </row>
    <row r="795" spans="10:18" x14ac:dyDescent="0.2">
      <c r="J795" s="354">
        <v>42072</v>
      </c>
      <c r="K795">
        <v>4.3499999999999996</v>
      </c>
      <c r="L795">
        <v>4.9000000000000004</v>
      </c>
      <c r="M795">
        <v>4.3499999999999996</v>
      </c>
      <c r="N795">
        <v>4.8600000000000003</v>
      </c>
      <c r="O795">
        <v>4.1070869999999999</v>
      </c>
      <c r="P795">
        <v>42544300</v>
      </c>
      <c r="R795" s="273">
        <f>(O795/O794)*('16. câmbio USD-BRL'!O591/'16. câmbio USD-BRL'!O590)^-1-1</f>
        <v>1.6564701380238356E-2</v>
      </c>
    </row>
    <row r="796" spans="10:18" x14ac:dyDescent="0.2">
      <c r="J796" s="354">
        <v>42079</v>
      </c>
      <c r="K796">
        <v>4.93</v>
      </c>
      <c r="L796">
        <v>5.19</v>
      </c>
      <c r="M796">
        <v>4.82</v>
      </c>
      <c r="N796">
        <v>5.08</v>
      </c>
      <c r="O796">
        <v>4.293005</v>
      </c>
      <c r="P796">
        <v>36334000</v>
      </c>
      <c r="R796" s="273">
        <f>(O796/O795)*('16. câmbio USD-BRL'!O592/'16. câmbio USD-BRL'!O591)^-1-1</f>
        <v>3.0845302860636581E-2</v>
      </c>
    </row>
    <row r="797" spans="10:18" x14ac:dyDescent="0.2">
      <c r="J797" s="354">
        <v>42086</v>
      </c>
      <c r="K797">
        <v>5.07</v>
      </c>
      <c r="L797">
        <v>5.32</v>
      </c>
      <c r="M797">
        <v>4.8499999999999996</v>
      </c>
      <c r="N797">
        <v>5.14</v>
      </c>
      <c r="O797">
        <v>4.3437099999999997</v>
      </c>
      <c r="P797">
        <v>43803700</v>
      </c>
      <c r="R797" s="273">
        <f>(O797/O796)*('16. câmbio USD-BRL'!O593/'16. câmbio USD-BRL'!O592)^-1-1</f>
        <v>4.7102738823995738E-2</v>
      </c>
    </row>
    <row r="798" spans="10:18" x14ac:dyDescent="0.2">
      <c r="J798" s="354">
        <v>42093</v>
      </c>
      <c r="K798">
        <v>5.18</v>
      </c>
      <c r="L798">
        <v>5.24</v>
      </c>
      <c r="M798">
        <v>4.88</v>
      </c>
      <c r="N798">
        <v>5</v>
      </c>
      <c r="O798">
        <v>4.2253990000000003</v>
      </c>
      <c r="P798">
        <v>24513200</v>
      </c>
      <c r="R798" s="273">
        <f>(O798/O797)*('16. câmbio USD-BRL'!O594/'16. câmbio USD-BRL'!O593)^-1-1</f>
        <v>-9.384743079928759E-3</v>
      </c>
    </row>
    <row r="799" spans="10:18" x14ac:dyDescent="0.2">
      <c r="J799" s="354">
        <v>42100</v>
      </c>
      <c r="K799">
        <v>5.05</v>
      </c>
      <c r="L799">
        <v>5.13</v>
      </c>
      <c r="M799">
        <v>4.53</v>
      </c>
      <c r="N799">
        <v>4.8499999999999996</v>
      </c>
      <c r="O799">
        <v>4.0986359999999999</v>
      </c>
      <c r="P799">
        <v>35850000</v>
      </c>
      <c r="R799" s="273">
        <f>(O799/O798)*('16. câmbio USD-BRL'!O595/'16. câmbio USD-BRL'!O594)^-1-1</f>
        <v>-8.7607636172688519E-3</v>
      </c>
    </row>
    <row r="800" spans="10:18" x14ac:dyDescent="0.2">
      <c r="J800" s="354">
        <v>42107</v>
      </c>
      <c r="K800">
        <v>4.82</v>
      </c>
      <c r="L800">
        <v>5.68</v>
      </c>
      <c r="M800">
        <v>4.78</v>
      </c>
      <c r="N800">
        <v>5.25</v>
      </c>
      <c r="O800">
        <v>4.4366680000000001</v>
      </c>
      <c r="P800">
        <v>41287800</v>
      </c>
      <c r="R800" s="273">
        <f>(O800/O799)*('16. câmbio USD-BRL'!O596/'16. câmbio USD-BRL'!O595)^-1-1</f>
        <v>8.9104497683119233E-2</v>
      </c>
    </row>
    <row r="801" spans="10:18" x14ac:dyDescent="0.2">
      <c r="J801" s="354">
        <v>42114</v>
      </c>
      <c r="K801">
        <v>5.24</v>
      </c>
      <c r="L801">
        <v>6.3</v>
      </c>
      <c r="M801">
        <v>5.18</v>
      </c>
      <c r="N801">
        <v>5.98</v>
      </c>
      <c r="O801">
        <v>5.0535769999999998</v>
      </c>
      <c r="P801">
        <v>31588600</v>
      </c>
      <c r="R801" s="273">
        <f>(O801/O800)*('16. câmbio USD-BRL'!O597/'16. câmbio USD-BRL'!O596)^-1-1</f>
        <v>0.17320032078779657</v>
      </c>
    </row>
    <row r="802" spans="10:18" x14ac:dyDescent="0.2">
      <c r="J802" s="354">
        <v>42121</v>
      </c>
      <c r="K802">
        <v>5.96</v>
      </c>
      <c r="L802">
        <v>6.42</v>
      </c>
      <c r="M802">
        <v>5.71</v>
      </c>
      <c r="N802">
        <v>5.97</v>
      </c>
      <c r="O802">
        <v>5.0451259999999998</v>
      </c>
      <c r="P802">
        <v>37478200</v>
      </c>
      <c r="R802" s="273">
        <f>(O802/O801)*('16. câmbio USD-BRL'!O598/'16. câmbio USD-BRL'!O597)^-1-1</f>
        <v>-2.2493568996737601E-2</v>
      </c>
    </row>
    <row r="803" spans="10:18" x14ac:dyDescent="0.2">
      <c r="J803" s="354">
        <v>42128</v>
      </c>
      <c r="K803">
        <v>6.1</v>
      </c>
      <c r="L803">
        <v>7.09</v>
      </c>
      <c r="M803">
        <v>5.92</v>
      </c>
      <c r="N803">
        <v>5.94</v>
      </c>
      <c r="O803">
        <v>5.04758</v>
      </c>
      <c r="P803">
        <v>65917800</v>
      </c>
      <c r="R803" s="273">
        <f>(O803/O802)*('16. câmbio USD-BRL'!O599/'16. câmbio USD-BRL'!O598)^-1-1</f>
        <v>-2.891262268701067E-3</v>
      </c>
    </row>
    <row r="804" spans="10:18" x14ac:dyDescent="0.2">
      <c r="J804" s="354">
        <v>42135</v>
      </c>
      <c r="K804">
        <v>6.07</v>
      </c>
      <c r="L804">
        <v>6.22</v>
      </c>
      <c r="M804">
        <v>5.36</v>
      </c>
      <c r="N804">
        <v>5.45</v>
      </c>
      <c r="O804">
        <v>4.6311970000000002</v>
      </c>
      <c r="P804">
        <v>41149200</v>
      </c>
      <c r="R804" s="273">
        <f>(O804/O803)*('16. câmbio USD-BRL'!O600/'16. câmbio USD-BRL'!O599)^-1-1</f>
        <v>-7.2855915185080944E-2</v>
      </c>
    </row>
    <row r="805" spans="10:18" x14ac:dyDescent="0.2">
      <c r="J805" s="354">
        <v>42142</v>
      </c>
      <c r="K805">
        <v>5.52</v>
      </c>
      <c r="L805">
        <v>5.56</v>
      </c>
      <c r="M805">
        <v>5.12</v>
      </c>
      <c r="N805">
        <v>5.3</v>
      </c>
      <c r="O805">
        <v>4.5037339999999997</v>
      </c>
      <c r="P805">
        <v>36341300</v>
      </c>
      <c r="R805" s="273">
        <f>(O805/O804)*('16. câmbio USD-BRL'!O601/'16. câmbio USD-BRL'!O600)^-1-1</f>
        <v>-4.2509991518500212E-2</v>
      </c>
    </row>
    <row r="806" spans="10:18" x14ac:dyDescent="0.2">
      <c r="J806" s="354">
        <v>42149</v>
      </c>
      <c r="K806">
        <v>5.25</v>
      </c>
      <c r="L806">
        <v>5.65</v>
      </c>
      <c r="M806">
        <v>4.99</v>
      </c>
      <c r="N806">
        <v>5.0999999999999996</v>
      </c>
      <c r="O806">
        <v>4.3337810000000001</v>
      </c>
      <c r="P806">
        <v>41895700</v>
      </c>
      <c r="R806" s="273">
        <f>(O806/O805)*('16. câmbio USD-BRL'!O602/'16. câmbio USD-BRL'!O601)^-1-1</f>
        <v>-7.4814138307263689E-2</v>
      </c>
    </row>
    <row r="807" spans="10:18" x14ac:dyDescent="0.2">
      <c r="J807" s="354">
        <v>42156</v>
      </c>
      <c r="K807">
        <v>5.0599999999999996</v>
      </c>
      <c r="L807">
        <v>5.25</v>
      </c>
      <c r="M807">
        <v>4.83</v>
      </c>
      <c r="N807">
        <v>4.91</v>
      </c>
      <c r="O807">
        <v>4.1723270000000001</v>
      </c>
      <c r="P807">
        <v>31255200</v>
      </c>
      <c r="R807" s="273">
        <f>(O807/O806)*('16. câmbio USD-BRL'!O603/'16. câmbio USD-BRL'!O602)^-1-1</f>
        <v>-3.1674879015394009E-2</v>
      </c>
    </row>
    <row r="808" spans="10:18" x14ac:dyDescent="0.2">
      <c r="J808" s="354">
        <v>42163</v>
      </c>
      <c r="K808">
        <v>4.95</v>
      </c>
      <c r="L808">
        <v>4.97</v>
      </c>
      <c r="M808">
        <v>4.66</v>
      </c>
      <c r="N808">
        <v>4.7</v>
      </c>
      <c r="O808">
        <v>3.9938769999999999</v>
      </c>
      <c r="P808">
        <v>35075600</v>
      </c>
      <c r="R808" s="273">
        <f>(O808/O807)*('16. câmbio USD-BRL'!O604/'16. câmbio USD-BRL'!O603)^-1-1</f>
        <v>-2.6304957254237649E-2</v>
      </c>
    </row>
    <row r="809" spans="10:18" x14ac:dyDescent="0.2">
      <c r="J809" s="354">
        <v>42170</v>
      </c>
      <c r="K809">
        <v>4.67</v>
      </c>
      <c r="L809">
        <v>4.6900000000000004</v>
      </c>
      <c r="M809">
        <v>4.41</v>
      </c>
      <c r="N809">
        <v>4.6500000000000004</v>
      </c>
      <c r="O809">
        <v>3.9513889999999998</v>
      </c>
      <c r="P809">
        <v>27524300</v>
      </c>
      <c r="R809" s="273">
        <f>(O809/O808)*('16. câmbio USD-BRL'!O605/'16. câmbio USD-BRL'!O604)^-1-1</f>
        <v>-1.158168698706219E-3</v>
      </c>
    </row>
    <row r="810" spans="10:18" x14ac:dyDescent="0.2">
      <c r="J810" s="354">
        <v>42177</v>
      </c>
      <c r="K810">
        <v>4.72</v>
      </c>
      <c r="L810">
        <v>4.75</v>
      </c>
      <c r="M810">
        <v>4.12</v>
      </c>
      <c r="N810">
        <v>4.3499999999999996</v>
      </c>
      <c r="O810">
        <v>3.6964600000000001</v>
      </c>
      <c r="P810">
        <v>29526500</v>
      </c>
      <c r="R810" s="273">
        <f>(O810/O809)*('16. câmbio USD-BRL'!O606/'16. câmbio USD-BRL'!O605)^-1-1</f>
        <v>-8.4457157719507014E-2</v>
      </c>
    </row>
    <row r="811" spans="10:18" x14ac:dyDescent="0.2">
      <c r="J811" s="354">
        <v>42184</v>
      </c>
      <c r="K811">
        <v>4.3</v>
      </c>
      <c r="L811">
        <v>4.3899999999999997</v>
      </c>
      <c r="M811">
        <v>4.01</v>
      </c>
      <c r="N811">
        <v>4.03</v>
      </c>
      <c r="O811">
        <v>3.4245369999999999</v>
      </c>
      <c r="P811">
        <v>31231300</v>
      </c>
      <c r="R811" s="273">
        <f>(O811/O810)*('16. câmbio USD-BRL'!O607/'16. câmbio USD-BRL'!O606)^-1-1</f>
        <v>-6.4460407814278087E-2</v>
      </c>
    </row>
    <row r="812" spans="10:18" x14ac:dyDescent="0.2">
      <c r="J812" s="354">
        <v>42191</v>
      </c>
      <c r="K812">
        <v>4</v>
      </c>
      <c r="L812">
        <v>4.26</v>
      </c>
      <c r="M812">
        <v>3.96</v>
      </c>
      <c r="N812">
        <v>4.0999999999999996</v>
      </c>
      <c r="O812">
        <v>3.4840200000000001</v>
      </c>
      <c r="P812">
        <v>26938000</v>
      </c>
      <c r="R812" s="273">
        <f>(O812/O811)*('16. câmbio USD-BRL'!O608/'16. câmbio USD-BRL'!O607)^-1-1</f>
        <v>-2.2774304158057368E-2</v>
      </c>
    </row>
    <row r="813" spans="10:18" x14ac:dyDescent="0.2">
      <c r="J813" s="354">
        <v>42198</v>
      </c>
      <c r="K813">
        <v>4.13</v>
      </c>
      <c r="L813">
        <v>4.3899999999999997</v>
      </c>
      <c r="M813">
        <v>3.96</v>
      </c>
      <c r="N813">
        <v>4</v>
      </c>
      <c r="O813">
        <v>3.399044</v>
      </c>
      <c r="P813">
        <v>34390400</v>
      </c>
      <c r="R813" s="273">
        <f>(O813/O812)*('16. câmbio USD-BRL'!O609/'16. câmbio USD-BRL'!O608)^-1-1</f>
        <v>-1.3394237233318562E-2</v>
      </c>
    </row>
    <row r="814" spans="10:18" x14ac:dyDescent="0.2">
      <c r="J814" s="354">
        <v>42205</v>
      </c>
      <c r="K814">
        <v>4</v>
      </c>
      <c r="L814">
        <v>4.08</v>
      </c>
      <c r="M814">
        <v>3.66</v>
      </c>
      <c r="N814">
        <v>3.84</v>
      </c>
      <c r="O814">
        <v>3.2630819999999998</v>
      </c>
      <c r="P814">
        <v>32212400</v>
      </c>
      <c r="R814" s="273">
        <f>(O814/O813)*('16. câmbio USD-BRL'!O610/'16. câmbio USD-BRL'!O609)^-1-1</f>
        <v>-6.8938622769893265E-2</v>
      </c>
    </row>
    <row r="815" spans="10:18" x14ac:dyDescent="0.2">
      <c r="J815" s="354">
        <v>42212</v>
      </c>
      <c r="K815">
        <v>3.78</v>
      </c>
      <c r="L815">
        <v>4.1500000000000004</v>
      </c>
      <c r="M815">
        <v>3.72</v>
      </c>
      <c r="N815">
        <v>3.93</v>
      </c>
      <c r="O815">
        <v>3.3395609999999998</v>
      </c>
      <c r="P815">
        <v>32270500</v>
      </c>
      <c r="R815" s="273">
        <f>(O815/O814)*('16. câmbio USD-BRL'!O611/'16. câmbio USD-BRL'!O610)^-1-1</f>
        <v>-2.8557148267414068E-3</v>
      </c>
    </row>
    <row r="816" spans="10:18" x14ac:dyDescent="0.2">
      <c r="J816" s="354">
        <v>42219</v>
      </c>
      <c r="K816">
        <v>3.94</v>
      </c>
      <c r="L816">
        <v>4.45</v>
      </c>
      <c r="M816">
        <v>3.89</v>
      </c>
      <c r="N816">
        <v>3.95</v>
      </c>
      <c r="O816">
        <v>3.3565559999999999</v>
      </c>
      <c r="P816">
        <v>35370000</v>
      </c>
      <c r="R816" s="273">
        <f>(O816/O815)*('16. câmbio USD-BRL'!O612/'16. câmbio USD-BRL'!O611)^-1-1</f>
        <v>-4.0674488892158078E-2</v>
      </c>
    </row>
    <row r="817" spans="10:18" x14ac:dyDescent="0.2">
      <c r="J817" s="354">
        <v>42226</v>
      </c>
      <c r="K817">
        <v>3.97</v>
      </c>
      <c r="L817">
        <v>4.05</v>
      </c>
      <c r="M817">
        <v>3.47</v>
      </c>
      <c r="N817">
        <v>3.47</v>
      </c>
      <c r="O817">
        <v>2.948671</v>
      </c>
      <c r="P817">
        <v>31591900</v>
      </c>
      <c r="R817" s="273">
        <f>(O817/O816)*('16. câmbio USD-BRL'!O613/'16. câmbio USD-BRL'!O612)^-1-1</f>
        <v>-0.11844859906840166</v>
      </c>
    </row>
    <row r="818" spans="10:18" x14ac:dyDescent="0.2">
      <c r="J818" s="354">
        <v>42233</v>
      </c>
      <c r="K818">
        <v>3.47</v>
      </c>
      <c r="L818">
        <v>3.64</v>
      </c>
      <c r="M818">
        <v>3.05</v>
      </c>
      <c r="N818">
        <v>3.07</v>
      </c>
      <c r="O818">
        <v>2.6087660000000001</v>
      </c>
      <c r="P818">
        <v>32147600</v>
      </c>
      <c r="R818" s="273">
        <f>(O818/O817)*('16. câmbio USD-BRL'!O614/'16. câmbio USD-BRL'!O613)^-1-1</f>
        <v>-9.9538338778604629E-2</v>
      </c>
    </row>
    <row r="819" spans="10:18" x14ac:dyDescent="0.2">
      <c r="J819" s="354">
        <v>42240</v>
      </c>
      <c r="K819">
        <v>2.85</v>
      </c>
      <c r="L819">
        <v>3.19</v>
      </c>
      <c r="M819">
        <v>2.65</v>
      </c>
      <c r="N819">
        <v>2.97</v>
      </c>
      <c r="O819">
        <v>2.52379</v>
      </c>
      <c r="P819">
        <v>51939400</v>
      </c>
      <c r="R819" s="273">
        <f>(O819/O818)*('16. câmbio USD-BRL'!O615/'16. câmbio USD-BRL'!O614)^-1-1</f>
        <v>-5.7752183239188737E-2</v>
      </c>
    </row>
    <row r="820" spans="10:18" x14ac:dyDescent="0.2">
      <c r="J820" s="354">
        <v>42247</v>
      </c>
      <c r="K820">
        <v>2.87</v>
      </c>
      <c r="L820">
        <v>3.46</v>
      </c>
      <c r="M820">
        <v>2.81</v>
      </c>
      <c r="N820">
        <v>3.46</v>
      </c>
      <c r="O820">
        <v>2.9401730000000001</v>
      </c>
      <c r="P820">
        <v>45972800</v>
      </c>
      <c r="R820" s="273">
        <f>(O820/O819)*('16. câmbio USD-BRL'!O616/'16. câmbio USD-BRL'!O615)^-1-1</f>
        <v>0.10734228286835323</v>
      </c>
    </row>
    <row r="821" spans="10:18" x14ac:dyDescent="0.2">
      <c r="J821" s="354">
        <v>42254</v>
      </c>
      <c r="K821">
        <v>3.46</v>
      </c>
      <c r="L821">
        <v>4.71</v>
      </c>
      <c r="M821">
        <v>3.46</v>
      </c>
      <c r="N821">
        <v>4.6500000000000004</v>
      </c>
      <c r="O821">
        <v>3.9513889999999998</v>
      </c>
      <c r="P821">
        <v>60168100</v>
      </c>
      <c r="R821" s="273">
        <f>(O821/O820)*('16. câmbio USD-BRL'!O617/'16. câmbio USD-BRL'!O616)^-1-1</f>
        <v>0.30443114053859954</v>
      </c>
    </row>
    <row r="822" spans="10:18" x14ac:dyDescent="0.2">
      <c r="J822" s="354">
        <v>42261</v>
      </c>
      <c r="K822">
        <v>4.71</v>
      </c>
      <c r="L822">
        <v>4.88</v>
      </c>
      <c r="M822">
        <v>3.97</v>
      </c>
      <c r="N822">
        <v>4.3899999999999997</v>
      </c>
      <c r="O822">
        <v>3.730451</v>
      </c>
      <c r="P822">
        <v>66780000</v>
      </c>
      <c r="R822" s="273">
        <f>(O822/O821)*('16. câmbio USD-BRL'!O618/'16. câmbio USD-BRL'!O617)^-1-1</f>
        <v>-6.641894894568412E-2</v>
      </c>
    </row>
    <row r="823" spans="10:18" x14ac:dyDescent="0.2">
      <c r="J823" s="354">
        <v>42268</v>
      </c>
      <c r="K823">
        <v>4.45</v>
      </c>
      <c r="L823">
        <v>4.55</v>
      </c>
      <c r="M823">
        <v>3.13</v>
      </c>
      <c r="N823">
        <v>3.41</v>
      </c>
      <c r="O823">
        <v>2.8976850000000001</v>
      </c>
      <c r="P823">
        <v>50973600</v>
      </c>
      <c r="R823" s="273">
        <f>(O823/O822)*('16. câmbio USD-BRL'!O619/'16. câmbio USD-BRL'!O618)^-1-1</f>
        <v>-0.2314506475949335</v>
      </c>
    </row>
    <row r="824" spans="10:18" x14ac:dyDescent="0.2">
      <c r="J824" s="354">
        <v>42275</v>
      </c>
      <c r="K824">
        <v>3.37</v>
      </c>
      <c r="L824">
        <v>3.6</v>
      </c>
      <c r="M824">
        <v>3.01</v>
      </c>
      <c r="N824">
        <v>3.16</v>
      </c>
      <c r="O824">
        <v>2.685244</v>
      </c>
      <c r="P824">
        <v>49783300</v>
      </c>
      <c r="R824" s="273">
        <f>(O824/O823)*('16. câmbio USD-BRL'!O620/'16. câmbio USD-BRL'!O619)^-1-1</f>
        <v>-8.8562600647012046E-2</v>
      </c>
    </row>
    <row r="825" spans="10:18" x14ac:dyDescent="0.2">
      <c r="J825" s="354">
        <v>42282</v>
      </c>
      <c r="K825">
        <v>3.27</v>
      </c>
      <c r="L825">
        <v>3.88</v>
      </c>
      <c r="M825">
        <v>3.22</v>
      </c>
      <c r="N825">
        <v>3.73</v>
      </c>
      <c r="O825">
        <v>3.1696080000000002</v>
      </c>
      <c r="P825">
        <v>57636200</v>
      </c>
      <c r="R825" s="273">
        <f>(O825/O824)*('16. câmbio USD-BRL'!O621/'16. câmbio USD-BRL'!O620)^-1-1</f>
        <v>0.25564711721023348</v>
      </c>
    </row>
    <row r="826" spans="10:18" x14ac:dyDescent="0.2">
      <c r="J826" s="354">
        <v>42289</v>
      </c>
      <c r="K826">
        <v>3.73</v>
      </c>
      <c r="L826">
        <v>3.73</v>
      </c>
      <c r="M826">
        <v>3.22</v>
      </c>
      <c r="N826">
        <v>3.33</v>
      </c>
      <c r="O826">
        <v>2.829704</v>
      </c>
      <c r="P826">
        <v>47590000</v>
      </c>
      <c r="R826" s="273">
        <f>(O826/O825)*('16. câmbio USD-BRL'!O622/'16. câmbio USD-BRL'!O621)^-1-1</f>
        <v>-0.11510091930010358</v>
      </c>
    </row>
    <row r="827" spans="10:18" x14ac:dyDescent="0.2">
      <c r="J827" s="354">
        <v>42296</v>
      </c>
      <c r="K827">
        <v>3.35</v>
      </c>
      <c r="L827">
        <v>3.41</v>
      </c>
      <c r="M827">
        <v>3.01</v>
      </c>
      <c r="N827">
        <v>3.07</v>
      </c>
      <c r="O827">
        <v>2.6087660000000001</v>
      </c>
      <c r="P827">
        <v>53139300</v>
      </c>
      <c r="R827" s="273">
        <f>(O827/O826)*('16. câmbio USD-BRL'!O623/'16. câmbio USD-BRL'!O622)^-1-1</f>
        <v>-0.1040184794478326</v>
      </c>
    </row>
    <row r="828" spans="10:18" x14ac:dyDescent="0.2">
      <c r="J828" s="354">
        <v>42303</v>
      </c>
      <c r="K828">
        <v>3.1</v>
      </c>
      <c r="L828">
        <v>3.13</v>
      </c>
      <c r="M828">
        <v>2.76</v>
      </c>
      <c r="N828">
        <v>2.78</v>
      </c>
      <c r="O828">
        <v>2.362336</v>
      </c>
      <c r="P828">
        <v>32872800</v>
      </c>
      <c r="R828" s="273">
        <f>(O828/O827)*('16. câmbio USD-BRL'!O624/'16. câmbio USD-BRL'!O623)^-1-1</f>
        <v>-8.0895825073265093E-2</v>
      </c>
    </row>
    <row r="829" spans="10:18" x14ac:dyDescent="0.2">
      <c r="J829" s="354">
        <v>42310</v>
      </c>
      <c r="K829">
        <v>2.78</v>
      </c>
      <c r="L829">
        <v>3.07</v>
      </c>
      <c r="M829">
        <v>2.72</v>
      </c>
      <c r="N829">
        <v>2.77</v>
      </c>
      <c r="O829">
        <v>2.3538380000000001</v>
      </c>
      <c r="P829">
        <v>36583800</v>
      </c>
      <c r="R829" s="273">
        <f>(O829/O828)*('16. câmbio USD-BRL'!O625/'16. câmbio USD-BRL'!O624)^-1-1</f>
        <v>1.3430732419514868E-2</v>
      </c>
    </row>
    <row r="830" spans="10:18" x14ac:dyDescent="0.2">
      <c r="J830" s="354">
        <v>42317</v>
      </c>
      <c r="K830">
        <v>2.75</v>
      </c>
      <c r="L830">
        <v>2.86</v>
      </c>
      <c r="M830">
        <v>2.57</v>
      </c>
      <c r="N830">
        <v>2.63</v>
      </c>
      <c r="O830">
        <v>2.2348710000000001</v>
      </c>
      <c r="P830">
        <v>41155800</v>
      </c>
      <c r="R830" s="273">
        <f>(O830/O829)*('16. câmbio USD-BRL'!O626/'16. câmbio USD-BRL'!O625)^-1-1</f>
        <v>-4.7214611976045484E-2</v>
      </c>
    </row>
    <row r="831" spans="10:18" x14ac:dyDescent="0.2">
      <c r="J831" s="354">
        <v>42324</v>
      </c>
      <c r="K831">
        <v>2.62</v>
      </c>
      <c r="L831">
        <v>2.97</v>
      </c>
      <c r="M831">
        <v>2.46</v>
      </c>
      <c r="N831">
        <v>2.64</v>
      </c>
      <c r="O831">
        <v>2.2433689999999999</v>
      </c>
      <c r="P831">
        <v>58333200</v>
      </c>
      <c r="R831" s="273">
        <f>(O831/O830)*('16. câmbio USD-BRL'!O627/'16. câmbio USD-BRL'!O626)^-1-1</f>
        <v>5.3236929153839263E-3</v>
      </c>
    </row>
    <row r="832" spans="10:18" x14ac:dyDescent="0.2">
      <c r="J832" s="354">
        <v>42331</v>
      </c>
      <c r="K832">
        <v>2.66</v>
      </c>
      <c r="L832">
        <v>2.7</v>
      </c>
      <c r="M832">
        <v>2.48</v>
      </c>
      <c r="N832">
        <v>2.5</v>
      </c>
      <c r="O832">
        <v>2.124403</v>
      </c>
      <c r="P832">
        <v>51029700</v>
      </c>
      <c r="R832" s="273">
        <f>(O832/O831)*('16. câmbio USD-BRL'!O628/'16. câmbio USD-BRL'!O627)^-1-1</f>
        <v>-4.7254620682052106E-2</v>
      </c>
    </row>
    <row r="833" spans="10:18" x14ac:dyDescent="0.2">
      <c r="J833" s="354">
        <v>42338</v>
      </c>
      <c r="K833">
        <v>2.5</v>
      </c>
      <c r="L833">
        <v>2.5</v>
      </c>
      <c r="M833">
        <v>1.94</v>
      </c>
      <c r="N833">
        <v>1.98</v>
      </c>
      <c r="O833">
        <v>1.6825270000000001</v>
      </c>
      <c r="P833">
        <v>117749900</v>
      </c>
      <c r="R833" s="273">
        <f>(O833/O832)*('16. câmbio USD-BRL'!O629/'16. câmbio USD-BRL'!O628)^-1-1</f>
        <v>-0.21169027655541783</v>
      </c>
    </row>
    <row r="834" spans="10:18" x14ac:dyDescent="0.2">
      <c r="J834" s="354">
        <v>42345</v>
      </c>
      <c r="K834">
        <v>2</v>
      </c>
      <c r="L834">
        <v>2.0499999999999998</v>
      </c>
      <c r="M834">
        <v>1.77</v>
      </c>
      <c r="N834">
        <v>1.8</v>
      </c>
      <c r="O834">
        <v>1.5295700000000001</v>
      </c>
      <c r="P834">
        <v>42111400</v>
      </c>
      <c r="R834" s="273">
        <f>(O834/O833)*('16. câmbio USD-BRL'!O630/'16. câmbio USD-BRL'!O629)^-1-1</f>
        <v>-0.10329992503425989</v>
      </c>
    </row>
    <row r="835" spans="10:18" x14ac:dyDescent="0.2">
      <c r="J835" s="354">
        <v>42352</v>
      </c>
      <c r="K835">
        <v>1.79</v>
      </c>
      <c r="L835">
        <v>1.79</v>
      </c>
      <c r="M835">
        <v>1.42</v>
      </c>
      <c r="N835">
        <v>1.45</v>
      </c>
      <c r="O835">
        <v>1.232154</v>
      </c>
      <c r="P835">
        <v>43291300</v>
      </c>
      <c r="R835" s="273">
        <f>(O835/O834)*('16. câmbio USD-BRL'!O631/'16. câmbio USD-BRL'!O630)^-1-1</f>
        <v>-0.20867956232310958</v>
      </c>
    </row>
    <row r="836" spans="10:18" x14ac:dyDescent="0.2">
      <c r="J836" s="354">
        <v>42359</v>
      </c>
      <c r="K836">
        <v>1.47</v>
      </c>
      <c r="L836">
        <v>1.6</v>
      </c>
      <c r="M836">
        <v>1.47</v>
      </c>
      <c r="N836">
        <v>1.55</v>
      </c>
      <c r="O836">
        <v>1.317129</v>
      </c>
      <c r="P836">
        <v>31247500</v>
      </c>
      <c r="R836" s="273">
        <f>(O836/O835)*('16. câmbio USD-BRL'!O632/'16. câmbio USD-BRL'!O631)^-1-1</f>
        <v>5.8938782163018066E-2</v>
      </c>
    </row>
    <row r="837" spans="10:18" x14ac:dyDescent="0.2">
      <c r="J837" s="354">
        <v>42366</v>
      </c>
      <c r="K837">
        <v>1.56</v>
      </c>
      <c r="L837">
        <v>1.63</v>
      </c>
      <c r="M837">
        <v>1.51</v>
      </c>
      <c r="N837">
        <v>1.55</v>
      </c>
      <c r="O837">
        <v>1.317129</v>
      </c>
      <c r="P837">
        <v>14113400</v>
      </c>
      <c r="R837" s="273">
        <f>(O837/O836)*('16. câmbio USD-BRL'!O633/'16. câmbio USD-BRL'!O632)^-1-1</f>
        <v>-9.3670886075950532E-3</v>
      </c>
    </row>
    <row r="838" spans="10:18" x14ac:dyDescent="0.2">
      <c r="J838" s="354">
        <v>42373</v>
      </c>
      <c r="K838">
        <v>1.51</v>
      </c>
      <c r="L838">
        <v>1.51</v>
      </c>
      <c r="M838">
        <v>1.1200000000000001</v>
      </c>
      <c r="N838">
        <v>1.18</v>
      </c>
      <c r="O838">
        <v>1.002718</v>
      </c>
      <c r="P838">
        <v>74297800</v>
      </c>
      <c r="R838" s="273">
        <f>(O838/O837)*('16. câmbio USD-BRL'!O634/'16. câmbio USD-BRL'!O633)^-1-1</f>
        <v>-0.25594504766532278</v>
      </c>
    </row>
    <row r="839" spans="10:18" x14ac:dyDescent="0.2">
      <c r="J839" s="354">
        <v>42380</v>
      </c>
      <c r="K839">
        <v>1.17</v>
      </c>
      <c r="L839">
        <v>1.24</v>
      </c>
      <c r="M839">
        <v>0.95</v>
      </c>
      <c r="N839">
        <v>0.96</v>
      </c>
      <c r="O839">
        <v>0.81577100000000002</v>
      </c>
      <c r="P839">
        <v>62726500</v>
      </c>
      <c r="R839" s="273">
        <f>(O839/O838)*('16. câmbio USD-BRL'!O635/'16. câmbio USD-BRL'!O634)^-1-1</f>
        <v>-0.17921023793453594</v>
      </c>
    </row>
    <row r="840" spans="10:18" x14ac:dyDescent="0.2">
      <c r="J840" s="354">
        <v>42387</v>
      </c>
      <c r="K840">
        <v>0.98</v>
      </c>
      <c r="L840">
        <v>1.08</v>
      </c>
      <c r="M840">
        <v>0.95</v>
      </c>
      <c r="N840">
        <v>1</v>
      </c>
      <c r="O840">
        <v>0.84976099999999999</v>
      </c>
      <c r="P840">
        <v>60680500</v>
      </c>
      <c r="R840" s="273">
        <f>(O840/O839)*('16. câmbio USD-BRL'!O636/'16. câmbio USD-BRL'!O635)^-1-1</f>
        <v>2.03717445463798E-2</v>
      </c>
    </row>
    <row r="841" spans="10:18" x14ac:dyDescent="0.2">
      <c r="J841" s="354">
        <v>42394</v>
      </c>
      <c r="K841">
        <v>1</v>
      </c>
      <c r="L841">
        <v>1.01</v>
      </c>
      <c r="M841">
        <v>0.84</v>
      </c>
      <c r="N841">
        <v>0.85</v>
      </c>
      <c r="O841">
        <v>0.72229699999999997</v>
      </c>
      <c r="P841">
        <v>58818600</v>
      </c>
      <c r="R841" s="273">
        <f>(O841/O840)*('16. câmbio USD-BRL'!O637/'16. câmbio USD-BRL'!O636)^-1-1</f>
        <v>-0.14529733910021014</v>
      </c>
    </row>
    <row r="842" spans="10:18" x14ac:dyDescent="0.2">
      <c r="J842" s="354">
        <v>42401</v>
      </c>
      <c r="K842">
        <v>0.84</v>
      </c>
      <c r="L842">
        <v>1.06</v>
      </c>
      <c r="M842">
        <v>0.82</v>
      </c>
      <c r="N842">
        <v>1.01</v>
      </c>
      <c r="O842">
        <v>0.85825899999999999</v>
      </c>
      <c r="P842">
        <v>92251300</v>
      </c>
      <c r="R842" s="273">
        <f>(O842/O841)*('16. câmbio USD-BRL'!O638/'16. câmbio USD-BRL'!O637)^-1-1</f>
        <v>0.23959321111939014</v>
      </c>
    </row>
    <row r="843" spans="10:18" x14ac:dyDescent="0.2">
      <c r="J843" s="354">
        <v>42408</v>
      </c>
      <c r="K843">
        <v>1.01</v>
      </c>
      <c r="L843">
        <v>1.01</v>
      </c>
      <c r="M843">
        <v>0.82</v>
      </c>
      <c r="N843">
        <v>0.85</v>
      </c>
      <c r="O843">
        <v>0.72229699999999997</v>
      </c>
      <c r="P843">
        <v>59812900</v>
      </c>
      <c r="R843" s="273">
        <f>(O843/O842)*('16. câmbio USD-BRL'!O639/'16. câmbio USD-BRL'!O638)^-1-1</f>
        <v>-0.17319816741618688</v>
      </c>
    </row>
    <row r="844" spans="10:18" x14ac:dyDescent="0.2">
      <c r="J844" s="354">
        <v>42415</v>
      </c>
      <c r="K844">
        <v>0.88</v>
      </c>
      <c r="L844">
        <v>1.04</v>
      </c>
      <c r="M844">
        <v>0.85</v>
      </c>
      <c r="N844">
        <v>0.88</v>
      </c>
      <c r="O844">
        <v>0.74778999999999995</v>
      </c>
      <c r="P844">
        <v>137908000</v>
      </c>
      <c r="R844" s="273">
        <f>(O844/O843)*('16. câmbio USD-BRL'!O640/'16. câmbio USD-BRL'!O639)^-1-1</f>
        <v>2.2869988676037734E-2</v>
      </c>
    </row>
    <row r="845" spans="10:18" x14ac:dyDescent="0.2">
      <c r="J845" s="354">
        <v>42422</v>
      </c>
      <c r="K845">
        <v>0.93</v>
      </c>
      <c r="L845">
        <v>0.99</v>
      </c>
      <c r="M845">
        <v>0.87</v>
      </c>
      <c r="N845">
        <v>0.89</v>
      </c>
      <c r="O845">
        <v>0.75628700000000004</v>
      </c>
      <c r="P845">
        <v>88375700</v>
      </c>
      <c r="R845" s="273">
        <f>(O845/O844)*('16. câmbio USD-BRL'!O641/'16. câmbio USD-BRL'!O640)^-1-1</f>
        <v>2.7869534460300605E-2</v>
      </c>
    </row>
    <row r="846" spans="10:18" x14ac:dyDescent="0.2">
      <c r="J846" s="354">
        <v>42429</v>
      </c>
      <c r="K846">
        <v>0.91</v>
      </c>
      <c r="L846">
        <v>1.62</v>
      </c>
      <c r="M846">
        <v>0.89</v>
      </c>
      <c r="N846">
        <v>1.36</v>
      </c>
      <c r="O846">
        <v>1.155675</v>
      </c>
      <c r="P846">
        <v>141456200</v>
      </c>
      <c r="R846" s="273">
        <f>(O846/O845)*('16. câmbio USD-BRL'!O642/'16. câmbio USD-BRL'!O641)^-1-1</f>
        <v>0.59080660456690226</v>
      </c>
    </row>
    <row r="847" spans="10:18" x14ac:dyDescent="0.2">
      <c r="J847" s="354">
        <v>42436</v>
      </c>
      <c r="K847">
        <v>1.45</v>
      </c>
      <c r="L847">
        <v>2.2799999999999998</v>
      </c>
      <c r="M847">
        <v>1.36</v>
      </c>
      <c r="N847">
        <v>2.02</v>
      </c>
      <c r="O847">
        <v>1.7165170000000001</v>
      </c>
      <c r="P847">
        <v>252003500</v>
      </c>
      <c r="R847" s="273">
        <f>(O847/O846)*('16. câmbio USD-BRL'!O643/'16. câmbio USD-BRL'!O642)^-1-1</f>
        <v>0.56013394637604907</v>
      </c>
    </row>
    <row r="848" spans="10:18" x14ac:dyDescent="0.2">
      <c r="J848" s="354">
        <v>42443</v>
      </c>
      <c r="K848">
        <v>2.13</v>
      </c>
      <c r="L848">
        <v>2.2200000000000002</v>
      </c>
      <c r="M848">
        <v>1.46</v>
      </c>
      <c r="N848">
        <v>1.91</v>
      </c>
      <c r="O848">
        <v>1.6230439999999999</v>
      </c>
      <c r="P848">
        <v>159749200</v>
      </c>
      <c r="R848" s="273">
        <f>(O848/O847)*('16. câmbio USD-BRL'!O644/'16. câmbio USD-BRL'!O643)^-1-1</f>
        <v>-5.6308997423099472E-2</v>
      </c>
    </row>
    <row r="849" spans="10:18" x14ac:dyDescent="0.2">
      <c r="J849" s="354">
        <v>42450</v>
      </c>
      <c r="K849">
        <v>1.93</v>
      </c>
      <c r="L849">
        <v>1.98</v>
      </c>
      <c r="M849">
        <v>1.63</v>
      </c>
      <c r="N849">
        <v>1.83</v>
      </c>
      <c r="O849">
        <v>1.5550630000000001</v>
      </c>
      <c r="P849">
        <v>72410100</v>
      </c>
      <c r="R849" s="273">
        <f>(O849/O848)*('16. câmbio USD-BRL'!O645/'16. câmbio USD-BRL'!O644)^-1-1</f>
        <v>-5.6502048266350857E-2</v>
      </c>
    </row>
    <row r="850" spans="10:18" x14ac:dyDescent="0.2">
      <c r="J850" s="354">
        <v>42457</v>
      </c>
      <c r="K850">
        <v>1.89</v>
      </c>
      <c r="L850">
        <v>1.92</v>
      </c>
      <c r="M850">
        <v>1.76</v>
      </c>
      <c r="N850">
        <v>1.79</v>
      </c>
      <c r="O850">
        <v>1.521072</v>
      </c>
      <c r="P850">
        <v>41692400</v>
      </c>
      <c r="R850" s="273">
        <f>(O850/O849)*('16. câmbio USD-BRL'!O646/'16. câmbio USD-BRL'!O645)^-1-1</f>
        <v>1.3589229168853967E-2</v>
      </c>
    </row>
    <row r="851" spans="10:18" x14ac:dyDescent="0.2">
      <c r="J851" s="354">
        <v>42464</v>
      </c>
      <c r="K851">
        <v>1.78</v>
      </c>
      <c r="L851">
        <v>1.81</v>
      </c>
      <c r="M851">
        <v>1.42</v>
      </c>
      <c r="N851">
        <v>1.68</v>
      </c>
      <c r="O851">
        <v>1.4275979999999999</v>
      </c>
      <c r="P851">
        <v>22389100</v>
      </c>
      <c r="R851" s="273">
        <f>(O851/O850)*('16. câmbio USD-BRL'!O647/'16. câmbio USD-BRL'!O646)^-1-1</f>
        <v>-7.1293038553180144E-2</v>
      </c>
    </row>
    <row r="852" spans="10:18" x14ac:dyDescent="0.2">
      <c r="J852" s="354">
        <v>42471</v>
      </c>
      <c r="K852">
        <v>1.77</v>
      </c>
      <c r="L852">
        <v>2.36</v>
      </c>
      <c r="M852">
        <v>1.74</v>
      </c>
      <c r="N852">
        <v>2.1</v>
      </c>
      <c r="O852">
        <v>1.7844979999999999</v>
      </c>
      <c r="P852">
        <v>97329200</v>
      </c>
      <c r="R852" s="273">
        <f>(O852/O851)*('16. câmbio USD-BRL'!O648/'16. câmbio USD-BRL'!O647)^-1-1</f>
        <v>0.26954156217101533</v>
      </c>
    </row>
    <row r="853" spans="10:18" x14ac:dyDescent="0.2">
      <c r="J853" s="354">
        <v>42478</v>
      </c>
      <c r="K853">
        <v>2.19</v>
      </c>
      <c r="L853">
        <v>2.7</v>
      </c>
      <c r="M853">
        <v>2.0299999999999998</v>
      </c>
      <c r="N853">
        <v>2.6</v>
      </c>
      <c r="O853">
        <v>2.2093780000000001</v>
      </c>
      <c r="P853">
        <v>114383400</v>
      </c>
      <c r="R853" s="273">
        <f>(O853/O852)*('16. câmbio USD-BRL'!O649/'16. câmbio USD-BRL'!O648)^-1-1</f>
        <v>0.24041350115551774</v>
      </c>
    </row>
    <row r="854" spans="10:18" x14ac:dyDescent="0.2">
      <c r="J854" s="354">
        <v>42485</v>
      </c>
      <c r="K854">
        <v>2.59</v>
      </c>
      <c r="L854">
        <v>2.68</v>
      </c>
      <c r="M854">
        <v>2.25</v>
      </c>
      <c r="N854">
        <v>2.5</v>
      </c>
      <c r="O854">
        <v>2.124403</v>
      </c>
      <c r="P854">
        <v>191934100</v>
      </c>
      <c r="R854" s="273">
        <f>(O854/O853)*('16. câmbio USD-BRL'!O650/'16. câmbio USD-BRL'!O649)^-1-1</f>
        <v>-1.2803579656854192E-2</v>
      </c>
    </row>
    <row r="855" spans="10:18" x14ac:dyDescent="0.2">
      <c r="J855" s="354">
        <v>42492</v>
      </c>
      <c r="K855">
        <v>2.54</v>
      </c>
      <c r="L855">
        <v>2.57</v>
      </c>
      <c r="M855">
        <v>2.16</v>
      </c>
      <c r="N855">
        <v>2.33</v>
      </c>
      <c r="O855">
        <v>1.979943</v>
      </c>
      <c r="P855">
        <v>169694600</v>
      </c>
      <c r="R855" s="273">
        <f>(O855/O854)*('16. câmbio USD-BRL'!O651/'16. câmbio USD-BRL'!O650)^-1-1</f>
        <v>-9.4458510393139683E-2</v>
      </c>
    </row>
    <row r="856" spans="10:18" x14ac:dyDescent="0.2">
      <c r="J856" s="354">
        <v>42499</v>
      </c>
      <c r="K856">
        <v>2.2400000000000002</v>
      </c>
      <c r="L856">
        <v>2.46</v>
      </c>
      <c r="M856">
        <v>2.02</v>
      </c>
      <c r="N856">
        <v>2.19</v>
      </c>
      <c r="O856">
        <v>1.8609770000000001</v>
      </c>
      <c r="P856">
        <v>145261700</v>
      </c>
      <c r="R856" s="273">
        <f>(O856/O855)*('16. câmbio USD-BRL'!O652/'16. câmbio USD-BRL'!O651)^-1-1</f>
        <v>-4.4947893567738761E-2</v>
      </c>
    </row>
    <row r="857" spans="10:18" x14ac:dyDescent="0.2">
      <c r="J857" s="354">
        <v>42506</v>
      </c>
      <c r="K857">
        <v>2.2200000000000002</v>
      </c>
      <c r="L857">
        <v>2.29</v>
      </c>
      <c r="M857">
        <v>1.8</v>
      </c>
      <c r="N857">
        <v>1.83</v>
      </c>
      <c r="O857">
        <v>1.5550630000000001</v>
      </c>
      <c r="P857">
        <v>116606200</v>
      </c>
      <c r="R857" s="273">
        <f>(O857/O856)*('16. câmbio USD-BRL'!O653/'16. câmbio USD-BRL'!O652)^-1-1</f>
        <v>-0.18322267759311694</v>
      </c>
    </row>
    <row r="858" spans="10:18" x14ac:dyDescent="0.2">
      <c r="J858" s="354">
        <v>42513</v>
      </c>
      <c r="K858">
        <v>1.77</v>
      </c>
      <c r="L858">
        <v>1.83</v>
      </c>
      <c r="M858">
        <v>1.68</v>
      </c>
      <c r="N858">
        <v>1.7</v>
      </c>
      <c r="O858">
        <v>1.4445939999999999</v>
      </c>
      <c r="P858">
        <v>79968100</v>
      </c>
      <c r="R858" s="273">
        <f>(O858/O857)*('16. câmbio USD-BRL'!O654/'16. câmbio USD-BRL'!O653)^-1-1</f>
        <v>-8.4320560721362514E-2</v>
      </c>
    </row>
    <row r="859" spans="10:18" x14ac:dyDescent="0.2">
      <c r="J859" s="354">
        <v>42520</v>
      </c>
      <c r="K859">
        <v>1.67</v>
      </c>
      <c r="L859">
        <v>1.82</v>
      </c>
      <c r="M859">
        <v>1.59</v>
      </c>
      <c r="N859">
        <v>1.82</v>
      </c>
      <c r="O859">
        <v>1.546565</v>
      </c>
      <c r="P859">
        <v>91939400</v>
      </c>
      <c r="R859" s="273">
        <f>(O859/O858)*('16. câmbio USD-BRL'!O655/'16. câmbio USD-BRL'!O654)^-1-1</f>
        <v>7.9200310053427758E-2</v>
      </c>
    </row>
    <row r="860" spans="10:18" x14ac:dyDescent="0.2">
      <c r="J860" s="354">
        <v>42527</v>
      </c>
      <c r="K860">
        <v>1.86</v>
      </c>
      <c r="L860">
        <v>2.1</v>
      </c>
      <c r="M860">
        <v>1.76</v>
      </c>
      <c r="N860">
        <v>1.79</v>
      </c>
      <c r="O860">
        <v>1.521072</v>
      </c>
      <c r="P860">
        <v>120583000</v>
      </c>
      <c r="R860" s="273">
        <f>(O860/O859)*('16. câmbio USD-BRL'!O656/'16. câmbio USD-BRL'!O655)^-1-1</f>
        <v>3.6864150400771178E-2</v>
      </c>
    </row>
    <row r="861" spans="10:18" x14ac:dyDescent="0.2">
      <c r="J861" s="354">
        <v>42534</v>
      </c>
      <c r="K861">
        <v>1.75</v>
      </c>
      <c r="L861">
        <v>2.25</v>
      </c>
      <c r="M861">
        <v>1.66</v>
      </c>
      <c r="N861">
        <v>2.06</v>
      </c>
      <c r="O861">
        <v>1.750507</v>
      </c>
      <c r="P861">
        <v>205102200</v>
      </c>
      <c r="R861" s="273">
        <f>(O861/O860)*('16. câmbio USD-BRL'!O657/'16. câmbio USD-BRL'!O656)^-1-1</f>
        <v>0.14513881297840814</v>
      </c>
    </row>
    <row r="862" spans="10:18" x14ac:dyDescent="0.2">
      <c r="J862" s="354">
        <v>42541</v>
      </c>
      <c r="K862">
        <v>2.15</v>
      </c>
      <c r="L862">
        <v>2.2400000000000002</v>
      </c>
      <c r="M862">
        <v>2</v>
      </c>
      <c r="N862">
        <v>2.0499999999999998</v>
      </c>
      <c r="O862">
        <v>1.7420100000000001</v>
      </c>
      <c r="P862">
        <v>140576200</v>
      </c>
      <c r="R862" s="273">
        <f>(O862/O861)*('16. câmbio USD-BRL'!O658/'16. câmbio USD-BRL'!O657)^-1-1</f>
        <v>1.7750732011522663E-2</v>
      </c>
    </row>
    <row r="863" spans="10:18" x14ac:dyDescent="0.2">
      <c r="J863" s="354">
        <v>42548</v>
      </c>
      <c r="K863">
        <v>2.08</v>
      </c>
      <c r="L863">
        <v>2.13</v>
      </c>
      <c r="M863">
        <v>1.92</v>
      </c>
      <c r="N863">
        <v>2.08</v>
      </c>
      <c r="O863">
        <v>1.767503</v>
      </c>
      <c r="P863">
        <v>118950900</v>
      </c>
      <c r="R863" s="273">
        <f>(O863/O862)*('16. câmbio USD-BRL'!O659/'16. câmbio USD-BRL'!O658)^-1-1</f>
        <v>4.8051282546794916E-2</v>
      </c>
    </row>
    <row r="864" spans="10:18" x14ac:dyDescent="0.2">
      <c r="J864" s="354">
        <v>42555</v>
      </c>
      <c r="K864">
        <v>2.11</v>
      </c>
      <c r="L864">
        <v>2.15</v>
      </c>
      <c r="M864">
        <v>1.95</v>
      </c>
      <c r="N864">
        <v>2.04</v>
      </c>
      <c r="O864">
        <v>1.7335119999999999</v>
      </c>
      <c r="P864">
        <v>102076200</v>
      </c>
      <c r="R864" s="273">
        <f>(O864/O863)*('16. câmbio USD-BRL'!O660/'16. câmbio USD-BRL'!O659)^-1-1</f>
        <v>-3.9187294906655179E-2</v>
      </c>
    </row>
    <row r="865" spans="10:18" x14ac:dyDescent="0.2">
      <c r="J865" s="354">
        <v>42562</v>
      </c>
      <c r="K865">
        <v>2.0699999999999998</v>
      </c>
      <c r="L865">
        <v>2.4</v>
      </c>
      <c r="M865">
        <v>2.0499999999999998</v>
      </c>
      <c r="N865">
        <v>2.35</v>
      </c>
      <c r="O865">
        <v>1.9969380000000001</v>
      </c>
      <c r="P865">
        <v>129830800</v>
      </c>
      <c r="R865" s="273">
        <f>(O865/O864)*('16. câmbio USD-BRL'!O661/'16. câmbio USD-BRL'!O660)^-1-1</f>
        <v>0.15937904438594974</v>
      </c>
    </row>
    <row r="866" spans="10:18" x14ac:dyDescent="0.2">
      <c r="J866" s="354">
        <v>42569</v>
      </c>
      <c r="K866">
        <v>2.36</v>
      </c>
      <c r="L866">
        <v>2.88</v>
      </c>
      <c r="M866">
        <v>2.31</v>
      </c>
      <c r="N866">
        <v>2.81</v>
      </c>
      <c r="O866">
        <v>2.3878279999999998</v>
      </c>
      <c r="P866">
        <v>208929100</v>
      </c>
      <c r="R866" s="273">
        <f>(O866/O865)*('16. câmbio USD-BRL'!O662/'16. câmbio USD-BRL'!O661)^-1-1</f>
        <v>0.19867130736124139</v>
      </c>
    </row>
    <row r="867" spans="10:18" x14ac:dyDescent="0.2">
      <c r="J867" s="354">
        <v>42576</v>
      </c>
      <c r="K867">
        <v>2.84</v>
      </c>
      <c r="L867">
        <v>3.76</v>
      </c>
      <c r="M867">
        <v>2.71</v>
      </c>
      <c r="N867">
        <v>3.75</v>
      </c>
      <c r="O867">
        <v>3.186604</v>
      </c>
      <c r="P867">
        <v>258370800</v>
      </c>
      <c r="R867" s="273">
        <f>(O867/O866)*('16. câmbio USD-BRL'!O663/'16. câmbio USD-BRL'!O662)^-1-1</f>
        <v>0.34372859569549852</v>
      </c>
    </row>
    <row r="868" spans="10:18" x14ac:dyDescent="0.2">
      <c r="J868" s="354">
        <v>42583</v>
      </c>
      <c r="K868">
        <v>3.84</v>
      </c>
      <c r="L868">
        <v>4.3</v>
      </c>
      <c r="M868">
        <v>3.47</v>
      </c>
      <c r="N868">
        <v>3.86</v>
      </c>
      <c r="O868">
        <v>3.2800769999999999</v>
      </c>
      <c r="P868">
        <v>318756600</v>
      </c>
      <c r="R868" s="273">
        <f>(O868/O867)*('16. câmbio USD-BRL'!O664/'16. câmbio USD-BRL'!O663)^-1-1</f>
        <v>4.8486345953037802E-2</v>
      </c>
    </row>
    <row r="869" spans="10:18" x14ac:dyDescent="0.2">
      <c r="J869" s="354">
        <v>42590</v>
      </c>
      <c r="K869">
        <v>3.93</v>
      </c>
      <c r="L869">
        <v>3.98</v>
      </c>
      <c r="M869">
        <v>3.58</v>
      </c>
      <c r="N869">
        <v>3.72</v>
      </c>
      <c r="O869">
        <v>3.161111</v>
      </c>
      <c r="P869">
        <v>162794600</v>
      </c>
      <c r="R869" s="273">
        <f>(O869/O868)*('16. câmbio USD-BRL'!O665/'16. câmbio USD-BRL'!O664)^-1-1</f>
        <v>-3.7356695872708956E-2</v>
      </c>
    </row>
    <row r="870" spans="10:18" x14ac:dyDescent="0.2">
      <c r="J870" s="354">
        <v>42597</v>
      </c>
      <c r="K870">
        <v>3.75</v>
      </c>
      <c r="L870">
        <v>4.04</v>
      </c>
      <c r="M870">
        <v>3.73</v>
      </c>
      <c r="N870">
        <v>3.84</v>
      </c>
      <c r="O870">
        <v>3.2630819999999998</v>
      </c>
      <c r="P870">
        <v>117030300</v>
      </c>
      <c r="R870" s="273">
        <f>(O870/O869)*('16. câmbio USD-BRL'!O666/'16. câmbio USD-BRL'!O665)^-1-1</f>
        <v>2.7748175771264316E-2</v>
      </c>
    </row>
    <row r="871" spans="10:18" x14ac:dyDescent="0.2">
      <c r="J871" s="354">
        <v>42604</v>
      </c>
      <c r="K871">
        <v>3.81</v>
      </c>
      <c r="L871">
        <v>3.83</v>
      </c>
      <c r="M871">
        <v>3.32</v>
      </c>
      <c r="N871">
        <v>3.58</v>
      </c>
      <c r="O871">
        <v>3.042144</v>
      </c>
      <c r="P871">
        <v>134015800</v>
      </c>
      <c r="R871" s="273">
        <f>(O871/O870)*('16. câmbio USD-BRL'!O667/'16. câmbio USD-BRL'!O666)^-1-1</f>
        <v>-8.4731321838030671E-2</v>
      </c>
    </row>
    <row r="872" spans="10:18" x14ac:dyDescent="0.2">
      <c r="J872" s="354">
        <v>42611</v>
      </c>
      <c r="K872">
        <v>3.6</v>
      </c>
      <c r="L872">
        <v>3.8</v>
      </c>
      <c r="M872">
        <v>3.34</v>
      </c>
      <c r="N872">
        <v>3.79</v>
      </c>
      <c r="O872">
        <v>3.2205940000000002</v>
      </c>
      <c r="P872">
        <v>129843100</v>
      </c>
      <c r="R872" s="273">
        <f>(O872/O871)*('16. câmbio USD-BRL'!O668/'16. câmbio USD-BRL'!O667)^-1-1</f>
        <v>6.1260336246407032E-2</v>
      </c>
    </row>
    <row r="873" spans="10:18" x14ac:dyDescent="0.2">
      <c r="J873" s="354">
        <v>42618</v>
      </c>
      <c r="K873">
        <v>3.86</v>
      </c>
      <c r="L873">
        <v>4.09</v>
      </c>
      <c r="M873">
        <v>3.76</v>
      </c>
      <c r="N873">
        <v>3.85</v>
      </c>
      <c r="O873">
        <v>3.2715800000000002</v>
      </c>
      <c r="P873">
        <v>95104400</v>
      </c>
      <c r="R873" s="273">
        <f>(O873/O872)*('16. câmbio USD-BRL'!O669/'16. câmbio USD-BRL'!O668)^-1-1</f>
        <v>1.0987591785739159E-2</v>
      </c>
    </row>
    <row r="874" spans="10:18" x14ac:dyDescent="0.2">
      <c r="J874" s="354">
        <v>42625</v>
      </c>
      <c r="K874">
        <v>3.88</v>
      </c>
      <c r="L874">
        <v>3.97</v>
      </c>
      <c r="M874">
        <v>3.38</v>
      </c>
      <c r="N874">
        <v>3.42</v>
      </c>
      <c r="O874">
        <v>2.906183</v>
      </c>
      <c r="P874">
        <v>109157400</v>
      </c>
      <c r="R874" s="273">
        <f>(O874/O873)*('16. câmbio USD-BRL'!O670/'16. câmbio USD-BRL'!O669)^-1-1</f>
        <v>-0.11000165444445009</v>
      </c>
    </row>
    <row r="875" spans="10:18" x14ac:dyDescent="0.2">
      <c r="J875" s="354">
        <v>42632</v>
      </c>
      <c r="K875">
        <v>3.5</v>
      </c>
      <c r="L875">
        <v>3.79</v>
      </c>
      <c r="M875">
        <v>3.23</v>
      </c>
      <c r="N875">
        <v>3.57</v>
      </c>
      <c r="O875">
        <v>3.0336470000000002</v>
      </c>
      <c r="P875">
        <v>104997400</v>
      </c>
      <c r="R875" s="273">
        <f>(O875/O874)*('16. câmbio USD-BRL'!O671/'16. câmbio USD-BRL'!O670)^-1-1</f>
        <v>5.1037092050256527E-2</v>
      </c>
    </row>
    <row r="876" spans="10:18" x14ac:dyDescent="0.2">
      <c r="J876" s="354">
        <v>42639</v>
      </c>
      <c r="K876">
        <v>3.48</v>
      </c>
      <c r="L876">
        <v>3.75</v>
      </c>
      <c r="M876">
        <v>3.41</v>
      </c>
      <c r="N876">
        <v>3.53</v>
      </c>
      <c r="O876">
        <v>2.9996559999999999</v>
      </c>
      <c r="P876">
        <v>83013900</v>
      </c>
      <c r="R876" s="273">
        <f>(O876/O875)*('16. câmbio USD-BRL'!O672/'16. câmbio USD-BRL'!O671)^-1-1</f>
        <v>-1.6239944560342723E-2</v>
      </c>
    </row>
    <row r="877" spans="10:18" x14ac:dyDescent="0.2">
      <c r="J877" s="354">
        <v>42646</v>
      </c>
      <c r="K877">
        <v>3.56</v>
      </c>
      <c r="L877">
        <v>3.79</v>
      </c>
      <c r="M877">
        <v>3.5</v>
      </c>
      <c r="N877">
        <v>3.75</v>
      </c>
      <c r="O877">
        <v>3.186604</v>
      </c>
      <c r="P877">
        <v>86364900</v>
      </c>
      <c r="R877" s="273">
        <f>(O877/O876)*('16. câmbio USD-BRL'!O673/'16. câmbio USD-BRL'!O672)^-1-1</f>
        <v>7.5687569531828869E-2</v>
      </c>
    </row>
    <row r="878" spans="10:18" x14ac:dyDescent="0.2">
      <c r="J878" s="354">
        <v>42653</v>
      </c>
      <c r="K878">
        <v>3.8</v>
      </c>
      <c r="L878">
        <v>3.85</v>
      </c>
      <c r="M878">
        <v>3.52</v>
      </c>
      <c r="N878">
        <v>3.56</v>
      </c>
      <c r="O878">
        <v>3.0251489999999999</v>
      </c>
      <c r="P878">
        <v>77888300</v>
      </c>
      <c r="R878" s="273">
        <f>(O878/O877)*('16. câmbio USD-BRL'!O674/'16. câmbio USD-BRL'!O673)^-1-1</f>
        <v>-4.5537664400422728E-2</v>
      </c>
    </row>
    <row r="879" spans="10:18" x14ac:dyDescent="0.2">
      <c r="J879" s="354">
        <v>42660</v>
      </c>
      <c r="K879">
        <v>3.55</v>
      </c>
      <c r="L879">
        <v>4</v>
      </c>
      <c r="M879">
        <v>3.51</v>
      </c>
      <c r="N879">
        <v>3.96</v>
      </c>
      <c r="O879">
        <v>3.3650540000000002</v>
      </c>
      <c r="P879">
        <v>113772500</v>
      </c>
      <c r="R879" s="273">
        <f>(O879/O878)*('16. câmbio USD-BRL'!O675/'16. câmbio USD-BRL'!O674)^-1-1</f>
        <v>0.13111751246579217</v>
      </c>
    </row>
    <row r="880" spans="10:18" x14ac:dyDescent="0.2">
      <c r="J880" s="354">
        <v>42667</v>
      </c>
      <c r="K880">
        <v>4.0599999999999996</v>
      </c>
      <c r="L880">
        <v>4.63</v>
      </c>
      <c r="M880">
        <v>3.94</v>
      </c>
      <c r="N880">
        <v>4.63</v>
      </c>
      <c r="O880">
        <v>3.934393</v>
      </c>
      <c r="P880">
        <v>202713200</v>
      </c>
      <c r="R880" s="273">
        <f>(O880/O879)*('16. câmbio USD-BRL'!O676/'16. câmbio USD-BRL'!O675)^-1-1</f>
        <v>0.14940762091889415</v>
      </c>
    </row>
    <row r="881" spans="10:18" x14ac:dyDescent="0.2">
      <c r="J881" s="354">
        <v>42674</v>
      </c>
      <c r="K881">
        <v>4.79</v>
      </c>
      <c r="L881">
        <v>4.83</v>
      </c>
      <c r="M881">
        <v>3.83</v>
      </c>
      <c r="N881">
        <v>3.88</v>
      </c>
      <c r="O881">
        <v>3.2970730000000001</v>
      </c>
      <c r="P881">
        <v>178196400</v>
      </c>
      <c r="R881" s="273">
        <f>(O881/O880)*('16. câmbio USD-BRL'!O677/'16. câmbio USD-BRL'!O676)^-1-1</f>
        <v>-0.16955732365691378</v>
      </c>
    </row>
    <row r="882" spans="10:18" x14ac:dyDescent="0.2">
      <c r="J882" s="354">
        <v>42681</v>
      </c>
      <c r="K882">
        <v>4.12</v>
      </c>
      <c r="L882">
        <v>4.59</v>
      </c>
      <c r="M882">
        <v>3.91</v>
      </c>
      <c r="N882">
        <v>3.92</v>
      </c>
      <c r="O882">
        <v>3.3310629999999999</v>
      </c>
      <c r="P882">
        <v>220478000</v>
      </c>
      <c r="R882" s="273">
        <f>(O882/O881)*('16. câmbio USD-BRL'!O678/'16. câmbio USD-BRL'!O677)^-1-1</f>
        <v>-3.6689603002277638E-2</v>
      </c>
    </row>
    <row r="883" spans="10:18" x14ac:dyDescent="0.2">
      <c r="J883" s="354">
        <v>42688</v>
      </c>
      <c r="K883">
        <v>3.89</v>
      </c>
      <c r="L883">
        <v>4.2699999999999996</v>
      </c>
      <c r="M883">
        <v>3.77</v>
      </c>
      <c r="N883">
        <v>3.99</v>
      </c>
      <c r="O883">
        <v>3.3905460000000001</v>
      </c>
      <c r="P883">
        <v>122441800</v>
      </c>
      <c r="R883" s="273">
        <f>(O883/O882)*('16. câmbio USD-BRL'!O679/'16. câmbio USD-BRL'!O678)^-1-1</f>
        <v>2.0174272444589469E-2</v>
      </c>
    </row>
    <row r="884" spans="10:18" x14ac:dyDescent="0.2">
      <c r="J884" s="354">
        <v>42695</v>
      </c>
      <c r="K884">
        <v>4.0599999999999996</v>
      </c>
      <c r="L884">
        <v>4.6399999999999997</v>
      </c>
      <c r="M884">
        <v>4.03</v>
      </c>
      <c r="N884">
        <v>4.4400000000000004</v>
      </c>
      <c r="O884">
        <v>3.7729379999999999</v>
      </c>
      <c r="P884">
        <v>138685400</v>
      </c>
      <c r="R884" s="273">
        <f>(O884/O883)*('16. câmbio USD-BRL'!O680/'16. câmbio USD-BRL'!O679)^-1-1</f>
        <v>0.10019351095803919</v>
      </c>
    </row>
    <row r="885" spans="10:18" x14ac:dyDescent="0.2">
      <c r="J885" s="354">
        <v>42702</v>
      </c>
      <c r="K885">
        <v>4.49</v>
      </c>
      <c r="L885">
        <v>4.6100000000000003</v>
      </c>
      <c r="M885">
        <v>3.83</v>
      </c>
      <c r="N885">
        <v>3.97</v>
      </c>
      <c r="O885">
        <v>3.373551</v>
      </c>
      <c r="P885">
        <v>134948400</v>
      </c>
      <c r="R885" s="273">
        <f>(O885/O884)*('16. câmbio USD-BRL'!O681/'16. câmbio USD-BRL'!O680)^-1-1</f>
        <v>-0.11967431893538727</v>
      </c>
    </row>
    <row r="886" spans="10:18" x14ac:dyDescent="0.2">
      <c r="J886" s="354">
        <v>42709</v>
      </c>
      <c r="K886">
        <v>4.0199999999999996</v>
      </c>
      <c r="L886">
        <v>4.28</v>
      </c>
      <c r="M886">
        <v>3.96</v>
      </c>
      <c r="N886">
        <v>4</v>
      </c>
      <c r="O886">
        <v>3.399044</v>
      </c>
      <c r="P886">
        <v>95321300</v>
      </c>
      <c r="R886" s="273">
        <f>(O886/O885)*('16. câmbio USD-BRL'!O682/'16. câmbio USD-BRL'!O681)^-1-1</f>
        <v>3.6706353349589271E-2</v>
      </c>
    </row>
    <row r="887" spans="10:18" x14ac:dyDescent="0.2">
      <c r="J887" s="354">
        <v>42716</v>
      </c>
      <c r="K887">
        <v>3.96</v>
      </c>
      <c r="L887">
        <v>4.1500000000000004</v>
      </c>
      <c r="M887">
        <v>3.82</v>
      </c>
      <c r="N887">
        <v>3.97</v>
      </c>
      <c r="O887">
        <v>3.373551</v>
      </c>
      <c r="P887">
        <v>98118400</v>
      </c>
      <c r="R887" s="273">
        <f>(O887/O886)*('16. câmbio USD-BRL'!O683/'16. câmbio USD-BRL'!O682)^-1-1</f>
        <v>-1.1422743303884597E-2</v>
      </c>
    </row>
    <row r="888" spans="10:18" x14ac:dyDescent="0.2">
      <c r="J888" s="354">
        <v>42723</v>
      </c>
      <c r="K888">
        <v>3.98</v>
      </c>
      <c r="L888">
        <v>4.08</v>
      </c>
      <c r="M888">
        <v>3.86</v>
      </c>
      <c r="N888">
        <v>3.95</v>
      </c>
      <c r="O888">
        <v>3.3565559999999999</v>
      </c>
      <c r="P888">
        <v>60832600</v>
      </c>
      <c r="R888" s="273">
        <f>(O888/O887)*('16. câmbio USD-BRL'!O684/'16. câmbio USD-BRL'!O683)^-1-1</f>
        <v>3.1754127384128861E-2</v>
      </c>
    </row>
    <row r="889" spans="10:18" x14ac:dyDescent="0.2">
      <c r="J889" s="354">
        <v>42730</v>
      </c>
      <c r="K889">
        <v>3.98</v>
      </c>
      <c r="L889">
        <v>4.2</v>
      </c>
      <c r="M889">
        <v>3.91</v>
      </c>
      <c r="N889">
        <v>4.0999999999999996</v>
      </c>
      <c r="O889">
        <v>3.4840200000000001</v>
      </c>
      <c r="P889">
        <v>35635200</v>
      </c>
      <c r="R889" s="273">
        <f>(O889/O888)*('16. câmbio USD-BRL'!O685/'16. câmbio USD-BRL'!O684)^-1-1</f>
        <v>4.3175359611775654E-2</v>
      </c>
    </row>
    <row r="890" spans="10:18" x14ac:dyDescent="0.2">
      <c r="J890" s="354">
        <v>42737</v>
      </c>
      <c r="K890">
        <v>4.0999999999999996</v>
      </c>
      <c r="L890">
        <v>4.66</v>
      </c>
      <c r="M890">
        <v>4.05</v>
      </c>
      <c r="N890">
        <v>4.47</v>
      </c>
      <c r="O890">
        <v>3.7984309999999999</v>
      </c>
      <c r="P890">
        <v>86323000</v>
      </c>
      <c r="R890" s="273">
        <f>(O890/O889)*('16. câmbio USD-BRL'!O686/'16. câmbio USD-BRL'!O685)^-1-1</f>
        <v>0.10073271044759813</v>
      </c>
    </row>
    <row r="891" spans="10:18" x14ac:dyDescent="0.2">
      <c r="J891" s="354">
        <v>42744</v>
      </c>
      <c r="K891">
        <v>4.54</v>
      </c>
      <c r="L891">
        <v>4.63</v>
      </c>
      <c r="M891">
        <v>4.25</v>
      </c>
      <c r="N891">
        <v>4.55</v>
      </c>
      <c r="O891">
        <v>3.866412</v>
      </c>
      <c r="P891">
        <v>96199700</v>
      </c>
      <c r="R891" s="273">
        <f>(O891/O890)*('16. câmbio USD-BRL'!O687/'16. câmbio USD-BRL'!O686)^-1-1</f>
        <v>2.9204255339601248E-2</v>
      </c>
    </row>
    <row r="892" spans="10:18" x14ac:dyDescent="0.2">
      <c r="J892" s="354">
        <v>42751</v>
      </c>
      <c r="K892">
        <v>4.57</v>
      </c>
      <c r="L892">
        <v>4.91</v>
      </c>
      <c r="M892">
        <v>4.5199999999999996</v>
      </c>
      <c r="N892">
        <v>4.82</v>
      </c>
      <c r="O892">
        <v>4.0958480000000002</v>
      </c>
      <c r="P892">
        <v>95595600</v>
      </c>
      <c r="R892" s="273">
        <f>(O892/O891)*('16. câmbio USD-BRL'!O688/'16. câmbio USD-BRL'!O687)^-1-1</f>
        <v>7.4342767058380721E-2</v>
      </c>
    </row>
    <row r="893" spans="10:18" x14ac:dyDescent="0.2">
      <c r="J893" s="354">
        <v>42758</v>
      </c>
      <c r="K893">
        <v>4.8499999999999996</v>
      </c>
      <c r="L893">
        <v>5.38</v>
      </c>
      <c r="M893">
        <v>4.8499999999999996</v>
      </c>
      <c r="N893">
        <v>5.19</v>
      </c>
      <c r="O893">
        <v>4.4102589999999999</v>
      </c>
      <c r="P893">
        <v>91876700</v>
      </c>
      <c r="R893" s="273">
        <f>(O893/O892)*('16. câmbio USD-BRL'!O689/'16. câmbio USD-BRL'!O688)^-1-1</f>
        <v>8.808639834499532E-2</v>
      </c>
    </row>
    <row r="894" spans="10:18" x14ac:dyDescent="0.2">
      <c r="J894" s="354">
        <v>42765</v>
      </c>
      <c r="K894">
        <v>5.0999999999999996</v>
      </c>
      <c r="L894">
        <v>5.41</v>
      </c>
      <c r="M894">
        <v>4.9800000000000004</v>
      </c>
      <c r="N894">
        <v>5.19</v>
      </c>
      <c r="O894">
        <v>4.4102589999999999</v>
      </c>
      <c r="P894">
        <v>73642400</v>
      </c>
      <c r="R894" s="273">
        <f>(O894/O893)*('16. câmbio USD-BRL'!O690/'16. câmbio USD-BRL'!O689)^-1-1</f>
        <v>-3.1735855104986221E-3</v>
      </c>
    </row>
    <row r="895" spans="10:18" x14ac:dyDescent="0.2">
      <c r="J895" s="354">
        <v>42772</v>
      </c>
      <c r="K895">
        <v>5.2</v>
      </c>
      <c r="L895">
        <v>5.4</v>
      </c>
      <c r="M895">
        <v>4.99</v>
      </c>
      <c r="N895">
        <v>5.37</v>
      </c>
      <c r="O895">
        <v>4.5632169999999999</v>
      </c>
      <c r="P895">
        <v>59402100</v>
      </c>
      <c r="R895" s="273">
        <f>(O895/O894)*('16. câmbio USD-BRL'!O691/'16. câmbio USD-BRL'!O690)^-1-1</f>
        <v>3.8811588746217041E-2</v>
      </c>
    </row>
    <row r="896" spans="10:18" x14ac:dyDescent="0.2">
      <c r="J896" s="354">
        <v>42779</v>
      </c>
      <c r="K896">
        <v>5.54</v>
      </c>
      <c r="L896">
        <v>5.62</v>
      </c>
      <c r="M896">
        <v>5.32</v>
      </c>
      <c r="N896">
        <v>5.45</v>
      </c>
      <c r="O896">
        <v>4.6311970000000002</v>
      </c>
      <c r="P896">
        <v>66947600</v>
      </c>
      <c r="R896" s="273">
        <f>(O896/O895)*('16. câmbio USD-BRL'!O692/'16. câmbio USD-BRL'!O691)^-1-1</f>
        <v>1.8700586206277015E-2</v>
      </c>
    </row>
    <row r="897" spans="10:18" x14ac:dyDescent="0.2">
      <c r="J897" s="354">
        <v>42786</v>
      </c>
      <c r="K897">
        <v>5.51</v>
      </c>
      <c r="L897">
        <v>5.57</v>
      </c>
      <c r="M897">
        <v>4.83</v>
      </c>
      <c r="N897">
        <v>4.93</v>
      </c>
      <c r="O897">
        <v>4.1893209999999996</v>
      </c>
      <c r="P897">
        <v>80267400</v>
      </c>
      <c r="R897" s="273">
        <f>(O897/O896)*('16. câmbio USD-BRL'!O693/'16. câmbio USD-BRL'!O692)^-1-1</f>
        <v>-9.51498334409695E-2</v>
      </c>
    </row>
    <row r="898" spans="10:18" x14ac:dyDescent="0.2">
      <c r="J898" s="354">
        <v>42793</v>
      </c>
      <c r="K898">
        <v>4.93</v>
      </c>
      <c r="L898">
        <v>5.19</v>
      </c>
      <c r="M898">
        <v>4.91</v>
      </c>
      <c r="N898">
        <v>5.19</v>
      </c>
      <c r="O898">
        <v>4.4102589999999999</v>
      </c>
      <c r="P898">
        <v>38115300</v>
      </c>
      <c r="R898" s="273">
        <f>(O898/O897)*('16. câmbio USD-BRL'!O694/'16. câmbio USD-BRL'!O693)^-1-1</f>
        <v>4.4168009182737888E-2</v>
      </c>
    </row>
    <row r="899" spans="10:18" x14ac:dyDescent="0.2">
      <c r="J899" s="354">
        <v>42800</v>
      </c>
      <c r="K899">
        <v>5.25</v>
      </c>
      <c r="L899">
        <v>5.31</v>
      </c>
      <c r="M899">
        <v>4.57</v>
      </c>
      <c r="N899">
        <v>4.6399999999999997</v>
      </c>
      <c r="O899">
        <v>3.9428909999999999</v>
      </c>
      <c r="P899">
        <v>90153000</v>
      </c>
      <c r="R899" s="273">
        <f>(O899/O898)*('16. câmbio USD-BRL'!O695/'16. câmbio USD-BRL'!O694)^-1-1</f>
        <v>-0.11378411224451879</v>
      </c>
    </row>
    <row r="900" spans="10:18" x14ac:dyDescent="0.2">
      <c r="J900" s="354">
        <v>42807</v>
      </c>
      <c r="K900">
        <v>4.76</v>
      </c>
      <c r="L900">
        <v>5.0199999999999996</v>
      </c>
      <c r="M900">
        <v>4.43</v>
      </c>
      <c r="N900">
        <v>4.43</v>
      </c>
      <c r="O900">
        <v>3.7644410000000001</v>
      </c>
      <c r="P900">
        <v>77505700</v>
      </c>
      <c r="R900" s="273">
        <f>(O900/O899)*('16. câmbio USD-BRL'!O696/'16. câmbio USD-BRL'!O695)^-1-1</f>
        <v>-2.6421195405151976E-2</v>
      </c>
    </row>
    <row r="901" spans="10:18" x14ac:dyDescent="0.2">
      <c r="J901" s="354">
        <v>42814</v>
      </c>
      <c r="K901">
        <v>4.4000000000000004</v>
      </c>
      <c r="L901">
        <v>4.51</v>
      </c>
      <c r="M901">
        <v>3.98</v>
      </c>
      <c r="N901">
        <v>4.05</v>
      </c>
      <c r="O901">
        <v>3.441532</v>
      </c>
      <c r="P901">
        <v>77881600</v>
      </c>
      <c r="R901" s="273">
        <f>(O901/O900)*('16. câmbio USD-BRL'!O697/'16. câmbio USD-BRL'!O696)^-1-1</f>
        <v>-9.2569911612442657E-2</v>
      </c>
    </row>
    <row r="902" spans="10:18" x14ac:dyDescent="0.2">
      <c r="J902" s="354">
        <v>42821</v>
      </c>
      <c r="K902">
        <v>3.93</v>
      </c>
      <c r="L902">
        <v>4.51</v>
      </c>
      <c r="M902">
        <v>3.91</v>
      </c>
      <c r="N902">
        <v>4.4400000000000004</v>
      </c>
      <c r="O902">
        <v>3.7729379999999999</v>
      </c>
      <c r="P902">
        <v>79822400</v>
      </c>
      <c r="R902" s="273">
        <f>(O902/O901)*('16. câmbio USD-BRL'!O698/'16. câmbio USD-BRL'!O697)^-1-1</f>
        <v>9.204685857993633E-2</v>
      </c>
    </row>
    <row r="903" spans="10:18" x14ac:dyDescent="0.2">
      <c r="J903" s="354">
        <v>42828</v>
      </c>
      <c r="K903">
        <v>4.46</v>
      </c>
      <c r="L903">
        <v>4.4800000000000004</v>
      </c>
      <c r="M903">
        <v>3.84</v>
      </c>
      <c r="N903">
        <v>4.0199999999999996</v>
      </c>
      <c r="O903">
        <v>3.416039</v>
      </c>
      <c r="P903">
        <v>67601800</v>
      </c>
      <c r="R903" s="273">
        <f>(O903/O902)*('16. câmbio USD-BRL'!O699/'16. câmbio USD-BRL'!O698)^-1-1</f>
        <v>-0.10118769935191785</v>
      </c>
    </row>
    <row r="904" spans="10:18" x14ac:dyDescent="0.2">
      <c r="J904" s="354">
        <v>42835</v>
      </c>
      <c r="K904">
        <v>4.0999999999999996</v>
      </c>
      <c r="L904">
        <v>4.13</v>
      </c>
      <c r="M904">
        <v>3.65</v>
      </c>
      <c r="N904">
        <v>3.7</v>
      </c>
      <c r="O904">
        <v>3.1441159999999999</v>
      </c>
      <c r="P904">
        <v>63695400</v>
      </c>
      <c r="R904" s="273">
        <f>(O904/O903)*('16. câmbio USD-BRL'!O700/'16. câmbio USD-BRL'!O699)^-1-1</f>
        <v>-7.9309067511188269E-2</v>
      </c>
    </row>
    <row r="905" spans="10:18" x14ac:dyDescent="0.2">
      <c r="J905" s="354">
        <v>42842</v>
      </c>
      <c r="K905">
        <v>3.77</v>
      </c>
      <c r="L905">
        <v>4.1900000000000004</v>
      </c>
      <c r="M905">
        <v>3.77</v>
      </c>
      <c r="N905">
        <v>4.04</v>
      </c>
      <c r="O905">
        <v>3.4330340000000001</v>
      </c>
      <c r="P905">
        <v>92355500</v>
      </c>
      <c r="R905" s="273">
        <f>(O905/O904)*('16. câmbio USD-BRL'!O701/'16. câmbio USD-BRL'!O700)^-1-1</f>
        <v>9.0815995002710981E-2</v>
      </c>
    </row>
    <row r="906" spans="10:18" x14ac:dyDescent="0.2">
      <c r="J906" s="354">
        <v>42849</v>
      </c>
      <c r="K906">
        <v>4.12</v>
      </c>
      <c r="L906">
        <v>4.3499999999999996</v>
      </c>
      <c r="M906">
        <v>3.97</v>
      </c>
      <c r="N906">
        <v>4.26</v>
      </c>
      <c r="O906">
        <v>3.6199819999999998</v>
      </c>
      <c r="P906">
        <v>96047200</v>
      </c>
      <c r="R906" s="273">
        <f>(O906/O905)*('16. câmbio USD-BRL'!O702/'16. câmbio USD-BRL'!O701)^-1-1</f>
        <v>4.472810983406017E-2</v>
      </c>
    </row>
    <row r="907" spans="10:18" x14ac:dyDescent="0.2">
      <c r="J907" s="354">
        <v>42856</v>
      </c>
      <c r="K907">
        <v>4.26</v>
      </c>
      <c r="L907">
        <v>4.4400000000000004</v>
      </c>
      <c r="M907">
        <v>3.97</v>
      </c>
      <c r="N907">
        <v>4.18</v>
      </c>
      <c r="O907">
        <v>3.5520010000000002</v>
      </c>
      <c r="P907">
        <v>72226800</v>
      </c>
      <c r="R907" s="273">
        <f>(O907/O906)*('16. câmbio USD-BRL'!O703/'16. câmbio USD-BRL'!O702)^-1-1</f>
        <v>-1.9273428392049263E-2</v>
      </c>
    </row>
    <row r="908" spans="10:18" x14ac:dyDescent="0.2">
      <c r="J908" s="354">
        <v>42863</v>
      </c>
      <c r="K908">
        <v>4.1399999999999997</v>
      </c>
      <c r="L908">
        <v>4.3499999999999996</v>
      </c>
      <c r="M908">
        <v>4.07</v>
      </c>
      <c r="N908">
        <v>4.1399999999999997</v>
      </c>
      <c r="O908">
        <v>3.518011</v>
      </c>
      <c r="P908">
        <v>60628900</v>
      </c>
      <c r="R908" s="273">
        <f>(O908/O907)*('16. câmbio USD-BRL'!O704/'16. câmbio USD-BRL'!O703)^-1-1</f>
        <v>-9.5692540627100309E-3</v>
      </c>
    </row>
    <row r="909" spans="10:18" x14ac:dyDescent="0.2">
      <c r="J909" s="354">
        <v>42870</v>
      </c>
      <c r="K909">
        <v>4.22</v>
      </c>
      <c r="L909">
        <v>4.57</v>
      </c>
      <c r="M909">
        <v>3.6</v>
      </c>
      <c r="N909">
        <v>3.9</v>
      </c>
      <c r="O909">
        <v>3.3140679999999998</v>
      </c>
      <c r="P909">
        <v>125509000</v>
      </c>
      <c r="R909" s="273">
        <f>(O909/O908)*('16. câmbio USD-BRL'!O705/'16. câmbio USD-BRL'!O704)^-1-1</f>
        <v>-7.9861922922053186E-2</v>
      </c>
    </row>
    <row r="910" spans="10:18" x14ac:dyDescent="0.2">
      <c r="J910" s="354">
        <v>42877</v>
      </c>
      <c r="K910">
        <v>3.85</v>
      </c>
      <c r="L910">
        <v>4.1500000000000004</v>
      </c>
      <c r="M910">
        <v>3.72</v>
      </c>
      <c r="N910">
        <v>4.0599999999999996</v>
      </c>
      <c r="O910">
        <v>3.4500299999999999</v>
      </c>
      <c r="P910">
        <v>80821400</v>
      </c>
      <c r="R910" s="273">
        <f>(O910/O909)*('16. câmbio USD-BRL'!O706/'16. câmbio USD-BRL'!O705)^-1-1</f>
        <v>6.5792538477719598E-2</v>
      </c>
    </row>
    <row r="911" spans="10:18" x14ac:dyDescent="0.2">
      <c r="J911" s="354">
        <v>42884</v>
      </c>
      <c r="K911">
        <v>4.0599999999999996</v>
      </c>
      <c r="L911">
        <v>4.16</v>
      </c>
      <c r="M911">
        <v>3.86</v>
      </c>
      <c r="N911">
        <v>3.96</v>
      </c>
      <c r="O911">
        <v>3.3650540000000002</v>
      </c>
      <c r="P911">
        <v>43597600</v>
      </c>
      <c r="R911" s="273">
        <f>(O911/O910)*('16. câmbio USD-BRL'!O707/'16. câmbio USD-BRL'!O706)^-1-1</f>
        <v>-4.6093922530656806E-2</v>
      </c>
    </row>
    <row r="912" spans="10:18" x14ac:dyDescent="0.2">
      <c r="J912" s="354">
        <v>42891</v>
      </c>
      <c r="K912">
        <v>3.89</v>
      </c>
      <c r="L912">
        <v>4.07</v>
      </c>
      <c r="M912">
        <v>3.88</v>
      </c>
      <c r="N912">
        <v>3.95</v>
      </c>
      <c r="O912">
        <v>3.3565559999999999</v>
      </c>
      <c r="P912">
        <v>44221100</v>
      </c>
      <c r="R912" s="273">
        <f>(O912/O911)*('16. câmbio USD-BRL'!O708/'16. câmbio USD-BRL'!O707)^-1-1</f>
        <v>1.9918360447791938E-2</v>
      </c>
    </row>
    <row r="913" spans="10:18" x14ac:dyDescent="0.2">
      <c r="J913" s="354">
        <v>42898</v>
      </c>
      <c r="K913">
        <v>4</v>
      </c>
      <c r="L913">
        <v>4.03</v>
      </c>
      <c r="M913">
        <v>3.86</v>
      </c>
      <c r="N913">
        <v>3.99</v>
      </c>
      <c r="O913">
        <v>3.3905460000000001</v>
      </c>
      <c r="P913">
        <v>29106600</v>
      </c>
      <c r="R913" s="273">
        <f>(O913/O912)*('16. câmbio USD-BRL'!O709/'16. câmbio USD-BRL'!O708)^-1-1</f>
        <v>-2.3937595489682217E-2</v>
      </c>
    </row>
    <row r="914" spans="10:18" x14ac:dyDescent="0.2">
      <c r="J914" s="354">
        <v>42905</v>
      </c>
      <c r="K914">
        <v>4</v>
      </c>
      <c r="L914">
        <v>4.2300000000000004</v>
      </c>
      <c r="M914">
        <v>3.87</v>
      </c>
      <c r="N914">
        <v>4.2</v>
      </c>
      <c r="O914">
        <v>3.5689950000000001</v>
      </c>
      <c r="P914">
        <v>52421500</v>
      </c>
      <c r="R914" s="273">
        <f>(O914/O913)*('16. câmbio USD-BRL'!O710/'16. câmbio USD-BRL'!O709)^-1-1</f>
        <v>3.5966914496575964E-2</v>
      </c>
    </row>
    <row r="915" spans="10:18" x14ac:dyDescent="0.2">
      <c r="J915" s="354">
        <v>42912</v>
      </c>
      <c r="K915">
        <v>4.2300000000000004</v>
      </c>
      <c r="L915">
        <v>4.62</v>
      </c>
      <c r="M915">
        <v>4.22</v>
      </c>
      <c r="N915">
        <v>4.5999999999999996</v>
      </c>
      <c r="O915">
        <v>3.9089</v>
      </c>
      <c r="P915">
        <v>75362800</v>
      </c>
      <c r="R915" s="273">
        <f>(O915/O914)*('16. câmbio USD-BRL'!O711/'16. câmbio USD-BRL'!O710)^-1-1</f>
        <v>0.15169423293381534</v>
      </c>
    </row>
    <row r="916" spans="10:18" x14ac:dyDescent="0.2">
      <c r="J916" s="354">
        <v>42919</v>
      </c>
      <c r="K916">
        <v>4.6399999999999997</v>
      </c>
      <c r="L916">
        <v>4.93</v>
      </c>
      <c r="M916">
        <v>4.6100000000000003</v>
      </c>
      <c r="N916">
        <v>4.8499999999999996</v>
      </c>
      <c r="O916">
        <v>4.12134</v>
      </c>
      <c r="P916">
        <v>50215600</v>
      </c>
      <c r="R916" s="273">
        <f>(O916/O915)*('16. câmbio USD-BRL'!O712/'16. câmbio USD-BRL'!O711)^-1-1</f>
        <v>5.4347770472511492E-2</v>
      </c>
    </row>
    <row r="917" spans="10:18" x14ac:dyDescent="0.2">
      <c r="J917" s="354">
        <v>42926</v>
      </c>
      <c r="K917">
        <v>4.8600000000000003</v>
      </c>
      <c r="L917">
        <v>5.1100000000000003</v>
      </c>
      <c r="M917">
        <v>4.8099999999999996</v>
      </c>
      <c r="N917">
        <v>5</v>
      </c>
      <c r="O917">
        <v>4.2488049999999999</v>
      </c>
      <c r="P917">
        <v>60888200</v>
      </c>
      <c r="R917" s="273">
        <f>(O917/O916)*('16. câmbio USD-BRL'!O713/'16. câmbio USD-BRL'!O712)^-1-1</f>
        <v>3.092804767381474E-2</v>
      </c>
    </row>
    <row r="918" spans="10:18" x14ac:dyDescent="0.2">
      <c r="J918" s="354">
        <v>42933</v>
      </c>
      <c r="K918">
        <v>5.05</v>
      </c>
      <c r="L918">
        <v>5.0599999999999996</v>
      </c>
      <c r="M918">
        <v>4.9000000000000004</v>
      </c>
      <c r="N918">
        <v>4.95</v>
      </c>
      <c r="O918">
        <v>4.2063160000000002</v>
      </c>
      <c r="P918">
        <v>49370800</v>
      </c>
      <c r="R918" s="273">
        <f>(O918/O917)*('16. câmbio USD-BRL'!O714/'16. câmbio USD-BRL'!O713)^-1-1</f>
        <v>-1.0000223592280588E-2</v>
      </c>
    </row>
    <row r="919" spans="10:18" x14ac:dyDescent="0.2">
      <c r="J919" s="354">
        <v>42940</v>
      </c>
      <c r="K919">
        <v>5</v>
      </c>
      <c r="L919">
        <v>5.17</v>
      </c>
      <c r="M919">
        <v>4.9400000000000004</v>
      </c>
      <c r="N919">
        <v>5.14</v>
      </c>
      <c r="O919">
        <v>4.3677720000000004</v>
      </c>
      <c r="P919">
        <v>59225600</v>
      </c>
      <c r="R919" s="273">
        <f>(O919/O918)*('16. câmbio USD-BRL'!O715/'16. câmbio USD-BRL'!O714)^-1-1</f>
        <v>3.8384182263053956E-2</v>
      </c>
    </row>
    <row r="920" spans="10:18" x14ac:dyDescent="0.2">
      <c r="J920" s="354">
        <v>42947</v>
      </c>
      <c r="K920">
        <v>5.22</v>
      </c>
      <c r="L920">
        <v>5.63</v>
      </c>
      <c r="M920">
        <v>5.17</v>
      </c>
      <c r="N920">
        <v>5.51</v>
      </c>
      <c r="O920">
        <v>4.6821840000000003</v>
      </c>
      <c r="P920">
        <v>91911900</v>
      </c>
      <c r="R920" s="273">
        <f>(O920/O919)*('16. câmbio USD-BRL'!O716/'16. câmbio USD-BRL'!O715)^-1-1</f>
        <v>8.856460882079209E-2</v>
      </c>
    </row>
    <row r="921" spans="10:18" x14ac:dyDescent="0.2">
      <c r="J921" s="354">
        <v>42954</v>
      </c>
      <c r="K921">
        <v>5.55</v>
      </c>
      <c r="L921">
        <v>5.98</v>
      </c>
      <c r="M921">
        <v>5.54</v>
      </c>
      <c r="N921">
        <v>5.87</v>
      </c>
      <c r="O921">
        <v>4.9880969999999998</v>
      </c>
      <c r="P921">
        <v>70545000</v>
      </c>
      <c r="R921" s="273">
        <f>(O921/O920)*('16. câmbio USD-BRL'!O717/'16. câmbio USD-BRL'!O716)^-1-1</f>
        <v>4.9109258879762363E-2</v>
      </c>
    </row>
    <row r="922" spans="10:18" x14ac:dyDescent="0.2">
      <c r="J922" s="354">
        <v>42961</v>
      </c>
      <c r="K922">
        <v>5.88</v>
      </c>
      <c r="L922">
        <v>6.19</v>
      </c>
      <c r="M922">
        <v>5.64</v>
      </c>
      <c r="N922">
        <v>6.03</v>
      </c>
      <c r="O922">
        <v>5.1240589999999999</v>
      </c>
      <c r="P922">
        <v>76177800</v>
      </c>
      <c r="R922" s="273">
        <f>(O922/O921)*('16. câmbio USD-BRL'!O718/'16. câmbio USD-BRL'!O717)^-1-1</f>
        <v>2.7257288701482807E-2</v>
      </c>
    </row>
    <row r="923" spans="10:18" x14ac:dyDescent="0.2">
      <c r="J923" s="354">
        <v>42968</v>
      </c>
      <c r="K923">
        <v>6.12</v>
      </c>
      <c r="L923">
        <v>6.93</v>
      </c>
      <c r="M923">
        <v>6</v>
      </c>
      <c r="N923">
        <v>6.62</v>
      </c>
      <c r="O923">
        <v>5.6254179999999998</v>
      </c>
      <c r="P923">
        <v>76804500</v>
      </c>
      <c r="R923" s="273">
        <f>(O923/O922)*('16. câmbio USD-BRL'!O719/'16. câmbio USD-BRL'!O718)^-1-1</f>
        <v>0.10444778960769052</v>
      </c>
    </row>
    <row r="924" spans="10:18" x14ac:dyDescent="0.2">
      <c r="J924" s="354">
        <v>42975</v>
      </c>
      <c r="K924">
        <v>6.62</v>
      </c>
      <c r="L924">
        <v>7.96</v>
      </c>
      <c r="M924">
        <v>6.37</v>
      </c>
      <c r="N924">
        <v>7.6</v>
      </c>
      <c r="O924">
        <v>6.458183</v>
      </c>
      <c r="P924">
        <v>98033900</v>
      </c>
      <c r="R924" s="273">
        <f>(O924/O923)*('16. câmbio USD-BRL'!O720/'16. câmbio USD-BRL'!O719)^-1-1</f>
        <v>0.14117181038726612</v>
      </c>
    </row>
    <row r="925" spans="10:18" x14ac:dyDescent="0.2">
      <c r="J925" s="354">
        <v>42982</v>
      </c>
      <c r="K925">
        <v>7.56</v>
      </c>
      <c r="L925">
        <v>8.6999999999999993</v>
      </c>
      <c r="M925">
        <v>7.46</v>
      </c>
      <c r="N925">
        <v>8.1300000000000008</v>
      </c>
      <c r="O925">
        <v>6.9085559999999999</v>
      </c>
      <c r="P925">
        <v>106637300</v>
      </c>
      <c r="R925" s="273">
        <f>(O925/O924)*('16. câmbio USD-BRL'!O721/'16. câmbio USD-BRL'!O720)^-1-1</f>
        <v>6.9736797486227964E-2</v>
      </c>
    </row>
    <row r="926" spans="10:18" x14ac:dyDescent="0.2">
      <c r="J926" s="354">
        <v>42989</v>
      </c>
      <c r="K926">
        <v>8.23</v>
      </c>
      <c r="L926">
        <v>8.84</v>
      </c>
      <c r="M926">
        <v>8.2100000000000009</v>
      </c>
      <c r="N926">
        <v>8.68</v>
      </c>
      <c r="O926">
        <v>7.3759259999999998</v>
      </c>
      <c r="P926">
        <v>89018600</v>
      </c>
      <c r="R926" s="273">
        <f>(O926/O925)*('16. câmbio USD-BRL'!O722/'16. câmbio USD-BRL'!O721)^-1-1</f>
        <v>9.0997282897024689E-2</v>
      </c>
    </row>
    <row r="927" spans="10:18" x14ac:dyDescent="0.2">
      <c r="J927" s="354">
        <v>42996</v>
      </c>
      <c r="K927">
        <v>8.75</v>
      </c>
      <c r="L927">
        <v>9.6300000000000008</v>
      </c>
      <c r="M927">
        <v>8.69</v>
      </c>
      <c r="N927">
        <v>9.4</v>
      </c>
      <c r="O927">
        <v>7.9877529999999997</v>
      </c>
      <c r="P927">
        <v>119500300</v>
      </c>
      <c r="R927" s="273">
        <f>(O927/O926)*('16. câmbio USD-BRL'!O723/'16. câmbio USD-BRL'!O722)^-1-1</f>
        <v>7.8164577998844686E-2</v>
      </c>
    </row>
    <row r="928" spans="10:18" x14ac:dyDescent="0.2">
      <c r="J928" s="354">
        <v>43003</v>
      </c>
      <c r="K928">
        <v>9.39</v>
      </c>
      <c r="L928">
        <v>9.49</v>
      </c>
      <c r="M928">
        <v>7.58</v>
      </c>
      <c r="N928">
        <v>7.78</v>
      </c>
      <c r="O928">
        <v>6.6111409999999999</v>
      </c>
      <c r="P928">
        <v>193668000</v>
      </c>
      <c r="R928" s="273">
        <f>(O928/O927)*('16. câmbio USD-BRL'!O724/'16. câmbio USD-BRL'!O723)^-1-1</f>
        <v>-0.18277961227029305</v>
      </c>
    </row>
    <row r="929" spans="10:18" x14ac:dyDescent="0.2">
      <c r="J929" s="354">
        <v>43010</v>
      </c>
      <c r="K929">
        <v>7.84</v>
      </c>
      <c r="L929">
        <v>9.52</v>
      </c>
      <c r="M929">
        <v>7.69</v>
      </c>
      <c r="N929">
        <v>9.35</v>
      </c>
      <c r="O929">
        <v>7.9452670000000003</v>
      </c>
      <c r="P929">
        <v>140698600</v>
      </c>
      <c r="R929" s="273">
        <f>(O929/O928)*('16. câmbio USD-BRL'!O725/'16. câmbio USD-BRL'!O724)^-1-1</f>
        <v>0.20480844289882993</v>
      </c>
    </row>
    <row r="930" spans="10:18" x14ac:dyDescent="0.2">
      <c r="J930" s="354">
        <v>43017</v>
      </c>
      <c r="K930">
        <v>9.4499999999999993</v>
      </c>
      <c r="L930">
        <v>10.37</v>
      </c>
      <c r="M930">
        <v>8.9700000000000006</v>
      </c>
      <c r="N930">
        <v>10.32</v>
      </c>
      <c r="O930">
        <v>8.7695329999999991</v>
      </c>
      <c r="P930">
        <v>104968900</v>
      </c>
      <c r="R930" s="273">
        <f>(O930/O929)*('16. câmbio USD-BRL'!O726/'16. câmbio USD-BRL'!O725)^-1-1</f>
        <v>0.1079564505412316</v>
      </c>
    </row>
    <row r="931" spans="10:18" x14ac:dyDescent="0.2">
      <c r="J931" s="354">
        <v>43024</v>
      </c>
      <c r="K931">
        <v>10.43</v>
      </c>
      <c r="L931">
        <v>10.58</v>
      </c>
      <c r="M931">
        <v>9.3800000000000008</v>
      </c>
      <c r="N931">
        <v>10.1</v>
      </c>
      <c r="O931">
        <v>8.5825870000000002</v>
      </c>
      <c r="P931">
        <v>97155000</v>
      </c>
      <c r="R931" s="273">
        <f>(O931/O930)*('16. câmbio USD-BRL'!O727/'16. câmbio USD-BRL'!O726)^-1-1</f>
        <v>-3.6248384143836798E-2</v>
      </c>
    </row>
    <row r="932" spans="10:18" x14ac:dyDescent="0.2">
      <c r="J932" s="354">
        <v>43031</v>
      </c>
      <c r="K932">
        <v>10.19</v>
      </c>
      <c r="L932">
        <v>10.220000000000001</v>
      </c>
      <c r="M932">
        <v>8.85</v>
      </c>
      <c r="N932">
        <v>9.1300000000000008</v>
      </c>
      <c r="O932">
        <v>7.7583169999999999</v>
      </c>
      <c r="P932">
        <v>119723000</v>
      </c>
      <c r="R932" s="273">
        <f>(O932/O931)*('16. câmbio USD-BRL'!O728/'16. câmbio USD-BRL'!O727)^-1-1</f>
        <v>-0.10697808072979853</v>
      </c>
    </row>
    <row r="933" spans="10:18" x14ac:dyDescent="0.2">
      <c r="J933" s="354">
        <v>43038</v>
      </c>
      <c r="K933">
        <v>8.9</v>
      </c>
      <c r="L933">
        <v>9.08</v>
      </c>
      <c r="M933">
        <v>7.8</v>
      </c>
      <c r="N933">
        <v>8.35</v>
      </c>
      <c r="O933">
        <v>7.0955050000000002</v>
      </c>
      <c r="P933">
        <v>100891500</v>
      </c>
      <c r="R933" s="273">
        <f>(O933/O932)*('16. câmbio USD-BRL'!O729/'16. câmbio USD-BRL'!O728)^-1-1</f>
        <v>-0.10795914863983436</v>
      </c>
    </row>
    <row r="934" spans="10:18" x14ac:dyDescent="0.2">
      <c r="J934" s="354">
        <v>43045</v>
      </c>
      <c r="K934">
        <v>8.5500000000000007</v>
      </c>
      <c r="L934">
        <v>8.8800000000000008</v>
      </c>
      <c r="M934">
        <v>8.07</v>
      </c>
      <c r="N934">
        <v>8.61</v>
      </c>
      <c r="O934">
        <v>7.3164429999999996</v>
      </c>
      <c r="P934">
        <v>115417200</v>
      </c>
      <c r="R934" s="273">
        <f>(O934/O933)*('16. câmbio USD-BRL'!O730/'16. câmbio USD-BRL'!O729)^-1-1</f>
        <v>4.3739870934334846E-2</v>
      </c>
    </row>
    <row r="935" spans="10:18" x14ac:dyDescent="0.2">
      <c r="J935" s="354">
        <v>43052</v>
      </c>
      <c r="K935">
        <v>8.6199999999999992</v>
      </c>
      <c r="L935">
        <v>9.24</v>
      </c>
      <c r="M935">
        <v>8.25</v>
      </c>
      <c r="N935">
        <v>8.73</v>
      </c>
      <c r="O935">
        <v>7.4184130000000001</v>
      </c>
      <c r="P935">
        <v>84315900</v>
      </c>
      <c r="R935" s="273">
        <f>(O935/O934)*('16. câmbio USD-BRL'!O731/'16. câmbio USD-BRL'!O730)^-1-1</f>
        <v>2.0327984135739552E-2</v>
      </c>
    </row>
    <row r="936" spans="10:18" x14ac:dyDescent="0.2">
      <c r="J936" s="354">
        <v>43059</v>
      </c>
      <c r="K936">
        <v>8.73</v>
      </c>
      <c r="L936">
        <v>9.59</v>
      </c>
      <c r="M936">
        <v>8.73</v>
      </c>
      <c r="N936">
        <v>9.18</v>
      </c>
      <c r="O936">
        <v>7.8008059999999997</v>
      </c>
      <c r="P936">
        <v>76017700</v>
      </c>
      <c r="R936" s="273">
        <f>(O936/O935)*('16. câmbio USD-BRL'!O732/'16. câmbio USD-BRL'!O731)^-1-1</f>
        <v>5.8347435446710172E-2</v>
      </c>
    </row>
    <row r="937" spans="10:18" x14ac:dyDescent="0.2">
      <c r="J937" s="354">
        <v>43066</v>
      </c>
      <c r="K937">
        <v>9.1</v>
      </c>
      <c r="L937">
        <v>9.5500000000000007</v>
      </c>
      <c r="M937">
        <v>8.42</v>
      </c>
      <c r="N937">
        <v>8.8800000000000008</v>
      </c>
      <c r="O937">
        <v>7.5458769999999999</v>
      </c>
      <c r="P937">
        <v>98310700</v>
      </c>
      <c r="R937" s="273">
        <f>(O937/O936)*('16. câmbio USD-BRL'!O733/'16. câmbio USD-BRL'!O732)^-1-1</f>
        <v>-3.9073121693541935E-2</v>
      </c>
    </row>
    <row r="938" spans="10:18" x14ac:dyDescent="0.2">
      <c r="J938" s="354">
        <v>43073</v>
      </c>
      <c r="K938">
        <v>9.09</v>
      </c>
      <c r="L938">
        <v>9.11</v>
      </c>
      <c r="M938">
        <v>8.44</v>
      </c>
      <c r="N938">
        <v>8.66</v>
      </c>
      <c r="O938">
        <v>7.35893</v>
      </c>
      <c r="P938">
        <v>89049100</v>
      </c>
      <c r="R938" s="273">
        <f>(O938/O937)*('16. câmbio USD-BRL'!O734/'16. câmbio USD-BRL'!O733)^-1-1</f>
        <v>-3.5097076630114521E-2</v>
      </c>
    </row>
    <row r="939" spans="10:18" x14ac:dyDescent="0.2">
      <c r="J939" s="354">
        <v>43080</v>
      </c>
      <c r="K939">
        <v>8.6999999999999993</v>
      </c>
      <c r="L939">
        <v>9.0399999999999991</v>
      </c>
      <c r="M939">
        <v>8.4700000000000006</v>
      </c>
      <c r="N939">
        <v>8.67</v>
      </c>
      <c r="O939">
        <v>7.3674289999999996</v>
      </c>
      <c r="P939">
        <v>67875000</v>
      </c>
      <c r="R939" s="273">
        <f>(O939/O938)*('16. câmbio USD-BRL'!O735/'16. câmbio USD-BRL'!O734)^-1-1</f>
        <v>5.7669603635801536E-4</v>
      </c>
    </row>
    <row r="940" spans="10:18" x14ac:dyDescent="0.2">
      <c r="J940" s="354">
        <v>43087</v>
      </c>
      <c r="K940">
        <v>8.82</v>
      </c>
      <c r="L940">
        <v>9.1999999999999993</v>
      </c>
      <c r="M940">
        <v>8.49</v>
      </c>
      <c r="N940">
        <v>8.9499999999999993</v>
      </c>
      <c r="O940">
        <v>7.6053600000000001</v>
      </c>
      <c r="P940">
        <v>62679800</v>
      </c>
      <c r="R940" s="273">
        <f>(O940/O939)*('16. câmbio USD-BRL'!O736/'16. câmbio USD-BRL'!O735)^-1-1</f>
        <v>1.8120464133225322E-2</v>
      </c>
    </row>
    <row r="941" spans="10:18" x14ac:dyDescent="0.2">
      <c r="J941" s="354">
        <v>43094</v>
      </c>
      <c r="K941">
        <v>8.9499999999999993</v>
      </c>
      <c r="L941">
        <v>9.1999999999999993</v>
      </c>
      <c r="M941">
        <v>8.82</v>
      </c>
      <c r="N941">
        <v>9.1</v>
      </c>
      <c r="O941">
        <v>7.7328239999999999</v>
      </c>
      <c r="P941">
        <v>17002800</v>
      </c>
      <c r="R941" s="273">
        <f>(O941/O940)*('16. câmbio USD-BRL'!O737/'16. câmbio USD-BRL'!O736)^-1-1</f>
        <v>2.4283351203227221E-2</v>
      </c>
    </row>
    <row r="942" spans="10:18" x14ac:dyDescent="0.2">
      <c r="J942" s="354">
        <v>43101</v>
      </c>
      <c r="K942">
        <v>9.1</v>
      </c>
      <c r="L942">
        <v>10.64</v>
      </c>
      <c r="M942">
        <v>9.1</v>
      </c>
      <c r="N942">
        <v>10.029999999999999</v>
      </c>
      <c r="O942">
        <v>8.5231019999999997</v>
      </c>
      <c r="P942">
        <v>91059800</v>
      </c>
      <c r="R942" s="273">
        <f>(O942/O941)*('16. câmbio USD-BRL'!O738/'16. câmbio USD-BRL'!O737)^-1-1</f>
        <v>0.13127408996511858</v>
      </c>
    </row>
    <row r="943" spans="10:18" x14ac:dyDescent="0.2">
      <c r="J943" s="354">
        <v>43108</v>
      </c>
      <c r="K943">
        <v>10.1</v>
      </c>
      <c r="L943">
        <v>11.38</v>
      </c>
      <c r="M943">
        <v>9.92</v>
      </c>
      <c r="N943">
        <v>11.02</v>
      </c>
      <c r="O943">
        <v>9.3643669999999997</v>
      </c>
      <c r="P943">
        <v>108056400</v>
      </c>
      <c r="R943" s="273">
        <f>(O943/O942)*('16. câmbio USD-BRL'!O739/'16. câmbio USD-BRL'!O738)^-1-1</f>
        <v>0.10735448925375679</v>
      </c>
    </row>
    <row r="944" spans="10:18" x14ac:dyDescent="0.2">
      <c r="J944" s="354">
        <v>43115</v>
      </c>
      <c r="K944">
        <v>11.2</v>
      </c>
      <c r="L944">
        <v>11.43</v>
      </c>
      <c r="M944">
        <v>10.75</v>
      </c>
      <c r="N944">
        <v>11.43</v>
      </c>
      <c r="O944">
        <v>9.7127700000000008</v>
      </c>
      <c r="P944">
        <v>90088000</v>
      </c>
      <c r="R944" s="273">
        <f>(O944/O943)*('16. câmbio USD-BRL'!O740/'16. câmbio USD-BRL'!O739)^-1-1</f>
        <v>4.0292878340119076E-2</v>
      </c>
    </row>
    <row r="945" spans="10:18" x14ac:dyDescent="0.2">
      <c r="J945" s="354">
        <v>43122</v>
      </c>
      <c r="K945">
        <v>11.45</v>
      </c>
      <c r="L945">
        <v>11.61</v>
      </c>
      <c r="M945">
        <v>10.72</v>
      </c>
      <c r="N945">
        <v>11.41</v>
      </c>
      <c r="O945">
        <v>9.6957730000000009</v>
      </c>
      <c r="P945">
        <v>65200900</v>
      </c>
      <c r="R945" s="273">
        <f>(O945/O944)*('16. câmbio USD-BRL'!O741/'16. câmbio USD-BRL'!O740)^-1-1</f>
        <v>1.2302746885381799E-2</v>
      </c>
    </row>
    <row r="946" spans="10:18" x14ac:dyDescent="0.2">
      <c r="J946" s="354">
        <v>43129</v>
      </c>
      <c r="K946">
        <v>11.28</v>
      </c>
      <c r="L946">
        <v>12.12</v>
      </c>
      <c r="M946">
        <v>11.23</v>
      </c>
      <c r="N946">
        <v>11.8</v>
      </c>
      <c r="O946">
        <v>10.02718</v>
      </c>
      <c r="P946">
        <v>86932500</v>
      </c>
      <c r="R946" s="273">
        <f>(O946/O945)*('16. câmbio USD-BRL'!O742/'16. câmbio USD-BRL'!O741)^-1-1</f>
        <v>1.1676713681294526E-2</v>
      </c>
    </row>
    <row r="947" spans="10:18" x14ac:dyDescent="0.2">
      <c r="J947" s="354">
        <v>43136</v>
      </c>
      <c r="K947">
        <v>11.73</v>
      </c>
      <c r="L947">
        <v>11.97</v>
      </c>
      <c r="M947">
        <v>10.83</v>
      </c>
      <c r="N947">
        <v>11.23</v>
      </c>
      <c r="O947">
        <v>9.5428149999999992</v>
      </c>
      <c r="P947">
        <v>104068800</v>
      </c>
      <c r="R947" s="273">
        <f>(O947/O946)*('16. câmbio USD-BRL'!O743/'16. câmbio USD-BRL'!O742)^-1-1</f>
        <v>-7.0242048902264598E-2</v>
      </c>
    </row>
    <row r="948" spans="10:18" x14ac:dyDescent="0.2">
      <c r="J948" s="354">
        <v>43143</v>
      </c>
      <c r="K948">
        <v>11.23</v>
      </c>
      <c r="L948">
        <v>12.35</v>
      </c>
      <c r="M948">
        <v>11.23</v>
      </c>
      <c r="N948">
        <v>12.12</v>
      </c>
      <c r="O948">
        <v>10.299105000000001</v>
      </c>
      <c r="P948">
        <v>49698500</v>
      </c>
      <c r="R948" s="273">
        <f>(O948/O947)*('16. câmbio USD-BRL'!O744/'16. câmbio USD-BRL'!O743)^-1-1</f>
        <v>0.10030403139373489</v>
      </c>
    </row>
    <row r="949" spans="10:18" x14ac:dyDescent="0.2">
      <c r="J949" s="354">
        <v>43150</v>
      </c>
      <c r="K949">
        <v>12.25</v>
      </c>
      <c r="L949">
        <v>12.29</v>
      </c>
      <c r="M949">
        <v>11.87</v>
      </c>
      <c r="N949">
        <v>12.2</v>
      </c>
      <c r="O949">
        <v>10.367084999999999</v>
      </c>
      <c r="P949">
        <v>54420100</v>
      </c>
      <c r="R949" s="273">
        <f>(O949/O948)*('16. câmbio USD-BRL'!O745/'16. câmbio USD-BRL'!O744)^-1-1</f>
        <v>5.6353529139734349E-3</v>
      </c>
    </row>
    <row r="950" spans="10:18" x14ac:dyDescent="0.2">
      <c r="J950" s="354">
        <v>43157</v>
      </c>
      <c r="K950">
        <v>12.33</v>
      </c>
      <c r="L950">
        <v>12.88</v>
      </c>
      <c r="M950">
        <v>10.78</v>
      </c>
      <c r="N950">
        <v>11.34</v>
      </c>
      <c r="O950">
        <v>9.6362900000000007</v>
      </c>
      <c r="P950">
        <v>86666200</v>
      </c>
      <c r="R950" s="273">
        <f>(O950/O949)*('16. câmbio USD-BRL'!O746/'16. câmbio USD-BRL'!O745)^-1-1</f>
        <v>-7.5524719775067584E-2</v>
      </c>
    </row>
    <row r="951" spans="10:18" x14ac:dyDescent="0.2">
      <c r="J951" s="354">
        <v>43164</v>
      </c>
      <c r="K951">
        <v>11.15</v>
      </c>
      <c r="L951">
        <v>11.74</v>
      </c>
      <c r="M951">
        <v>10.65</v>
      </c>
      <c r="N951">
        <v>11.18</v>
      </c>
      <c r="O951">
        <v>9.5003270000000004</v>
      </c>
      <c r="P951">
        <v>75284600</v>
      </c>
      <c r="R951" s="273">
        <f>(O951/O950)*('16. câmbio USD-BRL'!O747/'16. câmbio USD-BRL'!O746)^-1-1</f>
        <v>-1.8818422859093964E-2</v>
      </c>
    </row>
    <row r="952" spans="10:18" x14ac:dyDescent="0.2">
      <c r="J952" s="354">
        <v>43171</v>
      </c>
      <c r="K952">
        <v>11.28</v>
      </c>
      <c r="L952">
        <v>11.53</v>
      </c>
      <c r="M952">
        <v>10.91</v>
      </c>
      <c r="N952">
        <v>11.15</v>
      </c>
      <c r="O952">
        <v>9.4748339999999995</v>
      </c>
      <c r="P952">
        <v>38889900</v>
      </c>
      <c r="R952" s="273">
        <f>(O952/O951)*('16. câmbio USD-BRL'!O748/'16. câmbio USD-BRL'!O747)^-1-1</f>
        <v>-7.5452276674372598E-3</v>
      </c>
    </row>
    <row r="953" spans="10:18" x14ac:dyDescent="0.2">
      <c r="J953" s="354">
        <v>43178</v>
      </c>
      <c r="K953">
        <v>10.95</v>
      </c>
      <c r="L953">
        <v>11.68</v>
      </c>
      <c r="M953">
        <v>10.57</v>
      </c>
      <c r="N953">
        <v>10.95</v>
      </c>
      <c r="O953">
        <v>9.3048839999999995</v>
      </c>
      <c r="P953">
        <v>57543100</v>
      </c>
      <c r="R953" s="273">
        <f>(O953/O952)*('16. câmbio USD-BRL'!O749/'16. câmbio USD-BRL'!O748)^-1-1</f>
        <v>-2.6361877039833614E-2</v>
      </c>
    </row>
    <row r="954" spans="10:18" x14ac:dyDescent="0.2">
      <c r="J954" s="354">
        <v>43185</v>
      </c>
      <c r="K954">
        <v>11.15</v>
      </c>
      <c r="L954">
        <v>11.26</v>
      </c>
      <c r="M954">
        <v>10.45</v>
      </c>
      <c r="N954">
        <v>10.92</v>
      </c>
      <c r="O954">
        <v>9.2793899999999994</v>
      </c>
      <c r="P954">
        <v>32133900</v>
      </c>
      <c r="R954" s="273">
        <f>(O954/O953)*('16. câmbio USD-BRL'!O750/'16. câmbio USD-BRL'!O749)^-1-1</f>
        <v>-6.5694341139099777E-4</v>
      </c>
    </row>
    <row r="955" spans="10:18" x14ac:dyDescent="0.2">
      <c r="J955" s="354">
        <v>43192</v>
      </c>
      <c r="K955">
        <v>10.94</v>
      </c>
      <c r="L955">
        <v>11.08</v>
      </c>
      <c r="M955">
        <v>10.32</v>
      </c>
      <c r="N955">
        <v>10.43</v>
      </c>
      <c r="O955">
        <v>8.8630069999999996</v>
      </c>
      <c r="P955">
        <v>41934800</v>
      </c>
      <c r="R955" s="273">
        <f>(O955/O954)*('16. câmbio USD-BRL'!O751/'16. câmbio USD-BRL'!O750)^-1-1</f>
        <v>-6.2717511545251736E-2</v>
      </c>
    </row>
    <row r="956" spans="10:18" x14ac:dyDescent="0.2">
      <c r="J956" s="354">
        <v>43199</v>
      </c>
      <c r="K956">
        <v>10.55</v>
      </c>
      <c r="L956">
        <v>10.67</v>
      </c>
      <c r="M956">
        <v>10.029999999999999</v>
      </c>
      <c r="N956">
        <v>10.52</v>
      </c>
      <c r="O956">
        <v>8.9394860000000005</v>
      </c>
      <c r="P956">
        <v>39500100</v>
      </c>
      <c r="R956" s="273">
        <f>(O956/O955)*('16. câmbio USD-BRL'!O752/'16. câmbio USD-BRL'!O751)^-1-1</f>
        <v>-7.4974946601974457E-3</v>
      </c>
    </row>
    <row r="957" spans="10:18" x14ac:dyDescent="0.2">
      <c r="J957" s="354">
        <v>43206</v>
      </c>
      <c r="K957">
        <v>10.52</v>
      </c>
      <c r="L957">
        <v>11.66</v>
      </c>
      <c r="M957">
        <v>10.029999999999999</v>
      </c>
      <c r="N957">
        <v>11.25</v>
      </c>
      <c r="O957">
        <v>9.5598109999999998</v>
      </c>
      <c r="P957">
        <v>69247300</v>
      </c>
      <c r="R957" s="273">
        <f>(O957/O956)*('16. câmbio USD-BRL'!O753/'16. câmbio USD-BRL'!O752)^-1-1</f>
        <v>7.2809562597607069E-2</v>
      </c>
    </row>
    <row r="958" spans="10:18" x14ac:dyDescent="0.2">
      <c r="J958" s="354">
        <v>43213</v>
      </c>
      <c r="K958">
        <v>11.29</v>
      </c>
      <c r="L958">
        <v>11.36</v>
      </c>
      <c r="M958">
        <v>10.38</v>
      </c>
      <c r="N958">
        <v>10.72</v>
      </c>
      <c r="O958">
        <v>9.1094369999999998</v>
      </c>
      <c r="P958">
        <v>50833100</v>
      </c>
      <c r="R958" s="273">
        <f>(O958/O957)*('16. câmbio USD-BRL'!O754/'16. câmbio USD-BRL'!O753)^-1-1</f>
        <v>-5.9684384801310886E-2</v>
      </c>
    </row>
    <row r="959" spans="10:18" x14ac:dyDescent="0.2">
      <c r="J959" s="354">
        <v>43220</v>
      </c>
      <c r="K959">
        <v>10.74</v>
      </c>
      <c r="L959">
        <v>11.12</v>
      </c>
      <c r="M959">
        <v>10.4</v>
      </c>
      <c r="N959">
        <v>10.98</v>
      </c>
      <c r="O959">
        <v>9.3712789999999995</v>
      </c>
      <c r="P959">
        <v>29296000</v>
      </c>
      <c r="R959" s="273">
        <f>(O959/O958)*('16. câmbio USD-BRL'!O755/'16. câmbio USD-BRL'!O754)^-1-1</f>
        <v>7.6058609220441831E-3</v>
      </c>
    </row>
    <row r="960" spans="10:18" x14ac:dyDescent="0.2">
      <c r="J960" s="354">
        <v>43227</v>
      </c>
      <c r="K960">
        <v>10.98</v>
      </c>
      <c r="L960">
        <v>11.4</v>
      </c>
      <c r="M960">
        <v>10.75</v>
      </c>
      <c r="N960">
        <v>11.02</v>
      </c>
      <c r="O960">
        <v>9.4054190000000002</v>
      </c>
      <c r="P960">
        <v>44888000</v>
      </c>
      <c r="R960" s="273">
        <f>(O960/O959)*('16. câmbio USD-BRL'!O756/'16. câmbio USD-BRL'!O755)^-1-1</f>
        <v>-1.6181657639326996E-2</v>
      </c>
    </row>
    <row r="961" spans="10:18" x14ac:dyDescent="0.2">
      <c r="J961" s="354">
        <v>43234</v>
      </c>
      <c r="K961">
        <v>11.12</v>
      </c>
      <c r="L961">
        <v>11.32</v>
      </c>
      <c r="M961">
        <v>10.34</v>
      </c>
      <c r="N961">
        <v>10.68</v>
      </c>
      <c r="O961">
        <v>9.1152329999999999</v>
      </c>
      <c r="P961">
        <v>59804300</v>
      </c>
      <c r="R961" s="273">
        <f>(O961/O960)*('16. câmbio USD-BRL'!O757/'16. câmbio USD-BRL'!O756)^-1-1</f>
        <v>-6.626220718116238E-2</v>
      </c>
    </row>
    <row r="962" spans="10:18" x14ac:dyDescent="0.2">
      <c r="J962" s="354">
        <v>43241</v>
      </c>
      <c r="K962">
        <v>10.82</v>
      </c>
      <c r="L962">
        <v>10.93</v>
      </c>
      <c r="M962">
        <v>8.9700000000000006</v>
      </c>
      <c r="N962">
        <v>9.01</v>
      </c>
      <c r="O962">
        <v>7.6899100000000002</v>
      </c>
      <c r="P962">
        <v>62015900</v>
      </c>
      <c r="R962" s="273">
        <f>(O962/O961)*('16. câmbio USD-BRL'!O758/'16. câmbio USD-BRL'!O757)^-1-1</f>
        <v>-0.14192035883162768</v>
      </c>
    </row>
    <row r="963" spans="10:18" x14ac:dyDescent="0.2">
      <c r="J963" s="354">
        <v>43248</v>
      </c>
      <c r="K963">
        <v>8.7799999999999994</v>
      </c>
      <c r="L963">
        <v>8.9</v>
      </c>
      <c r="M963">
        <v>8.2200000000000006</v>
      </c>
      <c r="N963">
        <v>8.84</v>
      </c>
      <c r="O963">
        <v>7.5448190000000004</v>
      </c>
      <c r="P963">
        <v>69856700</v>
      </c>
      <c r="R963" s="273">
        <f>(O963/O962)*('16. câmbio USD-BRL'!O759/'16. câmbio USD-BRL'!O758)^-1-1</f>
        <v>-4.1211852373116198E-2</v>
      </c>
    </row>
    <row r="964" spans="10:18" x14ac:dyDescent="0.2">
      <c r="J964" s="354">
        <v>43255</v>
      </c>
      <c r="K964">
        <v>8.9499999999999993</v>
      </c>
      <c r="L964">
        <v>9.73</v>
      </c>
      <c r="M964">
        <v>7.78</v>
      </c>
      <c r="N964">
        <v>8.5</v>
      </c>
      <c r="O964">
        <v>7.254632</v>
      </c>
      <c r="P964">
        <v>90019600</v>
      </c>
      <c r="R964" s="273">
        <f>(O964/O963)*('16. câmbio USD-BRL'!O760/'16. câmbio USD-BRL'!O759)^-1-1</f>
        <v>-2.4130203465181355E-2</v>
      </c>
    </row>
    <row r="965" spans="10:18" x14ac:dyDescent="0.2">
      <c r="J965" s="354">
        <v>43262</v>
      </c>
      <c r="K965">
        <v>8.61</v>
      </c>
      <c r="L965">
        <v>8.74</v>
      </c>
      <c r="M965">
        <v>7.44</v>
      </c>
      <c r="N965">
        <v>7.45</v>
      </c>
      <c r="O965">
        <v>6.3584719999999999</v>
      </c>
      <c r="P965">
        <v>66431200</v>
      </c>
      <c r="R965" s="273">
        <f>(O965/O964)*('16. câmbio USD-BRL'!O761/'16. câmbio USD-BRL'!O760)^-1-1</f>
        <v>-0.12938283452907906</v>
      </c>
    </row>
    <row r="966" spans="10:18" x14ac:dyDescent="0.2">
      <c r="J966" s="354">
        <v>43269</v>
      </c>
      <c r="K966">
        <v>7.3</v>
      </c>
      <c r="L966">
        <v>7.73</v>
      </c>
      <c r="M966">
        <v>7.11</v>
      </c>
      <c r="N966">
        <v>7.16</v>
      </c>
      <c r="O966">
        <v>6.1109609999999996</v>
      </c>
      <c r="P966">
        <v>58481300</v>
      </c>
      <c r="R966" s="273">
        <f>(O966/O965)*('16. câmbio USD-BRL'!O762/'16. câmbio USD-BRL'!O761)^-1-1</f>
        <v>-4.8294163369573262E-2</v>
      </c>
    </row>
    <row r="967" spans="10:18" x14ac:dyDescent="0.2">
      <c r="J967" s="354">
        <v>43276</v>
      </c>
      <c r="K967">
        <v>7.19</v>
      </c>
      <c r="L967">
        <v>7.67</v>
      </c>
      <c r="M967">
        <v>7.02</v>
      </c>
      <c r="N967">
        <v>7.32</v>
      </c>
      <c r="O967">
        <v>6.2475189999999996</v>
      </c>
      <c r="P967">
        <v>60072100</v>
      </c>
      <c r="R967" s="273">
        <f>(O967/O966)*('16. câmbio USD-BRL'!O763/'16. câmbio USD-BRL'!O762)^-1-1</f>
        <v>-6.7768175342286519E-3</v>
      </c>
    </row>
    <row r="968" spans="10:18" x14ac:dyDescent="0.2">
      <c r="J968" s="354">
        <v>43283</v>
      </c>
      <c r="K968">
        <v>7.28</v>
      </c>
      <c r="L968">
        <v>8.41</v>
      </c>
      <c r="M968">
        <v>7.15</v>
      </c>
      <c r="N968">
        <v>8.0399999999999991</v>
      </c>
      <c r="O968">
        <v>6.8620289999999997</v>
      </c>
      <c r="P968">
        <v>69116700</v>
      </c>
      <c r="R968" s="273">
        <f>(O968/O967)*('16. câmbio USD-BRL'!O764/'16. câmbio USD-BRL'!O763)^-1-1</f>
        <v>0.10234278923587858</v>
      </c>
    </row>
    <row r="969" spans="10:18" x14ac:dyDescent="0.2">
      <c r="J969" s="354">
        <v>43290</v>
      </c>
      <c r="K969">
        <v>8.0399999999999991</v>
      </c>
      <c r="L969">
        <v>8.51</v>
      </c>
      <c r="M969">
        <v>7.51</v>
      </c>
      <c r="N969">
        <v>8.32</v>
      </c>
      <c r="O969">
        <v>7.1010049999999998</v>
      </c>
      <c r="P969">
        <v>65579400</v>
      </c>
      <c r="R969" s="273">
        <f>(O969/O968)*('16. câmbio USD-BRL'!O765/'16. câmbio USD-BRL'!O764)^-1-1</f>
        <v>3.821352176239845E-2</v>
      </c>
    </row>
    <row r="970" spans="10:18" x14ac:dyDescent="0.2">
      <c r="J970" s="354">
        <v>43297</v>
      </c>
      <c r="K970">
        <v>8.25</v>
      </c>
      <c r="L970">
        <v>8.98</v>
      </c>
      <c r="M970">
        <v>8.0299999999999994</v>
      </c>
      <c r="N970">
        <v>8.83</v>
      </c>
      <c r="O970">
        <v>7.5362840000000002</v>
      </c>
      <c r="P970">
        <v>85887200</v>
      </c>
      <c r="R970" s="273">
        <f>(O970/O969)*('16. câmbio USD-BRL'!O766/'16. câmbio USD-BRL'!O765)^-1-1</f>
        <v>8.5755870767453057E-2</v>
      </c>
    </row>
    <row r="971" spans="10:18" x14ac:dyDescent="0.2">
      <c r="J971" s="354">
        <v>43304</v>
      </c>
      <c r="K971">
        <v>8.86</v>
      </c>
      <c r="L971">
        <v>9.34</v>
      </c>
      <c r="M971">
        <v>8.73</v>
      </c>
      <c r="N971">
        <v>9.15</v>
      </c>
      <c r="O971">
        <v>7.809399</v>
      </c>
      <c r="P971">
        <v>85121400</v>
      </c>
      <c r="R971" s="273">
        <f>(O971/O970)*('16. câmbio USD-BRL'!O767/'16. câmbio USD-BRL'!O766)^-1-1</f>
        <v>5.031040515828189E-2</v>
      </c>
    </row>
    <row r="972" spans="10:18" x14ac:dyDescent="0.2">
      <c r="J972" s="354">
        <v>43311</v>
      </c>
      <c r="K972">
        <v>9.2899999999999991</v>
      </c>
      <c r="L972">
        <v>9.31</v>
      </c>
      <c r="M972">
        <v>8.68</v>
      </c>
      <c r="N972">
        <v>9.0500000000000007</v>
      </c>
      <c r="O972">
        <v>7.7240500000000001</v>
      </c>
      <c r="P972">
        <v>67618500</v>
      </c>
      <c r="R972" s="273">
        <f>(O972/O971)*('16. câmbio USD-BRL'!O768/'16. câmbio USD-BRL'!O767)^-1-1</f>
        <v>-9.2474158493318637E-3</v>
      </c>
    </row>
    <row r="973" spans="10:18" x14ac:dyDescent="0.2">
      <c r="J973" s="354">
        <v>43318</v>
      </c>
      <c r="K973">
        <v>9.11</v>
      </c>
      <c r="L973">
        <v>9.11</v>
      </c>
      <c r="M973">
        <v>7.6</v>
      </c>
      <c r="N973">
        <v>7.91</v>
      </c>
      <c r="O973">
        <v>6.7510750000000002</v>
      </c>
      <c r="P973">
        <v>101307000</v>
      </c>
      <c r="R973" s="273">
        <f>(O973/O972)*('16. câmbio USD-BRL'!O769/'16. câmbio USD-BRL'!O768)^-1-1</f>
        <v>-0.16086395573622447</v>
      </c>
    </row>
    <row r="974" spans="10:18" x14ac:dyDescent="0.2">
      <c r="J974" s="354">
        <v>43325</v>
      </c>
      <c r="K974">
        <v>8.0500000000000007</v>
      </c>
      <c r="L974">
        <v>8.2799999999999994</v>
      </c>
      <c r="M974">
        <v>7.75</v>
      </c>
      <c r="N974">
        <v>7.94</v>
      </c>
      <c r="O974">
        <v>6.7766799999999998</v>
      </c>
      <c r="P974">
        <v>74853800</v>
      </c>
      <c r="R974" s="273">
        <f>(O974/O973)*('16. câmbio USD-BRL'!O770/'16. câmbio USD-BRL'!O769)^-1-1</f>
        <v>-8.9180583690053883E-3</v>
      </c>
    </row>
    <row r="975" spans="10:18" x14ac:dyDescent="0.2">
      <c r="J975" s="354">
        <v>43332</v>
      </c>
      <c r="K975">
        <v>8.1</v>
      </c>
      <c r="L975">
        <v>8.43</v>
      </c>
      <c r="M975">
        <v>7.93</v>
      </c>
      <c r="N975">
        <v>8.16</v>
      </c>
      <c r="O975">
        <v>6.9644469999999998</v>
      </c>
      <c r="P975">
        <v>71556600</v>
      </c>
      <c r="R975" s="273">
        <f>(O975/O974)*('16. câmbio USD-BRL'!O771/'16. câmbio USD-BRL'!O770)^-1-1</f>
        <v>-2.3074040788446326E-2</v>
      </c>
    </row>
    <row r="976" spans="10:18" x14ac:dyDescent="0.2">
      <c r="J976" s="354">
        <v>43339</v>
      </c>
      <c r="K976">
        <v>8.1999999999999993</v>
      </c>
      <c r="L976">
        <v>8.4499999999999993</v>
      </c>
      <c r="M976">
        <v>8</v>
      </c>
      <c r="N976">
        <v>8.07</v>
      </c>
      <c r="O976">
        <v>6.8876330000000001</v>
      </c>
      <c r="P976">
        <v>50325900</v>
      </c>
      <c r="R976" s="273">
        <f>(O976/O975)*('16. câmbio USD-BRL'!O772/'16. câmbio USD-BRL'!O771)^-1-1</f>
        <v>3.2422923067840781E-3</v>
      </c>
    </row>
    <row r="977" spans="10:18" x14ac:dyDescent="0.2">
      <c r="J977" s="354">
        <v>43346</v>
      </c>
      <c r="K977">
        <v>8.07</v>
      </c>
      <c r="L977">
        <v>8.14</v>
      </c>
      <c r="M977">
        <v>7.8</v>
      </c>
      <c r="N977">
        <v>7.94</v>
      </c>
      <c r="O977">
        <v>6.7766799999999998</v>
      </c>
      <c r="P977">
        <v>39271600</v>
      </c>
      <c r="R977" s="273">
        <f>(O977/O976)*('16. câmbio USD-BRL'!O773/'16. câmbio USD-BRL'!O772)^-1-1</f>
        <v>-1.7151557336985812E-2</v>
      </c>
    </row>
    <row r="978" spans="10:18" x14ac:dyDescent="0.2">
      <c r="J978" s="354">
        <v>43353</v>
      </c>
      <c r="K978">
        <v>8.0500000000000007</v>
      </c>
      <c r="L978">
        <v>8.07</v>
      </c>
      <c r="M978">
        <v>6.96</v>
      </c>
      <c r="N978">
        <v>7</v>
      </c>
      <c r="O978">
        <v>5.9744029999999997</v>
      </c>
      <c r="P978">
        <v>66495300</v>
      </c>
      <c r="R978" s="273">
        <f>(O978/O977)*('16. câmbio USD-BRL'!O774/'16. câmbio USD-BRL'!O773)^-1-1</f>
        <v>-0.14918667975901168</v>
      </c>
    </row>
    <row r="979" spans="10:18" x14ac:dyDescent="0.2">
      <c r="J979" s="354">
        <v>43360</v>
      </c>
      <c r="K979">
        <v>6.95</v>
      </c>
      <c r="L979">
        <v>8.5500000000000007</v>
      </c>
      <c r="M979">
        <v>6.88</v>
      </c>
      <c r="N979">
        <v>8.48</v>
      </c>
      <c r="O979">
        <v>7.2375619999999996</v>
      </c>
      <c r="P979">
        <v>139184400</v>
      </c>
      <c r="R979" s="273">
        <f>(O979/O978)*('16. câmbio USD-BRL'!O775/'16. câmbio USD-BRL'!O774)^-1-1</f>
        <v>0.25800923541649556</v>
      </c>
    </row>
    <row r="980" spans="10:18" x14ac:dyDescent="0.2">
      <c r="J980" s="354">
        <v>43367</v>
      </c>
      <c r="K980">
        <v>8.44</v>
      </c>
      <c r="L980">
        <v>8.65</v>
      </c>
      <c r="M980">
        <v>8.0500000000000007</v>
      </c>
      <c r="N980">
        <v>8.32</v>
      </c>
      <c r="O980">
        <v>7.1010049999999998</v>
      </c>
      <c r="P980">
        <v>66025700</v>
      </c>
      <c r="R980" s="273">
        <f>(O980/O979)*('16. câmbio USD-BRL'!O776/'16. câmbio USD-BRL'!O775)^-1-1</f>
        <v>-1.855273072729513E-2</v>
      </c>
    </row>
    <row r="981" spans="10:18" x14ac:dyDescent="0.2">
      <c r="J981" s="354">
        <v>43374</v>
      </c>
      <c r="K981">
        <v>8.3800000000000008</v>
      </c>
      <c r="L981">
        <v>9.2100000000000009</v>
      </c>
      <c r="M981">
        <v>7.93</v>
      </c>
      <c r="N981">
        <v>9.02</v>
      </c>
      <c r="O981">
        <v>7.6984459999999997</v>
      </c>
      <c r="P981">
        <v>89454000</v>
      </c>
      <c r="R981" s="273">
        <f>(O981/O980)*('16. câmbio USD-BRL'!O777/'16. câmbio USD-BRL'!O776)^-1-1</f>
        <v>0.14455762672237293</v>
      </c>
    </row>
    <row r="982" spans="10:18" x14ac:dyDescent="0.2">
      <c r="J982" s="354">
        <v>43381</v>
      </c>
      <c r="K982">
        <v>9.5</v>
      </c>
      <c r="L982">
        <v>10.130000000000001</v>
      </c>
      <c r="M982">
        <v>9.1199999999999992</v>
      </c>
      <c r="N982">
        <v>9.31</v>
      </c>
      <c r="O982">
        <v>7.9459569999999999</v>
      </c>
      <c r="P982">
        <v>98604500</v>
      </c>
      <c r="R982" s="273">
        <f>(O982/O981)*('16. câmbio USD-BRL'!O778/'16. câmbio USD-BRL'!O777)^-1-1</f>
        <v>4.6562399575498459E-2</v>
      </c>
    </row>
    <row r="983" spans="10:18" x14ac:dyDescent="0.2">
      <c r="J983" s="354">
        <v>43388</v>
      </c>
      <c r="K983">
        <v>9.4700000000000006</v>
      </c>
      <c r="L983">
        <v>10.06</v>
      </c>
      <c r="M983">
        <v>9.4</v>
      </c>
      <c r="N983">
        <v>9.6999999999999993</v>
      </c>
      <c r="O983">
        <v>8.2788149999999998</v>
      </c>
      <c r="P983">
        <v>74442300</v>
      </c>
      <c r="R983" s="273">
        <f>(O983/O982)*('16. câmbio USD-BRL'!O779/'16. câmbio USD-BRL'!O778)^-1-1</f>
        <v>5.9029626853441375E-2</v>
      </c>
    </row>
    <row r="984" spans="10:18" x14ac:dyDescent="0.2">
      <c r="J984" s="354">
        <v>43395</v>
      </c>
      <c r="K984">
        <v>9.9</v>
      </c>
      <c r="L984">
        <v>10.56</v>
      </c>
      <c r="M984">
        <v>9.65</v>
      </c>
      <c r="N984">
        <v>10.06</v>
      </c>
      <c r="O984">
        <v>8.5860730000000007</v>
      </c>
      <c r="P984">
        <v>114358900</v>
      </c>
      <c r="R984" s="273">
        <f>(O984/O983)*('16. câmbio USD-BRL'!O780/'16. câmbio USD-BRL'!O779)^-1-1</f>
        <v>5.9556320870845614E-2</v>
      </c>
    </row>
    <row r="985" spans="10:18" x14ac:dyDescent="0.2">
      <c r="J985" s="354">
        <v>43402</v>
      </c>
      <c r="K985">
        <v>10.210000000000001</v>
      </c>
      <c r="L985">
        <v>10.7</v>
      </c>
      <c r="M985">
        <v>9.77</v>
      </c>
      <c r="N985">
        <v>10.119999999999999</v>
      </c>
      <c r="O985">
        <v>8.6372809999999998</v>
      </c>
      <c r="P985">
        <v>92284700</v>
      </c>
      <c r="R985" s="273">
        <f>(O985/O984)*('16. câmbio USD-BRL'!O781/'16. câmbio USD-BRL'!O780)^-1-1</f>
        <v>-8.279228387134685E-3</v>
      </c>
    </row>
    <row r="986" spans="10:18" x14ac:dyDescent="0.2">
      <c r="J986" s="354">
        <v>43409</v>
      </c>
      <c r="K986">
        <v>10.23</v>
      </c>
      <c r="L986">
        <v>10.27</v>
      </c>
      <c r="M986">
        <v>9.51</v>
      </c>
      <c r="N986">
        <v>10.02</v>
      </c>
      <c r="O986">
        <v>8.5519309999999997</v>
      </c>
      <c r="P986">
        <v>70783400</v>
      </c>
      <c r="R986" s="273">
        <f>(O986/O985)*('16. câmbio USD-BRL'!O782/'16. câmbio USD-BRL'!O781)^-1-1</f>
        <v>-2.0095005062696347E-2</v>
      </c>
    </row>
    <row r="987" spans="10:18" x14ac:dyDescent="0.2">
      <c r="J987" s="354">
        <v>43416</v>
      </c>
      <c r="K987">
        <v>10.050000000000001</v>
      </c>
      <c r="L987">
        <v>10.050000000000001</v>
      </c>
      <c r="M987">
        <v>9.0299999999999994</v>
      </c>
      <c r="N987">
        <v>9.7899999999999991</v>
      </c>
      <c r="O987">
        <v>8.3556299999999997</v>
      </c>
      <c r="P987">
        <v>66011600</v>
      </c>
      <c r="R987" s="273">
        <f>(O987/O986)*('16. câmbio USD-BRL'!O783/'16. câmbio USD-BRL'!O782)^-1-1</f>
        <v>-2.4574348976807769E-2</v>
      </c>
    </row>
    <row r="988" spans="10:18" x14ac:dyDescent="0.2">
      <c r="J988" s="354">
        <v>43423</v>
      </c>
      <c r="K988">
        <v>9.68</v>
      </c>
      <c r="L988">
        <v>9.68</v>
      </c>
      <c r="M988">
        <v>8.5399999999999991</v>
      </c>
      <c r="N988">
        <v>8.6199999999999992</v>
      </c>
      <c r="O988">
        <v>7.3570500000000001</v>
      </c>
      <c r="P988">
        <v>55645900</v>
      </c>
      <c r="R988" s="273">
        <f>(O988/O987)*('16. câmbio USD-BRL'!O784/'16. câmbio USD-BRL'!O783)^-1-1</f>
        <v>-0.13903892837906962</v>
      </c>
    </row>
    <row r="989" spans="10:18" x14ac:dyDescent="0.2">
      <c r="J989" s="354">
        <v>43430</v>
      </c>
      <c r="K989">
        <v>8.65</v>
      </c>
      <c r="L989">
        <v>9.44</v>
      </c>
      <c r="M989">
        <v>8.3699999999999992</v>
      </c>
      <c r="N989">
        <v>9.35</v>
      </c>
      <c r="O989">
        <v>7.9800969999999998</v>
      </c>
      <c r="P989">
        <v>91809000</v>
      </c>
      <c r="R989" s="273">
        <f>(O989/O988)*('16. câmbio USD-BRL'!O785/'16. câmbio USD-BRL'!O784)^-1-1</f>
        <v>7.3845534683721237E-2</v>
      </c>
    </row>
    <row r="990" spans="10:18" x14ac:dyDescent="0.2">
      <c r="J990" s="354">
        <v>43437</v>
      </c>
      <c r="K990">
        <v>9.81</v>
      </c>
      <c r="L990">
        <v>9.9</v>
      </c>
      <c r="M990">
        <v>8.9499999999999993</v>
      </c>
      <c r="N990">
        <v>9</v>
      </c>
      <c r="O990">
        <v>7.6813760000000002</v>
      </c>
      <c r="P990">
        <v>90133300</v>
      </c>
      <c r="R990" s="273">
        <f>(O990/O989)*('16. câmbio USD-BRL'!O786/'16. câmbio USD-BRL'!O785)^-1-1</f>
        <v>-4.1380031104438442E-2</v>
      </c>
    </row>
    <row r="991" spans="10:18" x14ac:dyDescent="0.2">
      <c r="J991" s="354">
        <v>43444</v>
      </c>
      <c r="K991">
        <v>9</v>
      </c>
      <c r="L991">
        <v>9.65</v>
      </c>
      <c r="M991">
        <v>8.57</v>
      </c>
      <c r="N991">
        <v>9.3800000000000008</v>
      </c>
      <c r="O991">
        <v>8.0057010000000002</v>
      </c>
      <c r="P991">
        <v>90473700</v>
      </c>
      <c r="R991" s="273">
        <f>(O991/O990)*('16. câmbio USD-BRL'!O787/'16. câmbio USD-BRL'!O786)^-1-1</f>
        <v>3.8766662104295246E-2</v>
      </c>
    </row>
    <row r="992" spans="10:18" x14ac:dyDescent="0.2">
      <c r="J992" s="354">
        <v>43451</v>
      </c>
      <c r="K992">
        <v>9.48</v>
      </c>
      <c r="L992">
        <v>9.99</v>
      </c>
      <c r="M992">
        <v>9.15</v>
      </c>
      <c r="N992">
        <v>9.2100000000000009</v>
      </c>
      <c r="O992">
        <v>7.8606090000000002</v>
      </c>
      <c r="P992">
        <v>98162100</v>
      </c>
      <c r="R992" s="273">
        <f>(O992/O991)*('16. câmbio USD-BRL'!O788/'16. câmbio USD-BRL'!O787)^-1-1</f>
        <v>-2.1142652757396907E-2</v>
      </c>
    </row>
    <row r="993" spans="10:18" x14ac:dyDescent="0.2">
      <c r="J993" s="354">
        <v>43458</v>
      </c>
      <c r="K993">
        <v>9.2100000000000009</v>
      </c>
      <c r="L993">
        <v>9.3000000000000007</v>
      </c>
      <c r="M993">
        <v>8.85</v>
      </c>
      <c r="N993">
        <v>9.2200000000000006</v>
      </c>
      <c r="O993">
        <v>7.8691430000000002</v>
      </c>
      <c r="P993">
        <v>38478500</v>
      </c>
      <c r="R993" s="273">
        <f>(O993/O992)*('16. câmbio USD-BRL'!O789/'16. câmbio USD-BRL'!O788)^-1-1</f>
        <v>6.9684864864072438E-3</v>
      </c>
    </row>
    <row r="994" spans="10:18" x14ac:dyDescent="0.2">
      <c r="J994" s="354">
        <v>43465</v>
      </c>
      <c r="K994">
        <v>9.2200000000000006</v>
      </c>
      <c r="L994">
        <v>10.220000000000001</v>
      </c>
      <c r="M994">
        <v>9.1199999999999992</v>
      </c>
      <c r="N994">
        <v>10.11</v>
      </c>
      <c r="O994">
        <v>8.6287439999999993</v>
      </c>
      <c r="P994">
        <v>69544700</v>
      </c>
      <c r="R994" s="273">
        <f>(O994/O993)*('16. câmbio USD-BRL'!O790/'16. câmbio USD-BRL'!O789)^-1-1</f>
        <v>0.14557141239027271</v>
      </c>
    </row>
    <row r="995" spans="10:18" x14ac:dyDescent="0.2">
      <c r="J995" s="354">
        <v>43472</v>
      </c>
      <c r="K995">
        <v>10.16</v>
      </c>
      <c r="L995">
        <v>10.38</v>
      </c>
      <c r="M995">
        <v>9.7200000000000006</v>
      </c>
      <c r="N995">
        <v>10.18</v>
      </c>
      <c r="O995">
        <v>8.6884890000000006</v>
      </c>
      <c r="P995">
        <v>79329400</v>
      </c>
      <c r="R995" s="273">
        <f>(O995/O994)*('16. câmbio USD-BRL'!O791/'16. câmbio USD-BRL'!O790)^-1-1</f>
        <v>7.982470941291897E-3</v>
      </c>
    </row>
    <row r="996" spans="10:18" x14ac:dyDescent="0.2">
      <c r="J996" s="354">
        <v>43479</v>
      </c>
      <c r="K996">
        <v>9.9499999999999993</v>
      </c>
      <c r="L996">
        <v>10.16</v>
      </c>
      <c r="M996">
        <v>9.6199999999999992</v>
      </c>
      <c r="N996">
        <v>9.94</v>
      </c>
      <c r="O996">
        <v>8.5504909999999992</v>
      </c>
      <c r="P996">
        <v>83169900</v>
      </c>
      <c r="R996" s="273">
        <f>(O996/O995)*('16. câmbio USD-BRL'!O792/'16. câmbio USD-BRL'!O791)^-1-1</f>
        <v>-2.6120675154406525E-2</v>
      </c>
    </row>
    <row r="997" spans="10:18" x14ac:dyDescent="0.2">
      <c r="J997" s="354">
        <v>43486</v>
      </c>
      <c r="K997">
        <v>9.9499999999999993</v>
      </c>
      <c r="L997">
        <v>10.119999999999999</v>
      </c>
      <c r="M997">
        <v>9.6300000000000008</v>
      </c>
      <c r="N997">
        <v>9.8000000000000007</v>
      </c>
      <c r="O997">
        <v>8.4300630000000005</v>
      </c>
      <c r="P997">
        <v>75572300</v>
      </c>
      <c r="R997" s="273">
        <f>(O997/O996)*('16. câmbio USD-BRL'!O793/'16. câmbio USD-BRL'!O792)^-1-1</f>
        <v>-1.9498294885422096E-2</v>
      </c>
    </row>
    <row r="998" spans="10:18" x14ac:dyDescent="0.2">
      <c r="J998" s="354">
        <v>43493</v>
      </c>
      <c r="K998">
        <v>9.6</v>
      </c>
      <c r="L998">
        <v>10.11</v>
      </c>
      <c r="M998">
        <v>9.5299999999999994</v>
      </c>
      <c r="N998">
        <v>9.69</v>
      </c>
      <c r="O998">
        <v>8.3354400000000002</v>
      </c>
      <c r="P998">
        <v>91033600</v>
      </c>
      <c r="R998" s="273">
        <f>(O998/O997)*('16. câmbio USD-BRL'!O794/'16. câmbio USD-BRL'!O793)^-1-1</f>
        <v>1.8858003191991379E-2</v>
      </c>
    </row>
    <row r="999" spans="10:18" x14ac:dyDescent="0.2">
      <c r="J999" s="354">
        <v>43500</v>
      </c>
      <c r="K999">
        <v>9.69</v>
      </c>
      <c r="L999">
        <v>9.8699999999999992</v>
      </c>
      <c r="M999">
        <v>9.25</v>
      </c>
      <c r="N999">
        <v>9.6199999999999992</v>
      </c>
      <c r="O999">
        <v>8.2752250000000007</v>
      </c>
      <c r="P999">
        <v>81648300</v>
      </c>
      <c r="R999" s="273">
        <f>(O999/O998)*('16. câmbio USD-BRL'!O795/'16. câmbio USD-BRL'!O794)^-1-1</f>
        <v>-2.5942032740782994E-2</v>
      </c>
    </row>
    <row r="1000" spans="10:18" x14ac:dyDescent="0.2">
      <c r="J1000" s="354">
        <v>43507</v>
      </c>
      <c r="K1000">
        <v>9.6999999999999993</v>
      </c>
      <c r="L1000">
        <v>9.74</v>
      </c>
      <c r="M1000">
        <v>9.3800000000000008</v>
      </c>
      <c r="N1000">
        <v>9.4</v>
      </c>
      <c r="O1000">
        <v>8.085979</v>
      </c>
      <c r="P1000">
        <v>67590500</v>
      </c>
      <c r="R1000" s="273">
        <f>(O1000/O999)*('16. câmbio USD-BRL'!O796/'16. câmbio USD-BRL'!O795)^-1-1</f>
        <v>-1.5049824032059123E-2</v>
      </c>
    </row>
    <row r="1001" spans="10:18" x14ac:dyDescent="0.2">
      <c r="J1001" s="354">
        <v>43514</v>
      </c>
      <c r="K1001">
        <v>9.4</v>
      </c>
      <c r="L1001">
        <v>9.99</v>
      </c>
      <c r="M1001">
        <v>9.16</v>
      </c>
      <c r="N1001">
        <v>9.92</v>
      </c>
      <c r="O1001">
        <v>8.5332880000000007</v>
      </c>
      <c r="P1001">
        <v>72188300</v>
      </c>
      <c r="R1001" s="273">
        <f>(O1001/O1000)*('16. câmbio USD-BRL'!O797/'16. câmbio USD-BRL'!O796)^-1-1</f>
        <v>4.2774225695768386E-2</v>
      </c>
    </row>
    <row r="1002" spans="10:18" x14ac:dyDescent="0.2">
      <c r="J1002" s="354">
        <v>43521</v>
      </c>
      <c r="K1002">
        <v>10</v>
      </c>
      <c r="L1002">
        <v>10.3</v>
      </c>
      <c r="M1002">
        <v>9.6</v>
      </c>
      <c r="N1002">
        <v>9.6999999999999993</v>
      </c>
      <c r="O1002">
        <v>8.3440410000000007</v>
      </c>
      <c r="P1002">
        <v>70209000</v>
      </c>
      <c r="R1002" s="273">
        <f>(O1002/O1001)*('16. câmbio USD-BRL'!O798/'16. câmbio USD-BRL'!O797)^-1-1</f>
        <v>-2.9745665865341109E-2</v>
      </c>
    </row>
    <row r="1003" spans="10:18" x14ac:dyDescent="0.2">
      <c r="J1003" s="354">
        <v>43528</v>
      </c>
      <c r="K1003">
        <v>9.6999999999999993</v>
      </c>
      <c r="L1003">
        <v>9.77</v>
      </c>
      <c r="M1003">
        <v>9.4700000000000006</v>
      </c>
      <c r="N1003">
        <v>9.67</v>
      </c>
      <c r="O1003">
        <v>8.3182349999999996</v>
      </c>
      <c r="P1003">
        <v>19864200</v>
      </c>
      <c r="R1003" s="273">
        <f>(O1003/O1002)*('16. câmbio USD-BRL'!O799/'16. câmbio USD-BRL'!O798)^-1-1</f>
        <v>-2.7679740206681847E-2</v>
      </c>
    </row>
    <row r="1004" spans="10:18" x14ac:dyDescent="0.2">
      <c r="J1004" s="354">
        <v>43535</v>
      </c>
      <c r="K1004">
        <v>9.7200000000000006</v>
      </c>
      <c r="L1004">
        <v>10.62</v>
      </c>
      <c r="M1004">
        <v>9.6999999999999993</v>
      </c>
      <c r="N1004">
        <v>10.15</v>
      </c>
      <c r="O1004">
        <v>8.7311370000000004</v>
      </c>
      <c r="P1004">
        <v>79449800</v>
      </c>
      <c r="R1004" s="273">
        <f>(O1004/O1003)*('16. câmbio USD-BRL'!O800/'16. câmbio USD-BRL'!O799)^-1-1</f>
        <v>5.7181466623775545E-2</v>
      </c>
    </row>
    <row r="1005" spans="10:18" x14ac:dyDescent="0.2">
      <c r="J1005" s="354">
        <v>43542</v>
      </c>
      <c r="K1005">
        <v>10.25</v>
      </c>
      <c r="L1005">
        <v>11.22</v>
      </c>
      <c r="M1005">
        <v>9.98</v>
      </c>
      <c r="N1005">
        <v>10.039999999999999</v>
      </c>
      <c r="O1005">
        <v>8.636514</v>
      </c>
      <c r="P1005">
        <v>98287200</v>
      </c>
      <c r="R1005" s="273">
        <f>(O1005/O1004)*('16. câmbio USD-BRL'!O801/'16. câmbio USD-BRL'!O800)^-1-1</f>
        <v>-2.7424759872337612E-2</v>
      </c>
    </row>
    <row r="1006" spans="10:18" x14ac:dyDescent="0.2">
      <c r="J1006" s="354">
        <v>43549</v>
      </c>
      <c r="K1006">
        <v>9.98</v>
      </c>
      <c r="L1006">
        <v>10.45</v>
      </c>
      <c r="M1006">
        <v>9.41</v>
      </c>
      <c r="N1006">
        <v>10.039999999999999</v>
      </c>
      <c r="O1006">
        <v>8.636514</v>
      </c>
      <c r="P1006">
        <v>82894900</v>
      </c>
      <c r="R1006" s="273">
        <f>(O1006/O1005)*('16. câmbio USD-BRL'!O802/'16. câmbio USD-BRL'!O801)^-1-1</f>
        <v>-3.9779681762546204E-3</v>
      </c>
    </row>
    <row r="1007" spans="10:18" x14ac:dyDescent="0.2">
      <c r="J1007" s="354">
        <v>43556</v>
      </c>
      <c r="K1007">
        <v>10.3</v>
      </c>
      <c r="L1007">
        <v>10.41</v>
      </c>
      <c r="M1007">
        <v>9.5500000000000007</v>
      </c>
      <c r="N1007">
        <v>9.64</v>
      </c>
      <c r="O1007">
        <v>8.2924290000000003</v>
      </c>
      <c r="P1007">
        <v>91969900</v>
      </c>
      <c r="R1007" s="273">
        <f>(O1007/O1006)*('16. câmbio USD-BRL'!O803/'16. câmbio USD-BRL'!O802)^-1-1</f>
        <v>-2.3480742910831243E-2</v>
      </c>
    </row>
    <row r="1008" spans="10:18" x14ac:dyDescent="0.2">
      <c r="J1008" s="354">
        <v>43563</v>
      </c>
      <c r="K1008">
        <v>9.6</v>
      </c>
      <c r="L1008">
        <v>9.6199999999999992</v>
      </c>
      <c r="M1008">
        <v>9.14</v>
      </c>
      <c r="N1008">
        <v>9.18</v>
      </c>
      <c r="O1008">
        <v>7.8967320000000001</v>
      </c>
      <c r="P1008">
        <v>59827000</v>
      </c>
      <c r="R1008" s="273">
        <f>(O1008/O1007)*('16. câmbio USD-BRL'!O804/'16. câmbio USD-BRL'!O803)^-1-1</f>
        <v>-5.1750978009341364E-2</v>
      </c>
    </row>
    <row r="1009" spans="10:18" x14ac:dyDescent="0.2">
      <c r="J1009" s="354">
        <v>43570</v>
      </c>
      <c r="K1009">
        <v>9.2799999999999994</v>
      </c>
      <c r="L1009">
        <v>9.34</v>
      </c>
      <c r="M1009">
        <v>8.7799999999999994</v>
      </c>
      <c r="N1009">
        <v>9.02</v>
      </c>
      <c r="O1009">
        <v>7.759099</v>
      </c>
      <c r="P1009">
        <v>52067700</v>
      </c>
      <c r="R1009" s="273">
        <f>(O1009/O1008)*('16. câmbio USD-BRL'!O805/'16. câmbio USD-BRL'!O804)^-1-1</f>
        <v>-3.1041520213284768E-2</v>
      </c>
    </row>
    <row r="1010" spans="10:18" x14ac:dyDescent="0.2">
      <c r="J1010" s="354">
        <v>43577</v>
      </c>
      <c r="K1010">
        <v>9.08</v>
      </c>
      <c r="L1010">
        <v>9.09</v>
      </c>
      <c r="M1010">
        <v>8.48</v>
      </c>
      <c r="N1010">
        <v>8.61</v>
      </c>
      <c r="O1010">
        <v>7.4064129999999997</v>
      </c>
      <c r="P1010">
        <v>49778600</v>
      </c>
      <c r="R1010" s="273">
        <f>(O1010/O1009)*('16. câmbio USD-BRL'!O806/'16. câmbio USD-BRL'!O805)^-1-1</f>
        <v>-4.5867580341087177E-2</v>
      </c>
    </row>
    <row r="1011" spans="10:18" x14ac:dyDescent="0.2">
      <c r="J1011" s="354">
        <v>43584</v>
      </c>
      <c r="K1011">
        <v>8.66</v>
      </c>
      <c r="L1011">
        <v>8.92</v>
      </c>
      <c r="M1011">
        <v>8.4499999999999993</v>
      </c>
      <c r="N1011">
        <v>8.8699999999999992</v>
      </c>
      <c r="O1011">
        <v>7.6895280000000001</v>
      </c>
      <c r="P1011">
        <v>38748000</v>
      </c>
      <c r="R1011" s="273">
        <f>(O1011/O1010)*('16. câmbio USD-BRL'!O807/'16. câmbio USD-BRL'!O806)^-1-1</f>
        <v>2.8330812717535236E-2</v>
      </c>
    </row>
    <row r="1012" spans="10:18" x14ac:dyDescent="0.2">
      <c r="J1012" s="354">
        <v>43591</v>
      </c>
      <c r="K1012">
        <v>8.68</v>
      </c>
      <c r="L1012">
        <v>9.02</v>
      </c>
      <c r="M1012">
        <v>8.4</v>
      </c>
      <c r="N1012">
        <v>8.43</v>
      </c>
      <c r="O1012">
        <v>7.3080850000000002</v>
      </c>
      <c r="P1012">
        <v>59149900</v>
      </c>
      <c r="R1012" s="273">
        <f>(O1012/O1011)*('16. câmbio USD-BRL'!O808/'16. câmbio USD-BRL'!O807)^-1-1</f>
        <v>-4.4595071570454836E-2</v>
      </c>
    </row>
    <row r="1013" spans="10:18" x14ac:dyDescent="0.2">
      <c r="J1013" s="354">
        <v>43598</v>
      </c>
      <c r="K1013">
        <v>8.33</v>
      </c>
      <c r="L1013">
        <v>8.35</v>
      </c>
      <c r="M1013">
        <v>7.7</v>
      </c>
      <c r="N1013">
        <v>7.89</v>
      </c>
      <c r="O1013">
        <v>6.8399520000000003</v>
      </c>
      <c r="P1013">
        <v>54502000</v>
      </c>
      <c r="R1013" s="273">
        <f>(O1013/O1012)*('16. câmbio USD-BRL'!O809/'16. câmbio USD-BRL'!O808)^-1-1</f>
        <v>-8.7373324965641874E-2</v>
      </c>
    </row>
    <row r="1014" spans="10:18" x14ac:dyDescent="0.2">
      <c r="J1014" s="354">
        <v>43605</v>
      </c>
      <c r="K1014">
        <v>7.94</v>
      </c>
      <c r="L1014">
        <v>8.57</v>
      </c>
      <c r="M1014">
        <v>7.86</v>
      </c>
      <c r="N1014">
        <v>8.1999999999999993</v>
      </c>
      <c r="O1014">
        <v>7.1086939999999998</v>
      </c>
      <c r="P1014">
        <v>48578800</v>
      </c>
      <c r="R1014" s="273">
        <f>(O1014/O1013)*('16. câmbio USD-BRL'!O810/'16. câmbio USD-BRL'!O809)^-1-1</f>
        <v>4.6401912841734338E-2</v>
      </c>
    </row>
    <row r="1015" spans="10:18" x14ac:dyDescent="0.2">
      <c r="J1015" s="354">
        <v>43612</v>
      </c>
      <c r="K1015">
        <v>8.32</v>
      </c>
      <c r="L1015">
        <v>8.56</v>
      </c>
      <c r="M1015">
        <v>8.1300000000000008</v>
      </c>
      <c r="N1015">
        <v>8.1999999999999993</v>
      </c>
      <c r="O1015">
        <v>7.1086939999999998</v>
      </c>
      <c r="P1015">
        <v>41552600</v>
      </c>
      <c r="R1015" s="273">
        <f>(O1015/O1014)*('16. câmbio USD-BRL'!O811/'16. câmbio USD-BRL'!O810)^-1-1</f>
        <v>9.7236180904523017E-3</v>
      </c>
    </row>
    <row r="1016" spans="10:18" x14ac:dyDescent="0.2">
      <c r="J1016" s="354">
        <v>43619</v>
      </c>
      <c r="K1016">
        <v>8.27</v>
      </c>
      <c r="L1016">
        <v>8.6</v>
      </c>
      <c r="M1016">
        <v>7.93</v>
      </c>
      <c r="N1016">
        <v>8.6</v>
      </c>
      <c r="O1016">
        <v>7.4554619999999998</v>
      </c>
      <c r="P1016">
        <v>50962100</v>
      </c>
      <c r="R1016" s="273">
        <f>(O1016/O1015)*('16. câmbio USD-BRL'!O812/'16. câmbio USD-BRL'!O811)^-1-1</f>
        <v>7.625508122396818E-2</v>
      </c>
    </row>
    <row r="1017" spans="10:18" x14ac:dyDescent="0.2">
      <c r="J1017" s="354">
        <v>43626</v>
      </c>
      <c r="K1017">
        <v>8.5399999999999991</v>
      </c>
      <c r="L1017">
        <v>9.07</v>
      </c>
      <c r="M1017">
        <v>8.5299999999999994</v>
      </c>
      <c r="N1017">
        <v>8.66</v>
      </c>
      <c r="O1017">
        <v>7.5074750000000003</v>
      </c>
      <c r="P1017">
        <v>62657600</v>
      </c>
      <c r="R1017" s="273">
        <f>(O1017/O1016)*('16. câmbio USD-BRL'!O813/'16. câmbio USD-BRL'!O812)^-1-1</f>
        <v>2.6848887443464697E-3</v>
      </c>
    </row>
    <row r="1018" spans="10:18" x14ac:dyDescent="0.2">
      <c r="J1018" s="354">
        <v>43633</v>
      </c>
      <c r="K1018">
        <v>8.64</v>
      </c>
      <c r="L1018">
        <v>8.9</v>
      </c>
      <c r="M1018">
        <v>8.5299999999999994</v>
      </c>
      <c r="N1018">
        <v>8.69</v>
      </c>
      <c r="O1018">
        <v>7.5334820000000002</v>
      </c>
      <c r="P1018">
        <v>39777600</v>
      </c>
      <c r="R1018" s="273">
        <f>(O1018/O1017)*('16. câmbio USD-BRL'!O814/'16. câmbio USD-BRL'!O813)^-1-1</f>
        <v>1.8446687891721325E-2</v>
      </c>
    </row>
    <row r="1019" spans="10:18" x14ac:dyDescent="0.2">
      <c r="J1019" s="354">
        <v>43640</v>
      </c>
      <c r="K1019">
        <v>8.69</v>
      </c>
      <c r="L1019">
        <v>9</v>
      </c>
      <c r="M1019">
        <v>8.43</v>
      </c>
      <c r="N1019">
        <v>8.94</v>
      </c>
      <c r="O1019">
        <v>7.7502110000000002</v>
      </c>
      <c r="P1019">
        <v>49674800</v>
      </c>
      <c r="R1019" s="273">
        <f>(O1019/O1018)*('16. câmbio USD-BRL'!O815/'16. câmbio USD-BRL'!O814)^-1-1</f>
        <v>3.4618947339418948E-2</v>
      </c>
    </row>
    <row r="1020" spans="10:18" x14ac:dyDescent="0.2">
      <c r="J1020" s="354">
        <v>43647</v>
      </c>
      <c r="K1020">
        <v>9.08</v>
      </c>
      <c r="L1020">
        <v>9.74</v>
      </c>
      <c r="M1020">
        <v>8.66</v>
      </c>
      <c r="N1020">
        <v>9.68</v>
      </c>
      <c r="O1020">
        <v>8.3917269999999995</v>
      </c>
      <c r="P1020">
        <v>81841400</v>
      </c>
      <c r="R1020" s="273">
        <f>(O1020/O1019)*('16. câmbio USD-BRL'!O816/'16. câmbio USD-BRL'!O815)^-1-1</f>
        <v>8.1498652291185358E-2</v>
      </c>
    </row>
    <row r="1021" spans="10:18" x14ac:dyDescent="0.2">
      <c r="J1021" s="354">
        <v>43654</v>
      </c>
      <c r="K1021">
        <v>9.75</v>
      </c>
      <c r="L1021">
        <v>9.81</v>
      </c>
      <c r="M1021">
        <v>9.3699999999999992</v>
      </c>
      <c r="N1021">
        <v>9.43</v>
      </c>
      <c r="O1021">
        <v>8.1852739999999997</v>
      </c>
      <c r="P1021">
        <v>49137000</v>
      </c>
      <c r="R1021" s="273">
        <f>(O1021/O1020)*('16. câmbio USD-BRL'!O817/'16. câmbio USD-BRL'!O816)^-1-1</f>
        <v>-2.7808662648753923E-3</v>
      </c>
    </row>
    <row r="1022" spans="10:18" x14ac:dyDescent="0.2">
      <c r="J1022" s="354">
        <v>43661</v>
      </c>
      <c r="K1022">
        <v>9.51</v>
      </c>
      <c r="L1022">
        <v>9.56</v>
      </c>
      <c r="M1022">
        <v>9.3000000000000007</v>
      </c>
      <c r="N1022">
        <v>9.3800000000000008</v>
      </c>
      <c r="O1022">
        <v>8.1418730000000004</v>
      </c>
      <c r="P1022">
        <v>36970600</v>
      </c>
      <c r="R1022" s="273">
        <f>(O1022/O1021)*('16. câmbio USD-BRL'!O818/'16. câmbio USD-BRL'!O817)^-1-1</f>
        <v>-7.9040932209666348E-3</v>
      </c>
    </row>
    <row r="1023" spans="10:18" x14ac:dyDescent="0.2">
      <c r="J1023" s="354">
        <v>43668</v>
      </c>
      <c r="K1023">
        <v>9.39</v>
      </c>
      <c r="L1023">
        <v>9.44</v>
      </c>
      <c r="M1023">
        <v>8.61</v>
      </c>
      <c r="N1023">
        <v>8.82</v>
      </c>
      <c r="O1023">
        <v>7.6557919999999999</v>
      </c>
      <c r="P1023">
        <v>67122600</v>
      </c>
      <c r="R1023" s="273">
        <f>(O1023/O1022)*('16. câmbio USD-BRL'!O819/'16. câmbio USD-BRL'!O818)^-1-1</f>
        <v>-6.6799940572552341E-2</v>
      </c>
    </row>
    <row r="1024" spans="10:18" x14ac:dyDescent="0.2">
      <c r="J1024" s="354">
        <v>43675</v>
      </c>
      <c r="K1024">
        <v>8.8699999999999992</v>
      </c>
      <c r="L1024">
        <v>8.98</v>
      </c>
      <c r="M1024">
        <v>8.33</v>
      </c>
      <c r="N1024">
        <v>8.5</v>
      </c>
      <c r="O1024">
        <v>7.378031</v>
      </c>
      <c r="P1024">
        <v>45056700</v>
      </c>
      <c r="R1024" s="273">
        <f>(O1024/O1023)*('16. câmbio USD-BRL'!O820/'16. câmbio USD-BRL'!O819)^-1-1</f>
        <v>-5.1877264767492548E-2</v>
      </c>
    </row>
    <row r="1025" spans="10:18" x14ac:dyDescent="0.2">
      <c r="J1025" s="354">
        <v>43682</v>
      </c>
      <c r="K1025">
        <v>8.3800000000000008</v>
      </c>
      <c r="L1025">
        <v>8.42</v>
      </c>
      <c r="M1025">
        <v>7.95</v>
      </c>
      <c r="N1025">
        <v>8.1</v>
      </c>
      <c r="O1025">
        <v>7.0308299999999999</v>
      </c>
      <c r="P1025">
        <v>59624600</v>
      </c>
      <c r="R1025" s="273">
        <f>(O1025/O1024)*('16. câmbio USD-BRL'!O821/'16. câmbio USD-BRL'!O820)^-1-1</f>
        <v>-6.6591429675352365E-2</v>
      </c>
    </row>
    <row r="1026" spans="10:18" x14ac:dyDescent="0.2">
      <c r="J1026" s="354">
        <v>43689</v>
      </c>
      <c r="K1026">
        <v>7.95</v>
      </c>
      <c r="L1026">
        <v>8.1999999999999993</v>
      </c>
      <c r="M1026">
        <v>7.26</v>
      </c>
      <c r="N1026">
        <v>7.3</v>
      </c>
      <c r="O1026">
        <v>6.3364269999999996</v>
      </c>
      <c r="P1026">
        <v>63993500</v>
      </c>
      <c r="R1026" s="273">
        <f>(O1026/O1025)*('16. câmbio USD-BRL'!O822/'16. câmbio USD-BRL'!O821)^-1-1</f>
        <v>-0.11514084294310256</v>
      </c>
    </row>
    <row r="1027" spans="10:18" x14ac:dyDescent="0.2">
      <c r="J1027" s="354">
        <v>43696</v>
      </c>
      <c r="K1027">
        <v>7.39</v>
      </c>
      <c r="L1027">
        <v>7.66</v>
      </c>
      <c r="M1027">
        <v>6.93</v>
      </c>
      <c r="N1027">
        <v>7.23</v>
      </c>
      <c r="O1027">
        <v>6.2756660000000002</v>
      </c>
      <c r="P1027">
        <v>65881800</v>
      </c>
      <c r="R1027" s="273">
        <f>(O1027/O1026)*('16. câmbio USD-BRL'!O823/'16. câmbio USD-BRL'!O822)^-1-1</f>
        <v>-4.0513195802283741E-2</v>
      </c>
    </row>
    <row r="1028" spans="10:18" x14ac:dyDescent="0.2">
      <c r="J1028" s="354">
        <v>43703</v>
      </c>
      <c r="K1028">
        <v>7.3</v>
      </c>
      <c r="L1028">
        <v>7.9</v>
      </c>
      <c r="M1028">
        <v>6.87</v>
      </c>
      <c r="N1028">
        <v>7.9</v>
      </c>
      <c r="O1028">
        <v>6.8572290000000002</v>
      </c>
      <c r="P1028">
        <v>71960700</v>
      </c>
      <c r="R1028" s="273">
        <f>(O1028/O1027)*('16. câmbio USD-BRL'!O824/'16. câmbio USD-BRL'!O823)^-1-1</f>
        <v>7.9719291995509201E-2</v>
      </c>
    </row>
    <row r="1029" spans="10:18" x14ac:dyDescent="0.2">
      <c r="J1029" s="354">
        <v>43710</v>
      </c>
      <c r="K1029">
        <v>7.94</v>
      </c>
      <c r="L1029">
        <v>7.99</v>
      </c>
      <c r="M1029">
        <v>7.55</v>
      </c>
      <c r="N1029">
        <v>7.67</v>
      </c>
      <c r="O1029">
        <v>6.6575879999999996</v>
      </c>
      <c r="P1029">
        <v>47238300</v>
      </c>
      <c r="R1029" s="273">
        <f>(O1029/O1028)*('16. câmbio USD-BRL'!O825/'16. câmbio USD-BRL'!O824)^-1-1</f>
        <v>-3.3616987178274327E-3</v>
      </c>
    </row>
    <row r="1030" spans="10:18" x14ac:dyDescent="0.2">
      <c r="J1030" s="354">
        <v>43717</v>
      </c>
      <c r="K1030">
        <v>7.7</v>
      </c>
      <c r="L1030">
        <v>8.49</v>
      </c>
      <c r="M1030">
        <v>7.68</v>
      </c>
      <c r="N1030">
        <v>8.1300000000000008</v>
      </c>
      <c r="O1030">
        <v>7.05687</v>
      </c>
      <c r="P1030">
        <v>74111500</v>
      </c>
      <c r="R1030" s="273">
        <f>(O1030/O1029)*('16. câmbio USD-BRL'!O826/'16. câmbio USD-BRL'!O825)^-1-1</f>
        <v>5.3951983094739475E-2</v>
      </c>
    </row>
    <row r="1031" spans="10:18" x14ac:dyDescent="0.2">
      <c r="J1031" s="354">
        <v>43724</v>
      </c>
      <c r="K1031">
        <v>8.1</v>
      </c>
      <c r="L1031">
        <v>8.48</v>
      </c>
      <c r="M1031">
        <v>8</v>
      </c>
      <c r="N1031">
        <v>8.1300000000000008</v>
      </c>
      <c r="O1031">
        <v>7.05687</v>
      </c>
      <c r="P1031">
        <v>49477300</v>
      </c>
      <c r="R1031" s="273">
        <f>(O1031/O1030)*('16. câmbio USD-BRL'!O827/'16. câmbio USD-BRL'!O826)^-1-1</f>
        <v>-1.9920318725099584E-2</v>
      </c>
    </row>
    <row r="1032" spans="10:18" x14ac:dyDescent="0.2">
      <c r="J1032" s="354">
        <v>43731</v>
      </c>
      <c r="K1032">
        <v>8.1</v>
      </c>
      <c r="L1032">
        <v>8.23</v>
      </c>
      <c r="M1032">
        <v>7.77</v>
      </c>
      <c r="N1032">
        <v>8</v>
      </c>
      <c r="O1032">
        <v>6.9440289999999996</v>
      </c>
      <c r="P1032">
        <v>46337000</v>
      </c>
      <c r="R1032" s="273">
        <f>(O1032/O1031)*('16. câmbio USD-BRL'!O828/'16. câmbio USD-BRL'!O827)^-1-1</f>
        <v>-1.3860137445834919E-2</v>
      </c>
    </row>
    <row r="1033" spans="10:18" x14ac:dyDescent="0.2">
      <c r="J1033" s="354">
        <v>43738</v>
      </c>
      <c r="K1033">
        <v>7.98</v>
      </c>
      <c r="L1033">
        <v>7.98</v>
      </c>
      <c r="M1033">
        <v>7.35</v>
      </c>
      <c r="N1033">
        <v>7.59</v>
      </c>
      <c r="O1033">
        <v>6.5881470000000002</v>
      </c>
      <c r="P1033">
        <v>61192800</v>
      </c>
      <c r="R1033" s="273">
        <f>(O1033/O1032)*('16. câmbio USD-BRL'!O829/'16. câmbio USD-BRL'!O828)^-1-1</f>
        <v>-2.7388625011748879E-2</v>
      </c>
    </row>
    <row r="1034" spans="10:18" x14ac:dyDescent="0.2">
      <c r="J1034" s="354">
        <v>43745</v>
      </c>
      <c r="K1034">
        <v>7.51</v>
      </c>
      <c r="L1034">
        <v>7.77</v>
      </c>
      <c r="M1034">
        <v>7.25</v>
      </c>
      <c r="N1034">
        <v>7.67</v>
      </c>
      <c r="O1034">
        <v>6.6575879999999996</v>
      </c>
      <c r="P1034">
        <v>60809900</v>
      </c>
      <c r="R1034" s="273">
        <f>(O1034/O1033)*('16. câmbio USD-BRL'!O830/'16. câmbio USD-BRL'!O829)^-1-1</f>
        <v>-2.7624370462263625E-3</v>
      </c>
    </row>
    <row r="1035" spans="10:18" x14ac:dyDescent="0.2">
      <c r="J1035" s="354">
        <v>43752</v>
      </c>
      <c r="K1035">
        <v>7.6</v>
      </c>
      <c r="L1035">
        <v>7.82</v>
      </c>
      <c r="M1035">
        <v>7.51</v>
      </c>
      <c r="N1035">
        <v>7.58</v>
      </c>
      <c r="O1035">
        <v>6.5794670000000002</v>
      </c>
      <c r="P1035">
        <v>45580700</v>
      </c>
      <c r="R1035" s="273">
        <f>(O1035/O1034)*('16. câmbio USD-BRL'!O831/'16. câmbio USD-BRL'!O830)^-1-1</f>
        <v>-2.3941686611879676E-2</v>
      </c>
    </row>
    <row r="1036" spans="10:18" x14ac:dyDescent="0.2">
      <c r="J1036" s="354">
        <v>43759</v>
      </c>
      <c r="K1036">
        <v>7.64</v>
      </c>
      <c r="L1036">
        <v>7.7</v>
      </c>
      <c r="M1036">
        <v>7.15</v>
      </c>
      <c r="N1036">
        <v>7.23</v>
      </c>
      <c r="O1036">
        <v>6.2756660000000002</v>
      </c>
      <c r="P1036">
        <v>86465900</v>
      </c>
      <c r="R1036" s="273">
        <f>(O1036/O1035)*('16. câmbio USD-BRL'!O832/'16. câmbio USD-BRL'!O831)^-1-1</f>
        <v>-8.5023902700397391E-3</v>
      </c>
    </row>
    <row r="1037" spans="10:18" x14ac:dyDescent="0.2">
      <c r="J1037" s="354">
        <v>43766</v>
      </c>
      <c r="K1037">
        <v>7.25</v>
      </c>
      <c r="L1037">
        <v>7.49</v>
      </c>
      <c r="M1037">
        <v>7.12</v>
      </c>
      <c r="N1037">
        <v>7.42</v>
      </c>
      <c r="O1037">
        <v>6.4405869999999998</v>
      </c>
      <c r="P1037">
        <v>54385200</v>
      </c>
      <c r="R1037" s="273">
        <f>(O1037/O1036)*('16. câmbio USD-BRL'!O833/'16. câmbio USD-BRL'!O832)^-1-1</f>
        <v>3.0113739852573929E-2</v>
      </c>
    </row>
    <row r="1038" spans="10:18" x14ac:dyDescent="0.2">
      <c r="J1038" s="354">
        <v>43773</v>
      </c>
      <c r="K1038">
        <v>7.45</v>
      </c>
      <c r="L1038">
        <v>8.3000000000000007</v>
      </c>
      <c r="M1038">
        <v>7.41</v>
      </c>
      <c r="N1038">
        <v>8.01</v>
      </c>
      <c r="O1038">
        <v>6.9527099999999997</v>
      </c>
      <c r="P1038">
        <v>94093700</v>
      </c>
      <c r="R1038" s="273">
        <f>(O1038/O1037)*('16. câmbio USD-BRL'!O834/'16. câmbio USD-BRL'!O833)^-1-1</f>
        <v>5.018016856381502E-2</v>
      </c>
    </row>
    <row r="1039" spans="10:18" x14ac:dyDescent="0.2">
      <c r="J1039" s="354">
        <v>43780</v>
      </c>
      <c r="K1039">
        <v>7.91</v>
      </c>
      <c r="L1039">
        <v>8.0399999999999991</v>
      </c>
      <c r="M1039">
        <v>7.55</v>
      </c>
      <c r="N1039">
        <v>7.59</v>
      </c>
      <c r="O1039">
        <v>6.5881470000000002</v>
      </c>
      <c r="P1039">
        <v>50002800</v>
      </c>
      <c r="R1039" s="273">
        <f>(O1039/O1038)*('16. câmbio USD-BRL'!O835/'16. câmbio USD-BRL'!O834)^-1-1</f>
        <v>-7.3560289816837154E-2</v>
      </c>
    </row>
    <row r="1040" spans="10:18" x14ac:dyDescent="0.2">
      <c r="J1040" s="354">
        <v>43787</v>
      </c>
      <c r="K1040">
        <v>7.7</v>
      </c>
      <c r="L1040">
        <v>8.26</v>
      </c>
      <c r="M1040">
        <v>7.51</v>
      </c>
      <c r="N1040">
        <v>8.2100000000000009</v>
      </c>
      <c r="O1040">
        <v>7.126309</v>
      </c>
      <c r="P1040">
        <v>57938500</v>
      </c>
      <c r="R1040" s="273">
        <f>(O1040/O1039)*('16. câmbio USD-BRL'!O836/'16. câmbio USD-BRL'!O835)^-1-1</f>
        <v>8.1191569785542317E-2</v>
      </c>
    </row>
    <row r="1041" spans="10:18" x14ac:dyDescent="0.2">
      <c r="J1041" s="354">
        <v>43794</v>
      </c>
      <c r="K1041">
        <v>8.2100000000000009</v>
      </c>
      <c r="L1041">
        <v>8.83</v>
      </c>
      <c r="M1041">
        <v>8.16</v>
      </c>
      <c r="N1041">
        <v>8.51</v>
      </c>
      <c r="O1041">
        <v>7.386711</v>
      </c>
      <c r="P1041">
        <v>71791100</v>
      </c>
      <c r="R1041" s="273">
        <f>(O1041/O1040)*('16. câmbio USD-BRL'!O837/'16. câmbio USD-BRL'!O836)^-1-1</f>
        <v>2.6825878919437773E-2</v>
      </c>
    </row>
    <row r="1042" spans="10:18" x14ac:dyDescent="0.2">
      <c r="J1042" s="354">
        <v>43801</v>
      </c>
      <c r="K1042">
        <v>8.4</v>
      </c>
      <c r="L1042">
        <v>9.0399999999999991</v>
      </c>
      <c r="M1042">
        <v>8.32</v>
      </c>
      <c r="N1042">
        <v>9</v>
      </c>
      <c r="O1042">
        <v>7.8120320000000003</v>
      </c>
      <c r="P1042">
        <v>61968200</v>
      </c>
      <c r="R1042" s="273">
        <f>(O1042/O1041)*('16. câmbio USD-BRL'!O838/'16. câmbio USD-BRL'!O837)^-1-1</f>
        <v>8.1768472314981633E-2</v>
      </c>
    </row>
    <row r="1043" spans="10:18" x14ac:dyDescent="0.2">
      <c r="J1043" s="354">
        <v>43808</v>
      </c>
      <c r="K1043">
        <v>9.11</v>
      </c>
      <c r="L1043">
        <v>9.3699999999999992</v>
      </c>
      <c r="M1043">
        <v>8.5299999999999994</v>
      </c>
      <c r="N1043">
        <v>9.25</v>
      </c>
      <c r="O1043">
        <v>8.0290339999999993</v>
      </c>
      <c r="P1043">
        <v>85553900</v>
      </c>
      <c r="R1043" s="273">
        <f>(O1043/O1042)*('16. câmbio USD-BRL'!O839/'16. câmbio USD-BRL'!O838)^-1-1</f>
        <v>3.6036380492164621E-2</v>
      </c>
    </row>
    <row r="1044" spans="10:18" x14ac:dyDescent="0.2">
      <c r="J1044" s="354">
        <v>43815</v>
      </c>
      <c r="K1044">
        <v>9.3000000000000007</v>
      </c>
      <c r="L1044">
        <v>9.43</v>
      </c>
      <c r="M1044">
        <v>9.0399999999999991</v>
      </c>
      <c r="N1044">
        <v>9.33</v>
      </c>
      <c r="O1044">
        <v>8.0984750000000005</v>
      </c>
      <c r="P1044">
        <v>61706000</v>
      </c>
      <c r="R1044" s="273">
        <f>(O1044/O1043)*('16. câmbio USD-BRL'!O840/'16. câmbio USD-BRL'!O839)^-1-1</f>
        <v>1.0827471086430673E-2</v>
      </c>
    </row>
    <row r="1045" spans="10:18" x14ac:dyDescent="0.2">
      <c r="J1045" s="354">
        <v>43822</v>
      </c>
      <c r="K1045">
        <v>9.39</v>
      </c>
      <c r="L1045">
        <v>9.65</v>
      </c>
      <c r="M1045">
        <v>9.2799999999999994</v>
      </c>
      <c r="N1045">
        <v>9.43</v>
      </c>
      <c r="O1045">
        <v>8.1852739999999997</v>
      </c>
      <c r="P1045">
        <v>36035300</v>
      </c>
      <c r="R1045" s="273">
        <f>(O1045/O1044)*('16. câmbio USD-BRL'!O841/'16. câmbio USD-BRL'!O840)^-1-1</f>
        <v>2.4237318159830989E-2</v>
      </c>
    </row>
    <row r="1046" spans="10:18" x14ac:dyDescent="0.2">
      <c r="J1046" s="354">
        <v>43829</v>
      </c>
      <c r="K1046">
        <v>9.4700000000000006</v>
      </c>
      <c r="L1046">
        <v>9.6999999999999993</v>
      </c>
      <c r="M1046">
        <v>9.39</v>
      </c>
      <c r="N1046">
        <v>9.6</v>
      </c>
      <c r="O1046">
        <v>8.3328349999999993</v>
      </c>
      <c r="P1046">
        <v>36876700</v>
      </c>
      <c r="R1046" s="273">
        <f>(O1046/O1045)*('16. câmbio USD-BRL'!O842/'16. câmbio USD-BRL'!O841)^-1-1</f>
        <v>1.2682679626571103E-2</v>
      </c>
    </row>
    <row r="1047" spans="10:18" x14ac:dyDescent="0.2">
      <c r="J1047" s="354">
        <v>43836</v>
      </c>
      <c r="K1047">
        <v>9.5399999999999991</v>
      </c>
      <c r="L1047">
        <v>9.6</v>
      </c>
      <c r="M1047">
        <v>9.09</v>
      </c>
      <c r="N1047">
        <v>9.14</v>
      </c>
      <c r="O1047">
        <v>7.9335529999999999</v>
      </c>
      <c r="P1047">
        <v>63079800</v>
      </c>
      <c r="R1047" s="273">
        <f>(O1047/O1046)*('16. câmbio USD-BRL'!O843/'16. câmbio USD-BRL'!O842)^-1-1</f>
        <v>-4.6247233378229113E-2</v>
      </c>
    </row>
    <row r="1048" spans="10:18" x14ac:dyDescent="0.2">
      <c r="J1048" s="354">
        <v>43843</v>
      </c>
      <c r="K1048">
        <v>9.25</v>
      </c>
      <c r="L1048">
        <v>9.89</v>
      </c>
      <c r="M1048">
        <v>9.2200000000000006</v>
      </c>
      <c r="N1048">
        <v>9.76</v>
      </c>
      <c r="O1048">
        <v>8.4717149999999997</v>
      </c>
      <c r="P1048">
        <v>93027400</v>
      </c>
      <c r="R1048" s="273">
        <f>(O1048/O1047)*('16. câmbio USD-BRL'!O844/'16. câmbio USD-BRL'!O843)^-1-1</f>
        <v>4.1723480373250688E-2</v>
      </c>
    </row>
    <row r="1049" spans="10:18" x14ac:dyDescent="0.2">
      <c r="J1049" s="354">
        <v>43850</v>
      </c>
      <c r="K1049">
        <v>9.75</v>
      </c>
      <c r="L1049">
        <v>11.53</v>
      </c>
      <c r="M1049">
        <v>9.4700000000000006</v>
      </c>
      <c r="N1049">
        <v>10.82</v>
      </c>
      <c r="O1049">
        <v>9.3917990000000007</v>
      </c>
      <c r="P1049">
        <v>172719100</v>
      </c>
      <c r="R1049" s="273">
        <f>(O1049/O1048)*('16. câmbio USD-BRL'!O845/'16. câmbio USD-BRL'!O844)^-1-1</f>
        <v>0.10332851228189255</v>
      </c>
    </row>
    <row r="1050" spans="10:18" x14ac:dyDescent="0.2">
      <c r="J1050" s="354">
        <v>43857</v>
      </c>
      <c r="K1050">
        <v>10.29</v>
      </c>
      <c r="L1050">
        <v>10.45</v>
      </c>
      <c r="M1050">
        <v>9.33</v>
      </c>
      <c r="N1050">
        <v>9.6300000000000008</v>
      </c>
      <c r="O1050">
        <v>8.3588740000000001</v>
      </c>
      <c r="P1050">
        <v>123622800</v>
      </c>
      <c r="R1050" s="273">
        <f>(O1050/O1049)*('16. câmbio USD-BRL'!O846/'16. câmbio USD-BRL'!O845)^-1-1</f>
        <v>-0.13102103613089011</v>
      </c>
    </row>
    <row r="1051" spans="10:18" x14ac:dyDescent="0.2">
      <c r="J1051" s="354">
        <v>43864</v>
      </c>
      <c r="K1051">
        <v>9.65</v>
      </c>
      <c r="L1051">
        <v>10.47</v>
      </c>
      <c r="M1051">
        <v>9.4600000000000009</v>
      </c>
      <c r="N1051">
        <v>9.6199999999999992</v>
      </c>
      <c r="O1051">
        <v>8.3501949999999994</v>
      </c>
      <c r="P1051">
        <v>93169000</v>
      </c>
      <c r="R1051" s="273">
        <f>(O1051/O1050)*('16. câmbio USD-BRL'!O847/'16. câmbio USD-BRL'!O846)^-1-1</f>
        <v>-9.8274954002252057E-3</v>
      </c>
    </row>
    <row r="1052" spans="10:18" x14ac:dyDescent="0.2">
      <c r="J1052" s="354">
        <v>43871</v>
      </c>
      <c r="K1052">
        <v>9.61</v>
      </c>
      <c r="L1052">
        <v>10.4</v>
      </c>
      <c r="M1052">
        <v>9.2100000000000009</v>
      </c>
      <c r="N1052">
        <v>9.9</v>
      </c>
      <c r="O1052">
        <v>8.5932359999999992</v>
      </c>
      <c r="P1052">
        <v>102705500</v>
      </c>
      <c r="R1052" s="273">
        <f>(O1052/O1051)*('16. câmbio USD-BRL'!O848/'16. câmbio USD-BRL'!O847)^-1-1</f>
        <v>3.4615672726018287E-2</v>
      </c>
    </row>
    <row r="1053" spans="10:18" x14ac:dyDescent="0.2">
      <c r="J1053" s="354">
        <v>43878</v>
      </c>
      <c r="K1053">
        <v>10</v>
      </c>
      <c r="L1053">
        <v>10.09</v>
      </c>
      <c r="M1053">
        <v>9.16</v>
      </c>
      <c r="N1053">
        <v>9.17</v>
      </c>
      <c r="O1053">
        <v>7.9595929999999999</v>
      </c>
      <c r="P1053">
        <v>74703000</v>
      </c>
      <c r="R1053" s="273">
        <f>(O1053/O1052)*('16. câmbio USD-BRL'!O849/'16. câmbio USD-BRL'!O848)^-1-1</f>
        <v>-9.3178352881243653E-2</v>
      </c>
    </row>
    <row r="1054" spans="10:18" x14ac:dyDescent="0.2">
      <c r="J1054" s="354">
        <v>43885</v>
      </c>
      <c r="K1054">
        <v>9.17</v>
      </c>
      <c r="L1054">
        <v>9.17</v>
      </c>
      <c r="M1054">
        <v>7.82</v>
      </c>
      <c r="N1054">
        <v>8.17</v>
      </c>
      <c r="O1054">
        <v>7.0915900000000001</v>
      </c>
      <c r="P1054">
        <v>57314200</v>
      </c>
      <c r="R1054" s="273">
        <f>(O1054/O1053)*('16. câmbio USD-BRL'!O850/'16. câmbio USD-BRL'!O849)^-1-1</f>
        <v>-0.12547466149551878</v>
      </c>
    </row>
    <row r="1055" spans="10:18" x14ac:dyDescent="0.2">
      <c r="J1055" s="354">
        <v>43892</v>
      </c>
      <c r="K1055">
        <v>8.39</v>
      </c>
      <c r="L1055">
        <v>8.9499999999999993</v>
      </c>
      <c r="M1055">
        <v>7.68</v>
      </c>
      <c r="N1055">
        <v>7.87</v>
      </c>
      <c r="O1055">
        <v>6.8311890000000002</v>
      </c>
      <c r="P1055">
        <v>80722700</v>
      </c>
      <c r="R1055" s="273">
        <f>(O1055/O1054)*('16. câmbio USD-BRL'!O851/'16. câmbio USD-BRL'!O850)^-1-1</f>
        <v>-6.9057822748805786E-2</v>
      </c>
    </row>
    <row r="1056" spans="10:18" x14ac:dyDescent="0.2">
      <c r="J1056" s="354">
        <v>43899</v>
      </c>
      <c r="K1056">
        <v>6.9</v>
      </c>
      <c r="L1056">
        <v>7.48</v>
      </c>
      <c r="M1056">
        <v>4.72</v>
      </c>
      <c r="N1056">
        <v>6.52</v>
      </c>
      <c r="O1056">
        <v>5.6593830000000001</v>
      </c>
      <c r="P1056">
        <v>104150600</v>
      </c>
      <c r="R1056" s="273">
        <f>(O1056/O1055)*('16. câmbio USD-BRL'!O852/'16. câmbio USD-BRL'!O851)^-1-1</f>
        <v>-0.21115225878335209</v>
      </c>
    </row>
    <row r="1057" spans="10:18" x14ac:dyDescent="0.2">
      <c r="J1057" s="354">
        <v>43906</v>
      </c>
      <c r="K1057">
        <v>5.52</v>
      </c>
      <c r="L1057">
        <v>6.27</v>
      </c>
      <c r="M1057">
        <v>4.1399999999999997</v>
      </c>
      <c r="N1057">
        <v>4.32</v>
      </c>
      <c r="O1057">
        <v>3.7497760000000002</v>
      </c>
      <c r="P1057">
        <v>111654200</v>
      </c>
      <c r="R1057" s="273">
        <f>(O1057/O1056)*('16. câmbio USD-BRL'!O853/'16. câmbio USD-BRL'!O852)^-1-1</f>
        <v>-0.36813151099123631</v>
      </c>
    </row>
    <row r="1058" spans="10:18" x14ac:dyDescent="0.2">
      <c r="J1058" s="354">
        <v>43913</v>
      </c>
      <c r="K1058">
        <v>4.3600000000000003</v>
      </c>
      <c r="L1058">
        <v>5.5</v>
      </c>
      <c r="M1058">
        <v>3.78</v>
      </c>
      <c r="N1058">
        <v>4.8899999999999997</v>
      </c>
      <c r="O1058">
        <v>4.2445370000000002</v>
      </c>
      <c r="P1058">
        <v>116096900</v>
      </c>
      <c r="R1058" s="273">
        <f>(O1058/O1057)*('16. câmbio USD-BRL'!O854/'16. câmbio USD-BRL'!O853)^-1-1</f>
        <v>0.13087857999727981</v>
      </c>
    </row>
    <row r="1059" spans="10:18" x14ac:dyDescent="0.2">
      <c r="J1059" s="354">
        <v>43920</v>
      </c>
      <c r="K1059">
        <v>5.01</v>
      </c>
      <c r="L1059">
        <v>5.17</v>
      </c>
      <c r="M1059">
        <v>4.03</v>
      </c>
      <c r="N1059">
        <v>4.08</v>
      </c>
      <c r="O1059">
        <v>3.541455</v>
      </c>
      <c r="P1059">
        <v>100405100</v>
      </c>
      <c r="R1059" s="273">
        <f>(O1059/O1058)*('16. câmbio USD-BRL'!O855/'16. câmbio USD-BRL'!O854)^-1-1</f>
        <v>-0.19045889895776691</v>
      </c>
    </row>
    <row r="1060" spans="10:18" x14ac:dyDescent="0.2">
      <c r="J1060" s="354">
        <v>43927</v>
      </c>
      <c r="K1060">
        <v>4.33</v>
      </c>
      <c r="L1060">
        <v>4.6399999999999997</v>
      </c>
      <c r="M1060">
        <v>4.01</v>
      </c>
      <c r="N1060">
        <v>4.33</v>
      </c>
      <c r="O1060">
        <v>3.7584550000000001</v>
      </c>
      <c r="P1060">
        <v>88416600</v>
      </c>
      <c r="R1060" s="273">
        <f>(O1060/O1059)*('16. câmbio USD-BRL'!O856/'16. câmbio USD-BRL'!O855)^-1-1</f>
        <v>9.2412999208472346E-2</v>
      </c>
    </row>
    <row r="1061" spans="10:18" x14ac:dyDescent="0.2">
      <c r="J1061" s="354">
        <v>43934</v>
      </c>
      <c r="K1061">
        <v>4.29</v>
      </c>
      <c r="L1061">
        <v>4.82</v>
      </c>
      <c r="M1061">
        <v>4.21</v>
      </c>
      <c r="N1061">
        <v>4.63</v>
      </c>
      <c r="O1061">
        <v>4.0188569999999997</v>
      </c>
      <c r="P1061">
        <v>92111400</v>
      </c>
      <c r="R1061" s="273">
        <f>(O1061/O1060)*('16. câmbio USD-BRL'!O857/'16. câmbio USD-BRL'!O856)^-1-1</f>
        <v>4.2753389849766732E-2</v>
      </c>
    </row>
    <row r="1062" spans="10:18" x14ac:dyDescent="0.2">
      <c r="J1062" s="354">
        <v>43941</v>
      </c>
      <c r="K1062">
        <v>4.5599999999999996</v>
      </c>
      <c r="L1062">
        <v>5.04</v>
      </c>
      <c r="M1062">
        <v>4.2</v>
      </c>
      <c r="N1062">
        <v>4.34</v>
      </c>
      <c r="O1062">
        <v>3.7671359999999998</v>
      </c>
      <c r="P1062">
        <v>97171100</v>
      </c>
      <c r="R1062" s="273">
        <f>(O1062/O1061)*('16. câmbio USD-BRL'!O858/'16. câmbio USD-BRL'!O857)^-1-1</f>
        <v>-0.12237904396677846</v>
      </c>
    </row>
    <row r="1063" spans="10:18" x14ac:dyDescent="0.2">
      <c r="J1063" s="354">
        <v>43948</v>
      </c>
      <c r="K1063">
        <v>4.4800000000000004</v>
      </c>
      <c r="L1063">
        <v>5.12</v>
      </c>
      <c r="M1063">
        <v>4.26</v>
      </c>
      <c r="N1063">
        <v>4.8</v>
      </c>
      <c r="O1063">
        <v>4.1664180000000002</v>
      </c>
      <c r="P1063">
        <v>99610900</v>
      </c>
      <c r="R1063" s="273">
        <f>(O1063/O1062)*('16. câmbio USD-BRL'!O859/'16. câmbio USD-BRL'!O858)^-1-1</f>
        <v>0.12734094936806639</v>
      </c>
    </row>
    <row r="1064" spans="10:18" x14ac:dyDescent="0.2">
      <c r="J1064" s="354">
        <v>43955</v>
      </c>
      <c r="K1064">
        <v>4.66</v>
      </c>
      <c r="L1064">
        <v>4.9000000000000004</v>
      </c>
      <c r="M1064">
        <v>4.51</v>
      </c>
      <c r="N1064">
        <v>4.8099999999999996</v>
      </c>
      <c r="O1064">
        <v>4.2139720000000001</v>
      </c>
      <c r="P1064">
        <v>92127000</v>
      </c>
      <c r="R1064" s="273">
        <f>(O1064/O1063)*('16. câmbio USD-BRL'!O860/'16. câmbio USD-BRL'!O859)^-1-1</f>
        <v>-3.1808108104778854E-2</v>
      </c>
    </row>
    <row r="1065" spans="10:18" x14ac:dyDescent="0.2">
      <c r="J1065" s="354">
        <v>43962</v>
      </c>
      <c r="K1065">
        <v>4.76</v>
      </c>
      <c r="L1065">
        <v>4.88</v>
      </c>
      <c r="M1065">
        <v>4.13</v>
      </c>
      <c r="N1065">
        <v>4.51</v>
      </c>
      <c r="O1065">
        <v>3.951146</v>
      </c>
      <c r="P1065">
        <v>102600500</v>
      </c>
      <c r="R1065" s="273">
        <f>(O1065/O1064)*('16. câmbio USD-BRL'!O861/'16. câmbio USD-BRL'!O860)^-1-1</f>
        <v>-8.1952729234210486E-2</v>
      </c>
    </row>
    <row r="1066" spans="10:18" x14ac:dyDescent="0.2">
      <c r="J1066" s="354">
        <v>43969</v>
      </c>
      <c r="K1066">
        <v>4.6900000000000004</v>
      </c>
      <c r="L1066">
        <v>5.19</v>
      </c>
      <c r="M1066">
        <v>4.62</v>
      </c>
      <c r="N1066">
        <v>4.72</v>
      </c>
      <c r="O1066">
        <v>4.1351240000000002</v>
      </c>
      <c r="P1066">
        <v>116667000</v>
      </c>
      <c r="R1066" s="273">
        <f>(O1066/O1065)*('16. câmbio USD-BRL'!O862/'16. câmbio USD-BRL'!O861)^-1-1</f>
        <v>0.10816042171974116</v>
      </c>
    </row>
    <row r="1067" spans="10:18" x14ac:dyDescent="0.2">
      <c r="J1067" s="354">
        <v>43976</v>
      </c>
      <c r="K1067">
        <v>4.88</v>
      </c>
      <c r="L1067">
        <v>6.42</v>
      </c>
      <c r="M1067">
        <v>4.83</v>
      </c>
      <c r="N1067">
        <v>6.15</v>
      </c>
      <c r="O1067">
        <v>5.3879260000000002</v>
      </c>
      <c r="P1067">
        <v>245037200</v>
      </c>
      <c r="R1067" s="273">
        <f>(O1067/O1066)*('16. câmbio USD-BRL'!O863/'16. câmbio USD-BRL'!O862)^-1-1</f>
        <v>0.35071267331125977</v>
      </c>
    </row>
    <row r="1068" spans="10:18" x14ac:dyDescent="0.2">
      <c r="J1068" s="354">
        <v>43983</v>
      </c>
      <c r="K1068">
        <v>6.22</v>
      </c>
      <c r="L1068">
        <v>7.32</v>
      </c>
      <c r="M1068">
        <v>6.15</v>
      </c>
      <c r="N1068">
        <v>6.9</v>
      </c>
      <c r="O1068">
        <v>6.0449909999999996</v>
      </c>
      <c r="P1068">
        <v>166096600</v>
      </c>
      <c r="R1068" s="273">
        <f>(O1068/O1067)*('16. câmbio USD-BRL'!O864/'16. câmbio USD-BRL'!O863)^-1-1</f>
        <v>0.20583593127565858</v>
      </c>
    </row>
    <row r="1069" spans="10:18" x14ac:dyDescent="0.2">
      <c r="J1069" s="354">
        <v>43990</v>
      </c>
      <c r="K1069">
        <v>7.1</v>
      </c>
      <c r="L1069">
        <v>7.45</v>
      </c>
      <c r="M1069">
        <v>6.33</v>
      </c>
      <c r="N1069">
        <v>6.41</v>
      </c>
      <c r="O1069">
        <v>5.6157089999999998</v>
      </c>
      <c r="P1069">
        <v>105738900</v>
      </c>
      <c r="R1069" s="273">
        <f>(O1069/O1068)*('16. câmbio USD-BRL'!O865/'16. câmbio USD-BRL'!O864)^-1-1</f>
        <v>-8.6851092580167433E-2</v>
      </c>
    </row>
    <row r="1070" spans="10:18" x14ac:dyDescent="0.2">
      <c r="J1070" s="354">
        <v>43997</v>
      </c>
      <c r="K1070">
        <v>6.1</v>
      </c>
      <c r="L1070">
        <v>7.24</v>
      </c>
      <c r="M1070">
        <v>6.03</v>
      </c>
      <c r="N1070">
        <v>6.98</v>
      </c>
      <c r="O1070">
        <v>6.1150770000000003</v>
      </c>
      <c r="P1070">
        <v>122843300</v>
      </c>
      <c r="R1070" s="273">
        <f>(O1070/O1069)*('16. câmbio USD-BRL'!O866/'16. câmbio USD-BRL'!O865)^-1-1</f>
        <v>3.5395822528232923E-2</v>
      </c>
    </row>
    <row r="1071" spans="10:18" x14ac:dyDescent="0.2">
      <c r="J1071" s="354">
        <v>44004</v>
      </c>
      <c r="K1071">
        <v>7.06</v>
      </c>
      <c r="L1071">
        <v>7.71</v>
      </c>
      <c r="M1071">
        <v>6.88</v>
      </c>
      <c r="N1071">
        <v>7.1</v>
      </c>
      <c r="O1071">
        <v>6.2202070000000003</v>
      </c>
      <c r="P1071">
        <v>130036200</v>
      </c>
      <c r="R1071" s="273">
        <f>(O1071/O1070)*('16. câmbio USD-BRL'!O867/'16. câmbio USD-BRL'!O866)^-1-1</f>
        <v>-1.4023881824988704E-2</v>
      </c>
    </row>
    <row r="1072" spans="10:18" x14ac:dyDescent="0.2">
      <c r="J1072" s="354">
        <v>44011</v>
      </c>
      <c r="K1072">
        <v>7.2</v>
      </c>
      <c r="L1072">
        <v>7.64</v>
      </c>
      <c r="M1072">
        <v>7.06</v>
      </c>
      <c r="N1072">
        <v>7.46</v>
      </c>
      <c r="O1072">
        <v>6.5355990000000004</v>
      </c>
      <c r="P1072">
        <v>85586200</v>
      </c>
      <c r="R1072" s="273">
        <f>(O1072/O1071)*('16. câmbio USD-BRL'!O868/'16. câmbio USD-BRL'!O867)^-1-1</f>
        <v>8.3487618593370394E-2</v>
      </c>
    </row>
    <row r="1073" spans="10:18" x14ac:dyDescent="0.2">
      <c r="J1073" s="354">
        <v>44018</v>
      </c>
      <c r="K1073">
        <v>7.61</v>
      </c>
      <c r="L1073">
        <v>7.84</v>
      </c>
      <c r="M1073">
        <v>7.37</v>
      </c>
      <c r="N1073">
        <v>7.43</v>
      </c>
      <c r="O1073">
        <v>6.5093160000000001</v>
      </c>
      <c r="P1073">
        <v>82573200</v>
      </c>
      <c r="R1073" s="273">
        <f>(O1073/O1072)*('16. câmbio USD-BRL'!O869/'16. câmbio USD-BRL'!O868)^-1-1</f>
        <v>-5.0771917236401842E-3</v>
      </c>
    </row>
    <row r="1074" spans="10:18" x14ac:dyDescent="0.2">
      <c r="J1074" s="354">
        <v>44025</v>
      </c>
      <c r="K1074">
        <v>7.5</v>
      </c>
      <c r="L1074">
        <v>7.75</v>
      </c>
      <c r="M1074">
        <v>7.26</v>
      </c>
      <c r="N1074">
        <v>7.49</v>
      </c>
      <c r="O1074">
        <v>6.5618809999999996</v>
      </c>
      <c r="P1074">
        <v>88785900</v>
      </c>
      <c r="R1074" s="273">
        <f>(O1074/O1073)*('16. câmbio USD-BRL'!O870/'16. câmbio USD-BRL'!O869)^-1-1</f>
        <v>-4.7272158036057998E-3</v>
      </c>
    </row>
    <row r="1075" spans="10:18" x14ac:dyDescent="0.2">
      <c r="J1075" s="354">
        <v>44032</v>
      </c>
      <c r="K1075">
        <v>7.47</v>
      </c>
      <c r="L1075">
        <v>7.72</v>
      </c>
      <c r="M1075">
        <v>7.17</v>
      </c>
      <c r="N1075">
        <v>7.55</v>
      </c>
      <c r="O1075">
        <v>6.6144470000000002</v>
      </c>
      <c r="P1075">
        <v>83113400</v>
      </c>
      <c r="R1075" s="273">
        <f>(O1075/O1074)*('16. câmbio USD-BRL'!O871/'16. câmbio USD-BRL'!O870)^-1-1</f>
        <v>3.8287773142950954E-2</v>
      </c>
    </row>
    <row r="1076" spans="10:18" x14ac:dyDescent="0.2">
      <c r="J1076" s="354">
        <v>44039</v>
      </c>
      <c r="K1076">
        <v>7.54</v>
      </c>
      <c r="L1076">
        <v>8.74</v>
      </c>
      <c r="M1076">
        <v>7.5</v>
      </c>
      <c r="N1076">
        <v>8.1300000000000008</v>
      </c>
      <c r="O1076">
        <v>7.1225759999999996</v>
      </c>
      <c r="P1076">
        <v>137420100</v>
      </c>
      <c r="R1076" s="273">
        <f>(O1076/O1075)*('16. câmbio USD-BRL'!O872/'16. câmbio USD-BRL'!O871)^-1-1</f>
        <v>7.8223599348063777E-2</v>
      </c>
    </row>
    <row r="1077" spans="10:18" x14ac:dyDescent="0.2">
      <c r="J1077" s="354">
        <v>44046</v>
      </c>
      <c r="K1077">
        <v>8.35</v>
      </c>
      <c r="L1077">
        <v>8.7100000000000009</v>
      </c>
      <c r="M1077">
        <v>7.98</v>
      </c>
      <c r="N1077">
        <v>8.3000000000000007</v>
      </c>
      <c r="O1077">
        <v>7.2715110000000003</v>
      </c>
      <c r="P1077">
        <v>101522900</v>
      </c>
      <c r="R1077" s="273">
        <f>(O1077/O1076)*('16. câmbio USD-BRL'!O873/'16. câmbio USD-BRL'!O872)^-1-1</f>
        <v>-1.9284794278881634E-2</v>
      </c>
    </row>
    <row r="1078" spans="10:18" x14ac:dyDescent="0.2">
      <c r="J1078" s="354">
        <v>44053</v>
      </c>
      <c r="K1078">
        <v>8.33</v>
      </c>
      <c r="L1078">
        <v>8.91</v>
      </c>
      <c r="M1078">
        <v>8.33</v>
      </c>
      <c r="N1078">
        <v>8.7799999999999994</v>
      </c>
      <c r="O1078">
        <v>7.6920310000000001</v>
      </c>
      <c r="P1078">
        <v>105046500</v>
      </c>
      <c r="R1078" s="273">
        <f>(O1078/O1077)*('16. câmbio USD-BRL'!O874/'16. câmbio USD-BRL'!O873)^-1-1</f>
        <v>6.0755094266218501E-2</v>
      </c>
    </row>
    <row r="1079" spans="10:18" x14ac:dyDescent="0.2">
      <c r="J1079" s="354">
        <v>44060</v>
      </c>
      <c r="K1079">
        <v>8.75</v>
      </c>
      <c r="L1079">
        <v>10.01</v>
      </c>
      <c r="M1079">
        <v>8.75</v>
      </c>
      <c r="N1079">
        <v>9.57</v>
      </c>
      <c r="O1079">
        <v>8.3841389999999993</v>
      </c>
      <c r="P1079">
        <v>149415100</v>
      </c>
      <c r="R1079" s="273">
        <f>(O1079/O1078)*('16. câmbio USD-BRL'!O875/'16. câmbio USD-BRL'!O874)^-1-1</f>
        <v>5.1599024655683445E-2</v>
      </c>
    </row>
    <row r="1080" spans="10:18" x14ac:dyDescent="0.2">
      <c r="J1080" s="354">
        <v>44067</v>
      </c>
      <c r="K1080">
        <v>9.6999999999999993</v>
      </c>
      <c r="L1080">
        <v>10.130000000000001</v>
      </c>
      <c r="M1080">
        <v>9.43</v>
      </c>
      <c r="N1080">
        <v>10.050000000000001</v>
      </c>
      <c r="O1080">
        <v>8.8046609999999994</v>
      </c>
      <c r="P1080">
        <v>77428400</v>
      </c>
      <c r="R1080" s="273">
        <f>(O1080/O1079)*('16. câmbio USD-BRL'!O876/'16. câmbio USD-BRL'!O875)^-1-1</f>
        <v>9.4662782693387459E-2</v>
      </c>
    </row>
    <row r="1081" spans="10:18" x14ac:dyDescent="0.2">
      <c r="J1081" s="354">
        <v>44074</v>
      </c>
      <c r="K1081">
        <v>9.93</v>
      </c>
      <c r="L1081">
        <v>11.44</v>
      </c>
      <c r="M1081">
        <v>9.8699999999999992</v>
      </c>
      <c r="N1081">
        <v>10.65</v>
      </c>
      <c r="O1081">
        <v>9.330311</v>
      </c>
      <c r="P1081">
        <v>133617800</v>
      </c>
      <c r="R1081" s="273">
        <f>(O1081/O1080)*('16. câmbio USD-BRL'!O877/'16. câmbio USD-BRL'!O876)^-1-1</f>
        <v>7.7576632572206705E-2</v>
      </c>
    </row>
    <row r="1082" spans="10:18" x14ac:dyDescent="0.2">
      <c r="J1082" s="354">
        <v>44081</v>
      </c>
      <c r="K1082">
        <v>10.65</v>
      </c>
      <c r="L1082">
        <v>11.28</v>
      </c>
      <c r="M1082">
        <v>10.29</v>
      </c>
      <c r="N1082">
        <v>10.62</v>
      </c>
      <c r="O1082">
        <v>9.3040289999999999</v>
      </c>
      <c r="P1082">
        <v>82575400</v>
      </c>
      <c r="R1082" s="273">
        <f>(O1082/O1081)*('16. câmbio USD-BRL'!O878/'16. câmbio USD-BRL'!O877)^-1-1</f>
        <v>-5.8556035735694012E-3</v>
      </c>
    </row>
    <row r="1083" spans="10:18" x14ac:dyDescent="0.2">
      <c r="J1083" s="354">
        <v>44088</v>
      </c>
      <c r="K1083">
        <v>10.79</v>
      </c>
      <c r="L1083">
        <v>11.64</v>
      </c>
      <c r="M1083">
        <v>10.63</v>
      </c>
      <c r="N1083">
        <v>10.96</v>
      </c>
      <c r="O1083">
        <v>9.6018969999999992</v>
      </c>
      <c r="P1083">
        <v>123934700</v>
      </c>
      <c r="R1083" s="273">
        <f>(O1083/O1082)*('16. câmbio USD-BRL'!O879/'16. câmbio USD-BRL'!O878)^-1-1</f>
        <v>1.7978747619383117E-2</v>
      </c>
    </row>
    <row r="1084" spans="10:18" x14ac:dyDescent="0.2">
      <c r="J1084" s="354">
        <v>44095</v>
      </c>
      <c r="K1084">
        <v>10.78</v>
      </c>
      <c r="L1084">
        <v>11.1</v>
      </c>
      <c r="M1084">
        <v>10.17</v>
      </c>
      <c r="N1084">
        <v>10.27</v>
      </c>
      <c r="O1084">
        <v>8.9973989999999997</v>
      </c>
      <c r="P1084">
        <v>101808600</v>
      </c>
      <c r="R1084" s="273">
        <f>(O1084/O1083)*('16. câmbio USD-BRL'!O880/'16. câmbio USD-BRL'!O879)^-1-1</f>
        <v>-9.1609816208875872E-2</v>
      </c>
    </row>
    <row r="1085" spans="10:18" x14ac:dyDescent="0.2">
      <c r="J1085" s="354">
        <v>44102</v>
      </c>
      <c r="K1085">
        <v>10.36</v>
      </c>
      <c r="L1085">
        <v>10.57</v>
      </c>
      <c r="M1085">
        <v>9.7799999999999994</v>
      </c>
      <c r="N1085">
        <v>10.02</v>
      </c>
      <c r="O1085">
        <v>8.778378</v>
      </c>
      <c r="P1085">
        <v>89330000</v>
      </c>
      <c r="R1085" s="273">
        <f>(O1085/O1084)*('16. câmbio USD-BRL'!O881/'16. câmbio USD-BRL'!O880)^-1-1</f>
        <v>-4.5007802502324834E-2</v>
      </c>
    </row>
    <row r="1086" spans="10:18" x14ac:dyDescent="0.2">
      <c r="J1086" s="354">
        <v>44109</v>
      </c>
      <c r="K1086">
        <v>10.119999999999999</v>
      </c>
      <c r="L1086">
        <v>10.8</v>
      </c>
      <c r="M1086">
        <v>10</v>
      </c>
      <c r="N1086">
        <v>10.119999999999999</v>
      </c>
      <c r="O1086">
        <v>8.8659870000000005</v>
      </c>
      <c r="P1086">
        <v>95815900</v>
      </c>
      <c r="R1086" s="273">
        <f>(O1086/O1085)*('16. câmbio USD-BRL'!O882/'16. câmbio USD-BRL'!O881)^-1-1</f>
        <v>3.7808719390553192E-2</v>
      </c>
    </row>
    <row r="1087" spans="10:18" x14ac:dyDescent="0.2">
      <c r="J1087" s="354">
        <v>44116</v>
      </c>
      <c r="K1087">
        <v>10.119999999999999</v>
      </c>
      <c r="L1087">
        <v>11.46</v>
      </c>
      <c r="M1087">
        <v>10</v>
      </c>
      <c r="N1087">
        <v>11.32</v>
      </c>
      <c r="O1087">
        <v>9.9172890000000002</v>
      </c>
      <c r="P1087">
        <v>85972600</v>
      </c>
      <c r="R1087" s="273">
        <f>(O1087/O1086)*('16. câmbio USD-BRL'!O883/'16. câmbio USD-BRL'!O882)^-1-1</f>
        <v>9.5565238275445274E-2</v>
      </c>
    </row>
    <row r="1088" spans="10:18" x14ac:dyDescent="0.2">
      <c r="J1088" s="354">
        <v>44123</v>
      </c>
      <c r="K1088">
        <v>11.4</v>
      </c>
      <c r="L1088">
        <v>11.88</v>
      </c>
      <c r="M1088">
        <v>11.08</v>
      </c>
      <c r="N1088">
        <v>11.71</v>
      </c>
      <c r="O1088">
        <v>10.258963</v>
      </c>
      <c r="P1088">
        <v>77152400</v>
      </c>
      <c r="R1088" s="273">
        <f>(O1088/O1087)*('16. câmbio USD-BRL'!O884/'16. câmbio USD-BRL'!O883)^-1-1</f>
        <v>3.9480767687150475E-2</v>
      </c>
    </row>
    <row r="1089" spans="10:18" x14ac:dyDescent="0.2">
      <c r="J1089" s="354">
        <v>44130</v>
      </c>
      <c r="K1089">
        <v>11.66</v>
      </c>
      <c r="L1089">
        <v>12.18</v>
      </c>
      <c r="M1089">
        <v>10.69</v>
      </c>
      <c r="N1089">
        <v>10.9</v>
      </c>
      <c r="O1089">
        <v>9.5493330000000007</v>
      </c>
      <c r="P1089">
        <v>100305500</v>
      </c>
      <c r="R1089" s="273">
        <f>(O1089/O1088)*('16. câmbio USD-BRL'!O885/'16. câmbio USD-BRL'!O884)^-1-1</f>
        <v>-9.5206159834436588E-2</v>
      </c>
    </row>
    <row r="1090" spans="10:18" x14ac:dyDescent="0.2">
      <c r="J1090" s="354">
        <v>44137</v>
      </c>
      <c r="K1090">
        <v>10.9</v>
      </c>
      <c r="L1090">
        <v>11.78</v>
      </c>
      <c r="M1090">
        <v>10.88</v>
      </c>
      <c r="N1090">
        <v>11.48</v>
      </c>
      <c r="O1090">
        <v>10.057461999999999</v>
      </c>
      <c r="P1090">
        <v>66855700</v>
      </c>
      <c r="R1090" s="273">
        <f>(O1090/O1089)*('16. câmbio USD-BRL'!O886/'16. câmbio USD-BRL'!O885)^-1-1</f>
        <v>0.13473477502459019</v>
      </c>
    </row>
    <row r="1091" spans="10:18" x14ac:dyDescent="0.2">
      <c r="J1091" s="354">
        <v>44144</v>
      </c>
      <c r="K1091">
        <v>11.77</v>
      </c>
      <c r="L1091">
        <v>11.84</v>
      </c>
      <c r="M1091">
        <v>10.65</v>
      </c>
      <c r="N1091">
        <v>10.92</v>
      </c>
      <c r="O1091">
        <v>9.5668539999999993</v>
      </c>
      <c r="P1091">
        <v>85072000</v>
      </c>
      <c r="R1091" s="273">
        <f>(O1091/O1090)*('16. câmbio USD-BRL'!O887/'16. câmbio USD-BRL'!O886)^-1-1</f>
        <v>-6.5218100416222335E-2</v>
      </c>
    </row>
    <row r="1092" spans="10:18" x14ac:dyDescent="0.2">
      <c r="J1092" s="354">
        <v>44151</v>
      </c>
      <c r="K1092">
        <v>11.05</v>
      </c>
      <c r="L1092">
        <v>11.52</v>
      </c>
      <c r="M1092">
        <v>10.91</v>
      </c>
      <c r="N1092">
        <v>11.24</v>
      </c>
      <c r="O1092">
        <v>9.8472019999999993</v>
      </c>
      <c r="P1092">
        <v>49973200</v>
      </c>
      <c r="R1092" s="273">
        <f>(O1092/O1091)*('16. câmbio USD-BRL'!O888/'16. câmbio USD-BRL'!O887)^-1-1</f>
        <v>4.4404612649329822E-2</v>
      </c>
    </row>
    <row r="1093" spans="10:18" x14ac:dyDescent="0.2">
      <c r="J1093" s="354">
        <v>44158</v>
      </c>
      <c r="K1093">
        <v>11.3</v>
      </c>
      <c r="L1093">
        <v>14.23</v>
      </c>
      <c r="M1093">
        <v>11.3</v>
      </c>
      <c r="N1093">
        <v>13.76</v>
      </c>
      <c r="O1093">
        <v>12.054938</v>
      </c>
      <c r="P1093">
        <v>104347700</v>
      </c>
      <c r="R1093" s="273">
        <f>(O1093/O1092)*('16. câmbio USD-BRL'!O889/'16. câmbio USD-BRL'!O888)^-1-1</f>
        <v>0.23235683052802103</v>
      </c>
    </row>
    <row r="1094" spans="10:18" x14ac:dyDescent="0.2">
      <c r="J1094" s="354">
        <v>44165</v>
      </c>
      <c r="K1094">
        <v>13.69</v>
      </c>
      <c r="L1094">
        <v>14.38</v>
      </c>
      <c r="M1094">
        <v>13.11</v>
      </c>
      <c r="N1094">
        <v>14.02</v>
      </c>
      <c r="O1094">
        <v>12.282719999999999</v>
      </c>
      <c r="P1094">
        <v>97719300</v>
      </c>
      <c r="R1094" s="273">
        <f>(O1094/O1093)*('16. câmbio USD-BRL'!O890/'16. câmbio USD-BRL'!O889)^-1-1</f>
        <v>5.6077969599372945E-2</v>
      </c>
    </row>
    <row r="1095" spans="10:18" x14ac:dyDescent="0.2">
      <c r="J1095" s="354">
        <v>44172</v>
      </c>
      <c r="K1095">
        <v>14.02</v>
      </c>
      <c r="L1095">
        <v>14.64</v>
      </c>
      <c r="M1095">
        <v>13.12</v>
      </c>
      <c r="N1095">
        <v>13.66</v>
      </c>
      <c r="O1095">
        <v>11.967328999999999</v>
      </c>
      <c r="P1095">
        <v>86679000</v>
      </c>
      <c r="R1095" s="273">
        <f>(O1095/O1094)*('16. câmbio USD-BRL'!O891/'16. câmbio USD-BRL'!O890)^-1-1</f>
        <v>-8.3236676096570816E-3</v>
      </c>
    </row>
    <row r="1096" spans="10:18" x14ac:dyDescent="0.2">
      <c r="J1096" s="354">
        <v>44179</v>
      </c>
      <c r="K1096">
        <v>13.67</v>
      </c>
      <c r="L1096">
        <v>14.67</v>
      </c>
      <c r="M1096">
        <v>13.21</v>
      </c>
      <c r="N1096">
        <v>14.39</v>
      </c>
      <c r="O1096">
        <v>12.606871</v>
      </c>
      <c r="P1096">
        <v>117107500</v>
      </c>
      <c r="R1096" s="273">
        <f>(O1096/O1095)*('16. câmbio USD-BRL'!O892/'16. câmbio USD-BRL'!O891)^-1-1</f>
        <v>4.5922873233605221E-2</v>
      </c>
    </row>
    <row r="1097" spans="10:18" x14ac:dyDescent="0.2">
      <c r="J1097" s="354">
        <v>44186</v>
      </c>
      <c r="K1097">
        <v>14.06</v>
      </c>
      <c r="L1097">
        <v>14.79</v>
      </c>
      <c r="M1097">
        <v>13.46</v>
      </c>
      <c r="N1097">
        <v>14.62</v>
      </c>
      <c r="O1097">
        <v>12.808372</v>
      </c>
      <c r="P1097">
        <v>61707200</v>
      </c>
      <c r="R1097" s="273">
        <f>(O1097/O1096)*('16. câmbio USD-BRL'!O893/'16. câmbio USD-BRL'!O892)^-1-1</f>
        <v>-6.3610785928412961E-3</v>
      </c>
    </row>
    <row r="1098" spans="10:18" x14ac:dyDescent="0.2">
      <c r="J1098" s="354">
        <v>44193</v>
      </c>
      <c r="K1098">
        <v>14.73</v>
      </c>
      <c r="L1098">
        <v>15.2</v>
      </c>
      <c r="M1098">
        <v>14.27</v>
      </c>
      <c r="N1098">
        <v>14.61</v>
      </c>
      <c r="O1098">
        <v>12.799611000000001</v>
      </c>
      <c r="P1098">
        <v>50887100</v>
      </c>
      <c r="R1098" s="273">
        <f>(O1098/O1097)*('16. câmbio USD-BRL'!O894/'16. câmbio USD-BRL'!O893)^-1-1</f>
        <v>3.8199319808105425E-3</v>
      </c>
    </row>
    <row r="1099" spans="10:18" x14ac:dyDescent="0.2">
      <c r="J1099" s="354">
        <v>44200</v>
      </c>
      <c r="K1099">
        <v>14.91</v>
      </c>
      <c r="L1099">
        <v>17.079999999999998</v>
      </c>
      <c r="M1099">
        <v>14.56</v>
      </c>
      <c r="N1099">
        <v>16.510000000000002</v>
      </c>
      <c r="O1099">
        <v>14.464172</v>
      </c>
      <c r="P1099">
        <v>108119300</v>
      </c>
      <c r="R1099" s="273">
        <f>(O1099/O1098)*('16. câmbio USD-BRL'!O895/'16. câmbio USD-BRL'!O894)^-1-1</f>
        <v>8.4052340909515078E-2</v>
      </c>
    </row>
    <row r="1100" spans="10:18" x14ac:dyDescent="0.2">
      <c r="J1100" s="354">
        <v>44207</v>
      </c>
      <c r="K1100">
        <v>16.309999000000001</v>
      </c>
      <c r="L1100">
        <v>17.309999000000001</v>
      </c>
      <c r="M1100">
        <v>14.81</v>
      </c>
      <c r="N1100">
        <v>15.02</v>
      </c>
      <c r="O1100">
        <v>13.158806</v>
      </c>
      <c r="P1100">
        <v>131052400</v>
      </c>
      <c r="R1100" s="273">
        <f>(O1100/O1099)*('16. câmbio USD-BRL'!O896/'16. câmbio USD-BRL'!O895)^-1-1</f>
        <v>-6.9463537662177277E-2</v>
      </c>
    </row>
    <row r="1101" spans="10:18" x14ac:dyDescent="0.2">
      <c r="J1101" s="354">
        <v>44214</v>
      </c>
      <c r="K1101">
        <v>15.2</v>
      </c>
      <c r="L1101">
        <v>15.34</v>
      </c>
      <c r="M1101">
        <v>13.63</v>
      </c>
      <c r="N1101">
        <v>14.16</v>
      </c>
      <c r="O1101">
        <v>12.405372</v>
      </c>
      <c r="P1101">
        <v>79503000</v>
      </c>
      <c r="R1101" s="273">
        <f>(O1101/O1100)*('16. câmbio USD-BRL'!O897/'16. câmbio USD-BRL'!O896)^-1-1</f>
        <v>-6.7513611096379655E-2</v>
      </c>
    </row>
    <row r="1102" spans="10:18" x14ac:dyDescent="0.2">
      <c r="J1102" s="354">
        <v>44221</v>
      </c>
      <c r="K1102">
        <v>14.16</v>
      </c>
      <c r="L1102">
        <v>14.28</v>
      </c>
      <c r="M1102">
        <v>12.81</v>
      </c>
      <c r="N1102">
        <v>13.2</v>
      </c>
      <c r="O1102">
        <v>11.564329000000001</v>
      </c>
      <c r="P1102">
        <v>75038100</v>
      </c>
      <c r="R1102" s="273">
        <f>(O1102/O1101)*('16. câmbio USD-BRL'!O898/'16. câmbio USD-BRL'!O897)^-1-1</f>
        <v>-8.67964994574556E-2</v>
      </c>
    </row>
    <row r="1103" spans="10:18" x14ac:dyDescent="0.2">
      <c r="J1103" s="354">
        <v>44228</v>
      </c>
      <c r="K1103">
        <v>13.45</v>
      </c>
      <c r="L1103">
        <v>13.95</v>
      </c>
      <c r="M1103">
        <v>12.96</v>
      </c>
      <c r="N1103">
        <v>13.73</v>
      </c>
      <c r="O1103">
        <v>12.028655000000001</v>
      </c>
      <c r="P1103">
        <v>96529900</v>
      </c>
      <c r="R1103" s="273">
        <f>(O1103/O1102)*('16. câmbio USD-BRL'!O899/'16. câmbio USD-BRL'!O898)^-1-1</f>
        <v>5.7896839346595286E-2</v>
      </c>
    </row>
    <row r="1104" spans="10:18" x14ac:dyDescent="0.2">
      <c r="J1104" s="354">
        <v>44235</v>
      </c>
      <c r="K1104">
        <v>13.99</v>
      </c>
      <c r="L1104">
        <v>14.85</v>
      </c>
      <c r="M1104">
        <v>13.55</v>
      </c>
      <c r="N1104">
        <v>14.19</v>
      </c>
      <c r="O1104">
        <v>12.431654999999999</v>
      </c>
      <c r="P1104">
        <v>115411700</v>
      </c>
      <c r="R1104" s="273">
        <f>(O1104/O1103)*('16. câmbio USD-BRL'!O900/'16. câmbio USD-BRL'!O899)^-1-1</f>
        <v>3.3638088919424547E-2</v>
      </c>
    </row>
    <row r="1105" spans="10:18" x14ac:dyDescent="0.2">
      <c r="J1105" s="354">
        <v>44242</v>
      </c>
      <c r="K1105">
        <v>14.19</v>
      </c>
      <c r="L1105">
        <v>15.43</v>
      </c>
      <c r="M1105">
        <v>14.19</v>
      </c>
      <c r="N1105">
        <v>14.97</v>
      </c>
      <c r="O1105">
        <v>13.115000999999999</v>
      </c>
      <c r="P1105">
        <v>65002100</v>
      </c>
      <c r="R1105" s="273">
        <f>(O1105/O1104)*('16. câmbio USD-BRL'!O901/'16. câmbio USD-BRL'!O900)^-1-1</f>
        <v>5.2796934766522474E-2</v>
      </c>
    </row>
    <row r="1106" spans="10:18" x14ac:dyDescent="0.2">
      <c r="J1106" s="354">
        <v>44249</v>
      </c>
      <c r="K1106">
        <v>14.4</v>
      </c>
      <c r="L1106">
        <v>17.600000000000001</v>
      </c>
      <c r="M1106">
        <v>14.25</v>
      </c>
      <c r="N1106">
        <v>16.239999999999998</v>
      </c>
      <c r="O1106">
        <v>14.227631000000001</v>
      </c>
      <c r="P1106">
        <v>157278000</v>
      </c>
      <c r="R1106" s="273">
        <f>(O1106/O1105)*('16. câmbio USD-BRL'!O902/'16. câmbio USD-BRL'!O901)^-1-1</f>
        <v>4.258177416671094E-2</v>
      </c>
    </row>
    <row r="1107" spans="10:18" x14ac:dyDescent="0.2">
      <c r="J1107" s="354">
        <v>44256</v>
      </c>
      <c r="K1107">
        <v>16.489999999999998</v>
      </c>
      <c r="L1107">
        <v>17.940000999999999</v>
      </c>
      <c r="M1107">
        <v>16.239999999999998</v>
      </c>
      <c r="N1107">
        <v>17.790001</v>
      </c>
      <c r="O1107">
        <v>15.585564</v>
      </c>
      <c r="P1107">
        <v>118782400</v>
      </c>
      <c r="R1107" s="273">
        <f>(O1107/O1106)*('16. câmbio USD-BRL'!O903/'16. câmbio USD-BRL'!O902)^-1-1</f>
        <v>7.7749149896516601E-2</v>
      </c>
    </row>
    <row r="1108" spans="10:18" x14ac:dyDescent="0.2">
      <c r="J1108" s="354">
        <v>44263</v>
      </c>
      <c r="K1108">
        <v>17.5</v>
      </c>
      <c r="L1108">
        <v>18.049999</v>
      </c>
      <c r="M1108">
        <v>16.280000999999999</v>
      </c>
      <c r="N1108">
        <v>16.879999000000002</v>
      </c>
      <c r="O1108">
        <v>14.788325</v>
      </c>
      <c r="P1108">
        <v>102995900</v>
      </c>
      <c r="R1108" s="273">
        <f>(O1108/O1107)*('16. câmbio USD-BRL'!O904/'16. câmbio USD-BRL'!O903)^-1-1</f>
        <v>-2.7513254495737827E-2</v>
      </c>
    </row>
    <row r="1109" spans="10:18" x14ac:dyDescent="0.2">
      <c r="J1109" s="354">
        <v>44270</v>
      </c>
      <c r="K1109">
        <v>16.889999</v>
      </c>
      <c r="L1109">
        <v>18.899999999999999</v>
      </c>
      <c r="M1109">
        <v>16.719999000000001</v>
      </c>
      <c r="N1109">
        <v>17.780000999999999</v>
      </c>
      <c r="O1109">
        <v>15.576801</v>
      </c>
      <c r="P1109">
        <v>124193700</v>
      </c>
      <c r="R1109" s="273">
        <f>(O1109/O1108)*('16. câmbio USD-BRL'!O905/'16. câmbio USD-BRL'!O904)^-1-1</f>
        <v>6.5156373346247909E-2</v>
      </c>
    </row>
    <row r="1110" spans="10:18" x14ac:dyDescent="0.2">
      <c r="J1110" s="354">
        <v>44277</v>
      </c>
      <c r="K1110">
        <v>17.48</v>
      </c>
      <c r="L1110">
        <v>17.829999999999998</v>
      </c>
      <c r="M1110">
        <v>15.85</v>
      </c>
      <c r="N1110">
        <v>16.579999999999998</v>
      </c>
      <c r="O1110">
        <v>14.525499999999999</v>
      </c>
      <c r="P1110">
        <v>97743900</v>
      </c>
      <c r="R1110" s="273">
        <f>(O1110/O1109)*('16. câmbio USD-BRL'!O906/'16. câmbio USD-BRL'!O905)^-1-1</f>
        <v>-0.11046524666840574</v>
      </c>
    </row>
    <row r="1111" spans="10:18" x14ac:dyDescent="0.2">
      <c r="J1111" s="354">
        <v>44284</v>
      </c>
      <c r="K1111">
        <v>16.670000000000002</v>
      </c>
      <c r="L1111">
        <v>17.399999999999999</v>
      </c>
      <c r="M1111">
        <v>16.350000000000001</v>
      </c>
      <c r="N1111">
        <v>16.610001</v>
      </c>
      <c r="O1111">
        <v>14.551783</v>
      </c>
      <c r="P1111">
        <v>67094400</v>
      </c>
      <c r="R1111" s="273">
        <f>(O1111/O1110)*('16. câmbio USD-BRL'!O907/'16. câmbio USD-BRL'!O906)^-1-1</f>
        <v>1.0271230379246266E-2</v>
      </c>
    </row>
    <row r="1112" spans="10:18" x14ac:dyDescent="0.2">
      <c r="J1112" s="354">
        <v>44291</v>
      </c>
      <c r="K1112">
        <v>16.84</v>
      </c>
      <c r="L1112">
        <v>19.510000000000002</v>
      </c>
      <c r="M1112">
        <v>16.719999000000001</v>
      </c>
      <c r="N1112">
        <v>19.200001</v>
      </c>
      <c r="O1112">
        <v>16.820844999999998</v>
      </c>
      <c r="P1112">
        <v>97141800</v>
      </c>
      <c r="R1112" s="273">
        <f>(O1112/O1111)*('16. câmbio USD-BRL'!O908/'16. câmbio USD-BRL'!O907)^-1-1</f>
        <v>0.15938404363901126</v>
      </c>
    </row>
    <row r="1113" spans="10:18" x14ac:dyDescent="0.2">
      <c r="J1113" s="354">
        <v>44298</v>
      </c>
      <c r="K1113">
        <v>19.48</v>
      </c>
      <c r="L1113">
        <v>21.83</v>
      </c>
      <c r="M1113">
        <v>19.110001</v>
      </c>
      <c r="N1113">
        <v>21.57</v>
      </c>
      <c r="O1113">
        <v>18.897165000000001</v>
      </c>
      <c r="P1113">
        <v>95865500</v>
      </c>
      <c r="R1113" s="273">
        <f>(O1113/O1112)*('16. câmbio USD-BRL'!O909/'16. câmbio USD-BRL'!O908)^-1-1</f>
        <v>0.14164606649680911</v>
      </c>
    </row>
    <row r="1114" spans="10:18" x14ac:dyDescent="0.2">
      <c r="J1114" s="354">
        <v>44305</v>
      </c>
      <c r="K1114">
        <v>21.74</v>
      </c>
      <c r="L1114">
        <v>23.120000999999998</v>
      </c>
      <c r="M1114">
        <v>20.75</v>
      </c>
      <c r="N1114">
        <v>22.15</v>
      </c>
      <c r="O1114">
        <v>19.405294000000001</v>
      </c>
      <c r="P1114">
        <v>97990500</v>
      </c>
      <c r="R1114" s="273">
        <f>(O1114/O1113)*('16. câmbio USD-BRL'!O910/'16. câmbio USD-BRL'!O909)^-1-1</f>
        <v>5.0463813447947148E-2</v>
      </c>
    </row>
    <row r="1115" spans="10:18" x14ac:dyDescent="0.2">
      <c r="J1115" s="354">
        <v>44312</v>
      </c>
      <c r="K1115">
        <v>22.5</v>
      </c>
      <c r="L1115">
        <v>23.57</v>
      </c>
      <c r="M1115">
        <v>21.959999</v>
      </c>
      <c r="N1115">
        <v>22.450001</v>
      </c>
      <c r="O1115">
        <v>19.668123000000001</v>
      </c>
      <c r="P1115">
        <v>110131500</v>
      </c>
      <c r="R1115" s="273">
        <f>(O1115/O1114)*('16. câmbio USD-BRL'!O911/'16. câmbio USD-BRL'!O910)^-1-1</f>
        <v>2.0425261067876122E-2</v>
      </c>
    </row>
    <row r="1116" spans="10:18" x14ac:dyDescent="0.2">
      <c r="J1116" s="354">
        <v>44319</v>
      </c>
      <c r="K1116">
        <v>22.52</v>
      </c>
      <c r="L1116">
        <v>23.82</v>
      </c>
      <c r="M1116">
        <v>21.32</v>
      </c>
      <c r="N1116">
        <v>23.139999</v>
      </c>
      <c r="O1116">
        <v>20.389975</v>
      </c>
      <c r="P1116">
        <v>168425900</v>
      </c>
      <c r="R1116" s="273">
        <f>(O1116/O1115)*('16. câmbio USD-BRL'!O912/'16. câmbio USD-BRL'!O911)^-1-1</f>
        <v>7.6911370516902888E-2</v>
      </c>
    </row>
    <row r="1117" spans="10:18" x14ac:dyDescent="0.2">
      <c r="J1117" s="354">
        <v>44326</v>
      </c>
      <c r="K1117">
        <v>23.77</v>
      </c>
      <c r="L1117">
        <v>24.360001</v>
      </c>
      <c r="M1117">
        <v>20.23</v>
      </c>
      <c r="N1117">
        <v>20.299999</v>
      </c>
      <c r="O1117">
        <v>17.887487</v>
      </c>
      <c r="P1117">
        <v>126552900</v>
      </c>
      <c r="R1117" s="273">
        <f>(O1117/O1116)*('16. câmbio USD-BRL'!O913/'16. câmbio USD-BRL'!O912)^-1-1</f>
        <v>-0.12877070431295745</v>
      </c>
    </row>
    <row r="1118" spans="10:18" x14ac:dyDescent="0.2">
      <c r="J1118" s="354">
        <v>44333</v>
      </c>
      <c r="K1118">
        <v>20.6</v>
      </c>
      <c r="L1118">
        <v>21.08</v>
      </c>
      <c r="M1118">
        <v>19.709999</v>
      </c>
      <c r="N1118">
        <v>19.879999000000002</v>
      </c>
      <c r="O1118">
        <v>17.517401</v>
      </c>
      <c r="P1118">
        <v>80369200</v>
      </c>
      <c r="R1118" s="273">
        <f>(O1118/O1117)*('16. câmbio USD-BRL'!O914/'16. câmbio USD-BRL'!O913)^-1-1</f>
        <v>-3.797847884419292E-2</v>
      </c>
    </row>
    <row r="1119" spans="10:18" x14ac:dyDescent="0.2">
      <c r="J1119" s="354">
        <v>44340</v>
      </c>
      <c r="K1119">
        <v>19.639999</v>
      </c>
      <c r="L1119">
        <v>20.309999000000001</v>
      </c>
      <c r="M1119">
        <v>19.030000999999999</v>
      </c>
      <c r="N1119">
        <v>19.600000000000001</v>
      </c>
      <c r="O1119">
        <v>17.270679000000001</v>
      </c>
      <c r="P1119">
        <v>92730400</v>
      </c>
      <c r="R1119" s="273">
        <f>(O1119/O1118)*('16. câmbio USD-BRL'!O915/'16. câmbio USD-BRL'!O914)^-1-1</f>
        <v>1.2375284614753124E-2</v>
      </c>
    </row>
    <row r="1120" spans="10:18" x14ac:dyDescent="0.2">
      <c r="J1120" s="354">
        <v>44347</v>
      </c>
      <c r="K1120">
        <v>19.940000999999999</v>
      </c>
      <c r="L1120">
        <v>20.530000999999999</v>
      </c>
      <c r="M1120">
        <v>18.91</v>
      </c>
      <c r="N1120">
        <v>19.049999</v>
      </c>
      <c r="O1120">
        <v>16.790400000000002</v>
      </c>
      <c r="P1120">
        <v>93488100</v>
      </c>
      <c r="R1120" s="273">
        <f>(O1120/O1119)*('16. câmbio USD-BRL'!O916/'16. câmbio USD-BRL'!O915)^-1-1</f>
        <v>6.3659059456215861E-3</v>
      </c>
    </row>
    <row r="1121" spans="10:18" x14ac:dyDescent="0.2">
      <c r="J1121" s="354">
        <v>44354</v>
      </c>
      <c r="K1121">
        <v>18.91</v>
      </c>
      <c r="L1121">
        <v>19.170000000000002</v>
      </c>
      <c r="M1121">
        <v>18.16</v>
      </c>
      <c r="N1121">
        <v>18.920000000000002</v>
      </c>
      <c r="O1121">
        <v>16.675820999999999</v>
      </c>
      <c r="P1121">
        <v>81665000</v>
      </c>
      <c r="R1121" s="273">
        <f>(O1121/O1120)*('16. câmbio USD-BRL'!O917/'16. câmbio USD-BRL'!O916)^-1-1</f>
        <v>-1.9743434577584873E-2</v>
      </c>
    </row>
    <row r="1122" spans="10:18" x14ac:dyDescent="0.2">
      <c r="J1122" s="354">
        <v>44361</v>
      </c>
      <c r="K1122">
        <v>19.149999999999999</v>
      </c>
      <c r="L1122">
        <v>19.25</v>
      </c>
      <c r="M1122">
        <v>17.52</v>
      </c>
      <c r="N1122">
        <v>18.100000000000001</v>
      </c>
      <c r="O1122">
        <v>15.953085</v>
      </c>
      <c r="P1122">
        <v>77737400</v>
      </c>
      <c r="R1122" s="273">
        <f>(O1122/O1121)*('16. câmbio USD-BRL'!O918/'16. câmbio USD-BRL'!O917)^-1-1</f>
        <v>-3.8750975416945943E-2</v>
      </c>
    </row>
    <row r="1123" spans="10:18" x14ac:dyDescent="0.2">
      <c r="J1123" s="354">
        <v>44368</v>
      </c>
      <c r="K1123">
        <v>17.809999000000001</v>
      </c>
      <c r="L1123">
        <v>19.350000000000001</v>
      </c>
      <c r="M1123">
        <v>17.670000000000002</v>
      </c>
      <c r="N1123">
        <v>18.84</v>
      </c>
      <c r="O1123">
        <v>16.605308999999998</v>
      </c>
      <c r="P1123">
        <v>71326100</v>
      </c>
      <c r="R1123" s="273">
        <f>(O1123/O1122)*('16. câmbio USD-BRL'!O919/'16. câmbio USD-BRL'!O918)^-1-1</f>
        <v>7.3933171688064014E-2</v>
      </c>
    </row>
    <row r="1124" spans="10:18" x14ac:dyDescent="0.2">
      <c r="J1124" s="354">
        <v>44375</v>
      </c>
      <c r="K1124">
        <v>18.940000999999999</v>
      </c>
      <c r="L1124">
        <v>20.18</v>
      </c>
      <c r="M1124">
        <v>18.57</v>
      </c>
      <c r="N1124">
        <v>19.530000999999999</v>
      </c>
      <c r="O1124">
        <v>17.213467000000001</v>
      </c>
      <c r="P1124">
        <v>90327700</v>
      </c>
      <c r="R1124" s="273">
        <f>(O1124/O1123)*('16. câmbio USD-BRL'!O920/'16. câmbio USD-BRL'!O919)^-1-1</f>
        <v>1.1409513512335101E-2</v>
      </c>
    </row>
    <row r="1125" spans="10:18" x14ac:dyDescent="0.2">
      <c r="J1125" s="354">
        <v>44382</v>
      </c>
      <c r="K1125">
        <v>19.700001</v>
      </c>
      <c r="L1125">
        <v>20.07</v>
      </c>
      <c r="M1125">
        <v>18.940000999999999</v>
      </c>
      <c r="N1125">
        <v>19.57</v>
      </c>
      <c r="O1125">
        <v>17.248719999999999</v>
      </c>
      <c r="P1125">
        <v>60095300</v>
      </c>
      <c r="R1125" s="273">
        <f>(O1125/O1124)*('16. câmbio USD-BRL'!O921/'16. câmbio USD-BRL'!O920)^-1-1</f>
        <v>-3.6145193286285293E-2</v>
      </c>
    </row>
    <row r="1126" spans="10:18" x14ac:dyDescent="0.2">
      <c r="J1126" s="354">
        <v>44389</v>
      </c>
      <c r="K1126">
        <v>19.850000000000001</v>
      </c>
      <c r="L1126">
        <v>20.85</v>
      </c>
      <c r="M1126">
        <v>19.139999</v>
      </c>
      <c r="N1126">
        <v>19.329999999999998</v>
      </c>
      <c r="O1126">
        <v>17.037188</v>
      </c>
      <c r="P1126">
        <v>103869600</v>
      </c>
      <c r="R1126" s="273">
        <f>(O1126/O1125)*('16. câmbio USD-BRL'!O922/'16. câmbio USD-BRL'!O921)^-1-1</f>
        <v>1.5393913325727038E-2</v>
      </c>
    </row>
    <row r="1127" spans="10:18" x14ac:dyDescent="0.2">
      <c r="J1127" s="354">
        <v>44396</v>
      </c>
      <c r="K1127">
        <v>18.889999</v>
      </c>
      <c r="L1127">
        <v>20.440000999999999</v>
      </c>
      <c r="M1127">
        <v>18.52</v>
      </c>
      <c r="N1127">
        <v>20.200001</v>
      </c>
      <c r="O1127">
        <v>17.803996999999999</v>
      </c>
      <c r="P1127">
        <v>73331800</v>
      </c>
      <c r="R1127" s="273">
        <f>(O1127/O1126)*('16. câmbio USD-BRL'!O923/'16. câmbio USD-BRL'!O922)^-1-1</f>
        <v>2.6969470195682632E-2</v>
      </c>
    </row>
    <row r="1128" spans="10:18" x14ac:dyDescent="0.2">
      <c r="J1128" s="354">
        <v>44403</v>
      </c>
      <c r="K1128">
        <v>20.329999999999998</v>
      </c>
      <c r="L1128">
        <v>21.17</v>
      </c>
      <c r="M1128">
        <v>19.940000999999999</v>
      </c>
      <c r="N1128">
        <v>20.57</v>
      </c>
      <c r="O1128">
        <v>18.130106000000001</v>
      </c>
      <c r="P1128">
        <v>105855700</v>
      </c>
      <c r="R1128" s="273">
        <f>(O1128/O1127)*('16. câmbio USD-BRL'!O924/'16. câmbio USD-BRL'!O923)^-1-1</f>
        <v>1.8202309694854035E-2</v>
      </c>
    </row>
    <row r="1129" spans="10:18" x14ac:dyDescent="0.2">
      <c r="J1129" s="354">
        <v>44410</v>
      </c>
      <c r="K1129">
        <v>20.92</v>
      </c>
      <c r="L1129">
        <v>21.73</v>
      </c>
      <c r="M1129">
        <v>20.110001</v>
      </c>
      <c r="N1129">
        <v>21.59</v>
      </c>
      <c r="O1129">
        <v>19.029119000000001</v>
      </c>
      <c r="P1129">
        <v>108169600</v>
      </c>
      <c r="R1129" s="273">
        <f>(O1129/O1128)*('16. câmbio USD-BRL'!O925/'16. câmbio USD-BRL'!O924)^-1-1</f>
        <v>4.2807278151663297E-2</v>
      </c>
    </row>
    <row r="1130" spans="10:18" x14ac:dyDescent="0.2">
      <c r="J1130" s="354">
        <v>44417</v>
      </c>
      <c r="K1130">
        <v>21.200001</v>
      </c>
      <c r="L1130">
        <v>22.43</v>
      </c>
      <c r="M1130">
        <v>20.99</v>
      </c>
      <c r="N1130">
        <v>21.15</v>
      </c>
      <c r="O1130">
        <v>18.641311999999999</v>
      </c>
      <c r="P1130">
        <v>67887000</v>
      </c>
      <c r="R1130" s="273">
        <f>(O1130/O1129)*('16. câmbio USD-BRL'!O926/'16. câmbio USD-BRL'!O925)^-1-1</f>
        <v>-2.2354398160422395E-2</v>
      </c>
    </row>
    <row r="1131" spans="10:18" x14ac:dyDescent="0.2">
      <c r="J1131" s="354">
        <v>44424</v>
      </c>
      <c r="K1131">
        <v>20.870000999999998</v>
      </c>
      <c r="L1131">
        <v>20.870000999999998</v>
      </c>
      <c r="M1131">
        <v>16.850000000000001</v>
      </c>
      <c r="N1131">
        <v>17.100000000000001</v>
      </c>
      <c r="O1131">
        <v>15.071699000000001</v>
      </c>
      <c r="P1131">
        <v>135350000</v>
      </c>
      <c r="R1131" s="273">
        <f>(O1131/O1130)*('16. câmbio USD-BRL'!O927/'16. câmbio USD-BRL'!O926)^-1-1</f>
        <v>-0.21093081474159925</v>
      </c>
    </row>
    <row r="1132" spans="10:18" x14ac:dyDescent="0.2">
      <c r="J1132" s="354">
        <v>44431</v>
      </c>
      <c r="K1132">
        <v>17.190000999999999</v>
      </c>
      <c r="L1132">
        <v>18.57</v>
      </c>
      <c r="M1132">
        <v>16.75</v>
      </c>
      <c r="N1132">
        <v>18.5</v>
      </c>
      <c r="O1132">
        <v>16.305637000000001</v>
      </c>
      <c r="P1132">
        <v>110497900</v>
      </c>
      <c r="R1132" s="273">
        <f>(O1132/O1131)*('16. câmbio USD-BRL'!O928/'16. câmbio USD-BRL'!O927)^-1-1</f>
        <v>0.11792275494938798</v>
      </c>
    </row>
    <row r="1133" spans="10:18" x14ac:dyDescent="0.2">
      <c r="J1133" s="354">
        <v>44438</v>
      </c>
      <c r="K1133">
        <v>18.809999000000001</v>
      </c>
      <c r="L1133">
        <v>18.850000000000001</v>
      </c>
      <c r="M1133">
        <v>16.129999000000002</v>
      </c>
      <c r="N1133">
        <v>16.280000999999999</v>
      </c>
      <c r="O1133">
        <v>14.348962</v>
      </c>
      <c r="P1133">
        <v>128199900</v>
      </c>
      <c r="R1133" s="273">
        <f>(O1133/O1132)*('16. câmbio USD-BRL'!O929/'16. câmbio USD-BRL'!O928)^-1-1</f>
        <v>-0.11762561246433811</v>
      </c>
    </row>
    <row r="1134" spans="10:18" x14ac:dyDescent="0.2">
      <c r="J1134" s="354">
        <v>44445</v>
      </c>
      <c r="K1134">
        <v>15.91</v>
      </c>
      <c r="L1134">
        <v>16.68</v>
      </c>
      <c r="M1134">
        <v>15.14</v>
      </c>
      <c r="N1134">
        <v>15.31</v>
      </c>
      <c r="O1134">
        <v>14.344113</v>
      </c>
      <c r="P1134">
        <v>90236900</v>
      </c>
      <c r="R1134" s="273">
        <f>(O1134/O1133)*('16. câmbio USD-BRL'!O930/'16. câmbio USD-BRL'!O929)^-1-1</f>
        <v>-1.0785038229557453E-2</v>
      </c>
    </row>
    <row r="1135" spans="10:18" x14ac:dyDescent="0.2">
      <c r="J1135" s="354">
        <v>44452</v>
      </c>
      <c r="K1135">
        <v>15.46</v>
      </c>
      <c r="L1135">
        <v>16.09</v>
      </c>
      <c r="M1135">
        <v>13.82</v>
      </c>
      <c r="N1135">
        <v>13.92</v>
      </c>
      <c r="O1135">
        <v>13.041805999999999</v>
      </c>
      <c r="P1135">
        <v>137333600</v>
      </c>
      <c r="R1135" s="273">
        <f>(O1135/O1134)*('16. câmbio USD-BRL'!O931/'16. câmbio USD-BRL'!O930)^-1-1</f>
        <v>-9.8321956270183475E-2</v>
      </c>
    </row>
    <row r="1136" spans="10:18" x14ac:dyDescent="0.2">
      <c r="J1136" s="354">
        <v>44459</v>
      </c>
      <c r="K1136">
        <v>13.11</v>
      </c>
      <c r="L1136">
        <v>16.719999000000001</v>
      </c>
      <c r="M1136">
        <v>13.1</v>
      </c>
      <c r="N1136">
        <v>16.290001</v>
      </c>
      <c r="O1136">
        <v>15.262287000000001</v>
      </c>
      <c r="P1136">
        <v>190842400</v>
      </c>
      <c r="R1136" s="273">
        <f>(O1136/O1135)*('16. câmbio USD-BRL'!O932/'16. câmbio USD-BRL'!O931)^-1-1</f>
        <v>0.16708027358432287</v>
      </c>
    </row>
    <row r="1137" spans="10:18" x14ac:dyDescent="0.2">
      <c r="J1137" s="354">
        <v>44466</v>
      </c>
      <c r="K1137">
        <v>16.139999</v>
      </c>
      <c r="L1137">
        <v>17</v>
      </c>
      <c r="M1137">
        <v>14.62</v>
      </c>
      <c r="N1137">
        <v>16.870000999999998</v>
      </c>
      <c r="O1137">
        <v>15.805695999999999</v>
      </c>
      <c r="P1137">
        <v>142220800</v>
      </c>
      <c r="R1137" s="273">
        <f>(O1137/O1136)*('16. câmbio USD-BRL'!O933/'16. câmbio USD-BRL'!O932)^-1-1</f>
        <v>2.3500821466632571E-2</v>
      </c>
    </row>
    <row r="1138" spans="10:18" x14ac:dyDescent="0.2">
      <c r="J1138" s="354">
        <v>44473</v>
      </c>
      <c r="K1138">
        <v>16.879999000000002</v>
      </c>
      <c r="L1138">
        <v>16.940000999999999</v>
      </c>
      <c r="M1138">
        <v>15.16</v>
      </c>
      <c r="N1138">
        <v>16.549999</v>
      </c>
      <c r="O1138">
        <v>15.505882</v>
      </c>
      <c r="P1138">
        <v>131366900</v>
      </c>
      <c r="R1138" s="273">
        <f>(O1138/O1137)*('16. câmbio USD-BRL'!O934/'16. câmbio USD-BRL'!O933)^-1-1</f>
        <v>-4.4556750345952634E-2</v>
      </c>
    </row>
    <row r="1139" spans="10:18" x14ac:dyDescent="0.2">
      <c r="J1139" s="354">
        <v>44480</v>
      </c>
      <c r="K1139">
        <v>16.959999</v>
      </c>
      <c r="L1139">
        <v>17.370000999999998</v>
      </c>
      <c r="M1139">
        <v>16.02</v>
      </c>
      <c r="N1139">
        <v>16.579999999999998</v>
      </c>
      <c r="O1139">
        <v>15.533991</v>
      </c>
      <c r="P1139">
        <v>70022000</v>
      </c>
      <c r="R1139" s="273">
        <f>(O1139/O1138)*('16. câmbio USD-BRL'!O935/'16. câmbio USD-BRL'!O934)^-1-1</f>
        <v>1.1299411964969863E-2</v>
      </c>
    </row>
    <row r="1140" spans="10:18" x14ac:dyDescent="0.2">
      <c r="J1140" s="354">
        <v>44487</v>
      </c>
      <c r="K1140">
        <v>16.34</v>
      </c>
      <c r="L1140">
        <v>16.350000000000001</v>
      </c>
      <c r="M1140">
        <v>13.77</v>
      </c>
      <c r="N1140">
        <v>14.35</v>
      </c>
      <c r="O1140">
        <v>13.444679000000001</v>
      </c>
      <c r="P1140">
        <v>155111700</v>
      </c>
      <c r="R1140" s="273">
        <f>(O1140/O1139)*('16. câmbio USD-BRL'!O936/'16. câmbio USD-BRL'!O935)^-1-1</f>
        <v>-0.16395743662054907</v>
      </c>
    </row>
    <row r="1141" spans="10:18" x14ac:dyDescent="0.2">
      <c r="J1141" s="354">
        <v>44494</v>
      </c>
      <c r="K1141">
        <v>14.51</v>
      </c>
      <c r="L1141">
        <v>14.83</v>
      </c>
      <c r="M1141">
        <v>13.13</v>
      </c>
      <c r="N1141">
        <v>13.25</v>
      </c>
      <c r="O1141">
        <v>12.414076</v>
      </c>
      <c r="P1141">
        <v>116771800</v>
      </c>
      <c r="R1141" s="273">
        <f>(O1141/O1140)*('16. câmbio USD-BRL'!O937/'16. câmbio USD-BRL'!O936)^-1-1</f>
        <v>-7.4169754375223995E-2</v>
      </c>
    </row>
    <row r="1142" spans="10:18" x14ac:dyDescent="0.2">
      <c r="J1142" s="354">
        <v>44501</v>
      </c>
      <c r="K1142">
        <v>13.38</v>
      </c>
      <c r="L1142">
        <v>13.45</v>
      </c>
      <c r="M1142">
        <v>11.85</v>
      </c>
      <c r="N1142">
        <v>12.05</v>
      </c>
      <c r="O1142">
        <v>11.289783</v>
      </c>
      <c r="P1142">
        <v>98047600</v>
      </c>
      <c r="R1142" s="273">
        <f>(O1142/O1141)*('16. câmbio USD-BRL'!O938/'16. câmbio USD-BRL'!O937)^-1-1</f>
        <v>-7.5367991960609393E-2</v>
      </c>
    </row>
    <row r="1143" spans="10:18" x14ac:dyDescent="0.2">
      <c r="J1143" s="354">
        <v>44508</v>
      </c>
      <c r="K1143">
        <v>12.08</v>
      </c>
      <c r="L1143">
        <v>14.06</v>
      </c>
      <c r="M1143">
        <v>11.9</v>
      </c>
      <c r="N1143">
        <v>13.5</v>
      </c>
      <c r="O1143">
        <v>12.648304</v>
      </c>
      <c r="P1143">
        <v>117709800</v>
      </c>
      <c r="R1143" s="273">
        <f>(O1143/O1142)*('16. câmbio USD-BRL'!O939/'16. câmbio USD-BRL'!O938)^-1-1</f>
        <v>0.13747271180729403</v>
      </c>
    </row>
    <row r="1144" spans="10:18" x14ac:dyDescent="0.2">
      <c r="J1144" s="354">
        <v>44515</v>
      </c>
      <c r="K1144">
        <v>13.5</v>
      </c>
      <c r="L1144">
        <v>13.61</v>
      </c>
      <c r="M1144">
        <v>11.97</v>
      </c>
      <c r="N1144">
        <v>12.25</v>
      </c>
      <c r="O1144">
        <v>11.477164</v>
      </c>
      <c r="P1144">
        <v>90992200</v>
      </c>
      <c r="R1144" s="273">
        <f>(O1144/O1143)*('16. câmbio USD-BRL'!O940/'16. câmbio USD-BRL'!O939)^-1-1</f>
        <v>-0.10872753094711995</v>
      </c>
    </row>
    <row r="1145" spans="10:18" x14ac:dyDescent="0.2">
      <c r="J1145" s="354">
        <v>44522</v>
      </c>
      <c r="K1145">
        <v>12.66</v>
      </c>
      <c r="L1145">
        <v>14.02</v>
      </c>
      <c r="M1145">
        <v>12.34</v>
      </c>
      <c r="N1145">
        <v>12.91</v>
      </c>
      <c r="O1145">
        <v>12.095526</v>
      </c>
      <c r="P1145">
        <v>135028400</v>
      </c>
      <c r="R1145" s="273">
        <f>(O1145/O1144)*('16. câmbio USD-BRL'!O941/'16. câmbio USD-BRL'!O940)^-1-1</f>
        <v>4.421795925110561E-2</v>
      </c>
    </row>
    <row r="1146" spans="10:18" x14ac:dyDescent="0.2">
      <c r="J1146" s="354">
        <v>44529</v>
      </c>
      <c r="K1146">
        <v>13.5</v>
      </c>
      <c r="L1146">
        <v>14.73</v>
      </c>
      <c r="M1146">
        <v>13.28</v>
      </c>
      <c r="N1146">
        <v>14.23</v>
      </c>
      <c r="O1146">
        <v>13.332248999999999</v>
      </c>
      <c r="P1146">
        <v>137336400</v>
      </c>
      <c r="R1146" s="273">
        <f>(O1146/O1145)*('16. câmbio USD-BRL'!O942/'16. câmbio USD-BRL'!O941)^-1-1</f>
        <v>9.3994442064248895E-2</v>
      </c>
    </row>
    <row r="1147" spans="10:18" x14ac:dyDescent="0.2">
      <c r="J1147" s="354">
        <v>44536</v>
      </c>
      <c r="K1147">
        <v>14.53</v>
      </c>
      <c r="L1147">
        <v>15.67</v>
      </c>
      <c r="M1147">
        <v>14.15</v>
      </c>
      <c r="N1147">
        <v>15.21</v>
      </c>
      <c r="O1147">
        <v>14.250422</v>
      </c>
      <c r="P1147">
        <v>87750900</v>
      </c>
      <c r="R1147" s="273">
        <f>(O1147/O1146)*('16. câmbio USD-BRL'!O943/'16. câmbio USD-BRL'!O942)^-1-1</f>
        <v>7.6418615075247054E-2</v>
      </c>
    </row>
    <row r="1148" spans="10:18" x14ac:dyDescent="0.2">
      <c r="J1148" s="354">
        <v>44543</v>
      </c>
      <c r="K1148">
        <v>15.48</v>
      </c>
      <c r="L1148">
        <v>15.89</v>
      </c>
      <c r="M1148">
        <v>14.97</v>
      </c>
      <c r="N1148">
        <v>15.54</v>
      </c>
      <c r="O1148">
        <v>14.559602999999999</v>
      </c>
      <c r="P1148">
        <v>85213300</v>
      </c>
      <c r="R1148" s="273">
        <f>(O1148/O1147)*('16. câmbio USD-BRL'!O944/'16. câmbio USD-BRL'!O943)^-1-1</f>
        <v>6.8742027909751702E-3</v>
      </c>
    </row>
    <row r="1149" spans="10:18" x14ac:dyDescent="0.2">
      <c r="J1149" s="354">
        <v>44550</v>
      </c>
      <c r="K1149">
        <v>15.22</v>
      </c>
      <c r="L1149">
        <v>15.26</v>
      </c>
      <c r="M1149">
        <v>14.56</v>
      </c>
      <c r="N1149">
        <v>14.86</v>
      </c>
      <c r="O1149">
        <v>14.098693000000001</v>
      </c>
      <c r="P1149">
        <v>58355400</v>
      </c>
      <c r="R1149" s="273">
        <f>(O1149/O1148)*('16. câmbio USD-BRL'!O945/'16. câmbio USD-BRL'!O944)^-1-1</f>
        <v>-2.79070885123478E-2</v>
      </c>
    </row>
    <row r="1150" spans="10:18" x14ac:dyDescent="0.2">
      <c r="J1150" s="354">
        <v>44557</v>
      </c>
      <c r="K1150">
        <v>14.72</v>
      </c>
      <c r="L1150">
        <v>15.3</v>
      </c>
      <c r="M1150">
        <v>14.58</v>
      </c>
      <c r="N1150">
        <v>15.22</v>
      </c>
      <c r="O1150">
        <v>14.440250000000001</v>
      </c>
      <c r="P1150">
        <v>47046700</v>
      </c>
      <c r="R1150" s="273">
        <f>(O1150/O1149)*('16. câmbio USD-BRL'!O946/'16. câmbio USD-BRL'!O945)^-1-1</f>
        <v>4.2947749013499514E-2</v>
      </c>
    </row>
    <row r="1151" spans="10:18" x14ac:dyDescent="0.2">
      <c r="J1151" s="354">
        <v>44564</v>
      </c>
      <c r="K1151">
        <v>15.26</v>
      </c>
      <c r="L1151">
        <v>15.73</v>
      </c>
      <c r="M1151">
        <v>13.85</v>
      </c>
      <c r="N1151">
        <v>14.68</v>
      </c>
      <c r="O1151">
        <v>13.927916</v>
      </c>
      <c r="P1151">
        <v>103288100</v>
      </c>
      <c r="R1151" s="273">
        <f>(O1151/O1150)*('16. câmbio USD-BRL'!O947/'16. câmbio USD-BRL'!O946)^-1-1</f>
        <v>-4.6251273557218697E-2</v>
      </c>
    </row>
    <row r="1152" spans="10:18" x14ac:dyDescent="0.2">
      <c r="J1152" s="354">
        <v>44571</v>
      </c>
      <c r="K1152">
        <v>14.32</v>
      </c>
      <c r="L1152">
        <v>16.91</v>
      </c>
      <c r="M1152">
        <v>14.21</v>
      </c>
      <c r="N1152">
        <v>16.450001</v>
      </c>
      <c r="O1152">
        <v>15.607236</v>
      </c>
      <c r="P1152">
        <v>131353000</v>
      </c>
      <c r="R1152" s="273">
        <f>(O1152/O1151)*('16. câmbio USD-BRL'!O948/'16. câmbio USD-BRL'!O947)^-1-1</f>
        <v>0.14060089959571065</v>
      </c>
    </row>
    <row r="1153" spans="10:18" x14ac:dyDescent="0.2">
      <c r="J1153" s="354">
        <v>44578</v>
      </c>
      <c r="K1153">
        <v>16.299999</v>
      </c>
      <c r="L1153">
        <v>17.110001</v>
      </c>
      <c r="M1153">
        <v>15.77</v>
      </c>
      <c r="N1153">
        <v>15.86</v>
      </c>
      <c r="O1153">
        <v>15.047461999999999</v>
      </c>
      <c r="P1153">
        <v>81533500</v>
      </c>
      <c r="R1153" s="273">
        <f>(O1153/O1152)*('16. câmbio USD-BRL'!O949/'16. câmbio USD-BRL'!O948)^-1-1</f>
        <v>-2.2403669653611069E-2</v>
      </c>
    </row>
    <row r="1154" spans="10:18" x14ac:dyDescent="0.2">
      <c r="J1154" s="354">
        <v>44585</v>
      </c>
      <c r="K1154">
        <v>15.72</v>
      </c>
      <c r="L1154">
        <v>16.709999</v>
      </c>
      <c r="M1154">
        <v>15.34</v>
      </c>
      <c r="N1154">
        <v>16.010000000000002</v>
      </c>
      <c r="O1154">
        <v>15.189776999999999</v>
      </c>
      <c r="P1154">
        <v>125733700</v>
      </c>
      <c r="R1154" s="273">
        <f>(O1154/O1153)*('16. câmbio USD-BRL'!O950/'16. câmbio USD-BRL'!O949)^-1-1</f>
        <v>2.6806061441295714E-2</v>
      </c>
    </row>
    <row r="1155" spans="10:18" x14ac:dyDescent="0.2">
      <c r="J1155" s="354">
        <v>44592</v>
      </c>
      <c r="K1155">
        <v>15.96</v>
      </c>
      <c r="L1155">
        <v>16.82</v>
      </c>
      <c r="M1155">
        <v>15.7</v>
      </c>
      <c r="N1155">
        <v>16.32</v>
      </c>
      <c r="O1155">
        <v>15.483893999999999</v>
      </c>
      <c r="P1155">
        <v>90923000</v>
      </c>
      <c r="R1155" s="273">
        <f>(O1155/O1154)*('16. câmbio USD-BRL'!O951/'16. câmbio USD-BRL'!O950)^-1-1</f>
        <v>2.6634557062860109E-2</v>
      </c>
    </row>
    <row r="1156" spans="10:18" x14ac:dyDescent="0.2">
      <c r="J1156" s="354">
        <v>44599</v>
      </c>
      <c r="K1156">
        <v>16.549999</v>
      </c>
      <c r="L1156">
        <v>17.559999000000001</v>
      </c>
      <c r="M1156">
        <v>15.5</v>
      </c>
      <c r="N1156">
        <v>15.53</v>
      </c>
      <c r="O1156">
        <v>14.734368</v>
      </c>
      <c r="P1156">
        <v>141873200</v>
      </c>
      <c r="R1156" s="273">
        <f>(O1156/O1155)*('16. câmbio USD-BRL'!O952/'16. câmbio USD-BRL'!O951)^-1-1</f>
        <v>-3.4460148896406029E-2</v>
      </c>
    </row>
    <row r="1157" spans="10:18" x14ac:dyDescent="0.2">
      <c r="J1157" s="354">
        <v>44606</v>
      </c>
      <c r="K1157">
        <v>15.45</v>
      </c>
      <c r="L1157">
        <v>15.9</v>
      </c>
      <c r="M1157">
        <v>14.7</v>
      </c>
      <c r="N1157">
        <v>14.75</v>
      </c>
      <c r="O1157">
        <v>13.994329</v>
      </c>
      <c r="P1157">
        <v>117092400</v>
      </c>
      <c r="R1157" s="273">
        <f>(O1157/O1156)*('16. câmbio USD-BRL'!O953/'16. câmbio USD-BRL'!O952)^-1-1</f>
        <v>-2.9435513862780427E-2</v>
      </c>
    </row>
    <row r="1158" spans="10:18" x14ac:dyDescent="0.2">
      <c r="J1158" s="354">
        <v>44613</v>
      </c>
      <c r="K1158">
        <v>14.93</v>
      </c>
      <c r="L1158">
        <v>14.99</v>
      </c>
      <c r="M1158">
        <v>13.45</v>
      </c>
      <c r="N1158">
        <v>14.71</v>
      </c>
      <c r="O1158">
        <v>13.956379</v>
      </c>
      <c r="P1158">
        <v>83529400</v>
      </c>
      <c r="R1158" s="273">
        <f>(O1158/O1157)*('16. câmbio USD-BRL'!O954/'16. câmbio USD-BRL'!O953)^-1-1</f>
        <v>-7.0111885537178509E-3</v>
      </c>
    </row>
    <row r="1159" spans="10:18" x14ac:dyDescent="0.2">
      <c r="J1159" s="354">
        <v>44620</v>
      </c>
      <c r="K1159">
        <v>14.71</v>
      </c>
      <c r="L1159">
        <v>16.110001</v>
      </c>
      <c r="M1159">
        <v>14.71</v>
      </c>
      <c r="N1159">
        <v>15.83</v>
      </c>
      <c r="O1159">
        <v>15.018998</v>
      </c>
      <c r="P1159">
        <v>74381600</v>
      </c>
      <c r="R1159" s="273">
        <f>(O1159/O1158)*('16. câmbio USD-BRL'!O955/'16. câmbio USD-BRL'!O954)^-1-1</f>
        <v>0.10307724244123229</v>
      </c>
    </row>
    <row r="1160" spans="10:18" x14ac:dyDescent="0.2">
      <c r="J1160" s="354">
        <v>44627</v>
      </c>
      <c r="K1160">
        <v>16.040001</v>
      </c>
      <c r="L1160">
        <v>16.18</v>
      </c>
      <c r="M1160">
        <v>14.73</v>
      </c>
      <c r="N1160">
        <v>14.74</v>
      </c>
      <c r="O1160">
        <v>13.984840999999999</v>
      </c>
      <c r="P1160">
        <v>71545700</v>
      </c>
      <c r="R1160" s="273">
        <f>(O1160/O1159)*('16. câmbio USD-BRL'!O956/'16. câmbio USD-BRL'!O955)^-1-1</f>
        <v>-7.6154508743624727E-2</v>
      </c>
    </row>
    <row r="1161" spans="10:18" x14ac:dyDescent="0.2">
      <c r="J1161" s="354">
        <v>44634</v>
      </c>
      <c r="K1161">
        <v>14.39</v>
      </c>
      <c r="L1161">
        <v>14.68</v>
      </c>
      <c r="M1161">
        <v>13.18</v>
      </c>
      <c r="N1161">
        <v>14.6</v>
      </c>
      <c r="O1161">
        <v>13.852015</v>
      </c>
      <c r="P1161">
        <v>109655800</v>
      </c>
      <c r="R1161" s="273">
        <f>(O1161/O1160)*('16. câmbio USD-BRL'!O957/'16. câmbio USD-BRL'!O956)^-1-1</f>
        <v>5.9985061844947118E-4</v>
      </c>
    </row>
    <row r="1162" spans="10:18" x14ac:dyDescent="0.2">
      <c r="J1162" s="354">
        <v>44641</v>
      </c>
      <c r="K1162">
        <v>14.72</v>
      </c>
      <c r="L1162">
        <v>14.97</v>
      </c>
      <c r="M1162">
        <v>13.89</v>
      </c>
      <c r="N1162">
        <v>13.93</v>
      </c>
      <c r="O1162">
        <v>13.216340000000001</v>
      </c>
      <c r="P1162">
        <v>79986200</v>
      </c>
      <c r="R1162" s="273">
        <f>(O1162/O1161)*('16. câmbio USD-BRL'!O958/'16. câmbio USD-BRL'!O957)^-1-1</f>
        <v>1.0570990597376539E-2</v>
      </c>
    </row>
    <row r="1163" spans="10:18" x14ac:dyDescent="0.2">
      <c r="J1163" s="354">
        <v>44648</v>
      </c>
      <c r="K1163">
        <v>14.17</v>
      </c>
      <c r="L1163">
        <v>14.5</v>
      </c>
      <c r="M1163">
        <v>13.69</v>
      </c>
      <c r="N1163">
        <v>13.77</v>
      </c>
      <c r="O1163">
        <v>13.064537</v>
      </c>
      <c r="P1163">
        <v>86048800</v>
      </c>
      <c r="R1163" s="273">
        <f>(O1163/O1162)*('16. câmbio USD-BRL'!O959/'16. câmbio USD-BRL'!O958)^-1-1</f>
        <v>6.6927167607506721E-3</v>
      </c>
    </row>
    <row r="1164" spans="10:18" x14ac:dyDescent="0.2">
      <c r="J1164" s="354">
        <v>44655</v>
      </c>
      <c r="K1164">
        <v>13.82</v>
      </c>
      <c r="L1164">
        <v>14.2</v>
      </c>
      <c r="M1164">
        <v>13.02</v>
      </c>
      <c r="N1164">
        <v>13.05</v>
      </c>
      <c r="O1164">
        <v>12.381424000000001</v>
      </c>
      <c r="P1164">
        <v>88744700</v>
      </c>
      <c r="R1164" s="273">
        <f>(O1164/O1163)*('16. câmbio USD-BRL'!O960/'16. câmbio USD-BRL'!O959)^-1-1</f>
        <v>-6.0644999607310734E-2</v>
      </c>
    </row>
    <row r="1165" spans="10:18" x14ac:dyDescent="0.2">
      <c r="J1165" s="354">
        <v>44662</v>
      </c>
      <c r="K1165">
        <v>12.94</v>
      </c>
      <c r="L1165">
        <v>13.28</v>
      </c>
      <c r="M1165">
        <v>12.76</v>
      </c>
      <c r="N1165">
        <v>12.92</v>
      </c>
      <c r="O1165">
        <v>12.258082999999999</v>
      </c>
      <c r="P1165">
        <v>69358600</v>
      </c>
      <c r="R1165" s="273">
        <f>(O1165/O1164)*('16. câmbio USD-BRL'!O961/'16. câmbio USD-BRL'!O960)^-1-1</f>
        <v>-1.0614698807133727E-2</v>
      </c>
    </row>
    <row r="1166" spans="10:18" x14ac:dyDescent="0.2">
      <c r="J1166" s="354">
        <v>44669</v>
      </c>
      <c r="K1166">
        <v>12.87</v>
      </c>
      <c r="L1166">
        <v>13.18</v>
      </c>
      <c r="M1166">
        <v>11.82</v>
      </c>
      <c r="N1166">
        <v>11.94</v>
      </c>
      <c r="O1166">
        <v>11.328291</v>
      </c>
      <c r="P1166">
        <v>92279900</v>
      </c>
      <c r="R1166" s="273">
        <f>(O1166/O1165)*('16. câmbio USD-BRL'!O962/'16. câmbio USD-BRL'!O961)^-1-1</f>
        <v>-9.4023674515923084E-2</v>
      </c>
    </row>
    <row r="1167" spans="10:18" x14ac:dyDescent="0.2">
      <c r="J1167" s="354">
        <v>44676</v>
      </c>
      <c r="K1167">
        <v>11.56</v>
      </c>
      <c r="L1167">
        <v>12.4</v>
      </c>
      <c r="M1167">
        <v>11.3</v>
      </c>
      <c r="N1167">
        <v>11.31</v>
      </c>
      <c r="O1167">
        <v>10.730567000000001</v>
      </c>
      <c r="P1167">
        <v>91058000</v>
      </c>
      <c r="R1167" s="273">
        <f>(O1167/O1166)*('16. câmbio USD-BRL'!O963/'16. câmbio USD-BRL'!O962)^-1-1</f>
        <v>-8.6194101179056903E-2</v>
      </c>
    </row>
    <row r="1168" spans="10:18" x14ac:dyDescent="0.2">
      <c r="J1168" s="354">
        <v>44683</v>
      </c>
      <c r="K1168">
        <v>11.25</v>
      </c>
      <c r="L1168">
        <v>11.57</v>
      </c>
      <c r="M1168">
        <v>10.7</v>
      </c>
      <c r="N1168">
        <v>10.97</v>
      </c>
      <c r="O1168">
        <v>10.97</v>
      </c>
      <c r="P1168">
        <v>65977400</v>
      </c>
      <c r="R1168" s="273">
        <f>(O1168/O1167)*('16. câmbio USD-BRL'!O964/'16. câmbio USD-BRL'!O963)^-1-1</f>
        <v>2.5653354466603773E-4</v>
      </c>
    </row>
    <row r="1169" spans="10:18" x14ac:dyDescent="0.2">
      <c r="J1169" s="354">
        <v>44690</v>
      </c>
      <c r="K1169">
        <v>10.79</v>
      </c>
      <c r="L1169">
        <v>10.95</v>
      </c>
      <c r="M1169">
        <v>9.68</v>
      </c>
      <c r="N1169">
        <v>10.53</v>
      </c>
      <c r="O1169">
        <v>10.53</v>
      </c>
      <c r="P1169">
        <v>143823700</v>
      </c>
      <c r="R1169" s="273">
        <f>(O1169/O1168)*('16. câmbio USD-BRL'!O965/'16. câmbio USD-BRL'!O964)^-1-1</f>
        <v>-3.5877033853507934E-2</v>
      </c>
    </row>
    <row r="1170" spans="10:18" x14ac:dyDescent="0.2">
      <c r="J1170" s="354">
        <v>44697</v>
      </c>
      <c r="K1170">
        <v>10.53</v>
      </c>
      <c r="L1170">
        <v>11.28</v>
      </c>
      <c r="M1170">
        <v>10.31</v>
      </c>
      <c r="N1170">
        <v>11.05</v>
      </c>
      <c r="O1170">
        <v>11.05</v>
      </c>
      <c r="P1170">
        <v>61989300</v>
      </c>
      <c r="R1170" s="273">
        <f>(O1170/O1169)*('16. câmbio USD-BRL'!O966/'16. câmbio USD-BRL'!O965)^-1-1</f>
        <v>8.7684808831101302E-2</v>
      </c>
    </row>
    <row r="1171" spans="10:18" x14ac:dyDescent="0.2">
      <c r="J1171" s="354">
        <v>44704</v>
      </c>
      <c r="K1171">
        <v>11.2</v>
      </c>
      <c r="L1171">
        <v>11.91</v>
      </c>
      <c r="M1171">
        <v>11.14</v>
      </c>
      <c r="N1171">
        <v>11.27</v>
      </c>
      <c r="O1171">
        <v>11.27</v>
      </c>
      <c r="P1171">
        <v>88687100</v>
      </c>
      <c r="R1171" s="273">
        <f>(O1171/O1170)*('16. câmbio USD-BRL'!O967/'16. câmbio USD-BRL'!O966)^-1-1</f>
        <v>5.2279024038903943E-2</v>
      </c>
    </row>
    <row r="1172" spans="10:18" x14ac:dyDescent="0.2">
      <c r="J1172" s="354">
        <v>44711</v>
      </c>
      <c r="K1172">
        <v>11.4</v>
      </c>
      <c r="L1172">
        <v>11.94</v>
      </c>
      <c r="M1172">
        <v>10.83</v>
      </c>
      <c r="N1172">
        <v>11.67</v>
      </c>
      <c r="O1172">
        <v>11.67</v>
      </c>
      <c r="P1172">
        <v>75099900</v>
      </c>
      <c r="R1172" s="273">
        <f>(O1172/O1171)*('16. câmbio USD-BRL'!O968/'16. câmbio USD-BRL'!O967)^-1-1</f>
        <v>3.7181106416881438E-2</v>
      </c>
    </row>
    <row r="1173" spans="10:18" x14ac:dyDescent="0.2">
      <c r="J1173" s="354">
        <v>44718</v>
      </c>
      <c r="K1173">
        <v>11.72</v>
      </c>
      <c r="L1173">
        <v>11.8</v>
      </c>
      <c r="M1173">
        <v>9.7799999999999994</v>
      </c>
      <c r="N1173">
        <v>10.11</v>
      </c>
      <c r="O1173">
        <v>10.11</v>
      </c>
      <c r="P1173">
        <v>103826600</v>
      </c>
      <c r="R1173" s="273">
        <f>(O1173/O1172)*('16. câmbio USD-BRL'!O969/'16. câmbio USD-BRL'!O968)^-1-1</f>
        <v>-0.17913758351454201</v>
      </c>
    </row>
    <row r="1174" spans="10:18" x14ac:dyDescent="0.2">
      <c r="J1174" s="354">
        <v>44725</v>
      </c>
      <c r="K1174">
        <v>9.7200000000000006</v>
      </c>
      <c r="L1174">
        <v>9.7899999999999991</v>
      </c>
      <c r="M1174">
        <v>8.58</v>
      </c>
      <c r="N1174">
        <v>8.77</v>
      </c>
      <c r="O1174">
        <v>8.77</v>
      </c>
      <c r="P1174">
        <v>86125000</v>
      </c>
      <c r="R1174" s="273">
        <f>(O1174/O1173)*('16. câmbio USD-BRL'!O970/'16. câmbio USD-BRL'!O969)^-1-1</f>
        <v>-0.16096340871531178</v>
      </c>
    </row>
    <row r="1175" spans="10:18" x14ac:dyDescent="0.2">
      <c r="J1175" s="354">
        <v>44732</v>
      </c>
      <c r="K1175">
        <v>8.4600000000000009</v>
      </c>
      <c r="L1175">
        <v>9.23</v>
      </c>
      <c r="M1175">
        <v>8.42</v>
      </c>
      <c r="N1175">
        <v>8.9700000000000006</v>
      </c>
      <c r="O1175">
        <v>8.9700000000000006</v>
      </c>
      <c r="P1175">
        <v>97111400</v>
      </c>
      <c r="R1175" s="273">
        <f>(O1175/O1174)*('16. câmbio USD-BRL'!O971/'16. câmbio USD-BRL'!O970)^-1-1</f>
        <v>5.3595314455274767E-3</v>
      </c>
    </row>
    <row r="1176" spans="10:18" x14ac:dyDescent="0.2">
      <c r="J1176" s="354">
        <v>44739</v>
      </c>
      <c r="K1176">
        <v>9.16</v>
      </c>
      <c r="L1176">
        <v>9.48</v>
      </c>
      <c r="M1176">
        <v>8.33</v>
      </c>
      <c r="N1176">
        <v>8.5500000000000007</v>
      </c>
      <c r="O1176">
        <v>8.5500000000000007</v>
      </c>
      <c r="P1176">
        <v>80897500</v>
      </c>
      <c r="R1176" s="273">
        <f>(O1176/O1175)*('16. câmbio USD-BRL'!O972/'16. câmbio USD-BRL'!O971)^-1-1</f>
        <v>-6.284312932058278E-2</v>
      </c>
    </row>
    <row r="1177" spans="10:18" x14ac:dyDescent="0.2">
      <c r="J1177" s="354">
        <v>44746</v>
      </c>
      <c r="K1177">
        <v>8.4600000000000009</v>
      </c>
      <c r="L1177">
        <v>9.1999999999999993</v>
      </c>
      <c r="M1177">
        <v>8.23</v>
      </c>
      <c r="N1177">
        <v>8.61</v>
      </c>
      <c r="O1177">
        <v>8.61</v>
      </c>
      <c r="P1177">
        <v>77561400</v>
      </c>
      <c r="R1177" s="273">
        <f>(O1177/O1176)*('16. câmbio USD-BRL'!O973/'16. câmbio USD-BRL'!O972)^-1-1</f>
        <v>2.2320712659161579E-2</v>
      </c>
    </row>
    <row r="1178" spans="10:18" x14ac:dyDescent="0.2">
      <c r="J1178" s="354">
        <v>44753</v>
      </c>
      <c r="K1178">
        <v>8.3800000000000008</v>
      </c>
      <c r="L1178">
        <v>8.56</v>
      </c>
      <c r="M1178">
        <v>7.93</v>
      </c>
      <c r="N1178">
        <v>8.3800000000000008</v>
      </c>
      <c r="O1178">
        <v>8.3800000000000008</v>
      </c>
      <c r="P1178">
        <v>99692300</v>
      </c>
      <c r="R1178" s="273">
        <f>(O1178/O1177)*('16. câmbio USD-BRL'!O974/'16. câmbio USD-BRL'!O973)^-1-1</f>
        <v>-5.5805645333115161E-2</v>
      </c>
    </row>
    <row r="1179" spans="10:18" x14ac:dyDescent="0.2">
      <c r="J1179" s="354">
        <v>44760</v>
      </c>
      <c r="K1179">
        <v>8.5500000000000007</v>
      </c>
      <c r="L1179">
        <v>9.3000000000000007</v>
      </c>
      <c r="M1179">
        <v>8.35</v>
      </c>
      <c r="N1179">
        <v>8.91</v>
      </c>
      <c r="O1179">
        <v>8.91</v>
      </c>
      <c r="P1179">
        <v>80274900</v>
      </c>
      <c r="R1179" s="273">
        <f>(O1179/O1178)*('16. câmbio USD-BRL'!O975/'16. câmbio USD-BRL'!O974)^-1-1</f>
        <v>4.7837024725043253E-2</v>
      </c>
    </row>
    <row r="1180" spans="10:18" x14ac:dyDescent="0.2">
      <c r="J1180" s="354">
        <v>44767</v>
      </c>
      <c r="K1180">
        <v>9.1</v>
      </c>
      <c r="L1180">
        <v>9.1999999999999993</v>
      </c>
      <c r="M1180">
        <v>8.57</v>
      </c>
      <c r="N1180">
        <v>8.61</v>
      </c>
      <c r="O1180">
        <v>8.61</v>
      </c>
      <c r="P1180">
        <v>75256500</v>
      </c>
      <c r="R1180" s="273">
        <f>(O1180/O1179)*('16. câmbio USD-BRL'!O976/'16. câmbio USD-BRL'!O975)^-1-1</f>
        <v>2.646862633711855E-2</v>
      </c>
    </row>
    <row r="1181" spans="10:18" x14ac:dyDescent="0.2">
      <c r="J1181" s="354">
        <v>44774</v>
      </c>
      <c r="K1181">
        <v>8.6300000000000008</v>
      </c>
      <c r="L1181">
        <v>9.06</v>
      </c>
      <c r="M1181">
        <v>8.07</v>
      </c>
      <c r="N1181">
        <v>8.76</v>
      </c>
      <c r="O1181">
        <v>8.76</v>
      </c>
      <c r="P1181">
        <v>98821300</v>
      </c>
      <c r="R1181" s="273">
        <f>(O1181/O1180)*('16. câmbio USD-BRL'!O977/'16. câmbio USD-BRL'!O976)^-1-1</f>
        <v>1.9511573910581115E-2</v>
      </c>
    </row>
    <row r="1182" spans="10:18" x14ac:dyDescent="0.2">
      <c r="J1182" s="354">
        <v>44781</v>
      </c>
      <c r="K1182">
        <v>8.85</v>
      </c>
      <c r="L1182">
        <v>9.57</v>
      </c>
      <c r="M1182">
        <v>8.69</v>
      </c>
      <c r="N1182">
        <v>9.51</v>
      </c>
      <c r="O1182">
        <v>9.51</v>
      </c>
      <c r="P1182">
        <v>69579700</v>
      </c>
      <c r="R1182" s="273">
        <f>(O1182/O1181)*('16. câmbio USD-BRL'!O978/'16. câmbio USD-BRL'!O977)^-1-1</f>
        <v>0.10397247856012148</v>
      </c>
    </row>
    <row r="1183" spans="10:18" x14ac:dyDescent="0.2">
      <c r="J1183" s="354">
        <v>44788</v>
      </c>
      <c r="K1183">
        <v>9.33</v>
      </c>
      <c r="L1183">
        <v>9.52</v>
      </c>
      <c r="M1183">
        <v>8.86</v>
      </c>
      <c r="N1183">
        <v>9.0500000000000007</v>
      </c>
      <c r="O1183">
        <v>9.0500000000000007</v>
      </c>
      <c r="P1183">
        <v>84424200</v>
      </c>
      <c r="R1183" s="273">
        <f>(O1183/O1182)*('16. câmbio USD-BRL'!O979/'16. câmbio USD-BRL'!O978)^-1-1</f>
        <v>-6.4809323274732322E-2</v>
      </c>
    </row>
    <row r="1184" spans="10:18" x14ac:dyDescent="0.2">
      <c r="J1184" s="354">
        <v>44795</v>
      </c>
      <c r="K1184">
        <v>8.92</v>
      </c>
      <c r="L1184">
        <v>9.77</v>
      </c>
      <c r="M1184">
        <v>8.66</v>
      </c>
      <c r="N1184">
        <v>8.67</v>
      </c>
      <c r="O1184">
        <v>8.67</v>
      </c>
      <c r="P1184">
        <v>134844300</v>
      </c>
      <c r="R1184" s="273">
        <f>(O1184/O1183)*('16. câmbio USD-BRL'!O980/'16. câmbio USD-BRL'!O979)^-1-1</f>
        <v>-2.2065108264749722E-2</v>
      </c>
    </row>
    <row r="1185" spans="10:18" x14ac:dyDescent="0.2">
      <c r="J1185" s="354">
        <v>44802</v>
      </c>
      <c r="K1185">
        <v>8.52</v>
      </c>
      <c r="L1185">
        <v>8.6300000000000008</v>
      </c>
      <c r="M1185">
        <v>7.88</v>
      </c>
      <c r="N1185">
        <v>8.27</v>
      </c>
      <c r="O1185">
        <v>8.27</v>
      </c>
      <c r="P1185">
        <v>132026100</v>
      </c>
      <c r="R1185" s="273">
        <f>(O1185/O1184)*('16. câmbio USD-BRL'!O981/'16. câmbio USD-BRL'!O980)^-1-1</f>
        <v>-6.6834575450563594E-2</v>
      </c>
    </row>
    <row r="1186" spans="10:18" x14ac:dyDescent="0.2">
      <c r="J1186" s="354">
        <v>44809</v>
      </c>
      <c r="K1186">
        <v>8.3800000000000008</v>
      </c>
      <c r="L1186">
        <v>8.58</v>
      </c>
      <c r="M1186">
        <v>8</v>
      </c>
      <c r="N1186">
        <v>8.4</v>
      </c>
      <c r="O1186">
        <v>8.4</v>
      </c>
      <c r="P1186">
        <v>76039700</v>
      </c>
      <c r="R1186" s="273">
        <f>(O1186/O1185)*('16. câmbio USD-BRL'!O982/'16. câmbio USD-BRL'!O981)^-1-1</f>
        <v>2.0594858239709302E-2</v>
      </c>
    </row>
    <row r="1187" spans="10:18" x14ac:dyDescent="0.2">
      <c r="J1187" s="354">
        <v>44816</v>
      </c>
      <c r="K1187">
        <v>8.5</v>
      </c>
      <c r="L1187">
        <v>8.73</v>
      </c>
      <c r="M1187">
        <v>7.58</v>
      </c>
      <c r="N1187">
        <v>7.65</v>
      </c>
      <c r="O1187">
        <v>7.65</v>
      </c>
      <c r="P1187">
        <v>128621700</v>
      </c>
      <c r="R1187" s="273">
        <f>(O1187/O1186)*('16. câmbio USD-BRL'!O983/'16. câmbio USD-BRL'!O982)^-1-1</f>
        <v>-0.10695263775422714</v>
      </c>
    </row>
    <row r="1188" spans="10:18" x14ac:dyDescent="0.2">
      <c r="J1188" s="354">
        <v>44823</v>
      </c>
      <c r="K1188">
        <v>7.61</v>
      </c>
      <c r="L1188">
        <v>8.09</v>
      </c>
      <c r="M1188">
        <v>7.53</v>
      </c>
      <c r="N1188">
        <v>7.61</v>
      </c>
      <c r="O1188">
        <v>7.61</v>
      </c>
      <c r="P1188">
        <v>130756200</v>
      </c>
      <c r="R1188" s="273">
        <f>(O1188/O1187)*('16. câmbio USD-BRL'!O984/'16. câmbio USD-BRL'!O983)^-1-1</f>
        <v>-7.7435761734205855E-3</v>
      </c>
    </row>
    <row r="1189" spans="10:18" x14ac:dyDescent="0.2">
      <c r="J1189" s="354">
        <v>44830</v>
      </c>
      <c r="K1189">
        <v>7.55</v>
      </c>
      <c r="L1189">
        <v>7.63</v>
      </c>
      <c r="M1189">
        <v>6.89</v>
      </c>
      <c r="N1189">
        <v>7.52</v>
      </c>
      <c r="O1189">
        <v>7.52</v>
      </c>
      <c r="P1189">
        <v>103766500</v>
      </c>
      <c r="R1189" s="273">
        <f>(O1189/O1188)*('16. câmbio USD-BRL'!O985/'16. câmbio USD-BRL'!O984)^-1-1</f>
        <v>-3.861591983405066E-2</v>
      </c>
    </row>
    <row r="1190" spans="10:18" x14ac:dyDescent="0.2">
      <c r="J1190" s="354">
        <v>44837</v>
      </c>
      <c r="K1190">
        <v>7.78</v>
      </c>
      <c r="L1190">
        <v>8.11</v>
      </c>
      <c r="M1190">
        <v>7.61</v>
      </c>
      <c r="N1190">
        <v>7.68</v>
      </c>
      <c r="O1190">
        <v>7.68</v>
      </c>
      <c r="P1190">
        <v>108969200</v>
      </c>
      <c r="R1190" s="273">
        <f>(O1190/O1189)*('16. câmbio USD-BRL'!O986/'16. câmbio USD-BRL'!O985)^-1-1</f>
        <v>6.1518340666000926E-2</v>
      </c>
    </row>
    <row r="1191" spans="10:18" x14ac:dyDescent="0.2">
      <c r="J1191" s="354">
        <v>44844</v>
      </c>
      <c r="K1191">
        <v>7.77</v>
      </c>
      <c r="L1191">
        <v>7.82</v>
      </c>
      <c r="M1191">
        <v>7.36</v>
      </c>
      <c r="N1191">
        <v>7.39</v>
      </c>
      <c r="O1191">
        <v>7.39</v>
      </c>
      <c r="P1191">
        <v>50003700</v>
      </c>
      <c r="R1191" s="273">
        <f>(O1191/O1190)*('16. câmbio USD-BRL'!O987/'16. câmbio USD-BRL'!O986)^-1-1</f>
        <v>-5.9507475952957689E-2</v>
      </c>
    </row>
    <row r="1192" spans="10:18" x14ac:dyDescent="0.2">
      <c r="J1192" s="354">
        <v>44851</v>
      </c>
      <c r="K1192">
        <v>7.45</v>
      </c>
      <c r="L1192">
        <v>7.83</v>
      </c>
      <c r="M1192">
        <v>7.22</v>
      </c>
      <c r="N1192">
        <v>7.81</v>
      </c>
      <c r="O1192">
        <v>7.81</v>
      </c>
      <c r="P1192">
        <v>85873100</v>
      </c>
      <c r="R1192" s="273">
        <f>(O1192/O1191)*('16. câmbio USD-BRL'!O988/'16. câmbio USD-BRL'!O987)^-1-1</f>
        <v>9.0641414233237017E-2</v>
      </c>
    </row>
    <row r="1193" spans="10:18" x14ac:dyDescent="0.2">
      <c r="J1193" s="354">
        <v>44858</v>
      </c>
      <c r="K1193">
        <v>7.71</v>
      </c>
      <c r="L1193">
        <v>7.97</v>
      </c>
      <c r="M1193">
        <v>7.12</v>
      </c>
      <c r="N1193">
        <v>7.35</v>
      </c>
      <c r="O1193">
        <v>7.35</v>
      </c>
      <c r="P1193">
        <v>101811900</v>
      </c>
      <c r="R1193" s="273">
        <f>(O1193/O1192)*('16. câmbio USD-BRL'!O989/'16. câmbio USD-BRL'!O988)^-1-1</f>
        <v>-8.2139428230534772E-2</v>
      </c>
    </row>
    <row r="1194" spans="10:18" x14ac:dyDescent="0.2">
      <c r="J1194" s="354">
        <v>44865</v>
      </c>
      <c r="K1194">
        <v>7.17</v>
      </c>
      <c r="L1194">
        <v>8.15</v>
      </c>
      <c r="M1194">
        <v>7.1</v>
      </c>
      <c r="N1194">
        <v>8.02</v>
      </c>
      <c r="O1194">
        <v>8.02</v>
      </c>
      <c r="P1194">
        <v>96666500</v>
      </c>
      <c r="R1194" s="273">
        <f>(O1194/O1193)*('16. câmbio USD-BRL'!O990/'16. câmbio USD-BRL'!O989)^-1-1</f>
        <v>0.14434349701171034</v>
      </c>
    </row>
    <row r="1195" spans="10:18" x14ac:dyDescent="0.2">
      <c r="J1195" s="354">
        <v>44872</v>
      </c>
      <c r="K1195">
        <v>8.0299999999999994</v>
      </c>
      <c r="L1195">
        <v>8.08</v>
      </c>
      <c r="M1195">
        <v>7.18</v>
      </c>
      <c r="N1195">
        <v>8.0500000000000007</v>
      </c>
      <c r="O1195">
        <v>8.0500000000000007</v>
      </c>
      <c r="P1195">
        <v>118852200</v>
      </c>
      <c r="R1195" s="273">
        <f>(O1195/O1194)*('16. câmbio USD-BRL'!O991/'16. câmbio USD-BRL'!O990)^-1-1</f>
        <v>-4.1207219491760316E-2</v>
      </c>
    </row>
    <row r="1196" spans="10:18" x14ac:dyDescent="0.2">
      <c r="J1196" s="354">
        <v>44879</v>
      </c>
      <c r="K1196">
        <v>8.1</v>
      </c>
      <c r="L1196">
        <v>8.14</v>
      </c>
      <c r="M1196">
        <v>7.47</v>
      </c>
      <c r="N1196">
        <v>7.58</v>
      </c>
      <c r="O1196">
        <v>7.58</v>
      </c>
      <c r="P1196">
        <v>74668000</v>
      </c>
      <c r="R1196" s="273">
        <f>(O1196/O1195)*('16. câmbio USD-BRL'!O992/'16. câmbio USD-BRL'!O991)^-1-1</f>
        <v>-7.6267954832775708E-2</v>
      </c>
    </row>
    <row r="1197" spans="10:18" x14ac:dyDescent="0.2">
      <c r="J1197" s="354">
        <v>44886</v>
      </c>
      <c r="K1197">
        <v>7.6</v>
      </c>
      <c r="L1197">
        <v>7.92</v>
      </c>
      <c r="M1197">
        <v>7.25</v>
      </c>
      <c r="N1197">
        <v>7.61</v>
      </c>
      <c r="O1197">
        <v>7.61</v>
      </c>
      <c r="P1197">
        <v>68329300</v>
      </c>
      <c r="R1197" s="273">
        <f>(O1197/O1196)*('16. câmbio USD-BRL'!O993/'16. câmbio USD-BRL'!O992)^-1-1</f>
        <v>-1.0912413593084924E-3</v>
      </c>
    </row>
    <row r="1198" spans="10:18" x14ac:dyDescent="0.2">
      <c r="J1198" s="354">
        <v>44893</v>
      </c>
      <c r="K1198">
        <v>7.48</v>
      </c>
      <c r="L1198">
        <v>7.9</v>
      </c>
      <c r="M1198">
        <v>7.21</v>
      </c>
      <c r="N1198">
        <v>7.51</v>
      </c>
      <c r="O1198">
        <v>7.51</v>
      </c>
      <c r="P1198">
        <v>111018100</v>
      </c>
      <c r="R1198" s="273">
        <f>(O1198/O1197)*('16. câmbio USD-BRL'!O994/'16. câmbio USD-BRL'!O993)^-1-1</f>
        <v>2.2985920601029664E-2</v>
      </c>
    </row>
    <row r="1199" spans="10:18" x14ac:dyDescent="0.2">
      <c r="J1199" s="354">
        <v>44900</v>
      </c>
      <c r="K1199">
        <v>7.57</v>
      </c>
      <c r="L1199">
        <v>8.01</v>
      </c>
      <c r="M1199">
        <v>7.5</v>
      </c>
      <c r="N1199">
        <v>7.82</v>
      </c>
      <c r="O1199">
        <v>7.82</v>
      </c>
      <c r="P1199">
        <v>90251600</v>
      </c>
      <c r="R1199" s="273">
        <f>(O1199/O1198)*('16. câmbio USD-BRL'!O995/'16. câmbio USD-BRL'!O994)^-1-1</f>
        <v>3.7797422602400932E-2</v>
      </c>
    </row>
    <row r="1200" spans="10:18" x14ac:dyDescent="0.2">
      <c r="J1200" s="354">
        <v>44907</v>
      </c>
      <c r="K1200">
        <v>7.76</v>
      </c>
      <c r="L1200">
        <v>8.02</v>
      </c>
      <c r="M1200">
        <v>7.32</v>
      </c>
      <c r="N1200">
        <v>7.35</v>
      </c>
      <c r="O1200">
        <v>7.35</v>
      </c>
      <c r="P1200">
        <v>128347600</v>
      </c>
      <c r="R1200" s="273">
        <f>(O1200/O1199)*('16. câmbio USD-BRL'!O996/'16. câmbio USD-BRL'!O995)^-1-1</f>
        <v>-7.2766522165669145E-2</v>
      </c>
    </row>
    <row r="1201" spans="10:18" x14ac:dyDescent="0.2">
      <c r="J1201" s="354">
        <v>44914</v>
      </c>
      <c r="K1201">
        <v>7.24</v>
      </c>
      <c r="L1201">
        <v>7.25</v>
      </c>
      <c r="M1201">
        <v>6.86</v>
      </c>
      <c r="N1201">
        <v>6.92</v>
      </c>
      <c r="O1201">
        <v>6.92</v>
      </c>
      <c r="P1201">
        <v>142313600</v>
      </c>
      <c r="R1201" s="273">
        <f>(O1201/O1200)*('16. câmbio USD-BRL'!O997/'16. câmbio USD-BRL'!O996)^-1-1</f>
        <v>-3.2579110299503888E-2</v>
      </c>
    </row>
    <row r="1202" spans="10:18" x14ac:dyDescent="0.2">
      <c r="J1202" s="354">
        <v>44921</v>
      </c>
      <c r="K1202">
        <v>6.96</v>
      </c>
      <c r="L1202">
        <v>7.23</v>
      </c>
      <c r="M1202">
        <v>6.91</v>
      </c>
      <c r="N1202">
        <v>7.16</v>
      </c>
      <c r="O1202">
        <v>7.16</v>
      </c>
      <c r="P1202">
        <v>48956500</v>
      </c>
      <c r="R1202" s="273">
        <f>(O1202/O1201)*('16. câmbio USD-BRL'!O998/'16. câmbio USD-BRL'!O997)^-1-1</f>
        <v>1.0956138590527242E-2</v>
      </c>
    </row>
    <row r="1203" spans="10:18" x14ac:dyDescent="0.2">
      <c r="J1203" s="354">
        <v>44928</v>
      </c>
      <c r="K1203">
        <v>7.15</v>
      </c>
      <c r="L1203">
        <v>7.77</v>
      </c>
      <c r="M1203">
        <v>6.89</v>
      </c>
      <c r="N1203">
        <v>7.59</v>
      </c>
      <c r="O1203">
        <v>7.59</v>
      </c>
      <c r="P1203">
        <v>79521900</v>
      </c>
      <c r="R1203" s="273">
        <f>(O1203/O1202)*('16. câmbio USD-BRL'!O999/'16. câmbio USD-BRL'!O998)^-1-1</f>
        <v>7.245334953862792E-2</v>
      </c>
    </row>
    <row r="1204" spans="10:18" x14ac:dyDescent="0.2">
      <c r="J1204" s="354">
        <v>44935</v>
      </c>
      <c r="K1204">
        <v>7.48</v>
      </c>
      <c r="L1204">
        <v>8</v>
      </c>
      <c r="M1204">
        <v>7.38</v>
      </c>
      <c r="N1204">
        <v>7.81</v>
      </c>
      <c r="O1204">
        <v>7.81</v>
      </c>
      <c r="P1204">
        <v>57367200</v>
      </c>
      <c r="R1204" s="273">
        <f>(O1204/O1203)*('16. câmbio USD-BRL'!O1000/'16. câmbio USD-BRL'!O999)^-1-1</f>
        <v>5.8088823205064255E-2</v>
      </c>
    </row>
    <row r="1205" spans="10:18" x14ac:dyDescent="0.2">
      <c r="J1205" s="354">
        <v>44942</v>
      </c>
      <c r="K1205">
        <v>7.73</v>
      </c>
      <c r="L1205">
        <v>8.2899999999999991</v>
      </c>
      <c r="M1205">
        <v>7.59</v>
      </c>
      <c r="N1205">
        <v>8.2899999999999991</v>
      </c>
      <c r="O1205">
        <v>8.2899999999999991</v>
      </c>
      <c r="P1205">
        <v>74746100</v>
      </c>
      <c r="R1205" s="273">
        <f>(O1205/O1204)*('16. câmbio USD-BRL'!O1001/'16. câmbio USD-BRL'!O1000)^-1-1</f>
        <v>3.5852357836043458E-2</v>
      </c>
    </row>
    <row r="1206" spans="10:18" x14ac:dyDescent="0.2">
      <c r="J1206" s="354">
        <v>44949</v>
      </c>
      <c r="K1206">
        <v>8.32</v>
      </c>
      <c r="L1206">
        <v>8.64</v>
      </c>
      <c r="M1206">
        <v>8.01</v>
      </c>
      <c r="N1206">
        <v>8.4700000000000006</v>
      </c>
      <c r="O1206">
        <v>8.4700000000000006</v>
      </c>
      <c r="P1206">
        <v>82837400</v>
      </c>
      <c r="R1206" s="273">
        <f>(O1206/O1205)*('16. câmbio USD-BRL'!O1002/'16. câmbio USD-BRL'!O1001)^-1-1</f>
        <v>4.1538202600893248E-2</v>
      </c>
    </row>
    <row r="1207" spans="10:18" x14ac:dyDescent="0.2">
      <c r="J1207" s="354">
        <v>44956</v>
      </c>
      <c r="K1207">
        <v>8.51</v>
      </c>
      <c r="L1207">
        <v>8.67</v>
      </c>
      <c r="M1207">
        <v>7.81</v>
      </c>
      <c r="N1207">
        <v>7.83</v>
      </c>
      <c r="O1207">
        <v>7.83</v>
      </c>
      <c r="P1207">
        <v>68471800</v>
      </c>
      <c r="R1207" s="273">
        <f>(O1207/O1206)*('16. câmbio USD-BRL'!O1003/'16. câmbio USD-BRL'!O1002)^-1-1</f>
        <v>-8.3207917245602836E-2</v>
      </c>
    </row>
    <row r="1208" spans="10:18" x14ac:dyDescent="0.2">
      <c r="J1208" s="354">
        <v>44963</v>
      </c>
      <c r="K1208">
        <v>7.81</v>
      </c>
      <c r="L1208">
        <v>7.81</v>
      </c>
      <c r="M1208">
        <v>7.18</v>
      </c>
      <c r="N1208">
        <v>7.34</v>
      </c>
      <c r="O1208">
        <v>7.34</v>
      </c>
      <c r="P1208">
        <v>75255700</v>
      </c>
      <c r="R1208" s="273">
        <f>(O1208/O1207)*('16. câmbio USD-BRL'!O1004/'16. câmbio USD-BRL'!O1003)^-1-1</f>
        <v>-7.4033482922871485E-2</v>
      </c>
    </row>
    <row r="1209" spans="10:18" x14ac:dyDescent="0.2">
      <c r="J1209" s="354">
        <v>44970</v>
      </c>
      <c r="K1209">
        <v>7.3</v>
      </c>
      <c r="L1209">
        <v>7.43</v>
      </c>
      <c r="M1209">
        <v>7.03</v>
      </c>
      <c r="N1209">
        <v>7.28</v>
      </c>
      <c r="O1209">
        <v>7.28</v>
      </c>
      <c r="P1209">
        <v>79432100</v>
      </c>
      <c r="R1209" s="273">
        <f>(O1209/O1208)*('16. câmbio USD-BRL'!O1005/'16. câmbio USD-BRL'!O1004)^-1-1</f>
        <v>1.5849911456151666E-3</v>
      </c>
    </row>
    <row r="1210" spans="10:18" x14ac:dyDescent="0.2">
      <c r="J1210" s="354">
        <v>44977</v>
      </c>
      <c r="K1210">
        <v>7.28</v>
      </c>
      <c r="L1210">
        <v>7.28</v>
      </c>
      <c r="M1210">
        <v>6.8</v>
      </c>
      <c r="N1210">
        <v>6.83</v>
      </c>
      <c r="O1210">
        <v>6.83</v>
      </c>
      <c r="P1210">
        <v>44064700</v>
      </c>
      <c r="R1210" s="273">
        <f>(O1210/O1209)*('16. câmbio USD-BRL'!O1006/'16. câmbio USD-BRL'!O1005)^-1-1</f>
        <v>-6.9937966043327138E-2</v>
      </c>
    </row>
    <row r="1211" spans="10:18" x14ac:dyDescent="0.2">
      <c r="J1211" s="354">
        <v>44984</v>
      </c>
      <c r="K1211">
        <v>6.84</v>
      </c>
      <c r="L1211">
        <v>7.31</v>
      </c>
      <c r="M1211">
        <v>6.77</v>
      </c>
      <c r="N1211">
        <v>7.18</v>
      </c>
      <c r="O1211">
        <v>7.18</v>
      </c>
      <c r="P1211">
        <v>66970100</v>
      </c>
      <c r="R1211" s="273">
        <f>(O1211/O1210)*('16. câmbio USD-BRL'!O1007/'16. câmbio USD-BRL'!O1006)^-1-1</f>
        <v>5.3956406257081868E-2</v>
      </c>
    </row>
    <row r="1212" spans="10:18" x14ac:dyDescent="0.2">
      <c r="J1212" s="354">
        <v>44991</v>
      </c>
      <c r="K1212">
        <v>7.13</v>
      </c>
      <c r="L1212">
        <v>7.3</v>
      </c>
      <c r="M1212">
        <v>6.91</v>
      </c>
      <c r="N1212">
        <v>7.29</v>
      </c>
      <c r="O1212">
        <v>7.29</v>
      </c>
      <c r="P1212">
        <v>35726000</v>
      </c>
      <c r="R1212" s="273">
        <f>(O1212/O1211)*('16. câmbio USD-BRL'!O1008/'16. câmbio USD-BRL'!O1007)^-1-1</f>
        <v>1.1193332366303599E-2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B75002EC-4E09-41CA-BFA5-291DC952607D}"/>
  </hyperlink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ABBEA-EA8A-48B1-8A2C-6249071B8E77}">
  <sheetPr>
    <tabColor theme="7" tint="0.79998168889431442"/>
  </sheetPr>
  <dimension ref="A1:S1194"/>
  <sheetViews>
    <sheetView topLeftCell="A1171" workbookViewId="0">
      <selection activeCell="R1194" sqref="R1194"/>
    </sheetView>
  </sheetViews>
  <sheetFormatPr baseColWidth="10" defaultColWidth="8.83203125" defaultRowHeight="15" x14ac:dyDescent="0.2"/>
  <cols>
    <col min="1" max="1" width="10.6640625" bestFit="1" customWidth="1"/>
    <col min="7" max="7" width="12" bestFit="1" customWidth="1"/>
    <col min="10" max="10" width="10.6640625" bestFit="1" customWidth="1"/>
    <col min="16" max="16" width="12" bestFit="1" customWidth="1"/>
  </cols>
  <sheetData>
    <row r="1" spans="1:19" x14ac:dyDescent="0.2">
      <c r="A1" s="528" t="s">
        <v>102</v>
      </c>
      <c r="B1" s="528"/>
      <c r="C1" s="528"/>
      <c r="D1" s="528"/>
      <c r="E1" s="528"/>
      <c r="F1" s="528"/>
      <c r="G1" s="528"/>
      <c r="J1" s="530" t="s">
        <v>103</v>
      </c>
      <c r="K1" s="530"/>
      <c r="L1" s="530"/>
      <c r="M1" s="530"/>
      <c r="N1" s="530"/>
      <c r="O1" s="530"/>
      <c r="P1" s="530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36678</v>
      </c>
      <c r="B3">
        <v>2.288888</v>
      </c>
      <c r="C3">
        <v>2.5111110000000001</v>
      </c>
      <c r="D3">
        <v>2.0888879999999999</v>
      </c>
      <c r="E3">
        <v>2.4444439999999998</v>
      </c>
      <c r="F3">
        <v>1.21828</v>
      </c>
      <c r="G3">
        <v>32160960000</v>
      </c>
      <c r="J3" s="354">
        <v>36654</v>
      </c>
      <c r="K3">
        <v>2.5333329999999998</v>
      </c>
      <c r="L3">
        <v>2.5333329999999998</v>
      </c>
      <c r="M3">
        <v>2.2444440000000001</v>
      </c>
      <c r="N3">
        <v>2.2666659999999998</v>
      </c>
      <c r="O3">
        <v>1.129678</v>
      </c>
      <c r="P3">
        <v>2361060000</v>
      </c>
      <c r="R3" s="273" t="e">
        <f>(O3/O2)*('16. câmbio USD-BRL'!#REF!/'16. câmbio USD-BRL'!#REF!)^-1-1</f>
        <v>#VALUE!</v>
      </c>
    </row>
    <row r="4" spans="1:19" x14ac:dyDescent="0.2">
      <c r="A4" s="354">
        <v>36708</v>
      </c>
      <c r="B4">
        <v>2.4444439999999998</v>
      </c>
      <c r="C4">
        <v>2.7555550000000002</v>
      </c>
      <c r="D4">
        <v>2.4222220000000001</v>
      </c>
      <c r="E4">
        <v>2.6</v>
      </c>
      <c r="F4">
        <v>1.2958270000000001</v>
      </c>
      <c r="G4">
        <v>36355410000</v>
      </c>
      <c r="J4" s="354">
        <v>36661</v>
      </c>
      <c r="K4">
        <v>2.288888</v>
      </c>
      <c r="L4">
        <v>2.3333330000000001</v>
      </c>
      <c r="M4">
        <v>2.0222220000000002</v>
      </c>
      <c r="N4">
        <v>2.0444439999999999</v>
      </c>
      <c r="O4">
        <v>1.0189250000000001</v>
      </c>
      <c r="P4">
        <v>8157240000</v>
      </c>
      <c r="R4" s="273" t="e">
        <f>(O4/O3)*('16. câmbio USD-BRL'!#REF!/'16. câmbio USD-BRL'!#REF!)^-1-1</f>
        <v>#REF!</v>
      </c>
    </row>
    <row r="5" spans="1:19" x14ac:dyDescent="0.2">
      <c r="A5" s="354">
        <v>36739</v>
      </c>
      <c r="B5">
        <v>2.6222219999999998</v>
      </c>
      <c r="C5">
        <v>3</v>
      </c>
      <c r="D5">
        <v>2.5111110000000001</v>
      </c>
      <c r="E5">
        <v>2.911111</v>
      </c>
      <c r="F5">
        <v>1.4508829999999999</v>
      </c>
      <c r="G5">
        <v>44731440000</v>
      </c>
      <c r="J5" s="354">
        <v>36668</v>
      </c>
      <c r="K5">
        <v>2.0666660000000001</v>
      </c>
      <c r="L5">
        <v>2.0666660000000001</v>
      </c>
      <c r="M5">
        <v>1.844444</v>
      </c>
      <c r="N5">
        <v>2.0444439999999999</v>
      </c>
      <c r="O5">
        <v>1.0189250000000001</v>
      </c>
      <c r="P5">
        <v>7932600000</v>
      </c>
      <c r="R5" s="273" t="e">
        <f>(O5/O4)*('16. câmbio USD-BRL'!#REF!/'16. câmbio USD-BRL'!#REF!)^-1-1</f>
        <v>#REF!</v>
      </c>
    </row>
    <row r="6" spans="1:19" x14ac:dyDescent="0.2">
      <c r="A6" s="354">
        <v>36770</v>
      </c>
      <c r="B6">
        <v>2.8888880000000001</v>
      </c>
      <c r="C6">
        <v>2.9777770000000001</v>
      </c>
      <c r="D6">
        <v>2.5111110000000001</v>
      </c>
      <c r="E6">
        <v>2.6222219999999998</v>
      </c>
      <c r="F6">
        <v>1.3069029999999999</v>
      </c>
      <c r="G6">
        <v>19913400000</v>
      </c>
      <c r="J6" s="354">
        <v>36675</v>
      </c>
      <c r="K6">
        <v>2.1111110000000002</v>
      </c>
      <c r="L6">
        <v>2.5111110000000001</v>
      </c>
      <c r="M6">
        <v>2.0666660000000001</v>
      </c>
      <c r="N6">
        <v>2.4</v>
      </c>
      <c r="O6">
        <v>1.1961299999999999</v>
      </c>
      <c r="P6">
        <v>10851750000</v>
      </c>
      <c r="R6" s="273" t="e">
        <f>(O6/O5)*('16. câmbio USD-BRL'!#REF!/'16. câmbio USD-BRL'!#REF!)^-1-1</f>
        <v>#REF!</v>
      </c>
    </row>
    <row r="7" spans="1:19" x14ac:dyDescent="0.2">
      <c r="A7" s="354">
        <v>36800</v>
      </c>
      <c r="B7">
        <v>2.7111109999999998</v>
      </c>
      <c r="C7">
        <v>2.7111109999999998</v>
      </c>
      <c r="D7">
        <v>2</v>
      </c>
      <c r="E7">
        <v>2.2222219999999999</v>
      </c>
      <c r="F7">
        <v>1.1075440000000001</v>
      </c>
      <c r="G7">
        <v>31707000000</v>
      </c>
      <c r="J7" s="354">
        <v>36682</v>
      </c>
      <c r="K7">
        <v>2.4444439999999998</v>
      </c>
      <c r="L7">
        <v>2.5111110000000001</v>
      </c>
      <c r="M7">
        <v>2.4</v>
      </c>
      <c r="N7">
        <v>2.4444439999999998</v>
      </c>
      <c r="O7">
        <v>1.21828</v>
      </c>
      <c r="P7">
        <v>5094180000</v>
      </c>
      <c r="R7" s="273" t="e">
        <f>(O7/O6)*('16. câmbio USD-BRL'!#REF!/'16. câmbio USD-BRL'!#REF!)^-1-1</f>
        <v>#REF!</v>
      </c>
    </row>
    <row r="8" spans="1:19" x14ac:dyDescent="0.2">
      <c r="A8" s="354">
        <v>36831</v>
      </c>
      <c r="B8">
        <v>2.2666659999999998</v>
      </c>
      <c r="C8">
        <v>2.288888</v>
      </c>
      <c r="D8">
        <v>1.666666</v>
      </c>
      <c r="E8">
        <v>1.6888879999999999</v>
      </c>
      <c r="F8">
        <v>0.84173299999999995</v>
      </c>
      <c r="G8">
        <v>43370730000</v>
      </c>
      <c r="J8" s="354">
        <v>36689</v>
      </c>
      <c r="K8">
        <v>2.4</v>
      </c>
      <c r="L8">
        <v>2.4222220000000001</v>
      </c>
      <c r="M8">
        <v>2.0888879999999999</v>
      </c>
      <c r="N8">
        <v>2.1777769999999999</v>
      </c>
      <c r="O8">
        <v>1.085377</v>
      </c>
      <c r="P8">
        <v>4285710000</v>
      </c>
      <c r="R8" s="273" t="e">
        <f>(O8/O7)*('16. câmbio USD-BRL'!#REF!/'16. câmbio USD-BRL'!#REF!)^-1-1</f>
        <v>#REF!</v>
      </c>
    </row>
    <row r="9" spans="1:19" x14ac:dyDescent="0.2">
      <c r="A9" s="354">
        <v>36861</v>
      </c>
      <c r="B9">
        <v>1.666666</v>
      </c>
      <c r="C9">
        <v>2.1111110000000002</v>
      </c>
      <c r="D9">
        <v>1.555555</v>
      </c>
      <c r="E9">
        <v>1.9777769999999999</v>
      </c>
      <c r="F9">
        <v>0.98571399999999998</v>
      </c>
      <c r="G9">
        <v>37542960000</v>
      </c>
      <c r="J9" s="354">
        <v>36696</v>
      </c>
      <c r="K9">
        <v>2.1777769999999999</v>
      </c>
      <c r="L9">
        <v>2.4</v>
      </c>
      <c r="M9">
        <v>2.0888879999999999</v>
      </c>
      <c r="N9">
        <v>2.3333330000000001</v>
      </c>
      <c r="O9">
        <v>1.1629039999999999</v>
      </c>
      <c r="P9">
        <v>10443420000</v>
      </c>
      <c r="R9" s="273" t="e">
        <f>(O9/O8)*('16. câmbio USD-BRL'!#REF!/'16. câmbio USD-BRL'!#REF!)^-1-1</f>
        <v>#REF!</v>
      </c>
    </row>
    <row r="10" spans="1:19" x14ac:dyDescent="0.2">
      <c r="A10" s="354">
        <v>36892</v>
      </c>
      <c r="B10">
        <v>1.9555549999999999</v>
      </c>
      <c r="C10">
        <v>2.6</v>
      </c>
      <c r="D10">
        <v>1.844444</v>
      </c>
      <c r="E10">
        <v>2.377777</v>
      </c>
      <c r="F10">
        <v>1.185073</v>
      </c>
      <c r="G10">
        <v>61062300000</v>
      </c>
      <c r="J10" s="354">
        <v>36703</v>
      </c>
      <c r="K10">
        <v>2.3555549999999998</v>
      </c>
      <c r="L10">
        <v>2.5111110000000001</v>
      </c>
      <c r="M10">
        <v>2.288888</v>
      </c>
      <c r="N10">
        <v>2.4444439999999998</v>
      </c>
      <c r="O10">
        <v>1.21828</v>
      </c>
      <c r="P10">
        <v>8287110000</v>
      </c>
      <c r="R10" s="273" t="e">
        <f>(O10/O9)*('16. câmbio USD-BRL'!#REF!/'16. câmbio USD-BRL'!#REF!)^-1-1</f>
        <v>#REF!</v>
      </c>
    </row>
    <row r="11" spans="1:19" x14ac:dyDescent="0.2">
      <c r="A11" s="354">
        <v>36923</v>
      </c>
      <c r="B11">
        <v>2.2444440000000001</v>
      </c>
      <c r="C11">
        <v>2.4222220000000001</v>
      </c>
      <c r="D11">
        <v>1.9555549999999999</v>
      </c>
      <c r="E11">
        <v>2.1111110000000002</v>
      </c>
      <c r="F11">
        <v>1.052168</v>
      </c>
      <c r="G11">
        <v>30529980000</v>
      </c>
      <c r="J11" s="354">
        <v>36710</v>
      </c>
      <c r="K11">
        <v>2.4444439999999998</v>
      </c>
      <c r="L11">
        <v>2.7111109999999998</v>
      </c>
      <c r="M11">
        <v>2.4222220000000001</v>
      </c>
      <c r="N11">
        <v>2.7111109999999998</v>
      </c>
      <c r="O11">
        <v>1.3512040000000001</v>
      </c>
      <c r="P11">
        <v>12762360000</v>
      </c>
      <c r="R11" s="273" t="e">
        <f>(O11/O10)*('16. câmbio USD-BRL'!#REF!/'16. câmbio USD-BRL'!#REF!)^-1-1</f>
        <v>#REF!</v>
      </c>
    </row>
    <row r="12" spans="1:19" x14ac:dyDescent="0.2">
      <c r="A12" s="354">
        <v>36951</v>
      </c>
      <c r="B12">
        <v>2.1111110000000002</v>
      </c>
      <c r="C12">
        <v>2.2666659999999998</v>
      </c>
      <c r="D12">
        <v>1.8888879999999999</v>
      </c>
      <c r="E12">
        <v>2.1111110000000002</v>
      </c>
      <c r="F12">
        <v>1.052168</v>
      </c>
      <c r="G12">
        <v>34876530000</v>
      </c>
      <c r="J12" s="354">
        <v>36717</v>
      </c>
      <c r="K12">
        <v>2.733333</v>
      </c>
      <c r="L12">
        <v>2.7555550000000002</v>
      </c>
      <c r="M12">
        <v>2.555555</v>
      </c>
      <c r="N12">
        <v>2.5777770000000002</v>
      </c>
      <c r="O12">
        <v>1.284751</v>
      </c>
      <c r="P12">
        <v>10251540000</v>
      </c>
      <c r="R12" s="273" t="e">
        <f>(O12/O11)*('16. câmbio USD-BRL'!#REF!/'16. câmbio USD-BRL'!#REF!)^-1-1</f>
        <v>#REF!</v>
      </c>
    </row>
    <row r="13" spans="1:19" x14ac:dyDescent="0.2">
      <c r="A13" s="354">
        <v>36982</v>
      </c>
      <c r="B13">
        <v>2</v>
      </c>
      <c r="C13">
        <v>2.288888</v>
      </c>
      <c r="D13">
        <v>1.911111</v>
      </c>
      <c r="E13">
        <v>2.2444440000000001</v>
      </c>
      <c r="F13">
        <v>1.1186199999999999</v>
      </c>
      <c r="G13">
        <v>27456390000</v>
      </c>
      <c r="J13" s="354">
        <v>36724</v>
      </c>
      <c r="K13">
        <v>2.6222219999999998</v>
      </c>
      <c r="L13">
        <v>2.6666660000000002</v>
      </c>
      <c r="M13">
        <v>2.4444439999999998</v>
      </c>
      <c r="N13">
        <v>2.6</v>
      </c>
      <c r="O13">
        <v>1.295828</v>
      </c>
      <c r="P13">
        <v>7789860000</v>
      </c>
      <c r="R13" s="273" t="e">
        <f>(O13/O12)*('16. câmbio USD-BRL'!#REF!/'16. câmbio USD-BRL'!#REF!)^-1-1</f>
        <v>#REF!</v>
      </c>
    </row>
    <row r="14" spans="1:19" x14ac:dyDescent="0.2">
      <c r="A14" s="354">
        <v>37012</v>
      </c>
      <c r="B14">
        <v>2.2000000000000002</v>
      </c>
      <c r="C14">
        <v>2.2666659999999998</v>
      </c>
      <c r="D14">
        <v>1.6888879999999999</v>
      </c>
      <c r="E14">
        <v>1.755555</v>
      </c>
      <c r="F14">
        <v>0.87495999999999996</v>
      </c>
      <c r="G14">
        <v>29468790000</v>
      </c>
      <c r="J14" s="354">
        <v>36731</v>
      </c>
      <c r="K14">
        <v>2.6222219999999998</v>
      </c>
      <c r="L14">
        <v>2.644444</v>
      </c>
      <c r="M14">
        <v>2.5111110000000001</v>
      </c>
      <c r="N14">
        <v>2.5333329999999998</v>
      </c>
      <c r="O14">
        <v>1.2626010000000001</v>
      </c>
      <c r="P14">
        <v>4516200000</v>
      </c>
      <c r="R14" s="273" t="e">
        <f>(O14/O13)*('16. câmbio USD-BRL'!#REF!/'16. câmbio USD-BRL'!#REF!)^-1-1</f>
        <v>#REF!</v>
      </c>
    </row>
    <row r="15" spans="1:19" x14ac:dyDescent="0.2">
      <c r="A15" s="354">
        <v>37043</v>
      </c>
      <c r="B15">
        <v>1.755555</v>
      </c>
      <c r="C15">
        <v>2.0666660000000001</v>
      </c>
      <c r="D15">
        <v>1.755555</v>
      </c>
      <c r="E15">
        <v>1.9777769999999999</v>
      </c>
      <c r="F15">
        <v>0.98571399999999998</v>
      </c>
      <c r="G15">
        <v>26719290000</v>
      </c>
      <c r="J15" s="354">
        <v>36738</v>
      </c>
      <c r="K15">
        <v>2.555555</v>
      </c>
      <c r="L15">
        <v>2.6222219999999998</v>
      </c>
      <c r="M15">
        <v>2.5111110000000001</v>
      </c>
      <c r="N15">
        <v>2.6222219999999998</v>
      </c>
      <c r="O15">
        <v>1.3069029999999999</v>
      </c>
      <c r="P15">
        <v>7889310000</v>
      </c>
      <c r="R15" s="273" t="e">
        <f>(O15/O14)*('16. câmbio USD-BRL'!#REF!/'16. câmbio USD-BRL'!#REF!)^-1-1</f>
        <v>#REF!</v>
      </c>
    </row>
    <row r="16" spans="1:19" x14ac:dyDescent="0.2">
      <c r="A16" s="354">
        <v>37073</v>
      </c>
      <c r="B16">
        <v>1.9555549999999999</v>
      </c>
      <c r="C16">
        <v>2</v>
      </c>
      <c r="D16">
        <v>1.6</v>
      </c>
      <c r="E16">
        <v>1.8888879999999999</v>
      </c>
      <c r="F16">
        <v>0.94141300000000006</v>
      </c>
      <c r="G16">
        <v>19385730000</v>
      </c>
      <c r="J16" s="354">
        <v>36745</v>
      </c>
      <c r="K16">
        <v>2.6222219999999998</v>
      </c>
      <c r="L16">
        <v>2.822222</v>
      </c>
      <c r="M16">
        <v>2.6222219999999998</v>
      </c>
      <c r="N16">
        <v>2.8</v>
      </c>
      <c r="O16">
        <v>1.3955070000000001</v>
      </c>
      <c r="P16">
        <v>10719540000</v>
      </c>
      <c r="R16" s="273" t="e">
        <f>(O16/O15)*('16. câmbio USD-BRL'!#REF!/'16. câmbio USD-BRL'!#REF!)^-1-1</f>
        <v>#REF!</v>
      </c>
    </row>
    <row r="17" spans="1:18" x14ac:dyDescent="0.2">
      <c r="A17" s="354">
        <v>37104</v>
      </c>
      <c r="B17">
        <v>1.8888879999999999</v>
      </c>
      <c r="C17">
        <v>1.9555549999999999</v>
      </c>
      <c r="D17">
        <v>1.7777769999999999</v>
      </c>
      <c r="E17">
        <v>1.844444</v>
      </c>
      <c r="F17">
        <v>0.91927999999999999</v>
      </c>
      <c r="G17">
        <v>18721170000</v>
      </c>
      <c r="J17" s="354">
        <v>36752</v>
      </c>
      <c r="K17">
        <v>2.8</v>
      </c>
      <c r="L17">
        <v>3</v>
      </c>
      <c r="M17">
        <v>2.733333</v>
      </c>
      <c r="N17">
        <v>2.7777769999999999</v>
      </c>
      <c r="O17">
        <v>1.384431</v>
      </c>
      <c r="P17">
        <v>11654370000</v>
      </c>
      <c r="R17" s="273" t="e">
        <f>(O17/O16)*('16. câmbio USD-BRL'!#REF!/'16. câmbio USD-BRL'!#REF!)^-1-1</f>
        <v>#REF!</v>
      </c>
    </row>
    <row r="18" spans="1:18" x14ac:dyDescent="0.2">
      <c r="A18" s="354">
        <v>37135</v>
      </c>
      <c r="B18">
        <v>1.844444</v>
      </c>
      <c r="C18">
        <v>1.844444</v>
      </c>
      <c r="D18">
        <v>1.4222220000000001</v>
      </c>
      <c r="E18">
        <v>1.5111110000000001</v>
      </c>
      <c r="F18">
        <v>0.75314499999999995</v>
      </c>
      <c r="G18">
        <v>32871150000</v>
      </c>
      <c r="J18" s="354">
        <v>36759</v>
      </c>
      <c r="K18">
        <v>2.7777769999999999</v>
      </c>
      <c r="L18">
        <v>2.7777769999999999</v>
      </c>
      <c r="M18">
        <v>2.6222219999999998</v>
      </c>
      <c r="N18">
        <v>2.6666660000000002</v>
      </c>
      <c r="O18">
        <v>1.329053</v>
      </c>
      <c r="P18">
        <v>5708430000</v>
      </c>
      <c r="R18" s="273" t="e">
        <f>(O18/O17)*('16. câmbio USD-BRL'!#REF!/'16. câmbio USD-BRL'!#REF!)^-1-1</f>
        <v>#REF!</v>
      </c>
    </row>
    <row r="19" spans="1:18" x14ac:dyDescent="0.2">
      <c r="A19" s="354">
        <v>37165</v>
      </c>
      <c r="B19">
        <v>1.5333330000000001</v>
      </c>
      <c r="C19">
        <v>2.1333329999999999</v>
      </c>
      <c r="D19">
        <v>1.4444440000000001</v>
      </c>
      <c r="E19">
        <v>2.1111110000000002</v>
      </c>
      <c r="F19">
        <v>1.0521879999999999</v>
      </c>
      <c r="G19">
        <v>39257010000</v>
      </c>
      <c r="J19" s="354">
        <v>36766</v>
      </c>
      <c r="K19">
        <v>2.6888879999999999</v>
      </c>
      <c r="L19">
        <v>2.9333330000000002</v>
      </c>
      <c r="M19">
        <v>2.6888879999999999</v>
      </c>
      <c r="N19">
        <v>2.9333330000000002</v>
      </c>
      <c r="O19">
        <v>1.461959</v>
      </c>
      <c r="P19">
        <v>12056850000</v>
      </c>
      <c r="R19" s="273" t="e">
        <f>(O19/O18)*('16. câmbio USD-BRL'!#REF!/'16. câmbio USD-BRL'!#REF!)^-1-1</f>
        <v>#REF!</v>
      </c>
    </row>
    <row r="20" spans="1:18" x14ac:dyDescent="0.2">
      <c r="A20" s="354">
        <v>37196</v>
      </c>
      <c r="B20">
        <v>2.0666660000000001</v>
      </c>
      <c r="C20">
        <v>2.644444</v>
      </c>
      <c r="D20">
        <v>2.0222220000000002</v>
      </c>
      <c r="E20">
        <v>2.4444439999999998</v>
      </c>
      <c r="F20">
        <v>1.2183219999999999</v>
      </c>
      <c r="G20">
        <v>40623570000</v>
      </c>
      <c r="J20" s="354">
        <v>36773</v>
      </c>
      <c r="K20">
        <v>2.9333330000000002</v>
      </c>
      <c r="L20">
        <v>2.9777770000000001</v>
      </c>
      <c r="M20">
        <v>2.7777769999999999</v>
      </c>
      <c r="N20">
        <v>2.8444440000000002</v>
      </c>
      <c r="O20">
        <v>1.4176569999999999</v>
      </c>
      <c r="P20">
        <v>2189070000</v>
      </c>
      <c r="R20" s="273" t="e">
        <f>(O20/O19)*('16. câmbio USD-BRL'!#REF!/'16. câmbio USD-BRL'!#REF!)^-1-1</f>
        <v>#REF!</v>
      </c>
    </row>
    <row r="21" spans="1:18" x14ac:dyDescent="0.2">
      <c r="A21" s="354">
        <v>37226</v>
      </c>
      <c r="B21">
        <v>2.4444439999999998</v>
      </c>
      <c r="C21">
        <v>2.6222219999999998</v>
      </c>
      <c r="D21">
        <v>2.288888</v>
      </c>
      <c r="E21">
        <v>2.377777</v>
      </c>
      <c r="F21">
        <v>1.185095</v>
      </c>
      <c r="G21">
        <v>31640310000</v>
      </c>
      <c r="J21" s="354">
        <v>36780</v>
      </c>
      <c r="K21">
        <v>2.7777769999999999</v>
      </c>
      <c r="L21">
        <v>2.8666659999999999</v>
      </c>
      <c r="M21">
        <v>2.7555550000000002</v>
      </c>
      <c r="N21">
        <v>2.7555550000000002</v>
      </c>
      <c r="O21">
        <v>1.3733550000000001</v>
      </c>
      <c r="P21">
        <v>5088330000</v>
      </c>
      <c r="R21" s="273" t="e">
        <f>(O21/O20)*('16. câmbio USD-BRL'!#REF!/'16. câmbio USD-BRL'!#REF!)^-1-1</f>
        <v>#REF!</v>
      </c>
    </row>
    <row r="22" spans="1:18" x14ac:dyDescent="0.2">
      <c r="A22" s="354">
        <v>37257</v>
      </c>
      <c r="B22">
        <v>2.377777</v>
      </c>
      <c r="C22">
        <v>3.0444439999999999</v>
      </c>
      <c r="D22">
        <v>2.377777</v>
      </c>
      <c r="E22">
        <v>2.555555</v>
      </c>
      <c r="F22">
        <v>1.273701</v>
      </c>
      <c r="G22">
        <v>46613970000</v>
      </c>
      <c r="J22" s="354">
        <v>36787</v>
      </c>
      <c r="K22">
        <v>2.733333</v>
      </c>
      <c r="L22">
        <v>2.733333</v>
      </c>
      <c r="M22">
        <v>2.5111110000000001</v>
      </c>
      <c r="N22">
        <v>2.6888879999999999</v>
      </c>
      <c r="O22">
        <v>1.340128</v>
      </c>
      <c r="P22">
        <v>5678010000</v>
      </c>
      <c r="R22" s="273" t="e">
        <f>(O22/O21)*('16. câmbio USD-BRL'!#REF!/'16. câmbio USD-BRL'!#REF!)^-1-1</f>
        <v>#REF!</v>
      </c>
    </row>
    <row r="23" spans="1:18" x14ac:dyDescent="0.2">
      <c r="A23" s="354">
        <v>37288</v>
      </c>
      <c r="B23">
        <v>2.5777770000000002</v>
      </c>
      <c r="C23">
        <v>3.1555550000000001</v>
      </c>
      <c r="D23">
        <v>2.5333329999999998</v>
      </c>
      <c r="E23">
        <v>3.0666660000000001</v>
      </c>
      <c r="F23">
        <v>1.5284409999999999</v>
      </c>
      <c r="G23">
        <v>33305220000</v>
      </c>
      <c r="J23" s="354">
        <v>36794</v>
      </c>
      <c r="K23">
        <v>2.7111109999999998</v>
      </c>
      <c r="L23">
        <v>2.8</v>
      </c>
      <c r="M23">
        <v>2.5333329999999998</v>
      </c>
      <c r="N23">
        <v>2.6222219999999998</v>
      </c>
      <c r="O23">
        <v>1.3069029999999999</v>
      </c>
      <c r="P23">
        <v>4696380000</v>
      </c>
      <c r="R23" s="273" t="e">
        <f>(O23/O22)*('16. câmbio USD-BRL'!#REF!/'16. câmbio USD-BRL'!#REF!)^-1-1</f>
        <v>#REF!</v>
      </c>
    </row>
    <row r="24" spans="1:18" x14ac:dyDescent="0.2">
      <c r="A24" s="354">
        <v>37316</v>
      </c>
      <c r="B24">
        <v>2.9333330000000002</v>
      </c>
      <c r="C24">
        <v>3.288888</v>
      </c>
      <c r="D24">
        <v>2.8444440000000002</v>
      </c>
      <c r="E24">
        <v>3.1333329999999999</v>
      </c>
      <c r="F24">
        <v>1.5616680000000001</v>
      </c>
      <c r="G24">
        <v>43204590000</v>
      </c>
      <c r="J24" s="354">
        <v>36801</v>
      </c>
      <c r="K24">
        <v>2.7111109999999998</v>
      </c>
      <c r="L24">
        <v>2.7111109999999998</v>
      </c>
      <c r="M24">
        <v>2.3555549999999998</v>
      </c>
      <c r="N24">
        <v>2.4222220000000001</v>
      </c>
      <c r="O24">
        <v>1.2072240000000001</v>
      </c>
      <c r="P24">
        <v>5280210000</v>
      </c>
      <c r="R24" s="273" t="e">
        <f>(O24/O23)*('16. câmbio USD-BRL'!#REF!/'16. câmbio USD-BRL'!#REF!)^-1-1</f>
        <v>#REF!</v>
      </c>
    </row>
    <row r="25" spans="1:18" x14ac:dyDescent="0.2">
      <c r="A25" s="354">
        <v>37347</v>
      </c>
      <c r="B25">
        <v>3.0888879999999999</v>
      </c>
      <c r="C25">
        <v>3.644444</v>
      </c>
      <c r="D25">
        <v>2.9777770000000001</v>
      </c>
      <c r="E25">
        <v>3.5111110000000001</v>
      </c>
      <c r="F25">
        <v>1.749954</v>
      </c>
      <c r="G25">
        <v>46901790000</v>
      </c>
      <c r="J25" s="354">
        <v>36808</v>
      </c>
      <c r="K25">
        <v>2.4444439999999998</v>
      </c>
      <c r="L25">
        <v>2.4444439999999998</v>
      </c>
      <c r="M25">
        <v>2.2222219999999999</v>
      </c>
      <c r="N25">
        <v>2.2666659999999998</v>
      </c>
      <c r="O25">
        <v>1.1296949999999999</v>
      </c>
      <c r="P25">
        <v>3610620000</v>
      </c>
      <c r="R25" s="273" t="e">
        <f>(O25/O24)*('16. câmbio USD-BRL'!#REF!/'16. câmbio USD-BRL'!#REF!)^-1-1</f>
        <v>#REF!</v>
      </c>
    </row>
    <row r="26" spans="1:18" x14ac:dyDescent="0.2">
      <c r="A26" s="354">
        <v>37377</v>
      </c>
      <c r="B26">
        <v>3.466666</v>
      </c>
      <c r="C26">
        <v>3.7777769999999999</v>
      </c>
      <c r="D26">
        <v>3.0222220000000002</v>
      </c>
      <c r="E26">
        <v>3.4444439999999998</v>
      </c>
      <c r="F26">
        <v>1.7167269999999999</v>
      </c>
      <c r="G26">
        <v>38634570000</v>
      </c>
      <c r="J26" s="354">
        <v>36815</v>
      </c>
      <c r="K26">
        <v>2.288888</v>
      </c>
      <c r="L26">
        <v>2.377777</v>
      </c>
      <c r="M26">
        <v>2.0666660000000001</v>
      </c>
      <c r="N26">
        <v>2.2444440000000001</v>
      </c>
      <c r="O26">
        <v>1.1186199999999999</v>
      </c>
      <c r="P26">
        <v>7044570000</v>
      </c>
      <c r="R26" s="273" t="e">
        <f>(O26/O25)*('16. câmbio USD-BRL'!#REF!/'16. câmbio USD-BRL'!#REF!)^-1-1</f>
        <v>#REF!</v>
      </c>
    </row>
    <row r="27" spans="1:18" x14ac:dyDescent="0.2">
      <c r="A27" s="354">
        <v>37408</v>
      </c>
      <c r="B27">
        <v>3.3333330000000001</v>
      </c>
      <c r="C27">
        <v>3.555555</v>
      </c>
      <c r="D27">
        <v>3</v>
      </c>
      <c r="E27">
        <v>3.2444440000000001</v>
      </c>
      <c r="F27">
        <v>1.617046</v>
      </c>
      <c r="G27">
        <v>38200500000</v>
      </c>
      <c r="J27" s="354">
        <v>36822</v>
      </c>
      <c r="K27">
        <v>2.1777769999999999</v>
      </c>
      <c r="L27">
        <v>2.3333330000000001</v>
      </c>
      <c r="M27">
        <v>2</v>
      </c>
      <c r="N27">
        <v>2.1555550000000001</v>
      </c>
      <c r="O27">
        <v>1.0743180000000001</v>
      </c>
      <c r="P27">
        <v>10452780000</v>
      </c>
      <c r="R27" s="273" t="e">
        <f>(O27/O26)*('16. câmbio USD-BRL'!#REF!/'16. câmbio USD-BRL'!#REF!)^-1-1</f>
        <v>#REF!</v>
      </c>
    </row>
    <row r="28" spans="1:18" x14ac:dyDescent="0.2">
      <c r="A28" s="354">
        <v>37438</v>
      </c>
      <c r="B28">
        <v>3.2222219999999999</v>
      </c>
      <c r="C28">
        <v>3.4888880000000002</v>
      </c>
      <c r="D28">
        <v>2.9555549999999999</v>
      </c>
      <c r="E28">
        <v>3.2444440000000001</v>
      </c>
      <c r="F28">
        <v>1.617046</v>
      </c>
      <c r="G28">
        <v>39624390000</v>
      </c>
      <c r="J28" s="354">
        <v>36829</v>
      </c>
      <c r="K28">
        <v>2.2222219999999999</v>
      </c>
      <c r="L28">
        <v>2.3111109999999999</v>
      </c>
      <c r="M28">
        <v>2.1111110000000002</v>
      </c>
      <c r="N28">
        <v>2.1555550000000001</v>
      </c>
      <c r="O28">
        <v>1.0743180000000001</v>
      </c>
      <c r="P28">
        <v>17520750000</v>
      </c>
      <c r="R28" s="273" t="e">
        <f>(O28/O27)*('16. câmbio USD-BRL'!#REF!/'16. câmbio USD-BRL'!#REF!)^-1-1</f>
        <v>#REF!</v>
      </c>
    </row>
    <row r="29" spans="1:18" x14ac:dyDescent="0.2">
      <c r="A29" s="354">
        <v>37469</v>
      </c>
      <c r="B29">
        <v>3.288888</v>
      </c>
      <c r="C29">
        <v>3.7555550000000002</v>
      </c>
      <c r="D29">
        <v>3.0666660000000001</v>
      </c>
      <c r="E29">
        <v>3.6666660000000002</v>
      </c>
      <c r="F29">
        <v>1.8275170000000001</v>
      </c>
      <c r="G29">
        <v>59992920000</v>
      </c>
      <c r="J29" s="354">
        <v>36836</v>
      </c>
      <c r="K29">
        <v>2.1777769999999999</v>
      </c>
      <c r="L29">
        <v>2.2666659999999998</v>
      </c>
      <c r="M29">
        <v>2.0666660000000001</v>
      </c>
      <c r="N29">
        <v>2.1111110000000002</v>
      </c>
      <c r="O29">
        <v>1.0521670000000001</v>
      </c>
      <c r="P29">
        <v>8917740000</v>
      </c>
      <c r="R29" s="273" t="e">
        <f>(O29/O28)*('16. câmbio USD-BRL'!#REF!/'16. câmbio USD-BRL'!#REF!)^-1-1</f>
        <v>#REF!</v>
      </c>
    </row>
    <row r="30" spans="1:18" x14ac:dyDescent="0.2">
      <c r="A30" s="354">
        <v>37500</v>
      </c>
      <c r="B30">
        <v>3.644444</v>
      </c>
      <c r="C30">
        <v>3.6666660000000002</v>
      </c>
      <c r="D30">
        <v>2.8444440000000002</v>
      </c>
      <c r="E30">
        <v>2.8666659999999999</v>
      </c>
      <c r="F30">
        <v>1.4287859999999999</v>
      </c>
      <c r="G30">
        <v>43925310000</v>
      </c>
      <c r="J30" s="354">
        <v>36843</v>
      </c>
      <c r="K30">
        <v>2.0888879999999999</v>
      </c>
      <c r="L30">
        <v>2.1111110000000002</v>
      </c>
      <c r="M30">
        <v>1.933333</v>
      </c>
      <c r="N30">
        <v>2</v>
      </c>
      <c r="O30">
        <v>0.99678999999999995</v>
      </c>
      <c r="P30">
        <v>3323970000</v>
      </c>
      <c r="R30" s="273" t="e">
        <f>(O30/O29)*('16. câmbio USD-BRL'!#REF!/'16. câmbio USD-BRL'!#REF!)^-1-1</f>
        <v>#REF!</v>
      </c>
    </row>
    <row r="31" spans="1:18" x14ac:dyDescent="0.2">
      <c r="A31" s="354">
        <v>37530</v>
      </c>
      <c r="B31">
        <v>2.9555549999999999</v>
      </c>
      <c r="C31">
        <v>3.7777769999999999</v>
      </c>
      <c r="D31">
        <v>2.8444440000000002</v>
      </c>
      <c r="E31">
        <v>3.7777769999999999</v>
      </c>
      <c r="F31">
        <v>1.8828959999999999</v>
      </c>
      <c r="G31">
        <v>69012450000</v>
      </c>
      <c r="J31" s="354">
        <v>36850</v>
      </c>
      <c r="K31">
        <v>2.0222220000000002</v>
      </c>
      <c r="L31">
        <v>2.0444439999999999</v>
      </c>
      <c r="M31">
        <v>1.933333</v>
      </c>
      <c r="N31">
        <v>2</v>
      </c>
      <c r="O31">
        <v>0.99678999999999995</v>
      </c>
      <c r="P31">
        <v>8737560000</v>
      </c>
      <c r="R31" s="273" t="e">
        <f>(O31/O30)*('16. câmbio USD-BRL'!#REF!/'16. câmbio USD-BRL'!#REF!)^-1-1</f>
        <v>#REF!</v>
      </c>
    </row>
    <row r="32" spans="1:18" x14ac:dyDescent="0.2">
      <c r="A32" s="354">
        <v>37561</v>
      </c>
      <c r="B32">
        <v>3.6222219999999998</v>
      </c>
      <c r="C32">
        <v>4.0666659999999997</v>
      </c>
      <c r="D32">
        <v>3.4444439999999998</v>
      </c>
      <c r="E32">
        <v>3.6</v>
      </c>
      <c r="F32">
        <v>1.794289</v>
      </c>
      <c r="G32">
        <v>39140010000</v>
      </c>
      <c r="J32" s="354">
        <v>36857</v>
      </c>
      <c r="K32">
        <v>2</v>
      </c>
      <c r="L32">
        <v>2.0444439999999999</v>
      </c>
      <c r="M32">
        <v>1.555555</v>
      </c>
      <c r="N32">
        <v>1.733333</v>
      </c>
      <c r="O32">
        <v>0.86388399999999999</v>
      </c>
      <c r="P32">
        <v>13058370000</v>
      </c>
      <c r="R32" s="273" t="e">
        <f>(O32/O31)*('16. câmbio USD-BRL'!#REF!/'16. câmbio USD-BRL'!#REF!)^-1-1</f>
        <v>#REF!</v>
      </c>
    </row>
    <row r="33" spans="1:18" x14ac:dyDescent="0.2">
      <c r="A33" s="354">
        <v>37591</v>
      </c>
      <c r="B33">
        <v>3.644444</v>
      </c>
      <c r="C33">
        <v>3.8444440000000002</v>
      </c>
      <c r="D33">
        <v>3.466666</v>
      </c>
      <c r="E33">
        <v>3.8444440000000002</v>
      </c>
      <c r="F33">
        <v>1.9161239999999999</v>
      </c>
      <c r="G33">
        <v>44428410000</v>
      </c>
      <c r="J33" s="354">
        <v>36864</v>
      </c>
      <c r="K33">
        <v>1.7777769999999999</v>
      </c>
      <c r="L33">
        <v>2.1111110000000002</v>
      </c>
      <c r="M33">
        <v>1.733333</v>
      </c>
      <c r="N33">
        <v>2.0888879999999999</v>
      </c>
      <c r="O33">
        <v>1.0410919999999999</v>
      </c>
      <c r="P33">
        <v>11378250000</v>
      </c>
      <c r="R33" s="273" t="e">
        <f>(O33/O32)*('16. câmbio USD-BRL'!#REF!/'16. câmbio USD-BRL'!#REF!)^-1-1</f>
        <v>#REF!</v>
      </c>
    </row>
    <row r="34" spans="1:18" x14ac:dyDescent="0.2">
      <c r="A34" s="354">
        <v>37622</v>
      </c>
      <c r="B34">
        <v>3.733333</v>
      </c>
      <c r="C34">
        <v>3.7555550000000002</v>
      </c>
      <c r="D34">
        <v>3.2444440000000001</v>
      </c>
      <c r="E34">
        <v>3.5333329999999998</v>
      </c>
      <c r="F34">
        <v>1.7610619999999999</v>
      </c>
      <c r="G34">
        <v>43390620000</v>
      </c>
      <c r="J34" s="354">
        <v>36871</v>
      </c>
      <c r="K34">
        <v>2.1111110000000002</v>
      </c>
      <c r="L34">
        <v>2.1111110000000002</v>
      </c>
      <c r="M34">
        <v>1.844444</v>
      </c>
      <c r="N34">
        <v>1.844444</v>
      </c>
      <c r="O34">
        <v>0.91926200000000002</v>
      </c>
      <c r="P34">
        <v>7557030000</v>
      </c>
      <c r="R34" s="273" t="e">
        <f>(O34/O33)*('16. câmbio USD-BRL'!#REF!/'16. câmbio USD-BRL'!#REF!)^-1-1</f>
        <v>#REF!</v>
      </c>
    </row>
    <row r="35" spans="1:18" x14ac:dyDescent="0.2">
      <c r="A35" s="354">
        <v>37653</v>
      </c>
      <c r="B35">
        <v>3.5333329999999998</v>
      </c>
      <c r="C35">
        <v>3.733333</v>
      </c>
      <c r="D35">
        <v>3.3111109999999999</v>
      </c>
      <c r="E35">
        <v>3.6888879999999999</v>
      </c>
      <c r="F35">
        <v>1.8385929999999999</v>
      </c>
      <c r="G35">
        <v>35369100000</v>
      </c>
      <c r="J35" s="354">
        <v>36878</v>
      </c>
      <c r="K35">
        <v>1.8666659999999999</v>
      </c>
      <c r="L35">
        <v>2.0222220000000002</v>
      </c>
      <c r="M35">
        <v>1.8666659999999999</v>
      </c>
      <c r="N35">
        <v>1.911111</v>
      </c>
      <c r="O35">
        <v>0.952488</v>
      </c>
      <c r="P35">
        <v>9385740000</v>
      </c>
      <c r="R35" s="273" t="e">
        <f>(O35/O34)*('16. câmbio USD-BRL'!#REF!/'16. câmbio USD-BRL'!#REF!)^-1-1</f>
        <v>#REF!</v>
      </c>
    </row>
    <row r="36" spans="1:18" x14ac:dyDescent="0.2">
      <c r="A36" s="354">
        <v>37681</v>
      </c>
      <c r="B36">
        <v>3.6888879999999999</v>
      </c>
      <c r="C36">
        <v>3.7555550000000002</v>
      </c>
      <c r="D36">
        <v>3.3111109999999999</v>
      </c>
      <c r="E36">
        <v>3.4222220000000001</v>
      </c>
      <c r="F36">
        <v>1.7056830000000001</v>
      </c>
      <c r="G36">
        <v>42231150000</v>
      </c>
      <c r="J36" s="354">
        <v>36885</v>
      </c>
      <c r="K36">
        <v>2</v>
      </c>
      <c r="L36">
        <v>2.0222220000000002</v>
      </c>
      <c r="M36">
        <v>1.844444</v>
      </c>
      <c r="N36">
        <v>1.9777769999999999</v>
      </c>
      <c r="O36">
        <v>0.98571500000000001</v>
      </c>
      <c r="P36">
        <v>6353100000</v>
      </c>
      <c r="R36" s="273" t="e">
        <f>(O36/O35)*('16. câmbio USD-BRL'!#REF!/'16. câmbio USD-BRL'!#REF!)^-1-1</f>
        <v>#REF!</v>
      </c>
    </row>
    <row r="37" spans="1:18" x14ac:dyDescent="0.2">
      <c r="A37" s="354">
        <v>37712</v>
      </c>
      <c r="B37">
        <v>3.4222220000000001</v>
      </c>
      <c r="C37">
        <v>4.0444440000000004</v>
      </c>
      <c r="D37">
        <v>3.2444440000000001</v>
      </c>
      <c r="E37">
        <v>3.9555549999999999</v>
      </c>
      <c r="F37">
        <v>1.971503</v>
      </c>
      <c r="G37">
        <v>67987530000</v>
      </c>
      <c r="J37" s="354">
        <v>36892</v>
      </c>
      <c r="K37">
        <v>1.9555549999999999</v>
      </c>
      <c r="L37">
        <v>2.2222219999999999</v>
      </c>
      <c r="M37">
        <v>1.844444</v>
      </c>
      <c r="N37">
        <v>2.1111110000000002</v>
      </c>
      <c r="O37">
        <v>1.0521670000000001</v>
      </c>
      <c r="P37">
        <v>9547200000</v>
      </c>
      <c r="R37" s="273" t="e">
        <f>(O37/O36)*('16. câmbio USD-BRL'!#REF!/'16. câmbio USD-BRL'!#REF!)^-1-1</f>
        <v>#REF!</v>
      </c>
    </row>
    <row r="38" spans="1:18" x14ac:dyDescent="0.2">
      <c r="A38" s="354">
        <v>37742</v>
      </c>
      <c r="B38">
        <v>3.1333329999999999</v>
      </c>
      <c r="C38">
        <v>3.55</v>
      </c>
      <c r="D38">
        <v>3</v>
      </c>
      <c r="E38">
        <v>3.3933330000000002</v>
      </c>
      <c r="F38">
        <v>1.6913119999999999</v>
      </c>
      <c r="G38">
        <v>50806800</v>
      </c>
      <c r="J38" s="354">
        <v>36899</v>
      </c>
      <c r="K38">
        <v>2.1111110000000002</v>
      </c>
      <c r="L38">
        <v>2.2222219999999999</v>
      </c>
      <c r="M38">
        <v>2.0888879999999999</v>
      </c>
      <c r="N38">
        <v>2.1333329999999999</v>
      </c>
      <c r="O38">
        <v>1.063242</v>
      </c>
      <c r="P38">
        <v>11914110000</v>
      </c>
      <c r="R38" s="273" t="e">
        <f>(O38/O37)*('16. câmbio USD-BRL'!#REF!/'16. câmbio USD-BRL'!#REF!)^-1-1</f>
        <v>#REF!</v>
      </c>
    </row>
    <row r="39" spans="1:18" x14ac:dyDescent="0.2">
      <c r="A39" s="354">
        <v>37773</v>
      </c>
      <c r="B39">
        <v>3.3722219999999998</v>
      </c>
      <c r="C39">
        <v>3.8111109999999999</v>
      </c>
      <c r="D39">
        <v>3.2222219999999999</v>
      </c>
      <c r="E39">
        <v>3.6588880000000001</v>
      </c>
      <c r="F39">
        <v>1.823671</v>
      </c>
      <c r="G39">
        <v>55484100</v>
      </c>
      <c r="J39" s="354">
        <v>36906</v>
      </c>
      <c r="K39">
        <v>2.1111110000000002</v>
      </c>
      <c r="L39">
        <v>2.3333330000000001</v>
      </c>
      <c r="M39">
        <v>2.1111110000000002</v>
      </c>
      <c r="N39">
        <v>2.3111109999999999</v>
      </c>
      <c r="O39">
        <v>1.1518459999999999</v>
      </c>
      <c r="P39">
        <v>10537020000</v>
      </c>
      <c r="R39" s="273" t="e">
        <f>(O39/O38)*('16. câmbio USD-BRL'!#REF!/'16. câmbio USD-BRL'!#REF!)^-1-1</f>
        <v>#REF!</v>
      </c>
    </row>
    <row r="40" spans="1:18" x14ac:dyDescent="0.2">
      <c r="A40" s="354">
        <v>37803</v>
      </c>
      <c r="B40">
        <v>3.6666660000000002</v>
      </c>
      <c r="C40">
        <v>3.9277769999999999</v>
      </c>
      <c r="D40">
        <v>3.5222220000000002</v>
      </c>
      <c r="E40">
        <v>3.7544439999999999</v>
      </c>
      <c r="F40">
        <v>1.871297</v>
      </c>
      <c r="G40">
        <v>36634500</v>
      </c>
      <c r="J40" s="354">
        <v>36913</v>
      </c>
      <c r="K40">
        <v>2.3333330000000001</v>
      </c>
      <c r="L40">
        <v>2.6</v>
      </c>
      <c r="M40">
        <v>2.288888</v>
      </c>
      <c r="N40">
        <v>2.6</v>
      </c>
      <c r="O40">
        <v>1.295828</v>
      </c>
      <c r="P40">
        <v>20448090000</v>
      </c>
      <c r="R40" s="273" t="e">
        <f>(O40/O39)*('16. câmbio USD-BRL'!#REF!/'16. câmbio USD-BRL'!#REF!)^-1-1</f>
        <v>#REF!</v>
      </c>
    </row>
    <row r="41" spans="1:18" x14ac:dyDescent="0.2">
      <c r="A41" s="354">
        <v>37834</v>
      </c>
      <c r="B41">
        <v>3.7566660000000001</v>
      </c>
      <c r="C41">
        <v>5.1111110000000002</v>
      </c>
      <c r="D41">
        <v>3.636666</v>
      </c>
      <c r="E41">
        <v>4.93</v>
      </c>
      <c r="F41">
        <v>2.481395</v>
      </c>
      <c r="G41">
        <v>88982100</v>
      </c>
      <c r="J41" s="354">
        <v>36920</v>
      </c>
      <c r="K41">
        <v>2.6</v>
      </c>
      <c r="L41">
        <v>2.6</v>
      </c>
      <c r="M41">
        <v>2.2222219999999999</v>
      </c>
      <c r="N41">
        <v>2.2222219999999999</v>
      </c>
      <c r="O41">
        <v>1.1075440000000001</v>
      </c>
      <c r="P41">
        <v>12108330000</v>
      </c>
      <c r="R41" s="273" t="e">
        <f>(O41/O40)*('16. câmbio USD-BRL'!#REF!/'16. câmbio USD-BRL'!#REF!)^-1-1</f>
        <v>#REF!</v>
      </c>
    </row>
    <row r="42" spans="1:18" x14ac:dyDescent="0.2">
      <c r="A42" s="354">
        <v>37865</v>
      </c>
      <c r="B42">
        <v>4.8888879999999997</v>
      </c>
      <c r="C42">
        <v>5.2222220000000004</v>
      </c>
      <c r="D42">
        <v>4.322222</v>
      </c>
      <c r="E42">
        <v>4.538888</v>
      </c>
      <c r="F42">
        <v>2.284538</v>
      </c>
      <c r="G42">
        <v>61456500</v>
      </c>
      <c r="J42" s="354">
        <v>36927</v>
      </c>
      <c r="K42">
        <v>2.2222219999999999</v>
      </c>
      <c r="L42">
        <v>2.3111109999999999</v>
      </c>
      <c r="M42">
        <v>2.1555550000000001</v>
      </c>
      <c r="N42">
        <v>2.2666659999999998</v>
      </c>
      <c r="O42">
        <v>1.1296949999999999</v>
      </c>
      <c r="P42">
        <v>12190230000</v>
      </c>
      <c r="R42" s="273" t="e">
        <f>(O42/O41)*('16. câmbio USD-BRL'!#REF!/'16. câmbio USD-BRL'!#REF!)^-1-1</f>
        <v>#REF!</v>
      </c>
    </row>
    <row r="43" spans="1:18" x14ac:dyDescent="0.2">
      <c r="A43" s="354">
        <v>37895</v>
      </c>
      <c r="B43">
        <v>4.6333330000000004</v>
      </c>
      <c r="C43">
        <v>5.161111</v>
      </c>
      <c r="D43">
        <v>4.6333330000000004</v>
      </c>
      <c r="E43">
        <v>4.6377769999999998</v>
      </c>
      <c r="F43">
        <v>2.334311</v>
      </c>
      <c r="G43">
        <v>56705400</v>
      </c>
      <c r="J43" s="354">
        <v>36934</v>
      </c>
      <c r="K43">
        <v>2.2666659999999998</v>
      </c>
      <c r="L43">
        <v>2.3333330000000001</v>
      </c>
      <c r="M43">
        <v>2.1777769999999999</v>
      </c>
      <c r="N43">
        <v>2.2000000000000002</v>
      </c>
      <c r="O43">
        <v>1.0964689999999999</v>
      </c>
      <c r="P43">
        <v>6679530000</v>
      </c>
      <c r="R43" s="273" t="e">
        <f>(O43/O42)*('16. câmbio USD-BRL'!#REF!/'16. câmbio USD-BRL'!#REF!)^-1-1</f>
        <v>#REF!</v>
      </c>
    </row>
    <row r="44" spans="1:18" x14ac:dyDescent="0.2">
      <c r="A44" s="354">
        <v>37926</v>
      </c>
      <c r="B44">
        <v>4.6677770000000001</v>
      </c>
      <c r="C44">
        <v>5.4444439999999998</v>
      </c>
      <c r="D44">
        <v>4.5688880000000003</v>
      </c>
      <c r="E44">
        <v>5.4444439999999998</v>
      </c>
      <c r="F44">
        <v>2.7715640000000001</v>
      </c>
      <c r="G44">
        <v>61354800</v>
      </c>
      <c r="J44" s="354">
        <v>36941</v>
      </c>
      <c r="K44">
        <v>2.2000000000000002</v>
      </c>
      <c r="L44">
        <v>2.2000000000000002</v>
      </c>
      <c r="M44">
        <v>1.9555549999999999</v>
      </c>
      <c r="N44">
        <v>2.1555550000000001</v>
      </c>
      <c r="O44">
        <v>1.0743180000000001</v>
      </c>
      <c r="P44">
        <v>6487650000</v>
      </c>
      <c r="R44" s="273" t="e">
        <f>(O44/O43)*('16. câmbio USD-BRL'!#REF!/'16. câmbio USD-BRL'!#REF!)^-1-1</f>
        <v>#REF!</v>
      </c>
    </row>
    <row r="45" spans="1:18" x14ac:dyDescent="0.2">
      <c r="A45" s="354">
        <v>37956</v>
      </c>
      <c r="B45">
        <v>5.4388880000000004</v>
      </c>
      <c r="C45">
        <v>6.8844440000000002</v>
      </c>
      <c r="D45">
        <v>5.394444</v>
      </c>
      <c r="E45">
        <v>6.7777770000000004</v>
      </c>
      <c r="F45">
        <v>3.4503170000000001</v>
      </c>
      <c r="G45">
        <v>53681400</v>
      </c>
      <c r="J45" s="354">
        <v>36948</v>
      </c>
      <c r="K45">
        <v>2.1333329999999999</v>
      </c>
      <c r="L45">
        <v>2.2000000000000002</v>
      </c>
      <c r="M45">
        <v>2.0888879999999999</v>
      </c>
      <c r="N45">
        <v>2.1555550000000001</v>
      </c>
      <c r="O45">
        <v>1.0743180000000001</v>
      </c>
      <c r="P45">
        <v>3890250000</v>
      </c>
      <c r="R45" s="273" t="e">
        <f>(O45/O44)*('16. câmbio USD-BRL'!#REF!/'16. câmbio USD-BRL'!#REF!)^-1-1</f>
        <v>#REF!</v>
      </c>
    </row>
    <row r="46" spans="1:18" x14ac:dyDescent="0.2">
      <c r="A46" s="354">
        <v>37987</v>
      </c>
      <c r="B46">
        <v>6.7777770000000004</v>
      </c>
      <c r="C46">
        <v>7.6666660000000002</v>
      </c>
      <c r="D46">
        <v>6.4444439999999998</v>
      </c>
      <c r="E46">
        <v>6.805555</v>
      </c>
      <c r="F46">
        <v>3.4644560000000002</v>
      </c>
      <c r="G46">
        <v>70623900</v>
      </c>
      <c r="J46" s="354">
        <v>36955</v>
      </c>
      <c r="K46">
        <v>2.1777769999999999</v>
      </c>
      <c r="L46">
        <v>2.2666659999999998</v>
      </c>
      <c r="M46">
        <v>2.1111110000000002</v>
      </c>
      <c r="N46">
        <v>2.2000000000000002</v>
      </c>
      <c r="O46">
        <v>1.0964689999999999</v>
      </c>
      <c r="P46">
        <v>12111840000</v>
      </c>
      <c r="R46" s="273" t="e">
        <f>(O46/O45)*('16. câmbio USD-BRL'!#REF!/'16. câmbio USD-BRL'!#REF!)^-1-1</f>
        <v>#REF!</v>
      </c>
    </row>
    <row r="47" spans="1:18" x14ac:dyDescent="0.2">
      <c r="A47" s="354">
        <v>38018</v>
      </c>
      <c r="B47">
        <v>6.805555</v>
      </c>
      <c r="C47">
        <v>6.9444439999999998</v>
      </c>
      <c r="D47">
        <v>5.8888879999999997</v>
      </c>
      <c r="E47">
        <v>6.9222219999999997</v>
      </c>
      <c r="F47">
        <v>3.5837729999999999</v>
      </c>
      <c r="G47">
        <v>49828500</v>
      </c>
      <c r="J47" s="354">
        <v>36962</v>
      </c>
      <c r="K47">
        <v>2.1333329999999999</v>
      </c>
      <c r="L47">
        <v>2.1777769999999999</v>
      </c>
      <c r="M47">
        <v>2.0444439999999999</v>
      </c>
      <c r="N47">
        <v>2.0888879999999999</v>
      </c>
      <c r="O47">
        <v>1.0410919999999999</v>
      </c>
      <c r="P47">
        <v>5538780000</v>
      </c>
      <c r="R47" s="273" t="e">
        <f>(O47/O46)*('16. câmbio USD-BRL'!#REF!/'16. câmbio USD-BRL'!#REF!)^-1-1</f>
        <v>#REF!</v>
      </c>
    </row>
    <row r="48" spans="1:18" x14ac:dyDescent="0.2">
      <c r="A48" s="354">
        <v>38047</v>
      </c>
      <c r="B48">
        <v>6.9477770000000003</v>
      </c>
      <c r="C48">
        <v>7.555555</v>
      </c>
      <c r="D48">
        <v>6.5566659999999999</v>
      </c>
      <c r="E48">
        <v>7.466666</v>
      </c>
      <c r="F48">
        <v>3.8656419999999998</v>
      </c>
      <c r="G48">
        <v>57068100</v>
      </c>
      <c r="J48" s="354">
        <v>36969</v>
      </c>
      <c r="K48">
        <v>2.1111110000000002</v>
      </c>
      <c r="L48">
        <v>2.2000000000000002</v>
      </c>
      <c r="M48">
        <v>1.8888879999999999</v>
      </c>
      <c r="N48">
        <v>2.1555550000000001</v>
      </c>
      <c r="O48">
        <v>1.0743180000000001</v>
      </c>
      <c r="P48">
        <v>6547320000</v>
      </c>
      <c r="R48" s="273" t="e">
        <f>(O48/O47)*('16. câmbio USD-BRL'!#REF!/'16. câmbio USD-BRL'!#REF!)^-1-1</f>
        <v>#REF!</v>
      </c>
    </row>
    <row r="49" spans="1:18" x14ac:dyDescent="0.2">
      <c r="A49" s="354">
        <v>38078</v>
      </c>
      <c r="B49">
        <v>7.466666</v>
      </c>
      <c r="C49">
        <v>7.8388879999999999</v>
      </c>
      <c r="D49">
        <v>6.6144439999999998</v>
      </c>
      <c r="E49">
        <v>6.8888879999999997</v>
      </c>
      <c r="F49">
        <v>3.6017079999999999</v>
      </c>
      <c r="G49">
        <v>54787950</v>
      </c>
      <c r="J49" s="354">
        <v>36976</v>
      </c>
      <c r="K49">
        <v>2.1777769999999999</v>
      </c>
      <c r="L49">
        <v>2.2444440000000001</v>
      </c>
      <c r="M49">
        <v>2.0666660000000001</v>
      </c>
      <c r="N49">
        <v>2.1111110000000002</v>
      </c>
      <c r="O49">
        <v>1.0521670000000001</v>
      </c>
      <c r="P49">
        <v>8468460000</v>
      </c>
      <c r="R49" s="273" t="e">
        <f>(O49/O48)*('16. câmbio USD-BRL'!#REF!/'16. câmbio USD-BRL'!#REF!)^-1-1</f>
        <v>#REF!</v>
      </c>
    </row>
    <row r="50" spans="1:18" x14ac:dyDescent="0.2">
      <c r="A50" s="354">
        <v>38108</v>
      </c>
      <c r="B50">
        <v>6.9222219999999997</v>
      </c>
      <c r="C50">
        <v>7.555555</v>
      </c>
      <c r="D50">
        <v>5.6111110000000002</v>
      </c>
      <c r="E50">
        <v>7.288888</v>
      </c>
      <c r="F50">
        <v>3.8108390000000001</v>
      </c>
      <c r="G50">
        <v>49341150</v>
      </c>
      <c r="J50" s="354">
        <v>36983</v>
      </c>
      <c r="K50">
        <v>2</v>
      </c>
      <c r="L50">
        <v>2.1555550000000001</v>
      </c>
      <c r="M50">
        <v>1.9555549999999999</v>
      </c>
      <c r="N50">
        <v>2.1333329999999999</v>
      </c>
      <c r="O50">
        <v>1.063242</v>
      </c>
      <c r="P50">
        <v>5934240000</v>
      </c>
      <c r="R50" s="273" t="e">
        <f>(O50/O49)*('16. câmbio USD-BRL'!#REF!/'16. câmbio USD-BRL'!#REF!)^-1-1</f>
        <v>#REF!</v>
      </c>
    </row>
    <row r="51" spans="1:18" x14ac:dyDescent="0.2">
      <c r="A51" s="354">
        <v>38139</v>
      </c>
      <c r="B51">
        <v>7.2</v>
      </c>
      <c r="C51">
        <v>8.5333330000000007</v>
      </c>
      <c r="D51">
        <v>7.055555</v>
      </c>
      <c r="E51">
        <v>8.2555549999999993</v>
      </c>
      <c r="F51">
        <v>4.3162399999999996</v>
      </c>
      <c r="G51">
        <v>55449000</v>
      </c>
      <c r="J51" s="354">
        <v>36990</v>
      </c>
      <c r="K51">
        <v>2.1333329999999999</v>
      </c>
      <c r="L51">
        <v>2.2222219999999999</v>
      </c>
      <c r="M51">
        <v>2.0666660000000001</v>
      </c>
      <c r="N51">
        <v>2.0888879999999999</v>
      </c>
      <c r="O51">
        <v>1.0410919999999999</v>
      </c>
      <c r="P51">
        <v>6741540000</v>
      </c>
      <c r="R51" s="273" t="e">
        <f>(O51/O50)*('16. câmbio USD-BRL'!#REF!/'16. câmbio USD-BRL'!#REF!)^-1-1</f>
        <v>#REF!</v>
      </c>
    </row>
    <row r="52" spans="1:18" x14ac:dyDescent="0.2">
      <c r="A52" s="354">
        <v>38169</v>
      </c>
      <c r="B52">
        <v>8.2200000000000006</v>
      </c>
      <c r="C52">
        <v>9.6355550000000001</v>
      </c>
      <c r="D52">
        <v>8.0577769999999997</v>
      </c>
      <c r="E52">
        <v>9.5977770000000007</v>
      </c>
      <c r="F52">
        <v>5.0179919999999996</v>
      </c>
      <c r="G52">
        <v>48060450</v>
      </c>
      <c r="J52" s="354">
        <v>36997</v>
      </c>
      <c r="K52">
        <v>2.0888879999999999</v>
      </c>
      <c r="L52">
        <v>2.2000000000000002</v>
      </c>
      <c r="M52">
        <v>2.0222220000000002</v>
      </c>
      <c r="N52">
        <v>2.0444439999999999</v>
      </c>
      <c r="O52">
        <v>1.0189410000000001</v>
      </c>
      <c r="P52">
        <v>6676020000</v>
      </c>
      <c r="R52" s="273" t="e">
        <f>(O52/O51)*('16. câmbio USD-BRL'!#REF!/'16. câmbio USD-BRL'!#REF!)^-1-1</f>
        <v>#REF!</v>
      </c>
    </row>
    <row r="53" spans="1:18" x14ac:dyDescent="0.2">
      <c r="A53" s="354">
        <v>38200</v>
      </c>
      <c r="B53">
        <v>9.555555</v>
      </c>
      <c r="C53">
        <v>11.544444</v>
      </c>
      <c r="D53">
        <v>9.4711110000000005</v>
      </c>
      <c r="E53">
        <v>10.766666000000001</v>
      </c>
      <c r="F53">
        <v>5.6842030000000001</v>
      </c>
      <c r="G53">
        <v>64191150</v>
      </c>
      <c r="J53" s="354">
        <v>37004</v>
      </c>
      <c r="K53">
        <v>1.9777769999999999</v>
      </c>
      <c r="L53">
        <v>2.2222219999999999</v>
      </c>
      <c r="M53">
        <v>1.911111</v>
      </c>
      <c r="N53">
        <v>2.2222219999999999</v>
      </c>
      <c r="O53">
        <v>1.1075440000000001</v>
      </c>
      <c r="P53">
        <v>7211880000</v>
      </c>
      <c r="R53" s="273" t="e">
        <f>(O53/O52)*('16. câmbio USD-BRL'!#REF!/'16. câmbio USD-BRL'!#REF!)^-1-1</f>
        <v>#REF!</v>
      </c>
    </row>
    <row r="54" spans="1:18" x14ac:dyDescent="0.2">
      <c r="A54" s="354">
        <v>38231</v>
      </c>
      <c r="B54">
        <v>10.76</v>
      </c>
      <c r="C54">
        <v>10.877777</v>
      </c>
      <c r="D54">
        <v>9.5333330000000007</v>
      </c>
      <c r="E54">
        <v>10.355555000000001</v>
      </c>
      <c r="F54">
        <v>5.51844</v>
      </c>
      <c r="G54">
        <v>57584700</v>
      </c>
      <c r="J54" s="354">
        <v>37011</v>
      </c>
      <c r="K54">
        <v>2.2000000000000002</v>
      </c>
      <c r="L54">
        <v>2.288888</v>
      </c>
      <c r="M54">
        <v>2.1777769999999999</v>
      </c>
      <c r="N54">
        <v>2.2222219999999999</v>
      </c>
      <c r="O54">
        <v>1.1075440000000001</v>
      </c>
      <c r="P54">
        <v>3625830000</v>
      </c>
      <c r="R54" s="273" t="e">
        <f>(O54/O53)*('16. câmbio USD-BRL'!#REF!/'16. câmbio USD-BRL'!#REF!)^-1-1</f>
        <v>#REF!</v>
      </c>
    </row>
    <row r="55" spans="1:18" x14ac:dyDescent="0.2">
      <c r="A55" s="354">
        <v>38261</v>
      </c>
      <c r="B55">
        <v>10.333333</v>
      </c>
      <c r="C55">
        <v>11.044444</v>
      </c>
      <c r="D55">
        <v>8.7222220000000004</v>
      </c>
      <c r="E55">
        <v>9.3755550000000003</v>
      </c>
      <c r="F55">
        <v>4.9962049999999998</v>
      </c>
      <c r="G55">
        <v>85996350</v>
      </c>
      <c r="J55" s="354">
        <v>37018</v>
      </c>
      <c r="K55">
        <v>2.2222219999999999</v>
      </c>
      <c r="L55">
        <v>2.2444440000000001</v>
      </c>
      <c r="M55">
        <v>1.911111</v>
      </c>
      <c r="N55">
        <v>1.9555549999999999</v>
      </c>
      <c r="O55">
        <v>0.97463900000000003</v>
      </c>
      <c r="P55">
        <v>6112080000</v>
      </c>
      <c r="R55" s="273" t="e">
        <f>(O55/O54)*('16. câmbio USD-BRL'!#REF!/'16. câmbio USD-BRL'!#REF!)^-1-1</f>
        <v>#REF!</v>
      </c>
    </row>
    <row r="56" spans="1:18" x14ac:dyDescent="0.2">
      <c r="A56" s="354">
        <v>38292</v>
      </c>
      <c r="B56">
        <v>9.3888879999999997</v>
      </c>
      <c r="C56">
        <v>10.886666</v>
      </c>
      <c r="D56">
        <v>9.3111110000000004</v>
      </c>
      <c r="E56">
        <v>10.88</v>
      </c>
      <c r="F56">
        <v>5.7979159999999998</v>
      </c>
      <c r="G56">
        <v>71698050</v>
      </c>
      <c r="J56" s="354">
        <v>37025</v>
      </c>
      <c r="K56">
        <v>1.9555549999999999</v>
      </c>
      <c r="L56">
        <v>1.9555549999999999</v>
      </c>
      <c r="M56">
        <v>1.755555</v>
      </c>
      <c r="N56">
        <v>1.8666659999999999</v>
      </c>
      <c r="O56">
        <v>0.930338</v>
      </c>
      <c r="P56">
        <v>12551760000</v>
      </c>
      <c r="R56" s="273" t="e">
        <f>(O56/O55)*('16. câmbio USD-BRL'!#REF!/'16. câmbio USD-BRL'!#REF!)^-1-1</f>
        <v>#REF!</v>
      </c>
    </row>
    <row r="57" spans="1:18" x14ac:dyDescent="0.2">
      <c r="A57" s="354">
        <v>38322</v>
      </c>
      <c r="B57">
        <v>10.968888</v>
      </c>
      <c r="C57">
        <v>11.175554999999999</v>
      </c>
      <c r="D57">
        <v>9.8000000000000007</v>
      </c>
      <c r="E57">
        <v>10.555555</v>
      </c>
      <c r="F57">
        <v>5.6923649999999997</v>
      </c>
      <c r="G57">
        <v>75040200</v>
      </c>
      <c r="J57" s="354">
        <v>37032</v>
      </c>
      <c r="K57">
        <v>1.8666659999999999</v>
      </c>
      <c r="L57">
        <v>1.911111</v>
      </c>
      <c r="M57">
        <v>1.6888879999999999</v>
      </c>
      <c r="N57">
        <v>1.711111</v>
      </c>
      <c r="O57">
        <v>0.85280900000000004</v>
      </c>
      <c r="P57">
        <v>5614830000</v>
      </c>
      <c r="R57" s="273" t="e">
        <f>(O57/O56)*('16. câmbio USD-BRL'!#REF!/'16. câmbio USD-BRL'!#REF!)^-1-1</f>
        <v>#REF!</v>
      </c>
    </row>
    <row r="58" spans="1:18" x14ac:dyDescent="0.2">
      <c r="A58" s="354">
        <v>38353</v>
      </c>
      <c r="B58">
        <v>10.555555</v>
      </c>
      <c r="C58">
        <v>10.733333</v>
      </c>
      <c r="D58">
        <v>9.0333330000000007</v>
      </c>
      <c r="E58">
        <v>9.8666660000000004</v>
      </c>
      <c r="F58">
        <v>5.3208599999999997</v>
      </c>
      <c r="G58">
        <v>48214800</v>
      </c>
      <c r="J58" s="354">
        <v>37039</v>
      </c>
      <c r="K58">
        <v>1.733333</v>
      </c>
      <c r="L58">
        <v>1.8</v>
      </c>
      <c r="M58">
        <v>1.711111</v>
      </c>
      <c r="N58">
        <v>1.7777769999999999</v>
      </c>
      <c r="O58">
        <v>0.88603600000000005</v>
      </c>
      <c r="P58">
        <v>3299400000</v>
      </c>
      <c r="R58" s="273" t="e">
        <f>(O58/O57)*('16. câmbio USD-BRL'!#REF!/'16. câmbio USD-BRL'!#REF!)^-1-1</f>
        <v>#REF!</v>
      </c>
    </row>
    <row r="59" spans="1:18" x14ac:dyDescent="0.2">
      <c r="A59" s="354">
        <v>38384</v>
      </c>
      <c r="B59">
        <v>9.5955549999999992</v>
      </c>
      <c r="C59">
        <v>11.355555000000001</v>
      </c>
      <c r="D59">
        <v>9.288888</v>
      </c>
      <c r="E59">
        <v>11.322222</v>
      </c>
      <c r="F59">
        <v>6.10581</v>
      </c>
      <c r="G59">
        <v>97384950</v>
      </c>
      <c r="J59" s="354">
        <v>37046</v>
      </c>
      <c r="K59">
        <v>1.8</v>
      </c>
      <c r="L59">
        <v>2</v>
      </c>
      <c r="M59">
        <v>1.8</v>
      </c>
      <c r="N59">
        <v>2</v>
      </c>
      <c r="O59">
        <v>0.99678999999999995</v>
      </c>
      <c r="P59">
        <v>8496540000</v>
      </c>
      <c r="R59" s="273" t="e">
        <f>(O59/O58)*('16. câmbio USD-BRL'!#REF!/'16. câmbio USD-BRL'!#REF!)^-1-1</f>
        <v>#REF!</v>
      </c>
    </row>
    <row r="60" spans="1:18" x14ac:dyDescent="0.2">
      <c r="A60" s="354">
        <v>38412</v>
      </c>
      <c r="B60">
        <v>10.933332999999999</v>
      </c>
      <c r="C60">
        <v>12.273332999999999</v>
      </c>
      <c r="D60">
        <v>9.6888880000000004</v>
      </c>
      <c r="E60">
        <v>9.8444439999999993</v>
      </c>
      <c r="F60">
        <v>5.4237609999999998</v>
      </c>
      <c r="G60">
        <v>81550800</v>
      </c>
      <c r="J60" s="354">
        <v>37053</v>
      </c>
      <c r="K60">
        <v>2</v>
      </c>
      <c r="L60">
        <v>2</v>
      </c>
      <c r="M60">
        <v>1.8666659999999999</v>
      </c>
      <c r="N60">
        <v>1.933333</v>
      </c>
      <c r="O60">
        <v>0.96356399999999998</v>
      </c>
      <c r="P60">
        <v>4960800000</v>
      </c>
      <c r="R60" s="273" t="e">
        <f>(O60/O59)*('16. câmbio USD-BRL'!#REF!/'16. câmbio USD-BRL'!#REF!)^-1-1</f>
        <v>#REF!</v>
      </c>
    </row>
    <row r="61" spans="1:18" x14ac:dyDescent="0.2">
      <c r="A61" s="354">
        <v>38443</v>
      </c>
      <c r="B61">
        <v>10.066666</v>
      </c>
      <c r="C61">
        <v>10.153333</v>
      </c>
      <c r="D61">
        <v>7.966666</v>
      </c>
      <c r="E61">
        <v>8.11</v>
      </c>
      <c r="F61">
        <v>4.4681759999999997</v>
      </c>
      <c r="G61">
        <v>62715300</v>
      </c>
      <c r="J61" s="354">
        <v>37060</v>
      </c>
      <c r="K61">
        <v>1.933333</v>
      </c>
      <c r="L61">
        <v>2.0666660000000001</v>
      </c>
      <c r="M61">
        <v>1.8666659999999999</v>
      </c>
      <c r="N61">
        <v>2</v>
      </c>
      <c r="O61">
        <v>0.99678999999999995</v>
      </c>
      <c r="P61">
        <v>6942780000</v>
      </c>
      <c r="R61" s="273" t="e">
        <f>(O61/O60)*('16. câmbio USD-BRL'!#REF!/'16. câmbio USD-BRL'!#REF!)^-1-1</f>
        <v>#REF!</v>
      </c>
    </row>
    <row r="62" spans="1:18" x14ac:dyDescent="0.2">
      <c r="A62" s="354">
        <v>38473</v>
      </c>
      <c r="B62">
        <v>8.233333</v>
      </c>
      <c r="C62">
        <v>8.8266659999999995</v>
      </c>
      <c r="D62">
        <v>7</v>
      </c>
      <c r="E62">
        <v>8.1</v>
      </c>
      <c r="F62">
        <v>4.4626669999999997</v>
      </c>
      <c r="G62">
        <v>76389600</v>
      </c>
      <c r="J62" s="354">
        <v>37067</v>
      </c>
      <c r="K62">
        <v>2</v>
      </c>
      <c r="L62">
        <v>2.0444439999999999</v>
      </c>
      <c r="M62">
        <v>1.8666659999999999</v>
      </c>
      <c r="N62">
        <v>1.9777769999999999</v>
      </c>
      <c r="O62">
        <v>0.98571500000000001</v>
      </c>
      <c r="P62">
        <v>5476770000</v>
      </c>
      <c r="R62" s="273" t="e">
        <f>(O62/O61)*('16. câmbio USD-BRL'!#REF!/'16. câmbio USD-BRL'!#REF!)^-1-1</f>
        <v>#REF!</v>
      </c>
    </row>
    <row r="63" spans="1:18" x14ac:dyDescent="0.2">
      <c r="A63" s="354">
        <v>38504</v>
      </c>
      <c r="B63">
        <v>8.216666</v>
      </c>
      <c r="C63">
        <v>8.73</v>
      </c>
      <c r="D63">
        <v>7.136666</v>
      </c>
      <c r="E63">
        <v>7.5333329999999998</v>
      </c>
      <c r="F63">
        <v>4.2355530000000003</v>
      </c>
      <c r="G63">
        <v>75683700</v>
      </c>
      <c r="J63" s="354">
        <v>37074</v>
      </c>
      <c r="K63">
        <v>1.9555549999999999</v>
      </c>
      <c r="L63">
        <v>1.9555549999999999</v>
      </c>
      <c r="M63">
        <v>1.733333</v>
      </c>
      <c r="N63">
        <v>1.755555</v>
      </c>
      <c r="O63">
        <v>0.87495999999999996</v>
      </c>
      <c r="P63">
        <v>3969810000</v>
      </c>
      <c r="R63" s="273" t="e">
        <f>(O63/O62)*('16. câmbio USD-BRL'!#REF!/'16. câmbio USD-BRL'!#REF!)^-1-1</f>
        <v>#REF!</v>
      </c>
    </row>
    <row r="64" spans="1:18" x14ac:dyDescent="0.2">
      <c r="A64" s="354">
        <v>38534</v>
      </c>
      <c r="B64">
        <v>7.5333329999999998</v>
      </c>
      <c r="C64">
        <v>8.5</v>
      </c>
      <c r="D64">
        <v>6.95</v>
      </c>
      <c r="E64">
        <v>8.3000000000000007</v>
      </c>
      <c r="F64">
        <v>4.6666059999999998</v>
      </c>
      <c r="G64">
        <v>63361200</v>
      </c>
      <c r="J64" s="354">
        <v>37081</v>
      </c>
      <c r="K64">
        <v>1.7777769999999999</v>
      </c>
      <c r="L64">
        <v>1.8666659999999999</v>
      </c>
      <c r="M64">
        <v>1.6</v>
      </c>
      <c r="N64">
        <v>1.822222</v>
      </c>
      <c r="O64">
        <v>0.90818600000000005</v>
      </c>
      <c r="P64">
        <v>7440030000</v>
      </c>
      <c r="R64" s="273" t="e">
        <f>(O64/O63)*('16. câmbio USD-BRL'!#REF!/'16. câmbio USD-BRL'!#REF!)^-1-1</f>
        <v>#REF!</v>
      </c>
    </row>
    <row r="65" spans="1:18" x14ac:dyDescent="0.2">
      <c r="A65" s="354">
        <v>38565</v>
      </c>
      <c r="B65">
        <v>8.216666</v>
      </c>
      <c r="C65">
        <v>9.93</v>
      </c>
      <c r="D65">
        <v>8.1133330000000008</v>
      </c>
      <c r="E65">
        <v>9.5166660000000007</v>
      </c>
      <c r="F65">
        <v>5.3506669999999996</v>
      </c>
      <c r="G65">
        <v>95062200</v>
      </c>
      <c r="J65" s="354">
        <v>37088</v>
      </c>
      <c r="K65">
        <v>1.822222</v>
      </c>
      <c r="L65">
        <v>1.8888879999999999</v>
      </c>
      <c r="M65">
        <v>1.755555</v>
      </c>
      <c r="N65">
        <v>1.8666659999999999</v>
      </c>
      <c r="O65">
        <v>0.930338</v>
      </c>
      <c r="P65">
        <v>2881710000</v>
      </c>
      <c r="R65" s="273" t="e">
        <f>(O65/O64)*('16. câmbio USD-BRL'!#REF!/'16. câmbio USD-BRL'!#REF!)^-1-1</f>
        <v>#REF!</v>
      </c>
    </row>
    <row r="66" spans="1:18" x14ac:dyDescent="0.2">
      <c r="A66" s="354">
        <v>38596</v>
      </c>
      <c r="B66">
        <v>9.5166660000000007</v>
      </c>
      <c r="C66">
        <v>11.45</v>
      </c>
      <c r="D66">
        <v>9.3000000000000007</v>
      </c>
      <c r="E66">
        <v>11.156666</v>
      </c>
      <c r="F66">
        <v>6.3768539999999998</v>
      </c>
      <c r="G66">
        <v>72297000</v>
      </c>
      <c r="J66" s="354">
        <v>37095</v>
      </c>
      <c r="K66">
        <v>1.8888879999999999</v>
      </c>
      <c r="L66">
        <v>2</v>
      </c>
      <c r="M66">
        <v>1.8</v>
      </c>
      <c r="N66">
        <v>1.8666659999999999</v>
      </c>
      <c r="O66">
        <v>0.930338</v>
      </c>
      <c r="P66">
        <v>3080610000</v>
      </c>
      <c r="R66" s="273" t="e">
        <f>(O66/O65)*('16. câmbio USD-BRL'!#REF!/'16. câmbio USD-BRL'!#REF!)^-1-1</f>
        <v>#REF!</v>
      </c>
    </row>
    <row r="67" spans="1:18" x14ac:dyDescent="0.2">
      <c r="A67" s="354">
        <v>38626</v>
      </c>
      <c r="B67">
        <v>11.166665999999999</v>
      </c>
      <c r="C67">
        <v>11.293333000000001</v>
      </c>
      <c r="D67">
        <v>9.1666659999999993</v>
      </c>
      <c r="E67">
        <v>10.18</v>
      </c>
      <c r="F67">
        <v>5.8186159999999996</v>
      </c>
      <c r="G67">
        <v>58481100</v>
      </c>
      <c r="J67" s="354">
        <v>37102</v>
      </c>
      <c r="K67">
        <v>1.8666659999999999</v>
      </c>
      <c r="L67">
        <v>1.9555549999999999</v>
      </c>
      <c r="M67">
        <v>1.8</v>
      </c>
      <c r="N67">
        <v>1.933333</v>
      </c>
      <c r="O67">
        <v>0.96358200000000005</v>
      </c>
      <c r="P67">
        <v>6005610000</v>
      </c>
      <c r="R67" s="273" t="e">
        <f>(O67/O66)*('16. câmbio USD-BRL'!#REF!/'16. câmbio USD-BRL'!#REF!)^-1-1</f>
        <v>#REF!</v>
      </c>
    </row>
    <row r="68" spans="1:18" x14ac:dyDescent="0.2">
      <c r="A68" s="354">
        <v>38657</v>
      </c>
      <c r="B68">
        <v>10.216666</v>
      </c>
      <c r="C68">
        <v>11.1</v>
      </c>
      <c r="D68">
        <v>10.216666</v>
      </c>
      <c r="E68">
        <v>10.926666000000001</v>
      </c>
      <c r="F68">
        <v>6.245393</v>
      </c>
      <c r="G68">
        <v>44787900</v>
      </c>
      <c r="J68" s="354">
        <v>37109</v>
      </c>
      <c r="K68">
        <v>1.933333</v>
      </c>
      <c r="L68">
        <v>1.9555549999999999</v>
      </c>
      <c r="M68">
        <v>1.8666659999999999</v>
      </c>
      <c r="N68">
        <v>1.8888879999999999</v>
      </c>
      <c r="O68">
        <v>0.94143100000000002</v>
      </c>
      <c r="P68">
        <v>3422250000</v>
      </c>
      <c r="R68" s="273" t="e">
        <f>(O68/O67)*('16. câmbio USD-BRL'!#REF!/'16. câmbio USD-BRL'!#REF!)^-1-1</f>
        <v>#REF!</v>
      </c>
    </row>
    <row r="69" spans="1:18" x14ac:dyDescent="0.2">
      <c r="A69" s="354">
        <v>38687</v>
      </c>
      <c r="B69">
        <v>11</v>
      </c>
      <c r="C69">
        <v>13.1</v>
      </c>
      <c r="D69">
        <v>10.916665999999999</v>
      </c>
      <c r="E69">
        <v>13.1</v>
      </c>
      <c r="F69">
        <v>7.5926770000000001</v>
      </c>
      <c r="G69">
        <v>56776200</v>
      </c>
      <c r="J69" s="354">
        <v>37116</v>
      </c>
      <c r="K69">
        <v>1.8888879999999999</v>
      </c>
      <c r="L69">
        <v>1.911111</v>
      </c>
      <c r="M69">
        <v>1.822222</v>
      </c>
      <c r="N69">
        <v>1.8666659999999999</v>
      </c>
      <c r="O69">
        <v>0.93035500000000004</v>
      </c>
      <c r="P69">
        <v>4141800000</v>
      </c>
      <c r="R69" s="273" t="e">
        <f>(O69/O68)*('16. câmbio USD-BRL'!#REF!/'16. câmbio USD-BRL'!#REF!)^-1-1</f>
        <v>#REF!</v>
      </c>
    </row>
    <row r="70" spans="1:18" x14ac:dyDescent="0.2">
      <c r="A70" s="354">
        <v>38718</v>
      </c>
      <c r="B70">
        <v>13</v>
      </c>
      <c r="C70">
        <v>16.283332999999999</v>
      </c>
      <c r="D70">
        <v>12.533333000000001</v>
      </c>
      <c r="E70">
        <v>16</v>
      </c>
      <c r="F70">
        <v>9.2734959999999997</v>
      </c>
      <c r="G70">
        <v>59736000</v>
      </c>
      <c r="J70" s="354">
        <v>37123</v>
      </c>
      <c r="K70">
        <v>1.8666659999999999</v>
      </c>
      <c r="L70">
        <v>1.911111</v>
      </c>
      <c r="M70">
        <v>1.7777769999999999</v>
      </c>
      <c r="N70">
        <v>1.822222</v>
      </c>
      <c r="O70">
        <v>0.90820400000000001</v>
      </c>
      <c r="P70">
        <v>3698370000</v>
      </c>
      <c r="R70" s="273" t="e">
        <f>(O70/O69)*('16. câmbio USD-BRL'!#REF!/'16. câmbio USD-BRL'!#REF!)^-1-1</f>
        <v>#REF!</v>
      </c>
    </row>
    <row r="71" spans="1:18" x14ac:dyDescent="0.2">
      <c r="A71" s="354">
        <v>38749</v>
      </c>
      <c r="B71">
        <v>15.996665999999999</v>
      </c>
      <c r="C71">
        <v>16.363333000000001</v>
      </c>
      <c r="D71">
        <v>13.936666000000001</v>
      </c>
      <c r="E71">
        <v>16.216664999999999</v>
      </c>
      <c r="F71">
        <v>9.3990740000000006</v>
      </c>
      <c r="G71">
        <v>44757900</v>
      </c>
      <c r="J71" s="354">
        <v>37130</v>
      </c>
      <c r="K71">
        <v>1.822222</v>
      </c>
      <c r="L71">
        <v>1.8666659999999999</v>
      </c>
      <c r="M71">
        <v>1.8</v>
      </c>
      <c r="N71">
        <v>1.844444</v>
      </c>
      <c r="O71">
        <v>0.91927899999999996</v>
      </c>
      <c r="P71">
        <v>3466710000</v>
      </c>
      <c r="R71" s="273" t="e">
        <f>(O71/O70)*('16. câmbio USD-BRL'!#REF!/'16. câmbio USD-BRL'!#REF!)^-1-1</f>
        <v>#REF!</v>
      </c>
    </row>
    <row r="72" spans="1:18" x14ac:dyDescent="0.2">
      <c r="A72" s="354">
        <v>38777</v>
      </c>
      <c r="B72">
        <v>16.433332</v>
      </c>
      <c r="C72">
        <v>17.633333</v>
      </c>
      <c r="D72">
        <v>15.866666</v>
      </c>
      <c r="E72">
        <v>16.200001</v>
      </c>
      <c r="F72">
        <v>9.4740970000000004</v>
      </c>
      <c r="G72">
        <v>55054200</v>
      </c>
      <c r="J72" s="354">
        <v>37137</v>
      </c>
      <c r="K72">
        <v>1.844444</v>
      </c>
      <c r="L72">
        <v>1.844444</v>
      </c>
      <c r="M72">
        <v>1.7777769999999999</v>
      </c>
      <c r="N72">
        <v>1.7777769999999999</v>
      </c>
      <c r="O72">
        <v>0.88605199999999995</v>
      </c>
      <c r="P72">
        <v>4754880000</v>
      </c>
      <c r="R72" s="273" t="e">
        <f>(O72/O71)*('16. câmbio USD-BRL'!#REF!/'16. câmbio USD-BRL'!#REF!)^-1-1</f>
        <v>#REF!</v>
      </c>
    </row>
    <row r="73" spans="1:18" x14ac:dyDescent="0.2">
      <c r="A73" s="354">
        <v>38808</v>
      </c>
      <c r="B73">
        <v>16.483333999999999</v>
      </c>
      <c r="C73">
        <v>18.555</v>
      </c>
      <c r="D73">
        <v>16.483333999999999</v>
      </c>
      <c r="E73">
        <v>18.030000999999999</v>
      </c>
      <c r="F73">
        <v>10.544318000000001</v>
      </c>
      <c r="G73">
        <v>45006800</v>
      </c>
      <c r="J73" s="354">
        <v>37144</v>
      </c>
      <c r="K73">
        <v>1.7777769999999999</v>
      </c>
      <c r="L73">
        <v>1.7777769999999999</v>
      </c>
      <c r="M73">
        <v>1.4444440000000001</v>
      </c>
      <c r="N73">
        <v>1.466666</v>
      </c>
      <c r="O73">
        <v>0.730993</v>
      </c>
      <c r="P73">
        <v>9081540000</v>
      </c>
      <c r="R73" s="273" t="e">
        <f>(O73/O72)*('16. câmbio USD-BRL'!#REF!/'16. câmbio USD-BRL'!#REF!)^-1-1</f>
        <v>#REF!</v>
      </c>
    </row>
    <row r="74" spans="1:18" x14ac:dyDescent="0.2">
      <c r="A74" s="354">
        <v>38838</v>
      </c>
      <c r="B74">
        <v>18.030000999999999</v>
      </c>
      <c r="C74">
        <v>18.620000999999998</v>
      </c>
      <c r="D74">
        <v>14.3</v>
      </c>
      <c r="E74">
        <v>15.685</v>
      </c>
      <c r="F74">
        <v>9.1729120000000002</v>
      </c>
      <c r="G74">
        <v>1786924624</v>
      </c>
      <c r="J74" s="354">
        <v>37151</v>
      </c>
      <c r="K74">
        <v>1.5333330000000001</v>
      </c>
      <c r="L74">
        <v>1.666666</v>
      </c>
      <c r="M74">
        <v>1.4222220000000001</v>
      </c>
      <c r="N74">
        <v>1.488888</v>
      </c>
      <c r="O74">
        <v>0.74206899999999998</v>
      </c>
      <c r="P74">
        <v>13689000000</v>
      </c>
      <c r="R74" s="273" t="e">
        <f>(O74/O73)*('16. câmbio USD-BRL'!#REF!/'16. câmbio USD-BRL'!#REF!)^-1-1</f>
        <v>#REF!</v>
      </c>
    </row>
    <row r="75" spans="1:18" x14ac:dyDescent="0.2">
      <c r="A75" s="354">
        <v>38869</v>
      </c>
      <c r="B75">
        <v>16.495000999999998</v>
      </c>
      <c r="C75">
        <v>17</v>
      </c>
      <c r="D75">
        <v>13.845000000000001</v>
      </c>
      <c r="E75">
        <v>16.170000000000002</v>
      </c>
      <c r="F75">
        <v>9.5371480000000002</v>
      </c>
      <c r="G75">
        <v>1284356774</v>
      </c>
      <c r="J75" s="354">
        <v>37158</v>
      </c>
      <c r="K75">
        <v>1.5333330000000001</v>
      </c>
      <c r="L75">
        <v>1.555555</v>
      </c>
      <c r="M75">
        <v>1.4444440000000001</v>
      </c>
      <c r="N75">
        <v>1.5111110000000001</v>
      </c>
      <c r="O75">
        <v>0.75314499999999995</v>
      </c>
      <c r="P75">
        <v>5345730000</v>
      </c>
      <c r="R75" s="273" t="e">
        <f>(O75/O74)*('16. câmbio USD-BRL'!#REF!/'16. câmbio USD-BRL'!#REF!)^-1-1</f>
        <v>#REF!</v>
      </c>
    </row>
    <row r="76" spans="1:18" x14ac:dyDescent="0.2">
      <c r="A76" s="354">
        <v>38899</v>
      </c>
      <c r="B76">
        <v>16.200001</v>
      </c>
      <c r="C76">
        <v>17.295000000000002</v>
      </c>
      <c r="D76">
        <v>15.3</v>
      </c>
      <c r="E76">
        <v>17.049999</v>
      </c>
      <c r="F76">
        <v>10.056179</v>
      </c>
      <c r="G76">
        <v>983916944</v>
      </c>
      <c r="J76" s="354">
        <v>37165</v>
      </c>
      <c r="K76">
        <v>1.5333330000000001</v>
      </c>
      <c r="L76">
        <v>1.577777</v>
      </c>
      <c r="M76">
        <v>1.4444440000000001</v>
      </c>
      <c r="N76">
        <v>1.577777</v>
      </c>
      <c r="O76">
        <v>0.78637100000000004</v>
      </c>
      <c r="P76">
        <v>5183100000</v>
      </c>
      <c r="R76" s="273" t="e">
        <f>(O76/O75)*('16. câmbio USD-BRL'!#REF!/'16. câmbio USD-BRL'!#REF!)^-1-1</f>
        <v>#REF!</v>
      </c>
    </row>
    <row r="77" spans="1:18" x14ac:dyDescent="0.2">
      <c r="A77" s="354">
        <v>38930</v>
      </c>
      <c r="B77">
        <v>16.989999999999998</v>
      </c>
      <c r="C77">
        <v>17.799999</v>
      </c>
      <c r="D77">
        <v>15.1</v>
      </c>
      <c r="E77">
        <v>15.61</v>
      </c>
      <c r="F77">
        <v>9.2068549999999991</v>
      </c>
      <c r="G77">
        <v>1426975608</v>
      </c>
      <c r="J77" s="354">
        <v>37172</v>
      </c>
      <c r="K77">
        <v>1.555555</v>
      </c>
      <c r="L77">
        <v>1.6888879999999999</v>
      </c>
      <c r="M77">
        <v>1.5111110000000001</v>
      </c>
      <c r="N77">
        <v>1.666666</v>
      </c>
      <c r="O77">
        <v>0.83067400000000002</v>
      </c>
      <c r="P77">
        <v>12031110000</v>
      </c>
      <c r="R77" s="273" t="e">
        <f>(O77/O76)*('16. câmbio USD-BRL'!#REF!/'16. câmbio USD-BRL'!#REF!)^-1-1</f>
        <v>#REF!</v>
      </c>
    </row>
    <row r="78" spans="1:18" x14ac:dyDescent="0.2">
      <c r="A78" s="354">
        <v>38961</v>
      </c>
      <c r="B78">
        <v>15.635</v>
      </c>
      <c r="C78">
        <v>16.549999</v>
      </c>
      <c r="D78">
        <v>14.025</v>
      </c>
      <c r="E78">
        <v>14.84</v>
      </c>
      <c r="F78">
        <v>8.8463890000000003</v>
      </c>
      <c r="G78">
        <v>293350994</v>
      </c>
      <c r="J78" s="354">
        <v>37179</v>
      </c>
      <c r="K78">
        <v>1.666666</v>
      </c>
      <c r="L78">
        <v>1.9777769999999999</v>
      </c>
      <c r="M78">
        <v>1.666666</v>
      </c>
      <c r="N78">
        <v>1.9777769999999999</v>
      </c>
      <c r="O78">
        <v>0.98573299999999997</v>
      </c>
      <c r="P78">
        <v>10074870000</v>
      </c>
      <c r="R78" s="273" t="e">
        <f>(O78/O77)*('16. câmbio USD-BRL'!#REF!/'16. câmbio USD-BRL'!#REF!)^-1-1</f>
        <v>#REF!</v>
      </c>
    </row>
    <row r="79" spans="1:18" x14ac:dyDescent="0.2">
      <c r="A79" s="354">
        <v>38991</v>
      </c>
      <c r="B79">
        <v>14.93</v>
      </c>
      <c r="C79">
        <v>16.469999000000001</v>
      </c>
      <c r="D79">
        <v>14.29</v>
      </c>
      <c r="E79">
        <v>15.82</v>
      </c>
      <c r="F79">
        <v>9.4305869999999992</v>
      </c>
      <c r="G79">
        <v>51328600</v>
      </c>
      <c r="J79" s="354">
        <v>37186</v>
      </c>
      <c r="K79">
        <v>1.9777769999999999</v>
      </c>
      <c r="L79">
        <v>2.1333329999999999</v>
      </c>
      <c r="M79">
        <v>1.933333</v>
      </c>
      <c r="N79">
        <v>2.1111110000000002</v>
      </c>
      <c r="O79">
        <v>1.0521879999999999</v>
      </c>
      <c r="P79">
        <v>7947810000</v>
      </c>
      <c r="R79" s="273" t="e">
        <f>(O79/O78)*('16. câmbio USD-BRL'!#REF!/'16. câmbio USD-BRL'!#REF!)^-1-1</f>
        <v>#REF!</v>
      </c>
    </row>
    <row r="80" spans="1:18" x14ac:dyDescent="0.2">
      <c r="A80" s="354">
        <v>39022</v>
      </c>
      <c r="B80">
        <v>15.94</v>
      </c>
      <c r="C80">
        <v>17.25</v>
      </c>
      <c r="D80">
        <v>15.85</v>
      </c>
      <c r="E80">
        <v>16.940000999999999</v>
      </c>
      <c r="F80">
        <v>10.098235000000001</v>
      </c>
      <c r="G80">
        <v>45816800</v>
      </c>
      <c r="J80" s="354">
        <v>37193</v>
      </c>
      <c r="K80">
        <v>2.0888879999999999</v>
      </c>
      <c r="L80">
        <v>2.1111110000000002</v>
      </c>
      <c r="M80">
        <v>1.9555549999999999</v>
      </c>
      <c r="N80">
        <v>2.0222220000000002</v>
      </c>
      <c r="O80">
        <v>1.0078849999999999</v>
      </c>
      <c r="P80">
        <v>5491980000</v>
      </c>
      <c r="R80" s="273" t="e">
        <f>(O80/O79)*('16. câmbio USD-BRL'!#REF!/'16. câmbio USD-BRL'!#REF!)^-1-1</f>
        <v>#REF!</v>
      </c>
    </row>
    <row r="81" spans="1:18" x14ac:dyDescent="0.2">
      <c r="A81" s="354">
        <v>39052</v>
      </c>
      <c r="B81">
        <v>17.149999999999999</v>
      </c>
      <c r="C81">
        <v>17.850000000000001</v>
      </c>
      <c r="D81">
        <v>16.739999999999998</v>
      </c>
      <c r="E81">
        <v>17.454999999999998</v>
      </c>
      <c r="F81">
        <v>10.514473000000001</v>
      </c>
      <c r="G81">
        <v>34831200</v>
      </c>
      <c r="J81" s="354">
        <v>37200</v>
      </c>
      <c r="K81">
        <v>2.0222220000000002</v>
      </c>
      <c r="L81">
        <v>2.2000000000000002</v>
      </c>
      <c r="M81">
        <v>2.0222220000000002</v>
      </c>
      <c r="N81">
        <v>2.1555550000000001</v>
      </c>
      <c r="O81">
        <v>1.0743389999999999</v>
      </c>
      <c r="P81">
        <v>8546850000</v>
      </c>
      <c r="R81" s="273" t="e">
        <f>(O81/O80)*('16. câmbio USD-BRL'!#REF!/'16. câmbio USD-BRL'!#REF!)^-1-1</f>
        <v>#REF!</v>
      </c>
    </row>
    <row r="82" spans="1:18" x14ac:dyDescent="0.2">
      <c r="A82" s="354">
        <v>39083</v>
      </c>
      <c r="B82">
        <v>17.454999999999998</v>
      </c>
      <c r="C82">
        <v>18.25</v>
      </c>
      <c r="D82">
        <v>15.95</v>
      </c>
      <c r="E82">
        <v>17.899999999999999</v>
      </c>
      <c r="F82">
        <v>10.782526000000001</v>
      </c>
      <c r="G82">
        <v>64181000</v>
      </c>
      <c r="J82" s="354">
        <v>37207</v>
      </c>
      <c r="K82">
        <v>2.1111110000000002</v>
      </c>
      <c r="L82">
        <v>2.466666</v>
      </c>
      <c r="M82">
        <v>2.0444439999999999</v>
      </c>
      <c r="N82">
        <v>2.466666</v>
      </c>
      <c r="O82">
        <v>1.229398</v>
      </c>
      <c r="P82">
        <v>5941260000</v>
      </c>
      <c r="R82" s="273" t="e">
        <f>(O82/O81)*('16. câmbio USD-BRL'!#REF!/'16. câmbio USD-BRL'!#REF!)^-1-1</f>
        <v>#REF!</v>
      </c>
    </row>
    <row r="83" spans="1:18" x14ac:dyDescent="0.2">
      <c r="A83" s="354">
        <v>39114</v>
      </c>
      <c r="B83">
        <v>18</v>
      </c>
      <c r="C83">
        <v>19.950001</v>
      </c>
      <c r="D83">
        <v>17.579999999999998</v>
      </c>
      <c r="E83">
        <v>18.105</v>
      </c>
      <c r="F83">
        <v>10.906017</v>
      </c>
      <c r="G83">
        <v>61391000</v>
      </c>
      <c r="J83" s="354">
        <v>37214</v>
      </c>
      <c r="K83">
        <v>2.4444439999999998</v>
      </c>
      <c r="L83">
        <v>2.6222219999999998</v>
      </c>
      <c r="M83">
        <v>2.4444439999999998</v>
      </c>
      <c r="N83">
        <v>2.6222219999999998</v>
      </c>
      <c r="O83">
        <v>1.3069280000000001</v>
      </c>
      <c r="P83">
        <v>12922650000</v>
      </c>
      <c r="R83" s="273" t="e">
        <f>(O83/O82)*('16. câmbio USD-BRL'!#REF!/'16. câmbio USD-BRL'!#REF!)^-1-1</f>
        <v>#REF!</v>
      </c>
    </row>
    <row r="84" spans="1:18" x14ac:dyDescent="0.2">
      <c r="A84" s="354">
        <v>39142</v>
      </c>
      <c r="B84">
        <v>17.600000000000001</v>
      </c>
      <c r="C84">
        <v>18.879999000000002</v>
      </c>
      <c r="D84">
        <v>16.325001</v>
      </c>
      <c r="E84">
        <v>18.75</v>
      </c>
      <c r="F84">
        <v>11.395009</v>
      </c>
      <c r="G84">
        <v>64314400</v>
      </c>
      <c r="J84" s="354">
        <v>37221</v>
      </c>
      <c r="K84">
        <v>2.644444</v>
      </c>
      <c r="L84">
        <v>2.644444</v>
      </c>
      <c r="M84">
        <v>2.4</v>
      </c>
      <c r="N84">
        <v>2.4444439999999998</v>
      </c>
      <c r="O84">
        <v>1.2183219999999999</v>
      </c>
      <c r="P84">
        <v>11740950000</v>
      </c>
      <c r="R84" s="273" t="e">
        <f>(O84/O83)*('16. câmbio USD-BRL'!#REF!/'16. câmbio USD-BRL'!#REF!)^-1-1</f>
        <v>#REF!</v>
      </c>
    </row>
    <row r="85" spans="1:18" x14ac:dyDescent="0.2">
      <c r="A85" s="354">
        <v>39173</v>
      </c>
      <c r="B85">
        <v>18.844999000000001</v>
      </c>
      <c r="C85">
        <v>21.075001</v>
      </c>
      <c r="D85">
        <v>18.549999</v>
      </c>
      <c r="E85">
        <v>20.745000999999998</v>
      </c>
      <c r="F85">
        <v>12.607438</v>
      </c>
      <c r="G85">
        <v>54919400</v>
      </c>
      <c r="J85" s="354">
        <v>37228</v>
      </c>
      <c r="K85">
        <v>2.4444439999999998</v>
      </c>
      <c r="L85">
        <v>2.6222219999999998</v>
      </c>
      <c r="M85">
        <v>2.4</v>
      </c>
      <c r="N85">
        <v>2.4888880000000002</v>
      </c>
      <c r="O85">
        <v>1.2404729999999999</v>
      </c>
      <c r="P85">
        <v>9336600000</v>
      </c>
      <c r="R85" s="273" t="e">
        <f>(O85/O84)*('16. câmbio USD-BRL'!#REF!/'16. câmbio USD-BRL'!#REF!)^-1-1</f>
        <v>#REF!</v>
      </c>
    </row>
    <row r="86" spans="1:18" x14ac:dyDescent="0.2">
      <c r="A86" s="354">
        <v>39203</v>
      </c>
      <c r="B86">
        <v>20.745000999999998</v>
      </c>
      <c r="C86">
        <v>22.195</v>
      </c>
      <c r="D86">
        <v>20.375</v>
      </c>
      <c r="E86">
        <v>21.75</v>
      </c>
      <c r="F86">
        <v>13.218206</v>
      </c>
      <c r="G86">
        <v>59449400</v>
      </c>
      <c r="J86" s="354">
        <v>37235</v>
      </c>
      <c r="K86">
        <v>2.466666</v>
      </c>
      <c r="L86">
        <v>2.6</v>
      </c>
      <c r="M86">
        <v>2.4222220000000001</v>
      </c>
      <c r="N86">
        <v>2.466666</v>
      </c>
      <c r="O86">
        <v>1.229398</v>
      </c>
      <c r="P86">
        <v>7695090000</v>
      </c>
      <c r="R86" s="273" t="e">
        <f>(O86/O85)*('16. câmbio USD-BRL'!#REF!/'16. câmbio USD-BRL'!#REF!)^-1-1</f>
        <v>#REF!</v>
      </c>
    </row>
    <row r="87" spans="1:18" x14ac:dyDescent="0.2">
      <c r="A87" s="354">
        <v>39234</v>
      </c>
      <c r="B87">
        <v>21.76</v>
      </c>
      <c r="C87">
        <v>24.950001</v>
      </c>
      <c r="D87">
        <v>21.76</v>
      </c>
      <c r="E87">
        <v>24.700001</v>
      </c>
      <c r="F87">
        <v>15.133706999999999</v>
      </c>
      <c r="G87">
        <v>62677200</v>
      </c>
      <c r="J87" s="354">
        <v>37242</v>
      </c>
      <c r="K87">
        <v>2.4444439999999998</v>
      </c>
      <c r="L87">
        <v>2.5777770000000002</v>
      </c>
      <c r="M87">
        <v>2.288888</v>
      </c>
      <c r="N87">
        <v>2.466666</v>
      </c>
      <c r="O87">
        <v>1.229398</v>
      </c>
      <c r="P87">
        <v>10180170000</v>
      </c>
      <c r="R87" s="273" t="e">
        <f>(O87/O86)*('16. câmbio USD-BRL'!#REF!/'16. câmbio USD-BRL'!#REF!)^-1-1</f>
        <v>#REF!</v>
      </c>
    </row>
    <row r="88" spans="1:18" x14ac:dyDescent="0.2">
      <c r="A88" s="354">
        <v>39264</v>
      </c>
      <c r="B88">
        <v>24.75</v>
      </c>
      <c r="C88">
        <v>26.110001</v>
      </c>
      <c r="D88">
        <v>23.225000000000001</v>
      </c>
      <c r="E88">
        <v>23.700001</v>
      </c>
      <c r="F88">
        <v>14.521013</v>
      </c>
      <c r="G88">
        <v>61741600</v>
      </c>
      <c r="J88" s="354">
        <v>37249</v>
      </c>
      <c r="K88">
        <v>2.4888880000000002</v>
      </c>
      <c r="L88">
        <v>2.5333329999999998</v>
      </c>
      <c r="M88">
        <v>2.377777</v>
      </c>
      <c r="N88">
        <v>2.377777</v>
      </c>
      <c r="O88">
        <v>1.185095</v>
      </c>
      <c r="P88">
        <v>4428450000</v>
      </c>
      <c r="R88" s="273" t="e">
        <f>(O88/O87)*('16. câmbio USD-BRL'!#REF!/'16. câmbio USD-BRL'!#REF!)^-1-1</f>
        <v>#REF!</v>
      </c>
    </row>
    <row r="89" spans="1:18" x14ac:dyDescent="0.2">
      <c r="A89" s="354">
        <v>39295</v>
      </c>
      <c r="B89">
        <v>23.67</v>
      </c>
      <c r="C89">
        <v>24.975000000000001</v>
      </c>
      <c r="D89">
        <v>19.459999</v>
      </c>
      <c r="E89">
        <v>24</v>
      </c>
      <c r="F89">
        <v>14.704818</v>
      </c>
      <c r="G89">
        <v>80111000</v>
      </c>
      <c r="J89" s="354">
        <v>37256</v>
      </c>
      <c r="K89">
        <v>2.377777</v>
      </c>
      <c r="L89">
        <v>2.6888879999999999</v>
      </c>
      <c r="M89">
        <v>2.377777</v>
      </c>
      <c r="N89">
        <v>2.6666660000000002</v>
      </c>
      <c r="O89">
        <v>1.3290789999999999</v>
      </c>
      <c r="P89">
        <v>5226390000</v>
      </c>
      <c r="R89" s="273" t="e">
        <f>(O89/O88)*('16. câmbio USD-BRL'!#REF!/'16. câmbio USD-BRL'!#REF!)^-1-1</f>
        <v>#REF!</v>
      </c>
    </row>
    <row r="90" spans="1:18" x14ac:dyDescent="0.2">
      <c r="A90" s="354">
        <v>39326</v>
      </c>
      <c r="B90">
        <v>23.774999999999999</v>
      </c>
      <c r="C90">
        <v>24.35</v>
      </c>
      <c r="D90">
        <v>21.555</v>
      </c>
      <c r="E90">
        <v>24.129999000000002</v>
      </c>
      <c r="F90">
        <v>14.890148999999999</v>
      </c>
      <c r="G90">
        <v>70976200</v>
      </c>
      <c r="J90" s="354">
        <v>37263</v>
      </c>
      <c r="K90">
        <v>2.6666660000000002</v>
      </c>
      <c r="L90">
        <v>3</v>
      </c>
      <c r="M90">
        <v>2.5777770000000002</v>
      </c>
      <c r="N90">
        <v>2.9777770000000001</v>
      </c>
      <c r="O90">
        <v>1.484138</v>
      </c>
      <c r="P90">
        <v>14881230000</v>
      </c>
      <c r="R90" s="273" t="e">
        <f>(O90/O89)*('16. câmbio USD-BRL'!#REF!/'16. câmbio USD-BRL'!#REF!)^-1-1</f>
        <v>#REF!</v>
      </c>
    </row>
    <row r="91" spans="1:18" x14ac:dyDescent="0.2">
      <c r="A91" s="354">
        <v>39356</v>
      </c>
      <c r="B91">
        <v>24.125</v>
      </c>
      <c r="C91">
        <v>27.73</v>
      </c>
      <c r="D91">
        <v>24.125</v>
      </c>
      <c r="E91">
        <v>27.1</v>
      </c>
      <c r="F91">
        <v>16.722882999999999</v>
      </c>
      <c r="G91">
        <v>82101000</v>
      </c>
      <c r="J91" s="354">
        <v>37270</v>
      </c>
      <c r="K91">
        <v>2.9333330000000002</v>
      </c>
      <c r="L91">
        <v>3.0444439999999999</v>
      </c>
      <c r="M91">
        <v>2.6</v>
      </c>
      <c r="N91">
        <v>2.7111109999999998</v>
      </c>
      <c r="O91">
        <v>1.3512299999999999</v>
      </c>
      <c r="P91">
        <v>10148580000</v>
      </c>
      <c r="R91" s="273" t="e">
        <f>(O91/O90)*('16. câmbio USD-BRL'!#REF!/'16. câmbio USD-BRL'!#REF!)^-1-1</f>
        <v>#REF!</v>
      </c>
    </row>
    <row r="92" spans="1:18" x14ac:dyDescent="0.2">
      <c r="A92" s="354">
        <v>39387</v>
      </c>
      <c r="B92">
        <v>27.504999000000002</v>
      </c>
      <c r="C92">
        <v>27.504999000000002</v>
      </c>
      <c r="D92">
        <v>22.754999000000002</v>
      </c>
      <c r="E92">
        <v>25.395</v>
      </c>
      <c r="F92">
        <v>15.670759</v>
      </c>
      <c r="G92">
        <v>64689600</v>
      </c>
      <c r="J92" s="354">
        <v>37277</v>
      </c>
      <c r="K92">
        <v>2.6888879999999999</v>
      </c>
      <c r="L92">
        <v>2.7555550000000002</v>
      </c>
      <c r="M92">
        <v>2.644444</v>
      </c>
      <c r="N92">
        <v>2.6666660000000002</v>
      </c>
      <c r="O92">
        <v>1.3290789999999999</v>
      </c>
      <c r="P92">
        <v>5301270000</v>
      </c>
      <c r="R92" s="273" t="e">
        <f>(O92/O91)*('16. câmbio USD-BRL'!#REF!/'16. câmbio USD-BRL'!#REF!)^-1-1</f>
        <v>#REF!</v>
      </c>
    </row>
    <row r="93" spans="1:18" x14ac:dyDescent="0.2">
      <c r="A93" s="354">
        <v>39417</v>
      </c>
      <c r="B93">
        <v>25.5</v>
      </c>
      <c r="C93">
        <v>26.940000999999999</v>
      </c>
      <c r="D93">
        <v>24</v>
      </c>
      <c r="E93">
        <v>25.98</v>
      </c>
      <c r="F93">
        <v>16.144763999999999</v>
      </c>
      <c r="G93">
        <v>54390200</v>
      </c>
      <c r="J93" s="354">
        <v>37284</v>
      </c>
      <c r="K93">
        <v>2.6666660000000002</v>
      </c>
      <c r="L93">
        <v>2.7777769999999999</v>
      </c>
      <c r="M93">
        <v>2.555555</v>
      </c>
      <c r="N93">
        <v>2.6222219999999998</v>
      </c>
      <c r="O93">
        <v>1.3069280000000001</v>
      </c>
      <c r="P93">
        <v>13604760000</v>
      </c>
      <c r="R93" s="273" t="e">
        <f>(O93/O92)*('16. câmbio USD-BRL'!#REF!/'16. câmbio USD-BRL'!#REF!)^-1-1</f>
        <v>#REF!</v>
      </c>
    </row>
    <row r="94" spans="1:18" x14ac:dyDescent="0.2">
      <c r="A94" s="354">
        <v>39448</v>
      </c>
      <c r="B94">
        <v>25.98</v>
      </c>
      <c r="C94">
        <v>25.98</v>
      </c>
      <c r="D94">
        <v>25.98</v>
      </c>
      <c r="E94">
        <v>25.98</v>
      </c>
      <c r="F94">
        <v>16.144763999999999</v>
      </c>
      <c r="G94">
        <v>0</v>
      </c>
      <c r="J94" s="354">
        <v>37291</v>
      </c>
      <c r="K94">
        <v>2.5777770000000002</v>
      </c>
      <c r="L94">
        <v>2.733333</v>
      </c>
      <c r="M94">
        <v>2.5333329999999998</v>
      </c>
      <c r="N94">
        <v>2.7111109999999998</v>
      </c>
      <c r="O94">
        <v>1.3512299999999999</v>
      </c>
      <c r="P94">
        <v>6718140000</v>
      </c>
      <c r="R94" s="273" t="e">
        <f>(O94/O93)*('16. câmbio USD-BRL'!#REF!/'16. câmbio USD-BRL'!#REF!)^-1-1</f>
        <v>#REF!</v>
      </c>
    </row>
    <row r="95" spans="1:18" x14ac:dyDescent="0.2">
      <c r="A95" s="354">
        <v>39479</v>
      </c>
      <c r="B95">
        <v>25.98</v>
      </c>
      <c r="C95">
        <v>25.98</v>
      </c>
      <c r="D95">
        <v>25.98</v>
      </c>
      <c r="E95">
        <v>25.98</v>
      </c>
      <c r="F95">
        <v>16.144763999999999</v>
      </c>
      <c r="G95">
        <v>0</v>
      </c>
      <c r="J95" s="354">
        <v>37298</v>
      </c>
      <c r="K95">
        <v>2.733333</v>
      </c>
      <c r="L95">
        <v>2.8888880000000001</v>
      </c>
      <c r="M95">
        <v>2.6666660000000002</v>
      </c>
      <c r="N95">
        <v>2.8444440000000002</v>
      </c>
      <c r="O95">
        <v>1.4176839999999999</v>
      </c>
      <c r="P95">
        <v>5342220000</v>
      </c>
      <c r="R95" s="273" t="e">
        <f>(O95/O94)*('16. câmbio USD-BRL'!#REF!/'16. câmbio USD-BRL'!#REF!)^-1-1</f>
        <v>#REF!</v>
      </c>
    </row>
    <row r="96" spans="1:18" x14ac:dyDescent="0.2">
      <c r="A96" s="354">
        <v>39508</v>
      </c>
      <c r="B96">
        <v>25.98</v>
      </c>
      <c r="C96">
        <v>25.98</v>
      </c>
      <c r="D96">
        <v>25.98</v>
      </c>
      <c r="E96">
        <v>25.98</v>
      </c>
      <c r="F96">
        <v>16.235382000000001</v>
      </c>
      <c r="G96">
        <v>0</v>
      </c>
      <c r="J96" s="354">
        <v>37305</v>
      </c>
      <c r="K96">
        <v>2.8444440000000002</v>
      </c>
      <c r="L96">
        <v>3.0222220000000002</v>
      </c>
      <c r="M96">
        <v>2.7777769999999999</v>
      </c>
      <c r="N96">
        <v>2.9555549999999999</v>
      </c>
      <c r="O96">
        <v>1.4730620000000001</v>
      </c>
      <c r="P96">
        <v>12262770000</v>
      </c>
      <c r="R96" s="273" t="e">
        <f>(O96/O95)*('16. câmbio USD-BRL'!#REF!/'16. câmbio USD-BRL'!#REF!)^-1-1</f>
        <v>#REF!</v>
      </c>
    </row>
    <row r="97" spans="1:18" x14ac:dyDescent="0.2">
      <c r="A97" s="354">
        <v>39539</v>
      </c>
      <c r="B97">
        <v>25.98</v>
      </c>
      <c r="C97">
        <v>25.98</v>
      </c>
      <c r="D97">
        <v>25.98</v>
      </c>
      <c r="E97">
        <v>25.98</v>
      </c>
      <c r="F97">
        <v>16.235382000000001</v>
      </c>
      <c r="G97">
        <v>0</v>
      </c>
      <c r="J97" s="354">
        <v>37312</v>
      </c>
      <c r="K97">
        <v>3</v>
      </c>
      <c r="L97">
        <v>3.1555550000000001</v>
      </c>
      <c r="M97">
        <v>2.911111</v>
      </c>
      <c r="N97">
        <v>2.9555549999999999</v>
      </c>
      <c r="O97">
        <v>1.4730620000000001</v>
      </c>
      <c r="P97">
        <v>8271900000</v>
      </c>
      <c r="R97" s="273" t="e">
        <f>(O97/O96)*('16. câmbio USD-BRL'!#REF!/'16. câmbio USD-BRL'!#REF!)^-1-1</f>
        <v>#REF!</v>
      </c>
    </row>
    <row r="98" spans="1:18" x14ac:dyDescent="0.2">
      <c r="A98" s="354">
        <v>39569</v>
      </c>
      <c r="B98">
        <v>25.98</v>
      </c>
      <c r="C98">
        <v>25.98</v>
      </c>
      <c r="D98">
        <v>25.98</v>
      </c>
      <c r="E98">
        <v>25.98</v>
      </c>
      <c r="F98">
        <v>16.235382000000001</v>
      </c>
      <c r="G98">
        <v>0</v>
      </c>
      <c r="J98" s="354">
        <v>37319</v>
      </c>
      <c r="K98">
        <v>2.9555549999999999</v>
      </c>
      <c r="L98">
        <v>3.0888879999999999</v>
      </c>
      <c r="M98">
        <v>2.8444440000000002</v>
      </c>
      <c r="N98">
        <v>3.0666660000000001</v>
      </c>
      <c r="O98">
        <v>1.5284409999999999</v>
      </c>
      <c r="P98">
        <v>9654840000</v>
      </c>
      <c r="R98" s="273" t="e">
        <f>(O98/O97)*('16. câmbio USD-BRL'!#REF!/'16. câmbio USD-BRL'!#REF!)^-1-1</f>
        <v>#REF!</v>
      </c>
    </row>
    <row r="99" spans="1:18" x14ac:dyDescent="0.2">
      <c r="A99" s="354">
        <v>39600</v>
      </c>
      <c r="B99">
        <v>25.98</v>
      </c>
      <c r="C99">
        <v>25.98</v>
      </c>
      <c r="D99">
        <v>25.98</v>
      </c>
      <c r="E99">
        <v>25.98</v>
      </c>
      <c r="F99">
        <v>16.364505999999999</v>
      </c>
      <c r="G99">
        <v>0</v>
      </c>
      <c r="J99" s="354">
        <v>37326</v>
      </c>
      <c r="K99">
        <v>3.0666660000000001</v>
      </c>
      <c r="L99">
        <v>3.1777769999999999</v>
      </c>
      <c r="M99">
        <v>2.9333330000000002</v>
      </c>
      <c r="N99">
        <v>3.1333329999999999</v>
      </c>
      <c r="O99">
        <v>1.5616680000000001</v>
      </c>
      <c r="P99">
        <v>14541930000</v>
      </c>
      <c r="R99" s="273" t="e">
        <f>(O99/O98)*('16. câmbio USD-BRL'!#REF!/'16. câmbio USD-BRL'!#REF!)^-1-1</f>
        <v>#REF!</v>
      </c>
    </row>
    <row r="100" spans="1:18" x14ac:dyDescent="0.2">
      <c r="A100" s="354">
        <v>39630</v>
      </c>
      <c r="B100">
        <v>25.98</v>
      </c>
      <c r="C100">
        <v>34.900002000000001</v>
      </c>
      <c r="D100">
        <v>25.98</v>
      </c>
      <c r="E100">
        <v>34.299999</v>
      </c>
      <c r="F100">
        <v>21.605186</v>
      </c>
      <c r="G100">
        <v>12570900</v>
      </c>
      <c r="J100" s="354">
        <v>37333</v>
      </c>
      <c r="K100">
        <v>3.2</v>
      </c>
      <c r="L100">
        <v>3.288888</v>
      </c>
      <c r="M100">
        <v>3.0222220000000002</v>
      </c>
      <c r="N100">
        <v>3.2222219999999999</v>
      </c>
      <c r="O100">
        <v>1.6059699999999999</v>
      </c>
      <c r="P100">
        <v>11271780000</v>
      </c>
      <c r="R100" s="273" t="e">
        <f>(O100/O99)*('16. câmbio USD-BRL'!#REF!/'16. câmbio USD-BRL'!#REF!)^-1-1</f>
        <v>#REF!</v>
      </c>
    </row>
    <row r="101" spans="1:18" x14ac:dyDescent="0.2">
      <c r="A101" s="354">
        <v>39661</v>
      </c>
      <c r="B101">
        <v>33.849997999999999</v>
      </c>
      <c r="C101">
        <v>34.400002000000001</v>
      </c>
      <c r="D101">
        <v>27.450001</v>
      </c>
      <c r="E101">
        <v>28.360001</v>
      </c>
      <c r="F101">
        <v>17.863641999999999</v>
      </c>
      <c r="G101">
        <v>50019300</v>
      </c>
      <c r="J101" s="354">
        <v>37340</v>
      </c>
      <c r="K101">
        <v>3.1777769999999999</v>
      </c>
      <c r="L101">
        <v>3.1777769999999999</v>
      </c>
      <c r="M101">
        <v>3.0666660000000001</v>
      </c>
      <c r="N101">
        <v>3.1333329999999999</v>
      </c>
      <c r="O101">
        <v>1.5616680000000001</v>
      </c>
      <c r="P101">
        <v>5897970000</v>
      </c>
      <c r="R101" s="273" t="e">
        <f>(O101/O100)*('16. câmbio USD-BRL'!#REF!/'16. câmbio USD-BRL'!#REF!)^-1-1</f>
        <v>#REF!</v>
      </c>
    </row>
    <row r="102" spans="1:18" x14ac:dyDescent="0.2">
      <c r="A102" s="354">
        <v>39692</v>
      </c>
      <c r="B102">
        <v>28.360001</v>
      </c>
      <c r="C102">
        <v>28.360001</v>
      </c>
      <c r="D102">
        <v>28.360001</v>
      </c>
      <c r="E102">
        <v>28.360001</v>
      </c>
      <c r="F102">
        <v>18.093316999999999</v>
      </c>
      <c r="G102">
        <v>0</v>
      </c>
      <c r="J102" s="354">
        <v>37347</v>
      </c>
      <c r="K102">
        <v>3.0888879999999999</v>
      </c>
      <c r="L102">
        <v>3.2222219999999999</v>
      </c>
      <c r="M102">
        <v>2.9777770000000001</v>
      </c>
      <c r="N102">
        <v>3.1555550000000001</v>
      </c>
      <c r="O102">
        <v>1.572743</v>
      </c>
      <c r="P102">
        <v>7010640000</v>
      </c>
      <c r="R102" s="273" t="e">
        <f>(O102/O101)*('16. câmbio USD-BRL'!#REF!/'16. câmbio USD-BRL'!#REF!)^-1-1</f>
        <v>#REF!</v>
      </c>
    </row>
    <row r="103" spans="1:18" x14ac:dyDescent="0.2">
      <c r="A103" s="354">
        <v>39722</v>
      </c>
      <c r="B103">
        <v>28.360001</v>
      </c>
      <c r="C103">
        <v>28.360001</v>
      </c>
      <c r="D103">
        <v>28.360001</v>
      </c>
      <c r="E103">
        <v>28.360001</v>
      </c>
      <c r="F103">
        <v>18.093316999999999</v>
      </c>
      <c r="G103">
        <v>0</v>
      </c>
      <c r="J103" s="354">
        <v>37354</v>
      </c>
      <c r="K103">
        <v>3.1333329999999999</v>
      </c>
      <c r="L103">
        <v>3.3333330000000001</v>
      </c>
      <c r="M103">
        <v>3.0444439999999999</v>
      </c>
      <c r="N103">
        <v>3.3111109999999999</v>
      </c>
      <c r="O103">
        <v>1.650272</v>
      </c>
      <c r="P103">
        <v>8991450000</v>
      </c>
      <c r="R103" s="273" t="e">
        <f>(O103/O102)*('16. câmbio USD-BRL'!#REF!/'16. câmbio USD-BRL'!#REF!)^-1-1</f>
        <v>#REF!</v>
      </c>
    </row>
    <row r="104" spans="1:18" x14ac:dyDescent="0.2">
      <c r="A104" s="354">
        <v>39753</v>
      </c>
      <c r="B104">
        <v>28.360001</v>
      </c>
      <c r="C104">
        <v>28.360001</v>
      </c>
      <c r="D104">
        <v>28.360001</v>
      </c>
      <c r="E104">
        <v>28.360001</v>
      </c>
      <c r="F104">
        <v>18.093316999999999</v>
      </c>
      <c r="G104">
        <v>0</v>
      </c>
      <c r="J104" s="354">
        <v>37361</v>
      </c>
      <c r="K104">
        <v>3.3333330000000001</v>
      </c>
      <c r="L104">
        <v>3.644444</v>
      </c>
      <c r="M104">
        <v>3.3111109999999999</v>
      </c>
      <c r="N104">
        <v>3.5777770000000002</v>
      </c>
      <c r="O104">
        <v>1.7831809999999999</v>
      </c>
      <c r="P104">
        <v>14321970000</v>
      </c>
      <c r="R104" s="273" t="e">
        <f>(O104/O103)*('16. câmbio USD-BRL'!#REF!/'16. câmbio USD-BRL'!#REF!)^-1-1</f>
        <v>#REF!</v>
      </c>
    </row>
    <row r="105" spans="1:18" x14ac:dyDescent="0.2">
      <c r="A105" s="354">
        <v>39783</v>
      </c>
      <c r="B105">
        <v>28.360001</v>
      </c>
      <c r="C105">
        <v>28.360001</v>
      </c>
      <c r="D105">
        <v>14.4</v>
      </c>
      <c r="E105">
        <v>15.06</v>
      </c>
      <c r="F105">
        <v>9.6694569999999995</v>
      </c>
      <c r="G105">
        <v>7552900</v>
      </c>
      <c r="J105" s="354">
        <v>37368</v>
      </c>
      <c r="K105">
        <v>3.5777770000000002</v>
      </c>
      <c r="L105">
        <v>3.644444</v>
      </c>
      <c r="M105">
        <v>3.377777</v>
      </c>
      <c r="N105">
        <v>3.6</v>
      </c>
      <c r="O105">
        <v>1.794257</v>
      </c>
      <c r="P105">
        <v>11756160000</v>
      </c>
      <c r="R105" s="273" t="e">
        <f>(O105/O104)*('16. câmbio USD-BRL'!#REF!/'16. câmbio USD-BRL'!#REF!)^-1-1</f>
        <v>#REF!</v>
      </c>
    </row>
    <row r="106" spans="1:18" x14ac:dyDescent="0.2">
      <c r="A106" s="354">
        <v>39814</v>
      </c>
      <c r="B106">
        <v>15.06</v>
      </c>
      <c r="C106">
        <v>19.34</v>
      </c>
      <c r="D106">
        <v>15.06</v>
      </c>
      <c r="E106">
        <v>16.799999</v>
      </c>
      <c r="F106">
        <v>10.786648</v>
      </c>
      <c r="G106">
        <v>53637100</v>
      </c>
      <c r="J106" s="354">
        <v>37375</v>
      </c>
      <c r="K106">
        <v>3.5777770000000002</v>
      </c>
      <c r="L106">
        <v>3.644444</v>
      </c>
      <c r="M106">
        <v>3.2222219999999999</v>
      </c>
      <c r="N106">
        <v>3.3111109999999999</v>
      </c>
      <c r="O106">
        <v>1.650272</v>
      </c>
      <c r="P106">
        <v>8679060000</v>
      </c>
      <c r="R106" s="273" t="e">
        <f>(O106/O105)*('16. câmbio USD-BRL'!#REF!/'16. câmbio USD-BRL'!#REF!)^-1-1</f>
        <v>#REF!</v>
      </c>
    </row>
    <row r="107" spans="1:18" x14ac:dyDescent="0.2">
      <c r="A107" s="354">
        <v>39845</v>
      </c>
      <c r="B107">
        <v>16.799999</v>
      </c>
      <c r="C107">
        <v>16.799999</v>
      </c>
      <c r="D107">
        <v>16.799999</v>
      </c>
      <c r="E107">
        <v>16.799999</v>
      </c>
      <c r="F107">
        <v>10.786648</v>
      </c>
      <c r="G107">
        <v>0</v>
      </c>
      <c r="J107" s="354">
        <v>37382</v>
      </c>
      <c r="K107">
        <v>3.2666659999999998</v>
      </c>
      <c r="L107">
        <v>3.3111109999999999</v>
      </c>
      <c r="M107">
        <v>3.0222220000000002</v>
      </c>
      <c r="N107">
        <v>3.1333329999999999</v>
      </c>
      <c r="O107">
        <v>1.5616680000000001</v>
      </c>
      <c r="P107">
        <v>6100380000</v>
      </c>
      <c r="R107" s="273" t="e">
        <f>(O107/O106)*('16. câmbio USD-BRL'!#REF!/'16. câmbio USD-BRL'!#REF!)^-1-1</f>
        <v>#REF!</v>
      </c>
    </row>
    <row r="108" spans="1:18" x14ac:dyDescent="0.2">
      <c r="A108" s="354">
        <v>39873</v>
      </c>
      <c r="B108">
        <v>16.799999</v>
      </c>
      <c r="C108">
        <v>16.799999</v>
      </c>
      <c r="D108">
        <v>16.799999</v>
      </c>
      <c r="E108">
        <v>16.799999</v>
      </c>
      <c r="F108">
        <v>10.786648</v>
      </c>
      <c r="G108">
        <v>0</v>
      </c>
      <c r="J108" s="354">
        <v>37389</v>
      </c>
      <c r="K108">
        <v>3.2</v>
      </c>
      <c r="L108">
        <v>3.733333</v>
      </c>
      <c r="M108">
        <v>3.2</v>
      </c>
      <c r="N108">
        <v>3.6888879999999999</v>
      </c>
      <c r="O108">
        <v>1.8385590000000001</v>
      </c>
      <c r="P108">
        <v>12111840000</v>
      </c>
      <c r="R108" s="273" t="e">
        <f>(O108/O107)*('16. câmbio USD-BRL'!#REF!/'16. câmbio USD-BRL'!#REF!)^-1-1</f>
        <v>#REF!</v>
      </c>
    </row>
    <row r="109" spans="1:18" x14ac:dyDescent="0.2">
      <c r="A109" s="354">
        <v>39904</v>
      </c>
      <c r="B109">
        <v>16.799999</v>
      </c>
      <c r="C109">
        <v>16.799999</v>
      </c>
      <c r="D109">
        <v>16.799999</v>
      </c>
      <c r="E109">
        <v>16.799999</v>
      </c>
      <c r="F109">
        <v>10.812388</v>
      </c>
      <c r="G109">
        <v>0</v>
      </c>
      <c r="J109" s="354">
        <v>37396</v>
      </c>
      <c r="K109">
        <v>3.6666660000000002</v>
      </c>
      <c r="L109">
        <v>3.7777769999999999</v>
      </c>
      <c r="M109">
        <v>3.4222220000000001</v>
      </c>
      <c r="N109">
        <v>3.5333329999999998</v>
      </c>
      <c r="O109">
        <v>1.761029</v>
      </c>
      <c r="P109">
        <v>10856430000</v>
      </c>
      <c r="R109" s="273" t="e">
        <f>(O109/O108)*('16. câmbio USD-BRL'!#REF!/'16. câmbio USD-BRL'!#REF!)^-1-1</f>
        <v>#REF!</v>
      </c>
    </row>
    <row r="110" spans="1:18" x14ac:dyDescent="0.2">
      <c r="A110" s="354">
        <v>39934</v>
      </c>
      <c r="B110">
        <v>16.799999</v>
      </c>
      <c r="C110">
        <v>20.969999000000001</v>
      </c>
      <c r="D110">
        <v>16.799999</v>
      </c>
      <c r="E110">
        <v>20.610001</v>
      </c>
      <c r="F110">
        <v>13.26449</v>
      </c>
      <c r="G110">
        <v>10399400</v>
      </c>
      <c r="J110" s="354">
        <v>37403</v>
      </c>
      <c r="K110">
        <v>3.5111110000000001</v>
      </c>
      <c r="L110">
        <v>3.6666660000000002</v>
      </c>
      <c r="M110">
        <v>3.4444439999999998</v>
      </c>
      <c r="N110">
        <v>3.4444439999999998</v>
      </c>
      <c r="O110">
        <v>1.7167269999999999</v>
      </c>
      <c r="P110">
        <v>5708430000</v>
      </c>
      <c r="R110" s="273" t="e">
        <f>(O110/O109)*('16. câmbio USD-BRL'!#REF!/'16. câmbio USD-BRL'!#REF!)^-1-1</f>
        <v>#REF!</v>
      </c>
    </row>
    <row r="111" spans="1:18" x14ac:dyDescent="0.2">
      <c r="A111" s="354">
        <v>39965</v>
      </c>
      <c r="B111">
        <v>21.25</v>
      </c>
      <c r="C111">
        <v>22.98</v>
      </c>
      <c r="D111">
        <v>18.950001</v>
      </c>
      <c r="E111">
        <v>20.5</v>
      </c>
      <c r="F111">
        <v>13.193695</v>
      </c>
      <c r="G111">
        <v>142805200</v>
      </c>
      <c r="J111" s="354">
        <v>37410</v>
      </c>
      <c r="K111">
        <v>3.3333330000000001</v>
      </c>
      <c r="L111">
        <v>3.4888880000000002</v>
      </c>
      <c r="M111">
        <v>3.2222219999999999</v>
      </c>
      <c r="N111">
        <v>3.4</v>
      </c>
      <c r="O111">
        <v>1.6945749999999999</v>
      </c>
      <c r="P111">
        <v>8142030000</v>
      </c>
      <c r="R111" s="273" t="e">
        <f>(O111/O110)*('16. câmbio USD-BRL'!#REF!/'16. câmbio USD-BRL'!#REF!)^-1-1</f>
        <v>#REF!</v>
      </c>
    </row>
    <row r="112" spans="1:18" x14ac:dyDescent="0.2">
      <c r="A112" s="354">
        <v>39995</v>
      </c>
      <c r="B112">
        <v>20.620000999999998</v>
      </c>
      <c r="C112">
        <v>22.450001</v>
      </c>
      <c r="D112">
        <v>18.280000999999999</v>
      </c>
      <c r="E112">
        <v>21.93</v>
      </c>
      <c r="F112">
        <v>14.114031000000001</v>
      </c>
      <c r="G112">
        <v>126976500</v>
      </c>
      <c r="J112" s="354">
        <v>37417</v>
      </c>
      <c r="K112">
        <v>3.555555</v>
      </c>
      <c r="L112">
        <v>3.555555</v>
      </c>
      <c r="M112">
        <v>3.288888</v>
      </c>
      <c r="N112">
        <v>3.3333330000000001</v>
      </c>
      <c r="O112">
        <v>1.661348</v>
      </c>
      <c r="P112">
        <v>11779560000</v>
      </c>
      <c r="R112" s="273" t="e">
        <f>(O112/O111)*('16. câmbio USD-BRL'!#REF!/'16. câmbio USD-BRL'!#REF!)^-1-1</f>
        <v>#REF!</v>
      </c>
    </row>
    <row r="113" spans="1:18" x14ac:dyDescent="0.2">
      <c r="A113" s="354">
        <v>40026</v>
      </c>
      <c r="B113">
        <v>22.290001</v>
      </c>
      <c r="C113">
        <v>23.51</v>
      </c>
      <c r="D113">
        <v>21.35</v>
      </c>
      <c r="E113">
        <v>22.059999000000001</v>
      </c>
      <c r="F113">
        <v>14.197698000000001</v>
      </c>
      <c r="G113">
        <v>111779600</v>
      </c>
      <c r="J113" s="354">
        <v>37424</v>
      </c>
      <c r="K113">
        <v>3.3333330000000001</v>
      </c>
      <c r="L113">
        <v>3.4444439999999998</v>
      </c>
      <c r="M113">
        <v>3.0222220000000002</v>
      </c>
      <c r="N113">
        <v>3.0444439999999999</v>
      </c>
      <c r="O113">
        <v>1.5173650000000001</v>
      </c>
      <c r="P113">
        <v>11511630000</v>
      </c>
      <c r="R113" s="273" t="e">
        <f>(O113/O112)*('16. câmbio USD-BRL'!#REF!/'16. câmbio USD-BRL'!#REF!)^-1-1</f>
        <v>#REF!</v>
      </c>
    </row>
    <row r="114" spans="1:18" x14ac:dyDescent="0.2">
      <c r="A114" s="354">
        <v>40057</v>
      </c>
      <c r="B114">
        <v>22.07</v>
      </c>
      <c r="C114">
        <v>25.110001</v>
      </c>
      <c r="D114">
        <v>21.25</v>
      </c>
      <c r="E114">
        <v>23.75</v>
      </c>
      <c r="F114">
        <v>15.285375999999999</v>
      </c>
      <c r="G114">
        <v>106868400</v>
      </c>
      <c r="J114" s="354">
        <v>37431</v>
      </c>
      <c r="K114">
        <v>3.0666660000000001</v>
      </c>
      <c r="L114">
        <v>3.288888</v>
      </c>
      <c r="M114">
        <v>3</v>
      </c>
      <c r="N114">
        <v>3.2444440000000001</v>
      </c>
      <c r="O114">
        <v>1.617046</v>
      </c>
      <c r="P114">
        <v>6767280000</v>
      </c>
      <c r="R114" s="273" t="e">
        <f>(O114/O113)*('16. câmbio USD-BRL'!#REF!/'16. câmbio USD-BRL'!#REF!)^-1-1</f>
        <v>#REF!</v>
      </c>
    </row>
    <row r="115" spans="1:18" x14ac:dyDescent="0.2">
      <c r="A115" s="354">
        <v>40087</v>
      </c>
      <c r="B115">
        <v>23.65</v>
      </c>
      <c r="C115">
        <v>30.4</v>
      </c>
      <c r="D115">
        <v>22.66</v>
      </c>
      <c r="E115">
        <v>26.299999</v>
      </c>
      <c r="F115">
        <v>16.926542000000001</v>
      </c>
      <c r="G115">
        <v>159109200</v>
      </c>
      <c r="J115" s="354">
        <v>37438</v>
      </c>
      <c r="K115">
        <v>3.2222219999999999</v>
      </c>
      <c r="L115">
        <v>3.4888880000000002</v>
      </c>
      <c r="M115">
        <v>3.2222219999999999</v>
      </c>
      <c r="N115">
        <v>3.3333330000000001</v>
      </c>
      <c r="O115">
        <v>1.661348</v>
      </c>
      <c r="P115">
        <v>6043050000</v>
      </c>
      <c r="R115" s="273" t="e">
        <f>(O115/O114)*('16. câmbio USD-BRL'!#REF!/'16. câmbio USD-BRL'!#REF!)^-1-1</f>
        <v>#REF!</v>
      </c>
    </row>
    <row r="116" spans="1:18" x14ac:dyDescent="0.2">
      <c r="A116" s="354">
        <v>40118</v>
      </c>
      <c r="B116">
        <v>26.299999</v>
      </c>
      <c r="C116">
        <v>28.99</v>
      </c>
      <c r="D116">
        <v>25.299999</v>
      </c>
      <c r="E116">
        <v>27.1</v>
      </c>
      <c r="F116">
        <v>17.441417999999999</v>
      </c>
      <c r="G116">
        <v>105253700</v>
      </c>
      <c r="J116" s="354">
        <v>37445</v>
      </c>
      <c r="K116">
        <v>3.377777</v>
      </c>
      <c r="L116">
        <v>3.466666</v>
      </c>
      <c r="M116">
        <v>3.2666659999999998</v>
      </c>
      <c r="N116">
        <v>3.2666659999999998</v>
      </c>
      <c r="O116">
        <v>1.628152</v>
      </c>
      <c r="P116">
        <v>5393700000</v>
      </c>
      <c r="R116" s="273" t="e">
        <f>(O116/O115)*('16. câmbio USD-BRL'!#REF!/'16. câmbio USD-BRL'!#REF!)^-1-1</f>
        <v>#REF!</v>
      </c>
    </row>
    <row r="117" spans="1:18" x14ac:dyDescent="0.2">
      <c r="A117" s="354">
        <v>40148</v>
      </c>
      <c r="B117">
        <v>27.969999000000001</v>
      </c>
      <c r="C117">
        <v>30.4</v>
      </c>
      <c r="D117">
        <v>27.74</v>
      </c>
      <c r="E117">
        <v>29.139999</v>
      </c>
      <c r="F117">
        <v>18.804272000000001</v>
      </c>
      <c r="G117">
        <v>95486100</v>
      </c>
      <c r="J117" s="354">
        <v>37452</v>
      </c>
      <c r="K117">
        <v>3.3333330000000001</v>
      </c>
      <c r="L117">
        <v>3.4</v>
      </c>
      <c r="M117">
        <v>3.1111110000000002</v>
      </c>
      <c r="N117">
        <v>3.3333330000000001</v>
      </c>
      <c r="O117">
        <v>1.6613789999999999</v>
      </c>
      <c r="P117">
        <v>8710650000</v>
      </c>
      <c r="R117" s="273" t="e">
        <f>(O117/O116)*('16. câmbio USD-BRL'!#REF!/'16. câmbio USD-BRL'!#REF!)^-1-1</f>
        <v>#REF!</v>
      </c>
    </row>
    <row r="118" spans="1:18" x14ac:dyDescent="0.2">
      <c r="A118" s="354">
        <v>40179</v>
      </c>
      <c r="B118">
        <v>29.139999</v>
      </c>
      <c r="C118">
        <v>30.379999000000002</v>
      </c>
      <c r="D118">
        <v>25.110001</v>
      </c>
      <c r="E118">
        <v>25.34</v>
      </c>
      <c r="F118">
        <v>16.453077</v>
      </c>
      <c r="G118">
        <v>99564600</v>
      </c>
      <c r="J118" s="354">
        <v>37459</v>
      </c>
      <c r="K118">
        <v>3.288888</v>
      </c>
      <c r="L118">
        <v>3.3333330000000001</v>
      </c>
      <c r="M118">
        <v>2.9555549999999999</v>
      </c>
      <c r="N118">
        <v>2.9555549999999999</v>
      </c>
      <c r="O118">
        <v>1.47309</v>
      </c>
      <c r="P118">
        <v>8600670000</v>
      </c>
      <c r="R118" s="273" t="e">
        <f>(O118/O117)*('16. câmbio USD-BRL'!#REF!/'16. câmbio USD-BRL'!#REF!)^-1-1</f>
        <v>#REF!</v>
      </c>
    </row>
    <row r="119" spans="1:18" x14ac:dyDescent="0.2">
      <c r="A119" s="354">
        <v>40210</v>
      </c>
      <c r="B119">
        <v>25.57</v>
      </c>
      <c r="C119">
        <v>26.950001</v>
      </c>
      <c r="D119">
        <v>23.91</v>
      </c>
      <c r="E119">
        <v>25.379999000000002</v>
      </c>
      <c r="F119">
        <v>16.479046</v>
      </c>
      <c r="G119">
        <v>75906700</v>
      </c>
      <c r="J119" s="354">
        <v>37466</v>
      </c>
      <c r="K119">
        <v>2.9777770000000001</v>
      </c>
      <c r="L119">
        <v>3.377777</v>
      </c>
      <c r="M119">
        <v>2.9777770000000001</v>
      </c>
      <c r="N119">
        <v>3.3555549999999998</v>
      </c>
      <c r="O119">
        <v>1.6724540000000001</v>
      </c>
      <c r="P119">
        <v>21363030000</v>
      </c>
      <c r="R119" s="273" t="e">
        <f>(O119/O118)*('16. câmbio USD-BRL'!#REF!/'16. câmbio USD-BRL'!#REF!)^-1-1</f>
        <v>#REF!</v>
      </c>
    </row>
    <row r="120" spans="1:18" x14ac:dyDescent="0.2">
      <c r="A120" s="354">
        <v>40238</v>
      </c>
      <c r="B120">
        <v>25.379999000000002</v>
      </c>
      <c r="C120">
        <v>25.379999000000002</v>
      </c>
      <c r="D120">
        <v>25.379999000000002</v>
      </c>
      <c r="E120">
        <v>25.379999000000002</v>
      </c>
      <c r="F120">
        <v>16.479046</v>
      </c>
      <c r="G120">
        <v>0</v>
      </c>
      <c r="J120" s="354">
        <v>37473</v>
      </c>
      <c r="K120">
        <v>3.377777</v>
      </c>
      <c r="L120">
        <v>3.377777</v>
      </c>
      <c r="M120">
        <v>3.2</v>
      </c>
      <c r="N120">
        <v>3.2444440000000001</v>
      </c>
      <c r="O120">
        <v>1.617076</v>
      </c>
      <c r="P120">
        <v>12992850000</v>
      </c>
      <c r="R120" s="273" t="e">
        <f>(O120/O119)*('16. câmbio USD-BRL'!#REF!/'16. câmbio USD-BRL'!#REF!)^-1-1</f>
        <v>#REF!</v>
      </c>
    </row>
    <row r="121" spans="1:18" x14ac:dyDescent="0.2">
      <c r="A121" s="354">
        <v>40269</v>
      </c>
      <c r="B121">
        <v>25.379999000000002</v>
      </c>
      <c r="C121">
        <v>25.379999000000002</v>
      </c>
      <c r="D121">
        <v>25.379999000000002</v>
      </c>
      <c r="E121">
        <v>25.379999000000002</v>
      </c>
      <c r="F121">
        <v>16.479046</v>
      </c>
      <c r="G121">
        <v>0</v>
      </c>
      <c r="J121" s="354">
        <v>37480</v>
      </c>
      <c r="K121">
        <v>3.2666659999999998</v>
      </c>
      <c r="L121">
        <v>3.5333329999999998</v>
      </c>
      <c r="M121">
        <v>3.1777769999999999</v>
      </c>
      <c r="N121">
        <v>3.466666</v>
      </c>
      <c r="O121">
        <v>1.7278340000000001</v>
      </c>
      <c r="P121">
        <v>12559950000</v>
      </c>
      <c r="R121" s="273" t="e">
        <f>(O121/O120)*('16. câmbio USD-BRL'!#REF!/'16. câmbio USD-BRL'!#REF!)^-1-1</f>
        <v>#REF!</v>
      </c>
    </row>
    <row r="122" spans="1:18" x14ac:dyDescent="0.2">
      <c r="A122" s="354">
        <v>40299</v>
      </c>
      <c r="B122">
        <v>28.450001</v>
      </c>
      <c r="C122">
        <v>28.620000999999998</v>
      </c>
      <c r="D122">
        <v>22.51</v>
      </c>
      <c r="E122">
        <v>25</v>
      </c>
      <c r="F122">
        <v>16.232319</v>
      </c>
      <c r="G122">
        <v>119298068</v>
      </c>
      <c r="J122" s="354">
        <v>37487</v>
      </c>
      <c r="K122">
        <v>3.5777770000000002</v>
      </c>
      <c r="L122">
        <v>3.644444</v>
      </c>
      <c r="M122">
        <v>3.5111110000000001</v>
      </c>
      <c r="N122">
        <v>3.644444</v>
      </c>
      <c r="O122">
        <v>1.8164419999999999</v>
      </c>
      <c r="P122">
        <v>14538420000</v>
      </c>
      <c r="R122" s="273" t="e">
        <f>(O122/O121)*('16. câmbio USD-BRL'!#REF!/'16. câmbio USD-BRL'!#REF!)^-1-1</f>
        <v>#REF!</v>
      </c>
    </row>
    <row r="123" spans="1:18" x14ac:dyDescent="0.2">
      <c r="A123" s="354">
        <v>40330</v>
      </c>
      <c r="B123">
        <v>24.690000999999999</v>
      </c>
      <c r="C123">
        <v>26.08</v>
      </c>
      <c r="D123">
        <v>23.18</v>
      </c>
      <c r="E123">
        <v>23.59</v>
      </c>
      <c r="F123">
        <v>15.390393</v>
      </c>
      <c r="G123">
        <v>85241506</v>
      </c>
      <c r="J123" s="354">
        <v>37494</v>
      </c>
      <c r="K123">
        <v>3.6222219999999998</v>
      </c>
      <c r="L123">
        <v>3.7555550000000002</v>
      </c>
      <c r="M123">
        <v>3.5333329999999998</v>
      </c>
      <c r="N123">
        <v>3.6666660000000002</v>
      </c>
      <c r="O123">
        <v>1.827518</v>
      </c>
      <c r="P123">
        <v>9414990000</v>
      </c>
      <c r="R123" s="273" t="e">
        <f>(O123/O122)*('16. câmbio USD-BRL'!#REF!/'16. câmbio USD-BRL'!#REF!)^-1-1</f>
        <v>#REF!</v>
      </c>
    </row>
    <row r="124" spans="1:18" x14ac:dyDescent="0.2">
      <c r="A124" s="354">
        <v>40360</v>
      </c>
      <c r="B124">
        <v>23.49</v>
      </c>
      <c r="C124">
        <v>26.18</v>
      </c>
      <c r="D124">
        <v>22.93</v>
      </c>
      <c r="E124">
        <v>25.4</v>
      </c>
      <c r="F124">
        <v>16.571256999999999</v>
      </c>
      <c r="G124">
        <v>89590800</v>
      </c>
      <c r="J124" s="354">
        <v>37501</v>
      </c>
      <c r="K124">
        <v>3.644444</v>
      </c>
      <c r="L124">
        <v>3.644444</v>
      </c>
      <c r="M124">
        <v>3.5111110000000001</v>
      </c>
      <c r="N124">
        <v>3.6222219999999998</v>
      </c>
      <c r="O124">
        <v>1.8053650000000001</v>
      </c>
      <c r="P124">
        <v>8076510000</v>
      </c>
      <c r="R124" s="273" t="e">
        <f>(O124/O123)*('16. câmbio USD-BRL'!#REF!/'16. câmbio USD-BRL'!#REF!)^-1-1</f>
        <v>#REF!</v>
      </c>
    </row>
    <row r="125" spans="1:18" x14ac:dyDescent="0.2">
      <c r="A125" s="354">
        <v>40391</v>
      </c>
      <c r="B125">
        <v>25.9</v>
      </c>
      <c r="C125">
        <v>27.08</v>
      </c>
      <c r="D125">
        <v>22.969999000000001</v>
      </c>
      <c r="E125">
        <v>23.360001</v>
      </c>
      <c r="F125">
        <v>15.240341000000001</v>
      </c>
      <c r="G125">
        <v>98899784</v>
      </c>
      <c r="J125" s="354">
        <v>37508</v>
      </c>
      <c r="K125">
        <v>3.555555</v>
      </c>
      <c r="L125">
        <v>3.6666660000000002</v>
      </c>
      <c r="M125">
        <v>3.5333329999999998</v>
      </c>
      <c r="N125">
        <v>3.555555</v>
      </c>
      <c r="O125">
        <v>1.772138</v>
      </c>
      <c r="P125">
        <v>4272840000</v>
      </c>
      <c r="R125" s="273" t="e">
        <f>(O125/O124)*('16. câmbio USD-BRL'!#REF!/'16. câmbio USD-BRL'!#REF!)^-1-1</f>
        <v>#REF!</v>
      </c>
    </row>
    <row r="126" spans="1:18" x14ac:dyDescent="0.2">
      <c r="A126" s="354">
        <v>40422</v>
      </c>
      <c r="B126">
        <v>23.780000999999999</v>
      </c>
      <c r="C126">
        <v>25</v>
      </c>
      <c r="D126">
        <v>22.530000999999999</v>
      </c>
      <c r="E126">
        <v>22.700001</v>
      </c>
      <c r="F126">
        <v>14.893935000000001</v>
      </c>
      <c r="G126">
        <v>108043823</v>
      </c>
      <c r="J126" s="354">
        <v>37515</v>
      </c>
      <c r="K126">
        <v>3.5777770000000002</v>
      </c>
      <c r="L126">
        <v>3.6222219999999998</v>
      </c>
      <c r="M126">
        <v>3.4222220000000001</v>
      </c>
      <c r="N126">
        <v>3.4888880000000002</v>
      </c>
      <c r="O126">
        <v>1.7389110000000001</v>
      </c>
      <c r="P126">
        <v>8758620000</v>
      </c>
      <c r="R126" s="273" t="e">
        <f>(O126/O125)*('16. câmbio USD-BRL'!#REF!/'16. câmbio USD-BRL'!#REF!)^-1-1</f>
        <v>#REF!</v>
      </c>
    </row>
    <row r="127" spans="1:18" x14ac:dyDescent="0.2">
      <c r="A127" s="354">
        <v>40452</v>
      </c>
      <c r="B127">
        <v>22.98</v>
      </c>
      <c r="C127">
        <v>22.98</v>
      </c>
      <c r="D127">
        <v>20.16</v>
      </c>
      <c r="E127">
        <v>22</v>
      </c>
      <c r="F127">
        <v>14.434645</v>
      </c>
      <c r="G127">
        <v>152638500</v>
      </c>
      <c r="J127" s="354">
        <v>37522</v>
      </c>
      <c r="K127">
        <v>3.3555549999999998</v>
      </c>
      <c r="L127">
        <v>3.4</v>
      </c>
      <c r="M127">
        <v>2.9777770000000001</v>
      </c>
      <c r="N127">
        <v>3.0444439999999999</v>
      </c>
      <c r="O127">
        <v>1.517393</v>
      </c>
      <c r="P127">
        <v>17082000000</v>
      </c>
      <c r="R127" s="273" t="e">
        <f>(O127/O126)*('16. câmbio USD-BRL'!#REF!/'16. câmbio USD-BRL'!#REF!)^-1-1</f>
        <v>#REF!</v>
      </c>
    </row>
    <row r="128" spans="1:18" x14ac:dyDescent="0.2">
      <c r="A128" s="354">
        <v>40483</v>
      </c>
      <c r="B128">
        <v>22.02</v>
      </c>
      <c r="C128">
        <v>23.110001</v>
      </c>
      <c r="D128">
        <v>19.399999999999999</v>
      </c>
      <c r="E128">
        <v>19.5</v>
      </c>
      <c r="F128">
        <v>12.794344000000001</v>
      </c>
      <c r="G128">
        <v>108299100</v>
      </c>
      <c r="J128" s="354">
        <v>37529</v>
      </c>
      <c r="K128">
        <v>3.0888879999999999</v>
      </c>
      <c r="L128">
        <v>3.3333330000000001</v>
      </c>
      <c r="M128">
        <v>2.8444440000000002</v>
      </c>
      <c r="N128">
        <v>3.3111109999999999</v>
      </c>
      <c r="O128">
        <v>1.6503030000000001</v>
      </c>
      <c r="P128">
        <v>15702570000</v>
      </c>
      <c r="R128" s="273" t="e">
        <f>(O128/O127)*('16. câmbio USD-BRL'!#REF!/'16. câmbio USD-BRL'!#REF!)^-1-1</f>
        <v>#REF!</v>
      </c>
    </row>
    <row r="129" spans="1:18" x14ac:dyDescent="0.2">
      <c r="A129" s="354">
        <v>40513</v>
      </c>
      <c r="B129">
        <v>20</v>
      </c>
      <c r="C129">
        <v>23.629999000000002</v>
      </c>
      <c r="D129">
        <v>19.950001</v>
      </c>
      <c r="E129">
        <v>22.67</v>
      </c>
      <c r="F129">
        <v>14.958282000000001</v>
      </c>
      <c r="G129">
        <v>122218500</v>
      </c>
      <c r="J129" s="354">
        <v>37536</v>
      </c>
      <c r="K129">
        <v>3.288888</v>
      </c>
      <c r="L129">
        <v>3.3333330000000001</v>
      </c>
      <c r="M129">
        <v>3.0666660000000001</v>
      </c>
      <c r="N129">
        <v>3.2666659999999998</v>
      </c>
      <c r="O129">
        <v>1.628152</v>
      </c>
      <c r="P129">
        <v>10420020000</v>
      </c>
      <c r="R129" s="273" t="e">
        <f>(O129/O128)*('16. câmbio USD-BRL'!#REF!/'16. câmbio USD-BRL'!#REF!)^-1-1</f>
        <v>#REF!</v>
      </c>
    </row>
    <row r="130" spans="1:18" x14ac:dyDescent="0.2">
      <c r="A130" s="354">
        <v>40544</v>
      </c>
      <c r="B130">
        <v>23.059999000000001</v>
      </c>
      <c r="C130">
        <v>24.780000999999999</v>
      </c>
      <c r="D130">
        <v>20.870000999999998</v>
      </c>
      <c r="E130">
        <v>21.35</v>
      </c>
      <c r="F130">
        <v>14.087313999999999</v>
      </c>
      <c r="G130">
        <v>116185900</v>
      </c>
      <c r="J130" s="354">
        <v>37543</v>
      </c>
      <c r="K130">
        <v>3.2666659999999998</v>
      </c>
      <c r="L130">
        <v>3.2666659999999998</v>
      </c>
      <c r="M130">
        <v>3</v>
      </c>
      <c r="N130">
        <v>3.0888879999999999</v>
      </c>
      <c r="O130">
        <v>1.539544</v>
      </c>
      <c r="P130">
        <v>26012610000</v>
      </c>
      <c r="R130" s="273" t="e">
        <f>(O130/O129)*('16. câmbio USD-BRL'!#REF!/'16. câmbio USD-BRL'!#REF!)^-1-1</f>
        <v>#REF!</v>
      </c>
    </row>
    <row r="131" spans="1:18" x14ac:dyDescent="0.2">
      <c r="A131" s="354">
        <v>40575</v>
      </c>
      <c r="B131">
        <v>21.889999</v>
      </c>
      <c r="C131">
        <v>24.16</v>
      </c>
      <c r="D131">
        <v>21.57</v>
      </c>
      <c r="E131">
        <v>21.99</v>
      </c>
      <c r="F131">
        <v>14.509596</v>
      </c>
      <c r="G131">
        <v>86044664</v>
      </c>
      <c r="J131" s="354">
        <v>37550</v>
      </c>
      <c r="K131">
        <v>3.1111110000000002</v>
      </c>
      <c r="L131">
        <v>3.4888880000000002</v>
      </c>
      <c r="M131">
        <v>3.0444439999999999</v>
      </c>
      <c r="N131">
        <v>3.4888880000000002</v>
      </c>
      <c r="O131">
        <v>1.7389110000000001</v>
      </c>
      <c r="P131">
        <v>14200290000</v>
      </c>
      <c r="R131" s="273" t="e">
        <f>(O131/O130)*('16. câmbio USD-BRL'!#REF!/'16. câmbio USD-BRL'!#REF!)^-1-1</f>
        <v>#REF!</v>
      </c>
    </row>
    <row r="132" spans="1:18" x14ac:dyDescent="0.2">
      <c r="A132" s="354">
        <v>40603</v>
      </c>
      <c r="B132">
        <v>22.110001</v>
      </c>
      <c r="C132">
        <v>23.34</v>
      </c>
      <c r="D132">
        <v>20.170000000000002</v>
      </c>
      <c r="E132">
        <v>20.280000999999999</v>
      </c>
      <c r="F132">
        <v>13.381297999999999</v>
      </c>
      <c r="G132">
        <v>121834600</v>
      </c>
      <c r="J132" s="354">
        <v>37557</v>
      </c>
      <c r="K132">
        <v>3.4888880000000002</v>
      </c>
      <c r="L132">
        <v>3.8888880000000001</v>
      </c>
      <c r="M132">
        <v>3.3555549999999998</v>
      </c>
      <c r="N132">
        <v>3.8444440000000002</v>
      </c>
      <c r="O132">
        <v>1.9161239999999999</v>
      </c>
      <c r="P132">
        <v>11350170000</v>
      </c>
      <c r="R132" s="273" t="e">
        <f>(O132/O131)*('16. câmbio USD-BRL'!#REF!/'16. câmbio USD-BRL'!#REF!)^-1-1</f>
        <v>#REF!</v>
      </c>
    </row>
    <row r="133" spans="1:18" x14ac:dyDescent="0.2">
      <c r="A133" s="354">
        <v>40634</v>
      </c>
      <c r="B133">
        <v>20.280000999999999</v>
      </c>
      <c r="C133">
        <v>20.280000999999999</v>
      </c>
      <c r="D133">
        <v>18.309999000000001</v>
      </c>
      <c r="E133">
        <v>18.899999999999999</v>
      </c>
      <c r="F133">
        <v>12.505119000000001</v>
      </c>
      <c r="G133">
        <v>16818900</v>
      </c>
      <c r="J133" s="354">
        <v>37564</v>
      </c>
      <c r="K133">
        <v>4.1555549999999997</v>
      </c>
      <c r="L133">
        <v>4.0666659999999997</v>
      </c>
      <c r="M133">
        <v>3.5777770000000002</v>
      </c>
      <c r="N133">
        <v>3.6222219999999998</v>
      </c>
      <c r="O133">
        <v>1.8053650000000001</v>
      </c>
      <c r="P133">
        <v>11914110000</v>
      </c>
      <c r="R133" s="273" t="e">
        <f>(O133/O132)*('16. câmbio USD-BRL'!#REF!/'16. câmbio USD-BRL'!#REF!)^-1-1</f>
        <v>#REF!</v>
      </c>
    </row>
    <row r="134" spans="1:18" x14ac:dyDescent="0.2">
      <c r="A134" s="354">
        <v>40664</v>
      </c>
      <c r="B134">
        <v>18.809999000000001</v>
      </c>
      <c r="C134">
        <v>19.09</v>
      </c>
      <c r="D134">
        <v>15.95</v>
      </c>
      <c r="E134">
        <v>17.309999000000001</v>
      </c>
      <c r="F134">
        <v>11.453101999999999</v>
      </c>
      <c r="G134">
        <v>132990798</v>
      </c>
      <c r="J134" s="354">
        <v>37571</v>
      </c>
      <c r="K134">
        <v>3.6888879999999999</v>
      </c>
      <c r="L134">
        <v>3.733333</v>
      </c>
      <c r="M134">
        <v>3.466666</v>
      </c>
      <c r="N134">
        <v>3.4888880000000002</v>
      </c>
      <c r="O134">
        <v>1.7389110000000001</v>
      </c>
      <c r="P134">
        <v>6714630000</v>
      </c>
      <c r="R134" s="273" t="e">
        <f>(O134/O133)*('16. câmbio USD-BRL'!#REF!/'16. câmbio USD-BRL'!#REF!)^-1-1</f>
        <v>#REF!</v>
      </c>
    </row>
    <row r="135" spans="1:18" x14ac:dyDescent="0.2">
      <c r="A135" s="354">
        <v>40695</v>
      </c>
      <c r="B135">
        <v>17.23</v>
      </c>
      <c r="C135">
        <v>17.299999</v>
      </c>
      <c r="D135">
        <v>15.28</v>
      </c>
      <c r="E135">
        <v>16.299999</v>
      </c>
      <c r="F135">
        <v>10.82403</v>
      </c>
      <c r="G135">
        <v>107066300</v>
      </c>
      <c r="J135" s="354">
        <v>37578</v>
      </c>
      <c r="K135">
        <v>3.6222219999999998</v>
      </c>
      <c r="L135">
        <v>3.6222219999999998</v>
      </c>
      <c r="M135">
        <v>3.5111110000000001</v>
      </c>
      <c r="N135">
        <v>3.555555</v>
      </c>
      <c r="O135">
        <v>1.772138</v>
      </c>
      <c r="P135">
        <v>11740950000</v>
      </c>
      <c r="R135" s="273" t="e">
        <f>(O135/O134)*('16. câmbio USD-BRL'!#REF!/'16. câmbio USD-BRL'!#REF!)^-1-1</f>
        <v>#REF!</v>
      </c>
    </row>
    <row r="136" spans="1:18" x14ac:dyDescent="0.2">
      <c r="A136" s="354">
        <v>40725</v>
      </c>
      <c r="B136">
        <v>16.25</v>
      </c>
      <c r="C136">
        <v>17.16</v>
      </c>
      <c r="D136">
        <v>13.79</v>
      </c>
      <c r="E136">
        <v>13.85</v>
      </c>
      <c r="F136">
        <v>9.1971059999999998</v>
      </c>
      <c r="G136">
        <v>107531703</v>
      </c>
      <c r="J136" s="354">
        <v>37585</v>
      </c>
      <c r="K136">
        <v>3.555555</v>
      </c>
      <c r="L136">
        <v>3.6666660000000002</v>
      </c>
      <c r="M136">
        <v>3.4444439999999998</v>
      </c>
      <c r="N136">
        <v>3.6</v>
      </c>
      <c r="O136">
        <v>1.7942899999999999</v>
      </c>
      <c r="P136">
        <v>5832450000</v>
      </c>
      <c r="R136" s="273" t="e">
        <f>(O136/O135)*('16. câmbio USD-BRL'!#REF!/'16. câmbio USD-BRL'!#REF!)^-1-1</f>
        <v>#REF!</v>
      </c>
    </row>
    <row r="137" spans="1:18" x14ac:dyDescent="0.2">
      <c r="A137" s="354">
        <v>40756</v>
      </c>
      <c r="B137">
        <v>13.85</v>
      </c>
      <c r="C137">
        <v>14.29</v>
      </c>
      <c r="D137">
        <v>10.7</v>
      </c>
      <c r="E137">
        <v>13.6</v>
      </c>
      <c r="F137">
        <v>9.0310959999999998</v>
      </c>
      <c r="G137">
        <v>232770600</v>
      </c>
      <c r="J137" s="354">
        <v>37592</v>
      </c>
      <c r="K137">
        <v>3.644444</v>
      </c>
      <c r="L137">
        <v>3.644444</v>
      </c>
      <c r="M137">
        <v>3.466666</v>
      </c>
      <c r="N137">
        <v>3.5111110000000001</v>
      </c>
      <c r="O137">
        <v>1.7499849999999999</v>
      </c>
      <c r="P137">
        <v>10322910000</v>
      </c>
      <c r="R137" s="273" t="e">
        <f>(O137/O136)*('16. câmbio USD-BRL'!#REF!/'16. câmbio USD-BRL'!#REF!)^-1-1</f>
        <v>#REF!</v>
      </c>
    </row>
    <row r="138" spans="1:18" x14ac:dyDescent="0.2">
      <c r="A138" s="354">
        <v>40787</v>
      </c>
      <c r="B138">
        <v>13.77</v>
      </c>
      <c r="C138">
        <v>15.16</v>
      </c>
      <c r="D138">
        <v>12.8</v>
      </c>
      <c r="E138">
        <v>13.35</v>
      </c>
      <c r="F138">
        <v>8.9260330000000003</v>
      </c>
      <c r="G138">
        <v>187728300</v>
      </c>
      <c r="J138" s="354">
        <v>37599</v>
      </c>
      <c r="K138">
        <v>3.5111110000000001</v>
      </c>
      <c r="L138">
        <v>3.733333</v>
      </c>
      <c r="M138">
        <v>3.466666</v>
      </c>
      <c r="N138">
        <v>3.644444</v>
      </c>
      <c r="O138">
        <v>1.8164419999999999</v>
      </c>
      <c r="P138">
        <v>11666070000</v>
      </c>
      <c r="R138" s="273" t="e">
        <f>(O138/O137)*('16. câmbio USD-BRL'!#REF!/'16. câmbio USD-BRL'!#REF!)^-1-1</f>
        <v>#REF!</v>
      </c>
    </row>
    <row r="139" spans="1:18" x14ac:dyDescent="0.2">
      <c r="A139" s="354">
        <v>40817</v>
      </c>
      <c r="B139">
        <v>13.21</v>
      </c>
      <c r="C139">
        <v>15.94</v>
      </c>
      <c r="D139">
        <v>12.38</v>
      </c>
      <c r="E139">
        <v>15.7</v>
      </c>
      <c r="F139">
        <v>10.497282</v>
      </c>
      <c r="G139">
        <v>128097600</v>
      </c>
      <c r="J139" s="354">
        <v>37606</v>
      </c>
      <c r="K139">
        <v>3.6666660000000002</v>
      </c>
      <c r="L139">
        <v>3.8</v>
      </c>
      <c r="M139">
        <v>3.644444</v>
      </c>
      <c r="N139">
        <v>3.733333</v>
      </c>
      <c r="O139">
        <v>1.860746</v>
      </c>
      <c r="P139">
        <v>17973540000</v>
      </c>
      <c r="R139" s="273" t="e">
        <f>(O139/O138)*('16. câmbio USD-BRL'!#REF!/'16. câmbio USD-BRL'!#REF!)^-1-1</f>
        <v>#REF!</v>
      </c>
    </row>
    <row r="140" spans="1:18" x14ac:dyDescent="0.2">
      <c r="A140" s="354">
        <v>40848</v>
      </c>
      <c r="B140">
        <v>14.67</v>
      </c>
      <c r="C140">
        <v>15.99</v>
      </c>
      <c r="D140">
        <v>12.9</v>
      </c>
      <c r="E140">
        <v>13.5</v>
      </c>
      <c r="F140">
        <v>9.0263229999999997</v>
      </c>
      <c r="G140">
        <v>135645500</v>
      </c>
      <c r="J140" s="354">
        <v>37613</v>
      </c>
      <c r="K140">
        <v>3.7555550000000002</v>
      </c>
      <c r="L140">
        <v>3.7555550000000002</v>
      </c>
      <c r="M140">
        <v>3.5777770000000002</v>
      </c>
      <c r="N140">
        <v>3.7111109999999998</v>
      </c>
      <c r="O140">
        <v>1.8496699999999999</v>
      </c>
      <c r="P140">
        <v>3191760000</v>
      </c>
      <c r="R140" s="273" t="e">
        <f>(O140/O139)*('16. câmbio USD-BRL'!#REF!/'16. câmbio USD-BRL'!#REF!)^-1-1</f>
        <v>#REF!</v>
      </c>
    </row>
    <row r="141" spans="1:18" x14ac:dyDescent="0.2">
      <c r="A141" s="354">
        <v>40878</v>
      </c>
      <c r="B141">
        <v>13.89</v>
      </c>
      <c r="C141">
        <v>14.89</v>
      </c>
      <c r="D141">
        <v>13.4</v>
      </c>
      <c r="E141">
        <v>14.5</v>
      </c>
      <c r="F141">
        <v>9.7773350000000008</v>
      </c>
      <c r="G141">
        <v>129097800</v>
      </c>
      <c r="J141" s="354">
        <v>37620</v>
      </c>
      <c r="K141">
        <v>3.7555550000000002</v>
      </c>
      <c r="L141">
        <v>3.8444440000000002</v>
      </c>
      <c r="M141">
        <v>3.6</v>
      </c>
      <c r="N141">
        <v>3.6222219999999998</v>
      </c>
      <c r="O141">
        <v>1.8053650000000001</v>
      </c>
      <c r="P141">
        <v>3136770000</v>
      </c>
      <c r="R141" s="273" t="e">
        <f>(O141/O140)*('16. câmbio USD-BRL'!#REF!/'16. câmbio USD-BRL'!#REF!)^-1-1</f>
        <v>#REF!</v>
      </c>
    </row>
    <row r="142" spans="1:18" x14ac:dyDescent="0.2">
      <c r="A142" s="354">
        <v>40909</v>
      </c>
      <c r="B142">
        <v>14.62</v>
      </c>
      <c r="C142">
        <v>17.02</v>
      </c>
      <c r="D142">
        <v>14.22</v>
      </c>
      <c r="E142">
        <v>16.649999999999999</v>
      </c>
      <c r="F142">
        <v>11.227078000000001</v>
      </c>
      <c r="G142">
        <v>177490400</v>
      </c>
      <c r="J142" s="354">
        <v>37627</v>
      </c>
      <c r="K142">
        <v>3.644444</v>
      </c>
      <c r="L142">
        <v>3.7111109999999998</v>
      </c>
      <c r="M142">
        <v>3.555555</v>
      </c>
      <c r="N142">
        <v>3.555555</v>
      </c>
      <c r="O142">
        <v>1.772138</v>
      </c>
      <c r="P142">
        <v>14523210000</v>
      </c>
      <c r="R142" s="273" t="e">
        <f>(O142/O141)*('16. câmbio USD-BRL'!#REF!/'16. câmbio USD-BRL'!#REF!)^-1-1</f>
        <v>#REF!</v>
      </c>
    </row>
    <row r="143" spans="1:18" x14ac:dyDescent="0.2">
      <c r="A143" s="354">
        <v>40940</v>
      </c>
      <c r="B143">
        <v>16.829999999999998</v>
      </c>
      <c r="C143">
        <v>18.48</v>
      </c>
      <c r="D143">
        <v>16.799999</v>
      </c>
      <c r="E143">
        <v>17.950001</v>
      </c>
      <c r="F143">
        <v>12.103667</v>
      </c>
      <c r="G143">
        <v>134153000</v>
      </c>
      <c r="J143" s="354">
        <v>37634</v>
      </c>
      <c r="K143">
        <v>3.555555</v>
      </c>
      <c r="L143">
        <v>3.644444</v>
      </c>
      <c r="M143">
        <v>3.5111110000000001</v>
      </c>
      <c r="N143">
        <v>3.6222219999999998</v>
      </c>
      <c r="O143">
        <v>1.8053650000000001</v>
      </c>
      <c r="P143">
        <v>10345140000</v>
      </c>
      <c r="R143" s="273" t="e">
        <f>(O143/O142)*('16. câmbio USD-BRL'!#REF!/'16. câmbio USD-BRL'!#REF!)^-1-1</f>
        <v>#REF!</v>
      </c>
    </row>
    <row r="144" spans="1:18" x14ac:dyDescent="0.2">
      <c r="A144" s="354">
        <v>40969</v>
      </c>
      <c r="B144">
        <v>18.059999000000001</v>
      </c>
      <c r="C144">
        <v>19.399999999999999</v>
      </c>
      <c r="D144">
        <v>16.920000000000002</v>
      </c>
      <c r="E144">
        <v>17.459999</v>
      </c>
      <c r="F144">
        <v>11.827389</v>
      </c>
      <c r="G144">
        <v>137081200</v>
      </c>
      <c r="J144" s="354">
        <v>37641</v>
      </c>
      <c r="K144">
        <v>3.5777770000000002</v>
      </c>
      <c r="L144">
        <v>3.6666660000000002</v>
      </c>
      <c r="M144">
        <v>3.377777</v>
      </c>
      <c r="N144">
        <v>3.4444439999999998</v>
      </c>
      <c r="O144">
        <v>1.7167589999999999</v>
      </c>
      <c r="P144">
        <v>6164730000</v>
      </c>
      <c r="R144" s="273" t="e">
        <f>(O144/O143)*('16. câmbio USD-BRL'!#REF!/'16. câmbio USD-BRL'!#REF!)^-1-1</f>
        <v>#REF!</v>
      </c>
    </row>
    <row r="145" spans="1:18" x14ac:dyDescent="0.2">
      <c r="A145" s="354">
        <v>41000</v>
      </c>
      <c r="B145">
        <v>17.5</v>
      </c>
      <c r="C145">
        <v>18.280000999999999</v>
      </c>
      <c r="D145">
        <v>16.860001</v>
      </c>
      <c r="E145">
        <v>17.920000000000002</v>
      </c>
      <c r="F145">
        <v>12.138995</v>
      </c>
      <c r="G145">
        <v>90098800</v>
      </c>
      <c r="J145" s="354">
        <v>37648</v>
      </c>
      <c r="K145">
        <v>3.377777</v>
      </c>
      <c r="L145">
        <v>3.555555</v>
      </c>
      <c r="M145">
        <v>3.2444440000000001</v>
      </c>
      <c r="N145">
        <v>3.5333329999999998</v>
      </c>
      <c r="O145">
        <v>1.7610619999999999</v>
      </c>
      <c r="P145">
        <v>10494900000</v>
      </c>
      <c r="R145" s="273" t="e">
        <f>(O145/O144)*('16. câmbio USD-BRL'!#REF!/'16. câmbio USD-BRL'!#REF!)^-1-1</f>
        <v>#REF!</v>
      </c>
    </row>
    <row r="146" spans="1:18" x14ac:dyDescent="0.2">
      <c r="A146" s="354">
        <v>41030</v>
      </c>
      <c r="B146">
        <v>17.920000000000002</v>
      </c>
      <c r="C146">
        <v>17.920000000000002</v>
      </c>
      <c r="D146">
        <v>15.21</v>
      </c>
      <c r="E146">
        <v>15.86</v>
      </c>
      <c r="F146">
        <v>10.743553</v>
      </c>
      <c r="G146">
        <v>152176500</v>
      </c>
      <c r="J146" s="354">
        <v>37655</v>
      </c>
      <c r="K146">
        <v>3.5333329999999998</v>
      </c>
      <c r="L146">
        <v>3.555555</v>
      </c>
      <c r="M146">
        <v>3.3555549999999998</v>
      </c>
      <c r="N146">
        <v>3.377777</v>
      </c>
      <c r="O146">
        <v>1.6835310000000001</v>
      </c>
      <c r="P146">
        <v>6117930000</v>
      </c>
      <c r="R146" s="273" t="e">
        <f>(O146/O145)*('16. câmbio USD-BRL'!#REF!/'16. câmbio USD-BRL'!#REF!)^-1-1</f>
        <v>#REF!</v>
      </c>
    </row>
    <row r="147" spans="1:18" x14ac:dyDescent="0.2">
      <c r="A147" s="354">
        <v>41061</v>
      </c>
      <c r="B147">
        <v>15.5</v>
      </c>
      <c r="C147">
        <v>18.07</v>
      </c>
      <c r="D147">
        <v>15.35</v>
      </c>
      <c r="E147">
        <v>17.700001</v>
      </c>
      <c r="F147">
        <v>12.033436</v>
      </c>
      <c r="G147">
        <v>125826200</v>
      </c>
      <c r="J147" s="354">
        <v>37662</v>
      </c>
      <c r="K147">
        <v>3.377777</v>
      </c>
      <c r="L147">
        <v>3.6</v>
      </c>
      <c r="M147">
        <v>3.3111109999999999</v>
      </c>
      <c r="N147">
        <v>3.5111110000000001</v>
      </c>
      <c r="O147">
        <v>1.7499849999999999</v>
      </c>
      <c r="P147">
        <v>13213980000</v>
      </c>
      <c r="R147" s="273" t="e">
        <f>(O147/O146)*('16. câmbio USD-BRL'!#REF!/'16. câmbio USD-BRL'!#REF!)^-1-1</f>
        <v>#REF!</v>
      </c>
    </row>
    <row r="148" spans="1:18" x14ac:dyDescent="0.2">
      <c r="A148" s="354">
        <v>41091</v>
      </c>
      <c r="B148">
        <v>17.66</v>
      </c>
      <c r="C148">
        <v>18.790001</v>
      </c>
      <c r="D148">
        <v>16.489999999999998</v>
      </c>
      <c r="E148">
        <v>18.620000999999998</v>
      </c>
      <c r="F148">
        <v>12.658901999999999</v>
      </c>
      <c r="G148">
        <v>111920300</v>
      </c>
      <c r="J148" s="354">
        <v>37669</v>
      </c>
      <c r="K148">
        <v>3.5333329999999998</v>
      </c>
      <c r="L148">
        <v>3.644444</v>
      </c>
      <c r="M148">
        <v>3.4444439999999998</v>
      </c>
      <c r="N148">
        <v>3.6</v>
      </c>
      <c r="O148">
        <v>1.7942899999999999</v>
      </c>
      <c r="P148">
        <v>8214570000</v>
      </c>
      <c r="R148" s="273" t="e">
        <f>(O148/O147)*('16. câmbio USD-BRL'!#REF!/'16. câmbio USD-BRL'!#REF!)^-1-1</f>
        <v>#REF!</v>
      </c>
    </row>
    <row r="149" spans="1:18" x14ac:dyDescent="0.2">
      <c r="A149" s="354">
        <v>41122</v>
      </c>
      <c r="B149">
        <v>18.620000999999998</v>
      </c>
      <c r="C149">
        <v>20.32</v>
      </c>
      <c r="D149">
        <v>17.649999999999999</v>
      </c>
      <c r="E149">
        <v>17.940000999999999</v>
      </c>
      <c r="F149">
        <v>12.196600999999999</v>
      </c>
      <c r="G149">
        <v>96667700</v>
      </c>
      <c r="J149" s="354">
        <v>37676</v>
      </c>
      <c r="K149">
        <v>3.6</v>
      </c>
      <c r="L149">
        <v>3.733333</v>
      </c>
      <c r="M149">
        <v>3.5777770000000002</v>
      </c>
      <c r="N149">
        <v>3.6888879999999999</v>
      </c>
      <c r="O149">
        <v>1.838592</v>
      </c>
      <c r="P149">
        <v>7822620000</v>
      </c>
      <c r="R149" s="273" t="e">
        <f>(O149/O148)*('16. câmbio USD-BRL'!#REF!/'16. câmbio USD-BRL'!#REF!)^-1-1</f>
        <v>#REF!</v>
      </c>
    </row>
    <row r="150" spans="1:18" x14ac:dyDescent="0.2">
      <c r="A150" s="354">
        <v>41153</v>
      </c>
      <c r="B150">
        <v>17.959999</v>
      </c>
      <c r="C150">
        <v>21.67</v>
      </c>
      <c r="D150">
        <v>17.450001</v>
      </c>
      <c r="E150">
        <v>19.280000999999999</v>
      </c>
      <c r="F150">
        <v>13.169631000000001</v>
      </c>
      <c r="G150">
        <v>127036500</v>
      </c>
      <c r="J150" s="354">
        <v>37683</v>
      </c>
      <c r="K150">
        <v>3.6888879999999999</v>
      </c>
      <c r="L150">
        <v>3.7555550000000002</v>
      </c>
      <c r="M150">
        <v>3.644444</v>
      </c>
      <c r="N150">
        <v>3.644444</v>
      </c>
      <c r="O150">
        <v>1.8164419999999999</v>
      </c>
      <c r="P150">
        <v>4141800000</v>
      </c>
      <c r="R150" s="273" t="e">
        <f>(O150/O149)*('16. câmbio USD-BRL'!#REF!/'16. câmbio USD-BRL'!#REF!)^-1-1</f>
        <v>#REF!</v>
      </c>
    </row>
    <row r="151" spans="1:18" x14ac:dyDescent="0.2">
      <c r="A151" s="354">
        <v>41183</v>
      </c>
      <c r="B151">
        <v>19.23</v>
      </c>
      <c r="C151">
        <v>19.77</v>
      </c>
      <c r="D151">
        <v>17.139999</v>
      </c>
      <c r="E151">
        <v>17.75</v>
      </c>
      <c r="F151">
        <v>12.12453</v>
      </c>
      <c r="G151">
        <v>124556900</v>
      </c>
      <c r="J151" s="354">
        <v>37690</v>
      </c>
      <c r="K151">
        <v>3.6222219999999998</v>
      </c>
      <c r="L151">
        <v>3.6222219999999998</v>
      </c>
      <c r="M151">
        <v>3.3333330000000001</v>
      </c>
      <c r="N151">
        <v>3.4888880000000002</v>
      </c>
      <c r="O151">
        <v>1.7389110000000001</v>
      </c>
      <c r="P151">
        <v>10116990000</v>
      </c>
      <c r="R151" s="273" t="e">
        <f>(O151/O150)*('16. câmbio USD-BRL'!#REF!/'16. câmbio USD-BRL'!#REF!)^-1-1</f>
        <v>#REF!</v>
      </c>
    </row>
    <row r="152" spans="1:18" x14ac:dyDescent="0.2">
      <c r="A152" s="354">
        <v>41214</v>
      </c>
      <c r="B152">
        <v>17.719999000000001</v>
      </c>
      <c r="C152">
        <v>18.950001</v>
      </c>
      <c r="D152">
        <v>17.049999</v>
      </c>
      <c r="E152">
        <v>17.719999000000001</v>
      </c>
      <c r="F152">
        <v>12.104037999999999</v>
      </c>
      <c r="G152">
        <v>108348100</v>
      </c>
      <c r="J152" s="354">
        <v>37697</v>
      </c>
      <c r="K152">
        <v>3.4888880000000002</v>
      </c>
      <c r="L152">
        <v>3.555555</v>
      </c>
      <c r="M152">
        <v>3.3111109999999999</v>
      </c>
      <c r="N152">
        <v>3.3555549999999998</v>
      </c>
      <c r="O152">
        <v>1.6724540000000001</v>
      </c>
      <c r="P152">
        <v>16144830000</v>
      </c>
      <c r="R152" s="273" t="e">
        <f>(O152/O151)*('16. câmbio USD-BRL'!#REF!/'16. câmbio USD-BRL'!#REF!)^-1-1</f>
        <v>#REF!</v>
      </c>
    </row>
    <row r="153" spans="1:18" x14ac:dyDescent="0.2">
      <c r="A153" s="354">
        <v>41244</v>
      </c>
      <c r="B153">
        <v>17.959999</v>
      </c>
      <c r="C153">
        <v>18.879999000000002</v>
      </c>
      <c r="D153">
        <v>17.549999</v>
      </c>
      <c r="E153">
        <v>17.93</v>
      </c>
      <c r="F153">
        <v>12.294929</v>
      </c>
      <c r="G153">
        <v>115208700</v>
      </c>
      <c r="J153" s="354">
        <v>37704</v>
      </c>
      <c r="K153">
        <v>3.3111109999999999</v>
      </c>
      <c r="L153">
        <v>3.466666</v>
      </c>
      <c r="M153">
        <v>3.3111109999999999</v>
      </c>
      <c r="N153">
        <v>3.4444439999999998</v>
      </c>
      <c r="O153">
        <v>1.7167589999999999</v>
      </c>
      <c r="P153">
        <v>10119330000</v>
      </c>
      <c r="R153" s="273" t="e">
        <f>(O153/O152)*('16. câmbio USD-BRL'!#REF!/'16. câmbio USD-BRL'!#REF!)^-1-1</f>
        <v>#REF!</v>
      </c>
    </row>
    <row r="154" spans="1:18" x14ac:dyDescent="0.2">
      <c r="A154" s="354">
        <v>41275</v>
      </c>
      <c r="B154">
        <v>17.93</v>
      </c>
      <c r="C154">
        <v>19.489999999999998</v>
      </c>
      <c r="D154">
        <v>16.82</v>
      </c>
      <c r="E154">
        <v>17.469999000000001</v>
      </c>
      <c r="F154">
        <v>11.979495999999999</v>
      </c>
      <c r="G154">
        <v>146643700</v>
      </c>
      <c r="J154" s="354">
        <v>37711</v>
      </c>
      <c r="K154">
        <v>3.4</v>
      </c>
      <c r="L154">
        <v>3.5111110000000001</v>
      </c>
      <c r="M154">
        <v>3.2444440000000001</v>
      </c>
      <c r="N154">
        <v>3.4888880000000002</v>
      </c>
      <c r="O154">
        <v>1.7389110000000001</v>
      </c>
      <c r="P154">
        <v>18833490000</v>
      </c>
      <c r="R154" s="273" t="e">
        <f>(O154/O153)*('16. câmbio USD-BRL'!#REF!/'16. câmbio USD-BRL'!#REF!)^-1-1</f>
        <v>#REF!</v>
      </c>
    </row>
    <row r="155" spans="1:18" x14ac:dyDescent="0.2">
      <c r="A155" s="354">
        <v>41306</v>
      </c>
      <c r="B155">
        <v>17.5</v>
      </c>
      <c r="C155">
        <v>17.77</v>
      </c>
      <c r="D155">
        <v>15.5</v>
      </c>
      <c r="E155">
        <v>16.450001</v>
      </c>
      <c r="F155">
        <v>11.280063</v>
      </c>
      <c r="G155">
        <v>119767100</v>
      </c>
      <c r="J155" s="354">
        <v>37718</v>
      </c>
      <c r="K155">
        <v>3.5111110000000001</v>
      </c>
      <c r="L155">
        <v>3.555555</v>
      </c>
      <c r="M155">
        <v>3.377777</v>
      </c>
      <c r="N155">
        <v>3.377777</v>
      </c>
      <c r="O155">
        <v>1.6835580000000001</v>
      </c>
      <c r="P155">
        <v>12564630000</v>
      </c>
      <c r="R155" s="273" t="e">
        <f>(O155/O154)*('16. câmbio USD-BRL'!#REF!/'16. câmbio USD-BRL'!#REF!)^-1-1</f>
        <v>#REF!</v>
      </c>
    </row>
    <row r="156" spans="1:18" x14ac:dyDescent="0.2">
      <c r="A156" s="354">
        <v>41334</v>
      </c>
      <c r="B156">
        <v>16.299999</v>
      </c>
      <c r="C156">
        <v>16.32</v>
      </c>
      <c r="D156">
        <v>14.62</v>
      </c>
      <c r="E156">
        <v>15.37</v>
      </c>
      <c r="F156">
        <v>10.539489</v>
      </c>
      <c r="G156">
        <v>136225000</v>
      </c>
      <c r="J156" s="354">
        <v>37725</v>
      </c>
      <c r="K156">
        <v>3.4444439999999998</v>
      </c>
      <c r="L156">
        <v>3.7555550000000002</v>
      </c>
      <c r="M156">
        <v>3.4</v>
      </c>
      <c r="N156">
        <v>3.7111109999999998</v>
      </c>
      <c r="O156">
        <v>1.8496999999999999</v>
      </c>
      <c r="P156">
        <v>14257620000</v>
      </c>
      <c r="R156" s="273" t="e">
        <f>(O156/O155)*('16. câmbio USD-BRL'!#REF!/'16. câmbio USD-BRL'!#REF!)^-1-1</f>
        <v>#REF!</v>
      </c>
    </row>
    <row r="157" spans="1:18" x14ac:dyDescent="0.2">
      <c r="A157" s="354">
        <v>41365</v>
      </c>
      <c r="B157">
        <v>15.63</v>
      </c>
      <c r="C157">
        <v>15.77</v>
      </c>
      <c r="D157">
        <v>13.86</v>
      </c>
      <c r="E157">
        <v>15.62</v>
      </c>
      <c r="F157">
        <v>10.724545000000001</v>
      </c>
      <c r="G157">
        <v>125842000</v>
      </c>
      <c r="J157" s="354">
        <v>37732</v>
      </c>
      <c r="K157">
        <v>3.7111109999999998</v>
      </c>
      <c r="L157">
        <v>3.822222</v>
      </c>
      <c r="M157">
        <v>3.6222219999999998</v>
      </c>
      <c r="N157">
        <v>3.6888879999999999</v>
      </c>
      <c r="O157">
        <v>1.8386229999999999</v>
      </c>
      <c r="P157">
        <v>10107630000</v>
      </c>
      <c r="R157" s="273" t="e">
        <f>(O157/O156)*('16. câmbio USD-BRL'!#REF!/'16. câmbio USD-BRL'!#REF!)^-1-1</f>
        <v>#REF!</v>
      </c>
    </row>
    <row r="158" spans="1:18" x14ac:dyDescent="0.2">
      <c r="A158" s="354">
        <v>41395</v>
      </c>
      <c r="B158">
        <v>15.62</v>
      </c>
      <c r="C158">
        <v>15.82</v>
      </c>
      <c r="D158">
        <v>12.95</v>
      </c>
      <c r="E158">
        <v>13.05</v>
      </c>
      <c r="F158">
        <v>8.9600050000000007</v>
      </c>
      <c r="G158">
        <v>153129300</v>
      </c>
      <c r="J158" s="354">
        <v>37739</v>
      </c>
      <c r="K158">
        <v>3.6888879999999999</v>
      </c>
      <c r="L158">
        <v>4.0444440000000004</v>
      </c>
      <c r="M158">
        <v>3</v>
      </c>
      <c r="N158">
        <v>3.21</v>
      </c>
      <c r="O158">
        <v>1.5999350000000001</v>
      </c>
      <c r="P158">
        <v>13935632400</v>
      </c>
      <c r="R158" s="273" t="e">
        <f>(O158/O157)*('16. câmbio USD-BRL'!#REF!/'16. câmbio USD-BRL'!#REF!)^-1-1</f>
        <v>#REF!</v>
      </c>
    </row>
    <row r="159" spans="1:18" x14ac:dyDescent="0.2">
      <c r="A159" s="354">
        <v>41426</v>
      </c>
      <c r="B159">
        <v>13.05</v>
      </c>
      <c r="C159">
        <v>13.59</v>
      </c>
      <c r="D159">
        <v>11.58</v>
      </c>
      <c r="E159">
        <v>12.56</v>
      </c>
      <c r="F159">
        <v>8.636317</v>
      </c>
      <c r="G159">
        <v>173146000</v>
      </c>
      <c r="J159" s="354">
        <v>37746</v>
      </c>
      <c r="K159">
        <v>3.2777769999999999</v>
      </c>
      <c r="L159">
        <v>3.4444439999999998</v>
      </c>
      <c r="M159">
        <v>3.1111110000000002</v>
      </c>
      <c r="N159">
        <v>3.43</v>
      </c>
      <c r="O159">
        <v>1.7095880000000001</v>
      </c>
      <c r="P159">
        <v>15950700</v>
      </c>
      <c r="R159" s="273" t="e">
        <f>(O159/O158)*('16. câmbio USD-BRL'!#REF!/'16. câmbio USD-BRL'!#REF!)^-1-1</f>
        <v>#REF!</v>
      </c>
    </row>
    <row r="160" spans="1:18" x14ac:dyDescent="0.2">
      <c r="A160" s="354">
        <v>41456</v>
      </c>
      <c r="B160">
        <v>12.65</v>
      </c>
      <c r="C160">
        <v>14.88</v>
      </c>
      <c r="D160">
        <v>12.5</v>
      </c>
      <c r="E160">
        <v>14.59</v>
      </c>
      <c r="F160">
        <v>10.032154</v>
      </c>
      <c r="G160">
        <v>157087500</v>
      </c>
      <c r="J160" s="354">
        <v>37753</v>
      </c>
      <c r="K160">
        <v>3.4222220000000001</v>
      </c>
      <c r="L160">
        <v>3.55</v>
      </c>
      <c r="M160">
        <v>3.334444</v>
      </c>
      <c r="N160">
        <v>3.52</v>
      </c>
      <c r="O160">
        <v>1.754445</v>
      </c>
      <c r="P160">
        <v>13570200</v>
      </c>
      <c r="R160" s="273" t="e">
        <f>(O160/O159)*('16. câmbio USD-BRL'!#REF!/'16. câmbio USD-BRL'!#REF!)^-1-1</f>
        <v>#REF!</v>
      </c>
    </row>
    <row r="161" spans="1:18" x14ac:dyDescent="0.2">
      <c r="A161" s="354">
        <v>41487</v>
      </c>
      <c r="B161">
        <v>14.72</v>
      </c>
      <c r="C161">
        <v>17.860001</v>
      </c>
      <c r="D161">
        <v>14.64</v>
      </c>
      <c r="E161">
        <v>17.149999999999999</v>
      </c>
      <c r="F161">
        <v>11.792422999999999</v>
      </c>
      <c r="G161">
        <v>223667200</v>
      </c>
      <c r="J161" s="354">
        <v>37760</v>
      </c>
      <c r="K161">
        <v>3.423333</v>
      </c>
      <c r="L161">
        <v>3.498888</v>
      </c>
      <c r="M161">
        <v>3.2444440000000001</v>
      </c>
      <c r="N161">
        <v>3.2444440000000001</v>
      </c>
      <c r="O161">
        <v>1.617102</v>
      </c>
      <c r="P161">
        <v>10503900</v>
      </c>
      <c r="R161" s="273" t="e">
        <f>(O161/O160)*('16. câmbio USD-BRL'!#REF!/'16. câmbio USD-BRL'!#REF!)^-1-1</f>
        <v>#REF!</v>
      </c>
    </row>
    <row r="162" spans="1:18" x14ac:dyDescent="0.2">
      <c r="A162" s="354">
        <v>41518</v>
      </c>
      <c r="B162">
        <v>17.450001</v>
      </c>
      <c r="C162">
        <v>17.93</v>
      </c>
      <c r="D162">
        <v>16.329999999999998</v>
      </c>
      <c r="E162">
        <v>16.600000000000001</v>
      </c>
      <c r="F162">
        <v>11.465920000000001</v>
      </c>
      <c r="G162">
        <v>162872200</v>
      </c>
      <c r="J162" s="354">
        <v>37767</v>
      </c>
      <c r="K162">
        <v>3.2566660000000001</v>
      </c>
      <c r="L162">
        <v>3.411111</v>
      </c>
      <c r="M162">
        <v>3.2111109999999998</v>
      </c>
      <c r="N162">
        <v>3.3933330000000002</v>
      </c>
      <c r="O162">
        <v>1.691311</v>
      </c>
      <c r="P162">
        <v>7509600</v>
      </c>
      <c r="R162" s="273" t="e">
        <f>(O162/O161)*('16. câmbio USD-BRL'!#REF!/'16. câmbio USD-BRL'!#REF!)^-1-1</f>
        <v>#REF!</v>
      </c>
    </row>
    <row r="163" spans="1:18" x14ac:dyDescent="0.2">
      <c r="A163" s="354">
        <v>41548</v>
      </c>
      <c r="B163">
        <v>16.559999000000001</v>
      </c>
      <c r="C163">
        <v>18.079999999999998</v>
      </c>
      <c r="D163">
        <v>16.329999999999998</v>
      </c>
      <c r="E163">
        <v>17.73</v>
      </c>
      <c r="F163">
        <v>12.24643</v>
      </c>
      <c r="G163">
        <v>146244200</v>
      </c>
      <c r="J163" s="354">
        <v>37774</v>
      </c>
      <c r="K163">
        <v>3.3722219999999998</v>
      </c>
      <c r="L163">
        <v>3.483333</v>
      </c>
      <c r="M163">
        <v>3.2222219999999999</v>
      </c>
      <c r="N163">
        <v>3.466666</v>
      </c>
      <c r="O163">
        <v>1.7278629999999999</v>
      </c>
      <c r="P163">
        <v>12965400</v>
      </c>
      <c r="R163" s="273" t="e">
        <f>(O163/O162)*('16. câmbio USD-BRL'!#REF!/'16. câmbio USD-BRL'!#REF!)^-1-1</f>
        <v>#REF!</v>
      </c>
    </row>
    <row r="164" spans="1:18" x14ac:dyDescent="0.2">
      <c r="A164" s="354">
        <v>41579</v>
      </c>
      <c r="B164">
        <v>17.649999999999999</v>
      </c>
      <c r="C164">
        <v>18.84</v>
      </c>
      <c r="D164">
        <v>17.5</v>
      </c>
      <c r="E164">
        <v>18</v>
      </c>
      <c r="F164">
        <v>12.432928</v>
      </c>
      <c r="G164">
        <v>115517900</v>
      </c>
      <c r="J164" s="354">
        <v>37781</v>
      </c>
      <c r="K164">
        <v>3.4777770000000001</v>
      </c>
      <c r="L164">
        <v>3.8111109999999999</v>
      </c>
      <c r="M164">
        <v>3.4</v>
      </c>
      <c r="N164">
        <v>3.7222219999999999</v>
      </c>
      <c r="O164">
        <v>1.855237</v>
      </c>
      <c r="P164">
        <v>13030200</v>
      </c>
      <c r="R164" s="273" t="e">
        <f>(O164/O163)*('16. câmbio USD-BRL'!#REF!/'16. câmbio USD-BRL'!#REF!)^-1-1</f>
        <v>#REF!</v>
      </c>
    </row>
    <row r="165" spans="1:18" x14ac:dyDescent="0.2">
      <c r="A165" s="354">
        <v>41609</v>
      </c>
      <c r="B165">
        <v>17.870000999999998</v>
      </c>
      <c r="C165">
        <v>19.32</v>
      </c>
      <c r="D165">
        <v>17.719999000000001</v>
      </c>
      <c r="E165">
        <v>18.34</v>
      </c>
      <c r="F165">
        <v>12.751619</v>
      </c>
      <c r="G165">
        <v>110242300</v>
      </c>
      <c r="J165" s="354">
        <v>37788</v>
      </c>
      <c r="K165">
        <v>3.7222219999999999</v>
      </c>
      <c r="L165">
        <v>3.7766660000000001</v>
      </c>
      <c r="M165">
        <v>3.334444</v>
      </c>
      <c r="N165">
        <v>3.394444</v>
      </c>
      <c r="O165">
        <v>1.6918660000000001</v>
      </c>
      <c r="P165">
        <v>12263400</v>
      </c>
      <c r="R165" s="273" t="e">
        <f>(O165/O164)*('16. câmbio USD-BRL'!#REF!/'16. câmbio USD-BRL'!#REF!)^-1-1</f>
        <v>#REF!</v>
      </c>
    </row>
    <row r="166" spans="1:18" x14ac:dyDescent="0.2">
      <c r="A166" s="354">
        <v>41640</v>
      </c>
      <c r="B166">
        <v>18.34</v>
      </c>
      <c r="C166">
        <v>18.559999000000001</v>
      </c>
      <c r="D166">
        <v>16.579999999999998</v>
      </c>
      <c r="E166">
        <v>17.149999999999999</v>
      </c>
      <c r="F166">
        <v>11.924220999999999</v>
      </c>
      <c r="G166">
        <v>143873500</v>
      </c>
      <c r="J166" s="354">
        <v>37795</v>
      </c>
      <c r="K166">
        <v>3.4166660000000002</v>
      </c>
      <c r="L166">
        <v>3.7211110000000001</v>
      </c>
      <c r="M166">
        <v>3.3333330000000001</v>
      </c>
      <c r="N166">
        <v>3.6877770000000001</v>
      </c>
      <c r="O166">
        <v>1.838069</v>
      </c>
      <c r="P166">
        <v>15418800</v>
      </c>
      <c r="R166" s="273" t="e">
        <f>(O166/O165)*('16. câmbio USD-BRL'!#REF!/'16. câmbio USD-BRL'!#REF!)^-1-1</f>
        <v>#REF!</v>
      </c>
    </row>
    <row r="167" spans="1:18" x14ac:dyDescent="0.2">
      <c r="A167" s="354">
        <v>41671</v>
      </c>
      <c r="B167">
        <v>16.989999999999998</v>
      </c>
      <c r="C167">
        <v>17.200001</v>
      </c>
      <c r="D167">
        <v>14.44</v>
      </c>
      <c r="E167">
        <v>14.44</v>
      </c>
      <c r="F167">
        <v>10.039986000000001</v>
      </c>
      <c r="G167">
        <v>140896600</v>
      </c>
      <c r="J167" s="354">
        <v>37802</v>
      </c>
      <c r="K167">
        <v>3.6888879999999999</v>
      </c>
      <c r="L167">
        <v>3.7</v>
      </c>
      <c r="M167">
        <v>3.5222220000000002</v>
      </c>
      <c r="N167">
        <v>3.6666660000000002</v>
      </c>
      <c r="O167">
        <v>1.827548</v>
      </c>
      <c r="P167">
        <v>6732900</v>
      </c>
      <c r="R167" s="273" t="e">
        <f>(O167/O166)*('16. câmbio USD-BRL'!#REF!/'16. câmbio USD-BRL'!#REF!)^-1-1</f>
        <v>#REF!</v>
      </c>
    </row>
    <row r="168" spans="1:18" x14ac:dyDescent="0.2">
      <c r="A168" s="354">
        <v>41699</v>
      </c>
      <c r="B168">
        <v>14.44</v>
      </c>
      <c r="C168">
        <v>14.79</v>
      </c>
      <c r="D168">
        <v>13.32</v>
      </c>
      <c r="E168">
        <v>14.52</v>
      </c>
      <c r="F168">
        <v>10.095613</v>
      </c>
      <c r="G168">
        <v>126117700</v>
      </c>
      <c r="J168" s="354">
        <v>37809</v>
      </c>
      <c r="K168">
        <v>3.6722220000000001</v>
      </c>
      <c r="L168">
        <v>3.8888880000000001</v>
      </c>
      <c r="M168">
        <v>3.627777</v>
      </c>
      <c r="N168">
        <v>3.8266659999999999</v>
      </c>
      <c r="O168">
        <v>1.907294</v>
      </c>
      <c r="P168">
        <v>6597900</v>
      </c>
      <c r="R168" s="273" t="e">
        <f>(O168/O167)*('16. câmbio USD-BRL'!#REF!/'16. câmbio USD-BRL'!#REF!)^-1-1</f>
        <v>#REF!</v>
      </c>
    </row>
    <row r="169" spans="1:18" x14ac:dyDescent="0.2">
      <c r="A169" s="354">
        <v>41730</v>
      </c>
      <c r="B169">
        <v>14.64</v>
      </c>
      <c r="C169">
        <v>14.69</v>
      </c>
      <c r="D169">
        <v>12.92</v>
      </c>
      <c r="E169">
        <v>13.38</v>
      </c>
      <c r="F169">
        <v>9.3485829999999996</v>
      </c>
      <c r="G169">
        <v>123988500</v>
      </c>
      <c r="J169" s="354">
        <v>37816</v>
      </c>
      <c r="K169">
        <v>3.822222</v>
      </c>
      <c r="L169">
        <v>3.9</v>
      </c>
      <c r="M169">
        <v>3.6711109999999998</v>
      </c>
      <c r="N169">
        <v>3.7444440000000001</v>
      </c>
      <c r="O169">
        <v>1.884673</v>
      </c>
      <c r="P169">
        <v>8379000</v>
      </c>
      <c r="R169" s="273" t="e">
        <f>(O169/O168)*('16. câmbio USD-BRL'!#REF!/'16. câmbio USD-BRL'!#REF!)^-1-1</f>
        <v>#REF!</v>
      </c>
    </row>
    <row r="170" spans="1:18" x14ac:dyDescent="0.2">
      <c r="A170" s="354">
        <v>41760</v>
      </c>
      <c r="B170">
        <v>13.38</v>
      </c>
      <c r="C170">
        <v>14.7</v>
      </c>
      <c r="D170">
        <v>13.28</v>
      </c>
      <c r="E170">
        <v>13.33</v>
      </c>
      <c r="F170">
        <v>9.3136469999999996</v>
      </c>
      <c r="G170">
        <v>117864700</v>
      </c>
      <c r="J170" s="354">
        <v>37823</v>
      </c>
      <c r="K170">
        <v>3.7777769999999999</v>
      </c>
      <c r="L170">
        <v>3.8555549999999998</v>
      </c>
      <c r="M170">
        <v>3.6944439999999998</v>
      </c>
      <c r="N170">
        <v>3.8266659999999999</v>
      </c>
      <c r="O170">
        <v>1.926059</v>
      </c>
      <c r="P170">
        <v>7818300</v>
      </c>
      <c r="R170" s="273" t="e">
        <f>(O170/O169)*('16. câmbio USD-BRL'!#REF!/'16. câmbio USD-BRL'!#REF!)^-1-1</f>
        <v>#REF!</v>
      </c>
    </row>
    <row r="171" spans="1:18" x14ac:dyDescent="0.2">
      <c r="A171" s="354">
        <v>41791</v>
      </c>
      <c r="B171">
        <v>13.41</v>
      </c>
      <c r="C171">
        <v>14.15</v>
      </c>
      <c r="D171">
        <v>12.8</v>
      </c>
      <c r="E171">
        <v>12.94</v>
      </c>
      <c r="F171">
        <v>9.0879670000000008</v>
      </c>
      <c r="G171">
        <v>87213400</v>
      </c>
      <c r="J171" s="354">
        <v>37830</v>
      </c>
      <c r="K171">
        <v>3.8166660000000001</v>
      </c>
      <c r="L171">
        <v>3.9277769999999999</v>
      </c>
      <c r="M171">
        <v>3.6888879999999999</v>
      </c>
      <c r="N171">
        <v>3.7444440000000001</v>
      </c>
      <c r="O171">
        <v>1.884673</v>
      </c>
      <c r="P171">
        <v>10881000</v>
      </c>
      <c r="R171" s="273" t="e">
        <f>(O171/O170)*('16. câmbio USD-BRL'!#REF!/'16. câmbio USD-BRL'!#REF!)^-1-1</f>
        <v>#REF!</v>
      </c>
    </row>
    <row r="172" spans="1:18" x14ac:dyDescent="0.2">
      <c r="A172" s="354">
        <v>41821</v>
      </c>
      <c r="B172">
        <v>13.05</v>
      </c>
      <c r="C172">
        <v>14.4</v>
      </c>
      <c r="D172">
        <v>12.87</v>
      </c>
      <c r="E172">
        <v>13.35</v>
      </c>
      <c r="F172">
        <v>9.3759139999999999</v>
      </c>
      <c r="G172">
        <v>137348200</v>
      </c>
      <c r="J172" s="354">
        <v>37837</v>
      </c>
      <c r="K172">
        <v>3.7066659999999998</v>
      </c>
      <c r="L172">
        <v>3.8666659999999999</v>
      </c>
      <c r="M172">
        <v>3.636666</v>
      </c>
      <c r="N172">
        <v>3.8555549999999998</v>
      </c>
      <c r="O172">
        <v>1.940599</v>
      </c>
      <c r="P172">
        <v>44805600</v>
      </c>
      <c r="R172" s="273" t="e">
        <f>(O172/O171)*('16. câmbio USD-BRL'!#REF!/'16. câmbio USD-BRL'!#REF!)^-1-1</f>
        <v>#REF!</v>
      </c>
    </row>
    <row r="173" spans="1:18" x14ac:dyDescent="0.2">
      <c r="A173" s="354">
        <v>41852</v>
      </c>
      <c r="B173">
        <v>13.3</v>
      </c>
      <c r="C173">
        <v>13.6</v>
      </c>
      <c r="D173">
        <v>12.42</v>
      </c>
      <c r="E173">
        <v>12.99</v>
      </c>
      <c r="F173">
        <v>9.1230799999999999</v>
      </c>
      <c r="G173">
        <v>116671300</v>
      </c>
      <c r="J173" s="354">
        <v>37844</v>
      </c>
      <c r="K173">
        <v>3.8111109999999999</v>
      </c>
      <c r="L173">
        <v>4.297777</v>
      </c>
      <c r="M173">
        <v>3.81</v>
      </c>
      <c r="N173">
        <v>4.2722220000000002</v>
      </c>
      <c r="O173">
        <v>2.150318</v>
      </c>
      <c r="P173">
        <v>10558800</v>
      </c>
      <c r="R173" s="273" t="e">
        <f>(O173/O172)*('16. câmbio USD-BRL'!#REF!/'16. câmbio USD-BRL'!#REF!)^-1-1</f>
        <v>#REF!</v>
      </c>
    </row>
    <row r="174" spans="1:18" x14ac:dyDescent="0.2">
      <c r="A174" s="354">
        <v>41883</v>
      </c>
      <c r="B174">
        <v>13.05</v>
      </c>
      <c r="C174">
        <v>13.73</v>
      </c>
      <c r="D174">
        <v>11.52</v>
      </c>
      <c r="E174">
        <v>11.78</v>
      </c>
      <c r="F174">
        <v>8.3111700000000006</v>
      </c>
      <c r="G174">
        <v>118107100</v>
      </c>
      <c r="J174" s="354">
        <v>37851</v>
      </c>
      <c r="K174">
        <v>4.2711110000000003</v>
      </c>
      <c r="L174">
        <v>4.6388879999999997</v>
      </c>
      <c r="M174">
        <v>4.233333</v>
      </c>
      <c r="N174">
        <v>4.6344440000000002</v>
      </c>
      <c r="O174">
        <v>2.332633</v>
      </c>
      <c r="P174">
        <v>14754600</v>
      </c>
      <c r="R174" s="273" t="e">
        <f>(O174/O173)*('16. câmbio USD-BRL'!#REF!/'16. câmbio USD-BRL'!#REF!)^-1-1</f>
        <v>#REF!</v>
      </c>
    </row>
    <row r="175" spans="1:18" x14ac:dyDescent="0.2">
      <c r="A175" s="354">
        <v>41913</v>
      </c>
      <c r="B175">
        <v>11.59</v>
      </c>
      <c r="C175">
        <v>12.57</v>
      </c>
      <c r="D175">
        <v>10.6</v>
      </c>
      <c r="E175">
        <v>11.09</v>
      </c>
      <c r="F175">
        <v>7.8243539999999996</v>
      </c>
      <c r="G175">
        <v>165880700</v>
      </c>
      <c r="J175" s="354">
        <v>37858</v>
      </c>
      <c r="K175">
        <v>4.6333330000000004</v>
      </c>
      <c r="L175">
        <v>5.1111110000000002</v>
      </c>
      <c r="M175">
        <v>4.612222</v>
      </c>
      <c r="N175">
        <v>4.93</v>
      </c>
      <c r="O175">
        <v>2.481395</v>
      </c>
      <c r="P175">
        <v>16894800</v>
      </c>
      <c r="R175" s="273" t="e">
        <f>(O175/O174)*('16. câmbio USD-BRL'!#REF!/'16. câmbio USD-BRL'!#REF!)^-1-1</f>
        <v>#REF!</v>
      </c>
    </row>
    <row r="176" spans="1:18" x14ac:dyDescent="0.2">
      <c r="A176" s="354">
        <v>41944</v>
      </c>
      <c r="B176">
        <v>11.08</v>
      </c>
      <c r="C176">
        <v>11.74</v>
      </c>
      <c r="D176">
        <v>10.33</v>
      </c>
      <c r="E176">
        <v>10.9</v>
      </c>
      <c r="F176">
        <v>7.6903009999999998</v>
      </c>
      <c r="G176">
        <v>100814200</v>
      </c>
      <c r="J176" s="354">
        <v>37865</v>
      </c>
      <c r="K176">
        <v>4.8888879999999997</v>
      </c>
      <c r="L176">
        <v>5.2222220000000004</v>
      </c>
      <c r="M176">
        <v>4.8122220000000002</v>
      </c>
      <c r="N176">
        <v>5.0222220000000002</v>
      </c>
      <c r="O176">
        <v>2.5278119999999999</v>
      </c>
      <c r="P176">
        <v>16584300</v>
      </c>
      <c r="R176" s="273" t="e">
        <f>(O176/O175)*('16. câmbio USD-BRL'!#REF!/'16. câmbio USD-BRL'!#REF!)^-1-1</f>
        <v>#REF!</v>
      </c>
    </row>
    <row r="177" spans="1:18" x14ac:dyDescent="0.2">
      <c r="A177" s="354">
        <v>41974</v>
      </c>
      <c r="B177">
        <v>10.57</v>
      </c>
      <c r="C177">
        <v>10.58</v>
      </c>
      <c r="D177">
        <v>7.86</v>
      </c>
      <c r="E177">
        <v>9.58</v>
      </c>
      <c r="F177">
        <v>6.7910649999999997</v>
      </c>
      <c r="G177">
        <v>259297544</v>
      </c>
      <c r="J177" s="354">
        <v>37872</v>
      </c>
      <c r="K177">
        <v>5.0344439999999997</v>
      </c>
      <c r="L177">
        <v>5.2222220000000004</v>
      </c>
      <c r="M177">
        <v>4.6677770000000001</v>
      </c>
      <c r="N177">
        <v>5.1666660000000002</v>
      </c>
      <c r="O177">
        <v>2.6005150000000001</v>
      </c>
      <c r="P177">
        <v>16477200</v>
      </c>
      <c r="R177" s="273" t="e">
        <f>(O177/O176)*('16. câmbio USD-BRL'!#REF!/'16. câmbio USD-BRL'!#REF!)^-1-1</f>
        <v>#REF!</v>
      </c>
    </row>
    <row r="178" spans="1:18" x14ac:dyDescent="0.2">
      <c r="A178" s="354">
        <v>42005</v>
      </c>
      <c r="B178">
        <v>9.58</v>
      </c>
      <c r="C178">
        <v>10.66</v>
      </c>
      <c r="D178">
        <v>8.51</v>
      </c>
      <c r="E178">
        <v>9.27</v>
      </c>
      <c r="F178">
        <v>6.571313</v>
      </c>
      <c r="G178">
        <v>179136100</v>
      </c>
      <c r="J178" s="354">
        <v>37879</v>
      </c>
      <c r="K178">
        <v>5.1266660000000002</v>
      </c>
      <c r="L178">
        <v>5.1888880000000004</v>
      </c>
      <c r="M178">
        <v>4.9766659999999998</v>
      </c>
      <c r="N178">
        <v>5.1111110000000002</v>
      </c>
      <c r="O178">
        <v>2.5725530000000001</v>
      </c>
      <c r="P178">
        <v>8654400</v>
      </c>
      <c r="R178" s="273" t="e">
        <f>(O178/O177)*('16. câmbio USD-BRL'!#REF!/'16. câmbio USD-BRL'!#REF!)^-1-1</f>
        <v>#REF!</v>
      </c>
    </row>
    <row r="179" spans="1:18" x14ac:dyDescent="0.2">
      <c r="A179" s="354">
        <v>42036</v>
      </c>
      <c r="B179">
        <v>9.1999999999999993</v>
      </c>
      <c r="C179">
        <v>10.53</v>
      </c>
      <c r="D179">
        <v>9.14</v>
      </c>
      <c r="E179">
        <v>10.14</v>
      </c>
      <c r="F179">
        <v>7.1880360000000003</v>
      </c>
      <c r="G179">
        <v>110941200</v>
      </c>
      <c r="J179" s="354">
        <v>37886</v>
      </c>
      <c r="K179">
        <v>5.0855550000000003</v>
      </c>
      <c r="L179">
        <v>5.1111110000000002</v>
      </c>
      <c r="M179">
        <v>4.4444439999999998</v>
      </c>
      <c r="N179">
        <v>4.4444439999999998</v>
      </c>
      <c r="O179">
        <v>2.2370019999999999</v>
      </c>
      <c r="P179">
        <v>10595700</v>
      </c>
      <c r="R179" s="273" t="e">
        <f>(O179/O178)*('16. câmbio USD-BRL'!#REF!/'16. câmbio USD-BRL'!#REF!)^-1-1</f>
        <v>#REF!</v>
      </c>
    </row>
    <row r="180" spans="1:18" x14ac:dyDescent="0.2">
      <c r="A180" s="354">
        <v>42064</v>
      </c>
      <c r="B180">
        <v>10.09</v>
      </c>
      <c r="C180">
        <v>11.44</v>
      </c>
      <c r="D180">
        <v>9.77</v>
      </c>
      <c r="E180">
        <v>10.1</v>
      </c>
      <c r="F180">
        <v>7.159681</v>
      </c>
      <c r="G180">
        <v>210885100</v>
      </c>
      <c r="J180" s="354">
        <v>37893</v>
      </c>
      <c r="K180">
        <v>4.5222220000000002</v>
      </c>
      <c r="L180">
        <v>5.055555</v>
      </c>
      <c r="M180">
        <v>4.322222</v>
      </c>
      <c r="N180">
        <v>5</v>
      </c>
      <c r="O180">
        <v>2.5166279999999999</v>
      </c>
      <c r="P180">
        <v>17640000</v>
      </c>
      <c r="R180" s="273" t="e">
        <f>(O180/O179)*('16. câmbio USD-BRL'!#REF!/'16. câmbio USD-BRL'!#REF!)^-1-1</f>
        <v>#REF!</v>
      </c>
    </row>
    <row r="181" spans="1:18" x14ac:dyDescent="0.2">
      <c r="A181" s="354">
        <v>42095</v>
      </c>
      <c r="B181">
        <v>10.18</v>
      </c>
      <c r="C181">
        <v>10.84</v>
      </c>
      <c r="D181">
        <v>9.16</v>
      </c>
      <c r="E181">
        <v>10.02</v>
      </c>
      <c r="F181">
        <v>7.149527</v>
      </c>
      <c r="G181">
        <v>138474200</v>
      </c>
      <c r="J181" s="354">
        <v>37900</v>
      </c>
      <c r="K181">
        <v>5.0111109999999996</v>
      </c>
      <c r="L181">
        <v>5.15</v>
      </c>
      <c r="M181">
        <v>4.8011109999999997</v>
      </c>
      <c r="N181">
        <v>4.8888879999999997</v>
      </c>
      <c r="O181">
        <v>2.4607019999999999</v>
      </c>
      <c r="P181">
        <v>19016100</v>
      </c>
      <c r="R181" s="273" t="e">
        <f>(O181/O180)*('16. câmbio USD-BRL'!#REF!/'16. câmbio USD-BRL'!#REF!)^-1-1</f>
        <v>#REF!</v>
      </c>
    </row>
    <row r="182" spans="1:18" x14ac:dyDescent="0.2">
      <c r="A182" s="354">
        <v>42125</v>
      </c>
      <c r="B182">
        <v>10.050000000000001</v>
      </c>
      <c r="C182">
        <v>10.85</v>
      </c>
      <c r="D182">
        <v>8.6</v>
      </c>
      <c r="E182">
        <v>8.61</v>
      </c>
      <c r="F182">
        <v>6.1434550000000003</v>
      </c>
      <c r="G182">
        <v>144421200</v>
      </c>
      <c r="J182" s="354">
        <v>37907</v>
      </c>
      <c r="K182">
        <v>4.8888879999999997</v>
      </c>
      <c r="L182">
        <v>5.0444440000000004</v>
      </c>
      <c r="M182">
        <v>4.8888879999999997</v>
      </c>
      <c r="N182">
        <v>4.9444439999999998</v>
      </c>
      <c r="O182">
        <v>2.488664</v>
      </c>
      <c r="P182">
        <v>7359300</v>
      </c>
      <c r="R182" s="273" t="e">
        <f>(O182/O181)*('16. câmbio USD-BRL'!#REF!/'16. câmbio USD-BRL'!#REF!)^-1-1</f>
        <v>#REF!</v>
      </c>
    </row>
    <row r="183" spans="1:18" x14ac:dyDescent="0.2">
      <c r="A183" s="354">
        <v>42156</v>
      </c>
      <c r="B183">
        <v>8.7100000000000009</v>
      </c>
      <c r="C183">
        <v>9.14</v>
      </c>
      <c r="D183">
        <v>7.41</v>
      </c>
      <c r="E183">
        <v>7.49</v>
      </c>
      <c r="F183">
        <v>5.3783450000000004</v>
      </c>
      <c r="G183">
        <v>153213000</v>
      </c>
      <c r="J183" s="354">
        <v>37914</v>
      </c>
      <c r="K183">
        <v>4.9444439999999998</v>
      </c>
      <c r="L183">
        <v>5.161111</v>
      </c>
      <c r="M183">
        <v>4.7111109999999998</v>
      </c>
      <c r="N183">
        <v>4.788888</v>
      </c>
      <c r="O183">
        <v>2.437846</v>
      </c>
      <c r="P183">
        <v>12776400</v>
      </c>
      <c r="R183" s="273" t="e">
        <f>(O183/O182)*('16. câmbio USD-BRL'!#REF!/'16. câmbio USD-BRL'!#REF!)^-1-1</f>
        <v>#REF!</v>
      </c>
    </row>
    <row r="184" spans="1:18" x14ac:dyDescent="0.2">
      <c r="A184" s="354">
        <v>42186</v>
      </c>
      <c r="B184">
        <v>7.53</v>
      </c>
      <c r="C184">
        <v>7.56</v>
      </c>
      <c r="D184">
        <v>5.56</v>
      </c>
      <c r="E184">
        <v>5.89</v>
      </c>
      <c r="F184">
        <v>4.2294340000000004</v>
      </c>
      <c r="G184">
        <v>221769500</v>
      </c>
      <c r="J184" s="354">
        <v>37921</v>
      </c>
      <c r="K184">
        <v>4.788888</v>
      </c>
      <c r="L184">
        <v>4.8788879999999999</v>
      </c>
      <c r="M184">
        <v>4.6333330000000004</v>
      </c>
      <c r="N184">
        <v>4.6377769999999998</v>
      </c>
      <c r="O184">
        <v>2.3609200000000001</v>
      </c>
      <c r="P184">
        <v>9058500</v>
      </c>
      <c r="R184" s="273" t="e">
        <f>(O184/O183)*('16. câmbio USD-BRL'!#REF!/'16. câmbio USD-BRL'!#REF!)^-1-1</f>
        <v>#REF!</v>
      </c>
    </row>
    <row r="185" spans="1:18" x14ac:dyDescent="0.2">
      <c r="A185" s="354">
        <v>42217</v>
      </c>
      <c r="B185">
        <v>5.85</v>
      </c>
      <c r="C185">
        <v>6.44</v>
      </c>
      <c r="D185">
        <v>4.4400000000000004</v>
      </c>
      <c r="E185">
        <v>5.25</v>
      </c>
      <c r="F185">
        <v>3.7698689999999999</v>
      </c>
      <c r="G185">
        <v>179017000</v>
      </c>
      <c r="J185" s="354">
        <v>37928</v>
      </c>
      <c r="K185">
        <v>4.6677770000000001</v>
      </c>
      <c r="L185">
        <v>5</v>
      </c>
      <c r="M185">
        <v>4.661111</v>
      </c>
      <c r="N185">
        <v>4.8344440000000004</v>
      </c>
      <c r="O185">
        <v>2.4610370000000001</v>
      </c>
      <c r="P185">
        <v>12445200</v>
      </c>
      <c r="R185" s="273" t="e">
        <f>(O185/O184)*('16. câmbio USD-BRL'!#REF!/'16. câmbio USD-BRL'!#REF!)^-1-1</f>
        <v>#REF!</v>
      </c>
    </row>
    <row r="186" spans="1:18" x14ac:dyDescent="0.2">
      <c r="A186" s="354">
        <v>42248</v>
      </c>
      <c r="B186">
        <v>5.04</v>
      </c>
      <c r="C186">
        <v>6.93</v>
      </c>
      <c r="D186">
        <v>5.0199999999999996</v>
      </c>
      <c r="E186">
        <v>5.47</v>
      </c>
      <c r="F186">
        <v>3.9689320000000001</v>
      </c>
      <c r="G186">
        <v>219746700</v>
      </c>
      <c r="J186" s="354">
        <v>37935</v>
      </c>
      <c r="K186">
        <v>4.8666660000000004</v>
      </c>
      <c r="L186">
        <v>4.93</v>
      </c>
      <c r="M186">
        <v>4.5688880000000003</v>
      </c>
      <c r="N186">
        <v>4.716666</v>
      </c>
      <c r="O186">
        <v>2.401081</v>
      </c>
      <c r="P186">
        <v>17769600</v>
      </c>
      <c r="R186" s="273" t="e">
        <f>(O186/O185)*('16. câmbio USD-BRL'!#REF!/'16. câmbio USD-BRL'!#REF!)^-1-1</f>
        <v>#REF!</v>
      </c>
    </row>
    <row r="187" spans="1:18" x14ac:dyDescent="0.2">
      <c r="A187" s="354">
        <v>42278</v>
      </c>
      <c r="B187">
        <v>5.54</v>
      </c>
      <c r="C187">
        <v>6.88</v>
      </c>
      <c r="D187">
        <v>5.3</v>
      </c>
      <c r="E187">
        <v>5.43</v>
      </c>
      <c r="F187">
        <v>3.939908</v>
      </c>
      <c r="G187">
        <v>173440900</v>
      </c>
      <c r="J187" s="354">
        <v>37942</v>
      </c>
      <c r="K187">
        <v>4.733333</v>
      </c>
      <c r="L187">
        <v>4.8988880000000004</v>
      </c>
      <c r="M187">
        <v>4.6888880000000004</v>
      </c>
      <c r="N187">
        <v>4.8611110000000002</v>
      </c>
      <c r="O187">
        <v>2.474612</v>
      </c>
      <c r="P187">
        <v>10683900</v>
      </c>
      <c r="R187" s="273" t="e">
        <f>(O187/O186)*('16. câmbio USD-BRL'!O1/'16. câmbio USD-BRL'!#REF!)^-1-1</f>
        <v>#REF!</v>
      </c>
    </row>
    <row r="188" spans="1:18" x14ac:dyDescent="0.2">
      <c r="A188" s="354">
        <v>42309</v>
      </c>
      <c r="B188">
        <v>5.43</v>
      </c>
      <c r="C188">
        <v>6.45</v>
      </c>
      <c r="D188">
        <v>4.8</v>
      </c>
      <c r="E188">
        <v>6.1</v>
      </c>
      <c r="F188">
        <v>4.4260469999999996</v>
      </c>
      <c r="G188">
        <v>232326700</v>
      </c>
      <c r="J188" s="354">
        <v>37949</v>
      </c>
      <c r="K188">
        <v>4.8977769999999996</v>
      </c>
      <c r="L188">
        <v>5.4444439999999998</v>
      </c>
      <c r="M188">
        <v>4.8611110000000002</v>
      </c>
      <c r="N188">
        <v>5.4444439999999998</v>
      </c>
      <c r="O188">
        <v>2.7715649999999998</v>
      </c>
      <c r="P188">
        <v>20456100</v>
      </c>
      <c r="R188" s="273" t="e">
        <f>(O188/O187)*('16. câmbio USD-BRL'!O2/'16. câmbio USD-BRL'!O1)^-1-1</f>
        <v>#VALUE!</v>
      </c>
    </row>
    <row r="189" spans="1:18" x14ac:dyDescent="0.2">
      <c r="A189" s="354">
        <v>42339</v>
      </c>
      <c r="B189">
        <v>6.16</v>
      </c>
      <c r="C189">
        <v>6.24</v>
      </c>
      <c r="D189">
        <v>4.5999999999999996</v>
      </c>
      <c r="E189">
        <v>4.6500000000000004</v>
      </c>
      <c r="F189">
        <v>3.3984030000000001</v>
      </c>
      <c r="G189">
        <v>159057300</v>
      </c>
      <c r="J189" s="354">
        <v>37956</v>
      </c>
      <c r="K189">
        <v>5.4388880000000004</v>
      </c>
      <c r="L189">
        <v>5.7444439999999997</v>
      </c>
      <c r="M189">
        <v>5.4388880000000004</v>
      </c>
      <c r="N189">
        <v>5.5666659999999997</v>
      </c>
      <c r="O189">
        <v>2.8337840000000001</v>
      </c>
      <c r="P189">
        <v>16171200</v>
      </c>
      <c r="R189" s="273" t="e">
        <f>(O189/O188)*('16. câmbio USD-BRL'!O3/'16. câmbio USD-BRL'!O2)^-1-1</f>
        <v>#VALUE!</v>
      </c>
    </row>
    <row r="190" spans="1:18" x14ac:dyDescent="0.2">
      <c r="A190" s="354">
        <v>42370</v>
      </c>
      <c r="B190">
        <v>4.6500000000000004</v>
      </c>
      <c r="C190">
        <v>4.67</v>
      </c>
      <c r="D190">
        <v>3.23</v>
      </c>
      <c r="E190">
        <v>3.6</v>
      </c>
      <c r="F190">
        <v>2.6310210000000001</v>
      </c>
      <c r="G190">
        <v>160795600</v>
      </c>
      <c r="J190" s="354">
        <v>37963</v>
      </c>
      <c r="K190">
        <v>5.5666659999999997</v>
      </c>
      <c r="L190">
        <v>5.6666660000000002</v>
      </c>
      <c r="M190">
        <v>5.394444</v>
      </c>
      <c r="N190">
        <v>5.4755549999999999</v>
      </c>
      <c r="O190">
        <v>2.7874029999999999</v>
      </c>
      <c r="P190">
        <v>11518200</v>
      </c>
      <c r="R190" s="273">
        <f>(O190/O189)*('16. câmbio USD-BRL'!O4/'16. câmbio USD-BRL'!O3)^-1-1</f>
        <v>-1.6702300321396746E-2</v>
      </c>
    </row>
    <row r="191" spans="1:18" x14ac:dyDescent="0.2">
      <c r="A191" s="354">
        <v>42401</v>
      </c>
      <c r="B191">
        <v>3.65</v>
      </c>
      <c r="C191">
        <v>4.5</v>
      </c>
      <c r="D191">
        <v>3.41</v>
      </c>
      <c r="E191">
        <v>3.53</v>
      </c>
      <c r="F191">
        <v>2.579863</v>
      </c>
      <c r="G191">
        <v>261322200</v>
      </c>
      <c r="J191" s="354">
        <v>37970</v>
      </c>
      <c r="K191">
        <v>5.5</v>
      </c>
      <c r="L191">
        <v>6.0222220000000002</v>
      </c>
      <c r="M191">
        <v>5.4011110000000002</v>
      </c>
      <c r="N191">
        <v>6.015555</v>
      </c>
      <c r="O191">
        <v>3.062297</v>
      </c>
      <c r="P191">
        <v>13948200</v>
      </c>
      <c r="R191" s="273">
        <f>(O191/O190)*('16. câmbio USD-BRL'!O5/'16. câmbio USD-BRL'!O4)^-1-1</f>
        <v>0.10313035678414928</v>
      </c>
    </row>
    <row r="192" spans="1:18" x14ac:dyDescent="0.2">
      <c r="A192" s="354">
        <v>42430</v>
      </c>
      <c r="B192">
        <v>3.62</v>
      </c>
      <c r="C192">
        <v>6.97</v>
      </c>
      <c r="D192">
        <v>3.57</v>
      </c>
      <c r="E192">
        <v>6.54</v>
      </c>
      <c r="F192">
        <v>4.7796890000000003</v>
      </c>
      <c r="G192">
        <v>438016200</v>
      </c>
      <c r="J192" s="354">
        <v>37977</v>
      </c>
      <c r="K192">
        <v>6.0222220000000002</v>
      </c>
      <c r="L192">
        <v>6.6666660000000002</v>
      </c>
      <c r="M192">
        <v>6</v>
      </c>
      <c r="N192">
        <v>6.411111</v>
      </c>
      <c r="O192">
        <v>3.2636599999999998</v>
      </c>
      <c r="P192">
        <v>7356600</v>
      </c>
      <c r="R192" s="273">
        <f>(O192/O191)*('16. câmbio USD-BRL'!O6/'16. câmbio USD-BRL'!O5)^-1-1</f>
        <v>7.3837797387293014E-2</v>
      </c>
    </row>
    <row r="193" spans="1:18" x14ac:dyDescent="0.2">
      <c r="A193" s="354">
        <v>42461</v>
      </c>
      <c r="B193">
        <v>7.04</v>
      </c>
      <c r="C193">
        <v>8.65</v>
      </c>
      <c r="D193">
        <v>6.14</v>
      </c>
      <c r="E193">
        <v>7.81</v>
      </c>
      <c r="F193">
        <v>5.7078550000000003</v>
      </c>
      <c r="G193">
        <v>187238000</v>
      </c>
      <c r="J193" s="354">
        <v>37984</v>
      </c>
      <c r="K193">
        <v>6.3955549999999999</v>
      </c>
      <c r="L193">
        <v>6.8844440000000002</v>
      </c>
      <c r="M193">
        <v>6.394444</v>
      </c>
      <c r="N193">
        <v>6.733333</v>
      </c>
      <c r="O193">
        <v>3.4276909999999998</v>
      </c>
      <c r="P193">
        <v>5425200</v>
      </c>
      <c r="R193" s="273">
        <f>(O193/O192)*('16. câmbio USD-BRL'!O7/'16. câmbio USD-BRL'!O6)^-1-1</f>
        <v>5.9389349685030179E-2</v>
      </c>
    </row>
    <row r="194" spans="1:18" x14ac:dyDescent="0.2">
      <c r="A194" s="354">
        <v>42491</v>
      </c>
      <c r="B194">
        <v>7.96</v>
      </c>
      <c r="C194">
        <v>7.97</v>
      </c>
      <c r="D194">
        <v>5.53</v>
      </c>
      <c r="E194">
        <v>5.57</v>
      </c>
      <c r="F194">
        <v>4.0707750000000003</v>
      </c>
      <c r="G194">
        <v>330162800</v>
      </c>
      <c r="J194" s="354">
        <v>37991</v>
      </c>
      <c r="K194">
        <v>6.6911110000000003</v>
      </c>
      <c r="L194">
        <v>7.6666660000000002</v>
      </c>
      <c r="M194">
        <v>6.6911110000000003</v>
      </c>
      <c r="N194">
        <v>7.1777769999999999</v>
      </c>
      <c r="O194">
        <v>3.716078</v>
      </c>
      <c r="P194">
        <v>16785000</v>
      </c>
      <c r="R194" s="273">
        <f>(O194/O193)*('16. câmbio USD-BRL'!O8/'16. câmbio USD-BRL'!O7)^-1-1</f>
        <v>0.10175645391375254</v>
      </c>
    </row>
    <row r="195" spans="1:18" x14ac:dyDescent="0.2">
      <c r="A195" s="354">
        <v>42522</v>
      </c>
      <c r="B195">
        <v>5.56</v>
      </c>
      <c r="C195">
        <v>6.6</v>
      </c>
      <c r="D195">
        <v>5.51</v>
      </c>
      <c r="E195">
        <v>5.89</v>
      </c>
      <c r="F195">
        <v>4.3046430000000004</v>
      </c>
      <c r="G195">
        <v>267141600</v>
      </c>
      <c r="J195" s="354">
        <v>37998</v>
      </c>
      <c r="K195">
        <v>7.1777769999999999</v>
      </c>
      <c r="L195">
        <v>7.2233330000000002</v>
      </c>
      <c r="M195">
        <v>6.5888879999999999</v>
      </c>
      <c r="N195">
        <v>6.7111109999999998</v>
      </c>
      <c r="O195">
        <v>3.474475</v>
      </c>
      <c r="P195">
        <v>19643400</v>
      </c>
      <c r="R195" s="273">
        <f>(O195/O194)*('16. câmbio USD-BRL'!O9/'16. câmbio USD-BRL'!O8)^-1-1</f>
        <v>-6.402338766032456E-2</v>
      </c>
    </row>
    <row r="196" spans="1:18" x14ac:dyDescent="0.2">
      <c r="A196" s="354">
        <v>42552</v>
      </c>
      <c r="B196">
        <v>5.93</v>
      </c>
      <c r="C196">
        <v>8.0500000000000007</v>
      </c>
      <c r="D196">
        <v>5.83</v>
      </c>
      <c r="E196">
        <v>7.75</v>
      </c>
      <c r="F196">
        <v>5.6640059999999997</v>
      </c>
      <c r="G196">
        <v>282816900</v>
      </c>
      <c r="J196" s="354">
        <v>38005</v>
      </c>
      <c r="K196">
        <v>6.7666659999999998</v>
      </c>
      <c r="L196">
        <v>7.1544439999999998</v>
      </c>
      <c r="M196">
        <v>6.6688879999999999</v>
      </c>
      <c r="N196">
        <v>7.1222219999999998</v>
      </c>
      <c r="O196">
        <v>3.6873170000000002</v>
      </c>
      <c r="P196">
        <v>14472000</v>
      </c>
      <c r="R196" s="273">
        <f>(O196/O195)*('16. câmbio USD-BRL'!O10/'16. câmbio USD-BRL'!O9)^-1-1</f>
        <v>5.6400876756231177E-2</v>
      </c>
    </row>
    <row r="197" spans="1:18" x14ac:dyDescent="0.2">
      <c r="A197" s="354">
        <v>42583</v>
      </c>
      <c r="B197">
        <v>7.79</v>
      </c>
      <c r="C197">
        <v>10.49</v>
      </c>
      <c r="D197">
        <v>7.4</v>
      </c>
      <c r="E197">
        <v>9.08</v>
      </c>
      <c r="F197">
        <v>6.6360210000000004</v>
      </c>
      <c r="G197">
        <v>404136800</v>
      </c>
      <c r="J197" s="354">
        <v>38012</v>
      </c>
      <c r="K197">
        <v>7.1666660000000002</v>
      </c>
      <c r="L197">
        <v>7.5111109999999996</v>
      </c>
      <c r="M197">
        <v>6.4444439999999998</v>
      </c>
      <c r="N197">
        <v>6.805555</v>
      </c>
      <c r="O197">
        <v>3.5233720000000002</v>
      </c>
      <c r="P197">
        <v>18985500</v>
      </c>
      <c r="R197" s="273">
        <f>(O197/O196)*('16. câmbio USD-BRL'!O11/'16. câmbio USD-BRL'!O10)^-1-1</f>
        <v>-7.4444646585593799E-2</v>
      </c>
    </row>
    <row r="198" spans="1:18" x14ac:dyDescent="0.2">
      <c r="A198" s="354">
        <v>42614</v>
      </c>
      <c r="B198">
        <v>9.18</v>
      </c>
      <c r="C198">
        <v>9.86</v>
      </c>
      <c r="D198">
        <v>8.18</v>
      </c>
      <c r="E198">
        <v>8.86</v>
      </c>
      <c r="F198">
        <v>6.4953880000000002</v>
      </c>
      <c r="G198">
        <v>282219900</v>
      </c>
      <c r="J198" s="354">
        <v>38019</v>
      </c>
      <c r="K198">
        <v>6.805555</v>
      </c>
      <c r="L198">
        <v>6.9333330000000002</v>
      </c>
      <c r="M198">
        <v>5.8888879999999997</v>
      </c>
      <c r="N198">
        <v>6.5</v>
      </c>
      <c r="O198">
        <v>3.3651800000000001</v>
      </c>
      <c r="P198">
        <v>18377100</v>
      </c>
      <c r="R198" s="273">
        <f>(O198/O197)*('16. câmbio USD-BRL'!O12/'16. câmbio USD-BRL'!O11)^-1-1</f>
        <v>-4.4897898944533887E-2</v>
      </c>
    </row>
    <row r="199" spans="1:18" x14ac:dyDescent="0.2">
      <c r="A199" s="354">
        <v>42644</v>
      </c>
      <c r="B199">
        <v>8.9600000000000009</v>
      </c>
      <c r="C199">
        <v>11.19</v>
      </c>
      <c r="D199">
        <v>8.81</v>
      </c>
      <c r="E199">
        <v>11.02</v>
      </c>
      <c r="F199">
        <v>8.078913</v>
      </c>
      <c r="G199">
        <v>248276000</v>
      </c>
      <c r="J199" s="354">
        <v>38026</v>
      </c>
      <c r="K199">
        <v>6.5888879999999999</v>
      </c>
      <c r="L199">
        <v>6.9444439999999998</v>
      </c>
      <c r="M199">
        <v>6.466666</v>
      </c>
      <c r="N199">
        <v>6.7444439999999997</v>
      </c>
      <c r="O199">
        <v>3.491733</v>
      </c>
      <c r="P199">
        <v>13636800</v>
      </c>
      <c r="R199" s="273">
        <f>(O199/O198)*('16. câmbio USD-BRL'!O13/'16. câmbio USD-BRL'!O12)^-1-1</f>
        <v>4.7611077894031739E-2</v>
      </c>
    </row>
    <row r="200" spans="1:18" x14ac:dyDescent="0.2">
      <c r="A200" s="354">
        <v>42675</v>
      </c>
      <c r="B200">
        <v>11.15</v>
      </c>
      <c r="C200">
        <v>14.64</v>
      </c>
      <c r="D200">
        <v>10.029999999999999</v>
      </c>
      <c r="E200">
        <v>13.55</v>
      </c>
      <c r="F200">
        <v>9.9336900000000004</v>
      </c>
      <c r="G200">
        <v>315033100</v>
      </c>
      <c r="J200" s="354">
        <v>38033</v>
      </c>
      <c r="K200">
        <v>6.7444439999999997</v>
      </c>
      <c r="L200">
        <v>6.8722219999999998</v>
      </c>
      <c r="M200">
        <v>6.25</v>
      </c>
      <c r="N200">
        <v>6.5</v>
      </c>
      <c r="O200">
        <v>3.3651800000000001</v>
      </c>
      <c r="P200">
        <v>12622500</v>
      </c>
      <c r="R200" s="273">
        <f>(O200/O199)*('16. câmbio USD-BRL'!O14/'16. câmbio USD-BRL'!O13)^-1-1</f>
        <v>-5.351756371037375E-2</v>
      </c>
    </row>
    <row r="201" spans="1:18" x14ac:dyDescent="0.2">
      <c r="A201" s="354">
        <v>42705</v>
      </c>
      <c r="B201">
        <v>13.92</v>
      </c>
      <c r="C201">
        <v>13.98</v>
      </c>
      <c r="D201">
        <v>10.25</v>
      </c>
      <c r="E201">
        <v>10.8</v>
      </c>
      <c r="F201">
        <v>7.9293399999999998</v>
      </c>
      <c r="G201">
        <v>248391400</v>
      </c>
      <c r="J201" s="354">
        <v>38040</v>
      </c>
      <c r="K201">
        <v>6.5</v>
      </c>
      <c r="L201">
        <v>6.943333</v>
      </c>
      <c r="M201">
        <v>6.5</v>
      </c>
      <c r="N201">
        <v>6.9222219999999997</v>
      </c>
      <c r="O201">
        <v>3.5837720000000002</v>
      </c>
      <c r="P201">
        <v>5192100</v>
      </c>
      <c r="R201" s="273">
        <f>(O201/O200)*('16. câmbio USD-BRL'!O15/'16. câmbio USD-BRL'!O14)^-1-1</f>
        <v>8.4019914426041842E-2</v>
      </c>
    </row>
    <row r="202" spans="1:18" x14ac:dyDescent="0.2">
      <c r="A202" s="354">
        <v>42736</v>
      </c>
      <c r="B202">
        <v>10.7</v>
      </c>
      <c r="C202">
        <v>13.38</v>
      </c>
      <c r="D202">
        <v>10.54</v>
      </c>
      <c r="E202">
        <v>12.2</v>
      </c>
      <c r="F202">
        <v>8.9572190000000003</v>
      </c>
      <c r="G202">
        <v>225849900</v>
      </c>
      <c r="J202" s="354">
        <v>38047</v>
      </c>
      <c r="K202">
        <v>6.9477770000000003</v>
      </c>
      <c r="L202">
        <v>7.5444440000000004</v>
      </c>
      <c r="M202">
        <v>6.9477770000000003</v>
      </c>
      <c r="N202">
        <v>7.4977770000000001</v>
      </c>
      <c r="O202">
        <v>3.881748</v>
      </c>
      <c r="P202">
        <v>16551900</v>
      </c>
      <c r="R202" s="273">
        <f>(O202/O201)*('16. câmbio USD-BRL'!O16/'16. câmbio USD-BRL'!O15)^-1-1</f>
        <v>9.7885164473038966E-2</v>
      </c>
    </row>
    <row r="203" spans="1:18" x14ac:dyDescent="0.2">
      <c r="A203" s="354">
        <v>42767</v>
      </c>
      <c r="B203">
        <v>12.32</v>
      </c>
      <c r="C203">
        <v>13.75</v>
      </c>
      <c r="D203">
        <v>11.97</v>
      </c>
      <c r="E203">
        <v>12.95</v>
      </c>
      <c r="F203">
        <v>9.5078669999999992</v>
      </c>
      <c r="G203">
        <v>176691500</v>
      </c>
      <c r="J203" s="354">
        <v>38054</v>
      </c>
      <c r="K203">
        <v>7.5122220000000004</v>
      </c>
      <c r="L203">
        <v>7.555555</v>
      </c>
      <c r="M203">
        <v>6.5566659999999999</v>
      </c>
      <c r="N203">
        <v>7.1833330000000002</v>
      </c>
      <c r="O203">
        <v>3.7189549999999998</v>
      </c>
      <c r="P203">
        <v>15217200</v>
      </c>
      <c r="R203" s="273">
        <f>(O203/O202)*('16. câmbio USD-BRL'!O17/'16. câmbio USD-BRL'!O16)^-1-1</f>
        <v>-5.2843909739930028E-2</v>
      </c>
    </row>
    <row r="204" spans="1:18" x14ac:dyDescent="0.2">
      <c r="A204" s="354">
        <v>42795</v>
      </c>
      <c r="B204">
        <v>13.3</v>
      </c>
      <c r="C204">
        <v>13.55</v>
      </c>
      <c r="D204">
        <v>10.6</v>
      </c>
      <c r="E204">
        <v>10.89</v>
      </c>
      <c r="F204">
        <v>7.9954190000000001</v>
      </c>
      <c r="G204">
        <v>252978700</v>
      </c>
      <c r="J204" s="354">
        <v>38061</v>
      </c>
      <c r="K204">
        <v>7.1833330000000002</v>
      </c>
      <c r="L204">
        <v>7.4722220000000004</v>
      </c>
      <c r="M204">
        <v>6.911111</v>
      </c>
      <c r="N204">
        <v>7.4444439999999998</v>
      </c>
      <c r="O204">
        <v>3.854136</v>
      </c>
      <c r="P204">
        <v>8995500</v>
      </c>
      <c r="R204" s="273">
        <f>(O204/O203)*('16. câmbio USD-BRL'!O18/'16. câmbio USD-BRL'!O17)^-1-1</f>
        <v>3.5991827700579293E-2</v>
      </c>
    </row>
    <row r="205" spans="1:18" x14ac:dyDescent="0.2">
      <c r="A205" s="354">
        <v>42826</v>
      </c>
      <c r="B205">
        <v>10.97</v>
      </c>
      <c r="C205">
        <v>11.28</v>
      </c>
      <c r="D205">
        <v>9.19</v>
      </c>
      <c r="E205">
        <v>9.8000000000000007</v>
      </c>
      <c r="F205">
        <v>7.1951429999999998</v>
      </c>
      <c r="G205">
        <v>173675100</v>
      </c>
      <c r="J205" s="354">
        <v>38068</v>
      </c>
      <c r="K205">
        <v>7.41</v>
      </c>
      <c r="L205">
        <v>7.41</v>
      </c>
      <c r="M205">
        <v>6.7777770000000004</v>
      </c>
      <c r="N205">
        <v>7.1666660000000002</v>
      </c>
      <c r="O205">
        <v>3.7103250000000001</v>
      </c>
      <c r="P205">
        <v>9877500</v>
      </c>
      <c r="R205" s="273">
        <f>(O205/O204)*('16. câmbio USD-BRL'!O19/'16. câmbio USD-BRL'!O18)^-1-1</f>
        <v>-4.9441239881718668E-2</v>
      </c>
    </row>
    <row r="206" spans="1:18" x14ac:dyDescent="0.2">
      <c r="A206" s="354">
        <v>42856</v>
      </c>
      <c r="B206">
        <v>9.8000000000000007</v>
      </c>
      <c r="C206">
        <v>10.47</v>
      </c>
      <c r="D206">
        <v>8.25</v>
      </c>
      <c r="E206">
        <v>9.5399999999999991</v>
      </c>
      <c r="F206">
        <v>7.004251</v>
      </c>
      <c r="G206">
        <v>250576800</v>
      </c>
      <c r="J206" s="354">
        <v>38075</v>
      </c>
      <c r="K206">
        <v>7.1655550000000003</v>
      </c>
      <c r="L206">
        <v>7.8388879999999999</v>
      </c>
      <c r="M206">
        <v>7.127777</v>
      </c>
      <c r="N206">
        <v>7.7222220000000004</v>
      </c>
      <c r="O206">
        <v>3.9979469999999999</v>
      </c>
      <c r="P206">
        <v>14187600</v>
      </c>
      <c r="R206" s="273">
        <f>(O206/O205)*('16. câmbio USD-BRL'!O20/'16. câmbio USD-BRL'!O19)^-1-1</f>
        <v>9.3907481842302243E-2</v>
      </c>
    </row>
    <row r="207" spans="1:18" x14ac:dyDescent="0.2">
      <c r="A207" s="354">
        <v>42887</v>
      </c>
      <c r="B207">
        <v>9.61</v>
      </c>
      <c r="C207">
        <v>10.47</v>
      </c>
      <c r="D207">
        <v>8.89</v>
      </c>
      <c r="E207">
        <v>10.28</v>
      </c>
      <c r="F207">
        <v>7.5475580000000004</v>
      </c>
      <c r="G207">
        <v>197247000</v>
      </c>
      <c r="J207" s="354">
        <v>38082</v>
      </c>
      <c r="K207">
        <v>7.7522219999999997</v>
      </c>
      <c r="L207">
        <v>7.7966660000000001</v>
      </c>
      <c r="M207">
        <v>7.3344440000000004</v>
      </c>
      <c r="N207">
        <v>7.4644440000000003</v>
      </c>
      <c r="O207">
        <v>3.902625</v>
      </c>
      <c r="P207">
        <v>10140300</v>
      </c>
      <c r="R207" s="273">
        <f>(O207/O206)*('16. câmbio USD-BRL'!O21/'16. câmbio USD-BRL'!O20)^-1-1</f>
        <v>-2.0796476756327786E-2</v>
      </c>
    </row>
    <row r="208" spans="1:18" x14ac:dyDescent="0.2">
      <c r="A208" s="354">
        <v>42917</v>
      </c>
      <c r="B208">
        <v>10.3</v>
      </c>
      <c r="C208">
        <v>11.2</v>
      </c>
      <c r="D208">
        <v>10.25</v>
      </c>
      <c r="E208">
        <v>10.66</v>
      </c>
      <c r="F208">
        <v>7.8265520000000004</v>
      </c>
      <c r="G208">
        <v>156612000</v>
      </c>
      <c r="J208" s="354">
        <v>38089</v>
      </c>
      <c r="K208">
        <v>7.5622220000000002</v>
      </c>
      <c r="L208">
        <v>7.6644439999999996</v>
      </c>
      <c r="M208">
        <v>7.0666659999999997</v>
      </c>
      <c r="N208">
        <v>7.3344440000000004</v>
      </c>
      <c r="O208">
        <v>3.834657</v>
      </c>
      <c r="P208">
        <v>16195500</v>
      </c>
      <c r="R208" s="273">
        <f>(O208/O207)*('16. câmbio USD-BRL'!O22/'16. câmbio USD-BRL'!O21)^-1-1</f>
        <v>-2.552532927723361E-2</v>
      </c>
    </row>
    <row r="209" spans="1:18" x14ac:dyDescent="0.2">
      <c r="A209" s="354">
        <v>42948</v>
      </c>
      <c r="B209">
        <v>10.68</v>
      </c>
      <c r="C209">
        <v>12.12</v>
      </c>
      <c r="D209">
        <v>10.48</v>
      </c>
      <c r="E209">
        <v>11.85</v>
      </c>
      <c r="F209">
        <v>8.7002480000000002</v>
      </c>
      <c r="G209">
        <v>179515300</v>
      </c>
      <c r="J209" s="354">
        <v>38096</v>
      </c>
      <c r="K209">
        <v>7.3555549999999998</v>
      </c>
      <c r="L209">
        <v>7.4333330000000002</v>
      </c>
      <c r="M209">
        <v>6.7122219999999997</v>
      </c>
      <c r="N209">
        <v>6.7222220000000004</v>
      </c>
      <c r="O209">
        <v>3.51457</v>
      </c>
      <c r="P209">
        <v>8379000</v>
      </c>
      <c r="R209" s="273">
        <f>(O209/O208)*('16. câmbio USD-BRL'!O23/'16. câmbio USD-BRL'!O22)^-1-1</f>
        <v>-8.3472133231212053E-2</v>
      </c>
    </row>
    <row r="210" spans="1:18" x14ac:dyDescent="0.2">
      <c r="A210" s="354">
        <v>42979</v>
      </c>
      <c r="B210">
        <v>12.11</v>
      </c>
      <c r="C210">
        <v>13.54</v>
      </c>
      <c r="D210">
        <v>10.65</v>
      </c>
      <c r="E210">
        <v>11.04</v>
      </c>
      <c r="F210">
        <v>8.1202459999999999</v>
      </c>
      <c r="G210">
        <v>248343100</v>
      </c>
      <c r="J210" s="354">
        <v>38103</v>
      </c>
      <c r="K210">
        <v>7.0333329999999998</v>
      </c>
      <c r="L210">
        <v>7.1666660000000002</v>
      </c>
      <c r="M210">
        <v>6.6144439999999998</v>
      </c>
      <c r="N210">
        <v>6.8888879999999997</v>
      </c>
      <c r="O210">
        <v>3.6017070000000002</v>
      </c>
      <c r="P210">
        <v>12311550</v>
      </c>
      <c r="R210" s="273">
        <f>(O210/O209)*('16. câmbio USD-BRL'!O24/'16. câmbio USD-BRL'!O23)^-1-1</f>
        <v>1.7098383646251047E-2</v>
      </c>
    </row>
    <row r="211" spans="1:18" x14ac:dyDescent="0.2">
      <c r="A211" s="354">
        <v>43009</v>
      </c>
      <c r="B211">
        <v>11.11</v>
      </c>
      <c r="C211">
        <v>12.2</v>
      </c>
      <c r="D211">
        <v>10.43</v>
      </c>
      <c r="E211">
        <v>10.95</v>
      </c>
      <c r="F211">
        <v>8.0540489999999991</v>
      </c>
      <c r="G211">
        <v>221599200</v>
      </c>
      <c r="J211" s="354">
        <v>38110</v>
      </c>
      <c r="K211">
        <v>6.9222219999999997</v>
      </c>
      <c r="L211">
        <v>7.2444439999999997</v>
      </c>
      <c r="M211">
        <v>6.2222220000000004</v>
      </c>
      <c r="N211">
        <v>6.3022220000000004</v>
      </c>
      <c r="O211">
        <v>3.2949820000000001</v>
      </c>
      <c r="P211">
        <v>10998450</v>
      </c>
      <c r="R211" s="273">
        <f>(O211/O210)*('16. câmbio USD-BRL'!O25/'16. câmbio USD-BRL'!O24)^-1-1</f>
        <v>-0.12431288943019614</v>
      </c>
    </row>
    <row r="212" spans="1:18" x14ac:dyDescent="0.2">
      <c r="A212" s="354">
        <v>43040</v>
      </c>
      <c r="B212">
        <v>11.02</v>
      </c>
      <c r="C212">
        <v>11.21</v>
      </c>
      <c r="D212">
        <v>9.9499999999999993</v>
      </c>
      <c r="E212">
        <v>11.08</v>
      </c>
      <c r="F212">
        <v>8.1496659999999999</v>
      </c>
      <c r="G212">
        <v>198517100</v>
      </c>
      <c r="J212" s="354">
        <v>38117</v>
      </c>
      <c r="K212">
        <v>6.1111110000000002</v>
      </c>
      <c r="L212">
        <v>6.3755550000000003</v>
      </c>
      <c r="M212">
        <v>5.6111110000000002</v>
      </c>
      <c r="N212">
        <v>6.1555549999999997</v>
      </c>
      <c r="O212">
        <v>3.2183000000000002</v>
      </c>
      <c r="P212">
        <v>12974400</v>
      </c>
      <c r="R212" s="273">
        <f>(O212/O211)*('16. câmbio USD-BRL'!O26/'16. câmbio USD-BRL'!O25)^-1-1</f>
        <v>-3.181239869840935E-2</v>
      </c>
    </row>
    <row r="213" spans="1:18" x14ac:dyDescent="0.2">
      <c r="A213" s="354">
        <v>43070</v>
      </c>
      <c r="B213">
        <v>11.03</v>
      </c>
      <c r="C213">
        <v>12.6</v>
      </c>
      <c r="D213">
        <v>10.78</v>
      </c>
      <c r="E213">
        <v>12.38</v>
      </c>
      <c r="F213">
        <v>9.1318719999999995</v>
      </c>
      <c r="G213">
        <v>152172000</v>
      </c>
      <c r="J213" s="354">
        <v>38124</v>
      </c>
      <c r="K213">
        <v>5.9866659999999996</v>
      </c>
      <c r="L213">
        <v>6.822222</v>
      </c>
      <c r="M213">
        <v>5.8266660000000003</v>
      </c>
      <c r="N213">
        <v>6.4688879999999997</v>
      </c>
      <c r="O213">
        <v>3.3821189999999999</v>
      </c>
      <c r="P213">
        <v>11615850</v>
      </c>
      <c r="R213" s="273">
        <f>(O213/O212)*('16. câmbio USD-BRL'!O27/'16. câmbio USD-BRL'!O26)^-1-1</f>
        <v>1.6344010376223128E-2</v>
      </c>
    </row>
    <row r="214" spans="1:18" x14ac:dyDescent="0.2">
      <c r="A214" s="354">
        <v>43101</v>
      </c>
      <c r="B214">
        <v>12.38</v>
      </c>
      <c r="C214">
        <v>15.38</v>
      </c>
      <c r="D214">
        <v>12.38</v>
      </c>
      <c r="E214">
        <v>14.4</v>
      </c>
      <c r="F214">
        <v>10.621886999999999</v>
      </c>
      <c r="G214">
        <v>346242200</v>
      </c>
      <c r="J214" s="354">
        <v>38131</v>
      </c>
      <c r="K214">
        <v>6.6888880000000004</v>
      </c>
      <c r="L214">
        <v>7.555555</v>
      </c>
      <c r="M214">
        <v>6.555555</v>
      </c>
      <c r="N214">
        <v>7.2222220000000004</v>
      </c>
      <c r="O214">
        <v>3.7759839999999998</v>
      </c>
      <c r="P214">
        <v>13025700</v>
      </c>
      <c r="R214" s="273">
        <f>(O214/O213)*('16. câmbio USD-BRL'!O28/'16. câmbio USD-BRL'!O27)^-1-1</f>
        <v>0.15441746382725396</v>
      </c>
    </row>
    <row r="215" spans="1:18" x14ac:dyDescent="0.2">
      <c r="A215" s="354">
        <v>43132</v>
      </c>
      <c r="B215">
        <v>14.51</v>
      </c>
      <c r="C215">
        <v>17.350000000000001</v>
      </c>
      <c r="D215">
        <v>13.52</v>
      </c>
      <c r="E215">
        <v>16.620000999999998</v>
      </c>
      <c r="F215">
        <v>12.259427000000001</v>
      </c>
      <c r="G215">
        <v>238377000</v>
      </c>
      <c r="J215" s="354">
        <v>38138</v>
      </c>
      <c r="K215">
        <v>7.2444439999999997</v>
      </c>
      <c r="L215">
        <v>7.5111109999999996</v>
      </c>
      <c r="M215">
        <v>7.055555</v>
      </c>
      <c r="N215">
        <v>7.3888879999999997</v>
      </c>
      <c r="O215">
        <v>3.8631220000000002</v>
      </c>
      <c r="P215">
        <v>9909450</v>
      </c>
      <c r="R215" s="273">
        <f>(O215/O214)*('16. câmbio USD-BRL'!O29/'16. câmbio USD-BRL'!O28)^-1-1</f>
        <v>1.0317065229389577E-2</v>
      </c>
    </row>
    <row r="216" spans="1:18" x14ac:dyDescent="0.2">
      <c r="A216" s="354">
        <v>43160</v>
      </c>
      <c r="B216">
        <v>16.969999000000001</v>
      </c>
      <c r="C216">
        <v>17.59</v>
      </c>
      <c r="D216">
        <v>14.43</v>
      </c>
      <c r="E216">
        <v>15.5</v>
      </c>
      <c r="F216">
        <v>11.43328</v>
      </c>
      <c r="G216">
        <v>263479900</v>
      </c>
      <c r="J216" s="354">
        <v>38145</v>
      </c>
      <c r="K216">
        <v>7.4</v>
      </c>
      <c r="L216">
        <v>7.5511109999999997</v>
      </c>
      <c r="M216">
        <v>7.2444439999999997</v>
      </c>
      <c r="N216">
        <v>7.386666</v>
      </c>
      <c r="O216">
        <v>3.8619599999999998</v>
      </c>
      <c r="P216">
        <v>7697700</v>
      </c>
      <c r="R216" s="273">
        <f>(O216/O215)*('16. câmbio USD-BRL'!O30/'16. câmbio USD-BRL'!O29)^-1-1</f>
        <v>-3.8051560439379406E-3</v>
      </c>
    </row>
    <row r="217" spans="1:18" x14ac:dyDescent="0.2">
      <c r="A217" s="354">
        <v>43191</v>
      </c>
      <c r="B217">
        <v>15.64</v>
      </c>
      <c r="C217">
        <v>17.5</v>
      </c>
      <c r="D217">
        <v>15.18</v>
      </c>
      <c r="E217">
        <v>16.649999999999999</v>
      </c>
      <c r="F217">
        <v>12.304441000000001</v>
      </c>
      <c r="G217">
        <v>163512100</v>
      </c>
      <c r="J217" s="354">
        <v>38152</v>
      </c>
      <c r="K217">
        <v>7.3</v>
      </c>
      <c r="L217">
        <v>8.1555549999999997</v>
      </c>
      <c r="M217">
        <v>7.1222219999999998</v>
      </c>
      <c r="N217">
        <v>8.1111109999999993</v>
      </c>
      <c r="O217">
        <v>4.2407190000000003</v>
      </c>
      <c r="P217">
        <v>19084500</v>
      </c>
      <c r="R217" s="273">
        <f>(O217/O216)*('16. câmbio USD-BRL'!O31/'16. câmbio USD-BRL'!O30)^-1-1</f>
        <v>9.7724477286169842E-2</v>
      </c>
    </row>
    <row r="218" spans="1:18" x14ac:dyDescent="0.2">
      <c r="A218" s="354">
        <v>43221</v>
      </c>
      <c r="B218">
        <v>16.649999999999999</v>
      </c>
      <c r="C218">
        <v>18.530000999999999</v>
      </c>
      <c r="D218">
        <v>14.63</v>
      </c>
      <c r="E218">
        <v>14.8</v>
      </c>
      <c r="F218">
        <v>10.937281</v>
      </c>
      <c r="G218">
        <v>226684800</v>
      </c>
      <c r="J218" s="354">
        <v>38159</v>
      </c>
      <c r="K218">
        <v>8.1333330000000004</v>
      </c>
      <c r="L218">
        <v>8.5333330000000007</v>
      </c>
      <c r="M218">
        <v>7.9444439999999998</v>
      </c>
      <c r="N218">
        <v>8.18</v>
      </c>
      <c r="O218">
        <v>4.2767369999999998</v>
      </c>
      <c r="P218">
        <v>11740500</v>
      </c>
      <c r="R218" s="273">
        <f>(O218/O217)*('16. câmbio USD-BRL'!O32/'16. câmbio USD-BRL'!O31)^-1-1</f>
        <v>1.822473198342589E-2</v>
      </c>
    </row>
    <row r="219" spans="1:18" x14ac:dyDescent="0.2">
      <c r="A219" s="354">
        <v>43252</v>
      </c>
      <c r="B219">
        <v>15.19</v>
      </c>
      <c r="C219">
        <v>16.549999</v>
      </c>
      <c r="D219">
        <v>13.09</v>
      </c>
      <c r="E219">
        <v>13.91</v>
      </c>
      <c r="F219">
        <v>10.327686</v>
      </c>
      <c r="G219">
        <v>259571400</v>
      </c>
      <c r="J219" s="354">
        <v>38166</v>
      </c>
      <c r="K219">
        <v>8.2200000000000006</v>
      </c>
      <c r="L219">
        <v>8.4222219999999997</v>
      </c>
      <c r="M219">
        <v>8</v>
      </c>
      <c r="N219">
        <v>8.3333329999999997</v>
      </c>
      <c r="O219">
        <v>4.3569040000000001</v>
      </c>
      <c r="P219">
        <v>10437300</v>
      </c>
      <c r="R219" s="273">
        <f>(O219/O218)*('16. câmbio USD-BRL'!O33/'16. câmbio USD-BRL'!O32)^-1-1</f>
        <v>4.2210558975600332E-2</v>
      </c>
    </row>
    <row r="220" spans="1:18" x14ac:dyDescent="0.2">
      <c r="A220" s="354">
        <v>43282</v>
      </c>
      <c r="B220">
        <v>13.83</v>
      </c>
      <c r="C220">
        <v>17.23</v>
      </c>
      <c r="D220">
        <v>13.65</v>
      </c>
      <c r="E220">
        <v>16.68</v>
      </c>
      <c r="F220">
        <v>12.384314</v>
      </c>
      <c r="G220">
        <v>215391400</v>
      </c>
      <c r="J220" s="354">
        <v>38173</v>
      </c>
      <c r="K220">
        <v>8.288888</v>
      </c>
      <c r="L220">
        <v>8.5333330000000007</v>
      </c>
      <c r="M220">
        <v>8.1866660000000007</v>
      </c>
      <c r="N220">
        <v>8.2577770000000008</v>
      </c>
      <c r="O220">
        <v>4.3596490000000001</v>
      </c>
      <c r="P220">
        <v>5657400</v>
      </c>
      <c r="R220" s="273">
        <f>(O220/O219)*('16. câmbio USD-BRL'!O34/'16. câmbio USD-BRL'!O33)^-1-1</f>
        <v>-2.8058217081849968E-5</v>
      </c>
    </row>
    <row r="221" spans="1:18" x14ac:dyDescent="0.2">
      <c r="A221" s="354">
        <v>43313</v>
      </c>
      <c r="B221">
        <v>16.600000000000001</v>
      </c>
      <c r="C221">
        <v>17.530000999999999</v>
      </c>
      <c r="D221">
        <v>15.2</v>
      </c>
      <c r="E221">
        <v>16.040001</v>
      </c>
      <c r="F221">
        <v>11.909136999999999</v>
      </c>
      <c r="G221">
        <v>241248700</v>
      </c>
      <c r="J221" s="354">
        <v>38180</v>
      </c>
      <c r="K221">
        <v>8.3088879999999996</v>
      </c>
      <c r="L221">
        <v>9.411111</v>
      </c>
      <c r="M221">
        <v>8.3088879999999996</v>
      </c>
      <c r="N221">
        <v>8.9333329999999993</v>
      </c>
      <c r="O221">
        <v>4.7163050000000002</v>
      </c>
      <c r="P221">
        <v>14678100</v>
      </c>
      <c r="R221" s="273">
        <f>(O221/O220)*('16. câmbio USD-BRL'!O35/'16. câmbio USD-BRL'!O34)^-1-1</f>
        <v>9.622772665778867E-2</v>
      </c>
    </row>
    <row r="222" spans="1:18" x14ac:dyDescent="0.2">
      <c r="A222" s="354">
        <v>43344</v>
      </c>
      <c r="B222">
        <v>15.9</v>
      </c>
      <c r="C222">
        <v>17.649999999999999</v>
      </c>
      <c r="D222">
        <v>15.04</v>
      </c>
      <c r="E222">
        <v>17.190000999999999</v>
      </c>
      <c r="F222">
        <v>12.875988</v>
      </c>
      <c r="G222">
        <v>167280400</v>
      </c>
      <c r="J222" s="354">
        <v>38187</v>
      </c>
      <c r="K222">
        <v>9.0777769999999993</v>
      </c>
      <c r="L222">
        <v>9.2666660000000007</v>
      </c>
      <c r="M222">
        <v>8.6999999999999993</v>
      </c>
      <c r="N222">
        <v>9.0666659999999997</v>
      </c>
      <c r="O222">
        <v>4.7866970000000002</v>
      </c>
      <c r="P222">
        <v>13256100</v>
      </c>
      <c r="R222" s="273">
        <f>(O222/O221)*('16. câmbio USD-BRL'!O36/'16. câmbio USD-BRL'!O35)^-1-1</f>
        <v>-2.3613968566837951E-3</v>
      </c>
    </row>
    <row r="223" spans="1:18" x14ac:dyDescent="0.2">
      <c r="A223" s="354">
        <v>43374</v>
      </c>
      <c r="B223">
        <v>17.129999000000002</v>
      </c>
      <c r="C223">
        <v>17.559999000000001</v>
      </c>
      <c r="D223">
        <v>14.83</v>
      </c>
      <c r="E223">
        <v>16.260000000000002</v>
      </c>
      <c r="F223">
        <v>12.179380999999999</v>
      </c>
      <c r="G223">
        <v>384719400</v>
      </c>
      <c r="J223" s="354">
        <v>38194</v>
      </c>
      <c r="K223">
        <v>9.1555549999999997</v>
      </c>
      <c r="L223">
        <v>9.6355550000000001</v>
      </c>
      <c r="M223">
        <v>8.8444439999999993</v>
      </c>
      <c r="N223">
        <v>9.5977770000000007</v>
      </c>
      <c r="O223">
        <v>5.067094</v>
      </c>
      <c r="P223">
        <v>11775150</v>
      </c>
      <c r="R223" s="273">
        <f>(O223/O222)*('16. câmbio USD-BRL'!O37/'16. câmbio USD-BRL'!O36)^-1-1</f>
        <v>6.4505870330779258E-2</v>
      </c>
    </row>
    <row r="224" spans="1:18" x14ac:dyDescent="0.2">
      <c r="A224" s="354">
        <v>43405</v>
      </c>
      <c r="B224">
        <v>16.280000999999999</v>
      </c>
      <c r="C224">
        <v>17.399999999999999</v>
      </c>
      <c r="D224">
        <v>14.56</v>
      </c>
      <c r="E224">
        <v>15.48</v>
      </c>
      <c r="F224">
        <v>11.595131</v>
      </c>
      <c r="G224">
        <v>292609900</v>
      </c>
      <c r="J224" s="354">
        <v>38201</v>
      </c>
      <c r="K224">
        <v>9.555555</v>
      </c>
      <c r="L224">
        <v>10.488887999999999</v>
      </c>
      <c r="M224">
        <v>9.4711110000000005</v>
      </c>
      <c r="N224">
        <v>10.177777000000001</v>
      </c>
      <c r="O224">
        <v>5.3733019999999998</v>
      </c>
      <c r="P224">
        <v>18361350</v>
      </c>
      <c r="R224" s="273">
        <f>(O224/O223)*('16. câmbio USD-BRL'!O38/'16. câmbio USD-BRL'!O37)^-1-1</f>
        <v>6.2180000923762524E-2</v>
      </c>
    </row>
    <row r="225" spans="1:18" x14ac:dyDescent="0.2">
      <c r="A225" s="354">
        <v>43435</v>
      </c>
      <c r="B225">
        <v>15.99</v>
      </c>
      <c r="C225">
        <v>16.379999000000002</v>
      </c>
      <c r="D225">
        <v>14.16</v>
      </c>
      <c r="E225">
        <v>14.82</v>
      </c>
      <c r="F225">
        <v>11.195582</v>
      </c>
      <c r="G225">
        <v>215143500</v>
      </c>
      <c r="J225" s="354">
        <v>38208</v>
      </c>
      <c r="K225">
        <v>10.222222</v>
      </c>
      <c r="L225">
        <v>11.288888</v>
      </c>
      <c r="M225">
        <v>9.9333329999999993</v>
      </c>
      <c r="N225">
        <v>11</v>
      </c>
      <c r="O225">
        <v>5.8073899999999998</v>
      </c>
      <c r="P225">
        <v>14692950</v>
      </c>
      <c r="R225" s="273">
        <f>(O225/O224)*('16. câmbio USD-BRL'!O39/'16. câmbio USD-BRL'!O38)^-1-1</f>
        <v>8.5082015742417916E-2</v>
      </c>
    </row>
    <row r="226" spans="1:18" x14ac:dyDescent="0.2">
      <c r="A226" s="354">
        <v>43466</v>
      </c>
      <c r="B226">
        <v>14.82</v>
      </c>
      <c r="C226">
        <v>16.299999</v>
      </c>
      <c r="D226">
        <v>14.57</v>
      </c>
      <c r="E226">
        <v>15.65</v>
      </c>
      <c r="F226">
        <v>11.822594</v>
      </c>
      <c r="G226">
        <v>266693600</v>
      </c>
      <c r="J226" s="354">
        <v>38215</v>
      </c>
      <c r="K226">
        <v>10.988887999999999</v>
      </c>
      <c r="L226">
        <v>11.544444</v>
      </c>
      <c r="M226">
        <v>10.577776999999999</v>
      </c>
      <c r="N226">
        <v>11.111110999999999</v>
      </c>
      <c r="O226">
        <v>5.8660500000000004</v>
      </c>
      <c r="P226">
        <v>13173750</v>
      </c>
      <c r="R226" s="273">
        <f>(O226/O225)*('16. câmbio USD-BRL'!O40/'16. câmbio USD-BRL'!O39)^-1-1</f>
        <v>2.88443613164584E-2</v>
      </c>
    </row>
    <row r="227" spans="1:18" x14ac:dyDescent="0.2">
      <c r="A227" s="354">
        <v>43497</v>
      </c>
      <c r="B227">
        <v>15.8</v>
      </c>
      <c r="C227">
        <v>16.149999999999999</v>
      </c>
      <c r="D227">
        <v>15</v>
      </c>
      <c r="E227">
        <v>15.14</v>
      </c>
      <c r="F227">
        <v>11.43732</v>
      </c>
      <c r="G227">
        <v>199907900</v>
      </c>
      <c r="J227" s="354">
        <v>38222</v>
      </c>
      <c r="K227">
        <v>11.111110999999999</v>
      </c>
      <c r="L227">
        <v>11.155555</v>
      </c>
      <c r="M227">
        <v>10.375555</v>
      </c>
      <c r="N227">
        <v>10.531110999999999</v>
      </c>
      <c r="O227">
        <v>5.6119940000000001</v>
      </c>
      <c r="P227">
        <v>13322250</v>
      </c>
      <c r="R227" s="273">
        <f>(O227/O226)*('16. câmbio USD-BRL'!O41/'16. câmbio USD-BRL'!O40)^-1-1</f>
        <v>-3.9420566865294826E-2</v>
      </c>
    </row>
    <row r="228" spans="1:18" x14ac:dyDescent="0.2">
      <c r="A228" s="354">
        <v>43525</v>
      </c>
      <c r="B228">
        <v>15.23</v>
      </c>
      <c r="C228">
        <v>16.09</v>
      </c>
      <c r="D228">
        <v>14.4</v>
      </c>
      <c r="E228">
        <v>15.14</v>
      </c>
      <c r="F228">
        <v>11.43732</v>
      </c>
      <c r="G228">
        <v>242170600</v>
      </c>
      <c r="J228" s="354">
        <v>38229</v>
      </c>
      <c r="K228">
        <v>10.488887999999999</v>
      </c>
      <c r="L228">
        <v>10.855555000000001</v>
      </c>
      <c r="M228">
        <v>10.366666</v>
      </c>
      <c r="N228">
        <v>10.6</v>
      </c>
      <c r="O228">
        <v>5.6487059999999998</v>
      </c>
      <c r="P228">
        <v>10071000</v>
      </c>
      <c r="R228" s="273" t="e">
        <f>(O228/O227)*('16. câmbio USD-BRL'!O42/'16. câmbio USD-BRL'!O41)^-1-1</f>
        <v>#VALUE!</v>
      </c>
    </row>
    <row r="229" spans="1:18" x14ac:dyDescent="0.2">
      <c r="A229" s="354">
        <v>43556</v>
      </c>
      <c r="B229">
        <v>15.4</v>
      </c>
      <c r="C229">
        <v>16.440000999999999</v>
      </c>
      <c r="D229">
        <v>14.15</v>
      </c>
      <c r="E229">
        <v>14.15</v>
      </c>
      <c r="F229">
        <v>10.761035</v>
      </c>
      <c r="G229">
        <v>243251500</v>
      </c>
      <c r="J229" s="354">
        <v>38236</v>
      </c>
      <c r="K229">
        <v>10.666665999999999</v>
      </c>
      <c r="L229">
        <v>10.82</v>
      </c>
      <c r="M229">
        <v>10.044444</v>
      </c>
      <c r="N229">
        <v>10.191110999999999</v>
      </c>
      <c r="O229">
        <v>5.4308110000000003</v>
      </c>
      <c r="P229">
        <v>13411800</v>
      </c>
      <c r="R229" s="273" t="e">
        <f>(O229/O228)*('16. câmbio USD-BRL'!O43/'16. câmbio USD-BRL'!O42)^-1-1</f>
        <v>#VALUE!</v>
      </c>
    </row>
    <row r="230" spans="1:18" x14ac:dyDescent="0.2">
      <c r="A230" s="354">
        <v>43586</v>
      </c>
      <c r="B230">
        <v>14.15</v>
      </c>
      <c r="C230">
        <v>14.88</v>
      </c>
      <c r="D230">
        <v>13.58</v>
      </c>
      <c r="E230">
        <v>13.87</v>
      </c>
      <c r="F230">
        <v>10.548094000000001</v>
      </c>
      <c r="G230">
        <v>249072800</v>
      </c>
      <c r="J230" s="354">
        <v>38243</v>
      </c>
      <c r="K230">
        <v>10.177777000000001</v>
      </c>
      <c r="L230">
        <v>10.755554999999999</v>
      </c>
      <c r="M230">
        <v>9.9333329999999993</v>
      </c>
      <c r="N230">
        <v>10.644444</v>
      </c>
      <c r="O230">
        <v>5.67239</v>
      </c>
      <c r="P230">
        <v>15194700</v>
      </c>
      <c r="R230" s="273" t="e">
        <f>(O230/O229)*('16. câmbio USD-BRL'!O44/'16. câmbio USD-BRL'!O43)^-1-1</f>
        <v>#VALUE!</v>
      </c>
    </row>
    <row r="231" spans="1:18" x14ac:dyDescent="0.2">
      <c r="A231" s="354">
        <v>43617</v>
      </c>
      <c r="B231">
        <v>13.95</v>
      </c>
      <c r="C231">
        <v>15.27</v>
      </c>
      <c r="D231">
        <v>13.55</v>
      </c>
      <c r="E231">
        <v>15.2</v>
      </c>
      <c r="F231">
        <v>11.61875</v>
      </c>
      <c r="G231">
        <v>163807000</v>
      </c>
      <c r="J231" s="354">
        <v>38250</v>
      </c>
      <c r="K231">
        <v>10.822222</v>
      </c>
      <c r="L231">
        <v>10.877777</v>
      </c>
      <c r="M231">
        <v>10</v>
      </c>
      <c r="N231">
        <v>10.044444</v>
      </c>
      <c r="O231">
        <v>5.352652</v>
      </c>
      <c r="P231">
        <v>11407500</v>
      </c>
      <c r="R231" s="273" t="e">
        <f>(O231/O230)*('16. câmbio USD-BRL'!O45/'16. câmbio USD-BRL'!O44)^-1-1</f>
        <v>#VALUE!</v>
      </c>
    </row>
    <row r="232" spans="1:18" x14ac:dyDescent="0.2">
      <c r="A232" s="354">
        <v>43647</v>
      </c>
      <c r="B232">
        <v>15.4</v>
      </c>
      <c r="C232">
        <v>15.54</v>
      </c>
      <c r="D232">
        <v>13.61</v>
      </c>
      <c r="E232">
        <v>13.75</v>
      </c>
      <c r="F232">
        <v>10.510381000000001</v>
      </c>
      <c r="G232">
        <v>255531200</v>
      </c>
      <c r="J232" s="354">
        <v>38257</v>
      </c>
      <c r="K232">
        <v>10.111110999999999</v>
      </c>
      <c r="L232">
        <v>10.622222000000001</v>
      </c>
      <c r="M232">
        <v>9.5333330000000007</v>
      </c>
      <c r="N232">
        <v>10.5</v>
      </c>
      <c r="O232">
        <v>5.5954170000000003</v>
      </c>
      <c r="P232">
        <v>15431850</v>
      </c>
      <c r="R232" s="273" t="e">
        <f>(O232/O231)*('16. câmbio USD-BRL'!O46/'16. câmbio USD-BRL'!O45)^-1-1</f>
        <v>#VALUE!</v>
      </c>
    </row>
    <row r="233" spans="1:18" x14ac:dyDescent="0.2">
      <c r="A233" s="354">
        <v>43678</v>
      </c>
      <c r="B233">
        <v>13.9</v>
      </c>
      <c r="C233">
        <v>14</v>
      </c>
      <c r="D233">
        <v>11.54</v>
      </c>
      <c r="E233">
        <v>12.87</v>
      </c>
      <c r="F233">
        <v>9.8377180000000006</v>
      </c>
      <c r="G233">
        <v>330547300</v>
      </c>
      <c r="J233" s="354">
        <v>38264</v>
      </c>
      <c r="K233">
        <v>10.511111</v>
      </c>
      <c r="L233">
        <v>11.044444</v>
      </c>
      <c r="M233">
        <v>10.357777</v>
      </c>
      <c r="N233">
        <v>10.435555000000001</v>
      </c>
      <c r="O233">
        <v>5.5610739999999996</v>
      </c>
      <c r="P233">
        <v>15009300</v>
      </c>
      <c r="R233" s="273" t="e">
        <f>(O233/O232)*('16. câmbio USD-BRL'!O47/'16. câmbio USD-BRL'!O46)^-1-1</f>
        <v>#VALUE!</v>
      </c>
    </row>
    <row r="234" spans="1:18" x14ac:dyDescent="0.2">
      <c r="A234" s="354">
        <v>43709</v>
      </c>
      <c r="B234">
        <v>13.01</v>
      </c>
      <c r="C234">
        <v>13.82</v>
      </c>
      <c r="D234">
        <v>12.36</v>
      </c>
      <c r="E234">
        <v>13.16</v>
      </c>
      <c r="F234">
        <v>10.115233</v>
      </c>
      <c r="G234">
        <v>272215600</v>
      </c>
      <c r="J234" s="354">
        <v>38271</v>
      </c>
      <c r="K234">
        <v>10.5</v>
      </c>
      <c r="L234">
        <v>10.628888</v>
      </c>
      <c r="M234">
        <v>9.5777769999999993</v>
      </c>
      <c r="N234">
        <v>9.8000000000000007</v>
      </c>
      <c r="O234">
        <v>5.2223879999999996</v>
      </c>
      <c r="P234">
        <v>11960100</v>
      </c>
      <c r="R234" s="273" t="e">
        <f>(O234/O233)*('16. câmbio USD-BRL'!O48/'16. câmbio USD-BRL'!O47)^-1-1</f>
        <v>#VALUE!</v>
      </c>
    </row>
    <row r="235" spans="1:18" x14ac:dyDescent="0.2">
      <c r="A235" s="354">
        <v>43739</v>
      </c>
      <c r="B235">
        <v>13.11</v>
      </c>
      <c r="C235">
        <v>13.69</v>
      </c>
      <c r="D235">
        <v>12.31</v>
      </c>
      <c r="E235">
        <v>13.43</v>
      </c>
      <c r="F235">
        <v>10.322765</v>
      </c>
      <c r="G235">
        <v>255780200</v>
      </c>
      <c r="J235" s="354">
        <v>38278</v>
      </c>
      <c r="K235">
        <v>9.6555549999999997</v>
      </c>
      <c r="L235">
        <v>9.911111</v>
      </c>
      <c r="M235">
        <v>8.7222220000000004</v>
      </c>
      <c r="N235">
        <v>8.9777769999999997</v>
      </c>
      <c r="O235">
        <v>4.7842269999999996</v>
      </c>
      <c r="P235">
        <v>32464350</v>
      </c>
      <c r="R235" s="273" t="e">
        <f>(O235/O234)*('16. câmbio USD-BRL'!O49/'16. câmbio USD-BRL'!O48)^-1-1</f>
        <v>#VALUE!</v>
      </c>
    </row>
    <row r="236" spans="1:18" x14ac:dyDescent="0.2">
      <c r="A236" s="354">
        <v>43770</v>
      </c>
      <c r="B236">
        <v>13.57</v>
      </c>
      <c r="C236">
        <v>17.579999999999998</v>
      </c>
      <c r="D236">
        <v>13.52</v>
      </c>
      <c r="E236">
        <v>17</v>
      </c>
      <c r="F236">
        <v>13.066791</v>
      </c>
      <c r="G236">
        <v>330943900</v>
      </c>
      <c r="J236" s="354">
        <v>38285</v>
      </c>
      <c r="K236">
        <v>8.9088879999999993</v>
      </c>
      <c r="L236">
        <v>9.5488879999999998</v>
      </c>
      <c r="M236">
        <v>8.8666660000000004</v>
      </c>
      <c r="N236">
        <v>9.3755550000000003</v>
      </c>
      <c r="O236">
        <v>4.9962030000000004</v>
      </c>
      <c r="P236">
        <v>23271300</v>
      </c>
      <c r="R236" s="273" t="e">
        <f>(O236/O235)*('16. câmbio USD-BRL'!O50/'16. câmbio USD-BRL'!O49)^-1-1</f>
        <v>#VALUE!</v>
      </c>
    </row>
    <row r="237" spans="1:18" x14ac:dyDescent="0.2">
      <c r="A237" s="354">
        <v>43800</v>
      </c>
      <c r="B237">
        <v>16.760000000000002</v>
      </c>
      <c r="C237">
        <v>20.149999999999999</v>
      </c>
      <c r="D237">
        <v>16.629999000000002</v>
      </c>
      <c r="E237">
        <v>20</v>
      </c>
      <c r="F237">
        <v>15.413043999999999</v>
      </c>
      <c r="G237">
        <v>244543200</v>
      </c>
      <c r="J237" s="354">
        <v>38292</v>
      </c>
      <c r="K237">
        <v>9.3888879999999997</v>
      </c>
      <c r="L237">
        <v>10.013332999999999</v>
      </c>
      <c r="M237">
        <v>9.3111110000000004</v>
      </c>
      <c r="N237">
        <v>9.7133330000000004</v>
      </c>
      <c r="O237">
        <v>5.1762009999999998</v>
      </c>
      <c r="P237">
        <v>14474250</v>
      </c>
      <c r="R237" s="273" t="e">
        <f>(O237/O236)*('16. câmbio USD-BRL'!O51/'16. câmbio USD-BRL'!O50)^-1-1</f>
        <v>#VALUE!</v>
      </c>
    </row>
    <row r="238" spans="1:18" x14ac:dyDescent="0.2">
      <c r="A238" s="354">
        <v>43831</v>
      </c>
      <c r="B238">
        <v>20</v>
      </c>
      <c r="C238">
        <v>22.540001</v>
      </c>
      <c r="D238">
        <v>19.600000000000001</v>
      </c>
      <c r="E238">
        <v>20.049999</v>
      </c>
      <c r="F238">
        <v>15.451573</v>
      </c>
      <c r="G238">
        <v>263814300</v>
      </c>
      <c r="J238" s="354">
        <v>38299</v>
      </c>
      <c r="K238">
        <v>9.6977770000000003</v>
      </c>
      <c r="L238">
        <v>9.9777769999999997</v>
      </c>
      <c r="M238">
        <v>9.4577770000000001</v>
      </c>
      <c r="N238">
        <v>9.966666</v>
      </c>
      <c r="O238">
        <v>5.37479</v>
      </c>
      <c r="P238">
        <v>12752550</v>
      </c>
      <c r="R238" s="273" t="e">
        <f>(O238/O237)*('16. câmbio USD-BRL'!O52/'16. câmbio USD-BRL'!O51)^-1-1</f>
        <v>#VALUE!</v>
      </c>
    </row>
    <row r="239" spans="1:18" x14ac:dyDescent="0.2">
      <c r="A239" s="354">
        <v>43862</v>
      </c>
      <c r="B239">
        <v>20.049999</v>
      </c>
      <c r="C239">
        <v>22.290001</v>
      </c>
      <c r="D239">
        <v>16.149999999999999</v>
      </c>
      <c r="E239">
        <v>16.93</v>
      </c>
      <c r="F239">
        <v>13.047140000000001</v>
      </c>
      <c r="G239">
        <v>259069300</v>
      </c>
      <c r="J239" s="354">
        <v>38306</v>
      </c>
      <c r="K239">
        <v>9.966666</v>
      </c>
      <c r="L239">
        <v>10.199999999999999</v>
      </c>
      <c r="M239">
        <v>9.7133330000000004</v>
      </c>
      <c r="N239">
        <v>9.9444440000000007</v>
      </c>
      <c r="O239">
        <v>5.362806</v>
      </c>
      <c r="P239">
        <v>9271800</v>
      </c>
      <c r="R239" s="273" t="e">
        <f>(O239/O238)*('16. câmbio USD-BRL'!O53/'16. câmbio USD-BRL'!O52)^-1-1</f>
        <v>#VALUE!</v>
      </c>
    </row>
    <row r="240" spans="1:18" x14ac:dyDescent="0.2">
      <c r="A240" s="354">
        <v>43891</v>
      </c>
      <c r="B240">
        <v>17.239999999999998</v>
      </c>
      <c r="C240">
        <v>18.540001</v>
      </c>
      <c r="D240">
        <v>8.16</v>
      </c>
      <c r="E240">
        <v>10.050000000000001</v>
      </c>
      <c r="F240">
        <v>7.7450539999999997</v>
      </c>
      <c r="G240">
        <v>467218900</v>
      </c>
      <c r="J240" s="354">
        <v>38313</v>
      </c>
      <c r="K240">
        <v>9.9333329999999993</v>
      </c>
      <c r="L240">
        <v>10.284444000000001</v>
      </c>
      <c r="M240">
        <v>9.3311109999999999</v>
      </c>
      <c r="N240">
        <v>10.133333</v>
      </c>
      <c r="O240">
        <v>5.4646689999999998</v>
      </c>
      <c r="P240">
        <v>22381650</v>
      </c>
      <c r="R240" s="273" t="e">
        <f>(O240/O239)*('16. câmbio USD-BRL'!O54/'16. câmbio USD-BRL'!O53)^-1-1</f>
        <v>#VALUE!</v>
      </c>
    </row>
    <row r="241" spans="1:18" x14ac:dyDescent="0.2">
      <c r="A241" s="354">
        <v>43922</v>
      </c>
      <c r="B241">
        <v>9.8699999999999992</v>
      </c>
      <c r="C241">
        <v>12.8</v>
      </c>
      <c r="D241">
        <v>9.16</v>
      </c>
      <c r="E241">
        <v>11.74</v>
      </c>
      <c r="F241">
        <v>9.0635169999999992</v>
      </c>
      <c r="G241">
        <v>414803900</v>
      </c>
      <c r="J241" s="354">
        <v>38320</v>
      </c>
      <c r="K241">
        <v>10.175554999999999</v>
      </c>
      <c r="L241">
        <v>11.175554999999999</v>
      </c>
      <c r="M241">
        <v>10.091111</v>
      </c>
      <c r="N241">
        <v>10.913333</v>
      </c>
      <c r="O241">
        <v>5.8853030000000004</v>
      </c>
      <c r="P241">
        <v>23215950</v>
      </c>
      <c r="R241" s="273" t="e">
        <f>(O241/O240)*('16. câmbio USD-BRL'!O55/'16. câmbio USD-BRL'!O54)^-1-1</f>
        <v>#VALUE!</v>
      </c>
    </row>
    <row r="242" spans="1:18" x14ac:dyDescent="0.2">
      <c r="A242" s="354">
        <v>43952</v>
      </c>
      <c r="B242">
        <v>11.74</v>
      </c>
      <c r="C242">
        <v>13.91</v>
      </c>
      <c r="D242">
        <v>10.92</v>
      </c>
      <c r="E242">
        <v>13.43</v>
      </c>
      <c r="F242">
        <v>10.368230000000001</v>
      </c>
      <c r="G242">
        <v>401421100</v>
      </c>
      <c r="J242" s="354">
        <v>38327</v>
      </c>
      <c r="K242">
        <v>10.888888</v>
      </c>
      <c r="L242">
        <v>11.022221999999999</v>
      </c>
      <c r="M242">
        <v>9.8000000000000007</v>
      </c>
      <c r="N242">
        <v>10.042222000000001</v>
      </c>
      <c r="O242">
        <v>5.4155360000000003</v>
      </c>
      <c r="P242">
        <v>18914400</v>
      </c>
      <c r="R242" s="273" t="e">
        <f>(O242/O241)*('16. câmbio USD-BRL'!O56/'16. câmbio USD-BRL'!O55)^-1-1</f>
        <v>#VALUE!</v>
      </c>
    </row>
    <row r="243" spans="1:18" x14ac:dyDescent="0.2">
      <c r="A243" s="354">
        <v>43983</v>
      </c>
      <c r="B243">
        <v>13.75</v>
      </c>
      <c r="C243">
        <v>16.41</v>
      </c>
      <c r="D243">
        <v>13.13</v>
      </c>
      <c r="E243">
        <v>16.010000000000002</v>
      </c>
      <c r="F243">
        <v>12.360041000000001</v>
      </c>
      <c r="G243">
        <v>412075100</v>
      </c>
      <c r="J243" s="354">
        <v>38334</v>
      </c>
      <c r="K243">
        <v>10.222222</v>
      </c>
      <c r="L243">
        <v>10.588888000000001</v>
      </c>
      <c r="M243">
        <v>9.8466660000000008</v>
      </c>
      <c r="N243">
        <v>10.415554999999999</v>
      </c>
      <c r="O243">
        <v>5.6168659999999999</v>
      </c>
      <c r="P243">
        <v>21411900</v>
      </c>
      <c r="R243" s="273" t="e">
        <f>(O243/O242)*('16. câmbio USD-BRL'!O57/'16. câmbio USD-BRL'!O56)^-1-1</f>
        <v>#VALUE!</v>
      </c>
    </row>
    <row r="244" spans="1:18" x14ac:dyDescent="0.2">
      <c r="A244" s="354">
        <v>44013</v>
      </c>
      <c r="B244">
        <v>15.85</v>
      </c>
      <c r="C244">
        <v>18.120000999999998</v>
      </c>
      <c r="D244">
        <v>15.22</v>
      </c>
      <c r="E244">
        <v>17.450001</v>
      </c>
      <c r="F244">
        <v>13.471752</v>
      </c>
      <c r="G244">
        <v>328110000</v>
      </c>
      <c r="J244" s="354">
        <v>38341</v>
      </c>
      <c r="K244">
        <v>10.444444000000001</v>
      </c>
      <c r="L244">
        <v>10.577776999999999</v>
      </c>
      <c r="M244">
        <v>10.224444</v>
      </c>
      <c r="N244">
        <v>10.366666</v>
      </c>
      <c r="O244">
        <v>5.5904999999999996</v>
      </c>
      <c r="P244">
        <v>14203350</v>
      </c>
      <c r="R244" s="273" t="e">
        <f>(O244/O243)*('16. câmbio USD-BRL'!O58/'16. câmbio USD-BRL'!O57)^-1-1</f>
        <v>#VALUE!</v>
      </c>
    </row>
    <row r="245" spans="1:18" x14ac:dyDescent="0.2">
      <c r="A245" s="354">
        <v>44044</v>
      </c>
      <c r="B245">
        <v>17.690000999999999</v>
      </c>
      <c r="C245">
        <v>20.399999999999999</v>
      </c>
      <c r="D245">
        <v>17.040001</v>
      </c>
      <c r="E245">
        <v>19.09</v>
      </c>
      <c r="F245">
        <v>14.737864</v>
      </c>
      <c r="G245">
        <v>338659400</v>
      </c>
      <c r="J245" s="354">
        <v>38348</v>
      </c>
      <c r="K245">
        <v>10.377777</v>
      </c>
      <c r="L245">
        <v>10.811111</v>
      </c>
      <c r="M245">
        <v>10.311111</v>
      </c>
      <c r="N245">
        <v>10.555555</v>
      </c>
      <c r="O245">
        <v>5.6923640000000004</v>
      </c>
      <c r="P245">
        <v>10112400</v>
      </c>
      <c r="R245" s="273" t="e">
        <f>(O245/O244)*('16. câmbio USD-BRL'!O59/'16. câmbio USD-BRL'!O58)^-1-1</f>
        <v>#VALUE!</v>
      </c>
    </row>
    <row r="246" spans="1:18" x14ac:dyDescent="0.2">
      <c r="A246" s="354">
        <v>44075</v>
      </c>
      <c r="B246">
        <v>19.25</v>
      </c>
      <c r="C246">
        <v>21.84</v>
      </c>
      <c r="D246">
        <v>19.040001</v>
      </c>
      <c r="E246">
        <v>20.799999</v>
      </c>
      <c r="F246">
        <v>16.058018000000001</v>
      </c>
      <c r="G246">
        <v>283253500</v>
      </c>
      <c r="J246" s="354">
        <v>38355</v>
      </c>
      <c r="K246">
        <v>10.555555</v>
      </c>
      <c r="L246">
        <v>10.733333</v>
      </c>
      <c r="M246">
        <v>9.555555</v>
      </c>
      <c r="N246">
        <v>9.7555549999999993</v>
      </c>
      <c r="O246">
        <v>5.2609430000000001</v>
      </c>
      <c r="P246">
        <v>13203450</v>
      </c>
      <c r="R246" s="273" t="e">
        <f>(O246/O245)*('16. câmbio USD-BRL'!O60/'16. câmbio USD-BRL'!O59)^-1-1</f>
        <v>#VALUE!</v>
      </c>
    </row>
    <row r="247" spans="1:18" x14ac:dyDescent="0.2">
      <c r="A247" s="354">
        <v>44105</v>
      </c>
      <c r="B247">
        <v>20.92</v>
      </c>
      <c r="C247">
        <v>24.059999000000001</v>
      </c>
      <c r="D247">
        <v>20.27</v>
      </c>
      <c r="E247">
        <v>21.809999000000001</v>
      </c>
      <c r="F247">
        <v>16.837758999999998</v>
      </c>
      <c r="G247">
        <v>290664300</v>
      </c>
      <c r="J247" s="354">
        <v>38362</v>
      </c>
      <c r="K247">
        <v>9.7955550000000002</v>
      </c>
      <c r="L247">
        <v>10.011111</v>
      </c>
      <c r="M247">
        <v>9.2444439999999997</v>
      </c>
      <c r="N247">
        <v>10</v>
      </c>
      <c r="O247">
        <v>5.3927659999999999</v>
      </c>
      <c r="P247">
        <v>12101850</v>
      </c>
      <c r="R247" s="273" t="e">
        <f>(O247/O246)*('16. câmbio USD-BRL'!O61/'16. câmbio USD-BRL'!O60)^-1-1</f>
        <v>#VALUE!</v>
      </c>
    </row>
    <row r="248" spans="1:18" x14ac:dyDescent="0.2">
      <c r="A248" s="354">
        <v>44136</v>
      </c>
      <c r="B248">
        <v>21.809999000000001</v>
      </c>
      <c r="C248">
        <v>23.620000999999998</v>
      </c>
      <c r="D248">
        <v>20.540001</v>
      </c>
      <c r="E248">
        <v>22.6</v>
      </c>
      <c r="F248">
        <v>17.447657</v>
      </c>
      <c r="G248">
        <v>287693600</v>
      </c>
      <c r="J248" s="354">
        <v>38369</v>
      </c>
      <c r="K248">
        <v>9.9777769999999997</v>
      </c>
      <c r="L248">
        <v>10</v>
      </c>
      <c r="M248">
        <v>9.0333330000000007</v>
      </c>
      <c r="N248">
        <v>9.1111109999999993</v>
      </c>
      <c r="O248">
        <v>4.9134089999999997</v>
      </c>
      <c r="P248">
        <v>11653650</v>
      </c>
      <c r="R248" s="273" t="e">
        <f>(O248/O247)*('16. câmbio USD-BRL'!O62/'16. câmbio USD-BRL'!O61)^-1-1</f>
        <v>#VALUE!</v>
      </c>
    </row>
    <row r="249" spans="1:18" x14ac:dyDescent="0.2">
      <c r="A249" s="354">
        <v>44166</v>
      </c>
      <c r="B249">
        <v>22.860001</v>
      </c>
      <c r="C249">
        <v>25.25</v>
      </c>
      <c r="D249">
        <v>22.4</v>
      </c>
      <c r="E249">
        <v>24.450001</v>
      </c>
      <c r="F249">
        <v>18.977060000000002</v>
      </c>
      <c r="G249">
        <v>253915400</v>
      </c>
      <c r="J249" s="354">
        <v>38376</v>
      </c>
      <c r="K249">
        <v>9.1955550000000006</v>
      </c>
      <c r="L249">
        <v>9.7111110000000007</v>
      </c>
      <c r="M249">
        <v>9.1111109999999993</v>
      </c>
      <c r="N249">
        <v>9.6777770000000007</v>
      </c>
      <c r="O249">
        <v>5.2189990000000002</v>
      </c>
      <c r="P249">
        <v>8527050</v>
      </c>
      <c r="R249" s="273" t="e">
        <f>(O249/O248)*('16. câmbio USD-BRL'!O63/'16. câmbio USD-BRL'!O62)^-1-1</f>
        <v>#VALUE!</v>
      </c>
    </row>
    <row r="250" spans="1:18" x14ac:dyDescent="0.2">
      <c r="A250" s="354">
        <v>44197</v>
      </c>
      <c r="B250">
        <v>24.450001</v>
      </c>
      <c r="C250">
        <v>30</v>
      </c>
      <c r="D250">
        <v>23.02</v>
      </c>
      <c r="E250">
        <v>23.25</v>
      </c>
      <c r="F250">
        <v>18.172332999999998</v>
      </c>
      <c r="G250">
        <v>327269500</v>
      </c>
      <c r="J250" s="354">
        <v>38383</v>
      </c>
      <c r="K250">
        <v>9.7777770000000004</v>
      </c>
      <c r="L250">
        <v>9.8888879999999997</v>
      </c>
      <c r="M250">
        <v>9.288888</v>
      </c>
      <c r="N250">
        <v>9.8333329999999997</v>
      </c>
      <c r="O250">
        <v>5.3028870000000001</v>
      </c>
      <c r="P250">
        <v>16681050</v>
      </c>
      <c r="R250" s="273" t="e">
        <f>(O250/O249)*('16. câmbio USD-BRL'!O64/'16. câmbio USD-BRL'!O63)^-1-1</f>
        <v>#VALUE!</v>
      </c>
    </row>
    <row r="251" spans="1:18" x14ac:dyDescent="0.2">
      <c r="A251" s="354">
        <v>44228</v>
      </c>
      <c r="B251">
        <v>23.690000999999999</v>
      </c>
      <c r="C251">
        <v>28.17</v>
      </c>
      <c r="D251">
        <v>22.82</v>
      </c>
      <c r="E251">
        <v>25.870000999999998</v>
      </c>
      <c r="F251">
        <v>20.220140000000001</v>
      </c>
      <c r="G251">
        <v>277342800</v>
      </c>
      <c r="J251" s="354">
        <v>38390</v>
      </c>
      <c r="K251">
        <v>9.8333329999999997</v>
      </c>
      <c r="L251">
        <v>10.044444</v>
      </c>
      <c r="M251">
        <v>9.6133330000000008</v>
      </c>
      <c r="N251">
        <v>9.966666</v>
      </c>
      <c r="O251">
        <v>5.37479</v>
      </c>
      <c r="P251">
        <v>12060000</v>
      </c>
      <c r="R251" s="273" t="e">
        <f>(O251/O250)*('16. câmbio USD-BRL'!O65/'16. câmbio USD-BRL'!O64)^-1-1</f>
        <v>#VALUE!</v>
      </c>
    </row>
    <row r="252" spans="1:18" x14ac:dyDescent="0.2">
      <c r="A252" s="354">
        <v>44256</v>
      </c>
      <c r="B252">
        <v>26.280000999999999</v>
      </c>
      <c r="C252">
        <v>30.52</v>
      </c>
      <c r="D252">
        <v>26.02</v>
      </c>
      <c r="E252">
        <v>30.219999000000001</v>
      </c>
      <c r="F252">
        <v>23.620118999999999</v>
      </c>
      <c r="G252">
        <v>395896300</v>
      </c>
      <c r="J252" s="354">
        <v>38397</v>
      </c>
      <c r="K252">
        <v>9.7555549999999993</v>
      </c>
      <c r="L252">
        <v>10.388888</v>
      </c>
      <c r="M252">
        <v>9.3266659999999995</v>
      </c>
      <c r="N252">
        <v>10.311111</v>
      </c>
      <c r="O252">
        <v>5.5605419999999999</v>
      </c>
      <c r="P252">
        <v>29755350</v>
      </c>
      <c r="R252" s="273" t="e">
        <f>(O252/O251)*('16. câmbio USD-BRL'!O66/'16. câmbio USD-BRL'!O65)^-1-1</f>
        <v>#VALUE!</v>
      </c>
    </row>
    <row r="253" spans="1:18" x14ac:dyDescent="0.2">
      <c r="A253" s="354">
        <v>44287</v>
      </c>
      <c r="B253">
        <v>30.52</v>
      </c>
      <c r="C253">
        <v>35.009998000000003</v>
      </c>
      <c r="D253">
        <v>29.120000999999998</v>
      </c>
      <c r="E253">
        <v>33.220001000000003</v>
      </c>
      <c r="F253">
        <v>26.086096000000001</v>
      </c>
      <c r="G253">
        <v>291486000</v>
      </c>
      <c r="J253" s="354">
        <v>38404</v>
      </c>
      <c r="K253">
        <v>10.304444</v>
      </c>
      <c r="L253">
        <v>11.222222</v>
      </c>
      <c r="M253">
        <v>9.8088879999999996</v>
      </c>
      <c r="N253">
        <v>10.888888</v>
      </c>
      <c r="O253">
        <v>5.9991969999999997</v>
      </c>
      <c r="P253">
        <v>34719300</v>
      </c>
      <c r="R253" s="273" t="e">
        <f>(O253/O252)*('16. câmbio USD-BRL'!O67/'16. câmbio USD-BRL'!O66)^-1-1</f>
        <v>#VALUE!</v>
      </c>
    </row>
    <row r="254" spans="1:18" x14ac:dyDescent="0.2">
      <c r="A254" s="354">
        <v>44317</v>
      </c>
      <c r="B254">
        <v>33.25</v>
      </c>
      <c r="C254">
        <v>37.840000000000003</v>
      </c>
      <c r="D254">
        <v>31.75</v>
      </c>
      <c r="E254">
        <v>32.919998</v>
      </c>
      <c r="F254">
        <v>25.850518999999998</v>
      </c>
      <c r="G254">
        <v>326633300</v>
      </c>
      <c r="J254" s="354">
        <v>38411</v>
      </c>
      <c r="K254">
        <v>10.871111000000001</v>
      </c>
      <c r="L254">
        <v>11.822222</v>
      </c>
      <c r="M254">
        <v>10.68</v>
      </c>
      <c r="N254">
        <v>11.733333</v>
      </c>
      <c r="O254">
        <v>6.4644409999999999</v>
      </c>
      <c r="P254">
        <v>23933700</v>
      </c>
      <c r="R254" s="273" t="e">
        <f>(O254/O253)*('16. câmbio USD-BRL'!O68/'16. câmbio USD-BRL'!O67)^-1-1</f>
        <v>#VALUE!</v>
      </c>
    </row>
    <row r="255" spans="1:18" x14ac:dyDescent="0.2">
      <c r="A255" s="354">
        <v>44348</v>
      </c>
      <c r="B255">
        <v>33.509998000000003</v>
      </c>
      <c r="C255">
        <v>34.32</v>
      </c>
      <c r="D255">
        <v>28.459999</v>
      </c>
      <c r="E255">
        <v>29.610001</v>
      </c>
      <c r="F255">
        <v>23.523201</v>
      </c>
      <c r="G255">
        <v>326264600</v>
      </c>
      <c r="J255" s="354">
        <v>38418</v>
      </c>
      <c r="K255">
        <v>11.833333</v>
      </c>
      <c r="L255">
        <v>12.273332999999999</v>
      </c>
      <c r="M255">
        <v>11.555555</v>
      </c>
      <c r="N255">
        <v>11.744444</v>
      </c>
      <c r="O255">
        <v>6.4705630000000003</v>
      </c>
      <c r="P255">
        <v>24835950</v>
      </c>
      <c r="R255" s="273" t="e">
        <f>(O255/O254)*('16. câmbio USD-BRL'!O69/'16. câmbio USD-BRL'!O68)^-1-1</f>
        <v>#VALUE!</v>
      </c>
    </row>
    <row r="256" spans="1:18" x14ac:dyDescent="0.2">
      <c r="A256" s="354">
        <v>44378</v>
      </c>
      <c r="B256">
        <v>29.709999</v>
      </c>
      <c r="C256">
        <v>31.799999</v>
      </c>
      <c r="D256">
        <v>28.32</v>
      </c>
      <c r="E256">
        <v>30.799999</v>
      </c>
      <c r="F256">
        <v>24.468575999999999</v>
      </c>
      <c r="G256">
        <v>268647100</v>
      </c>
      <c r="J256" s="354">
        <v>38425</v>
      </c>
      <c r="K256">
        <v>11.753333</v>
      </c>
      <c r="L256">
        <v>11.993333</v>
      </c>
      <c r="M256">
        <v>11.068887999999999</v>
      </c>
      <c r="N256">
        <v>11.188888</v>
      </c>
      <c r="O256">
        <v>6.1644800000000002</v>
      </c>
      <c r="P256">
        <v>12979350</v>
      </c>
      <c r="R256" s="273" t="e">
        <f>(O256/O255)*('16. câmbio USD-BRL'!O70/'16. câmbio USD-BRL'!O69)^-1-1</f>
        <v>#VALUE!</v>
      </c>
    </row>
    <row r="257" spans="1:18" x14ac:dyDescent="0.2">
      <c r="A257" s="354">
        <v>44409</v>
      </c>
      <c r="B257">
        <v>31.33</v>
      </c>
      <c r="C257">
        <v>32.259998000000003</v>
      </c>
      <c r="D257">
        <v>27.469999000000001</v>
      </c>
      <c r="E257">
        <v>28.32</v>
      </c>
      <c r="F257">
        <v>22.498374999999999</v>
      </c>
      <c r="G257">
        <v>290963700</v>
      </c>
      <c r="J257" s="354">
        <v>38432</v>
      </c>
      <c r="K257">
        <v>11.222222</v>
      </c>
      <c r="L257">
        <v>11.488887999999999</v>
      </c>
      <c r="M257">
        <v>10.488887999999999</v>
      </c>
      <c r="N257">
        <v>10.753333</v>
      </c>
      <c r="O257">
        <v>5.924512</v>
      </c>
      <c r="P257">
        <v>10279800</v>
      </c>
      <c r="R257" s="273" t="e">
        <f>(O257/O256)*('16. câmbio USD-BRL'!O71/'16. câmbio USD-BRL'!O70)^-1-1</f>
        <v>#VALUE!</v>
      </c>
    </row>
    <row r="258" spans="1:18" x14ac:dyDescent="0.2">
      <c r="A258" s="354">
        <v>44440</v>
      </c>
      <c r="B258">
        <v>28</v>
      </c>
      <c r="C258">
        <v>28.559999000000001</v>
      </c>
      <c r="D258">
        <v>23.459999</v>
      </c>
      <c r="E258">
        <v>27.1</v>
      </c>
      <c r="F258">
        <v>21.919295999999999</v>
      </c>
      <c r="G258">
        <v>357454400</v>
      </c>
      <c r="J258" s="354">
        <v>38439</v>
      </c>
      <c r="K258">
        <v>10.755554999999999</v>
      </c>
      <c r="L258">
        <v>10.822222</v>
      </c>
      <c r="M258">
        <v>9.6888880000000004</v>
      </c>
      <c r="N258">
        <v>9.822222</v>
      </c>
      <c r="O258">
        <v>5.4115190000000002</v>
      </c>
      <c r="P258">
        <v>20441700</v>
      </c>
      <c r="R258" s="273" t="e">
        <f>(O258/O257)*('16. câmbio USD-BRL'!O72/'16. câmbio USD-BRL'!O71)^-1-1</f>
        <v>#VALUE!</v>
      </c>
    </row>
    <row r="259" spans="1:18" x14ac:dyDescent="0.2">
      <c r="A259" s="354">
        <v>44470</v>
      </c>
      <c r="B259">
        <v>27.219999000000001</v>
      </c>
      <c r="C259">
        <v>29.08</v>
      </c>
      <c r="D259">
        <v>25.73</v>
      </c>
      <c r="E259">
        <v>26.9</v>
      </c>
      <c r="F259">
        <v>22.071418999999999</v>
      </c>
      <c r="G259">
        <v>284738200</v>
      </c>
      <c r="J259" s="354">
        <v>38446</v>
      </c>
      <c r="K259">
        <v>9.7777770000000004</v>
      </c>
      <c r="L259">
        <v>9.9333329999999993</v>
      </c>
      <c r="M259">
        <v>9.3888879999999997</v>
      </c>
      <c r="N259">
        <v>9.4266660000000009</v>
      </c>
      <c r="O259">
        <v>5.1935890000000002</v>
      </c>
      <c r="P259">
        <v>11497950</v>
      </c>
      <c r="R259" s="273" t="e">
        <f>(O259/O258)*('16. câmbio USD-BRL'!O73/'16. câmbio USD-BRL'!O72)^-1-1</f>
        <v>#VALUE!</v>
      </c>
    </row>
    <row r="260" spans="1:18" x14ac:dyDescent="0.2">
      <c r="A260" s="354">
        <v>44501</v>
      </c>
      <c r="B260">
        <v>27.32</v>
      </c>
      <c r="C260">
        <v>27.35</v>
      </c>
      <c r="D260">
        <v>23.139999</v>
      </c>
      <c r="E260">
        <v>25.799999</v>
      </c>
      <c r="F260">
        <v>21.168870999999999</v>
      </c>
      <c r="G260">
        <v>273337900</v>
      </c>
      <c r="J260" s="354">
        <v>38453</v>
      </c>
      <c r="K260">
        <v>9.555555</v>
      </c>
      <c r="L260">
        <v>9.555555</v>
      </c>
      <c r="M260">
        <v>8.1666659999999993</v>
      </c>
      <c r="N260">
        <v>8.1833329999999993</v>
      </c>
      <c r="O260">
        <v>4.5085790000000001</v>
      </c>
      <c r="P260">
        <v>20932500</v>
      </c>
      <c r="R260" s="273" t="e">
        <f>(O260/O259)*('16. câmbio USD-BRL'!O74/'16. câmbio USD-BRL'!O73)^-1-1</f>
        <v>#VALUE!</v>
      </c>
    </row>
    <row r="261" spans="1:18" x14ac:dyDescent="0.2">
      <c r="A261" s="354">
        <v>44531</v>
      </c>
      <c r="B261">
        <v>26.4</v>
      </c>
      <c r="C261">
        <v>30.450001</v>
      </c>
      <c r="D261">
        <v>26.17</v>
      </c>
      <c r="E261">
        <v>27.370000999999998</v>
      </c>
      <c r="F261">
        <v>24.046413000000001</v>
      </c>
      <c r="G261">
        <v>223512900</v>
      </c>
      <c r="J261" s="354">
        <v>38460</v>
      </c>
      <c r="K261">
        <v>8.1866660000000007</v>
      </c>
      <c r="L261">
        <v>8.8666660000000004</v>
      </c>
      <c r="M261">
        <v>7.966666</v>
      </c>
      <c r="N261">
        <v>8.0833329999999997</v>
      </c>
      <c r="O261">
        <v>4.4534849999999997</v>
      </c>
      <c r="P261">
        <v>10810500</v>
      </c>
      <c r="R261" s="273" t="e">
        <f>(O261/O260)*('16. câmbio USD-BRL'!O75/'16. câmbio USD-BRL'!O74)^-1-1</f>
        <v>#VALUE!</v>
      </c>
    </row>
    <row r="262" spans="1:18" x14ac:dyDescent="0.2">
      <c r="A262" s="354">
        <v>44562</v>
      </c>
      <c r="B262">
        <v>27.389999</v>
      </c>
      <c r="C262">
        <v>29.42</v>
      </c>
      <c r="D262">
        <v>26.58</v>
      </c>
      <c r="E262">
        <v>27.84</v>
      </c>
      <c r="F262">
        <v>24.459339</v>
      </c>
      <c r="G262">
        <v>210486400</v>
      </c>
      <c r="J262" s="354">
        <v>38467</v>
      </c>
      <c r="K262">
        <v>8.1666659999999993</v>
      </c>
      <c r="L262">
        <v>8.6266660000000002</v>
      </c>
      <c r="M262">
        <v>7.9766659999999998</v>
      </c>
      <c r="N262">
        <v>8.11</v>
      </c>
      <c r="O262">
        <v>4.4681759999999997</v>
      </c>
      <c r="P262">
        <v>15452700</v>
      </c>
      <c r="R262" s="273" t="e">
        <f>(O262/O261)*('16. câmbio USD-BRL'!O76/'16. câmbio USD-BRL'!O75)^-1-1</f>
        <v>#VALUE!</v>
      </c>
    </row>
    <row r="263" spans="1:18" x14ac:dyDescent="0.2">
      <c r="A263" s="354">
        <v>44593</v>
      </c>
      <c r="B263">
        <v>27.889999</v>
      </c>
      <c r="C263">
        <v>29.59</v>
      </c>
      <c r="D263">
        <v>23.08</v>
      </c>
      <c r="E263">
        <v>25.459999</v>
      </c>
      <c r="F263">
        <v>22.368347</v>
      </c>
      <c r="G263">
        <v>236138300</v>
      </c>
      <c r="J263" s="354">
        <v>38474</v>
      </c>
      <c r="K263">
        <v>8.233333</v>
      </c>
      <c r="L263">
        <v>8.8266659999999995</v>
      </c>
      <c r="M263">
        <v>8.02</v>
      </c>
      <c r="N263">
        <v>8.8266659999999995</v>
      </c>
      <c r="O263">
        <v>4.863022</v>
      </c>
      <c r="P263">
        <v>16130700</v>
      </c>
      <c r="R263" s="273" t="e">
        <f>(O263/O262)*('16. câmbio USD-BRL'!O77/'16. câmbio USD-BRL'!O76)^-1-1</f>
        <v>#VALUE!</v>
      </c>
    </row>
    <row r="264" spans="1:18" x14ac:dyDescent="0.2">
      <c r="A264" s="354">
        <v>44621</v>
      </c>
      <c r="B264">
        <v>25.459999</v>
      </c>
      <c r="C264">
        <v>31.440000999999999</v>
      </c>
      <c r="D264">
        <v>25.459999</v>
      </c>
      <c r="E264">
        <v>30.809999000000001</v>
      </c>
      <c r="F264">
        <v>27.068687000000001</v>
      </c>
      <c r="G264">
        <v>351125600</v>
      </c>
      <c r="J264" s="354">
        <v>38481</v>
      </c>
      <c r="K264">
        <v>8.7633329999999994</v>
      </c>
      <c r="L264">
        <v>8.82</v>
      </c>
      <c r="M264">
        <v>7.3466659999999999</v>
      </c>
      <c r="N264">
        <v>7.466666</v>
      </c>
      <c r="O264">
        <v>4.1137350000000001</v>
      </c>
      <c r="P264">
        <v>21169500</v>
      </c>
      <c r="R264" s="273" t="e">
        <f>(O264/O263)*('16. câmbio USD-BRL'!O78/'16. câmbio USD-BRL'!O77)^-1-1</f>
        <v>#VALUE!</v>
      </c>
    </row>
    <row r="265" spans="1:18" x14ac:dyDescent="0.2">
      <c r="A265" s="354">
        <v>44652</v>
      </c>
      <c r="B265">
        <v>31.030000999999999</v>
      </c>
      <c r="C265">
        <v>31.309999000000001</v>
      </c>
      <c r="D265">
        <v>26.58</v>
      </c>
      <c r="E265">
        <v>27.969999000000001</v>
      </c>
      <c r="F265">
        <v>24.744978</v>
      </c>
      <c r="G265">
        <v>221368600</v>
      </c>
      <c r="J265" s="354">
        <v>38488</v>
      </c>
      <c r="K265">
        <v>7.33</v>
      </c>
      <c r="L265">
        <v>7.7666659999999998</v>
      </c>
      <c r="M265">
        <v>7.0733329999999999</v>
      </c>
      <c r="N265">
        <v>7.2</v>
      </c>
      <c r="O265">
        <v>3.9668139999999998</v>
      </c>
      <c r="P265">
        <v>20795700</v>
      </c>
      <c r="R265" s="273" t="e">
        <f>(O265/O264)*('16. câmbio USD-BRL'!O79/'16. câmbio USD-BRL'!O78)^-1-1</f>
        <v>#VALUE!</v>
      </c>
    </row>
    <row r="266" spans="1:18" x14ac:dyDescent="0.2">
      <c r="A266" s="354">
        <v>44682</v>
      </c>
      <c r="B266">
        <v>27.860001</v>
      </c>
      <c r="C266">
        <v>29.74</v>
      </c>
      <c r="D266">
        <v>25.610001</v>
      </c>
      <c r="E266">
        <v>29.17</v>
      </c>
      <c r="F266">
        <v>25.806614</v>
      </c>
      <c r="G266">
        <v>317309400</v>
      </c>
      <c r="J266" s="354">
        <v>38495</v>
      </c>
      <c r="K266">
        <v>7.216666</v>
      </c>
      <c r="L266">
        <v>7.7833329999999998</v>
      </c>
      <c r="M266">
        <v>7</v>
      </c>
      <c r="N266">
        <v>7.7833329999999998</v>
      </c>
      <c r="O266">
        <v>4.3761140000000003</v>
      </c>
      <c r="P266">
        <v>10959000</v>
      </c>
      <c r="R266" s="273" t="e">
        <f>(O266/O265)*('16. câmbio USD-BRL'!O80/'16. câmbio USD-BRL'!O79)^-1-1</f>
        <v>#VALUE!</v>
      </c>
    </row>
    <row r="267" spans="1:18" x14ac:dyDescent="0.2">
      <c r="A267" s="354">
        <v>44713</v>
      </c>
      <c r="B267">
        <v>29.43</v>
      </c>
      <c r="C267">
        <v>30.799999</v>
      </c>
      <c r="D267">
        <v>21.889999</v>
      </c>
      <c r="E267">
        <v>22.35</v>
      </c>
      <c r="F267">
        <v>20.180890999999999</v>
      </c>
      <c r="G267">
        <v>340176900</v>
      </c>
      <c r="J267" s="354">
        <v>38502</v>
      </c>
      <c r="K267">
        <v>7.7666659999999998</v>
      </c>
      <c r="L267">
        <v>8.73</v>
      </c>
      <c r="M267">
        <v>7.7666659999999998</v>
      </c>
      <c r="N267">
        <v>8.4</v>
      </c>
      <c r="O267">
        <v>4.7228289999999999</v>
      </c>
      <c r="P267">
        <v>21429300</v>
      </c>
      <c r="R267" s="273" t="e">
        <f>(O267/O266)*('16. câmbio USD-BRL'!O81/'16. câmbio USD-BRL'!O80)^-1-1</f>
        <v>#VALUE!</v>
      </c>
    </row>
    <row r="268" spans="1:18" x14ac:dyDescent="0.2">
      <c r="A268" s="354">
        <v>44743</v>
      </c>
      <c r="B268">
        <v>21.99</v>
      </c>
      <c r="C268">
        <v>24.959999</v>
      </c>
      <c r="D268">
        <v>21.309999000000001</v>
      </c>
      <c r="E268">
        <v>24.459999</v>
      </c>
      <c r="F268">
        <v>22.086110999999999</v>
      </c>
      <c r="G268">
        <v>260210400</v>
      </c>
      <c r="J268" s="354">
        <v>38509</v>
      </c>
      <c r="K268">
        <v>8.1</v>
      </c>
      <c r="L268">
        <v>8.3166659999999997</v>
      </c>
      <c r="M268">
        <v>7.233333</v>
      </c>
      <c r="N268">
        <v>7.6666660000000002</v>
      </c>
      <c r="O268">
        <v>4.3105190000000002</v>
      </c>
      <c r="P268">
        <v>21265500</v>
      </c>
      <c r="R268" s="273" t="e">
        <f>(O268/O267)*('16. câmbio USD-BRL'!O82/'16. câmbio USD-BRL'!O81)^-1-1</f>
        <v>#VALUE!</v>
      </c>
    </row>
    <row r="269" spans="1:18" x14ac:dyDescent="0.2">
      <c r="A269" s="354">
        <v>44774</v>
      </c>
      <c r="B269">
        <v>24.629999000000002</v>
      </c>
      <c r="C269">
        <v>26.25</v>
      </c>
      <c r="D269">
        <v>22.98</v>
      </c>
      <c r="E269">
        <v>23.32</v>
      </c>
      <c r="F269">
        <v>21.056750999999998</v>
      </c>
      <c r="G269">
        <v>291376800</v>
      </c>
      <c r="J269" s="354">
        <v>38516</v>
      </c>
      <c r="K269">
        <v>7.7</v>
      </c>
      <c r="L269">
        <v>8.1</v>
      </c>
      <c r="M269">
        <v>7.3533330000000001</v>
      </c>
      <c r="N269">
        <v>7.9333330000000002</v>
      </c>
      <c r="O269">
        <v>4.4604489999999997</v>
      </c>
      <c r="P269">
        <v>17974200</v>
      </c>
      <c r="R269" s="273" t="e">
        <f>(O269/O268)*('16. câmbio USD-BRL'!O83/'16. câmbio USD-BRL'!O82)^-1-1</f>
        <v>#VALUE!</v>
      </c>
    </row>
    <row r="270" spans="1:18" x14ac:dyDescent="0.2">
      <c r="A270" s="354">
        <v>44805</v>
      </c>
      <c r="B270">
        <v>23.34</v>
      </c>
      <c r="C270">
        <v>25.299999</v>
      </c>
      <c r="D270">
        <v>22.48</v>
      </c>
      <c r="E270">
        <v>24.440000999999999</v>
      </c>
      <c r="F270">
        <v>22.694286000000002</v>
      </c>
      <c r="G270">
        <v>288581100</v>
      </c>
      <c r="J270" s="354">
        <v>38523</v>
      </c>
      <c r="K270">
        <v>7.8966659999999997</v>
      </c>
      <c r="L270">
        <v>7.9333330000000002</v>
      </c>
      <c r="M270">
        <v>7.2533329999999996</v>
      </c>
      <c r="N270">
        <v>7.3166659999999997</v>
      </c>
      <c r="O270">
        <v>4.1137329999999999</v>
      </c>
      <c r="P270">
        <v>11570400</v>
      </c>
      <c r="R270" s="273" t="e">
        <f>(O270/O269)*('16. câmbio USD-BRL'!O84/'16. câmbio USD-BRL'!O83)^-1-1</f>
        <v>#VALUE!</v>
      </c>
    </row>
    <row r="271" spans="1:18" x14ac:dyDescent="0.2">
      <c r="A271" s="354">
        <v>44835</v>
      </c>
      <c r="B271">
        <v>25.07</v>
      </c>
      <c r="C271">
        <v>27.219999000000001</v>
      </c>
      <c r="D271">
        <v>24.74</v>
      </c>
      <c r="E271">
        <v>25.75</v>
      </c>
      <c r="F271">
        <v>23.910713000000001</v>
      </c>
      <c r="G271">
        <v>213557500</v>
      </c>
      <c r="J271" s="354">
        <v>38530</v>
      </c>
      <c r="K271">
        <v>7.3666660000000004</v>
      </c>
      <c r="L271">
        <v>7.6333330000000004</v>
      </c>
      <c r="M271">
        <v>7.136666</v>
      </c>
      <c r="N271">
        <v>7.5</v>
      </c>
      <c r="O271">
        <v>4.2168109999999999</v>
      </c>
      <c r="P271">
        <v>11769600</v>
      </c>
      <c r="R271" s="273" t="e">
        <f>(O271/O270)*('16. câmbio USD-BRL'!O85/'16. câmbio USD-BRL'!O84)^-1-1</f>
        <v>#VALUE!</v>
      </c>
    </row>
    <row r="272" spans="1:18" x14ac:dyDescent="0.2">
      <c r="A272" s="354">
        <v>44866</v>
      </c>
      <c r="B272">
        <v>26.120000999999998</v>
      </c>
      <c r="C272">
        <v>32.479999999999997</v>
      </c>
      <c r="D272">
        <v>25.440000999999999</v>
      </c>
      <c r="E272">
        <v>31.57</v>
      </c>
      <c r="F272">
        <v>29.314999</v>
      </c>
      <c r="G272">
        <v>305386900</v>
      </c>
      <c r="J272" s="354">
        <v>38537</v>
      </c>
      <c r="K272">
        <v>7.4066660000000004</v>
      </c>
      <c r="L272">
        <v>7.466666</v>
      </c>
      <c r="M272">
        <v>6.95</v>
      </c>
      <c r="N272">
        <v>7.216666</v>
      </c>
      <c r="O272">
        <v>4.0575089999999996</v>
      </c>
      <c r="P272">
        <v>15696000</v>
      </c>
      <c r="R272" s="273" t="e">
        <f>(O272/O271)*('16. câmbio USD-BRL'!O86/'16. câmbio USD-BRL'!O85)^-1-1</f>
        <v>#VALUE!</v>
      </c>
    </row>
    <row r="273" spans="1:18" x14ac:dyDescent="0.2">
      <c r="A273" s="354">
        <v>44896</v>
      </c>
      <c r="B273">
        <v>31.58</v>
      </c>
      <c r="C273">
        <v>31.74</v>
      </c>
      <c r="D273">
        <v>28.16</v>
      </c>
      <c r="E273">
        <v>29.370000999999998</v>
      </c>
      <c r="F273">
        <v>29.370000999999998</v>
      </c>
      <c r="G273">
        <v>261720700</v>
      </c>
      <c r="J273" s="354">
        <v>38544</v>
      </c>
      <c r="K273">
        <v>7.233333</v>
      </c>
      <c r="L273">
        <v>8.2533329999999996</v>
      </c>
      <c r="M273">
        <v>7.233333</v>
      </c>
      <c r="N273">
        <v>7.7833329999999998</v>
      </c>
      <c r="O273">
        <v>4.3761140000000003</v>
      </c>
      <c r="P273">
        <v>12166200</v>
      </c>
      <c r="R273" s="273" t="e">
        <f>(O273/O272)*('16. câmbio USD-BRL'!O87/'16. câmbio USD-BRL'!O86)^-1-1</f>
        <v>#VALUE!</v>
      </c>
    </row>
    <row r="274" spans="1:18" x14ac:dyDescent="0.2">
      <c r="A274" s="354">
        <v>44927</v>
      </c>
      <c r="B274">
        <v>29.280000999999999</v>
      </c>
      <c r="C274">
        <v>33.880001</v>
      </c>
      <c r="D274">
        <v>28.799999</v>
      </c>
      <c r="E274">
        <v>32.740001999999997</v>
      </c>
      <c r="F274">
        <v>32.740001999999997</v>
      </c>
      <c r="G274">
        <v>217864000</v>
      </c>
      <c r="J274" s="354">
        <v>38551</v>
      </c>
      <c r="K274">
        <v>7.733333</v>
      </c>
      <c r="L274">
        <v>8.5</v>
      </c>
      <c r="M274">
        <v>7.5866660000000001</v>
      </c>
      <c r="N274">
        <v>8.1</v>
      </c>
      <c r="O274">
        <v>4.5541559999999999</v>
      </c>
      <c r="P274">
        <v>17704500</v>
      </c>
      <c r="R274" s="273" t="e">
        <f>(O274/O273)*('16. câmbio USD-BRL'!O88/'16. câmbio USD-BRL'!O87)^-1-1</f>
        <v>#VALUE!</v>
      </c>
    </row>
    <row r="275" spans="1:18" x14ac:dyDescent="0.2">
      <c r="A275" s="354">
        <v>44958</v>
      </c>
      <c r="B275">
        <v>32.610000999999997</v>
      </c>
      <c r="C275">
        <v>32.68</v>
      </c>
      <c r="D275">
        <v>27.41</v>
      </c>
      <c r="E275">
        <v>28.629999000000002</v>
      </c>
      <c r="F275">
        <v>28.629999000000002</v>
      </c>
      <c r="G275">
        <v>191815800</v>
      </c>
      <c r="J275" s="354">
        <v>38558</v>
      </c>
      <c r="K275">
        <v>7.966666</v>
      </c>
      <c r="L275">
        <v>8.4</v>
      </c>
      <c r="M275">
        <v>7.6</v>
      </c>
      <c r="N275">
        <v>8.3000000000000007</v>
      </c>
      <c r="O275">
        <v>4.6666069999999999</v>
      </c>
      <c r="P275">
        <v>16803900</v>
      </c>
      <c r="R275" s="273" t="e">
        <f>(O275/O274)*('16. câmbio USD-BRL'!O89/'16. câmbio USD-BRL'!O88)^-1-1</f>
        <v>#VALUE!</v>
      </c>
    </row>
    <row r="276" spans="1:18" x14ac:dyDescent="0.2">
      <c r="A276" s="354">
        <v>44986</v>
      </c>
      <c r="B276">
        <v>28.5</v>
      </c>
      <c r="C276">
        <v>30.33</v>
      </c>
      <c r="D276">
        <v>28</v>
      </c>
      <c r="E276">
        <v>28.620000999999998</v>
      </c>
      <c r="F276">
        <v>28.620000999999998</v>
      </c>
      <c r="G276">
        <v>65421300</v>
      </c>
      <c r="J276" s="354">
        <v>38565</v>
      </c>
      <c r="K276">
        <v>8.216666</v>
      </c>
      <c r="L276">
        <v>9.3833330000000004</v>
      </c>
      <c r="M276">
        <v>8.1133330000000008</v>
      </c>
      <c r="N276">
        <v>9.3166659999999997</v>
      </c>
      <c r="O276">
        <v>5.2382160000000004</v>
      </c>
      <c r="P276">
        <v>27285600</v>
      </c>
      <c r="R276" s="273" t="e">
        <f>(O276/O275)*('16. câmbio USD-BRL'!O90/'16. câmbio USD-BRL'!O89)^-1-1</f>
        <v>#VALUE!</v>
      </c>
    </row>
    <row r="277" spans="1:18" x14ac:dyDescent="0.2">
      <c r="J277" s="354">
        <v>38572</v>
      </c>
      <c r="K277">
        <v>9.3966659999999997</v>
      </c>
      <c r="L277">
        <v>9.93</v>
      </c>
      <c r="M277">
        <v>8.8033330000000003</v>
      </c>
      <c r="N277">
        <v>9.3333329999999997</v>
      </c>
      <c r="O277">
        <v>5.2475880000000004</v>
      </c>
      <c r="P277">
        <v>20921100</v>
      </c>
      <c r="R277" s="273" t="e">
        <f>(O277/O276)*('16. câmbio USD-BRL'!O91/'16. câmbio USD-BRL'!O90)^-1-1</f>
        <v>#VALUE!</v>
      </c>
    </row>
    <row r="278" spans="1:18" x14ac:dyDescent="0.2">
      <c r="J278" s="354">
        <v>38579</v>
      </c>
      <c r="K278">
        <v>9.3666660000000004</v>
      </c>
      <c r="L278">
        <v>9.8833330000000004</v>
      </c>
      <c r="M278">
        <v>9</v>
      </c>
      <c r="N278">
        <v>9.233333</v>
      </c>
      <c r="O278">
        <v>5.1913619999999998</v>
      </c>
      <c r="P278">
        <v>23969100</v>
      </c>
      <c r="R278" s="273" t="e">
        <f>(O278/O277)*('16. câmbio USD-BRL'!O92/'16. câmbio USD-BRL'!O91)^-1-1</f>
        <v>#VALUE!</v>
      </c>
    </row>
    <row r="279" spans="1:18" x14ac:dyDescent="0.2">
      <c r="J279" s="354">
        <v>38586</v>
      </c>
      <c r="K279">
        <v>9.483333</v>
      </c>
      <c r="L279">
        <v>9.6333330000000004</v>
      </c>
      <c r="M279">
        <v>9.0333330000000007</v>
      </c>
      <c r="N279">
        <v>9.2366659999999996</v>
      </c>
      <c r="O279">
        <v>5.279433</v>
      </c>
      <c r="P279">
        <v>15407700</v>
      </c>
      <c r="R279" s="273" t="e">
        <f>(O279/O278)*('16. câmbio USD-BRL'!O93/'16. câmbio USD-BRL'!O92)^-1-1</f>
        <v>#VALUE!</v>
      </c>
    </row>
    <row r="280" spans="1:18" x14ac:dyDescent="0.2">
      <c r="J280" s="354">
        <v>38593</v>
      </c>
      <c r="K280">
        <v>9.216666</v>
      </c>
      <c r="L280">
        <v>10</v>
      </c>
      <c r="M280">
        <v>9.0466660000000001</v>
      </c>
      <c r="N280">
        <v>10</v>
      </c>
      <c r="O280">
        <v>5.7157340000000003</v>
      </c>
      <c r="P280">
        <v>17236800</v>
      </c>
      <c r="R280" s="273" t="e">
        <f>(O280/O279)*('16. câmbio USD-BRL'!O94/'16. câmbio USD-BRL'!O93)^-1-1</f>
        <v>#VALUE!</v>
      </c>
    </row>
    <row r="281" spans="1:18" x14ac:dyDescent="0.2">
      <c r="J281" s="354">
        <v>38600</v>
      </c>
      <c r="K281">
        <v>10.029999999999999</v>
      </c>
      <c r="L281">
        <v>10.663333</v>
      </c>
      <c r="M281">
        <v>10.029999999999999</v>
      </c>
      <c r="N281">
        <v>10.6</v>
      </c>
      <c r="O281">
        <v>6.0586789999999997</v>
      </c>
      <c r="P281">
        <v>11469000</v>
      </c>
      <c r="R281" s="273" t="e">
        <f>(O281/O280)*('16. câmbio USD-BRL'!O95/'16. câmbio USD-BRL'!O94)^-1-1</f>
        <v>#VALUE!</v>
      </c>
    </row>
    <row r="282" spans="1:18" x14ac:dyDescent="0.2">
      <c r="J282" s="354">
        <v>38607</v>
      </c>
      <c r="K282">
        <v>10.583333</v>
      </c>
      <c r="L282">
        <v>11.033333000000001</v>
      </c>
      <c r="M282">
        <v>10.033333000000001</v>
      </c>
      <c r="N282">
        <v>10.833333</v>
      </c>
      <c r="O282">
        <v>6.1920440000000001</v>
      </c>
      <c r="P282">
        <v>15485700</v>
      </c>
      <c r="R282" s="273" t="e">
        <f>(O282/O281)*('16. câmbio USD-BRL'!O96/'16. câmbio USD-BRL'!O95)^-1-1</f>
        <v>#VALUE!</v>
      </c>
    </row>
    <row r="283" spans="1:18" x14ac:dyDescent="0.2">
      <c r="J283" s="354">
        <v>38614</v>
      </c>
      <c r="K283">
        <v>10.83</v>
      </c>
      <c r="L283">
        <v>11.45</v>
      </c>
      <c r="M283">
        <v>10.69</v>
      </c>
      <c r="N283">
        <v>11.25</v>
      </c>
      <c r="O283">
        <v>6.4302010000000003</v>
      </c>
      <c r="P283">
        <v>19219800</v>
      </c>
      <c r="R283" s="273" t="e">
        <f>(O283/O282)*('16. câmbio USD-BRL'!O97/'16. câmbio USD-BRL'!O96)^-1-1</f>
        <v>#VALUE!</v>
      </c>
    </row>
    <row r="284" spans="1:18" x14ac:dyDescent="0.2">
      <c r="J284" s="354">
        <v>38621</v>
      </c>
      <c r="K284">
        <v>11.213333</v>
      </c>
      <c r="L284">
        <v>11.233333</v>
      </c>
      <c r="M284">
        <v>10.67</v>
      </c>
      <c r="N284">
        <v>11.156666</v>
      </c>
      <c r="O284">
        <v>6.3768529999999997</v>
      </c>
      <c r="P284">
        <v>16364400</v>
      </c>
      <c r="R284" s="273" t="e">
        <f>(O284/O283)*('16. câmbio USD-BRL'!O98/'16. câmbio USD-BRL'!O97)^-1-1</f>
        <v>#VALUE!</v>
      </c>
    </row>
    <row r="285" spans="1:18" x14ac:dyDescent="0.2">
      <c r="J285" s="354">
        <v>38628</v>
      </c>
      <c r="K285">
        <v>11.166665999999999</v>
      </c>
      <c r="L285">
        <v>11.293333000000001</v>
      </c>
      <c r="M285">
        <v>9.84</v>
      </c>
      <c r="N285">
        <v>10.266666000000001</v>
      </c>
      <c r="O285">
        <v>5.8681549999999998</v>
      </c>
      <c r="P285">
        <v>16575000</v>
      </c>
      <c r="R285" s="273" t="e">
        <f>(O285/O284)*('16. câmbio USD-BRL'!O99/'16. câmbio USD-BRL'!O98)^-1-1</f>
        <v>#VALUE!</v>
      </c>
    </row>
    <row r="286" spans="1:18" x14ac:dyDescent="0.2">
      <c r="J286" s="354">
        <v>38635</v>
      </c>
      <c r="K286">
        <v>10.3</v>
      </c>
      <c r="L286">
        <v>10.563333</v>
      </c>
      <c r="M286">
        <v>9.67</v>
      </c>
      <c r="N286">
        <v>9.9933329999999998</v>
      </c>
      <c r="O286">
        <v>5.7119229999999996</v>
      </c>
      <c r="P286">
        <v>11184000</v>
      </c>
      <c r="R286" s="273" t="e">
        <f>(O286/O285)*('16. câmbio USD-BRL'!O100/'16. câmbio USD-BRL'!O99)^-1-1</f>
        <v>#VALUE!</v>
      </c>
    </row>
    <row r="287" spans="1:18" x14ac:dyDescent="0.2">
      <c r="J287" s="354">
        <v>38642</v>
      </c>
      <c r="K287">
        <v>10.056666</v>
      </c>
      <c r="L287">
        <v>10.216666</v>
      </c>
      <c r="M287">
        <v>9.1666659999999993</v>
      </c>
      <c r="N287">
        <v>9.5500000000000007</v>
      </c>
      <c r="O287">
        <v>5.4585249999999998</v>
      </c>
      <c r="P287">
        <v>16714800</v>
      </c>
      <c r="R287" s="273" t="e">
        <f>(O287/O286)*('16. câmbio USD-BRL'!O101/'16. câmbio USD-BRL'!O100)^-1-1</f>
        <v>#VALUE!</v>
      </c>
    </row>
    <row r="288" spans="1:18" x14ac:dyDescent="0.2">
      <c r="J288" s="354">
        <v>38649</v>
      </c>
      <c r="K288">
        <v>9.5166660000000007</v>
      </c>
      <c r="L288">
        <v>10.046666</v>
      </c>
      <c r="M288">
        <v>9.4933329999999998</v>
      </c>
      <c r="N288">
        <v>9.7666660000000007</v>
      </c>
      <c r="O288">
        <v>5.5823660000000004</v>
      </c>
      <c r="P288">
        <v>12000300</v>
      </c>
      <c r="R288" s="273" t="e">
        <f>(O288/O287)*('16. câmbio USD-BRL'!O102/'16. câmbio USD-BRL'!O101)^-1-1</f>
        <v>#VALUE!</v>
      </c>
    </row>
    <row r="289" spans="10:18" x14ac:dyDescent="0.2">
      <c r="J289" s="354">
        <v>38656</v>
      </c>
      <c r="K289">
        <v>9.8833330000000004</v>
      </c>
      <c r="L289">
        <v>10.833333</v>
      </c>
      <c r="M289">
        <v>9.8333329999999997</v>
      </c>
      <c r="N289">
        <v>10.486666</v>
      </c>
      <c r="O289">
        <v>5.9938979999999997</v>
      </c>
      <c r="P289">
        <v>9918000</v>
      </c>
      <c r="R289" s="273" t="e">
        <f>(O289/O288)*('16. câmbio USD-BRL'!O103/'16. câmbio USD-BRL'!O102)^-1-1</f>
        <v>#VALUE!</v>
      </c>
    </row>
    <row r="290" spans="10:18" x14ac:dyDescent="0.2">
      <c r="J290" s="354">
        <v>38663</v>
      </c>
      <c r="K290">
        <v>10.6</v>
      </c>
      <c r="L290">
        <v>10.883333</v>
      </c>
      <c r="M290">
        <v>10.233333</v>
      </c>
      <c r="N290">
        <v>10.7</v>
      </c>
      <c r="O290">
        <v>6.115837</v>
      </c>
      <c r="P290">
        <v>12688200</v>
      </c>
      <c r="R290" s="273" t="e">
        <f>(O290/O289)*('16. câmbio USD-BRL'!O104/'16. câmbio USD-BRL'!O103)^-1-1</f>
        <v>#VALUE!</v>
      </c>
    </row>
    <row r="291" spans="10:18" x14ac:dyDescent="0.2">
      <c r="J291" s="354">
        <v>38670</v>
      </c>
      <c r="K291">
        <v>10.666665999999999</v>
      </c>
      <c r="L291">
        <v>10.996665999999999</v>
      </c>
      <c r="M291">
        <v>10.393333</v>
      </c>
      <c r="N291">
        <v>10.84</v>
      </c>
      <c r="O291">
        <v>6.1958570000000002</v>
      </c>
      <c r="P291">
        <v>7427700</v>
      </c>
      <c r="R291" s="273" t="e">
        <f>(O291/O290)*('16. câmbio USD-BRL'!O105/'16. câmbio USD-BRL'!O104)^-1-1</f>
        <v>#VALUE!</v>
      </c>
    </row>
    <row r="292" spans="10:18" x14ac:dyDescent="0.2">
      <c r="J292" s="354">
        <v>38677</v>
      </c>
      <c r="K292">
        <v>10.8</v>
      </c>
      <c r="L292">
        <v>11</v>
      </c>
      <c r="M292">
        <v>10.403333</v>
      </c>
      <c r="N292">
        <v>10.9</v>
      </c>
      <c r="O292">
        <v>6.2301500000000001</v>
      </c>
      <c r="P292">
        <v>10354800</v>
      </c>
      <c r="R292" s="273" t="e">
        <f>(O292/O291)*('16. câmbio USD-BRL'!O106/'16. câmbio USD-BRL'!O105)^-1-1</f>
        <v>#VALUE!</v>
      </c>
    </row>
    <row r="293" spans="10:18" x14ac:dyDescent="0.2">
      <c r="J293" s="354">
        <v>38684</v>
      </c>
      <c r="K293">
        <v>10.903333</v>
      </c>
      <c r="L293">
        <v>11.466666</v>
      </c>
      <c r="M293">
        <v>10.566666</v>
      </c>
      <c r="N293">
        <v>11.37</v>
      </c>
      <c r="O293">
        <v>6.5899770000000002</v>
      </c>
      <c r="P293">
        <v>12661500</v>
      </c>
      <c r="R293" s="273" t="e">
        <f>(O293/O292)*('16. câmbio USD-BRL'!O107/'16. câmbio USD-BRL'!O106)^-1-1</f>
        <v>#VALUE!</v>
      </c>
    </row>
    <row r="294" spans="10:18" x14ac:dyDescent="0.2">
      <c r="J294" s="354">
        <v>38691</v>
      </c>
      <c r="K294">
        <v>11.533333000000001</v>
      </c>
      <c r="L294">
        <v>12.576665999999999</v>
      </c>
      <c r="M294">
        <v>11.166665999999999</v>
      </c>
      <c r="N294">
        <v>12.483333</v>
      </c>
      <c r="O294">
        <v>7.2352590000000001</v>
      </c>
      <c r="P294">
        <v>19136700</v>
      </c>
      <c r="R294" s="273" t="e">
        <f>(O294/O293)*('16. câmbio USD-BRL'!O108/'16. câmbio USD-BRL'!O107)^-1-1</f>
        <v>#VALUE!</v>
      </c>
    </row>
    <row r="295" spans="10:18" x14ac:dyDescent="0.2">
      <c r="J295" s="354">
        <v>38698</v>
      </c>
      <c r="K295">
        <v>12.233333</v>
      </c>
      <c r="L295">
        <v>12.726666</v>
      </c>
      <c r="M295">
        <v>12.133333</v>
      </c>
      <c r="N295">
        <v>12.633333</v>
      </c>
      <c r="O295">
        <v>7.3222009999999997</v>
      </c>
      <c r="P295">
        <v>12894600</v>
      </c>
      <c r="R295" s="273" t="e">
        <f>(O295/O294)*('16. câmbio USD-BRL'!O109/'16. câmbio USD-BRL'!O108)^-1-1</f>
        <v>#VALUE!</v>
      </c>
    </row>
    <row r="296" spans="10:18" x14ac:dyDescent="0.2">
      <c r="J296" s="354">
        <v>38705</v>
      </c>
      <c r="K296">
        <v>12.333333</v>
      </c>
      <c r="L296">
        <v>13.066666</v>
      </c>
      <c r="M296">
        <v>12.2</v>
      </c>
      <c r="N296">
        <v>12.866666</v>
      </c>
      <c r="O296">
        <v>7.4574360000000004</v>
      </c>
      <c r="P296">
        <v>11259300</v>
      </c>
      <c r="R296" s="273" t="e">
        <f>(O296/O295)*('16. câmbio USD-BRL'!O110/'16. câmbio USD-BRL'!O109)^-1-1</f>
        <v>#VALUE!</v>
      </c>
    </row>
    <row r="297" spans="10:18" x14ac:dyDescent="0.2">
      <c r="J297" s="354">
        <v>38712</v>
      </c>
      <c r="K297">
        <v>12.766666000000001</v>
      </c>
      <c r="L297">
        <v>13.1</v>
      </c>
      <c r="M297">
        <v>12.666665999999999</v>
      </c>
      <c r="N297">
        <v>13.1</v>
      </c>
      <c r="O297">
        <v>7.5926749999999998</v>
      </c>
      <c r="P297">
        <v>7230300</v>
      </c>
      <c r="R297" s="273" t="e">
        <f>(O297/O296)*('16. câmbio USD-BRL'!O111/'16. câmbio USD-BRL'!O110)^-1-1</f>
        <v>#VALUE!</v>
      </c>
    </row>
    <row r="298" spans="10:18" x14ac:dyDescent="0.2">
      <c r="J298" s="354">
        <v>38719</v>
      </c>
      <c r="K298">
        <v>13</v>
      </c>
      <c r="L298">
        <v>13.98</v>
      </c>
      <c r="M298">
        <v>12.533333000000001</v>
      </c>
      <c r="N298">
        <v>13.833333</v>
      </c>
      <c r="O298">
        <v>8.0177119999999995</v>
      </c>
      <c r="P298">
        <v>12939600</v>
      </c>
      <c r="R298" s="273" t="e">
        <f>(O298/O297)*('16. câmbio USD-BRL'!O112/'16. câmbio USD-BRL'!O111)^-1-1</f>
        <v>#VALUE!</v>
      </c>
    </row>
    <row r="299" spans="10:18" x14ac:dyDescent="0.2">
      <c r="J299" s="354">
        <v>38726</v>
      </c>
      <c r="K299">
        <v>13.9</v>
      </c>
      <c r="L299">
        <v>13.9</v>
      </c>
      <c r="M299">
        <v>13.236666</v>
      </c>
      <c r="N299">
        <v>13.666665999999999</v>
      </c>
      <c r="O299">
        <v>7.9211130000000001</v>
      </c>
      <c r="P299">
        <v>10887000</v>
      </c>
      <c r="R299" s="273" t="e">
        <f>(O299/O298)*('16. câmbio USD-BRL'!O113/'16. câmbio USD-BRL'!O112)^-1-1</f>
        <v>#VALUE!</v>
      </c>
    </row>
    <row r="300" spans="10:18" x14ac:dyDescent="0.2">
      <c r="J300" s="354">
        <v>38733</v>
      </c>
      <c r="K300">
        <v>13.633333</v>
      </c>
      <c r="L300">
        <v>14.06</v>
      </c>
      <c r="M300">
        <v>13.17</v>
      </c>
      <c r="N300">
        <v>13.666665999999999</v>
      </c>
      <c r="O300">
        <v>7.9211130000000001</v>
      </c>
      <c r="P300">
        <v>10725300</v>
      </c>
      <c r="R300" s="273" t="e">
        <f>(O300/O299)*('16. câmbio USD-BRL'!O114/'16. câmbio USD-BRL'!O113)^-1-1</f>
        <v>#VALUE!</v>
      </c>
    </row>
    <row r="301" spans="10:18" x14ac:dyDescent="0.2">
      <c r="J301" s="354">
        <v>38740</v>
      </c>
      <c r="K301">
        <v>13.666665999999999</v>
      </c>
      <c r="L301">
        <v>16.283332999999999</v>
      </c>
      <c r="M301">
        <v>13.533333000000001</v>
      </c>
      <c r="N301">
        <v>15.533333000000001</v>
      </c>
      <c r="O301">
        <v>9.0030210000000004</v>
      </c>
      <c r="P301">
        <v>15904500</v>
      </c>
      <c r="R301" s="273" t="e">
        <f>(O301/O300)*('16. câmbio USD-BRL'!O115/'16. câmbio USD-BRL'!O114)^-1-1</f>
        <v>#VALUE!</v>
      </c>
    </row>
    <row r="302" spans="10:18" x14ac:dyDescent="0.2">
      <c r="J302" s="354">
        <v>38747</v>
      </c>
      <c r="K302">
        <v>15.266666000000001</v>
      </c>
      <c r="L302">
        <v>16.239999999999998</v>
      </c>
      <c r="M302">
        <v>14.793333000000001</v>
      </c>
      <c r="N302">
        <v>15.333333</v>
      </c>
      <c r="O302">
        <v>8.8871009999999995</v>
      </c>
      <c r="P302">
        <v>18355800</v>
      </c>
      <c r="R302" s="273" t="e">
        <f>(O302/O301)*('16. câmbio USD-BRL'!O116/'16. câmbio USD-BRL'!O115)^-1-1</f>
        <v>#VALUE!</v>
      </c>
    </row>
    <row r="303" spans="10:18" x14ac:dyDescent="0.2">
      <c r="J303" s="354">
        <v>38754</v>
      </c>
      <c r="K303">
        <v>15.5</v>
      </c>
      <c r="L303">
        <v>15.633333</v>
      </c>
      <c r="M303">
        <v>14.396666</v>
      </c>
      <c r="N303">
        <v>14.65</v>
      </c>
      <c r="O303">
        <v>8.4910429999999995</v>
      </c>
      <c r="P303">
        <v>12063000</v>
      </c>
      <c r="R303" s="273" t="e">
        <f>(O303/O302)*('16. câmbio USD-BRL'!O117/'16. câmbio USD-BRL'!O116)^-1-1</f>
        <v>#VALUE!</v>
      </c>
    </row>
    <row r="304" spans="10:18" x14ac:dyDescent="0.2">
      <c r="J304" s="354">
        <v>38761</v>
      </c>
      <c r="K304">
        <v>14.8</v>
      </c>
      <c r="L304">
        <v>15.733333</v>
      </c>
      <c r="M304">
        <v>13.936666000000001</v>
      </c>
      <c r="N304">
        <v>15.663333</v>
      </c>
      <c r="O304">
        <v>9.0783660000000008</v>
      </c>
      <c r="P304">
        <v>15032100</v>
      </c>
      <c r="R304" s="273" t="e">
        <f>(O304/O303)*('16. câmbio USD-BRL'!O118/'16. câmbio USD-BRL'!O117)^-1-1</f>
        <v>#VALUE!</v>
      </c>
    </row>
    <row r="305" spans="10:18" x14ac:dyDescent="0.2">
      <c r="J305" s="354">
        <v>38768</v>
      </c>
      <c r="K305">
        <v>15.533333000000001</v>
      </c>
      <c r="L305">
        <v>16.363333000000001</v>
      </c>
      <c r="M305">
        <v>15</v>
      </c>
      <c r="N305">
        <v>16.216664999999999</v>
      </c>
      <c r="O305">
        <v>9.3990749999999998</v>
      </c>
      <c r="P305">
        <v>8586600</v>
      </c>
      <c r="R305" s="273" t="e">
        <f>(O305/O304)*('16. câmbio USD-BRL'!O119/'16. câmbio USD-BRL'!O118)^-1-1</f>
        <v>#VALUE!</v>
      </c>
    </row>
    <row r="306" spans="10:18" x14ac:dyDescent="0.2">
      <c r="J306" s="354">
        <v>38775</v>
      </c>
      <c r="K306">
        <v>16.216664999999999</v>
      </c>
      <c r="L306">
        <v>17.633333</v>
      </c>
      <c r="M306">
        <v>16.216664999999999</v>
      </c>
      <c r="N306">
        <v>17.533332999999999</v>
      </c>
      <c r="O306">
        <v>10.253857999999999</v>
      </c>
      <c r="P306">
        <v>7080300</v>
      </c>
      <c r="R306" s="273" t="e">
        <f>(O306/O305)*('16. câmbio USD-BRL'!O120/'16. câmbio USD-BRL'!O119)^-1-1</f>
        <v>#VALUE!</v>
      </c>
    </row>
    <row r="307" spans="10:18" x14ac:dyDescent="0.2">
      <c r="J307" s="354">
        <v>38782</v>
      </c>
      <c r="K307">
        <v>17.5</v>
      </c>
      <c r="L307">
        <v>17.633333</v>
      </c>
      <c r="M307">
        <v>16</v>
      </c>
      <c r="N307">
        <v>16.293333000000001</v>
      </c>
      <c r="O307">
        <v>9.5286799999999996</v>
      </c>
      <c r="P307">
        <v>14256600</v>
      </c>
      <c r="R307" s="273" t="e">
        <f>(O307/O306)*('16. câmbio USD-BRL'!O121/'16. câmbio USD-BRL'!O120)^-1-1</f>
        <v>#VALUE!</v>
      </c>
    </row>
    <row r="308" spans="10:18" x14ac:dyDescent="0.2">
      <c r="J308" s="354">
        <v>38789</v>
      </c>
      <c r="K308">
        <v>16.266666000000001</v>
      </c>
      <c r="L308">
        <v>17.563334000000001</v>
      </c>
      <c r="M308">
        <v>16</v>
      </c>
      <c r="N308">
        <v>17.283332999999999</v>
      </c>
      <c r="O308">
        <v>10.107652</v>
      </c>
      <c r="P308">
        <v>11859000</v>
      </c>
      <c r="R308" s="273" t="e">
        <f>(O308/O307)*('16. câmbio USD-BRL'!O122/'16. câmbio USD-BRL'!O121)^-1-1</f>
        <v>#VALUE!</v>
      </c>
    </row>
    <row r="309" spans="10:18" x14ac:dyDescent="0.2">
      <c r="J309" s="354">
        <v>38796</v>
      </c>
      <c r="K309">
        <v>17.276667</v>
      </c>
      <c r="L309">
        <v>17.399999999999999</v>
      </c>
      <c r="M309">
        <v>16.266666000000001</v>
      </c>
      <c r="N309">
        <v>16.813334000000001</v>
      </c>
      <c r="O309">
        <v>9.8327860000000005</v>
      </c>
      <c r="P309">
        <v>9437400</v>
      </c>
      <c r="R309" s="273" t="e">
        <f>(O309/O308)*('16. câmbio USD-BRL'!O123/'16. câmbio USD-BRL'!O122)^-1-1</f>
        <v>#VALUE!</v>
      </c>
    </row>
    <row r="310" spans="10:18" x14ac:dyDescent="0.2">
      <c r="J310" s="354">
        <v>38803</v>
      </c>
      <c r="K310">
        <v>16.600000000000001</v>
      </c>
      <c r="L310">
        <v>16.983333999999999</v>
      </c>
      <c r="M310">
        <v>15.866666</v>
      </c>
      <c r="N310">
        <v>16.200001</v>
      </c>
      <c r="O310">
        <v>9.4740990000000007</v>
      </c>
      <c r="P310">
        <v>12420900</v>
      </c>
      <c r="R310" s="273">
        <f>(O310/O309)*('16. câmbio USD-BRL'!O124/'16. câmbio USD-BRL'!O123)^-1-1</f>
        <v>-4.4570261866700212E-2</v>
      </c>
    </row>
    <row r="311" spans="10:18" x14ac:dyDescent="0.2">
      <c r="J311" s="354">
        <v>38810</v>
      </c>
      <c r="K311">
        <v>16.483333999999999</v>
      </c>
      <c r="L311">
        <v>17.583331999999999</v>
      </c>
      <c r="M311">
        <v>16.483333999999999</v>
      </c>
      <c r="N311">
        <v>17.063334000000001</v>
      </c>
      <c r="O311">
        <v>9.9789929999999991</v>
      </c>
      <c r="P311">
        <v>12053700</v>
      </c>
      <c r="R311" s="273">
        <f>(O311/O310)*('16. câmbio USD-BRL'!O125/'16. câmbio USD-BRL'!O124)^-1-1</f>
        <v>6.9077601492150142E-2</v>
      </c>
    </row>
    <row r="312" spans="10:18" x14ac:dyDescent="0.2">
      <c r="J312" s="354">
        <v>38817</v>
      </c>
      <c r="K312">
        <v>17.133333</v>
      </c>
      <c r="L312">
        <v>17.915001</v>
      </c>
      <c r="M312">
        <v>17.006665999999999</v>
      </c>
      <c r="N312">
        <v>17.66</v>
      </c>
      <c r="O312">
        <v>10.327935</v>
      </c>
      <c r="P312">
        <v>12552500</v>
      </c>
      <c r="R312" s="273">
        <f>(O312/O311)*('16. câmbio USD-BRL'!O126/'16. câmbio USD-BRL'!O125)^-1-1</f>
        <v>3.2308562749868708E-2</v>
      </c>
    </row>
    <row r="313" spans="10:18" x14ac:dyDescent="0.2">
      <c r="J313" s="354">
        <v>38824</v>
      </c>
      <c r="K313">
        <v>17.950001</v>
      </c>
      <c r="L313">
        <v>18.469999000000001</v>
      </c>
      <c r="M313">
        <v>17.709999</v>
      </c>
      <c r="N313">
        <v>17.945</v>
      </c>
      <c r="O313">
        <v>10.494607999999999</v>
      </c>
      <c r="P313">
        <v>9189000</v>
      </c>
      <c r="R313" s="273">
        <f>(O313/O312)*('16. câmbio USD-BRL'!O127/'16. câmbio USD-BRL'!O126)^-1-1</f>
        <v>2.6737835977970859E-2</v>
      </c>
    </row>
    <row r="314" spans="10:18" x14ac:dyDescent="0.2">
      <c r="J314" s="354">
        <v>38831</v>
      </c>
      <c r="K314">
        <v>18.079999999999998</v>
      </c>
      <c r="L314">
        <v>18.555</v>
      </c>
      <c r="M314">
        <v>17.575001</v>
      </c>
      <c r="N314">
        <v>18.030000999999999</v>
      </c>
      <c r="O314">
        <v>10.544320000000001</v>
      </c>
      <c r="P314">
        <v>11211600</v>
      </c>
      <c r="R314" s="273">
        <f>(O314/O313)*('16. câmbio USD-BRL'!O128/'16. câmbio USD-BRL'!O127)^-1-1</f>
        <v>1.668606523583982E-2</v>
      </c>
    </row>
    <row r="315" spans="10:18" x14ac:dyDescent="0.2">
      <c r="J315" s="354">
        <v>38838</v>
      </c>
      <c r="K315">
        <v>18.030000999999999</v>
      </c>
      <c r="L315">
        <v>18.620000999999998</v>
      </c>
      <c r="M315">
        <v>16.815000999999999</v>
      </c>
      <c r="N315">
        <v>17.075001</v>
      </c>
      <c r="O315">
        <v>9.9858130000000003</v>
      </c>
      <c r="P315">
        <v>20512800</v>
      </c>
      <c r="R315" s="273">
        <f>(O315/O314)*('16. câmbio USD-BRL'!O129/'16. câmbio USD-BRL'!O128)^-1-1</f>
        <v>-3.6071074273017589E-2</v>
      </c>
    </row>
    <row r="316" spans="10:18" x14ac:dyDescent="0.2">
      <c r="J316" s="354">
        <v>38845</v>
      </c>
      <c r="K316">
        <v>17.235001</v>
      </c>
      <c r="L316">
        <v>18.375</v>
      </c>
      <c r="M316">
        <v>16.704999999999998</v>
      </c>
      <c r="N316">
        <v>17.739999999999998</v>
      </c>
      <c r="O316">
        <v>10.374719000000001</v>
      </c>
      <c r="P316">
        <v>601965608</v>
      </c>
      <c r="R316" s="273">
        <f>(O316/O315)*('16. câmbio USD-BRL'!O130/'16. câmbio USD-BRL'!O129)^-1-1</f>
        <v>4.5177995549900984E-3</v>
      </c>
    </row>
    <row r="317" spans="10:18" x14ac:dyDescent="0.2">
      <c r="J317" s="354">
        <v>38852</v>
      </c>
      <c r="K317">
        <v>17.350000000000001</v>
      </c>
      <c r="L317">
        <v>17.665001</v>
      </c>
      <c r="M317">
        <v>15.75</v>
      </c>
      <c r="N317">
        <v>15.8</v>
      </c>
      <c r="O317">
        <v>9.2401669999999996</v>
      </c>
      <c r="P317">
        <v>388451928</v>
      </c>
      <c r="R317" s="273">
        <f>(O317/O316)*('16. câmbio USD-BRL'!O131/'16. câmbio USD-BRL'!O130)^-1-1</f>
        <v>-0.13753200176995006</v>
      </c>
    </row>
    <row r="318" spans="10:18" x14ac:dyDescent="0.2">
      <c r="J318" s="354">
        <v>38859</v>
      </c>
      <c r="K318">
        <v>15.6</v>
      </c>
      <c r="L318">
        <v>16.715</v>
      </c>
      <c r="M318">
        <v>14.3</v>
      </c>
      <c r="N318">
        <v>15.795</v>
      </c>
      <c r="O318">
        <v>9.3159670000000006</v>
      </c>
      <c r="P318">
        <v>549257088</v>
      </c>
      <c r="R318" s="273">
        <f>(O318/O317)*('16. câmbio USD-BRL'!O132/'16. câmbio USD-BRL'!O131)^-1-1</f>
        <v>-1.7946050577090755E-2</v>
      </c>
    </row>
    <row r="319" spans="10:18" x14ac:dyDescent="0.2">
      <c r="J319" s="354">
        <v>38866</v>
      </c>
      <c r="K319">
        <v>16.855</v>
      </c>
      <c r="L319">
        <v>17</v>
      </c>
      <c r="M319">
        <v>15.455</v>
      </c>
      <c r="N319">
        <v>16.475000000000001</v>
      </c>
      <c r="O319">
        <v>9.7170330000000007</v>
      </c>
      <c r="P319">
        <v>411473568</v>
      </c>
      <c r="R319" s="273">
        <f>(O319/O318)*('16. câmbio USD-BRL'!O133/'16. câmbio USD-BRL'!O132)^-1-1</f>
        <v>3.0803388122503605E-2</v>
      </c>
    </row>
    <row r="320" spans="10:18" x14ac:dyDescent="0.2">
      <c r="J320" s="354">
        <v>38873</v>
      </c>
      <c r="K320">
        <v>16.75</v>
      </c>
      <c r="L320">
        <v>16.75</v>
      </c>
      <c r="M320">
        <v>14.85</v>
      </c>
      <c r="N320">
        <v>15.5</v>
      </c>
      <c r="O320">
        <v>9.1419750000000004</v>
      </c>
      <c r="P320">
        <v>353182816</v>
      </c>
      <c r="R320" s="273">
        <f>(O320/O319)*('16. câmbio USD-BRL'!O134/'16. câmbio USD-BRL'!O133)^-1-1</f>
        <v>-4.9897101975924563E-2</v>
      </c>
    </row>
    <row r="321" spans="10:18" x14ac:dyDescent="0.2">
      <c r="J321" s="354">
        <v>38880</v>
      </c>
      <c r="K321">
        <v>15.345000000000001</v>
      </c>
      <c r="L321">
        <v>15.345000000000001</v>
      </c>
      <c r="M321">
        <v>13.845000000000001</v>
      </c>
      <c r="N321">
        <v>14.2</v>
      </c>
      <c r="O321">
        <v>8.3752329999999997</v>
      </c>
      <c r="P321">
        <v>314248400</v>
      </c>
      <c r="R321" s="273">
        <f>(O321/O320)*('16. câmbio USD-BRL'!O135/'16. câmbio USD-BRL'!O134)^-1-1</f>
        <v>-7.8488217233544932E-2</v>
      </c>
    </row>
    <row r="322" spans="10:18" x14ac:dyDescent="0.2">
      <c r="J322" s="354">
        <v>38887</v>
      </c>
      <c r="K322">
        <v>14.86</v>
      </c>
      <c r="L322">
        <v>15.305</v>
      </c>
      <c r="M322">
        <v>14.2</v>
      </c>
      <c r="N322">
        <v>14.904999999999999</v>
      </c>
      <c r="O322">
        <v>8.7910489999999992</v>
      </c>
      <c r="P322">
        <v>209113574</v>
      </c>
      <c r="R322" s="273">
        <f>(O322/O321)*('16. câmbio USD-BRL'!O136/'16. câmbio USD-BRL'!O135)^-1-1</f>
        <v>5.0723893441761314E-2</v>
      </c>
    </row>
    <row r="323" spans="10:18" x14ac:dyDescent="0.2">
      <c r="J323" s="354">
        <v>38894</v>
      </c>
      <c r="K323">
        <v>15.1</v>
      </c>
      <c r="L323">
        <v>16.625</v>
      </c>
      <c r="M323">
        <v>14.75</v>
      </c>
      <c r="N323">
        <v>16.170000000000002</v>
      </c>
      <c r="O323">
        <v>9.5371469999999992</v>
      </c>
      <c r="P323">
        <v>223075616</v>
      </c>
      <c r="R323" s="273">
        <f>(O323/O322)*('16. câmbio USD-BRL'!O137/'16. câmbio USD-BRL'!O136)^-1-1</f>
        <v>0.12652840237259522</v>
      </c>
    </row>
    <row r="324" spans="10:18" x14ac:dyDescent="0.2">
      <c r="J324" s="354">
        <v>38901</v>
      </c>
      <c r="K324">
        <v>16.200001</v>
      </c>
      <c r="L324">
        <v>16.924999</v>
      </c>
      <c r="M324">
        <v>15.95</v>
      </c>
      <c r="N324">
        <v>16.299999</v>
      </c>
      <c r="O324">
        <v>9.6138209999999997</v>
      </c>
      <c r="P324">
        <v>253329004</v>
      </c>
      <c r="R324" s="273">
        <f>(O324/O323)*('16. câmbio USD-BRL'!O138/'16. câmbio USD-BRL'!O137)^-1-1</f>
        <v>5.341855502711379E-3</v>
      </c>
    </row>
    <row r="325" spans="10:18" x14ac:dyDescent="0.2">
      <c r="J325" s="354">
        <v>38908</v>
      </c>
      <c r="K325">
        <v>16.155000999999999</v>
      </c>
      <c r="L325">
        <v>16.84</v>
      </c>
      <c r="M325">
        <v>15.51</v>
      </c>
      <c r="N325">
        <v>15.9</v>
      </c>
      <c r="O325">
        <v>9.3778980000000001</v>
      </c>
      <c r="P325">
        <v>302295916</v>
      </c>
      <c r="R325" s="273">
        <f>(O325/O324)*('16. câmbio USD-BRL'!O139/'16. câmbio USD-BRL'!O138)^-1-1</f>
        <v>8.2575809445044612E-3</v>
      </c>
    </row>
    <row r="326" spans="10:18" x14ac:dyDescent="0.2">
      <c r="J326" s="354">
        <v>38915</v>
      </c>
      <c r="K326">
        <v>15.56</v>
      </c>
      <c r="L326">
        <v>16.75</v>
      </c>
      <c r="M326">
        <v>15.3</v>
      </c>
      <c r="N326">
        <v>16</v>
      </c>
      <c r="O326">
        <v>9.4368800000000004</v>
      </c>
      <c r="P326">
        <v>183251896</v>
      </c>
      <c r="R326" s="273">
        <f>(O326/O325)*('16. câmbio USD-BRL'!O140/'16. câmbio USD-BRL'!O139)^-1-1</f>
        <v>-3.5830854104684118E-2</v>
      </c>
    </row>
    <row r="327" spans="10:18" x14ac:dyDescent="0.2">
      <c r="J327" s="354">
        <v>38922</v>
      </c>
      <c r="K327">
        <v>15.95</v>
      </c>
      <c r="L327">
        <v>17.204999999999998</v>
      </c>
      <c r="M327">
        <v>15.63</v>
      </c>
      <c r="N327">
        <v>16.5</v>
      </c>
      <c r="O327">
        <v>9.7317839999999993</v>
      </c>
      <c r="P327">
        <v>182534200</v>
      </c>
      <c r="R327" s="273">
        <f>(O327/O326)*('16. câmbio USD-BRL'!O141/'16. câmbio USD-BRL'!O140)^-1-1</f>
        <v>3.7317451667594037E-2</v>
      </c>
    </row>
    <row r="328" spans="10:18" x14ac:dyDescent="0.2">
      <c r="J328" s="354">
        <v>38929</v>
      </c>
      <c r="K328">
        <v>17.125</v>
      </c>
      <c r="L328">
        <v>17.799999</v>
      </c>
      <c r="M328">
        <v>16.655000999999999</v>
      </c>
      <c r="N328">
        <v>17.399999999999999</v>
      </c>
      <c r="O328">
        <v>10.262601999999999</v>
      </c>
      <c r="P328">
        <v>389470016</v>
      </c>
      <c r="R328" s="273">
        <f>(O328/O327)*('16. câmbio USD-BRL'!O142/'16. câmbio USD-BRL'!O141)^-1-1</f>
        <v>5.7753628171170579E-2</v>
      </c>
    </row>
    <row r="329" spans="10:18" x14ac:dyDescent="0.2">
      <c r="J329" s="354">
        <v>38936</v>
      </c>
      <c r="K329">
        <v>17.295000000000002</v>
      </c>
      <c r="L329">
        <v>17.75</v>
      </c>
      <c r="M329">
        <v>16.524999999999999</v>
      </c>
      <c r="N329">
        <v>16.524999999999999</v>
      </c>
      <c r="O329">
        <v>9.7465299999999999</v>
      </c>
      <c r="P329">
        <v>198276816</v>
      </c>
      <c r="R329" s="273">
        <f>(O329/O328)*('16. câmbio USD-BRL'!O143/'16. câmbio USD-BRL'!O142)^-1-1</f>
        <v>4.6470101942890363E-3</v>
      </c>
    </row>
    <row r="330" spans="10:18" x14ac:dyDescent="0.2">
      <c r="J330" s="354">
        <v>38943</v>
      </c>
      <c r="K330">
        <v>16.75</v>
      </c>
      <c r="L330">
        <v>17.045000000000002</v>
      </c>
      <c r="M330">
        <v>16.350000000000001</v>
      </c>
      <c r="N330">
        <v>16.75</v>
      </c>
      <c r="O330">
        <v>9.8792349999999995</v>
      </c>
      <c r="P330">
        <v>351512708</v>
      </c>
      <c r="R330" s="273">
        <f>(O330/O329)*('16. câmbio USD-BRL'!O144/'16. câmbio USD-BRL'!O143)^-1-1</f>
        <v>-3.1313233753379022E-2</v>
      </c>
    </row>
    <row r="331" spans="10:18" x14ac:dyDescent="0.2">
      <c r="J331" s="354">
        <v>38950</v>
      </c>
      <c r="K331">
        <v>16.350000000000001</v>
      </c>
      <c r="L331">
        <v>16.549999</v>
      </c>
      <c r="M331">
        <v>15.1</v>
      </c>
      <c r="N331">
        <v>15.38</v>
      </c>
      <c r="O331">
        <v>9.1682939999999995</v>
      </c>
      <c r="P331">
        <v>347089772</v>
      </c>
      <c r="R331" s="273">
        <f>(O331/O330)*('16. câmbio USD-BRL'!O145/'16. câmbio USD-BRL'!O144)^-1-1</f>
        <v>-7.639714561468236E-2</v>
      </c>
    </row>
    <row r="332" spans="10:18" x14ac:dyDescent="0.2">
      <c r="J332" s="354">
        <v>38957</v>
      </c>
      <c r="K332">
        <v>15.725</v>
      </c>
      <c r="L332">
        <v>16.299999</v>
      </c>
      <c r="M332">
        <v>15.4</v>
      </c>
      <c r="N332">
        <v>15.475</v>
      </c>
      <c r="O332">
        <v>9.224926</v>
      </c>
      <c r="P332">
        <v>272418448</v>
      </c>
      <c r="R332" s="273">
        <f>(O332/O331)*('16. câmbio USD-BRL'!O146/'16. câmbio USD-BRL'!O145)^-1-1</f>
        <v>1.091310378699295E-2</v>
      </c>
    </row>
    <row r="333" spans="10:18" x14ac:dyDescent="0.2">
      <c r="J333" s="354">
        <v>38964</v>
      </c>
      <c r="K333">
        <v>16.305</v>
      </c>
      <c r="L333">
        <v>16.549999</v>
      </c>
      <c r="M333">
        <v>15.58</v>
      </c>
      <c r="N333">
        <v>15.904999999999999</v>
      </c>
      <c r="O333">
        <v>9.4812560000000001</v>
      </c>
      <c r="P333">
        <v>187480370</v>
      </c>
      <c r="R333" s="273">
        <f>(O333/O332)*('16. câmbio USD-BRL'!O147/'16. câmbio USD-BRL'!O146)^-1-1</f>
        <v>2.4777817723875328E-2</v>
      </c>
    </row>
    <row r="334" spans="10:18" x14ac:dyDescent="0.2">
      <c r="J334" s="354">
        <v>38971</v>
      </c>
      <c r="K334">
        <v>15.625</v>
      </c>
      <c r="L334">
        <v>15.625</v>
      </c>
      <c r="M334">
        <v>14.795</v>
      </c>
      <c r="N334">
        <v>14.8</v>
      </c>
      <c r="O334">
        <v>8.8225440000000006</v>
      </c>
      <c r="P334">
        <v>11511000</v>
      </c>
      <c r="R334" s="273">
        <f>(O334/O333)*('16. câmbio USD-BRL'!O148/'16. câmbio USD-BRL'!O147)^-1-1</f>
        <v>-6.9042582426235288E-2</v>
      </c>
    </row>
    <row r="335" spans="10:18" x14ac:dyDescent="0.2">
      <c r="J335" s="354">
        <v>38978</v>
      </c>
      <c r="K335">
        <v>15.005000000000001</v>
      </c>
      <c r="L335">
        <v>15.3</v>
      </c>
      <c r="M335">
        <v>14.275</v>
      </c>
      <c r="N335">
        <v>14.445</v>
      </c>
      <c r="O335">
        <v>8.6109240000000007</v>
      </c>
      <c r="P335">
        <v>10971000</v>
      </c>
      <c r="R335" s="273">
        <f>(O335/O334)*('16. câmbio USD-BRL'!O149/'16. câmbio USD-BRL'!O148)^-1-1</f>
        <v>-5.0085736243681289E-2</v>
      </c>
    </row>
    <row r="336" spans="10:18" x14ac:dyDescent="0.2">
      <c r="J336" s="354">
        <v>38985</v>
      </c>
      <c r="K336">
        <v>14.505000000000001</v>
      </c>
      <c r="L336">
        <v>14.855</v>
      </c>
      <c r="M336">
        <v>14.025</v>
      </c>
      <c r="N336">
        <v>14.84</v>
      </c>
      <c r="O336">
        <v>8.8463890000000003</v>
      </c>
      <c r="P336">
        <v>14102400</v>
      </c>
      <c r="R336" s="273">
        <f>(O336/O335)*('16. câmbio USD-BRL'!O150/'16. câmbio USD-BRL'!O149)^-1-1</f>
        <v>4.9764205709722953E-2</v>
      </c>
    </row>
    <row r="337" spans="10:18" x14ac:dyDescent="0.2">
      <c r="J337" s="354">
        <v>38992</v>
      </c>
      <c r="K337">
        <v>14.93</v>
      </c>
      <c r="L337">
        <v>15.095000000000001</v>
      </c>
      <c r="M337">
        <v>14.29</v>
      </c>
      <c r="N337">
        <v>15.074999999999999</v>
      </c>
      <c r="O337">
        <v>8.9864789999999992</v>
      </c>
      <c r="P337">
        <v>14320400</v>
      </c>
      <c r="R337" s="273">
        <f>(O337/O336)*('16. câmbio USD-BRL'!O151/'16. câmbio USD-BRL'!O150)^-1-1</f>
        <v>1.602374018259578E-2</v>
      </c>
    </row>
    <row r="338" spans="10:18" x14ac:dyDescent="0.2">
      <c r="J338" s="354">
        <v>38999</v>
      </c>
      <c r="K338">
        <v>14.95</v>
      </c>
      <c r="L338">
        <v>15.824999999999999</v>
      </c>
      <c r="M338">
        <v>14.904999999999999</v>
      </c>
      <c r="N338">
        <v>15.475</v>
      </c>
      <c r="O338">
        <v>9.224926</v>
      </c>
      <c r="P338">
        <v>10139800</v>
      </c>
      <c r="R338" s="273">
        <f>(O338/O337)*('16. câmbio USD-BRL'!O152/'16. câmbio USD-BRL'!O151)^-1-1</f>
        <v>3.8540219294456612E-2</v>
      </c>
    </row>
    <row r="339" spans="10:18" x14ac:dyDescent="0.2">
      <c r="J339" s="354">
        <v>39006</v>
      </c>
      <c r="K339">
        <v>15.45</v>
      </c>
      <c r="L339">
        <v>15.95</v>
      </c>
      <c r="M339">
        <v>15.305</v>
      </c>
      <c r="N339">
        <v>15.445</v>
      </c>
      <c r="O339">
        <v>9.207039</v>
      </c>
      <c r="P339">
        <v>12546600</v>
      </c>
      <c r="R339" s="273">
        <f>(O339/O338)*('16. câmbio USD-BRL'!O153/'16. câmbio USD-BRL'!O152)^-1-1</f>
        <v>-5.3622957460730536E-4</v>
      </c>
    </row>
    <row r="340" spans="10:18" x14ac:dyDescent="0.2">
      <c r="J340" s="354">
        <v>39013</v>
      </c>
      <c r="K340">
        <v>15.45</v>
      </c>
      <c r="L340">
        <v>16.469999000000001</v>
      </c>
      <c r="M340">
        <v>15.24</v>
      </c>
      <c r="N340">
        <v>15.99</v>
      </c>
      <c r="O340">
        <v>9.5319230000000008</v>
      </c>
      <c r="P340">
        <v>11339800</v>
      </c>
      <c r="R340" s="273">
        <f>(O340/O339)*('16. câmbio USD-BRL'!O154/'16. câmbio USD-BRL'!O153)^-1-1</f>
        <v>3.67436040966449E-2</v>
      </c>
    </row>
    <row r="341" spans="10:18" x14ac:dyDescent="0.2">
      <c r="J341" s="354">
        <v>39020</v>
      </c>
      <c r="K341">
        <v>15.945</v>
      </c>
      <c r="L341">
        <v>16.364999999999998</v>
      </c>
      <c r="M341">
        <v>15.6</v>
      </c>
      <c r="N341">
        <v>16.239999999999998</v>
      </c>
      <c r="O341">
        <v>9.6809539999999998</v>
      </c>
      <c r="P341">
        <v>7026800</v>
      </c>
      <c r="R341" s="273">
        <f>(O341/O340)*('16. câmbio USD-BRL'!O155/'16. câmbio USD-BRL'!O154)^-1-1</f>
        <v>1.103393645079831E-2</v>
      </c>
    </row>
    <row r="342" spans="10:18" x14ac:dyDescent="0.2">
      <c r="J342" s="354">
        <v>39027</v>
      </c>
      <c r="K342">
        <v>16.415001</v>
      </c>
      <c r="L342">
        <v>16.995000999999998</v>
      </c>
      <c r="M342">
        <v>16.030000999999999</v>
      </c>
      <c r="N342">
        <v>16.299999</v>
      </c>
      <c r="O342">
        <v>9.7167209999999997</v>
      </c>
      <c r="P342">
        <v>13349600</v>
      </c>
      <c r="R342" s="273">
        <f>(O342/O341)*('16. câmbio USD-BRL'!O156/'16. câmbio USD-BRL'!O155)^-1-1</f>
        <v>1.4495906990208418E-3</v>
      </c>
    </row>
    <row r="343" spans="10:18" x14ac:dyDescent="0.2">
      <c r="J343" s="354">
        <v>39034</v>
      </c>
      <c r="K343">
        <v>16.195</v>
      </c>
      <c r="L343">
        <v>16.790001</v>
      </c>
      <c r="M343">
        <v>15.945</v>
      </c>
      <c r="N343">
        <v>16.254999000000002</v>
      </c>
      <c r="O343">
        <v>9.6898959999999992</v>
      </c>
      <c r="P343">
        <v>10585200</v>
      </c>
      <c r="R343" s="273">
        <f>(O343/O342)*('16. câmbio USD-BRL'!O157/'16. câmbio USD-BRL'!O156)^-1-1</f>
        <v>-9.22429299775962E-3</v>
      </c>
    </row>
    <row r="344" spans="10:18" x14ac:dyDescent="0.2">
      <c r="J344" s="354">
        <v>39041</v>
      </c>
      <c r="K344">
        <v>16.254999000000002</v>
      </c>
      <c r="L344">
        <v>17.25</v>
      </c>
      <c r="M344">
        <v>16.254999000000002</v>
      </c>
      <c r="N344">
        <v>17.25</v>
      </c>
      <c r="O344">
        <v>10.283032</v>
      </c>
      <c r="P344">
        <v>8942200</v>
      </c>
      <c r="R344" s="273">
        <f>(O344/O343)*('16. câmbio USD-BRL'!O158/'16. câmbio USD-BRL'!O157)^-1-1</f>
        <v>5.9739941449822753E-2</v>
      </c>
    </row>
    <row r="345" spans="10:18" x14ac:dyDescent="0.2">
      <c r="J345" s="354">
        <v>39048</v>
      </c>
      <c r="K345">
        <v>17.149999999999999</v>
      </c>
      <c r="L345">
        <v>17.245000999999998</v>
      </c>
      <c r="M345">
        <v>16.399999999999999</v>
      </c>
      <c r="N345">
        <v>16.850000000000001</v>
      </c>
      <c r="O345">
        <v>10.150035000000001</v>
      </c>
      <c r="P345">
        <v>10760200</v>
      </c>
      <c r="R345" s="273">
        <f>(O345/O344)*('16. câmbio USD-BRL'!O159/'16. câmbio USD-BRL'!O158)^-1-1</f>
        <v>-1.0646643266431388E-2</v>
      </c>
    </row>
    <row r="346" spans="10:18" x14ac:dyDescent="0.2">
      <c r="J346" s="354">
        <v>39055</v>
      </c>
      <c r="K346">
        <v>16.895</v>
      </c>
      <c r="L346">
        <v>17.735001</v>
      </c>
      <c r="M346">
        <v>16.739999999999998</v>
      </c>
      <c r="N346">
        <v>17.469999000000001</v>
      </c>
      <c r="O346">
        <v>10.523504000000001</v>
      </c>
      <c r="P346">
        <v>9945000</v>
      </c>
      <c r="R346" s="273">
        <f>(O346/O345)*('16. câmbio USD-BRL'!O160/'16. câmbio USD-BRL'!O159)^-1-1</f>
        <v>4.7375378261804268E-2</v>
      </c>
    </row>
    <row r="347" spans="10:18" x14ac:dyDescent="0.2">
      <c r="J347" s="354">
        <v>39062</v>
      </c>
      <c r="K347">
        <v>17.725000000000001</v>
      </c>
      <c r="L347">
        <v>17.850000000000001</v>
      </c>
      <c r="M347">
        <v>16.954999999999998</v>
      </c>
      <c r="N347">
        <v>17.305</v>
      </c>
      <c r="O347">
        <v>10.424116</v>
      </c>
      <c r="P347">
        <v>11437800</v>
      </c>
      <c r="R347" s="273">
        <f>(O347/O346)*('16. câmbio USD-BRL'!O161/'16. câmbio USD-BRL'!O160)^-1-1</f>
        <v>-1.1895909643789504E-2</v>
      </c>
    </row>
    <row r="348" spans="10:18" x14ac:dyDescent="0.2">
      <c r="J348" s="354">
        <v>39069</v>
      </c>
      <c r="K348">
        <v>17.350000000000001</v>
      </c>
      <c r="L348">
        <v>17.674999</v>
      </c>
      <c r="M348">
        <v>16.75</v>
      </c>
      <c r="N348">
        <v>16.915001</v>
      </c>
      <c r="O348">
        <v>10.189189000000001</v>
      </c>
      <c r="P348">
        <v>6897400</v>
      </c>
      <c r="R348" s="273">
        <f>(O348/O347)*('16. câmbio USD-BRL'!O162/'16. câmbio USD-BRL'!O161)^-1-1</f>
        <v>-2.5267854696590319E-2</v>
      </c>
    </row>
    <row r="349" spans="10:18" x14ac:dyDescent="0.2">
      <c r="J349" s="354">
        <v>39076</v>
      </c>
      <c r="K349">
        <v>16.915001</v>
      </c>
      <c r="L349">
        <v>17.59</v>
      </c>
      <c r="M349">
        <v>16.915001</v>
      </c>
      <c r="N349">
        <v>17.454999999999998</v>
      </c>
      <c r="O349">
        <v>10.514471</v>
      </c>
      <c r="P349">
        <v>4685800</v>
      </c>
      <c r="R349" s="273">
        <f>(O349/O348)*('16. câmbio USD-BRL'!O163/'16. câmbio USD-BRL'!O162)^-1-1</f>
        <v>3.9914256759072453E-2</v>
      </c>
    </row>
    <row r="350" spans="10:18" x14ac:dyDescent="0.2">
      <c r="J350" s="354">
        <v>39083</v>
      </c>
      <c r="K350">
        <v>17.454999999999998</v>
      </c>
      <c r="L350">
        <v>18.25</v>
      </c>
      <c r="M350">
        <v>16.565000999999999</v>
      </c>
      <c r="N350">
        <v>16.700001</v>
      </c>
      <c r="O350">
        <v>10.059677000000001</v>
      </c>
      <c r="P350">
        <v>15272200</v>
      </c>
      <c r="R350" s="273">
        <f>(O350/O349)*('16. câmbio USD-BRL'!O164/'16. câmbio USD-BRL'!O163)^-1-1</f>
        <v>-5.0384020091767234E-2</v>
      </c>
    </row>
    <row r="351" spans="10:18" x14ac:dyDescent="0.2">
      <c r="J351" s="354">
        <v>39090</v>
      </c>
      <c r="K351">
        <v>16.850000000000001</v>
      </c>
      <c r="L351">
        <v>17.100000000000001</v>
      </c>
      <c r="M351">
        <v>16.145</v>
      </c>
      <c r="N351">
        <v>16.649999999999999</v>
      </c>
      <c r="O351">
        <v>10.029558</v>
      </c>
      <c r="P351">
        <v>13029200</v>
      </c>
      <c r="R351" s="273">
        <f>(O351/O350)*('16. câmbio USD-BRL'!O165/'16. câmbio USD-BRL'!O164)^-1-1</f>
        <v>1.6714142238443142E-3</v>
      </c>
    </row>
    <row r="352" spans="10:18" x14ac:dyDescent="0.2">
      <c r="J352" s="354">
        <v>39097</v>
      </c>
      <c r="K352">
        <v>16.68</v>
      </c>
      <c r="L352">
        <v>16.91</v>
      </c>
      <c r="M352">
        <v>15.95</v>
      </c>
      <c r="N352">
        <v>16.450001</v>
      </c>
      <c r="O352">
        <v>9.9090830000000008</v>
      </c>
      <c r="P352">
        <v>13478800</v>
      </c>
      <c r="R352" s="273">
        <f>(O352/O351)*('16. câmbio USD-BRL'!O166/'16. câmbio USD-BRL'!O165)^-1-1</f>
        <v>-6.1989330186832392E-3</v>
      </c>
    </row>
    <row r="353" spans="10:18" x14ac:dyDescent="0.2">
      <c r="J353" s="354">
        <v>39104</v>
      </c>
      <c r="K353">
        <v>16.600000000000001</v>
      </c>
      <c r="L353">
        <v>17.75</v>
      </c>
      <c r="M353">
        <v>16.41</v>
      </c>
      <c r="N353">
        <v>17.75</v>
      </c>
      <c r="O353">
        <v>10.692175000000001</v>
      </c>
      <c r="P353">
        <v>13930400</v>
      </c>
      <c r="R353" s="273">
        <f>(O353/O352)*('16. câmbio USD-BRL'!O167/'16. câmbio USD-BRL'!O166)^-1-1</f>
        <v>7.5484091191358571E-2</v>
      </c>
    </row>
    <row r="354" spans="10:18" x14ac:dyDescent="0.2">
      <c r="J354" s="354">
        <v>39111</v>
      </c>
      <c r="K354">
        <v>17.799999</v>
      </c>
      <c r="L354">
        <v>18.09</v>
      </c>
      <c r="M354">
        <v>17.399999999999999</v>
      </c>
      <c r="N354">
        <v>17.945</v>
      </c>
      <c r="O354">
        <v>10.809634000000001</v>
      </c>
      <c r="P354">
        <v>13694800</v>
      </c>
      <c r="R354" s="273">
        <f>(O354/O353)*('16. câmbio USD-BRL'!O168/'16. câmbio USD-BRL'!O167)^-1-1</f>
        <v>2.9828251127912209E-2</v>
      </c>
    </row>
    <row r="355" spans="10:18" x14ac:dyDescent="0.2">
      <c r="J355" s="354">
        <v>39118</v>
      </c>
      <c r="K355">
        <v>18</v>
      </c>
      <c r="L355">
        <v>19.200001</v>
      </c>
      <c r="M355">
        <v>17.899999999999999</v>
      </c>
      <c r="N355">
        <v>18.100000000000001</v>
      </c>
      <c r="O355">
        <v>10.903005</v>
      </c>
      <c r="P355">
        <v>25427800</v>
      </c>
      <c r="R355" s="273">
        <f>(O355/O354)*('16. câmbio USD-BRL'!O169/'16. câmbio USD-BRL'!O168)^-1-1</f>
        <v>6.2333769341267331E-3</v>
      </c>
    </row>
    <row r="356" spans="10:18" x14ac:dyDescent="0.2">
      <c r="J356" s="354">
        <v>39125</v>
      </c>
      <c r="K356">
        <v>18.149999999999999</v>
      </c>
      <c r="L356">
        <v>19.600000000000001</v>
      </c>
      <c r="M356">
        <v>17.950001</v>
      </c>
      <c r="N356">
        <v>19.41</v>
      </c>
      <c r="O356">
        <v>11.692118000000001</v>
      </c>
      <c r="P356">
        <v>15514800</v>
      </c>
      <c r="R356" s="273">
        <f>(O356/O355)*('16. câmbio USD-BRL'!O170/'16. câmbio USD-BRL'!O169)^-1-1</f>
        <v>7.7409639340045855E-2</v>
      </c>
    </row>
    <row r="357" spans="10:18" x14ac:dyDescent="0.2">
      <c r="J357" s="354">
        <v>39132</v>
      </c>
      <c r="K357">
        <v>19.41</v>
      </c>
      <c r="L357">
        <v>19.950001</v>
      </c>
      <c r="M357">
        <v>19.075001</v>
      </c>
      <c r="N357">
        <v>19.174999</v>
      </c>
      <c r="O357">
        <v>11.550561999999999</v>
      </c>
      <c r="P357">
        <v>5714800</v>
      </c>
      <c r="R357" s="273">
        <f>(O357/O356)*('16. câmbio USD-BRL'!O171/'16. câmbio USD-BRL'!O170)^-1-1</f>
        <v>-1.0590405137780756E-2</v>
      </c>
    </row>
    <row r="358" spans="10:18" x14ac:dyDescent="0.2">
      <c r="J358" s="354">
        <v>39139</v>
      </c>
      <c r="K358">
        <v>19.375</v>
      </c>
      <c r="L358">
        <v>19.905000999999999</v>
      </c>
      <c r="M358">
        <v>17.114999999999998</v>
      </c>
      <c r="N358">
        <v>17.149999999999999</v>
      </c>
      <c r="O358">
        <v>10.422635</v>
      </c>
      <c r="P358">
        <v>16377600</v>
      </c>
      <c r="R358" s="273">
        <f>(O358/O357)*('16. câmbio USD-BRL'!O172/'16. câmbio USD-BRL'!O171)^-1-1</f>
        <v>-0.11171384347572677</v>
      </c>
    </row>
    <row r="359" spans="10:18" x14ac:dyDescent="0.2">
      <c r="J359" s="354">
        <v>39146</v>
      </c>
      <c r="K359">
        <v>16.5</v>
      </c>
      <c r="L359">
        <v>17.774999999999999</v>
      </c>
      <c r="M359">
        <v>16.325001</v>
      </c>
      <c r="N359">
        <v>17.695</v>
      </c>
      <c r="O359">
        <v>10.753845</v>
      </c>
      <c r="P359">
        <v>13554600</v>
      </c>
      <c r="R359" s="273">
        <f>(O359/O358)*('16. câmbio USD-BRL'!O173/'16. câmbio USD-BRL'!O172)^-1-1</f>
        <v>4.4354595806847863E-2</v>
      </c>
    </row>
    <row r="360" spans="10:18" x14ac:dyDescent="0.2">
      <c r="J360" s="354">
        <v>39153</v>
      </c>
      <c r="K360">
        <v>17.924999</v>
      </c>
      <c r="L360">
        <v>18.23</v>
      </c>
      <c r="M360">
        <v>16.899999999999999</v>
      </c>
      <c r="N360">
        <v>17.174999</v>
      </c>
      <c r="O360">
        <v>10.437829000000001</v>
      </c>
      <c r="P360">
        <v>18423800</v>
      </c>
      <c r="R360" s="273">
        <f>(O360/O359)*('16. câmbio USD-BRL'!O174/'16. câmbio USD-BRL'!O173)^-1-1</f>
        <v>-2.7992434169249791E-2</v>
      </c>
    </row>
    <row r="361" spans="10:18" x14ac:dyDescent="0.2">
      <c r="J361" s="354">
        <v>39160</v>
      </c>
      <c r="K361">
        <v>17.274999999999999</v>
      </c>
      <c r="L361">
        <v>18.75</v>
      </c>
      <c r="M361">
        <v>17.149999999999999</v>
      </c>
      <c r="N361">
        <v>18.649999999999999</v>
      </c>
      <c r="O361">
        <v>11.334232999999999</v>
      </c>
      <c r="P361">
        <v>13523000</v>
      </c>
      <c r="R361" s="273">
        <f>(O361/O360)*('16. câmbio USD-BRL'!O175/'16. câmbio USD-BRL'!O174)^-1-1</f>
        <v>0.10009891830356077</v>
      </c>
    </row>
    <row r="362" spans="10:18" x14ac:dyDescent="0.2">
      <c r="J362" s="354">
        <v>39167</v>
      </c>
      <c r="K362">
        <v>18.725000000000001</v>
      </c>
      <c r="L362">
        <v>18.879999000000002</v>
      </c>
      <c r="M362">
        <v>17.614999999999998</v>
      </c>
      <c r="N362">
        <v>18.75</v>
      </c>
      <c r="O362">
        <v>11.395007</v>
      </c>
      <c r="P362">
        <v>11944600</v>
      </c>
      <c r="R362" s="273">
        <f>(O362/O361)*('16. câmbio USD-BRL'!O176/'16. câmbio USD-BRL'!O175)^-1-1</f>
        <v>8.7865768246013776E-3</v>
      </c>
    </row>
    <row r="363" spans="10:18" x14ac:dyDescent="0.2">
      <c r="J363" s="354">
        <v>39174</v>
      </c>
      <c r="K363">
        <v>18.844999000000001</v>
      </c>
      <c r="L363">
        <v>19.450001</v>
      </c>
      <c r="M363">
        <v>18.549999</v>
      </c>
      <c r="N363">
        <v>19.149999999999999</v>
      </c>
      <c r="O363">
        <v>11.638104999999999</v>
      </c>
      <c r="P363">
        <v>10661800</v>
      </c>
      <c r="R363" s="273">
        <f>(O363/O362)*('16. câmbio USD-BRL'!O177/'16. câmbio USD-BRL'!O176)^-1-1</f>
        <v>3.5237651507142642E-2</v>
      </c>
    </row>
    <row r="364" spans="10:18" x14ac:dyDescent="0.2">
      <c r="J364" s="354">
        <v>39181</v>
      </c>
      <c r="K364">
        <v>19.395</v>
      </c>
      <c r="L364">
        <v>20</v>
      </c>
      <c r="M364">
        <v>19.110001</v>
      </c>
      <c r="N364">
        <v>19.629999000000002</v>
      </c>
      <c r="O364">
        <v>11.92981</v>
      </c>
      <c r="P364">
        <v>13598800</v>
      </c>
      <c r="R364" s="273">
        <f>(O364/O363)*('16. câmbio USD-BRL'!O178/'16. câmbio USD-BRL'!O177)^-1-1</f>
        <v>3.0605537538925809E-2</v>
      </c>
    </row>
    <row r="365" spans="10:18" x14ac:dyDescent="0.2">
      <c r="J365" s="354">
        <v>39188</v>
      </c>
      <c r="K365">
        <v>19.899999999999999</v>
      </c>
      <c r="L365">
        <v>21.049999</v>
      </c>
      <c r="M365">
        <v>19.600000000000001</v>
      </c>
      <c r="N365">
        <v>20.924999</v>
      </c>
      <c r="O365">
        <v>12.716829000000001</v>
      </c>
      <c r="P365">
        <v>17837800</v>
      </c>
      <c r="R365" s="273">
        <f>(O365/O364)*('16. câmbio USD-BRL'!O179/'16. câmbio USD-BRL'!O178)^-1-1</f>
        <v>6.3018693280778804E-2</v>
      </c>
    </row>
    <row r="366" spans="10:18" x14ac:dyDescent="0.2">
      <c r="J366" s="354">
        <v>39195</v>
      </c>
      <c r="K366">
        <v>20.9</v>
      </c>
      <c r="L366">
        <v>21.075001</v>
      </c>
      <c r="M366">
        <v>20.004999000000002</v>
      </c>
      <c r="N366">
        <v>20.475000000000001</v>
      </c>
      <c r="O366">
        <v>12.443352000000001</v>
      </c>
      <c r="P366">
        <v>11570000</v>
      </c>
      <c r="R366" s="273">
        <f>(O366/O365)*('16. câmbio USD-BRL'!O180/'16. câmbio USD-BRL'!O179)^-1-1</f>
        <v>-2.4111227472254027E-2</v>
      </c>
    </row>
    <row r="367" spans="10:18" x14ac:dyDescent="0.2">
      <c r="J367" s="354">
        <v>39202</v>
      </c>
      <c r="K367">
        <v>20.469999000000001</v>
      </c>
      <c r="L367">
        <v>21.1</v>
      </c>
      <c r="M367">
        <v>20.375</v>
      </c>
      <c r="N367">
        <v>21.08</v>
      </c>
      <c r="O367">
        <v>12.811026999999999</v>
      </c>
      <c r="P367">
        <v>14954400</v>
      </c>
      <c r="R367" s="273">
        <f>(O367/O366)*('16. câmbio USD-BRL'!O181/'16. câmbio USD-BRL'!O180)^-1-1</f>
        <v>3.0666261884015444E-2</v>
      </c>
    </row>
    <row r="368" spans="10:18" x14ac:dyDescent="0.2">
      <c r="J368" s="354">
        <v>39209</v>
      </c>
      <c r="K368">
        <v>20.9</v>
      </c>
      <c r="L368">
        <v>21.204999999999998</v>
      </c>
      <c r="M368">
        <v>20.399999999999999</v>
      </c>
      <c r="N368">
        <v>20.860001</v>
      </c>
      <c r="O368">
        <v>12.677324</v>
      </c>
      <c r="P368">
        <v>12473000</v>
      </c>
      <c r="R368" s="273">
        <f>(O368/O367)*('16. câmbio USD-BRL'!O182/'16. câmbio USD-BRL'!O181)^-1-1</f>
        <v>-4.7855580274407394E-3</v>
      </c>
    </row>
    <row r="369" spans="10:18" x14ac:dyDescent="0.2">
      <c r="J369" s="354">
        <v>39216</v>
      </c>
      <c r="K369">
        <v>20.864999999999998</v>
      </c>
      <c r="L369">
        <v>21.74</v>
      </c>
      <c r="M369">
        <v>20.549999</v>
      </c>
      <c r="N369">
        <v>21.674999</v>
      </c>
      <c r="O369">
        <v>13.172629000000001</v>
      </c>
      <c r="P369">
        <v>12387400</v>
      </c>
      <c r="R369" s="273">
        <f>(O369/O368)*('16. câmbio USD-BRL'!O183/'16. câmbio USD-BRL'!O182)^-1-1</f>
        <v>6.7537103192832904E-2</v>
      </c>
    </row>
    <row r="370" spans="10:18" x14ac:dyDescent="0.2">
      <c r="J370" s="354">
        <v>39223</v>
      </c>
      <c r="K370">
        <v>21.709999</v>
      </c>
      <c r="L370">
        <v>22.15</v>
      </c>
      <c r="M370">
        <v>20.399999999999999</v>
      </c>
      <c r="N370">
        <v>21.245000999999998</v>
      </c>
      <c r="O370">
        <v>13.016830000000001</v>
      </c>
      <c r="P370">
        <v>12303600</v>
      </c>
      <c r="R370" s="273">
        <f>(O370/O369)*('16. câmbio USD-BRL'!O184/'16. câmbio USD-BRL'!O183)^-1-1</f>
        <v>-2.8741532296061578E-3</v>
      </c>
    </row>
    <row r="371" spans="10:18" x14ac:dyDescent="0.2">
      <c r="J371" s="354">
        <v>39230</v>
      </c>
      <c r="K371">
        <v>21.33</v>
      </c>
      <c r="L371">
        <v>22.799999</v>
      </c>
      <c r="M371">
        <v>20.975000000000001</v>
      </c>
      <c r="N371">
        <v>22.524999999999999</v>
      </c>
      <c r="O371">
        <v>13.801085</v>
      </c>
      <c r="P371">
        <v>11262600</v>
      </c>
      <c r="R371" s="273">
        <f>(O371/O370)*('16. câmbio USD-BRL'!O185/'16. câmbio USD-BRL'!O184)^-1-1</f>
        <v>5.88865196976045E-2</v>
      </c>
    </row>
    <row r="372" spans="10:18" x14ac:dyDescent="0.2">
      <c r="J372" s="354">
        <v>39237</v>
      </c>
      <c r="K372">
        <v>22.325001</v>
      </c>
      <c r="L372">
        <v>23.35</v>
      </c>
      <c r="M372">
        <v>22</v>
      </c>
      <c r="N372">
        <v>22.85</v>
      </c>
      <c r="O372">
        <v>14.000216</v>
      </c>
      <c r="P372">
        <v>12347400</v>
      </c>
      <c r="R372" s="273">
        <f>(O372/O371)*('16. câmbio USD-BRL'!O186/'16. câmbio USD-BRL'!O185)^-1-1</f>
        <v>5.0243076175184864E-3</v>
      </c>
    </row>
    <row r="373" spans="10:18" x14ac:dyDescent="0.2">
      <c r="J373" s="354">
        <v>39244</v>
      </c>
      <c r="K373">
        <v>23.024999999999999</v>
      </c>
      <c r="L373">
        <v>24.200001</v>
      </c>
      <c r="M373">
        <v>22.48</v>
      </c>
      <c r="N373">
        <v>23.825001</v>
      </c>
      <c r="O373">
        <v>14.5976</v>
      </c>
      <c r="P373">
        <v>18945600</v>
      </c>
      <c r="R373" s="273">
        <f>(O373/O372)*('16. câmbio USD-BRL'!O187/'16. câmbio USD-BRL'!O186)^-1-1</f>
        <v>7.3397489500835356E-2</v>
      </c>
    </row>
    <row r="374" spans="10:18" x14ac:dyDescent="0.2">
      <c r="J374" s="354">
        <v>39251</v>
      </c>
      <c r="K374">
        <v>23.950001</v>
      </c>
      <c r="L374">
        <v>24.485001</v>
      </c>
      <c r="M374">
        <v>23.25</v>
      </c>
      <c r="N374">
        <v>24.1</v>
      </c>
      <c r="O374">
        <v>14.766088</v>
      </c>
      <c r="P374">
        <v>14818800</v>
      </c>
      <c r="R374" s="273">
        <f>(O374/O373)*('16. câmbio USD-BRL'!O188/'16. câmbio USD-BRL'!O187)^-1-1</f>
        <v>4.6931878642151315E-3</v>
      </c>
    </row>
    <row r="375" spans="10:18" x14ac:dyDescent="0.2">
      <c r="J375" s="354">
        <v>39258</v>
      </c>
      <c r="K375">
        <v>24</v>
      </c>
      <c r="L375">
        <v>24.950001</v>
      </c>
      <c r="M375">
        <v>23.555</v>
      </c>
      <c r="N375">
        <v>24.700001</v>
      </c>
      <c r="O375">
        <v>15.133713</v>
      </c>
      <c r="P375">
        <v>13884800</v>
      </c>
      <c r="R375" s="273">
        <f>(O375/O374)*('16. câmbio USD-BRL'!O189/'16. câmbio USD-BRL'!O188)^-1-1</f>
        <v>2.0855686731791945E-2</v>
      </c>
    </row>
    <row r="376" spans="10:18" x14ac:dyDescent="0.2">
      <c r="J376" s="354">
        <v>39265</v>
      </c>
      <c r="K376">
        <v>24.75</v>
      </c>
      <c r="L376">
        <v>25.799999</v>
      </c>
      <c r="M376">
        <v>24.555</v>
      </c>
      <c r="N376">
        <v>25.725000000000001</v>
      </c>
      <c r="O376">
        <v>15.761734000000001</v>
      </c>
      <c r="P376">
        <v>7774000</v>
      </c>
      <c r="R376" s="273">
        <f>(O376/O375)*('16. câmbio USD-BRL'!O190/'16. câmbio USD-BRL'!O189)^-1-1</f>
        <v>5.7852156288947798E-2</v>
      </c>
    </row>
    <row r="377" spans="10:18" x14ac:dyDescent="0.2">
      <c r="J377" s="354">
        <v>39272</v>
      </c>
      <c r="K377">
        <v>25.725000000000001</v>
      </c>
      <c r="L377">
        <v>26.110001</v>
      </c>
      <c r="M377">
        <v>24.950001</v>
      </c>
      <c r="N377">
        <v>25.6</v>
      </c>
      <c r="O377">
        <v>15.685143</v>
      </c>
      <c r="P377">
        <v>17589200</v>
      </c>
      <c r="R377" s="273">
        <f>(O377/O376)*('16. câmbio USD-BRL'!O191/'16. câmbio USD-BRL'!O190)^-1-1</f>
        <v>1.0529198855327326E-2</v>
      </c>
    </row>
    <row r="378" spans="10:18" x14ac:dyDescent="0.2">
      <c r="J378" s="354">
        <v>39279</v>
      </c>
      <c r="K378">
        <v>25.594999000000001</v>
      </c>
      <c r="L378">
        <v>26.094999000000001</v>
      </c>
      <c r="M378">
        <v>25.299999</v>
      </c>
      <c r="N378">
        <v>25.975000000000001</v>
      </c>
      <c r="O378">
        <v>15.914902</v>
      </c>
      <c r="P378">
        <v>10587200</v>
      </c>
      <c r="R378" s="273">
        <f>(O378/O377)*('16. câmbio USD-BRL'!O192/'16. câmbio USD-BRL'!O191)^-1-1</f>
        <v>2.016139857527377E-2</v>
      </c>
    </row>
    <row r="379" spans="10:18" x14ac:dyDescent="0.2">
      <c r="J379" s="354">
        <v>39286</v>
      </c>
      <c r="K379">
        <v>26.1</v>
      </c>
      <c r="L379">
        <v>26.105</v>
      </c>
      <c r="M379">
        <v>23.225000000000001</v>
      </c>
      <c r="N379">
        <v>23.475000000000001</v>
      </c>
      <c r="O379">
        <v>14.383148</v>
      </c>
      <c r="P379">
        <v>17632800</v>
      </c>
      <c r="R379" s="273">
        <f>(O379/O378)*('16. câmbio USD-BRL'!O193/'16. câmbio USD-BRL'!O192)^-1-1</f>
        <v>-0.12208154644707292</v>
      </c>
    </row>
    <row r="380" spans="10:18" x14ac:dyDescent="0.2">
      <c r="J380" s="354">
        <v>39293</v>
      </c>
      <c r="K380">
        <v>23.555</v>
      </c>
      <c r="L380">
        <v>24.575001</v>
      </c>
      <c r="M380">
        <v>23.25</v>
      </c>
      <c r="N380">
        <v>23.635000000000002</v>
      </c>
      <c r="O380">
        <v>14.481188</v>
      </c>
      <c r="P380">
        <v>16253600</v>
      </c>
      <c r="R380" s="273">
        <f>(O380/O379)*('16. câmbio USD-BRL'!O194/'16. câmbio USD-BRL'!O193)^-1-1</f>
        <v>2.7489605214843449E-2</v>
      </c>
    </row>
    <row r="381" spans="10:18" x14ac:dyDescent="0.2">
      <c r="J381" s="354">
        <v>39300</v>
      </c>
      <c r="K381">
        <v>23.6</v>
      </c>
      <c r="L381">
        <v>24.975000000000001</v>
      </c>
      <c r="M381">
        <v>22.135000000000002</v>
      </c>
      <c r="N381">
        <v>22.91</v>
      </c>
      <c r="O381">
        <v>14.036974000000001</v>
      </c>
      <c r="P381">
        <v>18904600</v>
      </c>
      <c r="R381" s="273">
        <f>(O381/O380)*('16. câmbio USD-BRL'!O195/'16. câmbio USD-BRL'!O194)^-1-1</f>
        <v>-6.2185802733145668E-2</v>
      </c>
    </row>
    <row r="382" spans="10:18" x14ac:dyDescent="0.2">
      <c r="J382" s="354">
        <v>39307</v>
      </c>
      <c r="K382">
        <v>23.01</v>
      </c>
      <c r="L382">
        <v>23.25</v>
      </c>
      <c r="M382">
        <v>19.459999</v>
      </c>
      <c r="N382">
        <v>20.43</v>
      </c>
      <c r="O382">
        <v>12.517477</v>
      </c>
      <c r="P382">
        <v>24506000</v>
      </c>
      <c r="R382" s="273">
        <f>(O382/O381)*('16. câmbio USD-BRL'!O196/'16. câmbio USD-BRL'!O195)^-1-1</f>
        <v>-0.14385601384792912</v>
      </c>
    </row>
    <row r="383" spans="10:18" x14ac:dyDescent="0.2">
      <c r="J383" s="354">
        <v>39314</v>
      </c>
      <c r="K383">
        <v>20.629999000000002</v>
      </c>
      <c r="L383">
        <v>22.924999</v>
      </c>
      <c r="M383">
        <v>20.25</v>
      </c>
      <c r="N383">
        <v>22.799999</v>
      </c>
      <c r="O383">
        <v>13.969576</v>
      </c>
      <c r="P383">
        <v>15640600</v>
      </c>
      <c r="R383" s="273">
        <f>(O383/O382)*('16. câmbio USD-BRL'!O197/'16. câmbio USD-BRL'!O196)^-1-1</f>
        <v>0.14243580169528958</v>
      </c>
    </row>
    <row r="384" spans="10:18" x14ac:dyDescent="0.2">
      <c r="J384" s="354">
        <v>39321</v>
      </c>
      <c r="K384">
        <v>22.75</v>
      </c>
      <c r="L384">
        <v>24</v>
      </c>
      <c r="M384">
        <v>21.700001</v>
      </c>
      <c r="N384">
        <v>24</v>
      </c>
      <c r="O384">
        <v>14.809934</v>
      </c>
      <c r="P384">
        <v>12964600</v>
      </c>
      <c r="R384" s="273">
        <f>(O384/O383)*('16. câmbio USD-BRL'!O198/'16. câmbio USD-BRL'!O197)^-1-1</f>
        <v>6.4854425072584654E-2</v>
      </c>
    </row>
    <row r="385" spans="10:18" x14ac:dyDescent="0.2">
      <c r="J385" s="354">
        <v>39328</v>
      </c>
      <c r="K385">
        <v>23.774999999999999</v>
      </c>
      <c r="L385">
        <v>24.1</v>
      </c>
      <c r="M385">
        <v>23</v>
      </c>
      <c r="N385">
        <v>23.35</v>
      </c>
      <c r="O385">
        <v>14.408828</v>
      </c>
      <c r="P385">
        <v>8156800</v>
      </c>
      <c r="R385" s="273">
        <f>(O385/O384)*('16. câmbio USD-BRL'!O199/'16. câmbio USD-BRL'!O198)^-1-1</f>
        <v>4.485679738900572E-3</v>
      </c>
    </row>
    <row r="386" spans="10:18" x14ac:dyDescent="0.2">
      <c r="J386" s="354">
        <v>39335</v>
      </c>
      <c r="K386">
        <v>22.754999000000002</v>
      </c>
      <c r="L386">
        <v>22.975000000000001</v>
      </c>
      <c r="M386">
        <v>21.6</v>
      </c>
      <c r="N386">
        <v>22.114999999999998</v>
      </c>
      <c r="O386">
        <v>13.646735</v>
      </c>
      <c r="P386">
        <v>19081600</v>
      </c>
      <c r="R386" s="273">
        <f>(O386/O385)*('16. câmbio USD-BRL'!O200/'16. câmbio USD-BRL'!O199)^-1-1</f>
        <v>-4.7127865697790372E-2</v>
      </c>
    </row>
    <row r="387" spans="10:18" x14ac:dyDescent="0.2">
      <c r="J387" s="354">
        <v>39342</v>
      </c>
      <c r="K387">
        <v>21.75</v>
      </c>
      <c r="L387">
        <v>23.625</v>
      </c>
      <c r="M387">
        <v>21.555</v>
      </c>
      <c r="N387">
        <v>23.395</v>
      </c>
      <c r="O387">
        <v>14.436602000000001</v>
      </c>
      <c r="P387">
        <v>25355600</v>
      </c>
      <c r="R387" s="273">
        <f>(O387/O386)*('16. câmbio USD-BRL'!O201/'16. câmbio USD-BRL'!O200)^-1-1</f>
        <v>7.66787108308149E-2</v>
      </c>
    </row>
    <row r="388" spans="10:18" x14ac:dyDescent="0.2">
      <c r="J388" s="354">
        <v>39349</v>
      </c>
      <c r="K388">
        <v>23.559999000000001</v>
      </c>
      <c r="L388">
        <v>24.35</v>
      </c>
      <c r="M388">
        <v>23.309999000000001</v>
      </c>
      <c r="N388">
        <v>24.129999000000002</v>
      </c>
      <c r="O388">
        <v>14.890153</v>
      </c>
      <c r="P388">
        <v>18382200</v>
      </c>
      <c r="R388" s="273">
        <f>(O388/O387)*('16. câmbio USD-BRL'!O202/'16. câmbio USD-BRL'!O201)^-1-1</f>
        <v>4.4351630231050043E-2</v>
      </c>
    </row>
    <row r="389" spans="10:18" x14ac:dyDescent="0.2">
      <c r="J389" s="354">
        <v>39356</v>
      </c>
      <c r="K389">
        <v>24.125</v>
      </c>
      <c r="L389">
        <v>25.5</v>
      </c>
      <c r="M389">
        <v>24.125</v>
      </c>
      <c r="N389">
        <v>25.225000000000001</v>
      </c>
      <c r="O389">
        <v>15.565856999999999</v>
      </c>
      <c r="P389">
        <v>22837200</v>
      </c>
      <c r="R389" s="273">
        <f>(O389/O388)*('16. câmbio USD-BRL'!O203/'16. câmbio USD-BRL'!O202)^-1-1</f>
        <v>6.2174818567602097E-2</v>
      </c>
    </row>
    <row r="390" spans="10:18" x14ac:dyDescent="0.2">
      <c r="J390" s="354">
        <v>39363</v>
      </c>
      <c r="K390">
        <v>25.545000000000002</v>
      </c>
      <c r="L390">
        <v>27.075001</v>
      </c>
      <c r="M390">
        <v>25.5</v>
      </c>
      <c r="N390">
        <v>26.799999</v>
      </c>
      <c r="O390">
        <v>16.537762000000001</v>
      </c>
      <c r="P390">
        <v>15054800</v>
      </c>
      <c r="R390" s="273">
        <f>(O390/O389)*('16. câmbio USD-BRL'!O204/'16. câmbio USD-BRL'!O203)^-1-1</f>
        <v>6.5803954998268743E-2</v>
      </c>
    </row>
    <row r="391" spans="10:18" x14ac:dyDescent="0.2">
      <c r="J391" s="354">
        <v>39370</v>
      </c>
      <c r="K391">
        <v>27.245000999999998</v>
      </c>
      <c r="L391">
        <v>27.245000999999998</v>
      </c>
      <c r="M391">
        <v>25.334999</v>
      </c>
      <c r="N391">
        <v>26.575001</v>
      </c>
      <c r="O391">
        <v>16.398907000000001</v>
      </c>
      <c r="P391">
        <v>18501800</v>
      </c>
      <c r="R391" s="273">
        <f>(O391/O390)*('16. câmbio USD-BRL'!O205/'16. câmbio USD-BRL'!O204)^-1-1</f>
        <v>-3.5226766740857895E-3</v>
      </c>
    </row>
    <row r="392" spans="10:18" x14ac:dyDescent="0.2">
      <c r="J392" s="354">
        <v>39377</v>
      </c>
      <c r="K392">
        <v>25.25</v>
      </c>
      <c r="L392">
        <v>26.465</v>
      </c>
      <c r="M392">
        <v>24.9</v>
      </c>
      <c r="N392">
        <v>25.905000999999999</v>
      </c>
      <c r="O392">
        <v>15.985474</v>
      </c>
      <c r="P392">
        <v>14535000</v>
      </c>
      <c r="R392" s="273">
        <f>(O392/O391)*('16. câmbio USD-BRL'!O206/'16. câmbio USD-BRL'!O205)^-1-1</f>
        <v>-1.5089618244770842E-2</v>
      </c>
    </row>
    <row r="393" spans="10:18" x14ac:dyDescent="0.2">
      <c r="J393" s="354">
        <v>39384</v>
      </c>
      <c r="K393">
        <v>27.014999</v>
      </c>
      <c r="L393">
        <v>27.73</v>
      </c>
      <c r="M393">
        <v>26.825001</v>
      </c>
      <c r="N393">
        <v>26.985001</v>
      </c>
      <c r="O393">
        <v>16.651917000000001</v>
      </c>
      <c r="P393">
        <v>15142600</v>
      </c>
      <c r="R393" s="273">
        <f>(O393/O392)*('16. câmbio USD-BRL'!O207/'16. câmbio USD-BRL'!O206)^-1-1</f>
        <v>5.6354678765787147E-2</v>
      </c>
    </row>
    <row r="394" spans="10:18" x14ac:dyDescent="0.2">
      <c r="J394" s="354">
        <v>39391</v>
      </c>
      <c r="K394">
        <v>26.459999</v>
      </c>
      <c r="L394">
        <v>27.35</v>
      </c>
      <c r="M394">
        <v>24.9</v>
      </c>
      <c r="N394">
        <v>25.555</v>
      </c>
      <c r="O394">
        <v>15.769494999999999</v>
      </c>
      <c r="P394">
        <v>18779800</v>
      </c>
      <c r="R394" s="273">
        <f>(O394/O393)*('16. câmbio USD-BRL'!O208/'16. câmbio USD-BRL'!O207)^-1-1</f>
        <v>-5.2883820350713373E-2</v>
      </c>
    </row>
    <row r="395" spans="10:18" x14ac:dyDescent="0.2">
      <c r="J395" s="354">
        <v>39398</v>
      </c>
      <c r="K395">
        <v>25.495000999999998</v>
      </c>
      <c r="L395">
        <v>26.9</v>
      </c>
      <c r="M395">
        <v>24.559999000000001</v>
      </c>
      <c r="N395">
        <v>26.5</v>
      </c>
      <c r="O395">
        <v>16.352633999999998</v>
      </c>
      <c r="P395">
        <v>12883800</v>
      </c>
      <c r="R395" s="273">
        <f>(O395/O394)*('16. câmbio USD-BRL'!O209/'16. câmbio USD-BRL'!O208)^-1-1</f>
        <v>4.0432545883455573E-2</v>
      </c>
    </row>
    <row r="396" spans="10:18" x14ac:dyDescent="0.2">
      <c r="J396" s="354">
        <v>39405</v>
      </c>
      <c r="K396">
        <v>26.495000999999998</v>
      </c>
      <c r="L396">
        <v>26.495000999999998</v>
      </c>
      <c r="M396">
        <v>23.754999000000002</v>
      </c>
      <c r="N396">
        <v>24.045000000000002</v>
      </c>
      <c r="O396">
        <v>14.837704</v>
      </c>
      <c r="P396">
        <v>12704200</v>
      </c>
      <c r="R396" s="273">
        <f>(O396/O395)*('16. câmbio USD-BRL'!O210/'16. câmbio USD-BRL'!O209)^-1-1</f>
        <v>-0.12090954184139724</v>
      </c>
    </row>
    <row r="397" spans="10:18" x14ac:dyDescent="0.2">
      <c r="J397" s="354">
        <v>39412</v>
      </c>
      <c r="K397">
        <v>24.299999</v>
      </c>
      <c r="L397">
        <v>25.780000999999999</v>
      </c>
      <c r="M397">
        <v>22.754999000000002</v>
      </c>
      <c r="N397">
        <v>25.395</v>
      </c>
      <c r="O397">
        <v>15.781230000000001</v>
      </c>
      <c r="P397">
        <v>16351400</v>
      </c>
      <c r="R397" s="273">
        <f>(O397/O396)*('16. câmbio USD-BRL'!O211/'16. câmbio USD-BRL'!O210)^-1-1</f>
        <v>7.6526037052273344E-2</v>
      </c>
    </row>
    <row r="398" spans="10:18" x14ac:dyDescent="0.2">
      <c r="J398" s="354">
        <v>39419</v>
      </c>
      <c r="K398">
        <v>25.5</v>
      </c>
      <c r="L398">
        <v>26.25</v>
      </c>
      <c r="M398">
        <v>25.200001</v>
      </c>
      <c r="N398">
        <v>26.125</v>
      </c>
      <c r="O398">
        <v>16.234870999999998</v>
      </c>
      <c r="P398">
        <v>13459600</v>
      </c>
      <c r="R398" s="273">
        <f>(O398/O397)*('16. câmbio USD-BRL'!O212/'16. câmbio USD-BRL'!O211)^-1-1</f>
        <v>3.8216354759349924E-2</v>
      </c>
    </row>
    <row r="399" spans="10:18" x14ac:dyDescent="0.2">
      <c r="J399" s="354">
        <v>39426</v>
      </c>
      <c r="K399">
        <v>26.415001</v>
      </c>
      <c r="L399">
        <v>26.940000999999999</v>
      </c>
      <c r="M399">
        <v>24.450001</v>
      </c>
      <c r="N399">
        <v>24.875</v>
      </c>
      <c r="O399">
        <v>15.458081</v>
      </c>
      <c r="P399">
        <v>16267400</v>
      </c>
      <c r="R399" s="273">
        <f>(O399/O398)*('16. câmbio USD-BRL'!O213/'16. câmbio USD-BRL'!O212)^-1-1</f>
        <v>-6.60514936979123E-2</v>
      </c>
    </row>
    <row r="400" spans="10:18" x14ac:dyDescent="0.2">
      <c r="J400" s="354">
        <v>39433</v>
      </c>
      <c r="K400">
        <v>24.799999</v>
      </c>
      <c r="L400">
        <v>26.575001</v>
      </c>
      <c r="M400">
        <v>24</v>
      </c>
      <c r="N400">
        <v>26.504999000000002</v>
      </c>
      <c r="O400">
        <v>16.471024</v>
      </c>
      <c r="P400">
        <v>18914400</v>
      </c>
      <c r="R400" s="273">
        <f>(O400/O399)*('16. câmbio USD-BRL'!O214/'16. câmbio USD-BRL'!O213)^-1-1</f>
        <v>6.8327230225437852E-2</v>
      </c>
    </row>
    <row r="401" spans="10:18" x14ac:dyDescent="0.2">
      <c r="J401" s="354">
        <v>39440</v>
      </c>
      <c r="K401">
        <v>26.504999000000002</v>
      </c>
      <c r="L401">
        <v>26.524999999999999</v>
      </c>
      <c r="M401">
        <v>25.98</v>
      </c>
      <c r="N401">
        <v>25.98</v>
      </c>
      <c r="O401">
        <v>16.144763999999999</v>
      </c>
      <c r="P401">
        <v>5748800</v>
      </c>
      <c r="R401" s="273">
        <f>(O401/O400)*('16. câmbio USD-BRL'!O215/'16. câmbio USD-BRL'!O214)^-1-1</f>
        <v>-7.6063299680774188E-3</v>
      </c>
    </row>
    <row r="402" spans="10:18" x14ac:dyDescent="0.2">
      <c r="J402" s="354">
        <v>39447</v>
      </c>
      <c r="K402">
        <v>25.98</v>
      </c>
      <c r="L402">
        <v>25.98</v>
      </c>
      <c r="M402">
        <v>25.98</v>
      </c>
      <c r="N402">
        <v>25.98</v>
      </c>
      <c r="O402">
        <v>16.144763999999999</v>
      </c>
      <c r="P402">
        <v>0</v>
      </c>
      <c r="R402" s="273">
        <f>(O402/O401)*('16. câmbio USD-BRL'!O216/'16. câmbio USD-BRL'!O215)^-1-1</f>
        <v>5.7477805599817078E-3</v>
      </c>
    </row>
    <row r="403" spans="10:18" x14ac:dyDescent="0.2">
      <c r="J403" s="354">
        <v>39454</v>
      </c>
      <c r="K403">
        <v>25.98</v>
      </c>
      <c r="L403">
        <v>25.98</v>
      </c>
      <c r="M403">
        <v>25.98</v>
      </c>
      <c r="N403">
        <v>25.98</v>
      </c>
      <c r="O403">
        <v>16.144763999999999</v>
      </c>
      <c r="P403">
        <v>0</v>
      </c>
      <c r="R403" s="273">
        <f>(O403/O402)*('16. câmbio USD-BRL'!O217/'16. câmbio USD-BRL'!O216)^-1-1</f>
        <v>6.6452795600366876E-3</v>
      </c>
    </row>
    <row r="404" spans="10:18" x14ac:dyDescent="0.2">
      <c r="J404" s="354">
        <v>39461</v>
      </c>
      <c r="K404">
        <v>25.98</v>
      </c>
      <c r="L404">
        <v>25.98</v>
      </c>
      <c r="M404">
        <v>25.98</v>
      </c>
      <c r="N404">
        <v>25.98</v>
      </c>
      <c r="O404">
        <v>16.144763999999999</v>
      </c>
      <c r="P404">
        <v>0</v>
      </c>
      <c r="R404" s="273">
        <f>(O404/O403)*('16. câmbio USD-BRL'!O218/'16. câmbio USD-BRL'!O217)^-1-1</f>
        <v>-2.545779365788281E-2</v>
      </c>
    </row>
    <row r="405" spans="10:18" x14ac:dyDescent="0.2">
      <c r="J405" s="354">
        <v>39468</v>
      </c>
      <c r="K405">
        <v>25.98</v>
      </c>
      <c r="L405">
        <v>25.98</v>
      </c>
      <c r="M405">
        <v>25.98</v>
      </c>
      <c r="N405">
        <v>25.98</v>
      </c>
      <c r="O405">
        <v>16.144763999999999</v>
      </c>
      <c r="P405">
        <v>0</v>
      </c>
      <c r="R405" s="273">
        <f>(O405/O404)*('16. câmbio USD-BRL'!O219/'16. câmbio USD-BRL'!O218)^-1-1</f>
        <v>6.1225636128741101E-3</v>
      </c>
    </row>
    <row r="406" spans="10:18" x14ac:dyDescent="0.2">
      <c r="J406" s="354">
        <v>39475</v>
      </c>
      <c r="K406">
        <v>25.98</v>
      </c>
      <c r="L406">
        <v>25.98</v>
      </c>
      <c r="M406">
        <v>25.98</v>
      </c>
      <c r="N406">
        <v>25.98</v>
      </c>
      <c r="O406">
        <v>16.144763999999999</v>
      </c>
      <c r="P406">
        <v>0</v>
      </c>
      <c r="R406" s="273">
        <f>(O406/O405)*('16. câmbio USD-BRL'!O220/'16. câmbio USD-BRL'!O219)^-1-1</f>
        <v>2.2984542894903148E-2</v>
      </c>
    </row>
    <row r="407" spans="10:18" x14ac:dyDescent="0.2">
      <c r="J407" s="354">
        <v>39482</v>
      </c>
      <c r="K407">
        <v>25.98</v>
      </c>
      <c r="L407">
        <v>25.98</v>
      </c>
      <c r="M407">
        <v>25.98</v>
      </c>
      <c r="N407">
        <v>25.98</v>
      </c>
      <c r="O407">
        <v>16.144763999999999</v>
      </c>
      <c r="P407">
        <v>0</v>
      </c>
      <c r="R407" s="273">
        <f>(O407/O406)*('16. câmbio USD-BRL'!O221/'16. câmbio USD-BRL'!O220)^-1-1</f>
        <v>-1.0855973627373117E-2</v>
      </c>
    </row>
    <row r="408" spans="10:18" x14ac:dyDescent="0.2">
      <c r="J408" s="354">
        <v>39489</v>
      </c>
      <c r="K408">
        <v>25.98</v>
      </c>
      <c r="L408">
        <v>25.98</v>
      </c>
      <c r="M408">
        <v>25.98</v>
      </c>
      <c r="N408">
        <v>25.98</v>
      </c>
      <c r="O408">
        <v>16.144763999999999</v>
      </c>
      <c r="P408">
        <v>0</v>
      </c>
      <c r="R408" s="273">
        <f>(O408/O407)*('16. câmbio USD-BRL'!O222/'16. câmbio USD-BRL'!O221)^-1-1</f>
        <v>6.8097281831187573E-3</v>
      </c>
    </row>
    <row r="409" spans="10:18" x14ac:dyDescent="0.2">
      <c r="J409" s="354">
        <v>39496</v>
      </c>
      <c r="K409">
        <v>25.98</v>
      </c>
      <c r="L409">
        <v>25.98</v>
      </c>
      <c r="M409">
        <v>25.98</v>
      </c>
      <c r="N409">
        <v>25.98</v>
      </c>
      <c r="O409">
        <v>16.144763999999999</v>
      </c>
      <c r="P409">
        <v>0</v>
      </c>
      <c r="R409" s="273">
        <f>(O409/O408)*('16. câmbio USD-BRL'!O223/'16. câmbio USD-BRL'!O222)^-1-1</f>
        <v>2.4926686217008776E-2</v>
      </c>
    </row>
    <row r="410" spans="10:18" x14ac:dyDescent="0.2">
      <c r="J410" s="354">
        <v>39503</v>
      </c>
      <c r="K410">
        <v>25.98</v>
      </c>
      <c r="L410">
        <v>25.98</v>
      </c>
      <c r="M410">
        <v>25.98</v>
      </c>
      <c r="N410">
        <v>25.98</v>
      </c>
      <c r="O410">
        <v>16.144763999999999</v>
      </c>
      <c r="P410">
        <v>0</v>
      </c>
      <c r="R410" s="273">
        <f>(O410/O409)*('16. câmbio USD-BRL'!O224/'16. câmbio USD-BRL'!O223)^-1-1</f>
        <v>1.5787905868334784E-2</v>
      </c>
    </row>
    <row r="411" spans="10:18" x14ac:dyDescent="0.2">
      <c r="J411" s="354">
        <v>39510</v>
      </c>
      <c r="K411">
        <v>25.98</v>
      </c>
      <c r="L411">
        <v>25.98</v>
      </c>
      <c r="M411">
        <v>25.98</v>
      </c>
      <c r="N411">
        <v>25.98</v>
      </c>
      <c r="O411">
        <v>16.235375999999999</v>
      </c>
      <c r="P411">
        <v>0</v>
      </c>
      <c r="R411" s="273">
        <f>(O411/O410)*('16. câmbio USD-BRL'!O225/'16. câmbio USD-BRL'!O224)^-1-1</f>
        <v>7.2362039484663576E-4</v>
      </c>
    </row>
    <row r="412" spans="10:18" x14ac:dyDescent="0.2">
      <c r="J412" s="354">
        <v>39517</v>
      </c>
      <c r="K412">
        <v>25.98</v>
      </c>
      <c r="L412">
        <v>25.98</v>
      </c>
      <c r="M412">
        <v>25.98</v>
      </c>
      <c r="N412">
        <v>25.98</v>
      </c>
      <c r="O412">
        <v>16.235375999999999</v>
      </c>
      <c r="P412">
        <v>0</v>
      </c>
      <c r="R412" s="273">
        <f>(O412/O411)*('16. câmbio USD-BRL'!O226/'16. câmbio USD-BRL'!O225)^-1-1</f>
        <v>-1.2123696849010046E-2</v>
      </c>
    </row>
    <row r="413" spans="10:18" x14ac:dyDescent="0.2">
      <c r="J413" s="354">
        <v>39524</v>
      </c>
      <c r="K413">
        <v>25.98</v>
      </c>
      <c r="L413">
        <v>25.98</v>
      </c>
      <c r="M413">
        <v>25.98</v>
      </c>
      <c r="N413">
        <v>25.98</v>
      </c>
      <c r="O413">
        <v>16.235375999999999</v>
      </c>
      <c r="P413">
        <v>0</v>
      </c>
      <c r="R413" s="273">
        <f>(O413/O412)*('16. câmbio USD-BRL'!O227/'16. câmbio USD-BRL'!O226)^-1-1</f>
        <v>-1.754991656597038E-2</v>
      </c>
    </row>
    <row r="414" spans="10:18" x14ac:dyDescent="0.2">
      <c r="J414" s="354">
        <v>39531</v>
      </c>
      <c r="K414">
        <v>25.98</v>
      </c>
      <c r="L414">
        <v>25.98</v>
      </c>
      <c r="M414">
        <v>25.98</v>
      </c>
      <c r="N414">
        <v>25.98</v>
      </c>
      <c r="O414">
        <v>16.235375999999999</v>
      </c>
      <c r="P414">
        <v>0</v>
      </c>
      <c r="R414" s="273">
        <f>(O414/O413)*('16. câmbio USD-BRL'!O228/'16. câmbio USD-BRL'!O227)^-1-1</f>
        <v>1.1509466536230306E-4</v>
      </c>
    </row>
    <row r="415" spans="10:18" x14ac:dyDescent="0.2">
      <c r="J415" s="354">
        <v>39538</v>
      </c>
      <c r="K415">
        <v>25.98</v>
      </c>
      <c r="L415">
        <v>25.98</v>
      </c>
      <c r="M415">
        <v>25.98</v>
      </c>
      <c r="N415">
        <v>25.98</v>
      </c>
      <c r="O415">
        <v>16.235375999999999</v>
      </c>
      <c r="P415">
        <v>0</v>
      </c>
      <c r="R415" s="273">
        <f>(O415/O414)*('16. câmbio USD-BRL'!O229/'16. câmbio USD-BRL'!O228)^-1-1</f>
        <v>1.9477852742739943E-2</v>
      </c>
    </row>
    <row r="416" spans="10:18" x14ac:dyDescent="0.2">
      <c r="J416" s="354">
        <v>39545</v>
      </c>
      <c r="K416">
        <v>25.98</v>
      </c>
      <c r="L416">
        <v>25.98</v>
      </c>
      <c r="M416">
        <v>25.98</v>
      </c>
      <c r="N416">
        <v>25.98</v>
      </c>
      <c r="O416">
        <v>16.235375999999999</v>
      </c>
      <c r="P416">
        <v>0</v>
      </c>
      <c r="R416" s="273">
        <f>(O416/O415)*('16. câmbio USD-BRL'!O230/'16. câmbio USD-BRL'!O229)^-1-1</f>
        <v>1.3798846130969933E-2</v>
      </c>
    </row>
    <row r="417" spans="10:18" x14ac:dyDescent="0.2">
      <c r="J417" s="354">
        <v>39552</v>
      </c>
      <c r="K417">
        <v>25.98</v>
      </c>
      <c r="L417">
        <v>25.98</v>
      </c>
      <c r="M417">
        <v>25.98</v>
      </c>
      <c r="N417">
        <v>25.98</v>
      </c>
      <c r="O417">
        <v>16.235375999999999</v>
      </c>
      <c r="P417">
        <v>0</v>
      </c>
      <c r="R417" s="273">
        <f>(O417/O416)*('16. câmbio USD-BRL'!O231/'16. câmbio USD-BRL'!O230)^-1-1</f>
        <v>1.2526347485697142E-2</v>
      </c>
    </row>
    <row r="418" spans="10:18" x14ac:dyDescent="0.2">
      <c r="J418" s="354">
        <v>39559</v>
      </c>
      <c r="K418">
        <v>25.98</v>
      </c>
      <c r="L418">
        <v>25.98</v>
      </c>
      <c r="M418">
        <v>25.98</v>
      </c>
      <c r="N418">
        <v>25.98</v>
      </c>
      <c r="O418">
        <v>16.235375999999999</v>
      </c>
      <c r="P418">
        <v>0</v>
      </c>
      <c r="R418" s="273">
        <f>(O418/O417)*('16. câmbio USD-BRL'!O232/'16. câmbio USD-BRL'!O231)^-1-1</f>
        <v>-1.5033072760072264E-3</v>
      </c>
    </row>
    <row r="419" spans="10:18" x14ac:dyDescent="0.2">
      <c r="J419" s="354">
        <v>39566</v>
      </c>
      <c r="K419">
        <v>25.98</v>
      </c>
      <c r="L419">
        <v>25.98</v>
      </c>
      <c r="M419">
        <v>25.98</v>
      </c>
      <c r="N419">
        <v>25.98</v>
      </c>
      <c r="O419">
        <v>16.235375999999999</v>
      </c>
      <c r="P419">
        <v>0</v>
      </c>
      <c r="R419" s="273">
        <f>(O419/O418)*('16. câmbio USD-BRL'!O233/'16. câmbio USD-BRL'!O232)^-1-1</f>
        <v>1.2480974124809752E-2</v>
      </c>
    </row>
    <row r="420" spans="10:18" x14ac:dyDescent="0.2">
      <c r="J420" s="354">
        <v>39573</v>
      </c>
      <c r="K420">
        <v>25.98</v>
      </c>
      <c r="L420">
        <v>25.98</v>
      </c>
      <c r="M420">
        <v>25.98</v>
      </c>
      <c r="N420">
        <v>25.98</v>
      </c>
      <c r="O420">
        <v>16.235375999999999</v>
      </c>
      <c r="P420">
        <v>0</v>
      </c>
      <c r="R420" s="273">
        <f>(O420/O419)*('16. câmbio USD-BRL'!O234/'16. câmbio USD-BRL'!O233)^-1-1</f>
        <v>-2.5511717591219285E-2</v>
      </c>
    </row>
    <row r="421" spans="10:18" x14ac:dyDescent="0.2">
      <c r="J421" s="354">
        <v>39580</v>
      </c>
      <c r="K421">
        <v>25.98</v>
      </c>
      <c r="L421">
        <v>25.98</v>
      </c>
      <c r="M421">
        <v>25.98</v>
      </c>
      <c r="N421">
        <v>25.98</v>
      </c>
      <c r="O421">
        <v>16.235375999999999</v>
      </c>
      <c r="P421">
        <v>0</v>
      </c>
      <c r="R421" s="273">
        <f>(O421/O420)*('16. câmbio USD-BRL'!O235/'16. câmbio USD-BRL'!O234)^-1-1</f>
        <v>2.8057334553217572E-2</v>
      </c>
    </row>
    <row r="422" spans="10:18" x14ac:dyDescent="0.2">
      <c r="J422" s="354">
        <v>39587</v>
      </c>
      <c r="K422">
        <v>25.98</v>
      </c>
      <c r="L422">
        <v>25.98</v>
      </c>
      <c r="M422">
        <v>25.98</v>
      </c>
      <c r="N422">
        <v>25.98</v>
      </c>
      <c r="O422">
        <v>16.235375999999999</v>
      </c>
      <c r="P422">
        <v>0</v>
      </c>
      <c r="R422" s="273">
        <f>(O422/O421)*('16. câmbio USD-BRL'!O236/'16. câmbio USD-BRL'!O235)^-1-1</f>
        <v>-6.3636363636363491E-3</v>
      </c>
    </row>
    <row r="423" spans="10:18" x14ac:dyDescent="0.2">
      <c r="J423" s="354">
        <v>39594</v>
      </c>
      <c r="K423">
        <v>25.98</v>
      </c>
      <c r="L423">
        <v>25.98</v>
      </c>
      <c r="M423">
        <v>25.98</v>
      </c>
      <c r="N423">
        <v>25.98</v>
      </c>
      <c r="O423">
        <v>16.364504</v>
      </c>
      <c r="P423">
        <v>0</v>
      </c>
      <c r="R423" s="273">
        <f>(O423/O422)*('16. câmbio USD-BRL'!O237/'16. câmbio USD-BRL'!O236)^-1-1</f>
        <v>2.5037453679931598E-2</v>
      </c>
    </row>
    <row r="424" spans="10:18" x14ac:dyDescent="0.2">
      <c r="J424" s="354">
        <v>39601</v>
      </c>
      <c r="K424">
        <v>25.98</v>
      </c>
      <c r="L424">
        <v>25.98</v>
      </c>
      <c r="M424">
        <v>25.98</v>
      </c>
      <c r="N424">
        <v>25.98</v>
      </c>
      <c r="O424">
        <v>16.364504</v>
      </c>
      <c r="P424">
        <v>0</v>
      </c>
      <c r="R424" s="273">
        <f>(O424/O423)*('16. câmbio USD-BRL'!O238/'16. câmbio USD-BRL'!O237)^-1-1</f>
        <v>-6.1629483544933805E-5</v>
      </c>
    </row>
    <row r="425" spans="10:18" x14ac:dyDescent="0.2">
      <c r="J425" s="354">
        <v>39608</v>
      </c>
      <c r="K425">
        <v>25.98</v>
      </c>
      <c r="L425">
        <v>25.98</v>
      </c>
      <c r="M425">
        <v>25.98</v>
      </c>
      <c r="N425">
        <v>25.98</v>
      </c>
      <c r="O425">
        <v>16.364504</v>
      </c>
      <c r="P425">
        <v>0</v>
      </c>
      <c r="R425" s="273">
        <f>(O425/O424)*('16. câmbio USD-BRL'!O239/'16. câmbio USD-BRL'!O238)^-1-1</f>
        <v>-2.5817555938038028E-3</v>
      </c>
    </row>
    <row r="426" spans="10:18" x14ac:dyDescent="0.2">
      <c r="J426" s="354">
        <v>39615</v>
      </c>
      <c r="K426">
        <v>25.98</v>
      </c>
      <c r="L426">
        <v>25.98</v>
      </c>
      <c r="M426">
        <v>25.98</v>
      </c>
      <c r="N426">
        <v>25.98</v>
      </c>
      <c r="O426">
        <v>16.364504</v>
      </c>
      <c r="P426">
        <v>0</v>
      </c>
      <c r="R426" s="273">
        <f>(O426/O425)*('16. câmbio USD-BRL'!O240/'16. câmbio USD-BRL'!O239)^-1-1</f>
        <v>1.7258629314657492E-2</v>
      </c>
    </row>
    <row r="427" spans="10:18" x14ac:dyDescent="0.2">
      <c r="J427" s="354">
        <v>39622</v>
      </c>
      <c r="K427">
        <v>25.98</v>
      </c>
      <c r="L427">
        <v>25.98</v>
      </c>
      <c r="M427">
        <v>25.98</v>
      </c>
      <c r="N427">
        <v>25.98</v>
      </c>
      <c r="O427">
        <v>16.364504</v>
      </c>
      <c r="P427">
        <v>0</v>
      </c>
      <c r="R427" s="273">
        <f>(O427/O426)*('16. câmbio USD-BRL'!O241/'16. câmbio USD-BRL'!O240)^-1-1</f>
        <v>-1.1242973141786239E-3</v>
      </c>
    </row>
    <row r="428" spans="10:18" x14ac:dyDescent="0.2">
      <c r="J428" s="354">
        <v>39629</v>
      </c>
      <c r="K428">
        <v>25.98</v>
      </c>
      <c r="L428">
        <v>25.98</v>
      </c>
      <c r="M428">
        <v>25.98</v>
      </c>
      <c r="N428">
        <v>25.98</v>
      </c>
      <c r="O428">
        <v>16.364504</v>
      </c>
      <c r="P428">
        <v>0</v>
      </c>
      <c r="R428" s="273">
        <f>(O428/O427)*('16. câmbio USD-BRL'!O242/'16. câmbio USD-BRL'!O241)^-1-1</f>
        <v>-6.2421972534332237E-4</v>
      </c>
    </row>
    <row r="429" spans="10:18" x14ac:dyDescent="0.2">
      <c r="J429" s="354">
        <v>39636</v>
      </c>
      <c r="K429">
        <v>25.98</v>
      </c>
      <c r="L429">
        <v>25.98</v>
      </c>
      <c r="M429">
        <v>25.98</v>
      </c>
      <c r="N429">
        <v>25.98</v>
      </c>
      <c r="O429">
        <v>16.364504</v>
      </c>
      <c r="P429">
        <v>0</v>
      </c>
      <c r="R429" s="273">
        <f>(O429/O428)*('16. câmbio USD-BRL'!O243/'16. câmbio USD-BRL'!O242)^-1-1</f>
        <v>3.1220730565095778E-4</v>
      </c>
    </row>
    <row r="430" spans="10:18" x14ac:dyDescent="0.2">
      <c r="J430" s="354">
        <v>39643</v>
      </c>
      <c r="K430">
        <v>25.98</v>
      </c>
      <c r="L430">
        <v>25.98</v>
      </c>
      <c r="M430">
        <v>25.98</v>
      </c>
      <c r="N430">
        <v>25.98</v>
      </c>
      <c r="O430">
        <v>16.364504</v>
      </c>
      <c r="P430">
        <v>0</v>
      </c>
      <c r="R430" s="273">
        <f>(O430/O429)*('16. câmbio USD-BRL'!O244/'16. câmbio USD-BRL'!O243)^-1-1</f>
        <v>7.8665827564505797E-3</v>
      </c>
    </row>
    <row r="431" spans="10:18" x14ac:dyDescent="0.2">
      <c r="J431" s="354">
        <v>39650</v>
      </c>
      <c r="K431">
        <v>25.98</v>
      </c>
      <c r="L431">
        <v>25.98</v>
      </c>
      <c r="M431">
        <v>25.98</v>
      </c>
      <c r="N431">
        <v>25.98</v>
      </c>
      <c r="O431">
        <v>16.364504</v>
      </c>
      <c r="P431">
        <v>0</v>
      </c>
      <c r="R431" s="273">
        <f>(O431/O430)*('16. câmbio USD-BRL'!O245/'16. câmbio USD-BRL'!O244)^-1-1</f>
        <v>1.2617894468518909E-2</v>
      </c>
    </row>
    <row r="432" spans="10:18" x14ac:dyDescent="0.2">
      <c r="J432" s="354">
        <v>39657</v>
      </c>
      <c r="K432">
        <v>25.98</v>
      </c>
      <c r="L432">
        <v>34.900002000000001</v>
      </c>
      <c r="M432">
        <v>25.98</v>
      </c>
      <c r="N432">
        <v>33</v>
      </c>
      <c r="O432">
        <v>20.786327</v>
      </c>
      <c r="P432">
        <v>15864200</v>
      </c>
      <c r="R432" s="273">
        <f>(O432/O431)*('16. câmbio USD-BRL'!O246/'16. câmbio USD-BRL'!O245)^-1-1</f>
        <v>0.27622659185826715</v>
      </c>
    </row>
    <row r="433" spans="10:18" x14ac:dyDescent="0.2">
      <c r="J433" s="354">
        <v>39664</v>
      </c>
      <c r="K433">
        <v>32.599997999999999</v>
      </c>
      <c r="L433">
        <v>33.470001000000003</v>
      </c>
      <c r="M433">
        <v>30.209999</v>
      </c>
      <c r="N433">
        <v>30.450001</v>
      </c>
      <c r="O433">
        <v>19.180112999999999</v>
      </c>
      <c r="P433">
        <v>22566300</v>
      </c>
      <c r="R433" s="273" t="e">
        <f>(O433/O432)*('16. câmbio USD-BRL'!O247/'16. câmbio USD-BRL'!O246)^-1-1</f>
        <v>#VALUE!</v>
      </c>
    </row>
    <row r="434" spans="10:18" x14ac:dyDescent="0.2">
      <c r="J434" s="354">
        <v>39671</v>
      </c>
      <c r="K434">
        <v>30.99</v>
      </c>
      <c r="L434">
        <v>30.99</v>
      </c>
      <c r="M434">
        <v>27.450001</v>
      </c>
      <c r="N434">
        <v>28.360001</v>
      </c>
      <c r="O434">
        <v>17.863645999999999</v>
      </c>
      <c r="P434">
        <v>24159700</v>
      </c>
      <c r="R434" s="273" t="e">
        <f>(O434/O433)*('16. câmbio USD-BRL'!O248/'16. câmbio USD-BRL'!O247)^-1-1</f>
        <v>#VALUE!</v>
      </c>
    </row>
    <row r="435" spans="10:18" x14ac:dyDescent="0.2">
      <c r="J435" s="354">
        <v>39678</v>
      </c>
      <c r="K435">
        <v>28.360001</v>
      </c>
      <c r="L435">
        <v>28.360001</v>
      </c>
      <c r="M435">
        <v>28.360001</v>
      </c>
      <c r="N435">
        <v>28.360001</v>
      </c>
      <c r="O435">
        <v>17.863645999999999</v>
      </c>
      <c r="P435">
        <v>0</v>
      </c>
      <c r="R435" s="273" t="e">
        <f>(O435/O434)*('16. câmbio USD-BRL'!O249/'16. câmbio USD-BRL'!O248)^-1-1</f>
        <v>#VALUE!</v>
      </c>
    </row>
    <row r="436" spans="10:18" x14ac:dyDescent="0.2">
      <c r="J436" s="354">
        <v>39685</v>
      </c>
      <c r="K436">
        <v>28.360001</v>
      </c>
      <c r="L436">
        <v>28.360001</v>
      </c>
      <c r="M436">
        <v>28.360001</v>
      </c>
      <c r="N436">
        <v>28.360001</v>
      </c>
      <c r="O436">
        <v>18.093323000000002</v>
      </c>
      <c r="P436">
        <v>0</v>
      </c>
      <c r="R436" s="273" t="e">
        <f>(O436/O435)*('16. câmbio USD-BRL'!O250/'16. câmbio USD-BRL'!O249)^-1-1</f>
        <v>#VALUE!</v>
      </c>
    </row>
    <row r="437" spans="10:18" x14ac:dyDescent="0.2">
      <c r="J437" s="354">
        <v>39692</v>
      </c>
      <c r="K437">
        <v>28.360001</v>
      </c>
      <c r="L437">
        <v>28.360001</v>
      </c>
      <c r="M437">
        <v>28.360001</v>
      </c>
      <c r="N437">
        <v>28.360001</v>
      </c>
      <c r="O437">
        <v>18.093323000000002</v>
      </c>
      <c r="P437">
        <v>0</v>
      </c>
      <c r="R437" s="273">
        <f>(O437/O436)*('16. câmbio USD-BRL'!O251/'16. câmbio USD-BRL'!O250)^-1-1</f>
        <v>-5.679912082827232E-2</v>
      </c>
    </row>
    <row r="438" spans="10:18" x14ac:dyDescent="0.2">
      <c r="J438" s="354">
        <v>39699</v>
      </c>
      <c r="K438">
        <v>28.360001</v>
      </c>
      <c r="L438">
        <v>28.360001</v>
      </c>
      <c r="M438">
        <v>28.360001</v>
      </c>
      <c r="N438">
        <v>28.360001</v>
      </c>
      <c r="O438">
        <v>18.093323000000002</v>
      </c>
      <c r="P438">
        <v>0</v>
      </c>
      <c r="R438" s="273">
        <f>(O438/O437)*('16. câmbio USD-BRL'!O252/'16. câmbio USD-BRL'!O251)^-1-1</f>
        <v>-2.7341772151898813E-2</v>
      </c>
    </row>
    <row r="439" spans="10:18" x14ac:dyDescent="0.2">
      <c r="J439" s="354">
        <v>39706</v>
      </c>
      <c r="K439">
        <v>28.360001</v>
      </c>
      <c r="L439">
        <v>28.360001</v>
      </c>
      <c r="M439">
        <v>28.360001</v>
      </c>
      <c r="N439">
        <v>28.360001</v>
      </c>
      <c r="O439">
        <v>18.093323000000002</v>
      </c>
      <c r="P439">
        <v>0</v>
      </c>
      <c r="R439" s="273">
        <f>(O439/O438)*('16. câmbio USD-BRL'!O253/'16. câmbio USD-BRL'!O252)^-1-1</f>
        <v>-2.1200440528634346E-2</v>
      </c>
    </row>
    <row r="440" spans="10:18" x14ac:dyDescent="0.2">
      <c r="J440" s="354">
        <v>39713</v>
      </c>
      <c r="K440">
        <v>28.360001</v>
      </c>
      <c r="L440">
        <v>28.360001</v>
      </c>
      <c r="M440">
        <v>28.360001</v>
      </c>
      <c r="N440">
        <v>28.360001</v>
      </c>
      <c r="O440">
        <v>18.093323000000002</v>
      </c>
      <c r="P440">
        <v>0</v>
      </c>
      <c r="R440" s="273">
        <f>(O440/O439)*('16. câmbio USD-BRL'!O254/'16. câmbio USD-BRL'!O253)^-1-1</f>
        <v>-1.7103269105866903E-2</v>
      </c>
    </row>
    <row r="441" spans="10:18" x14ac:dyDescent="0.2">
      <c r="J441" s="354">
        <v>39720</v>
      </c>
      <c r="K441">
        <v>28.360001</v>
      </c>
      <c r="L441">
        <v>28.360001</v>
      </c>
      <c r="M441">
        <v>28.360001</v>
      </c>
      <c r="N441">
        <v>28.360001</v>
      </c>
      <c r="O441">
        <v>18.093323000000002</v>
      </c>
      <c r="P441">
        <v>0</v>
      </c>
      <c r="R441" s="273">
        <f>(O441/O440)*('16. câmbio USD-BRL'!O255/'16. câmbio USD-BRL'!O254)^-1-1</f>
        <v>-8.6251236399604414E-2</v>
      </c>
    </row>
    <row r="442" spans="10:18" x14ac:dyDescent="0.2">
      <c r="J442" s="354">
        <v>39727</v>
      </c>
      <c r="K442">
        <v>28.360001</v>
      </c>
      <c r="L442">
        <v>28.360001</v>
      </c>
      <c r="M442">
        <v>28.360001</v>
      </c>
      <c r="N442">
        <v>28.360001</v>
      </c>
      <c r="O442">
        <v>18.093323000000002</v>
      </c>
      <c r="P442">
        <v>0</v>
      </c>
      <c r="R442" s="273">
        <f>(O442/O441)*('16. câmbio USD-BRL'!O256/'16. câmbio USD-BRL'!O255)^-1-1</f>
        <v>-0.1007338225483656</v>
      </c>
    </row>
    <row r="443" spans="10:18" x14ac:dyDescent="0.2">
      <c r="J443" s="354">
        <v>39734</v>
      </c>
      <c r="K443">
        <v>28.360001</v>
      </c>
      <c r="L443">
        <v>28.360001</v>
      </c>
      <c r="M443">
        <v>28.360001</v>
      </c>
      <c r="N443">
        <v>28.360001</v>
      </c>
      <c r="O443">
        <v>18.093323000000002</v>
      </c>
      <c r="P443">
        <v>0</v>
      </c>
      <c r="R443" s="273">
        <f>(O443/O442)*('16. câmbio USD-BRL'!O257/'16. câmbio USD-BRL'!O256)^-1-1</f>
        <v>8.701957940536631E-2</v>
      </c>
    </row>
    <row r="444" spans="10:18" x14ac:dyDescent="0.2">
      <c r="J444" s="354">
        <v>39741</v>
      </c>
      <c r="K444">
        <v>28.360001</v>
      </c>
      <c r="L444">
        <v>28.360001</v>
      </c>
      <c r="M444">
        <v>28.360001</v>
      </c>
      <c r="N444">
        <v>28.360001</v>
      </c>
      <c r="O444">
        <v>18.093323000000002</v>
      </c>
      <c r="P444">
        <v>0</v>
      </c>
      <c r="R444" s="273">
        <f>(O444/O443)*('16. câmbio USD-BRL'!O258/'16. câmbio USD-BRL'!O257)^-1-1</f>
        <v>-9.148805340829258E-2</v>
      </c>
    </row>
    <row r="445" spans="10:18" x14ac:dyDescent="0.2">
      <c r="J445" s="354">
        <v>39748</v>
      </c>
      <c r="K445">
        <v>28.360001</v>
      </c>
      <c r="L445">
        <v>28.360001</v>
      </c>
      <c r="M445">
        <v>28.360001</v>
      </c>
      <c r="N445">
        <v>28.360001</v>
      </c>
      <c r="O445">
        <v>18.093323000000002</v>
      </c>
      <c r="P445">
        <v>0</v>
      </c>
      <c r="R445" s="273">
        <f>(O445/O444)*('16. câmbio USD-BRL'!O259/'16. câmbio USD-BRL'!O258)^-1-1</f>
        <v>8.5741535526943302E-2</v>
      </c>
    </row>
    <row r="446" spans="10:18" x14ac:dyDescent="0.2">
      <c r="J446" s="354">
        <v>39755</v>
      </c>
      <c r="K446">
        <v>28.360001</v>
      </c>
      <c r="L446">
        <v>28.360001</v>
      </c>
      <c r="M446">
        <v>28.360001</v>
      </c>
      <c r="N446">
        <v>28.360001</v>
      </c>
      <c r="O446">
        <v>18.093323000000002</v>
      </c>
      <c r="P446">
        <v>0</v>
      </c>
      <c r="R446" s="273">
        <f>(O446/O445)*('16. câmbio USD-BRL'!O260/'16. câmbio USD-BRL'!O259)^-1-1</f>
        <v>-2.2605453274295195E-2</v>
      </c>
    </row>
    <row r="447" spans="10:18" x14ac:dyDescent="0.2">
      <c r="J447" s="354">
        <v>39762</v>
      </c>
      <c r="K447">
        <v>28.360001</v>
      </c>
      <c r="L447">
        <v>28.360001</v>
      </c>
      <c r="M447">
        <v>28.360001</v>
      </c>
      <c r="N447">
        <v>28.360001</v>
      </c>
      <c r="O447">
        <v>18.093323000000002</v>
      </c>
      <c r="P447">
        <v>0</v>
      </c>
      <c r="R447" s="273">
        <f>(O447/O446)*('16. câmbio USD-BRL'!O261/'16. câmbio USD-BRL'!O260)^-1-1</f>
        <v>-3.6379968560520948E-2</v>
      </c>
    </row>
    <row r="448" spans="10:18" x14ac:dyDescent="0.2">
      <c r="J448" s="354">
        <v>39769</v>
      </c>
      <c r="K448">
        <v>28.360001</v>
      </c>
      <c r="L448">
        <v>28.360001</v>
      </c>
      <c r="M448">
        <v>28.360001</v>
      </c>
      <c r="N448">
        <v>28.360001</v>
      </c>
      <c r="O448">
        <v>18.093323000000002</v>
      </c>
      <c r="P448">
        <v>0</v>
      </c>
      <c r="R448" s="273">
        <f>(O448/O447)*('16. câmbio USD-BRL'!O262/'16. câmbio USD-BRL'!O261)^-1-1</f>
        <v>-7.4220374220373975E-2</v>
      </c>
    </row>
    <row r="449" spans="10:18" x14ac:dyDescent="0.2">
      <c r="J449" s="354">
        <v>39776</v>
      </c>
      <c r="K449">
        <v>28.360001</v>
      </c>
      <c r="L449">
        <v>28.360001</v>
      </c>
      <c r="M449">
        <v>28.360001</v>
      </c>
      <c r="N449">
        <v>28.360001</v>
      </c>
      <c r="O449">
        <v>18.208894999999998</v>
      </c>
      <c r="P449">
        <v>0</v>
      </c>
      <c r="R449" s="273">
        <f>(O449/O448)*('16. câmbio USD-BRL'!O263/'16. câmbio USD-BRL'!O262)^-1-1</f>
        <v>7.2522735428592666E-2</v>
      </c>
    </row>
    <row r="450" spans="10:18" x14ac:dyDescent="0.2">
      <c r="J450" s="354">
        <v>39783</v>
      </c>
      <c r="K450">
        <v>28.360001</v>
      </c>
      <c r="L450">
        <v>28.360001</v>
      </c>
      <c r="M450">
        <v>28.360001</v>
      </c>
      <c r="N450">
        <v>28.360001</v>
      </c>
      <c r="O450">
        <v>18.208894999999998</v>
      </c>
      <c r="P450">
        <v>0</v>
      </c>
      <c r="R450" s="273">
        <f>(O450/O449)*('16. câmbio USD-BRL'!O264/'16. câmbio USD-BRL'!O263)^-1-1</f>
        <v>-0.12053780202650033</v>
      </c>
    </row>
    <row r="451" spans="10:18" x14ac:dyDescent="0.2">
      <c r="J451" s="354">
        <v>39790</v>
      </c>
      <c r="K451">
        <v>28.360001</v>
      </c>
      <c r="L451">
        <v>28.360001</v>
      </c>
      <c r="M451">
        <v>28.360001</v>
      </c>
      <c r="N451">
        <v>28.360001</v>
      </c>
      <c r="O451">
        <v>18.208894999999998</v>
      </c>
      <c r="P451">
        <v>0</v>
      </c>
      <c r="R451" s="273">
        <f>(O451/O450)*('16. câmbio USD-BRL'!O265/'16. câmbio USD-BRL'!O264)^-1-1</f>
        <v>9.2147265375611687E-2</v>
      </c>
    </row>
    <row r="452" spans="10:18" x14ac:dyDescent="0.2">
      <c r="J452" s="354">
        <v>39797</v>
      </c>
      <c r="K452">
        <v>28.360001</v>
      </c>
      <c r="L452">
        <v>28.360001</v>
      </c>
      <c r="M452">
        <v>28.360001</v>
      </c>
      <c r="N452">
        <v>28.360001</v>
      </c>
      <c r="O452">
        <v>18.208894999999998</v>
      </c>
      <c r="P452">
        <v>0</v>
      </c>
      <c r="R452" s="273">
        <f>(O452/O451)*('16. câmbio USD-BRL'!O266/'16. câmbio USD-BRL'!O265)^-1-1</f>
        <v>-8.8588905294241238E-3</v>
      </c>
    </row>
    <row r="453" spans="10:18" x14ac:dyDescent="0.2">
      <c r="J453" s="354">
        <v>39804</v>
      </c>
      <c r="K453">
        <v>28.360001</v>
      </c>
      <c r="L453">
        <v>28.360001</v>
      </c>
      <c r="M453">
        <v>14.4</v>
      </c>
      <c r="N453">
        <v>14.65</v>
      </c>
      <c r="O453">
        <v>9.4062090000000005</v>
      </c>
      <c r="P453">
        <v>1071400</v>
      </c>
      <c r="R453" s="273">
        <f>(O453/O452)*('16. câmbio USD-BRL'!O267/'16. câmbio USD-BRL'!O266)^-1-1</f>
        <v>-0.47356759956761818</v>
      </c>
    </row>
    <row r="454" spans="10:18" x14ac:dyDescent="0.2">
      <c r="J454" s="354">
        <v>39811</v>
      </c>
      <c r="K454">
        <v>14.9</v>
      </c>
      <c r="L454">
        <v>16.149999999999999</v>
      </c>
      <c r="M454">
        <v>14.45</v>
      </c>
      <c r="N454">
        <v>16.120000999999998</v>
      </c>
      <c r="O454">
        <v>10.350042999999999</v>
      </c>
      <c r="P454">
        <v>9202700</v>
      </c>
      <c r="R454" s="273">
        <f>(O454/O453)*('16. câmbio USD-BRL'!O268/'16. câmbio USD-BRL'!O267)^-1-1</f>
        <v>0.1065735325017052</v>
      </c>
    </row>
    <row r="455" spans="10:18" x14ac:dyDescent="0.2">
      <c r="J455" s="354">
        <v>39818</v>
      </c>
      <c r="K455">
        <v>15.96</v>
      </c>
      <c r="L455">
        <v>19.34</v>
      </c>
      <c r="M455">
        <v>15.8</v>
      </c>
      <c r="N455">
        <v>18.739999999999998</v>
      </c>
      <c r="O455">
        <v>12.032254</v>
      </c>
      <c r="P455">
        <v>22261300</v>
      </c>
      <c r="R455" s="273">
        <f>(O455/O454)*('16. câmbio USD-BRL'!O269/'16. câmbio USD-BRL'!O268)^-1-1</f>
        <v>0.19875887246927504</v>
      </c>
    </row>
    <row r="456" spans="10:18" x14ac:dyDescent="0.2">
      <c r="J456" s="354">
        <v>39825</v>
      </c>
      <c r="K456">
        <v>18.309999000000001</v>
      </c>
      <c r="L456">
        <v>18.32</v>
      </c>
      <c r="M456">
        <v>15.38</v>
      </c>
      <c r="N456">
        <v>17.079999999999998</v>
      </c>
      <c r="O456">
        <v>10.966426999999999</v>
      </c>
      <c r="P456">
        <v>26406100</v>
      </c>
      <c r="R456" s="273">
        <f>(O456/O455)*('16. câmbio USD-BRL'!O270/'16. câmbio USD-BRL'!O269)^-1-1</f>
        <v>-0.10724700924915664</v>
      </c>
    </row>
    <row r="457" spans="10:18" x14ac:dyDescent="0.2">
      <c r="J457" s="354">
        <v>39832</v>
      </c>
      <c r="K457">
        <v>17.299999</v>
      </c>
      <c r="L457">
        <v>17.299999</v>
      </c>
      <c r="M457">
        <v>16.639999</v>
      </c>
      <c r="N457">
        <v>16.799999</v>
      </c>
      <c r="O457">
        <v>10.786649000000001</v>
      </c>
      <c r="P457">
        <v>2248500</v>
      </c>
      <c r="R457" s="273">
        <f>(O457/O456)*('16. câmbio USD-BRL'!O271/'16. câmbio USD-BRL'!O270)^-1-1</f>
        <v>-2.0755190734616957E-2</v>
      </c>
    </row>
    <row r="458" spans="10:18" x14ac:dyDescent="0.2">
      <c r="J458" s="354">
        <v>39839</v>
      </c>
      <c r="K458">
        <v>16.799999</v>
      </c>
      <c r="L458">
        <v>16.799999</v>
      </c>
      <c r="M458">
        <v>16.799999</v>
      </c>
      <c r="N458">
        <v>16.799999</v>
      </c>
      <c r="O458">
        <v>10.786649000000001</v>
      </c>
      <c r="P458">
        <v>0</v>
      </c>
      <c r="R458" s="273">
        <f>(O458/O457)*('16. câmbio USD-BRL'!O272/'16. câmbio USD-BRL'!O271)^-1-1</f>
        <v>-4.6302306460688225E-3</v>
      </c>
    </row>
    <row r="459" spans="10:18" x14ac:dyDescent="0.2">
      <c r="J459" s="354">
        <v>39846</v>
      </c>
      <c r="K459">
        <v>16.799999</v>
      </c>
      <c r="L459">
        <v>16.799999</v>
      </c>
      <c r="M459">
        <v>16.799999</v>
      </c>
      <c r="N459">
        <v>16.799999</v>
      </c>
      <c r="O459">
        <v>10.786649000000001</v>
      </c>
      <c r="P459">
        <v>0</v>
      </c>
      <c r="R459" s="273">
        <f>(O459/O458)*('16. câmbio USD-BRL'!O273/'16. câmbio USD-BRL'!O272)^-1-1</f>
        <v>4.4805136088253983E-2</v>
      </c>
    </row>
    <row r="460" spans="10:18" x14ac:dyDescent="0.2">
      <c r="J460" s="354">
        <v>39853</v>
      </c>
      <c r="K460">
        <v>16.799999</v>
      </c>
      <c r="L460">
        <v>16.799999</v>
      </c>
      <c r="M460">
        <v>16.799999</v>
      </c>
      <c r="N460">
        <v>16.799999</v>
      </c>
      <c r="O460">
        <v>10.786649000000001</v>
      </c>
      <c r="P460">
        <v>0</v>
      </c>
      <c r="R460" s="273">
        <f>(O460/O459)*('16. câmbio USD-BRL'!O274/'16. câmbio USD-BRL'!O273)^-1-1</f>
        <v>-7.9389997757343123E-3</v>
      </c>
    </row>
    <row r="461" spans="10:18" x14ac:dyDescent="0.2">
      <c r="J461" s="354">
        <v>39860</v>
      </c>
      <c r="K461">
        <v>16.799999</v>
      </c>
      <c r="L461">
        <v>16.799999</v>
      </c>
      <c r="M461">
        <v>16.799999</v>
      </c>
      <c r="N461">
        <v>16.799999</v>
      </c>
      <c r="O461">
        <v>10.786649000000001</v>
      </c>
      <c r="P461">
        <v>0</v>
      </c>
      <c r="R461" s="273">
        <f>(O461/O460)*('16. câmbio USD-BRL'!O275/'16. câmbio USD-BRL'!O274)^-1-1</f>
        <v>-4.6284809855841269E-2</v>
      </c>
    </row>
    <row r="462" spans="10:18" x14ac:dyDescent="0.2">
      <c r="J462" s="354">
        <v>39867</v>
      </c>
      <c r="K462">
        <v>16.799999</v>
      </c>
      <c r="L462">
        <v>16.799999</v>
      </c>
      <c r="M462">
        <v>16.799999</v>
      </c>
      <c r="N462">
        <v>16.799999</v>
      </c>
      <c r="O462">
        <v>10.786649000000001</v>
      </c>
      <c r="P462">
        <v>0</v>
      </c>
      <c r="R462" s="273">
        <f>(O462/O461)*('16. câmbio USD-BRL'!O276/'16. câmbio USD-BRL'!O275)^-1-1</f>
        <v>4.9868879239929331E-3</v>
      </c>
    </row>
    <row r="463" spans="10:18" x14ac:dyDescent="0.2">
      <c r="J463" s="354">
        <v>39874</v>
      </c>
      <c r="K463">
        <v>16.799999</v>
      </c>
      <c r="L463">
        <v>16.799999</v>
      </c>
      <c r="M463">
        <v>16.799999</v>
      </c>
      <c r="N463">
        <v>16.799999</v>
      </c>
      <c r="O463">
        <v>10.786649000000001</v>
      </c>
      <c r="P463">
        <v>0</v>
      </c>
      <c r="R463" s="273">
        <f>(O463/O462)*('16. câmbio USD-BRL'!O277/'16. câmbio USD-BRL'!O276)^-1-1</f>
        <v>1.5500538213133463E-3</v>
      </c>
    </row>
    <row r="464" spans="10:18" x14ac:dyDescent="0.2">
      <c r="J464" s="354">
        <v>39881</v>
      </c>
      <c r="K464">
        <v>16.799999</v>
      </c>
      <c r="L464">
        <v>16.799999</v>
      </c>
      <c r="M464">
        <v>16.799999</v>
      </c>
      <c r="N464">
        <v>16.799999</v>
      </c>
      <c r="O464">
        <v>10.812389</v>
      </c>
      <c r="P464">
        <v>0</v>
      </c>
      <c r="R464" s="273">
        <f>(O464/O463)*('16. câmbio USD-BRL'!O278/'16. câmbio USD-BRL'!O277)^-1-1</f>
        <v>1.4530066189142765E-2</v>
      </c>
    </row>
    <row r="465" spans="10:18" x14ac:dyDescent="0.2">
      <c r="J465" s="354">
        <v>39888</v>
      </c>
      <c r="K465">
        <v>16.799999</v>
      </c>
      <c r="L465">
        <v>16.799999</v>
      </c>
      <c r="M465">
        <v>16.799999</v>
      </c>
      <c r="N465">
        <v>16.799999</v>
      </c>
      <c r="O465">
        <v>10.812389</v>
      </c>
      <c r="P465">
        <v>0</v>
      </c>
      <c r="R465" s="273">
        <f>(O465/O464)*('16. câmbio USD-BRL'!O279/'16. câmbio USD-BRL'!O278)^-1-1</f>
        <v>4.2192751385230265E-2</v>
      </c>
    </row>
    <row r="466" spans="10:18" x14ac:dyDescent="0.2">
      <c r="J466" s="354">
        <v>39895</v>
      </c>
      <c r="K466">
        <v>16.799999</v>
      </c>
      <c r="L466">
        <v>16.799999</v>
      </c>
      <c r="M466">
        <v>16.799999</v>
      </c>
      <c r="N466">
        <v>16.799999</v>
      </c>
      <c r="O466">
        <v>10.812389</v>
      </c>
      <c r="P466">
        <v>0</v>
      </c>
      <c r="R466" s="273">
        <f>(O466/O465)*('16. câmbio USD-BRL'!O280/'16. câmbio USD-BRL'!O279)^-1-1</f>
        <v>-1.2291404988336696E-2</v>
      </c>
    </row>
    <row r="467" spans="10:18" x14ac:dyDescent="0.2">
      <c r="J467" s="354">
        <v>39902</v>
      </c>
      <c r="K467">
        <v>16.799999</v>
      </c>
      <c r="L467">
        <v>16.799999</v>
      </c>
      <c r="M467">
        <v>16.799999</v>
      </c>
      <c r="N467">
        <v>16.799999</v>
      </c>
      <c r="O467">
        <v>10.812389</v>
      </c>
      <c r="P467">
        <v>0</v>
      </c>
      <c r="R467" s="273">
        <f>(O467/O466)*('16. câmbio USD-BRL'!O281/'16. câmbio USD-BRL'!O280)^-1-1</f>
        <v>3.5248223656712874E-2</v>
      </c>
    </row>
    <row r="468" spans="10:18" x14ac:dyDescent="0.2">
      <c r="J468" s="354">
        <v>39909</v>
      </c>
      <c r="K468">
        <v>16.799999</v>
      </c>
      <c r="L468">
        <v>16.799999</v>
      </c>
      <c r="M468">
        <v>16.799999</v>
      </c>
      <c r="N468">
        <v>16.799999</v>
      </c>
      <c r="O468">
        <v>10.812389</v>
      </c>
      <c r="P468">
        <v>0</v>
      </c>
      <c r="R468" s="273">
        <f>(O468/O467)*('16. câmbio USD-BRL'!O282/'16. câmbio USD-BRL'!O281)^-1-1</f>
        <v>-1.2745862179633805E-2</v>
      </c>
    </row>
    <row r="469" spans="10:18" x14ac:dyDescent="0.2">
      <c r="J469" s="354">
        <v>39916</v>
      </c>
      <c r="K469">
        <v>16.799999</v>
      </c>
      <c r="L469">
        <v>16.799999</v>
      </c>
      <c r="M469">
        <v>16.799999</v>
      </c>
      <c r="N469">
        <v>16.799999</v>
      </c>
      <c r="O469">
        <v>10.812389</v>
      </c>
      <c r="P469">
        <v>0</v>
      </c>
      <c r="R469" s="273">
        <f>(O469/O468)*('16. câmbio USD-BRL'!O283/'16. câmbio USD-BRL'!O282)^-1-1</f>
        <v>1.9682094436652697E-2</v>
      </c>
    </row>
    <row r="470" spans="10:18" x14ac:dyDescent="0.2">
      <c r="J470" s="354">
        <v>39923</v>
      </c>
      <c r="K470">
        <v>16.799999</v>
      </c>
      <c r="L470">
        <v>16.799999</v>
      </c>
      <c r="M470">
        <v>16.799999</v>
      </c>
      <c r="N470">
        <v>16.799999</v>
      </c>
      <c r="O470">
        <v>10.812389</v>
      </c>
      <c r="P470">
        <v>0</v>
      </c>
      <c r="R470" s="273">
        <f>(O470/O469)*('16. câmbio USD-BRL'!O284/'16. câmbio USD-BRL'!O283)^-1-1</f>
        <v>-4.5606850335071503E-3</v>
      </c>
    </row>
    <row r="471" spans="10:18" x14ac:dyDescent="0.2">
      <c r="J471" s="354">
        <v>39930</v>
      </c>
      <c r="K471">
        <v>16.799999</v>
      </c>
      <c r="L471">
        <v>16.799999</v>
      </c>
      <c r="M471">
        <v>16.799999</v>
      </c>
      <c r="N471">
        <v>16.799999</v>
      </c>
      <c r="O471">
        <v>10.812389</v>
      </c>
      <c r="P471">
        <v>0</v>
      </c>
      <c r="R471" s="273">
        <f>(O471/O470)*('16. câmbio USD-BRL'!O285/'16. câmbio USD-BRL'!O284)^-1-1</f>
        <v>-1.4311926605504621E-2</v>
      </c>
    </row>
    <row r="472" spans="10:18" x14ac:dyDescent="0.2">
      <c r="J472" s="354">
        <v>39937</v>
      </c>
      <c r="K472">
        <v>16.799999</v>
      </c>
      <c r="L472">
        <v>16.799999</v>
      </c>
      <c r="M472">
        <v>16.799999</v>
      </c>
      <c r="N472">
        <v>16.799999</v>
      </c>
      <c r="O472">
        <v>10.812389</v>
      </c>
      <c r="P472">
        <v>0</v>
      </c>
      <c r="R472" s="273">
        <f>(O472/O471)*('16. câmbio USD-BRL'!O286/'16. câmbio USD-BRL'!O285)^-1-1</f>
        <v>5.9126463586455014E-2</v>
      </c>
    </row>
    <row r="473" spans="10:18" x14ac:dyDescent="0.2">
      <c r="J473" s="354">
        <v>39944</v>
      </c>
      <c r="K473">
        <v>16.799999</v>
      </c>
      <c r="L473">
        <v>16.799999</v>
      </c>
      <c r="M473">
        <v>16.799999</v>
      </c>
      <c r="N473">
        <v>16.799999</v>
      </c>
      <c r="O473">
        <v>10.812389</v>
      </c>
      <c r="P473">
        <v>0</v>
      </c>
      <c r="R473" s="273">
        <f>(O473/O472)*('16. câmbio USD-BRL'!O287/'16. câmbio USD-BRL'!O286)^-1-1</f>
        <v>1.399083698704362E-2</v>
      </c>
    </row>
    <row r="474" spans="10:18" x14ac:dyDescent="0.2">
      <c r="J474" s="354">
        <v>39951</v>
      </c>
      <c r="K474">
        <v>16.799999</v>
      </c>
      <c r="L474">
        <v>16.799999</v>
      </c>
      <c r="M474">
        <v>16.799999</v>
      </c>
      <c r="N474">
        <v>16.799999</v>
      </c>
      <c r="O474">
        <v>10.812389</v>
      </c>
      <c r="P474">
        <v>0</v>
      </c>
      <c r="R474" s="273">
        <f>(O474/O473)*('16. câmbio USD-BRL'!O288/'16. câmbio USD-BRL'!O287)^-1-1</f>
        <v>3.0141318312086884E-3</v>
      </c>
    </row>
    <row r="475" spans="10:18" x14ac:dyDescent="0.2">
      <c r="J475" s="354">
        <v>39958</v>
      </c>
      <c r="K475">
        <v>16.799999</v>
      </c>
      <c r="L475">
        <v>20.969999000000001</v>
      </c>
      <c r="M475">
        <v>16.799999</v>
      </c>
      <c r="N475">
        <v>20.610001</v>
      </c>
      <c r="O475">
        <v>13.264487000000001</v>
      </c>
      <c r="P475">
        <v>10399400</v>
      </c>
      <c r="R475" s="273">
        <f>(O475/O474)*('16. câmbio USD-BRL'!O289/'16. câmbio USD-BRL'!O288)^-1-1</f>
        <v>0.29513271895843385</v>
      </c>
    </row>
    <row r="476" spans="10:18" x14ac:dyDescent="0.2">
      <c r="J476" s="354">
        <v>39965</v>
      </c>
      <c r="K476">
        <v>21.25</v>
      </c>
      <c r="L476">
        <v>22.98</v>
      </c>
      <c r="M476">
        <v>20.809999000000001</v>
      </c>
      <c r="N476">
        <v>22.4</v>
      </c>
      <c r="O476">
        <v>14.416522000000001</v>
      </c>
      <c r="P476">
        <v>47988700</v>
      </c>
      <c r="R476" s="273">
        <f>(O476/O475)*('16. câmbio USD-BRL'!O290/'16. câmbio USD-BRL'!O289)^-1-1</f>
        <v>9.1748856235026821E-2</v>
      </c>
    </row>
    <row r="477" spans="10:18" x14ac:dyDescent="0.2">
      <c r="J477" s="354">
        <v>39972</v>
      </c>
      <c r="K477">
        <v>22</v>
      </c>
      <c r="L477">
        <v>22.35</v>
      </c>
      <c r="M477">
        <v>21.030000999999999</v>
      </c>
      <c r="N477">
        <v>21.41</v>
      </c>
      <c r="O477">
        <v>13.779367000000001</v>
      </c>
      <c r="P477">
        <v>23701100</v>
      </c>
      <c r="R477" s="273">
        <f>(O477/O476)*('16. câmbio USD-BRL'!O291/'16. câmbio USD-BRL'!O290)^-1-1</f>
        <v>-5.0218153223947293E-2</v>
      </c>
    </row>
    <row r="478" spans="10:18" x14ac:dyDescent="0.2">
      <c r="J478" s="354">
        <v>39979</v>
      </c>
      <c r="K478">
        <v>21.030000999999999</v>
      </c>
      <c r="L478">
        <v>21.09</v>
      </c>
      <c r="M478">
        <v>19.02</v>
      </c>
      <c r="N478">
        <v>19.98</v>
      </c>
      <c r="O478">
        <v>12.859021</v>
      </c>
      <c r="P478">
        <v>31388200</v>
      </c>
      <c r="R478" s="273">
        <f>(O478/O477)*('16. câmbio USD-BRL'!O292/'16. câmbio USD-BRL'!O291)^-1-1</f>
        <v>-5.7714654117858366E-2</v>
      </c>
    </row>
    <row r="479" spans="10:18" x14ac:dyDescent="0.2">
      <c r="J479" s="354">
        <v>39986</v>
      </c>
      <c r="K479">
        <v>19.59</v>
      </c>
      <c r="L479">
        <v>20.73</v>
      </c>
      <c r="M479">
        <v>18.950001</v>
      </c>
      <c r="N479">
        <v>20.399999999999999</v>
      </c>
      <c r="O479">
        <v>13.129333000000001</v>
      </c>
      <c r="P479">
        <v>29259500</v>
      </c>
      <c r="R479" s="273">
        <f>(O479/O478)*('16. câmbio USD-BRL'!O293/'16. câmbio USD-BRL'!O292)^-1-1</f>
        <v>2.5333851463739565E-2</v>
      </c>
    </row>
    <row r="480" spans="10:18" x14ac:dyDescent="0.2">
      <c r="J480" s="354">
        <v>39993</v>
      </c>
      <c r="K480">
        <v>20.5</v>
      </c>
      <c r="L480">
        <v>21.049999</v>
      </c>
      <c r="M480">
        <v>20</v>
      </c>
      <c r="N480">
        <v>20.299999</v>
      </c>
      <c r="O480">
        <v>13.064976</v>
      </c>
      <c r="P480">
        <v>21867800</v>
      </c>
      <c r="R480" s="273">
        <f>(O480/O479)*('16. câmbio USD-BRL'!O294/'16. câmbio USD-BRL'!O293)^-1-1</f>
        <v>-9.7640711492459342E-3</v>
      </c>
    </row>
    <row r="481" spans="10:18" x14ac:dyDescent="0.2">
      <c r="J481" s="354">
        <v>40000</v>
      </c>
      <c r="K481">
        <v>19.899999999999999</v>
      </c>
      <c r="L481">
        <v>20.09</v>
      </c>
      <c r="M481">
        <v>18.649999999999999</v>
      </c>
      <c r="N481">
        <v>19.040001</v>
      </c>
      <c r="O481">
        <v>12.254045</v>
      </c>
      <c r="P481">
        <v>23282500</v>
      </c>
      <c r="R481" s="273">
        <f>(O481/O480)*('16. câmbio USD-BRL'!O295/'16. câmbio USD-BRL'!O294)^-1-1</f>
        <v>-9.1242147249973371E-2</v>
      </c>
    </row>
    <row r="482" spans="10:18" x14ac:dyDescent="0.2">
      <c r="J482" s="354">
        <v>40007</v>
      </c>
      <c r="K482">
        <v>19.239999999999998</v>
      </c>
      <c r="L482">
        <v>20.92</v>
      </c>
      <c r="M482">
        <v>18.280000999999999</v>
      </c>
      <c r="N482">
        <v>20.68</v>
      </c>
      <c r="O482">
        <v>13.309540999999999</v>
      </c>
      <c r="P482">
        <v>34152600</v>
      </c>
      <c r="R482" s="273">
        <f>(O482/O481)*('16. câmbio USD-BRL'!O296/'16. câmbio USD-BRL'!O295)^-1-1</f>
        <v>0.10801963312195695</v>
      </c>
    </row>
    <row r="483" spans="10:18" x14ac:dyDescent="0.2">
      <c r="J483" s="354">
        <v>40014</v>
      </c>
      <c r="K483">
        <v>21.1</v>
      </c>
      <c r="L483">
        <v>22.450001</v>
      </c>
      <c r="M483">
        <v>20.399999999999999</v>
      </c>
      <c r="N483">
        <v>22.01</v>
      </c>
      <c r="O483">
        <v>14.165521999999999</v>
      </c>
      <c r="P483">
        <v>30419100</v>
      </c>
      <c r="R483" s="273">
        <f>(O483/O482)*('16. câmbio USD-BRL'!O297/'16. câmbio USD-BRL'!O296)^-1-1</f>
        <v>8.2242045918991202E-2</v>
      </c>
    </row>
    <row r="484" spans="10:18" x14ac:dyDescent="0.2">
      <c r="J484" s="354">
        <v>40021</v>
      </c>
      <c r="K484">
        <v>22.25</v>
      </c>
      <c r="L484">
        <v>22.25</v>
      </c>
      <c r="M484">
        <v>20.9</v>
      </c>
      <c r="N484">
        <v>21.93</v>
      </c>
      <c r="O484">
        <v>14.114034999999999</v>
      </c>
      <c r="P484">
        <v>27722200</v>
      </c>
      <c r="R484" s="273">
        <f>(O484/O483)*('16. câmbio USD-BRL'!O298/'16. câmbio USD-BRL'!O297)^-1-1</f>
        <v>1.256682683979693E-2</v>
      </c>
    </row>
    <row r="485" spans="10:18" x14ac:dyDescent="0.2">
      <c r="J485" s="354">
        <v>40028</v>
      </c>
      <c r="K485">
        <v>22.290001</v>
      </c>
      <c r="L485">
        <v>22.99</v>
      </c>
      <c r="M485">
        <v>21.860001</v>
      </c>
      <c r="N485">
        <v>21.950001</v>
      </c>
      <c r="O485">
        <v>14.126903</v>
      </c>
      <c r="P485">
        <v>30294200</v>
      </c>
      <c r="R485" s="273">
        <f>(O485/O484)*('16. câmbio USD-BRL'!O299/'16. câmbio USD-BRL'!O298)^-1-1</f>
        <v>5.3252141807156317E-2</v>
      </c>
    </row>
    <row r="486" spans="10:18" x14ac:dyDescent="0.2">
      <c r="J486" s="354">
        <v>40035</v>
      </c>
      <c r="K486">
        <v>21.85</v>
      </c>
      <c r="L486">
        <v>23.51</v>
      </c>
      <c r="M486">
        <v>21.35</v>
      </c>
      <c r="N486">
        <v>23.01</v>
      </c>
      <c r="O486">
        <v>14.809113999999999</v>
      </c>
      <c r="P486">
        <v>30740700</v>
      </c>
      <c r="R486" s="273">
        <f>(O486/O485)*('16. câmbio USD-BRL'!O300/'16. câmbio USD-BRL'!O299)^-1-1</f>
        <v>3.1285998196333153E-2</v>
      </c>
    </row>
    <row r="487" spans="10:18" x14ac:dyDescent="0.2">
      <c r="J487" s="354">
        <v>40042</v>
      </c>
      <c r="K487">
        <v>23.01</v>
      </c>
      <c r="L487">
        <v>23.01</v>
      </c>
      <c r="M487">
        <v>21.450001</v>
      </c>
      <c r="N487">
        <v>22.67</v>
      </c>
      <c r="O487">
        <v>14.590293000000001</v>
      </c>
      <c r="P487">
        <v>19227700</v>
      </c>
      <c r="R487" s="273">
        <f>(O487/O486)*('16. câmbio USD-BRL'!O301/'16. câmbio USD-BRL'!O300)^-1-1</f>
        <v>-2.5293808162756282E-3</v>
      </c>
    </row>
    <row r="488" spans="10:18" x14ac:dyDescent="0.2">
      <c r="J488" s="354">
        <v>40049</v>
      </c>
      <c r="K488">
        <v>22.860001</v>
      </c>
      <c r="L488">
        <v>23.360001</v>
      </c>
      <c r="M488">
        <v>21.969999000000001</v>
      </c>
      <c r="N488">
        <v>22.74</v>
      </c>
      <c r="O488">
        <v>14.635346999999999</v>
      </c>
      <c r="P488">
        <v>26261000</v>
      </c>
      <c r="R488" s="273">
        <f>(O488/O487)*('16. câmbio USD-BRL'!O302/'16. câmbio USD-BRL'!O301)^-1-1</f>
        <v>-2.6214887683764232E-2</v>
      </c>
    </row>
    <row r="489" spans="10:18" x14ac:dyDescent="0.2">
      <c r="J489" s="354">
        <v>40056</v>
      </c>
      <c r="K489">
        <v>22.43</v>
      </c>
      <c r="L489">
        <v>22.559999000000001</v>
      </c>
      <c r="M489">
        <v>21.25</v>
      </c>
      <c r="N489">
        <v>22.030000999999999</v>
      </c>
      <c r="O489">
        <v>14.178394000000001</v>
      </c>
      <c r="P489">
        <v>24726600</v>
      </c>
      <c r="R489" s="273">
        <f>(O489/O488)*('16. câmbio USD-BRL'!O303/'16. câmbio USD-BRL'!O302)^-1-1</f>
        <v>-3.7529020508561994E-2</v>
      </c>
    </row>
    <row r="490" spans="10:18" x14ac:dyDescent="0.2">
      <c r="J490" s="354">
        <v>40063</v>
      </c>
      <c r="K490">
        <v>22.030000999999999</v>
      </c>
      <c r="L490">
        <v>23.200001</v>
      </c>
      <c r="M490">
        <v>22.030000999999999</v>
      </c>
      <c r="N490">
        <v>23.120000999999998</v>
      </c>
      <c r="O490">
        <v>14.879911</v>
      </c>
      <c r="P490">
        <v>17581100</v>
      </c>
      <c r="R490" s="273">
        <f>(O490/O489)*('16. câmbio USD-BRL'!O304/'16. câmbio USD-BRL'!O303)^-1-1</f>
        <v>6.9730461705058699E-2</v>
      </c>
    </row>
    <row r="491" spans="10:18" x14ac:dyDescent="0.2">
      <c r="J491" s="354">
        <v>40070</v>
      </c>
      <c r="K491">
        <v>22.790001</v>
      </c>
      <c r="L491">
        <v>24.49</v>
      </c>
      <c r="M491">
        <v>22.610001</v>
      </c>
      <c r="N491">
        <v>24.27</v>
      </c>
      <c r="O491">
        <v>15.620049</v>
      </c>
      <c r="P491">
        <v>23713900</v>
      </c>
      <c r="R491" s="273">
        <f>(O491/O490)*('16. câmbio USD-BRL'!O305/'16. câmbio USD-BRL'!O304)^-1-1</f>
        <v>7.9097456095752472E-2</v>
      </c>
    </row>
    <row r="492" spans="10:18" x14ac:dyDescent="0.2">
      <c r="J492" s="354">
        <v>40077</v>
      </c>
      <c r="K492">
        <v>24</v>
      </c>
      <c r="L492">
        <v>25.110001</v>
      </c>
      <c r="M492">
        <v>23.450001</v>
      </c>
      <c r="N492">
        <v>23.66</v>
      </c>
      <c r="O492">
        <v>15.227449</v>
      </c>
      <c r="P492">
        <v>30779800</v>
      </c>
      <c r="R492" s="273">
        <f>(O492/O491)*('16. câmbio USD-BRL'!O306/'16. câmbio USD-BRL'!O305)^-1-1</f>
        <v>-2.0121628802706182E-2</v>
      </c>
    </row>
    <row r="493" spans="10:18" x14ac:dyDescent="0.2">
      <c r="J493" s="354">
        <v>40084</v>
      </c>
      <c r="K493">
        <v>23.91</v>
      </c>
      <c r="L493">
        <v>24.23</v>
      </c>
      <c r="M493">
        <v>22.66</v>
      </c>
      <c r="N493">
        <v>23.860001</v>
      </c>
      <c r="O493">
        <v>15.356172000000001</v>
      </c>
      <c r="P493">
        <v>34125100</v>
      </c>
      <c r="R493" s="273">
        <f>(O493/O492)*('16. câmbio USD-BRL'!O307/'16. câmbio USD-BRL'!O306)^-1-1</f>
        <v>1.8344143288552273E-2</v>
      </c>
    </row>
    <row r="494" spans="10:18" x14ac:dyDescent="0.2">
      <c r="J494" s="354">
        <v>40091</v>
      </c>
      <c r="K494">
        <v>24.129999000000002</v>
      </c>
      <c r="L494">
        <v>26.15</v>
      </c>
      <c r="M494">
        <v>24.1</v>
      </c>
      <c r="N494">
        <v>25.91</v>
      </c>
      <c r="O494">
        <v>16.675535</v>
      </c>
      <c r="P494">
        <v>41797200</v>
      </c>
      <c r="R494" s="273">
        <f>(O494/O493)*('16. câmbio USD-BRL'!O308/'16. câmbio USD-BRL'!O307)^-1-1</f>
        <v>0.11539004461190916</v>
      </c>
    </row>
    <row r="495" spans="10:18" x14ac:dyDescent="0.2">
      <c r="J495" s="354">
        <v>40098</v>
      </c>
      <c r="K495">
        <v>25.91</v>
      </c>
      <c r="L495">
        <v>29.870000999999998</v>
      </c>
      <c r="M495">
        <v>25.91</v>
      </c>
      <c r="N495">
        <v>28.809999000000001</v>
      </c>
      <c r="O495">
        <v>18.541962000000002</v>
      </c>
      <c r="P495">
        <v>28546600</v>
      </c>
      <c r="R495" s="273">
        <f>(O495/O494)*('16. câmbio USD-BRL'!O309/'16. câmbio USD-BRL'!O308)^-1-1</f>
        <v>0.13068709444916782</v>
      </c>
    </row>
    <row r="496" spans="10:18" x14ac:dyDescent="0.2">
      <c r="J496" s="354">
        <v>40105</v>
      </c>
      <c r="K496">
        <v>29.110001</v>
      </c>
      <c r="L496">
        <v>30.4</v>
      </c>
      <c r="M496">
        <v>28.16</v>
      </c>
      <c r="N496">
        <v>28.809999000000001</v>
      </c>
      <c r="O496">
        <v>18.541962000000002</v>
      </c>
      <c r="P496">
        <v>34115500</v>
      </c>
      <c r="R496" s="273">
        <f>(O496/O495)*('16. câmbio USD-BRL'!O310/'16. câmbio USD-BRL'!O309)^-1-1</f>
        <v>-2.8241797860834028E-3</v>
      </c>
    </row>
    <row r="497" spans="10:18" x14ac:dyDescent="0.2">
      <c r="J497" s="354">
        <v>40112</v>
      </c>
      <c r="K497">
        <v>29.1</v>
      </c>
      <c r="L497">
        <v>29.549999</v>
      </c>
      <c r="M497">
        <v>25.51</v>
      </c>
      <c r="N497">
        <v>26.299999</v>
      </c>
      <c r="O497">
        <v>16.926549999999999</v>
      </c>
      <c r="P497">
        <v>35847800</v>
      </c>
      <c r="R497" s="273">
        <f>(O497/O496)*('16. câmbio USD-BRL'!O311/'16. câmbio USD-BRL'!O310)^-1-1</f>
        <v>-0.13277106941317329</v>
      </c>
    </row>
    <row r="498" spans="10:18" x14ac:dyDescent="0.2">
      <c r="J498" s="354">
        <v>40119</v>
      </c>
      <c r="K498">
        <v>26.299999</v>
      </c>
      <c r="L498">
        <v>28.280000999999999</v>
      </c>
      <c r="M498">
        <v>25.299999</v>
      </c>
      <c r="N498">
        <v>27.219999000000001</v>
      </c>
      <c r="O498">
        <v>17.518654000000002</v>
      </c>
      <c r="P498">
        <v>26996100</v>
      </c>
      <c r="R498" s="273">
        <f>(O498/O497)*('16. câmbio USD-BRL'!O312/'16. câmbio USD-BRL'!O311)^-1-1</f>
        <v>5.7127478576564528E-2</v>
      </c>
    </row>
    <row r="499" spans="10:18" x14ac:dyDescent="0.2">
      <c r="J499" s="354">
        <v>40126</v>
      </c>
      <c r="K499">
        <v>27.809999000000001</v>
      </c>
      <c r="L499">
        <v>28.99</v>
      </c>
      <c r="M499">
        <v>26.9</v>
      </c>
      <c r="N499">
        <v>27.629999000000002</v>
      </c>
      <c r="O499">
        <v>17.782523999999999</v>
      </c>
      <c r="P499">
        <v>31338000</v>
      </c>
      <c r="R499" s="273">
        <f>(O499/O498)*('16. câmbio USD-BRL'!O313/'16. câmbio USD-BRL'!O312)^-1-1</f>
        <v>1.0173628339575247E-2</v>
      </c>
    </row>
    <row r="500" spans="10:18" x14ac:dyDescent="0.2">
      <c r="J500" s="354">
        <v>40133</v>
      </c>
      <c r="K500">
        <v>28</v>
      </c>
      <c r="L500">
        <v>28.84</v>
      </c>
      <c r="M500">
        <v>27.35</v>
      </c>
      <c r="N500">
        <v>28.290001</v>
      </c>
      <c r="O500">
        <v>18.207295999999999</v>
      </c>
      <c r="P500">
        <v>21124900</v>
      </c>
      <c r="R500" s="273">
        <f>(O500/O499)*('16. câmbio USD-BRL'!O314/'16. câmbio USD-BRL'!O313)^-1-1</f>
        <v>1.8332720511138323E-2</v>
      </c>
    </row>
    <row r="501" spans="10:18" x14ac:dyDescent="0.2">
      <c r="J501" s="354">
        <v>40140</v>
      </c>
      <c r="K501">
        <v>28.719999000000001</v>
      </c>
      <c r="L501">
        <v>28.85</v>
      </c>
      <c r="M501">
        <v>27.42</v>
      </c>
      <c r="N501">
        <v>27.790001</v>
      </c>
      <c r="O501">
        <v>17.933109000000002</v>
      </c>
      <c r="P501">
        <v>19567900</v>
      </c>
      <c r="R501" s="273">
        <f>(O501/O500)*('16. câmbio USD-BRL'!O315/'16. câmbio USD-BRL'!O314)^-1-1</f>
        <v>-1.6478160591292257E-2</v>
      </c>
    </row>
    <row r="502" spans="10:18" x14ac:dyDescent="0.2">
      <c r="J502" s="354">
        <v>40147</v>
      </c>
      <c r="K502">
        <v>27.799999</v>
      </c>
      <c r="L502">
        <v>29.5</v>
      </c>
      <c r="M502">
        <v>27.1</v>
      </c>
      <c r="N502">
        <v>28.450001</v>
      </c>
      <c r="O502">
        <v>18.359017999999999</v>
      </c>
      <c r="P502">
        <v>35017700</v>
      </c>
      <c r="R502" s="273">
        <f>(O502/O501)*('16. câmbio USD-BRL'!O316/'16. câmbio USD-BRL'!O315)^-1-1</f>
        <v>3.1357415785487897E-2</v>
      </c>
    </row>
    <row r="503" spans="10:18" x14ac:dyDescent="0.2">
      <c r="J503" s="354">
        <v>40154</v>
      </c>
      <c r="K503">
        <v>28.799999</v>
      </c>
      <c r="L503">
        <v>30.4</v>
      </c>
      <c r="M503">
        <v>28.65</v>
      </c>
      <c r="N503">
        <v>29.99</v>
      </c>
      <c r="O503">
        <v>19.352789000000001</v>
      </c>
      <c r="P503">
        <v>28138400</v>
      </c>
      <c r="R503" s="273">
        <f>(O503/O502)*('16. câmbio USD-BRL'!O317/'16. câmbio USD-BRL'!O316)^-1-1</f>
        <v>6.0904865264283403E-2</v>
      </c>
    </row>
    <row r="504" spans="10:18" x14ac:dyDescent="0.2">
      <c r="J504" s="354">
        <v>40161</v>
      </c>
      <c r="K504">
        <v>30.15</v>
      </c>
      <c r="L504">
        <v>30.25</v>
      </c>
      <c r="M504">
        <v>28.01</v>
      </c>
      <c r="N504">
        <v>28.370000999999998</v>
      </c>
      <c r="O504">
        <v>18.307388</v>
      </c>
      <c r="P504">
        <v>21377100</v>
      </c>
      <c r="R504" s="273">
        <f>(O504/O503)*('16. câmbio USD-BRL'!O318/'16. câmbio USD-BRL'!O317)^-1-1</f>
        <v>-9.3731871115079191E-2</v>
      </c>
    </row>
    <row r="505" spans="10:18" x14ac:dyDescent="0.2">
      <c r="J505" s="354">
        <v>40168</v>
      </c>
      <c r="K505">
        <v>28.85</v>
      </c>
      <c r="L505">
        <v>29.559999000000001</v>
      </c>
      <c r="M505">
        <v>27.74</v>
      </c>
      <c r="N505">
        <v>29.25</v>
      </c>
      <c r="O505">
        <v>18.875259</v>
      </c>
      <c r="P505">
        <v>12816400</v>
      </c>
      <c r="R505" s="273">
        <f>(O505/O504)*('16. câmbio USD-BRL'!O319/'16. câmbio USD-BRL'!O318)^-1-1</f>
        <v>6.6416669084876867E-2</v>
      </c>
    </row>
    <row r="506" spans="10:18" x14ac:dyDescent="0.2">
      <c r="J506" s="354">
        <v>40175</v>
      </c>
      <c r="K506">
        <v>29.540001</v>
      </c>
      <c r="L506">
        <v>29.82</v>
      </c>
      <c r="M506">
        <v>29.01</v>
      </c>
      <c r="N506">
        <v>29.139999</v>
      </c>
      <c r="O506">
        <v>18.804276000000002</v>
      </c>
      <c r="P506">
        <v>4363300</v>
      </c>
      <c r="R506" s="273">
        <f>(O506/O505)*('16. câmbio USD-BRL'!O320/'16. câmbio USD-BRL'!O319)^-1-1</f>
        <v>-1.2791378351203253E-2</v>
      </c>
    </row>
    <row r="507" spans="10:18" x14ac:dyDescent="0.2">
      <c r="J507" s="354">
        <v>40182</v>
      </c>
      <c r="K507">
        <v>29.299999</v>
      </c>
      <c r="L507">
        <v>30.379999000000002</v>
      </c>
      <c r="M507">
        <v>29.280000999999999</v>
      </c>
      <c r="N507">
        <v>29.540001</v>
      </c>
      <c r="O507">
        <v>19.180112999999999</v>
      </c>
      <c r="P507">
        <v>21773400</v>
      </c>
      <c r="R507" s="273">
        <f>(O507/O506)*('16. câmbio USD-BRL'!O321/'16. câmbio USD-BRL'!O320)^-1-1</f>
        <v>2.6464759966979612E-2</v>
      </c>
    </row>
    <row r="508" spans="10:18" x14ac:dyDescent="0.2">
      <c r="J508" s="354">
        <v>40189</v>
      </c>
      <c r="K508">
        <v>29.799999</v>
      </c>
      <c r="L508">
        <v>29.99</v>
      </c>
      <c r="M508">
        <v>28.5</v>
      </c>
      <c r="N508">
        <v>28.85</v>
      </c>
      <c r="O508">
        <v>18.732099999999999</v>
      </c>
      <c r="P508">
        <v>21062600</v>
      </c>
      <c r="R508" s="273">
        <f>(O508/O507)*('16. câmbio USD-BRL'!O322/'16. câmbio USD-BRL'!O321)^-1-1</f>
        <v>-2.2906891192595147E-2</v>
      </c>
    </row>
    <row r="509" spans="10:18" x14ac:dyDescent="0.2">
      <c r="J509" s="354">
        <v>40196</v>
      </c>
      <c r="K509">
        <v>29.25</v>
      </c>
      <c r="L509">
        <v>29.25</v>
      </c>
      <c r="M509">
        <v>25.700001</v>
      </c>
      <c r="N509">
        <v>26.049999</v>
      </c>
      <c r="O509">
        <v>16.914083000000002</v>
      </c>
      <c r="P509">
        <v>28811600</v>
      </c>
      <c r="R509" s="273">
        <f>(O509/O508)*('16. câmbio USD-BRL'!O323/'16. câmbio USD-BRL'!O322)^-1-1</f>
        <v>-0.14058998508893406</v>
      </c>
    </row>
    <row r="510" spans="10:18" x14ac:dyDescent="0.2">
      <c r="J510" s="354">
        <v>40203</v>
      </c>
      <c r="K510">
        <v>26.049999</v>
      </c>
      <c r="L510">
        <v>26.6</v>
      </c>
      <c r="M510">
        <v>25.110001</v>
      </c>
      <c r="N510">
        <v>25.34</v>
      </c>
      <c r="O510">
        <v>16.453077</v>
      </c>
      <c r="P510">
        <v>27917000</v>
      </c>
      <c r="R510" s="273">
        <f>(O510/O509)*('16. câmbio USD-BRL'!O324/'16. câmbio USD-BRL'!O323)^-1-1</f>
        <v>-3.8096923871182908E-2</v>
      </c>
    </row>
    <row r="511" spans="10:18" x14ac:dyDescent="0.2">
      <c r="J511" s="354">
        <v>40210</v>
      </c>
      <c r="K511">
        <v>25.57</v>
      </c>
      <c r="L511">
        <v>26.950001</v>
      </c>
      <c r="M511">
        <v>23.91</v>
      </c>
      <c r="N511">
        <v>24.67</v>
      </c>
      <c r="O511">
        <v>16.018049000000001</v>
      </c>
      <c r="P511">
        <v>31810000</v>
      </c>
      <c r="R511" s="273">
        <f>(O511/O510)*('16. câmbio USD-BRL'!O325/'16. câmbio USD-BRL'!O324)^-1-1</f>
        <v>-2.330771878060578E-2</v>
      </c>
    </row>
    <row r="512" spans="10:18" x14ac:dyDescent="0.2">
      <c r="J512" s="354">
        <v>40217</v>
      </c>
      <c r="K512">
        <v>24.75</v>
      </c>
      <c r="L512">
        <v>26.4</v>
      </c>
      <c r="M512">
        <v>24.219999000000001</v>
      </c>
      <c r="N512">
        <v>26.1</v>
      </c>
      <c r="O512">
        <v>16.946541</v>
      </c>
      <c r="P512">
        <v>25009500</v>
      </c>
      <c r="R512" s="273">
        <f>(O512/O511)*('16. câmbio USD-BRL'!O326/'16. câmbio USD-BRL'!O325)^-1-1</f>
        <v>7.0813960926064512E-2</v>
      </c>
    </row>
    <row r="513" spans="10:18" x14ac:dyDescent="0.2">
      <c r="J513" s="354">
        <v>40224</v>
      </c>
      <c r="K513">
        <v>26.1</v>
      </c>
      <c r="L513">
        <v>26.700001</v>
      </c>
      <c r="M513">
        <v>25.959999</v>
      </c>
      <c r="N513">
        <v>26</v>
      </c>
      <c r="O513">
        <v>16.881610999999999</v>
      </c>
      <c r="P513">
        <v>11348400</v>
      </c>
      <c r="R513" s="273">
        <f>(O513/O512)*('16. câmbio USD-BRL'!O327/'16. câmbio USD-BRL'!O326)^-1-1</f>
        <v>1.4139209602381353E-2</v>
      </c>
    </row>
    <row r="514" spans="10:18" x14ac:dyDescent="0.2">
      <c r="J514" s="354">
        <v>40231</v>
      </c>
      <c r="K514">
        <v>26.200001</v>
      </c>
      <c r="L514">
        <v>26.33</v>
      </c>
      <c r="M514">
        <v>25.200001</v>
      </c>
      <c r="N514">
        <v>25.379999000000002</v>
      </c>
      <c r="O514">
        <v>16.479051999999999</v>
      </c>
      <c r="P514">
        <v>7738800</v>
      </c>
      <c r="R514" s="273">
        <f>(O514/O513)*('16. câmbio USD-BRL'!O328/'16. câmbio USD-BRL'!O327)^-1-1</f>
        <v>-6.8791214248082877E-3</v>
      </c>
    </row>
    <row r="515" spans="10:18" x14ac:dyDescent="0.2">
      <c r="J515" s="354">
        <v>40238</v>
      </c>
      <c r="K515">
        <v>25.379999000000002</v>
      </c>
      <c r="L515">
        <v>25.379999000000002</v>
      </c>
      <c r="M515">
        <v>25.379999000000002</v>
      </c>
      <c r="N515">
        <v>25.379999000000002</v>
      </c>
      <c r="O515">
        <v>16.479051999999999</v>
      </c>
      <c r="P515">
        <v>0</v>
      </c>
      <c r="R515" s="273">
        <f>(O515/O514)*('16. câmbio USD-BRL'!O329/'16. câmbio USD-BRL'!O328)^-1-1</f>
        <v>1.2445730824891532E-2</v>
      </c>
    </row>
    <row r="516" spans="10:18" x14ac:dyDescent="0.2">
      <c r="J516" s="354">
        <v>40245</v>
      </c>
      <c r="K516">
        <v>25.379999000000002</v>
      </c>
      <c r="L516">
        <v>25.379999000000002</v>
      </c>
      <c r="M516">
        <v>25.379999000000002</v>
      </c>
      <c r="N516">
        <v>25.379999000000002</v>
      </c>
      <c r="O516">
        <v>16.479051999999999</v>
      </c>
      <c r="P516">
        <v>0</v>
      </c>
      <c r="R516" s="273">
        <f>(O516/O515)*('16. câmbio USD-BRL'!O330/'16. câmbio USD-BRL'!O329)^-1-1</f>
        <v>7.6411572561829733E-3</v>
      </c>
    </row>
    <row r="517" spans="10:18" x14ac:dyDescent="0.2">
      <c r="J517" s="354">
        <v>40252</v>
      </c>
      <c r="K517">
        <v>25.379999000000002</v>
      </c>
      <c r="L517">
        <v>25.379999000000002</v>
      </c>
      <c r="M517">
        <v>25.379999000000002</v>
      </c>
      <c r="N517">
        <v>25.379999000000002</v>
      </c>
      <c r="O517">
        <v>16.479051999999999</v>
      </c>
      <c r="P517">
        <v>0</v>
      </c>
      <c r="R517" s="273">
        <f>(O517/O516)*('16. câmbio USD-BRL'!O331/'16. câmbio USD-BRL'!O330)^-1-1</f>
        <v>-1.8323408153916643E-2</v>
      </c>
    </row>
    <row r="518" spans="10:18" x14ac:dyDescent="0.2">
      <c r="J518" s="354">
        <v>40259</v>
      </c>
      <c r="K518">
        <v>25.379999000000002</v>
      </c>
      <c r="L518">
        <v>25.379999000000002</v>
      </c>
      <c r="M518">
        <v>25.379999000000002</v>
      </c>
      <c r="N518">
        <v>25.379999000000002</v>
      </c>
      <c r="O518">
        <v>16.479051999999999</v>
      </c>
      <c r="P518">
        <v>0</v>
      </c>
      <c r="R518" s="273">
        <f>(O518/O517)*('16. câmbio USD-BRL'!O332/'16. câmbio USD-BRL'!O331)^-1-1</f>
        <v>-1.4613778705636848E-2</v>
      </c>
    </row>
    <row r="519" spans="10:18" x14ac:dyDescent="0.2">
      <c r="J519" s="354">
        <v>40266</v>
      </c>
      <c r="K519">
        <v>25.379999000000002</v>
      </c>
      <c r="L519">
        <v>25.379999000000002</v>
      </c>
      <c r="M519">
        <v>25.379999000000002</v>
      </c>
      <c r="N519">
        <v>25.379999000000002</v>
      </c>
      <c r="O519">
        <v>16.479051999999999</v>
      </c>
      <c r="P519">
        <v>0</v>
      </c>
      <c r="R519" s="273">
        <f>(O519/O518)*('16. câmbio USD-BRL'!O333/'16. câmbio USD-BRL'!O332)^-1-1</f>
        <v>3.172662708115026E-2</v>
      </c>
    </row>
    <row r="520" spans="10:18" x14ac:dyDescent="0.2">
      <c r="J520" s="354">
        <v>40273</v>
      </c>
      <c r="K520">
        <v>25.379999000000002</v>
      </c>
      <c r="L520">
        <v>25.379999000000002</v>
      </c>
      <c r="M520">
        <v>25.379999000000002</v>
      </c>
      <c r="N520">
        <v>25.379999000000002</v>
      </c>
      <c r="O520">
        <v>16.479051999999999</v>
      </c>
      <c r="P520">
        <v>0</v>
      </c>
      <c r="R520" s="273">
        <f>(O520/O519)*('16. câmbio USD-BRL'!O334/'16. câmbio USD-BRL'!O333)^-1-1</f>
        <v>-3.0039525691699653E-2</v>
      </c>
    </row>
    <row r="521" spans="10:18" x14ac:dyDescent="0.2">
      <c r="J521" s="354">
        <v>40280</v>
      </c>
      <c r="K521">
        <v>25.379999000000002</v>
      </c>
      <c r="L521">
        <v>25.379999000000002</v>
      </c>
      <c r="M521">
        <v>25.379999000000002</v>
      </c>
      <c r="N521">
        <v>25.379999000000002</v>
      </c>
      <c r="O521">
        <v>16.479051999999999</v>
      </c>
      <c r="P521">
        <v>0</v>
      </c>
      <c r="R521" s="273">
        <f>(O521/O520)*('16. câmbio USD-BRL'!O335/'16. câmbio USD-BRL'!O334)^-1-1</f>
        <v>7.4520734967857827E-3</v>
      </c>
    </row>
    <row r="522" spans="10:18" x14ac:dyDescent="0.2">
      <c r="J522" s="354">
        <v>40287</v>
      </c>
      <c r="K522">
        <v>25.379999000000002</v>
      </c>
      <c r="L522">
        <v>25.379999000000002</v>
      </c>
      <c r="M522">
        <v>25.379999000000002</v>
      </c>
      <c r="N522">
        <v>25.379999000000002</v>
      </c>
      <c r="O522">
        <v>16.479051999999999</v>
      </c>
      <c r="P522">
        <v>0</v>
      </c>
      <c r="R522" s="273">
        <f>(O522/O521)*('16. câmbio USD-BRL'!O336/'16. câmbio USD-BRL'!O335)^-1-1</f>
        <v>-2.7796687088722516E-3</v>
      </c>
    </row>
    <row r="523" spans="10:18" x14ac:dyDescent="0.2">
      <c r="J523" s="354">
        <v>40294</v>
      </c>
      <c r="K523">
        <v>25.379999000000002</v>
      </c>
      <c r="L523">
        <v>25.379999000000002</v>
      </c>
      <c r="M523">
        <v>25.379999000000002</v>
      </c>
      <c r="N523">
        <v>25.379999000000002</v>
      </c>
      <c r="O523">
        <v>16.479051999999999</v>
      </c>
      <c r="P523">
        <v>0</v>
      </c>
      <c r="R523" s="273">
        <f>(O523/O522)*('16. câmbio USD-BRL'!O337/'16. câmbio USD-BRL'!O336)^-1-1</f>
        <v>5.178997613365155E-2</v>
      </c>
    </row>
    <row r="524" spans="10:18" x14ac:dyDescent="0.2">
      <c r="J524" s="354">
        <v>40301</v>
      </c>
      <c r="K524">
        <v>28.450001</v>
      </c>
      <c r="L524">
        <v>28.620000999999998</v>
      </c>
      <c r="M524">
        <v>24.700001</v>
      </c>
      <c r="N524">
        <v>26.1</v>
      </c>
      <c r="O524">
        <v>16.946541</v>
      </c>
      <c r="P524">
        <v>30737968</v>
      </c>
      <c r="R524" s="273">
        <f>(O524/O523)*('16. câmbio USD-BRL'!O338/'16. câmbio USD-BRL'!O337)^-1-1</f>
        <v>-3.674849803209157E-2</v>
      </c>
    </row>
    <row r="525" spans="10:18" x14ac:dyDescent="0.2">
      <c r="J525" s="354">
        <v>40308</v>
      </c>
      <c r="K525">
        <v>27.700001</v>
      </c>
      <c r="L525">
        <v>27.74</v>
      </c>
      <c r="M525">
        <v>25.469999000000001</v>
      </c>
      <c r="N525">
        <v>25.799999</v>
      </c>
      <c r="O525">
        <v>16.751757000000001</v>
      </c>
      <c r="P525">
        <v>26797000</v>
      </c>
      <c r="R525" s="273">
        <f>(O525/O524)*('16. câmbio USD-BRL'!O339/'16. câmbio USD-BRL'!O338)^-1-1</f>
        <v>7.0221689073690641E-3</v>
      </c>
    </row>
    <row r="526" spans="10:18" x14ac:dyDescent="0.2">
      <c r="J526" s="354">
        <v>40315</v>
      </c>
      <c r="K526">
        <v>25.6</v>
      </c>
      <c r="L526">
        <v>25.690000999999999</v>
      </c>
      <c r="M526">
        <v>22.549999</v>
      </c>
      <c r="N526">
        <v>23.790001</v>
      </c>
      <c r="O526">
        <v>15.446672</v>
      </c>
      <c r="P526">
        <v>31517500</v>
      </c>
      <c r="R526" s="273">
        <f>(O526/O525)*('16. câmbio USD-BRL'!O340/'16. câmbio USD-BRL'!O339)^-1-1</f>
        <v>-0.10019249402154962</v>
      </c>
    </row>
    <row r="527" spans="10:18" x14ac:dyDescent="0.2">
      <c r="J527" s="354">
        <v>40322</v>
      </c>
      <c r="K527">
        <v>23.74</v>
      </c>
      <c r="L527">
        <v>24.67</v>
      </c>
      <c r="M527">
        <v>22.51</v>
      </c>
      <c r="N527">
        <v>24.42</v>
      </c>
      <c r="O527">
        <v>15.931901999999999</v>
      </c>
      <c r="P527">
        <v>26945000</v>
      </c>
      <c r="R527" s="273">
        <f>(O527/O526)*('16. câmbio USD-BRL'!O341/'16. câmbio USD-BRL'!O340)^-1-1</f>
        <v>2.3170573720657339E-2</v>
      </c>
    </row>
    <row r="528" spans="10:18" x14ac:dyDescent="0.2">
      <c r="J528" s="354">
        <v>40329</v>
      </c>
      <c r="K528">
        <v>24.48</v>
      </c>
      <c r="L528">
        <v>25.1</v>
      </c>
      <c r="M528">
        <v>23.82</v>
      </c>
      <c r="N528">
        <v>24.01</v>
      </c>
      <c r="O528">
        <v>15.664412</v>
      </c>
      <c r="P528">
        <v>16542600</v>
      </c>
      <c r="R528" s="273">
        <f>(O528/O527)*('16. câmbio USD-BRL'!O342/'16. câmbio USD-BRL'!O341)^-1-1</f>
        <v>-4.6660829229464573E-3</v>
      </c>
    </row>
    <row r="529" spans="10:18" x14ac:dyDescent="0.2">
      <c r="J529" s="354">
        <v>40336</v>
      </c>
      <c r="K529">
        <v>24.1</v>
      </c>
      <c r="L529">
        <v>25.110001</v>
      </c>
      <c r="M529">
        <v>23.18</v>
      </c>
      <c r="N529">
        <v>25.01</v>
      </c>
      <c r="O529">
        <v>16.316815999999999</v>
      </c>
      <c r="P529">
        <v>19954300</v>
      </c>
      <c r="R529" s="273">
        <f>(O529/O528)*('16. câmbio USD-BRL'!O343/'16. câmbio USD-BRL'!O342)^-1-1</f>
        <v>6.3000141507747021E-2</v>
      </c>
    </row>
    <row r="530" spans="10:18" x14ac:dyDescent="0.2">
      <c r="J530" s="354">
        <v>40343</v>
      </c>
      <c r="K530">
        <v>25.5</v>
      </c>
      <c r="L530">
        <v>26.08</v>
      </c>
      <c r="M530">
        <v>24.98</v>
      </c>
      <c r="N530">
        <v>25.049999</v>
      </c>
      <c r="O530">
        <v>16.342919999999999</v>
      </c>
      <c r="P530">
        <v>16781506</v>
      </c>
      <c r="R530" s="273">
        <f>(O530/O529)*('16. câmbio USD-BRL'!O344/'16. câmbio USD-BRL'!O343)^-1-1</f>
        <v>1.9951160925788969E-2</v>
      </c>
    </row>
    <row r="531" spans="10:18" x14ac:dyDescent="0.2">
      <c r="J531" s="354">
        <v>40350</v>
      </c>
      <c r="K531">
        <v>25.799999</v>
      </c>
      <c r="L531">
        <v>25.9</v>
      </c>
      <c r="M531">
        <v>24.49</v>
      </c>
      <c r="N531">
        <v>25.129999000000002</v>
      </c>
      <c r="O531">
        <v>16.395102999999999</v>
      </c>
      <c r="P531">
        <v>21124300</v>
      </c>
      <c r="R531" s="273">
        <f>(O531/O530)*('16. câmbio USD-BRL'!O345/'16. câmbio USD-BRL'!O344)^-1-1</f>
        <v>-2.7973610642571756E-2</v>
      </c>
    </row>
    <row r="532" spans="10:18" x14ac:dyDescent="0.2">
      <c r="J532" s="354">
        <v>40357</v>
      </c>
      <c r="K532">
        <v>25.049999</v>
      </c>
      <c r="L532">
        <v>25.07</v>
      </c>
      <c r="M532">
        <v>23.110001</v>
      </c>
      <c r="N532">
        <v>23.459999</v>
      </c>
      <c r="O532">
        <v>15.305580000000001</v>
      </c>
      <c r="P532">
        <v>23097400</v>
      </c>
      <c r="R532" s="273">
        <f>(O532/O531)*('16. câmbio USD-BRL'!O346/'16. câmbio USD-BRL'!O345)^-1-1</f>
        <v>-3.8417005227287082E-2</v>
      </c>
    </row>
    <row r="533" spans="10:18" x14ac:dyDescent="0.2">
      <c r="J533" s="354">
        <v>40364</v>
      </c>
      <c r="K533">
        <v>23.530000999999999</v>
      </c>
      <c r="L533">
        <v>24.5</v>
      </c>
      <c r="M533">
        <v>22.93</v>
      </c>
      <c r="N533">
        <v>24.5</v>
      </c>
      <c r="O533">
        <v>15.984089000000001</v>
      </c>
      <c r="P533">
        <v>14537200</v>
      </c>
      <c r="R533" s="273">
        <f>(O533/O532)*('16. câmbio USD-BRL'!O347/'16. câmbio USD-BRL'!O346)^-1-1</f>
        <v>5.5693536110283715E-2</v>
      </c>
    </row>
    <row r="534" spans="10:18" x14ac:dyDescent="0.2">
      <c r="J534" s="354">
        <v>40371</v>
      </c>
      <c r="K534">
        <v>24.549999</v>
      </c>
      <c r="L534">
        <v>24.780000999999999</v>
      </c>
      <c r="M534">
        <v>23.01</v>
      </c>
      <c r="N534">
        <v>23.059999000000001</v>
      </c>
      <c r="O534">
        <v>15.044615</v>
      </c>
      <c r="P534">
        <v>20659800</v>
      </c>
      <c r="R534" s="273">
        <f>(O534/O533)*('16. câmbio USD-BRL'!O348/'16. câmbio USD-BRL'!O347)^-1-1</f>
        <v>-9.7423482991074506E-2</v>
      </c>
    </row>
    <row r="535" spans="10:18" x14ac:dyDescent="0.2">
      <c r="J535" s="354">
        <v>40378</v>
      </c>
      <c r="K535">
        <v>23.200001</v>
      </c>
      <c r="L535">
        <v>26</v>
      </c>
      <c r="M535">
        <v>23.129999000000002</v>
      </c>
      <c r="N535">
        <v>25.99</v>
      </c>
      <c r="O535">
        <v>16.956185999999999</v>
      </c>
      <c r="P535">
        <v>26292700</v>
      </c>
      <c r="R535" s="273">
        <f>(O535/O534)*('16. câmbio USD-BRL'!O349/'16. câmbio USD-BRL'!O348)^-1-1</f>
        <v>0.17360404487852854</v>
      </c>
    </row>
    <row r="536" spans="10:18" x14ac:dyDescent="0.2">
      <c r="J536" s="354">
        <v>40385</v>
      </c>
      <c r="K536">
        <v>25.9</v>
      </c>
      <c r="L536">
        <v>26.18</v>
      </c>
      <c r="M536">
        <v>25.16</v>
      </c>
      <c r="N536">
        <v>25.4</v>
      </c>
      <c r="O536">
        <v>16.571262000000001</v>
      </c>
      <c r="P536">
        <v>19143100</v>
      </c>
      <c r="R536" s="273">
        <f>(O536/O535)*('16. câmbio USD-BRL'!O350/'16. câmbio USD-BRL'!O349)^-1-1</f>
        <v>-2.3157564063547409E-2</v>
      </c>
    </row>
    <row r="537" spans="10:18" x14ac:dyDescent="0.2">
      <c r="J537" s="354">
        <v>40392</v>
      </c>
      <c r="K537">
        <v>25.9</v>
      </c>
      <c r="L537">
        <v>27.08</v>
      </c>
      <c r="M537">
        <v>25.719999000000001</v>
      </c>
      <c r="N537">
        <v>26.549999</v>
      </c>
      <c r="O537">
        <v>17.321527</v>
      </c>
      <c r="P537">
        <v>26645800</v>
      </c>
      <c r="R537" s="273">
        <f>(O537/O536)*('16. câmbio USD-BRL'!O351/'16. câmbio USD-BRL'!O350)^-1-1</f>
        <v>2.1013478776237715E-2</v>
      </c>
    </row>
    <row r="538" spans="10:18" x14ac:dyDescent="0.2">
      <c r="J538" s="354">
        <v>40399</v>
      </c>
      <c r="K538">
        <v>26.700001</v>
      </c>
      <c r="L538">
        <v>26.940000999999999</v>
      </c>
      <c r="M538">
        <v>24.51</v>
      </c>
      <c r="N538">
        <v>24.74</v>
      </c>
      <c r="O538">
        <v>16.140663</v>
      </c>
      <c r="P538">
        <v>23037600</v>
      </c>
      <c r="R538" s="273">
        <f>(O538/O537)*('16. câmbio USD-BRL'!O352/'16. câmbio USD-BRL'!O351)^-1-1</f>
        <v>-7.4978325320106509E-2</v>
      </c>
    </row>
    <row r="539" spans="10:18" x14ac:dyDescent="0.2">
      <c r="J539" s="354">
        <v>40406</v>
      </c>
      <c r="K539">
        <v>24.74</v>
      </c>
      <c r="L539">
        <v>25.16</v>
      </c>
      <c r="M539">
        <v>23.68</v>
      </c>
      <c r="N539">
        <v>24.129999000000002</v>
      </c>
      <c r="O539">
        <v>15.742699999999999</v>
      </c>
      <c r="P539">
        <v>22987200</v>
      </c>
      <c r="R539" s="273">
        <f>(O539/O538)*('16. câmbio USD-BRL'!O353/'16. câmbio USD-BRL'!O352)^-1-1</f>
        <v>-2.1442819780251976E-2</v>
      </c>
    </row>
    <row r="540" spans="10:18" x14ac:dyDescent="0.2">
      <c r="J540" s="354">
        <v>40413</v>
      </c>
      <c r="K540">
        <v>24.42</v>
      </c>
      <c r="L540">
        <v>24.450001</v>
      </c>
      <c r="M540">
        <v>22.969999000000001</v>
      </c>
      <c r="N540">
        <v>23.9</v>
      </c>
      <c r="O540">
        <v>15.681278000000001</v>
      </c>
      <c r="P540">
        <v>23146100</v>
      </c>
      <c r="R540" s="273">
        <f>(O540/O539)*('16. câmbio USD-BRL'!O354/'16. câmbio USD-BRL'!O353)^-1-1</f>
        <v>-1.4628414632771314E-3</v>
      </c>
    </row>
    <row r="541" spans="10:18" x14ac:dyDescent="0.2">
      <c r="J541" s="354">
        <v>40420</v>
      </c>
      <c r="K541">
        <v>23.889999</v>
      </c>
      <c r="L541">
        <v>24.65</v>
      </c>
      <c r="M541">
        <v>23.209999</v>
      </c>
      <c r="N541">
        <v>24.059999000000001</v>
      </c>
      <c r="O541">
        <v>15.786255000000001</v>
      </c>
      <c r="P541">
        <v>12058656</v>
      </c>
      <c r="R541" s="273">
        <f>(O541/O540)*('16. câmbio USD-BRL'!O355/'16. câmbio USD-BRL'!O354)^-1-1</f>
        <v>1.6417018112280024E-2</v>
      </c>
    </row>
    <row r="542" spans="10:18" x14ac:dyDescent="0.2">
      <c r="J542" s="354">
        <v>40427</v>
      </c>
      <c r="K542">
        <v>24.200001</v>
      </c>
      <c r="L542">
        <v>24.98</v>
      </c>
      <c r="M542">
        <v>24</v>
      </c>
      <c r="N542">
        <v>24.68</v>
      </c>
      <c r="O542">
        <v>16.193047</v>
      </c>
      <c r="P542">
        <v>13198400</v>
      </c>
      <c r="R542" s="273">
        <f>(O542/O541)*('16. câmbio USD-BRL'!O356/'16. câmbio USD-BRL'!O355)^-1-1</f>
        <v>3.547164239519196E-2</v>
      </c>
    </row>
    <row r="543" spans="10:18" x14ac:dyDescent="0.2">
      <c r="J543" s="354">
        <v>40434</v>
      </c>
      <c r="K543">
        <v>24.84</v>
      </c>
      <c r="L543">
        <v>25</v>
      </c>
      <c r="M543">
        <v>24.040001</v>
      </c>
      <c r="N543">
        <v>24.15</v>
      </c>
      <c r="O543">
        <v>15.845306000000001</v>
      </c>
      <c r="P543">
        <v>19397400</v>
      </c>
      <c r="R543" s="273">
        <f>(O543/O542)*('16. câmbio USD-BRL'!O357/'16. câmbio USD-BRL'!O356)^-1-1</f>
        <v>-1.8227203209703169E-2</v>
      </c>
    </row>
    <row r="544" spans="10:18" x14ac:dyDescent="0.2">
      <c r="J544" s="354">
        <v>40441</v>
      </c>
      <c r="K544">
        <v>24.200001</v>
      </c>
      <c r="L544">
        <v>24.5</v>
      </c>
      <c r="M544">
        <v>22.530000999999999</v>
      </c>
      <c r="N544">
        <v>22.610001</v>
      </c>
      <c r="O544">
        <v>14.834882</v>
      </c>
      <c r="P544">
        <v>37645751</v>
      </c>
      <c r="R544" s="273">
        <f>(O544/O543)*('16. câmbio USD-BRL'!O358/'16. câmbio USD-BRL'!O357)^-1-1</f>
        <v>-6.3877043209856432E-2</v>
      </c>
    </row>
    <row r="545" spans="10:18" x14ac:dyDescent="0.2">
      <c r="J545" s="354">
        <v>40448</v>
      </c>
      <c r="K545">
        <v>22.9</v>
      </c>
      <c r="L545">
        <v>23.530000999999999</v>
      </c>
      <c r="M545">
        <v>22.32</v>
      </c>
      <c r="N545">
        <v>22.780000999999999</v>
      </c>
      <c r="O545">
        <v>14.946417</v>
      </c>
      <c r="P545">
        <v>35297800</v>
      </c>
      <c r="R545" s="273">
        <f>(O545/O544)*('16. câmbio USD-BRL'!O359/'16. câmbio USD-BRL'!O358)^-1-1</f>
        <v>2.0349274617127211E-2</v>
      </c>
    </row>
    <row r="546" spans="10:18" x14ac:dyDescent="0.2">
      <c r="J546" s="354">
        <v>40455</v>
      </c>
      <c r="K546">
        <v>22.809999000000001</v>
      </c>
      <c r="L546">
        <v>22.879999000000002</v>
      </c>
      <c r="M546">
        <v>21.620000999999998</v>
      </c>
      <c r="N546">
        <v>22.09</v>
      </c>
      <c r="O546">
        <v>14.493695000000001</v>
      </c>
      <c r="P546">
        <v>39000900</v>
      </c>
      <c r="R546" s="273">
        <f>(O546/O545)*('16. câmbio USD-BRL'!O360/'16. câmbio USD-BRL'!O359)^-1-1</f>
        <v>-1.9712900766072239E-2</v>
      </c>
    </row>
    <row r="547" spans="10:18" x14ac:dyDescent="0.2">
      <c r="J547" s="354">
        <v>40462</v>
      </c>
      <c r="K547">
        <v>22.15</v>
      </c>
      <c r="L547">
        <v>22.450001</v>
      </c>
      <c r="M547">
        <v>21.450001</v>
      </c>
      <c r="N547">
        <v>21.75</v>
      </c>
      <c r="O547">
        <v>14.270612</v>
      </c>
      <c r="P547">
        <v>26680000</v>
      </c>
      <c r="R547" s="273">
        <f>(O547/O546)*('16. câmbio USD-BRL'!O361/'16. câmbio USD-BRL'!O360)^-1-1</f>
        <v>-5.1934481194112481E-3</v>
      </c>
    </row>
    <row r="548" spans="10:18" x14ac:dyDescent="0.2">
      <c r="J548" s="354">
        <v>40469</v>
      </c>
      <c r="K548">
        <v>21.690000999999999</v>
      </c>
      <c r="L548">
        <v>21.77</v>
      </c>
      <c r="M548">
        <v>20.16</v>
      </c>
      <c r="N548">
        <v>20.610001</v>
      </c>
      <c r="O548">
        <v>13.522641999999999</v>
      </c>
      <c r="P548">
        <v>38625800</v>
      </c>
      <c r="R548" s="273">
        <f>(O548/O547)*('16. câmbio USD-BRL'!O362/'16. câmbio USD-BRL'!O361)^-1-1</f>
        <v>-7.1096541527279067E-2</v>
      </c>
    </row>
    <row r="549" spans="10:18" x14ac:dyDescent="0.2">
      <c r="J549" s="354">
        <v>40476</v>
      </c>
      <c r="K549">
        <v>20.82</v>
      </c>
      <c r="L549">
        <v>22</v>
      </c>
      <c r="M549">
        <v>20.170000000000002</v>
      </c>
      <c r="N549">
        <v>22</v>
      </c>
      <c r="O549">
        <v>14.434645</v>
      </c>
      <c r="P549">
        <v>41860700</v>
      </c>
      <c r="R549" s="273">
        <f>(O549/O548)*('16. câmbio USD-BRL'!O363/'16. câmbio USD-BRL'!O362)^-1-1</f>
        <v>5.5294935929966371E-2</v>
      </c>
    </row>
    <row r="550" spans="10:18" x14ac:dyDescent="0.2">
      <c r="J550" s="354">
        <v>40483</v>
      </c>
      <c r="K550">
        <v>22.02</v>
      </c>
      <c r="L550">
        <v>22.969999000000001</v>
      </c>
      <c r="M550">
        <v>21.879999000000002</v>
      </c>
      <c r="N550">
        <v>22</v>
      </c>
      <c r="O550">
        <v>14.434645</v>
      </c>
      <c r="P550">
        <v>31395100</v>
      </c>
      <c r="R550" s="273">
        <f>(O550/O549)*('16. câmbio USD-BRL'!O364/'16. câmbio USD-BRL'!O363)^-1-1</f>
        <v>2.3168328655878589E-2</v>
      </c>
    </row>
    <row r="551" spans="10:18" x14ac:dyDescent="0.2">
      <c r="J551" s="354">
        <v>40490</v>
      </c>
      <c r="K551">
        <v>22</v>
      </c>
      <c r="L551">
        <v>23.110001</v>
      </c>
      <c r="M551">
        <v>22</v>
      </c>
      <c r="N551">
        <v>22.360001</v>
      </c>
      <c r="O551">
        <v>14.670851000000001</v>
      </c>
      <c r="P551">
        <v>23923500</v>
      </c>
      <c r="R551" s="273">
        <f>(O551/O550)*('16. câmbio USD-BRL'!O365/'16. câmbio USD-BRL'!O364)^-1-1</f>
        <v>-1.1266629578726817E-2</v>
      </c>
    </row>
    <row r="552" spans="10:18" x14ac:dyDescent="0.2">
      <c r="J552" s="354">
        <v>40497</v>
      </c>
      <c r="K552">
        <v>22.360001</v>
      </c>
      <c r="L552">
        <v>22.360001</v>
      </c>
      <c r="M552">
        <v>21.049999</v>
      </c>
      <c r="N552">
        <v>21.6</v>
      </c>
      <c r="O552">
        <v>14.172199000000001</v>
      </c>
      <c r="P552">
        <v>16069800</v>
      </c>
      <c r="R552" s="273">
        <f>(O552/O551)*('16. câmbio USD-BRL'!O366/'16. câmbio USD-BRL'!O365)^-1-1</f>
        <v>-2.8061125146364607E-2</v>
      </c>
    </row>
    <row r="553" spans="10:18" x14ac:dyDescent="0.2">
      <c r="J553" s="354">
        <v>40504</v>
      </c>
      <c r="K553">
        <v>21.59</v>
      </c>
      <c r="L553">
        <v>21.6</v>
      </c>
      <c r="M553">
        <v>19.93</v>
      </c>
      <c r="N553">
        <v>20.07</v>
      </c>
      <c r="O553">
        <v>13.242728</v>
      </c>
      <c r="P553">
        <v>22347600</v>
      </c>
      <c r="R553" s="273">
        <f>(O553/O552)*('16. câmbio USD-BRL'!O367/'16. câmbio USD-BRL'!O366)^-1-1</f>
        <v>-6.8035211418616903E-2</v>
      </c>
    </row>
    <row r="554" spans="10:18" x14ac:dyDescent="0.2">
      <c r="J554" s="354">
        <v>40511</v>
      </c>
      <c r="K554">
        <v>19.969999000000001</v>
      </c>
      <c r="L554">
        <v>21.49</v>
      </c>
      <c r="M554">
        <v>19.399999999999999</v>
      </c>
      <c r="N554">
        <v>21.09</v>
      </c>
      <c r="O554">
        <v>13.915754</v>
      </c>
      <c r="P554">
        <v>37416900</v>
      </c>
      <c r="R554" s="273">
        <f>(O554/O553)*('16. câmbio USD-BRL'!O368/'16. câmbio USD-BRL'!O367)^-1-1</f>
        <v>5.9468509680651538E-2</v>
      </c>
    </row>
    <row r="555" spans="10:18" x14ac:dyDescent="0.2">
      <c r="J555" s="354">
        <v>40518</v>
      </c>
      <c r="K555">
        <v>21.110001</v>
      </c>
      <c r="L555">
        <v>22.809999000000001</v>
      </c>
      <c r="M555">
        <v>21.110001</v>
      </c>
      <c r="N555">
        <v>22.809999000000001</v>
      </c>
      <c r="O555">
        <v>15.050653000000001</v>
      </c>
      <c r="P555">
        <v>31669000</v>
      </c>
      <c r="R555" s="273">
        <f>(O555/O554)*('16. câmbio USD-BRL'!O369/'16. câmbio USD-BRL'!O368)^-1-1</f>
        <v>8.022176196435149E-2</v>
      </c>
    </row>
    <row r="556" spans="10:18" x14ac:dyDescent="0.2">
      <c r="J556" s="354">
        <v>40525</v>
      </c>
      <c r="K556">
        <v>23.07</v>
      </c>
      <c r="L556">
        <v>23.629999000000002</v>
      </c>
      <c r="M556">
        <v>21.84</v>
      </c>
      <c r="N556">
        <v>22.9</v>
      </c>
      <c r="O556">
        <v>15.110041000000001</v>
      </c>
      <c r="P556">
        <v>39135500</v>
      </c>
      <c r="R556" s="273">
        <f>(O556/O555)*('16. câmbio USD-BRL'!O370/'16. câmbio USD-BRL'!O369)^-1-1</f>
        <v>3.5335288211919558E-3</v>
      </c>
    </row>
    <row r="557" spans="10:18" x14ac:dyDescent="0.2">
      <c r="J557" s="354">
        <v>40532</v>
      </c>
      <c r="K557">
        <v>23</v>
      </c>
      <c r="L557">
        <v>23.299999</v>
      </c>
      <c r="M557">
        <v>22.290001</v>
      </c>
      <c r="N557">
        <v>23.08</v>
      </c>
      <c r="O557">
        <v>15.228814</v>
      </c>
      <c r="P557">
        <v>15855300</v>
      </c>
      <c r="R557" s="273">
        <f>(O557/O556)*('16. câmbio USD-BRL'!O371/'16. câmbio USD-BRL'!O370)^-1-1</f>
        <v>1.5007214506212341E-2</v>
      </c>
    </row>
    <row r="558" spans="10:18" x14ac:dyDescent="0.2">
      <c r="J558" s="354">
        <v>40539</v>
      </c>
      <c r="K558">
        <v>22.799999</v>
      </c>
      <c r="L558">
        <v>22.940000999999999</v>
      </c>
      <c r="M558">
        <v>22.040001</v>
      </c>
      <c r="N558">
        <v>22.67</v>
      </c>
      <c r="O558">
        <v>14.958287</v>
      </c>
      <c r="P558">
        <v>12704900</v>
      </c>
      <c r="R558" s="273">
        <f>(O558/O557)*('16. câmbio USD-BRL'!O372/'16. câmbio USD-BRL'!O371)^-1-1</f>
        <v>1.4303361446721397E-4</v>
      </c>
    </row>
    <row r="559" spans="10:18" x14ac:dyDescent="0.2">
      <c r="J559" s="354">
        <v>40546</v>
      </c>
      <c r="K559">
        <v>23.059999000000001</v>
      </c>
      <c r="L559">
        <v>24.389999</v>
      </c>
      <c r="M559">
        <v>22.860001</v>
      </c>
      <c r="N559">
        <v>24.08</v>
      </c>
      <c r="O559">
        <v>15.888635000000001</v>
      </c>
      <c r="P559">
        <v>30175200</v>
      </c>
      <c r="R559" s="273">
        <f>(O559/O558)*('16. câmbio USD-BRL'!O373/'16. câmbio USD-BRL'!O372)^-1-1</f>
        <v>4.7138037032794955E-2</v>
      </c>
    </row>
    <row r="560" spans="10:18" x14ac:dyDescent="0.2">
      <c r="J560" s="354">
        <v>40553</v>
      </c>
      <c r="K560">
        <v>23.77</v>
      </c>
      <c r="L560">
        <v>24.780000999999999</v>
      </c>
      <c r="M560">
        <v>23.59</v>
      </c>
      <c r="N560">
        <v>24.200001</v>
      </c>
      <c r="O560">
        <v>15.967815</v>
      </c>
      <c r="P560">
        <v>23778800</v>
      </c>
      <c r="R560" s="273">
        <f>(O560/O559)*('16. câmbio USD-BRL'!O374/'16. câmbio USD-BRL'!O373)^-1-1</f>
        <v>1.5159721518263058E-2</v>
      </c>
    </row>
    <row r="561" spans="10:18" x14ac:dyDescent="0.2">
      <c r="J561" s="354">
        <v>40560</v>
      </c>
      <c r="K561">
        <v>24.030000999999999</v>
      </c>
      <c r="L561">
        <v>24.33</v>
      </c>
      <c r="M561">
        <v>22.48</v>
      </c>
      <c r="N561">
        <v>22.58</v>
      </c>
      <c r="O561">
        <v>14.898898000000001</v>
      </c>
      <c r="P561">
        <v>28984600</v>
      </c>
      <c r="R561" s="273">
        <f>(O561/O560)*('16. câmbio USD-BRL'!O375/'16. câmbio USD-BRL'!O374)^-1-1</f>
        <v>-4.765542361391939E-2</v>
      </c>
    </row>
    <row r="562" spans="10:18" x14ac:dyDescent="0.2">
      <c r="J562" s="354">
        <v>40567</v>
      </c>
      <c r="K562">
        <v>22.700001</v>
      </c>
      <c r="L562">
        <v>22.83</v>
      </c>
      <c r="M562">
        <v>20.870000999999998</v>
      </c>
      <c r="N562">
        <v>21</v>
      </c>
      <c r="O562">
        <v>13.856367000000001</v>
      </c>
      <c r="P562">
        <v>27399400</v>
      </c>
      <c r="R562" s="273">
        <f>(O562/O561)*('16. câmbio USD-BRL'!O376/'16. câmbio USD-BRL'!O375)^-1-1</f>
        <v>-9.0606345845004599E-2</v>
      </c>
    </row>
    <row r="563" spans="10:18" x14ac:dyDescent="0.2">
      <c r="J563" s="354">
        <v>40574</v>
      </c>
      <c r="K563">
        <v>21.200001</v>
      </c>
      <c r="L563">
        <v>23.25</v>
      </c>
      <c r="M563">
        <v>21.01</v>
      </c>
      <c r="N563">
        <v>22.4</v>
      </c>
      <c r="O563">
        <v>14.780127</v>
      </c>
      <c r="P563">
        <v>25665700</v>
      </c>
      <c r="R563" s="273">
        <f>(O563/O562)*('16. câmbio USD-BRL'!O377/'16. câmbio USD-BRL'!O376)^-1-1</f>
        <v>6.9160232666451549E-2</v>
      </c>
    </row>
    <row r="564" spans="10:18" x14ac:dyDescent="0.2">
      <c r="J564" s="354">
        <v>40581</v>
      </c>
      <c r="K564">
        <v>22.65</v>
      </c>
      <c r="L564">
        <v>23.190000999999999</v>
      </c>
      <c r="M564">
        <v>22.059999000000001</v>
      </c>
      <c r="N564">
        <v>22.9</v>
      </c>
      <c r="O564">
        <v>15.110041000000001</v>
      </c>
      <c r="P564">
        <v>9698164</v>
      </c>
      <c r="R564" s="273">
        <f>(O564/O563)*('16. câmbio USD-BRL'!O378/'16. câmbio USD-BRL'!O377)^-1-1</f>
        <v>2.4963116595123624E-2</v>
      </c>
    </row>
    <row r="565" spans="10:18" x14ac:dyDescent="0.2">
      <c r="J565" s="354">
        <v>40588</v>
      </c>
      <c r="K565">
        <v>22.809999000000001</v>
      </c>
      <c r="L565">
        <v>24.16</v>
      </c>
      <c r="M565">
        <v>22.610001</v>
      </c>
      <c r="N565">
        <v>24.030000999999999</v>
      </c>
      <c r="O565">
        <v>15.855648</v>
      </c>
      <c r="P565">
        <v>26916500</v>
      </c>
      <c r="R565" s="273">
        <f>(O565/O564)*('16. câmbio USD-BRL'!O379/'16. câmbio USD-BRL'!O378)^-1-1</f>
        <v>5.0671021493215562E-2</v>
      </c>
    </row>
    <row r="566" spans="10:18" x14ac:dyDescent="0.2">
      <c r="J566" s="354">
        <v>40595</v>
      </c>
      <c r="K566">
        <v>23.92</v>
      </c>
      <c r="L566">
        <v>23.950001</v>
      </c>
      <c r="M566">
        <v>21.57</v>
      </c>
      <c r="N566">
        <v>21.85</v>
      </c>
      <c r="O566">
        <v>14.417222000000001</v>
      </c>
      <c r="P566">
        <v>25105600</v>
      </c>
      <c r="R566" s="273">
        <f>(O566/O565)*('16. câmbio USD-BRL'!O380/'16. câmbio USD-BRL'!O379)^-1-1</f>
        <v>-9.1102910399890602E-2</v>
      </c>
    </row>
    <row r="567" spans="10:18" x14ac:dyDescent="0.2">
      <c r="J567" s="354">
        <v>40602</v>
      </c>
      <c r="K567">
        <v>22</v>
      </c>
      <c r="L567">
        <v>23.1</v>
      </c>
      <c r="M567">
        <v>21.57</v>
      </c>
      <c r="N567">
        <v>22.25</v>
      </c>
      <c r="O567">
        <v>14.681153</v>
      </c>
      <c r="P567">
        <v>38005700</v>
      </c>
      <c r="R567" s="273">
        <f>(O567/O566)*('16. câmbio USD-BRL'!O381/'16. câmbio USD-BRL'!O380)^-1-1</f>
        <v>2.6455569974733084E-2</v>
      </c>
    </row>
    <row r="568" spans="10:18" x14ac:dyDescent="0.2">
      <c r="J568" s="354">
        <v>40609</v>
      </c>
      <c r="K568">
        <v>22.25</v>
      </c>
      <c r="L568">
        <v>22.25</v>
      </c>
      <c r="M568">
        <v>21.02</v>
      </c>
      <c r="N568">
        <v>21.040001</v>
      </c>
      <c r="O568">
        <v>13.882764</v>
      </c>
      <c r="P568">
        <v>18659700</v>
      </c>
      <c r="R568" s="273">
        <f>(O568/O567)*('16. câmbio USD-BRL'!O382/'16. câmbio USD-BRL'!O381)^-1-1</f>
        <v>-5.9796832240490483E-2</v>
      </c>
    </row>
    <row r="569" spans="10:18" x14ac:dyDescent="0.2">
      <c r="J569" s="354">
        <v>40616</v>
      </c>
      <c r="K569">
        <v>21.09</v>
      </c>
      <c r="L569">
        <v>22.49</v>
      </c>
      <c r="M569">
        <v>21.040001</v>
      </c>
      <c r="N569">
        <v>21.299999</v>
      </c>
      <c r="O569">
        <v>14.054320000000001</v>
      </c>
      <c r="P569">
        <v>41726900</v>
      </c>
      <c r="R569" s="273">
        <f>(O569/O568)*('16. câmbio USD-BRL'!O383/'16. câmbio USD-BRL'!O382)^-1-1</f>
        <v>6.3226691615625441E-7</v>
      </c>
    </row>
    <row r="570" spans="10:18" x14ac:dyDescent="0.2">
      <c r="J570" s="354">
        <v>40623</v>
      </c>
      <c r="K570">
        <v>23.34</v>
      </c>
      <c r="L570">
        <v>23.34</v>
      </c>
      <c r="M570">
        <v>20.170000000000002</v>
      </c>
      <c r="N570">
        <v>20.280000999999999</v>
      </c>
      <c r="O570">
        <v>13.418191999999999</v>
      </c>
      <c r="P570">
        <v>27948900</v>
      </c>
      <c r="R570" s="273">
        <f>(O570/O569)*('16. câmbio USD-BRL'!O384/'16. câmbio USD-BRL'!O383)^-1-1</f>
        <v>-3.2589859726077197E-2</v>
      </c>
    </row>
    <row r="571" spans="10:18" x14ac:dyDescent="0.2">
      <c r="J571" s="354">
        <v>40630</v>
      </c>
      <c r="K571">
        <v>20.280000999999999</v>
      </c>
      <c r="L571">
        <v>20.280000999999999</v>
      </c>
      <c r="M571">
        <v>20.280000999999999</v>
      </c>
      <c r="N571">
        <v>20.280000999999999</v>
      </c>
      <c r="O571">
        <v>13.418191999999999</v>
      </c>
      <c r="P571">
        <v>0</v>
      </c>
      <c r="R571" s="273">
        <f>(O571/O570)*('16. câmbio USD-BRL'!O385/'16. câmbio USD-BRL'!O384)^-1-1</f>
        <v>1.8620943952802449E-2</v>
      </c>
    </row>
    <row r="572" spans="10:18" x14ac:dyDescent="0.2">
      <c r="J572" s="354">
        <v>40637</v>
      </c>
      <c r="K572">
        <v>20.280000999999999</v>
      </c>
      <c r="L572">
        <v>20.280000999999999</v>
      </c>
      <c r="M572">
        <v>20.280000999999999</v>
      </c>
      <c r="N572">
        <v>20.280000999999999</v>
      </c>
      <c r="O572">
        <v>13.418191999999999</v>
      </c>
      <c r="P572">
        <v>0</v>
      </c>
      <c r="R572" s="273">
        <f>(O572/O571)*('16. câmbio USD-BRL'!O386/'16. câmbio USD-BRL'!O385)^-1-1</f>
        <v>2.1533052922342977E-2</v>
      </c>
    </row>
    <row r="573" spans="10:18" x14ac:dyDescent="0.2">
      <c r="J573" s="354">
        <v>40644</v>
      </c>
      <c r="K573">
        <v>20.280000999999999</v>
      </c>
      <c r="L573">
        <v>20.280000999999999</v>
      </c>
      <c r="M573">
        <v>20.280000999999999</v>
      </c>
      <c r="N573">
        <v>20.280000999999999</v>
      </c>
      <c r="O573">
        <v>13.418191999999999</v>
      </c>
      <c r="P573">
        <v>0</v>
      </c>
      <c r="R573" s="273">
        <f>(O573/O572)*('16. câmbio USD-BRL'!O387/'16. câmbio USD-BRL'!O386)^-1-1</f>
        <v>5.6532663316577469E-4</v>
      </c>
    </row>
    <row r="574" spans="10:18" x14ac:dyDescent="0.2">
      <c r="J574" s="354">
        <v>40651</v>
      </c>
      <c r="K574">
        <v>20.280000999999999</v>
      </c>
      <c r="L574">
        <v>20.280000999999999</v>
      </c>
      <c r="M574">
        <v>20.280000999999999</v>
      </c>
      <c r="N574">
        <v>20.280000999999999</v>
      </c>
      <c r="O574">
        <v>13.418191999999999</v>
      </c>
      <c r="P574">
        <v>0</v>
      </c>
      <c r="R574" s="273">
        <f>(O574/O573)*('16. câmbio USD-BRL'!O388/'16. câmbio USD-BRL'!O387)^-1-1</f>
        <v>1.4659018483110353E-2</v>
      </c>
    </row>
    <row r="575" spans="10:18" x14ac:dyDescent="0.2">
      <c r="J575" s="354">
        <v>40658</v>
      </c>
      <c r="K575">
        <v>20.280000999999999</v>
      </c>
      <c r="L575">
        <v>20.280000999999999</v>
      </c>
      <c r="M575">
        <v>18.309999000000001</v>
      </c>
      <c r="N575">
        <v>18.899999999999999</v>
      </c>
      <c r="O575">
        <v>12.505121000000001</v>
      </c>
      <c r="P575">
        <v>16818900</v>
      </c>
      <c r="R575" s="273">
        <f>(O575/O574)*('16. câmbio USD-BRL'!O389/'16. câmbio USD-BRL'!O388)^-1-1</f>
        <v>-7.8211011525318841E-2</v>
      </c>
    </row>
    <row r="576" spans="10:18" x14ac:dyDescent="0.2">
      <c r="J576" s="354">
        <v>40665</v>
      </c>
      <c r="K576">
        <v>18.809999000000001</v>
      </c>
      <c r="L576">
        <v>19.09</v>
      </c>
      <c r="M576">
        <v>16.899999999999999</v>
      </c>
      <c r="N576">
        <v>17.120000999999998</v>
      </c>
      <c r="O576">
        <v>11.327386000000001</v>
      </c>
      <c r="P576">
        <v>47707100</v>
      </c>
      <c r="R576" s="273">
        <f>(O576/O575)*('16. câmbio USD-BRL'!O390/'16. câmbio USD-BRL'!O389)^-1-1</f>
        <v>-0.11575266279126151</v>
      </c>
    </row>
    <row r="577" spans="10:18" x14ac:dyDescent="0.2">
      <c r="J577" s="354">
        <v>40672</v>
      </c>
      <c r="K577">
        <v>17.120000999999998</v>
      </c>
      <c r="L577">
        <v>17.379999000000002</v>
      </c>
      <c r="M577">
        <v>16.59</v>
      </c>
      <c r="N577">
        <v>16.700001</v>
      </c>
      <c r="O577">
        <v>11.0495</v>
      </c>
      <c r="P577">
        <v>20385998</v>
      </c>
      <c r="R577" s="273">
        <f>(O577/O576)*('16. câmbio USD-BRL'!O391/'16. câmbio USD-BRL'!O390)^-1-1</f>
        <v>-1.9402949709403483E-2</v>
      </c>
    </row>
    <row r="578" spans="10:18" x14ac:dyDescent="0.2">
      <c r="J578" s="354">
        <v>40679</v>
      </c>
      <c r="K578">
        <v>16.700001</v>
      </c>
      <c r="L578">
        <v>17.100000000000001</v>
      </c>
      <c r="M578">
        <v>16.260000000000002</v>
      </c>
      <c r="N578">
        <v>16.350000000000001</v>
      </c>
      <c r="O578">
        <v>10.817921</v>
      </c>
      <c r="P578">
        <v>27768500</v>
      </c>
      <c r="R578" s="273">
        <f>(O578/O577)*('16. câmbio USD-BRL'!O392/'16. câmbio USD-BRL'!O391)^-1-1</f>
        <v>-2.0594795837703184E-2</v>
      </c>
    </row>
    <row r="579" spans="10:18" x14ac:dyDescent="0.2">
      <c r="J579" s="354">
        <v>40686</v>
      </c>
      <c r="K579">
        <v>16.049999</v>
      </c>
      <c r="L579">
        <v>17.299999</v>
      </c>
      <c r="M579">
        <v>15.95</v>
      </c>
      <c r="N579">
        <v>17.149999999999999</v>
      </c>
      <c r="O579">
        <v>11.388474</v>
      </c>
      <c r="P579">
        <v>30392200</v>
      </c>
      <c r="R579" s="273">
        <f>(O579/O578)*('16. câmbio USD-BRL'!O393/'16. câmbio USD-BRL'!O392)^-1-1</f>
        <v>4.8588382559012322E-2</v>
      </c>
    </row>
    <row r="580" spans="10:18" x14ac:dyDescent="0.2">
      <c r="J580" s="354">
        <v>40693</v>
      </c>
      <c r="K580">
        <v>17.25</v>
      </c>
      <c r="L580">
        <v>17.309999000000001</v>
      </c>
      <c r="M580">
        <v>16.59</v>
      </c>
      <c r="N580">
        <v>16.799999</v>
      </c>
      <c r="O580">
        <v>11.156058</v>
      </c>
      <c r="P580">
        <v>25511900</v>
      </c>
      <c r="R580" s="273">
        <f>(O580/O579)*('16. câmbio USD-BRL'!O394/'16. câmbio USD-BRL'!O393)^-1-1</f>
        <v>7.4117897809615751E-3</v>
      </c>
    </row>
    <row r="581" spans="10:18" x14ac:dyDescent="0.2">
      <c r="J581" s="354">
        <v>40700</v>
      </c>
      <c r="K581">
        <v>16.790001</v>
      </c>
      <c r="L581">
        <v>16.84</v>
      </c>
      <c r="M581">
        <v>16.23</v>
      </c>
      <c r="N581">
        <v>16.350000000000001</v>
      </c>
      <c r="O581">
        <v>10.857232</v>
      </c>
      <c r="P581">
        <v>27863500</v>
      </c>
      <c r="R581" s="273">
        <f>(O581/O580)*('16. câmbio USD-BRL'!O395/'16. câmbio USD-BRL'!O394)^-1-1</f>
        <v>-3.2550816699066676E-2</v>
      </c>
    </row>
    <row r="582" spans="10:18" x14ac:dyDescent="0.2">
      <c r="J582" s="354">
        <v>40707</v>
      </c>
      <c r="K582">
        <v>16.43</v>
      </c>
      <c r="L582">
        <v>16.450001</v>
      </c>
      <c r="M582">
        <v>15.55</v>
      </c>
      <c r="N582">
        <v>15.7</v>
      </c>
      <c r="O582">
        <v>10.425603000000001</v>
      </c>
      <c r="P582">
        <v>28587400</v>
      </c>
      <c r="R582" s="273">
        <f>(O582/O581)*('16. câmbio USD-BRL'!O396/'16. câmbio USD-BRL'!O395)^-1-1</f>
        <v>-5.123415214941085E-2</v>
      </c>
    </row>
    <row r="583" spans="10:18" x14ac:dyDescent="0.2">
      <c r="J583" s="354">
        <v>40714</v>
      </c>
      <c r="K583">
        <v>15.7</v>
      </c>
      <c r="L583">
        <v>15.79</v>
      </c>
      <c r="M583">
        <v>15.32</v>
      </c>
      <c r="N583">
        <v>15.42</v>
      </c>
      <c r="O583">
        <v>10.239666</v>
      </c>
      <c r="P583">
        <v>12448800</v>
      </c>
      <c r="R583" s="273">
        <f>(O583/O582)*('16. câmbio USD-BRL'!O397/'16. câmbio USD-BRL'!O396)^-1-1</f>
        <v>-8.2013419442135138E-3</v>
      </c>
    </row>
    <row r="584" spans="10:18" x14ac:dyDescent="0.2">
      <c r="J584" s="354">
        <v>40721</v>
      </c>
      <c r="K584">
        <v>15.43</v>
      </c>
      <c r="L584">
        <v>16.860001</v>
      </c>
      <c r="M584">
        <v>15.28</v>
      </c>
      <c r="N584">
        <v>16.690000999999999</v>
      </c>
      <c r="O584">
        <v>11.083012999999999</v>
      </c>
      <c r="P584">
        <v>27128600</v>
      </c>
      <c r="R584" s="273">
        <f>(O584/O583)*('16. câmbio USD-BRL'!O398/'16. câmbio USD-BRL'!O397)^-1-1</f>
        <v>0.10253288038381347</v>
      </c>
    </row>
    <row r="585" spans="10:18" x14ac:dyDescent="0.2">
      <c r="J585" s="354">
        <v>40728</v>
      </c>
      <c r="K585">
        <v>16.68</v>
      </c>
      <c r="L585">
        <v>17.16</v>
      </c>
      <c r="M585">
        <v>16.239999999999998</v>
      </c>
      <c r="N585">
        <v>16.34</v>
      </c>
      <c r="O585">
        <v>10.850593</v>
      </c>
      <c r="P585">
        <v>25891900</v>
      </c>
      <c r="R585" s="273">
        <f>(O585/O584)*('16. câmbio USD-BRL'!O399/'16. câmbio USD-BRL'!O398)^-1-1</f>
        <v>-1.6625189171310173E-2</v>
      </c>
    </row>
    <row r="586" spans="10:18" x14ac:dyDescent="0.2">
      <c r="J586" s="354">
        <v>40735</v>
      </c>
      <c r="K586">
        <v>16.149999999999999</v>
      </c>
      <c r="L586">
        <v>16.149999999999999</v>
      </c>
      <c r="M586">
        <v>14.6</v>
      </c>
      <c r="N586">
        <v>14.62</v>
      </c>
      <c r="O586">
        <v>9.7084259999999993</v>
      </c>
      <c r="P586">
        <v>30793000</v>
      </c>
      <c r="R586" s="273">
        <f>(O586/O585)*('16. câmbio USD-BRL'!O400/'16. câmbio USD-BRL'!O399)^-1-1</f>
        <v>-0.11774911571493241</v>
      </c>
    </row>
    <row r="587" spans="10:18" x14ac:dyDescent="0.2">
      <c r="J587" s="354">
        <v>40742</v>
      </c>
      <c r="K587">
        <v>14.62</v>
      </c>
      <c r="L587">
        <v>15.14</v>
      </c>
      <c r="M587">
        <v>14.07</v>
      </c>
      <c r="N587">
        <v>14.68</v>
      </c>
      <c r="O587">
        <v>9.7482659999999992</v>
      </c>
      <c r="P587">
        <v>23450000</v>
      </c>
      <c r="R587" s="273">
        <f>(O587/O586)*('16. câmbio USD-BRL'!O401/'16. câmbio USD-BRL'!O400)^-1-1</f>
        <v>1.9757396824257256E-2</v>
      </c>
    </row>
    <row r="588" spans="10:18" x14ac:dyDescent="0.2">
      <c r="J588" s="354">
        <v>40749</v>
      </c>
      <c r="K588">
        <v>14.85</v>
      </c>
      <c r="L588">
        <v>14.86</v>
      </c>
      <c r="M588">
        <v>13.79</v>
      </c>
      <c r="N588">
        <v>13.85</v>
      </c>
      <c r="O588">
        <v>9.1971070000000008</v>
      </c>
      <c r="P588">
        <v>19659903</v>
      </c>
      <c r="R588" s="273">
        <f>(O588/O587)*('16. câmbio USD-BRL'!O402/'16. câmbio USD-BRL'!O401)^-1-1</f>
        <v>-6.2878023111247572E-2</v>
      </c>
    </row>
    <row r="589" spans="10:18" x14ac:dyDescent="0.2">
      <c r="J589" s="354">
        <v>40756</v>
      </c>
      <c r="K589">
        <v>13.85</v>
      </c>
      <c r="L589">
        <v>14.29</v>
      </c>
      <c r="M589">
        <v>11.6</v>
      </c>
      <c r="N589">
        <v>12.31</v>
      </c>
      <c r="O589">
        <v>8.1744690000000002</v>
      </c>
      <c r="P589">
        <v>42641600</v>
      </c>
      <c r="R589" s="273">
        <f>(O589/O588)*('16. câmbio USD-BRL'!O403/'16. câmbio USD-BRL'!O402)^-1-1</f>
        <v>-0.11908277235863052</v>
      </c>
    </row>
    <row r="590" spans="10:18" x14ac:dyDescent="0.2">
      <c r="J590" s="354">
        <v>40763</v>
      </c>
      <c r="K590">
        <v>11.66</v>
      </c>
      <c r="L590">
        <v>13.48</v>
      </c>
      <c r="M590">
        <v>10.7</v>
      </c>
      <c r="N590">
        <v>13.18</v>
      </c>
      <c r="O590">
        <v>8.7521909999999998</v>
      </c>
      <c r="P590">
        <v>75067900</v>
      </c>
      <c r="R590" s="273">
        <f>(O590/O589)*('16. câmbio USD-BRL'!O404/'16. câmbio USD-BRL'!O403)^-1-1</f>
        <v>4.0004116169898296E-2</v>
      </c>
    </row>
    <row r="591" spans="10:18" x14ac:dyDescent="0.2">
      <c r="J591" s="354">
        <v>40770</v>
      </c>
      <c r="K591">
        <v>13.18</v>
      </c>
      <c r="L591">
        <v>13.18</v>
      </c>
      <c r="M591">
        <v>12.15</v>
      </c>
      <c r="N591">
        <v>12.57</v>
      </c>
      <c r="O591">
        <v>8.3471240000000009</v>
      </c>
      <c r="P591">
        <v>42268500</v>
      </c>
      <c r="R591" s="273">
        <f>(O591/O590)*('16. câmbio USD-BRL'!O405/'16. câmbio USD-BRL'!O404)^-1-1</f>
        <v>-3.6608100487829254E-2</v>
      </c>
    </row>
    <row r="592" spans="10:18" x14ac:dyDescent="0.2">
      <c r="J592" s="354">
        <v>40777</v>
      </c>
      <c r="K592">
        <v>12.91</v>
      </c>
      <c r="L592">
        <v>13.78</v>
      </c>
      <c r="M592">
        <v>12.5</v>
      </c>
      <c r="N592">
        <v>13.15</v>
      </c>
      <c r="O592">
        <v>8.7923080000000002</v>
      </c>
      <c r="P592">
        <v>45242900</v>
      </c>
      <c r="R592" s="273">
        <f>(O592/O591)*('16. câmbio USD-BRL'!O406/'16. câmbio USD-BRL'!O405)^-1-1</f>
        <v>5.202451648233386E-2</v>
      </c>
    </row>
    <row r="593" spans="10:18" x14ac:dyDescent="0.2">
      <c r="J593" s="354">
        <v>40784</v>
      </c>
      <c r="K593">
        <v>13.3</v>
      </c>
      <c r="L593">
        <v>14.05</v>
      </c>
      <c r="M593">
        <v>13.11</v>
      </c>
      <c r="N593">
        <v>13.4</v>
      </c>
      <c r="O593">
        <v>8.9594609999999992</v>
      </c>
      <c r="P593">
        <v>49491100</v>
      </c>
      <c r="R593" s="273">
        <f>(O593/O592)*('16. câmbio USD-BRL'!O407/'16. câmbio USD-BRL'!O406)^-1-1</f>
        <v>2.5384080156415356E-2</v>
      </c>
    </row>
    <row r="594" spans="10:18" x14ac:dyDescent="0.2">
      <c r="J594" s="354">
        <v>40791</v>
      </c>
      <c r="K594">
        <v>13.04</v>
      </c>
      <c r="L594">
        <v>14.37</v>
      </c>
      <c r="M594">
        <v>12.8</v>
      </c>
      <c r="N594">
        <v>13.95</v>
      </c>
      <c r="O594">
        <v>9.3272030000000008</v>
      </c>
      <c r="P594">
        <v>37863100</v>
      </c>
      <c r="R594" s="273">
        <f>(O594/O593)*('16. câmbio USD-BRL'!O408/'16. câmbio USD-BRL'!O407)^-1-1</f>
        <v>7.8899974411692497E-3</v>
      </c>
    </row>
    <row r="595" spans="10:18" x14ac:dyDescent="0.2">
      <c r="J595" s="354">
        <v>40798</v>
      </c>
      <c r="K595">
        <v>13.62</v>
      </c>
      <c r="L595">
        <v>14.79</v>
      </c>
      <c r="M595">
        <v>13.41</v>
      </c>
      <c r="N595">
        <v>14.75</v>
      </c>
      <c r="O595">
        <v>9.8620979999999996</v>
      </c>
      <c r="P595">
        <v>44302800</v>
      </c>
      <c r="R595" s="273">
        <f>(O595/O594)*('16. câmbio USD-BRL'!O409/'16. câmbio USD-BRL'!O408)^-1-1</f>
        <v>2.1775029098015652E-2</v>
      </c>
    </row>
    <row r="596" spans="10:18" x14ac:dyDescent="0.2">
      <c r="J596" s="354">
        <v>40805</v>
      </c>
      <c r="K596">
        <v>14.4</v>
      </c>
      <c r="L596">
        <v>15.16</v>
      </c>
      <c r="M596">
        <v>13.66</v>
      </c>
      <c r="N596">
        <v>13.84</v>
      </c>
      <c r="O596">
        <v>9.2536539999999992</v>
      </c>
      <c r="P596">
        <v>42279100</v>
      </c>
      <c r="R596" s="273">
        <f>(O596/O595)*('16. câmbio USD-BRL'!O410/'16. câmbio USD-BRL'!O409)^-1-1</f>
        <v>-0.14553668345686155</v>
      </c>
    </row>
    <row r="597" spans="10:18" x14ac:dyDescent="0.2">
      <c r="J597" s="354">
        <v>40812</v>
      </c>
      <c r="K597">
        <v>14.1</v>
      </c>
      <c r="L597">
        <v>14.7</v>
      </c>
      <c r="M597">
        <v>13.16</v>
      </c>
      <c r="N597">
        <v>13.35</v>
      </c>
      <c r="O597">
        <v>8.9260330000000003</v>
      </c>
      <c r="P597">
        <v>41341900</v>
      </c>
      <c r="R597" s="273">
        <f>(O597/O596)*('16. câmbio USD-BRL'!O411/'16. câmbio USD-BRL'!O410)^-1-1</f>
        <v>-9.4912551354154884E-3</v>
      </c>
    </row>
    <row r="598" spans="10:18" x14ac:dyDescent="0.2">
      <c r="J598" s="354">
        <v>40819</v>
      </c>
      <c r="K598">
        <v>13.21</v>
      </c>
      <c r="L598">
        <v>13.48</v>
      </c>
      <c r="M598">
        <v>12.38</v>
      </c>
      <c r="N598">
        <v>12.85</v>
      </c>
      <c r="O598">
        <v>8.5917259999999995</v>
      </c>
      <c r="P598">
        <v>43502400</v>
      </c>
      <c r="R598" s="273">
        <f>(O598/O597)*('16. câmbio USD-BRL'!O412/'16. câmbio USD-BRL'!O411)^-1-1</f>
        <v>-2.6264961904012063E-2</v>
      </c>
    </row>
    <row r="599" spans="10:18" x14ac:dyDescent="0.2">
      <c r="J599" s="354">
        <v>40826</v>
      </c>
      <c r="K599">
        <v>13.03</v>
      </c>
      <c r="L599">
        <v>14.16</v>
      </c>
      <c r="M599">
        <v>12.95</v>
      </c>
      <c r="N599">
        <v>14.1</v>
      </c>
      <c r="O599">
        <v>9.4274959999999997</v>
      </c>
      <c r="P599">
        <v>29703400</v>
      </c>
      <c r="R599" s="273">
        <f>(O599/O598)*('16. câmbio USD-BRL'!O413/'16. câmbio USD-BRL'!O412)^-1-1</f>
        <v>0.13731215334689484</v>
      </c>
    </row>
    <row r="600" spans="10:18" x14ac:dyDescent="0.2">
      <c r="J600" s="354">
        <v>40833</v>
      </c>
      <c r="K600">
        <v>14</v>
      </c>
      <c r="L600">
        <v>14.03</v>
      </c>
      <c r="M600">
        <v>13.06</v>
      </c>
      <c r="N600">
        <v>13.75</v>
      </c>
      <c r="O600">
        <v>9.1934810000000002</v>
      </c>
      <c r="P600">
        <v>31994400</v>
      </c>
      <c r="R600" s="273">
        <f>(O600/O599)*('16. câmbio USD-BRL'!O414/'16. câmbio USD-BRL'!O413)^-1-1</f>
        <v>-4.8779116422645874E-2</v>
      </c>
    </row>
    <row r="601" spans="10:18" x14ac:dyDescent="0.2">
      <c r="J601" s="354">
        <v>40840</v>
      </c>
      <c r="K601">
        <v>13.75</v>
      </c>
      <c r="L601">
        <v>15.94</v>
      </c>
      <c r="M601">
        <v>13.75</v>
      </c>
      <c r="N601">
        <v>15.7</v>
      </c>
      <c r="O601">
        <v>10.497282</v>
      </c>
      <c r="P601">
        <v>11448700</v>
      </c>
      <c r="R601" s="273">
        <f>(O601/O600)*('16. câmbio USD-BRL'!O415/'16. câmbio USD-BRL'!O414)^-1-1</f>
        <v>0.19393139192850262</v>
      </c>
    </row>
    <row r="602" spans="10:18" x14ac:dyDescent="0.2">
      <c r="J602" s="354">
        <v>40847</v>
      </c>
      <c r="K602">
        <v>15.29</v>
      </c>
      <c r="L602">
        <v>15.94</v>
      </c>
      <c r="M602">
        <v>14.65</v>
      </c>
      <c r="N602">
        <v>15.63</v>
      </c>
      <c r="O602">
        <v>10.450479</v>
      </c>
      <c r="P602">
        <v>38737500</v>
      </c>
      <c r="R602" s="273">
        <f>(O602/O601)*('16. câmbio USD-BRL'!O416/'16. câmbio USD-BRL'!O415)^-1-1</f>
        <v>-1.7395159022213558E-2</v>
      </c>
    </row>
    <row r="603" spans="10:18" x14ac:dyDescent="0.2">
      <c r="J603" s="354">
        <v>40854</v>
      </c>
      <c r="K603">
        <v>15.68</v>
      </c>
      <c r="L603">
        <v>15.99</v>
      </c>
      <c r="M603">
        <v>14.95</v>
      </c>
      <c r="N603">
        <v>15.51</v>
      </c>
      <c r="O603">
        <v>10.370246</v>
      </c>
      <c r="P603">
        <v>27728600</v>
      </c>
      <c r="R603" s="273">
        <f>(O603/O602)*('16. câmbio USD-BRL'!O417/'16. câmbio USD-BRL'!O416)^-1-1</f>
        <v>-2.3746306650372029E-2</v>
      </c>
    </row>
    <row r="604" spans="10:18" x14ac:dyDescent="0.2">
      <c r="J604" s="354">
        <v>40861</v>
      </c>
      <c r="K604">
        <v>15.4</v>
      </c>
      <c r="L604">
        <v>15.43</v>
      </c>
      <c r="M604">
        <v>14.19</v>
      </c>
      <c r="N604">
        <v>14.24</v>
      </c>
      <c r="O604">
        <v>9.5211009999999998</v>
      </c>
      <c r="P604">
        <v>27920700</v>
      </c>
      <c r="R604" s="273">
        <f>(O604/O603)*('16. câmbio USD-BRL'!O418/'16. câmbio USD-BRL'!O417)^-1-1</f>
        <v>-8.4224293272121553E-2</v>
      </c>
    </row>
    <row r="605" spans="10:18" x14ac:dyDescent="0.2">
      <c r="J605" s="354">
        <v>40868</v>
      </c>
      <c r="K605">
        <v>14.24</v>
      </c>
      <c r="L605">
        <v>14.24</v>
      </c>
      <c r="M605">
        <v>13.1</v>
      </c>
      <c r="N605">
        <v>13.24</v>
      </c>
      <c r="O605">
        <v>8.852487</v>
      </c>
      <c r="P605">
        <v>21894200</v>
      </c>
      <c r="R605" s="273">
        <f>(O605/O604)*('16. câmbio USD-BRL'!O419/'16. câmbio USD-BRL'!O418)^-1-1</f>
        <v>-0.12525248040070447</v>
      </c>
    </row>
    <row r="606" spans="10:18" x14ac:dyDescent="0.2">
      <c r="J606" s="354">
        <v>40875</v>
      </c>
      <c r="K606">
        <v>13.5</v>
      </c>
      <c r="L606">
        <v>14.24</v>
      </c>
      <c r="M606">
        <v>12.9</v>
      </c>
      <c r="N606">
        <v>13.84</v>
      </c>
      <c r="O606">
        <v>9.3322950000000002</v>
      </c>
      <c r="P606">
        <v>45263200</v>
      </c>
      <c r="R606" s="273">
        <f>(O606/O605)*('16. câmbio USD-BRL'!O420/'16. câmbio USD-BRL'!O419)^-1-1</f>
        <v>9.9028782062777987E-2</v>
      </c>
    </row>
    <row r="607" spans="10:18" x14ac:dyDescent="0.2">
      <c r="J607" s="354">
        <v>40882</v>
      </c>
      <c r="K607">
        <v>14</v>
      </c>
      <c r="L607">
        <v>14.67</v>
      </c>
      <c r="M607">
        <v>13.85</v>
      </c>
      <c r="N607">
        <v>14.03</v>
      </c>
      <c r="O607">
        <v>9.4604140000000001</v>
      </c>
      <c r="P607">
        <v>33066700</v>
      </c>
      <c r="R607" s="273">
        <f>(O607/O606)*('16. câmbio USD-BRL'!O421/'16. câmbio USD-BRL'!O420)^-1-1</f>
        <v>3.6861226568196681E-3</v>
      </c>
    </row>
    <row r="608" spans="10:18" x14ac:dyDescent="0.2">
      <c r="J608" s="354">
        <v>40889</v>
      </c>
      <c r="K608">
        <v>14.03</v>
      </c>
      <c r="L608">
        <v>14.18</v>
      </c>
      <c r="M608">
        <v>13.71</v>
      </c>
      <c r="N608">
        <v>13.85</v>
      </c>
      <c r="O608">
        <v>9.3390409999999999</v>
      </c>
      <c r="P608">
        <v>35565200</v>
      </c>
      <c r="R608" s="273">
        <f>(O608/O607)*('16. câmbio USD-BRL'!O422/'16. câmbio USD-BRL'!O421)^-1-1</f>
        <v>-3.5028685338912013E-2</v>
      </c>
    </row>
    <row r="609" spans="10:18" x14ac:dyDescent="0.2">
      <c r="J609" s="354">
        <v>40896</v>
      </c>
      <c r="K609">
        <v>13.8</v>
      </c>
      <c r="L609">
        <v>14.68</v>
      </c>
      <c r="M609">
        <v>13.4</v>
      </c>
      <c r="N609">
        <v>14.62</v>
      </c>
      <c r="O609">
        <v>9.8582529999999995</v>
      </c>
      <c r="P609">
        <v>28416800</v>
      </c>
      <c r="R609" s="273">
        <f>(O609/O608)*('16. câmbio USD-BRL'!O423/'16. câmbio USD-BRL'!O422)^-1-1</f>
        <v>6.0044074224393507E-2</v>
      </c>
    </row>
    <row r="610" spans="10:18" x14ac:dyDescent="0.2">
      <c r="J610" s="354">
        <v>40903</v>
      </c>
      <c r="K610">
        <v>14.62</v>
      </c>
      <c r="L610">
        <v>14.89</v>
      </c>
      <c r="M610">
        <v>14.2</v>
      </c>
      <c r="N610">
        <v>14.5</v>
      </c>
      <c r="O610">
        <v>9.7773369999999993</v>
      </c>
      <c r="P610">
        <v>17599100</v>
      </c>
      <c r="R610" s="273">
        <f>(O610/O609)*('16. câmbio USD-BRL'!O424/'16. câmbio USD-BRL'!O423)^-1-1</f>
        <v>-1.5758581648963821E-2</v>
      </c>
    </row>
    <row r="611" spans="10:18" x14ac:dyDescent="0.2">
      <c r="J611" s="354">
        <v>40910</v>
      </c>
      <c r="K611">
        <v>14.62</v>
      </c>
      <c r="L611">
        <v>15.95</v>
      </c>
      <c r="M611">
        <v>14.22</v>
      </c>
      <c r="N611">
        <v>15.8</v>
      </c>
      <c r="O611">
        <v>10.653924</v>
      </c>
      <c r="P611">
        <v>43524700</v>
      </c>
      <c r="R611" s="273">
        <f>(O611/O610)*('16. câmbio USD-BRL'!O425/'16. câmbio USD-BRL'!O424)^-1-1</f>
        <v>0.10003489804403976</v>
      </c>
    </row>
    <row r="612" spans="10:18" x14ac:dyDescent="0.2">
      <c r="J612" s="354">
        <v>40917</v>
      </c>
      <c r="K612">
        <v>15.92</v>
      </c>
      <c r="L612">
        <v>16.739999999999998</v>
      </c>
      <c r="M612">
        <v>15.69</v>
      </c>
      <c r="N612">
        <v>16.399999999999999</v>
      </c>
      <c r="O612">
        <v>11.058503999999999</v>
      </c>
      <c r="P612">
        <v>47985600</v>
      </c>
      <c r="R612" s="273">
        <f>(O612/O611)*('16. câmbio USD-BRL'!O426/'16. câmbio USD-BRL'!O425)^-1-1</f>
        <v>7.0896878872777513E-2</v>
      </c>
    </row>
    <row r="613" spans="10:18" x14ac:dyDescent="0.2">
      <c r="J613" s="354">
        <v>40924</v>
      </c>
      <c r="K613">
        <v>16.399999999999999</v>
      </c>
      <c r="L613">
        <v>16.989999999999998</v>
      </c>
      <c r="M613">
        <v>16.360001</v>
      </c>
      <c r="N613">
        <v>16.739999999999998</v>
      </c>
      <c r="O613">
        <v>11.287763</v>
      </c>
      <c r="P613">
        <v>33509400</v>
      </c>
      <c r="R613" s="273">
        <f>(O613/O612)*('16. câmbio USD-BRL'!O427/'16. câmbio USD-BRL'!O426)^-1-1</f>
        <v>3.8535258998641631E-2</v>
      </c>
    </row>
    <row r="614" spans="10:18" x14ac:dyDescent="0.2">
      <c r="J614" s="354">
        <v>40931</v>
      </c>
      <c r="K614">
        <v>16.780000999999999</v>
      </c>
      <c r="L614">
        <v>17.02</v>
      </c>
      <c r="M614">
        <v>16.09</v>
      </c>
      <c r="N614">
        <v>16.860001</v>
      </c>
      <c r="O614">
        <v>11.368682</v>
      </c>
      <c r="P614">
        <v>36341500</v>
      </c>
      <c r="R614" s="273">
        <f>(O614/O613)*('16. câmbio USD-BRL'!O428/'16. câmbio USD-BRL'!O427)^-1-1</f>
        <v>1.9975657841546202E-2</v>
      </c>
    </row>
    <row r="615" spans="10:18" x14ac:dyDescent="0.2">
      <c r="J615" s="354">
        <v>40938</v>
      </c>
      <c r="K615">
        <v>16.600000000000001</v>
      </c>
      <c r="L615">
        <v>18.25</v>
      </c>
      <c r="M615">
        <v>16.450001</v>
      </c>
      <c r="N615">
        <v>18.16</v>
      </c>
      <c r="O615">
        <v>12.24527</v>
      </c>
      <c r="P615">
        <v>52633300</v>
      </c>
      <c r="R615" s="273">
        <f>(O615/O614)*('16. câmbio USD-BRL'!O429/'16. câmbio USD-BRL'!O428)^-1-1</f>
        <v>9.135974626382648E-2</v>
      </c>
    </row>
    <row r="616" spans="10:18" x14ac:dyDescent="0.2">
      <c r="J616" s="354">
        <v>40945</v>
      </c>
      <c r="K616">
        <v>18.09</v>
      </c>
      <c r="L616">
        <v>18.48</v>
      </c>
      <c r="M616">
        <v>17.549999</v>
      </c>
      <c r="N616">
        <v>17.600000000000001</v>
      </c>
      <c r="O616">
        <v>11.867663</v>
      </c>
      <c r="P616">
        <v>32390300</v>
      </c>
      <c r="R616" s="273">
        <f>(O616/O615)*('16. câmbio USD-BRL'!O430/'16. câmbio USD-BRL'!O429)^-1-1</f>
        <v>-3.2810479014822369E-2</v>
      </c>
    </row>
    <row r="617" spans="10:18" x14ac:dyDescent="0.2">
      <c r="J617" s="354">
        <v>40952</v>
      </c>
      <c r="K617">
        <v>17.600000000000001</v>
      </c>
      <c r="L617">
        <v>17.920000000000002</v>
      </c>
      <c r="M617">
        <v>16.84</v>
      </c>
      <c r="N617">
        <v>17.719999000000001</v>
      </c>
      <c r="O617">
        <v>11.948577</v>
      </c>
      <c r="P617">
        <v>35430200</v>
      </c>
      <c r="R617" s="273">
        <f>(O617/O616)*('16. câmbio USD-BRL'!O431/'16. câmbio USD-BRL'!O430)^-1-1</f>
        <v>1.2413747168544598E-2</v>
      </c>
    </row>
    <row r="618" spans="10:18" x14ac:dyDescent="0.2">
      <c r="J618" s="354">
        <v>40959</v>
      </c>
      <c r="K618">
        <v>17.719999000000001</v>
      </c>
      <c r="L618">
        <v>17.920000000000002</v>
      </c>
      <c r="M618">
        <v>17.5</v>
      </c>
      <c r="N618">
        <v>17.780000999999999</v>
      </c>
      <c r="O618">
        <v>11.989038000000001</v>
      </c>
      <c r="P618">
        <v>10904400</v>
      </c>
      <c r="R618" s="273">
        <f>(O618/O617)*('16. câmbio USD-BRL'!O432/'16. câmbio USD-BRL'!O431)^-1-1</f>
        <v>4.9737114053078901E-3</v>
      </c>
    </row>
    <row r="619" spans="10:18" x14ac:dyDescent="0.2">
      <c r="J619" s="354">
        <v>40966</v>
      </c>
      <c r="K619">
        <v>17.75</v>
      </c>
      <c r="L619">
        <v>18.450001</v>
      </c>
      <c r="M619">
        <v>17.459999</v>
      </c>
      <c r="N619">
        <v>18.360001</v>
      </c>
      <c r="O619">
        <v>12.380129</v>
      </c>
      <c r="P619">
        <v>29309900</v>
      </c>
      <c r="R619" s="273">
        <f>(O619/O618)*('16. câmbio USD-BRL'!O433/'16. câmbio USD-BRL'!O432)^-1-1</f>
        <v>1.9065814721171304E-2</v>
      </c>
    </row>
    <row r="620" spans="10:18" x14ac:dyDescent="0.2">
      <c r="J620" s="354">
        <v>40973</v>
      </c>
      <c r="K620">
        <v>18.23</v>
      </c>
      <c r="L620">
        <v>18.399999999999999</v>
      </c>
      <c r="M620">
        <v>16.920000000000002</v>
      </c>
      <c r="N620">
        <v>17.860001</v>
      </c>
      <c r="O620">
        <v>12.09835</v>
      </c>
      <c r="P620">
        <v>35903800</v>
      </c>
      <c r="R620" s="273">
        <f>(O620/O619)*('16. câmbio USD-BRL'!O434/'16. câmbio USD-BRL'!O433)^-1-1</f>
        <v>-5.5424449530771747E-2</v>
      </c>
    </row>
    <row r="621" spans="10:18" x14ac:dyDescent="0.2">
      <c r="J621" s="354">
        <v>40980</v>
      </c>
      <c r="K621">
        <v>17.610001</v>
      </c>
      <c r="L621">
        <v>19.34</v>
      </c>
      <c r="M621">
        <v>17.600000000000001</v>
      </c>
      <c r="N621">
        <v>19.170000000000002</v>
      </c>
      <c r="O621">
        <v>12.985744</v>
      </c>
      <c r="P621">
        <v>27025700</v>
      </c>
      <c r="R621" s="273">
        <f>(O621/O620)*('16. câmbio USD-BRL'!O435/'16. câmbio USD-BRL'!O434)^-1-1</f>
        <v>6.8332423629095862E-2</v>
      </c>
    </row>
    <row r="622" spans="10:18" x14ac:dyDescent="0.2">
      <c r="J622" s="354">
        <v>40987</v>
      </c>
      <c r="K622">
        <v>19.139999</v>
      </c>
      <c r="L622">
        <v>19.399999999999999</v>
      </c>
      <c r="M622">
        <v>17.93</v>
      </c>
      <c r="N622">
        <v>18.57</v>
      </c>
      <c r="O622">
        <v>12.579306000000001</v>
      </c>
      <c r="P622">
        <v>24854500</v>
      </c>
      <c r="R622" s="273">
        <f>(O622/O621)*('16. câmbio USD-BRL'!O436/'16. câmbio USD-BRL'!O435)^-1-1</f>
        <v>-3.7563323413435601E-2</v>
      </c>
    </row>
    <row r="623" spans="10:18" x14ac:dyDescent="0.2">
      <c r="J623" s="354">
        <v>40994</v>
      </c>
      <c r="K623">
        <v>18.809999000000001</v>
      </c>
      <c r="L623">
        <v>19.049999</v>
      </c>
      <c r="M623">
        <v>17.370000999999998</v>
      </c>
      <c r="N623">
        <v>17.459999</v>
      </c>
      <c r="O623">
        <v>11.827393000000001</v>
      </c>
      <c r="P623">
        <v>38911300</v>
      </c>
      <c r="R623" s="273">
        <f>(O623/O622)*('16. câmbio USD-BRL'!O437/'16. câmbio USD-BRL'!O436)^-1-1</f>
        <v>-6.7607306689613789E-2</v>
      </c>
    </row>
    <row r="624" spans="10:18" x14ac:dyDescent="0.2">
      <c r="J624" s="354">
        <v>41001</v>
      </c>
      <c r="K624">
        <v>17.5</v>
      </c>
      <c r="L624">
        <v>18.280000999999999</v>
      </c>
      <c r="M624">
        <v>17.16</v>
      </c>
      <c r="N624">
        <v>17.329999999999998</v>
      </c>
      <c r="O624">
        <v>11.739330000000001</v>
      </c>
      <c r="P624">
        <v>23206700</v>
      </c>
      <c r="R624" s="273">
        <f>(O624/O623)*('16. câmbio USD-BRL'!O438/'16. câmbio USD-BRL'!O437)^-1-1</f>
        <v>-3.8967496205905006E-3</v>
      </c>
    </row>
    <row r="625" spans="10:18" x14ac:dyDescent="0.2">
      <c r="J625" s="354">
        <v>41008</v>
      </c>
      <c r="K625">
        <v>17.059999000000001</v>
      </c>
      <c r="L625">
        <v>17.510000000000002</v>
      </c>
      <c r="M625">
        <v>16.860001</v>
      </c>
      <c r="N625">
        <v>17.379999000000002</v>
      </c>
      <c r="O625">
        <v>11.773196</v>
      </c>
      <c r="P625">
        <v>9378200</v>
      </c>
      <c r="R625" s="273">
        <f>(O625/O624)*('16. câmbio USD-BRL'!O439/'16. câmbio USD-BRL'!O438)^-1-1</f>
        <v>-7.8126057733560739E-3</v>
      </c>
    </row>
    <row r="626" spans="10:18" x14ac:dyDescent="0.2">
      <c r="J626" s="354">
        <v>41015</v>
      </c>
      <c r="K626">
        <v>17.450001</v>
      </c>
      <c r="L626">
        <v>18.25</v>
      </c>
      <c r="M626">
        <v>16.959999</v>
      </c>
      <c r="N626">
        <v>17.899999999999999</v>
      </c>
      <c r="O626">
        <v>12.125443000000001</v>
      </c>
      <c r="P626">
        <v>30462800</v>
      </c>
      <c r="R626" s="273">
        <f>(O626/O625)*('16. câmbio USD-BRL'!O440/'16. câmbio USD-BRL'!O439)^-1-1</f>
        <v>1.180330607366864E-2</v>
      </c>
    </row>
    <row r="627" spans="10:18" x14ac:dyDescent="0.2">
      <c r="J627" s="354">
        <v>41022</v>
      </c>
      <c r="K627">
        <v>17.5</v>
      </c>
      <c r="L627">
        <v>18.139999</v>
      </c>
      <c r="M627">
        <v>17.100000000000001</v>
      </c>
      <c r="N627">
        <v>17.799999</v>
      </c>
      <c r="O627">
        <v>12.057707000000001</v>
      </c>
      <c r="P627">
        <v>23087600</v>
      </c>
      <c r="R627" s="273">
        <f>(O627/O626)*('16. câmbio USD-BRL'!O441/'16. câmbio USD-BRL'!O440)^-1-1</f>
        <v>-1.3288360554046363E-2</v>
      </c>
    </row>
    <row r="628" spans="10:18" x14ac:dyDescent="0.2">
      <c r="J628" s="354">
        <v>41029</v>
      </c>
      <c r="K628">
        <v>17.899999999999999</v>
      </c>
      <c r="L628">
        <v>17.920000000000002</v>
      </c>
      <c r="M628">
        <v>16.440000999999999</v>
      </c>
      <c r="N628">
        <v>16.440000999999999</v>
      </c>
      <c r="O628">
        <v>11.136441</v>
      </c>
      <c r="P628">
        <v>27016100</v>
      </c>
      <c r="R628" s="273">
        <f>(O628/O627)*('16. câmbio USD-BRL'!O442/'16. câmbio USD-BRL'!O441)^-1-1</f>
        <v>-8.186000414029948E-2</v>
      </c>
    </row>
    <row r="629" spans="10:18" x14ac:dyDescent="0.2">
      <c r="J629" s="354">
        <v>41036</v>
      </c>
      <c r="K629">
        <v>16.209999</v>
      </c>
      <c r="L629">
        <v>16.809999000000001</v>
      </c>
      <c r="M629">
        <v>15.75</v>
      </c>
      <c r="N629">
        <v>16.610001</v>
      </c>
      <c r="O629">
        <v>11.2516</v>
      </c>
      <c r="P629">
        <v>47185000</v>
      </c>
      <c r="R629" s="273">
        <f>(O629/O628)*('16. câmbio USD-BRL'!O443/'16. câmbio USD-BRL'!O442)^-1-1</f>
        <v>-2.3045331859824603E-2</v>
      </c>
    </row>
    <row r="630" spans="10:18" x14ac:dyDescent="0.2">
      <c r="J630" s="354">
        <v>41043</v>
      </c>
      <c r="K630">
        <v>16.16</v>
      </c>
      <c r="L630">
        <v>16.32</v>
      </c>
      <c r="M630">
        <v>15.21</v>
      </c>
      <c r="N630">
        <v>15.57</v>
      </c>
      <c r="O630">
        <v>10.547108</v>
      </c>
      <c r="P630">
        <v>26425600</v>
      </c>
      <c r="R630" s="273">
        <f>(O630/O629)*('16. câmbio USD-BRL'!O444/'16. câmbio USD-BRL'!O443)^-1-1</f>
        <v>-9.116153504012503E-2</v>
      </c>
    </row>
    <row r="631" spans="10:18" x14ac:dyDescent="0.2">
      <c r="J631" s="354">
        <v>41050</v>
      </c>
      <c r="K631">
        <v>15.57</v>
      </c>
      <c r="L631">
        <v>16.879999000000002</v>
      </c>
      <c r="M631">
        <v>15.57</v>
      </c>
      <c r="N631">
        <v>16.149999999999999</v>
      </c>
      <c r="O631">
        <v>10.979659</v>
      </c>
      <c r="P631">
        <v>33239500</v>
      </c>
      <c r="R631" s="273">
        <f>(O631/O630)*('16. câmbio USD-BRL'!O445/'16. câmbio USD-BRL'!O444)^-1-1</f>
        <v>6.2175013927336265E-2</v>
      </c>
    </row>
    <row r="632" spans="10:18" x14ac:dyDescent="0.2">
      <c r="J632" s="354">
        <v>41057</v>
      </c>
      <c r="K632">
        <v>16.329999999999998</v>
      </c>
      <c r="L632">
        <v>16.549999</v>
      </c>
      <c r="M632">
        <v>15.35</v>
      </c>
      <c r="N632">
        <v>15.73</v>
      </c>
      <c r="O632">
        <v>10.694118</v>
      </c>
      <c r="P632">
        <v>31307300</v>
      </c>
      <c r="R632" s="273">
        <f>(O632/O631)*('16. câmbio USD-BRL'!O446/'16. câmbio USD-BRL'!O445)^-1-1</f>
        <v>-5.2579819330477617E-2</v>
      </c>
    </row>
    <row r="633" spans="10:18" x14ac:dyDescent="0.2">
      <c r="J633" s="354">
        <v>41064</v>
      </c>
      <c r="K633">
        <v>15.8</v>
      </c>
      <c r="L633">
        <v>16.879999000000002</v>
      </c>
      <c r="M633">
        <v>15.71</v>
      </c>
      <c r="N633">
        <v>16.799999</v>
      </c>
      <c r="O633">
        <v>11.421566</v>
      </c>
      <c r="P633">
        <v>27631100</v>
      </c>
      <c r="R633" s="273">
        <f>(O633/O632)*('16. câmbio USD-BRL'!O447/'16. câmbio USD-BRL'!O446)^-1-1</f>
        <v>8.6578031539159772E-2</v>
      </c>
    </row>
    <row r="634" spans="10:18" x14ac:dyDescent="0.2">
      <c r="J634" s="354">
        <v>41071</v>
      </c>
      <c r="K634">
        <v>16.950001</v>
      </c>
      <c r="L634">
        <v>17.899999999999999</v>
      </c>
      <c r="M634">
        <v>16.600000000000001</v>
      </c>
      <c r="N634">
        <v>17.899999999999999</v>
      </c>
      <c r="O634">
        <v>12.169404999999999</v>
      </c>
      <c r="P634">
        <v>32025300</v>
      </c>
      <c r="R634" s="273">
        <f>(O634/O633)*('16. câmbio USD-BRL'!O448/'16. câmbio USD-BRL'!O447)^-1-1</f>
        <v>4.4564933001400853E-2</v>
      </c>
    </row>
    <row r="635" spans="10:18" x14ac:dyDescent="0.2">
      <c r="J635" s="354">
        <v>41078</v>
      </c>
      <c r="K635">
        <v>17.899999999999999</v>
      </c>
      <c r="L635">
        <v>18.07</v>
      </c>
      <c r="M635">
        <v>16.420000000000002</v>
      </c>
      <c r="N635">
        <v>16.540001</v>
      </c>
      <c r="O635">
        <v>11.244802999999999</v>
      </c>
      <c r="P635">
        <v>28335000</v>
      </c>
      <c r="R635" s="273">
        <f>(O635/O634)*('16. câmbio USD-BRL'!O449/'16. câmbio USD-BRL'!O448)^-1-1</f>
        <v>-8.5776669993746113E-2</v>
      </c>
    </row>
    <row r="636" spans="10:18" x14ac:dyDescent="0.2">
      <c r="J636" s="354">
        <v>41085</v>
      </c>
      <c r="K636">
        <v>16.200001</v>
      </c>
      <c r="L636">
        <v>17.700001</v>
      </c>
      <c r="M636">
        <v>16.02</v>
      </c>
      <c r="N636">
        <v>17.700001</v>
      </c>
      <c r="O636">
        <v>12.033435000000001</v>
      </c>
      <c r="P636">
        <v>28801300</v>
      </c>
      <c r="R636" s="273">
        <f>(O636/O635)*('16. câmbio USD-BRL'!O450/'16. câmbio USD-BRL'!O449)^-1-1</f>
        <v>9.9687351094694732E-2</v>
      </c>
    </row>
    <row r="637" spans="10:18" x14ac:dyDescent="0.2">
      <c r="J637" s="354">
        <v>41092</v>
      </c>
      <c r="K637">
        <v>17.66</v>
      </c>
      <c r="L637">
        <v>18.489999999999998</v>
      </c>
      <c r="M637">
        <v>17.41</v>
      </c>
      <c r="N637">
        <v>17.66</v>
      </c>
      <c r="O637">
        <v>12.006237</v>
      </c>
      <c r="P637">
        <v>30147400</v>
      </c>
      <c r="R637" s="273">
        <f>(O637/O636)*('16. câmbio USD-BRL'!O451/'16. câmbio USD-BRL'!O450)^-1-1</f>
        <v>-4.2916536552677353E-3</v>
      </c>
    </row>
    <row r="638" spans="10:18" x14ac:dyDescent="0.2">
      <c r="J638" s="354">
        <v>41099</v>
      </c>
      <c r="K638">
        <v>17.66</v>
      </c>
      <c r="L638">
        <v>17.850000000000001</v>
      </c>
      <c r="M638">
        <v>16.489999999999998</v>
      </c>
      <c r="N638">
        <v>17.459999</v>
      </c>
      <c r="O638">
        <v>11.870272</v>
      </c>
      <c r="P638">
        <v>18001400</v>
      </c>
      <c r="R638" s="273">
        <f>(O638/O637)*('16. câmbio USD-BRL'!O452/'16. câmbio USD-BRL'!O451)^-1-1</f>
        <v>-2.1720901948204085E-2</v>
      </c>
    </row>
    <row r="639" spans="10:18" x14ac:dyDescent="0.2">
      <c r="J639" s="354">
        <v>41106</v>
      </c>
      <c r="K639">
        <v>17.459999</v>
      </c>
      <c r="L639">
        <v>18.440000999999999</v>
      </c>
      <c r="M639">
        <v>17.040001</v>
      </c>
      <c r="N639">
        <v>17.66</v>
      </c>
      <c r="O639">
        <v>12.006237</v>
      </c>
      <c r="P639">
        <v>25003100</v>
      </c>
      <c r="R639" s="273">
        <f>(O639/O638)*('16. câmbio USD-BRL'!O453/'16. câmbio USD-BRL'!O452)^-1-1</f>
        <v>1.7403387388472247E-2</v>
      </c>
    </row>
    <row r="640" spans="10:18" x14ac:dyDescent="0.2">
      <c r="J640" s="354">
        <v>41113</v>
      </c>
      <c r="K640">
        <v>17.25</v>
      </c>
      <c r="L640">
        <v>17.629999000000002</v>
      </c>
      <c r="M640">
        <v>16.600000000000001</v>
      </c>
      <c r="N640">
        <v>17.299999</v>
      </c>
      <c r="O640">
        <v>11.761494000000001</v>
      </c>
      <c r="P640">
        <v>23946400</v>
      </c>
      <c r="R640" s="273">
        <f>(O640/O639)*('16. câmbio USD-BRL'!O454/'16. câmbio USD-BRL'!O453)^-1-1</f>
        <v>-1.844405415451722E-2</v>
      </c>
    </row>
    <row r="641" spans="10:18" x14ac:dyDescent="0.2">
      <c r="J641" s="354">
        <v>41120</v>
      </c>
      <c r="K641">
        <v>18.299999</v>
      </c>
      <c r="L641">
        <v>19.299999</v>
      </c>
      <c r="M641">
        <v>17.649999999999999</v>
      </c>
      <c r="N641">
        <v>18.899999999999999</v>
      </c>
      <c r="O641">
        <v>12.849257</v>
      </c>
      <c r="P641">
        <v>32533400</v>
      </c>
      <c r="R641" s="273">
        <f>(O641/O640)*('16. câmbio USD-BRL'!O455/'16. câmbio USD-BRL'!O454)^-1-1</f>
        <v>8.8710849235199785E-2</v>
      </c>
    </row>
    <row r="642" spans="10:18" x14ac:dyDescent="0.2">
      <c r="J642" s="354">
        <v>41127</v>
      </c>
      <c r="K642">
        <v>18.879999000000002</v>
      </c>
      <c r="L642">
        <v>19.799999</v>
      </c>
      <c r="M642">
        <v>18.82</v>
      </c>
      <c r="N642">
        <v>19.110001</v>
      </c>
      <c r="O642">
        <v>12.99203</v>
      </c>
      <c r="P642">
        <v>14929300</v>
      </c>
      <c r="R642" s="273">
        <f>(O642/O641)*('16. câmbio USD-BRL'!O456/'16. câmbio USD-BRL'!O455)^-1-1</f>
        <v>1.7185781115282683E-2</v>
      </c>
    </row>
    <row r="643" spans="10:18" x14ac:dyDescent="0.2">
      <c r="J643" s="354">
        <v>41134</v>
      </c>
      <c r="K643">
        <v>19.110001</v>
      </c>
      <c r="L643">
        <v>19.110001</v>
      </c>
      <c r="M643">
        <v>19.110001</v>
      </c>
      <c r="N643">
        <v>19.110001</v>
      </c>
      <c r="O643">
        <v>12.99203</v>
      </c>
      <c r="P643">
        <v>0</v>
      </c>
      <c r="R643" s="273">
        <f>(O643/O642)*('16. câmbio USD-BRL'!O457/'16. câmbio USD-BRL'!O456)^-1-1</f>
        <v>7.4530458113897247E-4</v>
      </c>
    </row>
    <row r="644" spans="10:18" x14ac:dyDescent="0.2">
      <c r="J644" s="354">
        <v>41141</v>
      </c>
      <c r="K644">
        <v>19.110001</v>
      </c>
      <c r="L644">
        <v>20.32</v>
      </c>
      <c r="M644">
        <v>18.5</v>
      </c>
      <c r="N644">
        <v>18.790001</v>
      </c>
      <c r="O644">
        <v>12.834925</v>
      </c>
      <c r="P644">
        <v>36347400</v>
      </c>
      <c r="R644" s="273">
        <f>(O644/O643)*('16. câmbio USD-BRL'!O458/'16. câmbio USD-BRL'!O457)^-1-1</f>
        <v>-1.7219708156059665E-2</v>
      </c>
    </row>
    <row r="645" spans="10:18" x14ac:dyDescent="0.2">
      <c r="J645" s="354">
        <v>41148</v>
      </c>
      <c r="K645">
        <v>18.670000000000002</v>
      </c>
      <c r="L645">
        <v>18.879999000000002</v>
      </c>
      <c r="M645">
        <v>17.709999</v>
      </c>
      <c r="N645">
        <v>17.940000999999999</v>
      </c>
      <c r="O645">
        <v>12.254311</v>
      </c>
      <c r="P645">
        <v>27679600</v>
      </c>
      <c r="R645" s="273">
        <f>(O645/O644)*('16. câmbio USD-BRL'!O459/'16. câmbio USD-BRL'!O458)^-1-1</f>
        <v>-4.7402995098677625E-2</v>
      </c>
    </row>
    <row r="646" spans="10:18" x14ac:dyDescent="0.2">
      <c r="J646" s="354">
        <v>41155</v>
      </c>
      <c r="K646">
        <v>17.959999</v>
      </c>
      <c r="L646">
        <v>19.27</v>
      </c>
      <c r="M646">
        <v>17.450001</v>
      </c>
      <c r="N646">
        <v>19.27</v>
      </c>
      <c r="O646">
        <v>13.162799</v>
      </c>
      <c r="P646">
        <v>23427800</v>
      </c>
      <c r="R646" s="273">
        <f>(O646/O645)*('16. câmbio USD-BRL'!O460/'16. câmbio USD-BRL'!O459)^-1-1</f>
        <v>7.5409057559344017E-2</v>
      </c>
    </row>
    <row r="647" spans="10:18" x14ac:dyDescent="0.2">
      <c r="J647" s="354">
        <v>41162</v>
      </c>
      <c r="K647">
        <v>19.5</v>
      </c>
      <c r="L647">
        <v>21.67</v>
      </c>
      <c r="M647">
        <v>19.02</v>
      </c>
      <c r="N647">
        <v>20.709999</v>
      </c>
      <c r="O647">
        <v>14.146423</v>
      </c>
      <c r="P647">
        <v>41444800</v>
      </c>
      <c r="R647" s="273">
        <f>(O647/O646)*('16. câmbio USD-BRL'!O461/'16. câmbio USD-BRL'!O460)^-1-1</f>
        <v>8.3285596990924526E-2</v>
      </c>
    </row>
    <row r="648" spans="10:18" x14ac:dyDescent="0.2">
      <c r="J648" s="354">
        <v>41169</v>
      </c>
      <c r="K648">
        <v>20.51</v>
      </c>
      <c r="L648">
        <v>20.93</v>
      </c>
      <c r="M648">
        <v>19.790001</v>
      </c>
      <c r="N648">
        <v>20.139999</v>
      </c>
      <c r="O648">
        <v>13.757072000000001</v>
      </c>
      <c r="P648">
        <v>27312700</v>
      </c>
      <c r="R648" s="273">
        <f>(O648/O647)*('16. câmbio USD-BRL'!O462/'16. câmbio USD-BRL'!O461)^-1-1</f>
        <v>-3.2099178636600056E-2</v>
      </c>
    </row>
    <row r="649" spans="10:18" x14ac:dyDescent="0.2">
      <c r="J649" s="354">
        <v>41176</v>
      </c>
      <c r="K649">
        <v>20.059999000000001</v>
      </c>
      <c r="L649">
        <v>20.549999</v>
      </c>
      <c r="M649">
        <v>19.059999000000001</v>
      </c>
      <c r="N649">
        <v>19.280000999999999</v>
      </c>
      <c r="O649">
        <v>13.16963</v>
      </c>
      <c r="P649">
        <v>34851200</v>
      </c>
      <c r="R649" s="273">
        <f>(O649/O648)*('16. câmbio USD-BRL'!O463/'16. câmbio USD-BRL'!O462)^-1-1</f>
        <v>-4.4499636582539526E-2</v>
      </c>
    </row>
    <row r="650" spans="10:18" x14ac:dyDescent="0.2">
      <c r="J650" s="354">
        <v>41183</v>
      </c>
      <c r="K650">
        <v>19.23</v>
      </c>
      <c r="L650">
        <v>19.77</v>
      </c>
      <c r="M650">
        <v>18.209999</v>
      </c>
      <c r="N650">
        <v>18.739999999999998</v>
      </c>
      <c r="O650">
        <v>12.800772</v>
      </c>
      <c r="P650">
        <v>33921700</v>
      </c>
      <c r="R650" s="273">
        <f>(O650/O649)*('16. câmbio USD-BRL'!O464/'16. câmbio USD-BRL'!O463)^-1-1</f>
        <v>-1.5745189744904464E-2</v>
      </c>
    </row>
    <row r="651" spans="10:18" x14ac:dyDescent="0.2">
      <c r="J651" s="354">
        <v>41190</v>
      </c>
      <c r="K651">
        <v>18.670000000000002</v>
      </c>
      <c r="L651">
        <v>19.219999000000001</v>
      </c>
      <c r="M651">
        <v>18.559999000000001</v>
      </c>
      <c r="N651">
        <v>19.079999999999998</v>
      </c>
      <c r="O651">
        <v>13.033016999999999</v>
      </c>
      <c r="P651">
        <v>16175300</v>
      </c>
      <c r="R651" s="273">
        <f>(O651/O650)*('16. câmbio USD-BRL'!O465/'16. câmbio USD-BRL'!O464)^-1-1</f>
        <v>-3.997002240933023E-3</v>
      </c>
    </row>
    <row r="652" spans="10:18" x14ac:dyDescent="0.2">
      <c r="J652" s="354">
        <v>41197</v>
      </c>
      <c r="K652">
        <v>19.110001</v>
      </c>
      <c r="L652">
        <v>19.59</v>
      </c>
      <c r="M652">
        <v>17.98</v>
      </c>
      <c r="N652">
        <v>18</v>
      </c>
      <c r="O652">
        <v>12.295299</v>
      </c>
      <c r="P652">
        <v>37787000</v>
      </c>
      <c r="R652" s="273">
        <f>(O652/O651)*('16. câmbio USD-BRL'!O466/'16. câmbio USD-BRL'!O465)^-1-1</f>
        <v>-4.8636140550903484E-2</v>
      </c>
    </row>
    <row r="653" spans="10:18" x14ac:dyDescent="0.2">
      <c r="J653" s="354">
        <v>41204</v>
      </c>
      <c r="K653">
        <v>18.100000000000001</v>
      </c>
      <c r="L653">
        <v>18.489999999999998</v>
      </c>
      <c r="M653">
        <v>17.52</v>
      </c>
      <c r="N653">
        <v>17.57</v>
      </c>
      <c r="O653">
        <v>12.001576</v>
      </c>
      <c r="P653">
        <v>27569400</v>
      </c>
      <c r="R653" s="273">
        <f>(O653/O652)*('16. câmbio USD-BRL'!O467/'16. câmbio USD-BRL'!O466)^-1-1</f>
        <v>-2.4130040225204596E-2</v>
      </c>
    </row>
    <row r="654" spans="10:18" x14ac:dyDescent="0.2">
      <c r="J654" s="354">
        <v>41211</v>
      </c>
      <c r="K654">
        <v>17.41</v>
      </c>
      <c r="L654">
        <v>18.120000999999998</v>
      </c>
      <c r="M654">
        <v>17.049999</v>
      </c>
      <c r="N654">
        <v>17.969999000000001</v>
      </c>
      <c r="O654">
        <v>12.274806999999999</v>
      </c>
      <c r="P654">
        <v>22288000</v>
      </c>
      <c r="R654" s="273">
        <f>(O654/O653)*('16. câmbio USD-BRL'!O468/'16. câmbio USD-BRL'!O467)^-1-1</f>
        <v>2.09514145382248E-2</v>
      </c>
    </row>
    <row r="655" spans="10:18" x14ac:dyDescent="0.2">
      <c r="J655" s="354">
        <v>41218</v>
      </c>
      <c r="K655">
        <v>17.73</v>
      </c>
      <c r="L655">
        <v>18.950001</v>
      </c>
      <c r="M655">
        <v>17.540001</v>
      </c>
      <c r="N655">
        <v>18.129999000000002</v>
      </c>
      <c r="O655">
        <v>12.384098</v>
      </c>
      <c r="P655">
        <v>32083800</v>
      </c>
      <c r="R655" s="273">
        <f>(O655/O654)*('16. câmbio USD-BRL'!O469/'16. câmbio USD-BRL'!O468)^-1-1</f>
        <v>1.156172000371658E-3</v>
      </c>
    </row>
    <row r="656" spans="10:18" x14ac:dyDescent="0.2">
      <c r="J656" s="354">
        <v>41225</v>
      </c>
      <c r="K656">
        <v>18.129999000000002</v>
      </c>
      <c r="L656">
        <v>18.379999000000002</v>
      </c>
      <c r="M656">
        <v>17.170000000000002</v>
      </c>
      <c r="N656">
        <v>17.329999999999998</v>
      </c>
      <c r="O656">
        <v>11.83764</v>
      </c>
      <c r="P656">
        <v>18430100</v>
      </c>
      <c r="R656" s="273">
        <f>(O656/O655)*('16. câmbio USD-BRL'!O470/'16. câmbio USD-BRL'!O469)^-1-1</f>
        <v>-6.0710929480343734E-2</v>
      </c>
    </row>
    <row r="657" spans="10:18" x14ac:dyDescent="0.2">
      <c r="J657" s="354">
        <v>41232</v>
      </c>
      <c r="K657">
        <v>17.5</v>
      </c>
      <c r="L657">
        <v>18.850000000000001</v>
      </c>
      <c r="M657">
        <v>17.299999</v>
      </c>
      <c r="N657">
        <v>18.850000000000001</v>
      </c>
      <c r="O657">
        <v>12.925788000000001</v>
      </c>
      <c r="P657">
        <v>15272500</v>
      </c>
      <c r="R657" s="273">
        <f>(O657/O656)*('16. câmbio USD-BRL'!O471/'16. câmbio USD-BRL'!O470)^-1-1</f>
        <v>9.218518312783508E-2</v>
      </c>
    </row>
    <row r="658" spans="10:18" x14ac:dyDescent="0.2">
      <c r="J658" s="354">
        <v>41239</v>
      </c>
      <c r="K658">
        <v>18.75</v>
      </c>
      <c r="L658">
        <v>18.829999999999998</v>
      </c>
      <c r="M658">
        <v>17.719999000000001</v>
      </c>
      <c r="N658">
        <v>17.719999000000001</v>
      </c>
      <c r="O658">
        <v>12.150925000000001</v>
      </c>
      <c r="P658">
        <v>29377200</v>
      </c>
      <c r="R658" s="273">
        <f>(O658/O657)*('16. câmbio USD-BRL'!O472/'16. câmbio USD-BRL'!O471)^-1-1</f>
        <v>-8.3647725437492992E-2</v>
      </c>
    </row>
    <row r="659" spans="10:18" x14ac:dyDescent="0.2">
      <c r="J659" s="354">
        <v>41246</v>
      </c>
      <c r="K659">
        <v>17.959999</v>
      </c>
      <c r="L659">
        <v>18.530000999999999</v>
      </c>
      <c r="M659">
        <v>17.549999</v>
      </c>
      <c r="N659">
        <v>18.399999999999999</v>
      </c>
      <c r="O659">
        <v>12.617215</v>
      </c>
      <c r="P659">
        <v>28677600</v>
      </c>
      <c r="R659" s="273">
        <f>(O659/O658)*('16. câmbio USD-BRL'!O473/'16. câmbio USD-BRL'!O472)^-1-1</f>
        <v>6.8622187470627649E-2</v>
      </c>
    </row>
    <row r="660" spans="10:18" x14ac:dyDescent="0.2">
      <c r="J660" s="354">
        <v>41253</v>
      </c>
      <c r="K660">
        <v>18.309999000000001</v>
      </c>
      <c r="L660">
        <v>18.879999000000002</v>
      </c>
      <c r="M660">
        <v>17.850000000000001</v>
      </c>
      <c r="N660">
        <v>18.030000999999999</v>
      </c>
      <c r="O660">
        <v>12.3635</v>
      </c>
      <c r="P660">
        <v>30599000</v>
      </c>
      <c r="R660" s="273">
        <f>(O660/O659)*('16. câmbio USD-BRL'!O474/'16. câmbio USD-BRL'!O473)^-1-1</f>
        <v>-2.5560049596388024E-2</v>
      </c>
    </row>
    <row r="661" spans="10:18" x14ac:dyDescent="0.2">
      <c r="J661" s="354">
        <v>41260</v>
      </c>
      <c r="K661">
        <v>18.040001</v>
      </c>
      <c r="L661">
        <v>18.629999000000002</v>
      </c>
      <c r="M661">
        <v>17.600000000000001</v>
      </c>
      <c r="N661">
        <v>17.799999</v>
      </c>
      <c r="O661">
        <v>12.205783</v>
      </c>
      <c r="P661">
        <v>38484200</v>
      </c>
      <c r="R661" s="273">
        <f>(O661/O660)*('16. câmbio USD-BRL'!O475/'16. câmbio USD-BRL'!O474)^-1-1</f>
        <v>-5.2186331200245739E-3</v>
      </c>
    </row>
    <row r="662" spans="10:18" x14ac:dyDescent="0.2">
      <c r="J662" s="354">
        <v>41267</v>
      </c>
      <c r="K662">
        <v>17.799999</v>
      </c>
      <c r="L662">
        <v>18.25</v>
      </c>
      <c r="M662">
        <v>17.75</v>
      </c>
      <c r="N662">
        <v>17.93</v>
      </c>
      <c r="O662">
        <v>12.294930000000001</v>
      </c>
      <c r="P662">
        <v>17447900</v>
      </c>
      <c r="R662" s="273">
        <f>(O662/O661)*('16. câmbio USD-BRL'!O476/'16. câmbio USD-BRL'!O475)^-1-1</f>
        <v>1.9223256782145537E-2</v>
      </c>
    </row>
    <row r="663" spans="10:18" x14ac:dyDescent="0.2">
      <c r="J663" s="354">
        <v>41274</v>
      </c>
      <c r="K663">
        <v>17.93</v>
      </c>
      <c r="L663">
        <v>19.489999999999998</v>
      </c>
      <c r="M663">
        <v>17.93</v>
      </c>
      <c r="N663">
        <v>19</v>
      </c>
      <c r="O663">
        <v>13.028648</v>
      </c>
      <c r="P663">
        <v>31679100</v>
      </c>
      <c r="R663" s="273">
        <f>(O663/O662)*('16. câmbio USD-BRL'!O477/'16. câmbio USD-BRL'!O476)^-1-1</f>
        <v>6.6298142715266462E-2</v>
      </c>
    </row>
    <row r="664" spans="10:18" x14ac:dyDescent="0.2">
      <c r="J664" s="354">
        <v>41281</v>
      </c>
      <c r="K664">
        <v>19</v>
      </c>
      <c r="L664">
        <v>19.389999</v>
      </c>
      <c r="M664">
        <v>18.040001</v>
      </c>
      <c r="N664">
        <v>18.149999999999999</v>
      </c>
      <c r="O664">
        <v>12.445785000000001</v>
      </c>
      <c r="P664">
        <v>39193800</v>
      </c>
      <c r="R664" s="273">
        <f>(O664/O663)*('16. câmbio USD-BRL'!O478/'16. câmbio USD-BRL'!O477)^-1-1</f>
        <v>-4.3466294136157324E-2</v>
      </c>
    </row>
    <row r="665" spans="10:18" x14ac:dyDescent="0.2">
      <c r="J665" s="354">
        <v>41288</v>
      </c>
      <c r="K665">
        <v>18.200001</v>
      </c>
      <c r="L665">
        <v>18.469999000000001</v>
      </c>
      <c r="M665">
        <v>17.670000000000002</v>
      </c>
      <c r="N665">
        <v>17.899999999999999</v>
      </c>
      <c r="O665">
        <v>12.274354000000001</v>
      </c>
      <c r="P665">
        <v>29146600</v>
      </c>
      <c r="R665" s="273">
        <f>(O665/O664)*('16. câmbio USD-BRL'!O479/'16. câmbio USD-BRL'!O478)^-1-1</f>
        <v>-1.3822808891314819E-2</v>
      </c>
    </row>
    <row r="666" spans="10:18" x14ac:dyDescent="0.2">
      <c r="J666" s="354">
        <v>41295</v>
      </c>
      <c r="K666">
        <v>17.969999000000001</v>
      </c>
      <c r="L666">
        <v>18.09</v>
      </c>
      <c r="M666">
        <v>17.389999</v>
      </c>
      <c r="N666">
        <v>17.690000999999999</v>
      </c>
      <c r="O666">
        <v>12.130352999999999</v>
      </c>
      <c r="P666">
        <v>16267800</v>
      </c>
      <c r="R666" s="273">
        <f>(O666/O665)*('16. câmbio USD-BRL'!O480/'16. câmbio USD-BRL'!O479)^-1-1</f>
        <v>-1.1098510711587073E-2</v>
      </c>
    </row>
    <row r="667" spans="10:18" x14ac:dyDescent="0.2">
      <c r="J667" s="354">
        <v>41302</v>
      </c>
      <c r="K667">
        <v>17.559999000000001</v>
      </c>
      <c r="L667">
        <v>17.760000000000002</v>
      </c>
      <c r="M667">
        <v>16.82</v>
      </c>
      <c r="N667">
        <v>17.5</v>
      </c>
      <c r="O667">
        <v>12.000067</v>
      </c>
      <c r="P667">
        <v>34332600</v>
      </c>
      <c r="R667" s="273">
        <f>(O667/O666)*('16. câmbio USD-BRL'!O481/'16. câmbio USD-BRL'!O480)^-1-1</f>
        <v>1.0225989317817596E-2</v>
      </c>
    </row>
    <row r="668" spans="10:18" x14ac:dyDescent="0.2">
      <c r="J668" s="354">
        <v>41309</v>
      </c>
      <c r="K668">
        <v>17.48</v>
      </c>
      <c r="L668">
        <v>17.77</v>
      </c>
      <c r="M668">
        <v>17.059999000000001</v>
      </c>
      <c r="N668">
        <v>17.32</v>
      </c>
      <c r="O668">
        <v>11.876639000000001</v>
      </c>
      <c r="P668">
        <v>26898600</v>
      </c>
      <c r="R668" s="273">
        <f>(O668/O667)*('16. câmbio USD-BRL'!O482/'16. câmbio USD-BRL'!O481)^-1-1</f>
        <v>-2.0970175075971653E-3</v>
      </c>
    </row>
    <row r="669" spans="10:18" x14ac:dyDescent="0.2">
      <c r="J669" s="354">
        <v>41316</v>
      </c>
      <c r="K669">
        <v>17.32</v>
      </c>
      <c r="L669">
        <v>17.75</v>
      </c>
      <c r="M669">
        <v>17.059999000000001</v>
      </c>
      <c r="N669">
        <v>17.209999</v>
      </c>
      <c r="O669">
        <v>11.801208000000001</v>
      </c>
      <c r="P669">
        <v>11557600</v>
      </c>
      <c r="R669" s="273">
        <f>(O669/O668)*('16. câmbio USD-BRL'!O483/'16. câmbio USD-BRL'!O482)^-1-1</f>
        <v>-3.8736587180892013E-3</v>
      </c>
    </row>
    <row r="670" spans="10:18" x14ac:dyDescent="0.2">
      <c r="J670" s="354">
        <v>41323</v>
      </c>
      <c r="K670">
        <v>17.190000999999999</v>
      </c>
      <c r="L670">
        <v>17.200001</v>
      </c>
      <c r="M670">
        <v>15.5</v>
      </c>
      <c r="N670">
        <v>16.209999</v>
      </c>
      <c r="O670">
        <v>11.115489999999999</v>
      </c>
      <c r="P670">
        <v>45751800</v>
      </c>
      <c r="R670" s="273">
        <f>(O670/O669)*('16. câmbio USD-BRL'!O484/'16. câmbio USD-BRL'!O483)^-1-1</f>
        <v>-5.9971262479424081E-2</v>
      </c>
    </row>
    <row r="671" spans="10:18" x14ac:dyDescent="0.2">
      <c r="J671" s="354">
        <v>41330</v>
      </c>
      <c r="K671">
        <v>16.299999</v>
      </c>
      <c r="L671">
        <v>16.82</v>
      </c>
      <c r="M671">
        <v>15.82</v>
      </c>
      <c r="N671">
        <v>15.93</v>
      </c>
      <c r="O671">
        <v>10.923491</v>
      </c>
      <c r="P671">
        <v>38235600</v>
      </c>
      <c r="R671" s="273">
        <f>(O671/O670)*('16. câmbio USD-BRL'!O485/'16. câmbio USD-BRL'!O484)^-1-1</f>
        <v>-2.3225716252569306E-2</v>
      </c>
    </row>
    <row r="672" spans="10:18" x14ac:dyDescent="0.2">
      <c r="J672" s="354">
        <v>41337</v>
      </c>
      <c r="K672">
        <v>15.69</v>
      </c>
      <c r="L672">
        <v>16.32</v>
      </c>
      <c r="M672">
        <v>15.12</v>
      </c>
      <c r="N672">
        <v>15.95</v>
      </c>
      <c r="O672">
        <v>10.937203999999999</v>
      </c>
      <c r="P672">
        <v>53048100</v>
      </c>
      <c r="R672" s="273">
        <f>(O672/O671)*('16. câmbio USD-BRL'!O486/'16. câmbio USD-BRL'!O485)^-1-1</f>
        <v>2.1467124648244962E-2</v>
      </c>
    </row>
    <row r="673" spans="10:18" x14ac:dyDescent="0.2">
      <c r="J673" s="354">
        <v>41344</v>
      </c>
      <c r="K673">
        <v>15.87</v>
      </c>
      <c r="L673">
        <v>16.079999999999998</v>
      </c>
      <c r="M673">
        <v>15.1</v>
      </c>
      <c r="N673">
        <v>15.2</v>
      </c>
      <c r="O673">
        <v>10.436176</v>
      </c>
      <c r="P673">
        <v>31354600</v>
      </c>
      <c r="R673" s="273">
        <f>(O673/O672)*('16. câmbio USD-BRL'!O487/'16. câmbio USD-BRL'!O486)^-1-1</f>
        <v>-6.3602938790890962E-2</v>
      </c>
    </row>
    <row r="674" spans="10:18" x14ac:dyDescent="0.2">
      <c r="J674" s="354">
        <v>41351</v>
      </c>
      <c r="K674">
        <v>15.08</v>
      </c>
      <c r="L674">
        <v>15.28</v>
      </c>
      <c r="M674">
        <v>14.66</v>
      </c>
      <c r="N674">
        <v>14.96</v>
      </c>
      <c r="O674">
        <v>10.271397</v>
      </c>
      <c r="P674">
        <v>29673600</v>
      </c>
      <c r="R674" s="273">
        <f>(O674/O673)*('16. câmbio USD-BRL'!O488/'16. câmbio USD-BRL'!O487)^-1-1</f>
        <v>-2.9376373581085913E-2</v>
      </c>
    </row>
    <row r="675" spans="10:18" x14ac:dyDescent="0.2">
      <c r="J675" s="354">
        <v>41358</v>
      </c>
      <c r="K675">
        <v>14.94</v>
      </c>
      <c r="L675">
        <v>15.57</v>
      </c>
      <c r="M675">
        <v>14.62</v>
      </c>
      <c r="N675">
        <v>15.37</v>
      </c>
      <c r="O675">
        <v>10.552894999999999</v>
      </c>
      <c r="P675">
        <v>15496000</v>
      </c>
      <c r="R675" s="273">
        <f>(O675/O674)*('16. câmbio USD-BRL'!O489/'16. câmbio USD-BRL'!O488)^-1-1</f>
        <v>2.1045149741053315E-2</v>
      </c>
    </row>
    <row r="676" spans="10:18" x14ac:dyDescent="0.2">
      <c r="J676" s="354">
        <v>41365</v>
      </c>
      <c r="K676">
        <v>15.63</v>
      </c>
      <c r="L676">
        <v>15.63</v>
      </c>
      <c r="M676">
        <v>14.49</v>
      </c>
      <c r="N676">
        <v>15.15</v>
      </c>
      <c r="O676">
        <v>10.401847</v>
      </c>
      <c r="P676">
        <v>26369400</v>
      </c>
      <c r="R676" s="273">
        <f>(O676/O675)*('16. câmbio USD-BRL'!O490/'16. câmbio USD-BRL'!O489)^-1-1</f>
        <v>3.4798348784437216E-3</v>
      </c>
    </row>
    <row r="677" spans="10:18" x14ac:dyDescent="0.2">
      <c r="J677" s="354">
        <v>41372</v>
      </c>
      <c r="K677">
        <v>15.09</v>
      </c>
      <c r="L677">
        <v>15.26</v>
      </c>
      <c r="M677">
        <v>14.43</v>
      </c>
      <c r="N677">
        <v>14.51</v>
      </c>
      <c r="O677">
        <v>9.9624299999999995</v>
      </c>
      <c r="P677">
        <v>26095500</v>
      </c>
      <c r="R677" s="273">
        <f>(O677/O676)*('16. câmbio USD-BRL'!O491/'16. câmbio USD-BRL'!O490)^-1-1</f>
        <v>-3.3963260613703472E-2</v>
      </c>
    </row>
    <row r="678" spans="10:18" x14ac:dyDescent="0.2">
      <c r="J678" s="354">
        <v>41379</v>
      </c>
      <c r="K678">
        <v>14.34</v>
      </c>
      <c r="L678">
        <v>15.45</v>
      </c>
      <c r="M678">
        <v>13.86</v>
      </c>
      <c r="N678">
        <v>15.26</v>
      </c>
      <c r="O678">
        <v>10.477373</v>
      </c>
      <c r="P678">
        <v>41642800</v>
      </c>
      <c r="R678" s="273">
        <f>(O678/O677)*('16. câmbio USD-BRL'!O492/'16. câmbio USD-BRL'!O491)^-1-1</f>
        <v>3.1233750376706393E-2</v>
      </c>
    </row>
    <row r="679" spans="10:18" x14ac:dyDescent="0.2">
      <c r="J679" s="354">
        <v>41386</v>
      </c>
      <c r="K679">
        <v>15.25</v>
      </c>
      <c r="L679">
        <v>15.77</v>
      </c>
      <c r="M679">
        <v>14.89</v>
      </c>
      <c r="N679">
        <v>15.37</v>
      </c>
      <c r="O679">
        <v>10.552894999999999</v>
      </c>
      <c r="P679">
        <v>22301900</v>
      </c>
      <c r="R679" s="273">
        <f>(O679/O678)*('16. câmbio USD-BRL'!O493/'16. câmbio USD-BRL'!O492)^-1-1</f>
        <v>1.3221136429505398E-2</v>
      </c>
    </row>
    <row r="680" spans="10:18" x14ac:dyDescent="0.2">
      <c r="J680" s="354">
        <v>41393</v>
      </c>
      <c r="K680">
        <v>15.25</v>
      </c>
      <c r="L680">
        <v>15.82</v>
      </c>
      <c r="M680">
        <v>14.96</v>
      </c>
      <c r="N680">
        <v>15.43</v>
      </c>
      <c r="O680">
        <v>10.594092</v>
      </c>
      <c r="P680">
        <v>17813700</v>
      </c>
      <c r="R680" s="273">
        <f>(O680/O679)*('16. câmbio USD-BRL'!O494/'16. câmbio USD-BRL'!O493)^-1-1</f>
        <v>-4.4370350859297414E-3</v>
      </c>
    </row>
    <row r="681" spans="10:18" x14ac:dyDescent="0.2">
      <c r="J681" s="354">
        <v>41400</v>
      </c>
      <c r="K681">
        <v>15.43</v>
      </c>
      <c r="L681">
        <v>15.57</v>
      </c>
      <c r="M681">
        <v>14</v>
      </c>
      <c r="N681">
        <v>14.1</v>
      </c>
      <c r="O681">
        <v>9.6809309999999993</v>
      </c>
      <c r="P681">
        <v>48700600</v>
      </c>
      <c r="R681" s="273">
        <f>(O681/O680)*('16. câmbio USD-BRL'!O495/'16. câmbio USD-BRL'!O494)^-1-1</f>
        <v>-8.7919636871269247E-2</v>
      </c>
    </row>
    <row r="682" spans="10:18" x14ac:dyDescent="0.2">
      <c r="J682" s="354">
        <v>41407</v>
      </c>
      <c r="K682">
        <v>14.06</v>
      </c>
      <c r="L682">
        <v>14.12</v>
      </c>
      <c r="M682">
        <v>13.25</v>
      </c>
      <c r="N682">
        <v>13.56</v>
      </c>
      <c r="O682">
        <v>9.3101669999999999</v>
      </c>
      <c r="P682">
        <v>36574400</v>
      </c>
      <c r="R682" s="273">
        <f>(O682/O681)*('16. câmbio USD-BRL'!O496/'16. câmbio USD-BRL'!O495)^-1-1</f>
        <v>-4.6536669462659219E-2</v>
      </c>
    </row>
    <row r="683" spans="10:18" x14ac:dyDescent="0.2">
      <c r="J683" s="354">
        <v>41414</v>
      </c>
      <c r="K683">
        <v>13.65</v>
      </c>
      <c r="L683">
        <v>14.26</v>
      </c>
      <c r="M683">
        <v>13.17</v>
      </c>
      <c r="N683">
        <v>13.29</v>
      </c>
      <c r="O683">
        <v>9.1247889999999998</v>
      </c>
      <c r="P683">
        <v>37542100</v>
      </c>
      <c r="R683" s="273">
        <f>(O683/O682)*('16. câmbio USD-BRL'!O497/'16. câmbio USD-BRL'!O496)^-1-1</f>
        <v>-2.7428763249530697E-2</v>
      </c>
    </row>
    <row r="684" spans="10:18" x14ac:dyDescent="0.2">
      <c r="J684" s="354">
        <v>41421</v>
      </c>
      <c r="K684">
        <v>13.29</v>
      </c>
      <c r="L684">
        <v>13.59</v>
      </c>
      <c r="M684">
        <v>12.95</v>
      </c>
      <c r="N684">
        <v>13.05</v>
      </c>
      <c r="O684">
        <v>8.9732409999999998</v>
      </c>
      <c r="P684">
        <v>21930900</v>
      </c>
      <c r="R684" s="273">
        <f>(O684/O683)*('16. câmbio USD-BRL'!O498/'16. câmbio USD-BRL'!O497)^-1-1</f>
        <v>-3.684181123134167E-2</v>
      </c>
    </row>
    <row r="685" spans="10:18" x14ac:dyDescent="0.2">
      <c r="J685" s="354">
        <v>41428</v>
      </c>
      <c r="K685">
        <v>13.05</v>
      </c>
      <c r="L685">
        <v>13.59</v>
      </c>
      <c r="M685">
        <v>12.66</v>
      </c>
      <c r="N685">
        <v>12.71</v>
      </c>
      <c r="O685">
        <v>8.7394560000000006</v>
      </c>
      <c r="P685">
        <v>38805400</v>
      </c>
      <c r="R685" s="273">
        <f>(O685/O684)*('16. câmbio USD-BRL'!O499/'16. câmbio USD-BRL'!O498)^-1-1</f>
        <v>-4.3985423264355838E-2</v>
      </c>
    </row>
    <row r="686" spans="10:18" x14ac:dyDescent="0.2">
      <c r="J686" s="354">
        <v>41435</v>
      </c>
      <c r="K686">
        <v>12.72</v>
      </c>
      <c r="L686">
        <v>12.93</v>
      </c>
      <c r="M686">
        <v>12</v>
      </c>
      <c r="N686">
        <v>12.8</v>
      </c>
      <c r="O686">
        <v>8.8013410000000007</v>
      </c>
      <c r="P686">
        <v>45459300</v>
      </c>
      <c r="R686" s="273">
        <f>(O686/O685)*('16. câmbio USD-BRL'!O500/'16. câmbio USD-BRL'!O499)^-1-1</f>
        <v>2.2789724907640529E-2</v>
      </c>
    </row>
    <row r="687" spans="10:18" x14ac:dyDescent="0.2">
      <c r="J687" s="354">
        <v>41442</v>
      </c>
      <c r="K687">
        <v>12.86</v>
      </c>
      <c r="L687">
        <v>13.19</v>
      </c>
      <c r="M687">
        <v>12.1</v>
      </c>
      <c r="N687">
        <v>12.44</v>
      </c>
      <c r="O687">
        <v>8.5538039999999995</v>
      </c>
      <c r="P687">
        <v>47019300</v>
      </c>
      <c r="R687" s="273">
        <f>(O687/O686)*('16. câmbio USD-BRL'!O501/'16. câmbio USD-BRL'!O500)^-1-1</f>
        <v>-8.9819557536110595E-2</v>
      </c>
    </row>
    <row r="688" spans="10:18" x14ac:dyDescent="0.2">
      <c r="J688" s="354">
        <v>41449</v>
      </c>
      <c r="K688">
        <v>12.34</v>
      </c>
      <c r="L688">
        <v>12.77</v>
      </c>
      <c r="M688">
        <v>11.58</v>
      </c>
      <c r="N688">
        <v>12.56</v>
      </c>
      <c r="O688">
        <v>8.6363140000000005</v>
      </c>
      <c r="P688">
        <v>41862000</v>
      </c>
      <c r="R688" s="273">
        <f>(O688/O687)*('16. câmbio USD-BRL'!O502/'16. câmbio USD-BRL'!O501)^-1-1</f>
        <v>3.238286713474503E-2</v>
      </c>
    </row>
    <row r="689" spans="10:18" x14ac:dyDescent="0.2">
      <c r="J689" s="354">
        <v>41456</v>
      </c>
      <c r="K689">
        <v>12.65</v>
      </c>
      <c r="L689">
        <v>13.76</v>
      </c>
      <c r="M689">
        <v>12.5</v>
      </c>
      <c r="N689">
        <v>13.1</v>
      </c>
      <c r="O689">
        <v>9.0076230000000006</v>
      </c>
      <c r="P689">
        <v>47403600</v>
      </c>
      <c r="R689" s="273">
        <f>(O689/O688)*('16. câmbio USD-BRL'!O503/'16. câmbio USD-BRL'!O502)^-1-1</f>
        <v>1.5938728091194232E-2</v>
      </c>
    </row>
    <row r="690" spans="10:18" x14ac:dyDescent="0.2">
      <c r="J690" s="354">
        <v>41463</v>
      </c>
      <c r="K690">
        <v>12.92</v>
      </c>
      <c r="L690">
        <v>13.33</v>
      </c>
      <c r="M690">
        <v>12.74</v>
      </c>
      <c r="N690">
        <v>12.75</v>
      </c>
      <c r="O690">
        <v>8.7669589999999999</v>
      </c>
      <c r="P690">
        <v>20180300</v>
      </c>
      <c r="R690" s="273">
        <f>(O690/O689)*('16. câmbio USD-BRL'!O504/'16. câmbio USD-BRL'!O503)^-1-1</f>
        <v>-3.2914049245750254E-2</v>
      </c>
    </row>
    <row r="691" spans="10:18" x14ac:dyDescent="0.2">
      <c r="J691" s="354">
        <v>41470</v>
      </c>
      <c r="K691">
        <v>12.75</v>
      </c>
      <c r="L691">
        <v>14.01</v>
      </c>
      <c r="M691">
        <v>12.75</v>
      </c>
      <c r="N691">
        <v>13.74</v>
      </c>
      <c r="O691">
        <v>9.4476899999999997</v>
      </c>
      <c r="P691">
        <v>33798000</v>
      </c>
      <c r="R691" s="273">
        <f>(O691/O690)*('16. câmbio USD-BRL'!O505/'16. câmbio USD-BRL'!O504)^-1-1</f>
        <v>8.6243541183686601E-2</v>
      </c>
    </row>
    <row r="692" spans="10:18" x14ac:dyDescent="0.2">
      <c r="J692" s="354">
        <v>41477</v>
      </c>
      <c r="K692">
        <v>13.72</v>
      </c>
      <c r="L692">
        <v>14.76</v>
      </c>
      <c r="M692">
        <v>13.7</v>
      </c>
      <c r="N692">
        <v>14.72</v>
      </c>
      <c r="O692">
        <v>10.121544</v>
      </c>
      <c r="P692">
        <v>30375400</v>
      </c>
      <c r="R692" s="273">
        <f>(O692/O691)*('16. câmbio USD-BRL'!O506/'16. câmbio USD-BRL'!O505)^-1-1</f>
        <v>6.6382500335956163E-2</v>
      </c>
    </row>
    <row r="693" spans="10:18" x14ac:dyDescent="0.2">
      <c r="J693" s="354">
        <v>41484</v>
      </c>
      <c r="K693">
        <v>14.46</v>
      </c>
      <c r="L693">
        <v>15.39</v>
      </c>
      <c r="M693">
        <v>14.18</v>
      </c>
      <c r="N693">
        <v>15.08</v>
      </c>
      <c r="O693">
        <v>10.369077000000001</v>
      </c>
      <c r="P693">
        <v>47083000</v>
      </c>
      <c r="R693" s="273">
        <f>(O693/O692)*('16. câmbio USD-BRL'!O507/'16. câmbio USD-BRL'!O506)^-1-1</f>
        <v>1.1179388006484103E-2</v>
      </c>
    </row>
    <row r="694" spans="10:18" x14ac:dyDescent="0.2">
      <c r="J694" s="354">
        <v>41491</v>
      </c>
      <c r="K694">
        <v>15.07</v>
      </c>
      <c r="L694">
        <v>15.67</v>
      </c>
      <c r="M694">
        <v>14.64</v>
      </c>
      <c r="N694">
        <v>15.5</v>
      </c>
      <c r="O694">
        <v>10.657874</v>
      </c>
      <c r="P694">
        <v>38370300</v>
      </c>
      <c r="R694" s="273">
        <f>(O694/O693)*('16. câmbio USD-BRL'!O508/'16. câmbio USD-BRL'!O507)^-1-1</f>
        <v>3.0332855010964943E-2</v>
      </c>
    </row>
    <row r="695" spans="10:18" x14ac:dyDescent="0.2">
      <c r="J695" s="354">
        <v>41498</v>
      </c>
      <c r="K695">
        <v>15.67</v>
      </c>
      <c r="L695">
        <v>16.32</v>
      </c>
      <c r="M695">
        <v>14.98</v>
      </c>
      <c r="N695">
        <v>16.260000000000002</v>
      </c>
      <c r="O695">
        <v>11.180453999999999</v>
      </c>
      <c r="P695">
        <v>55411200</v>
      </c>
      <c r="R695" s="273">
        <f>(O695/O694)*('16. câmbio USD-BRL'!O509/'16. câmbio USD-BRL'!O508)^-1-1</f>
        <v>1.1393002913038242E-3</v>
      </c>
    </row>
    <row r="696" spans="10:18" x14ac:dyDescent="0.2">
      <c r="J696" s="354">
        <v>41505</v>
      </c>
      <c r="K696">
        <v>16.209999</v>
      </c>
      <c r="L696">
        <v>17.860001</v>
      </c>
      <c r="M696">
        <v>16.170000000000002</v>
      </c>
      <c r="N696">
        <v>17.309999000000001</v>
      </c>
      <c r="O696">
        <v>11.956329999999999</v>
      </c>
      <c r="P696">
        <v>71277400</v>
      </c>
      <c r="R696" s="273">
        <f>(O696/O695)*('16. câmbio USD-BRL'!O510/'16. câmbio USD-BRL'!O509)^-1-1</f>
        <v>5.8533314725225161E-2</v>
      </c>
    </row>
    <row r="697" spans="10:18" x14ac:dyDescent="0.2">
      <c r="J697" s="354">
        <v>41512</v>
      </c>
      <c r="K697">
        <v>17.399999999999999</v>
      </c>
      <c r="L697">
        <v>17.629999000000002</v>
      </c>
      <c r="M697">
        <v>16.82</v>
      </c>
      <c r="N697">
        <v>17.149999999999999</v>
      </c>
      <c r="O697">
        <v>11.845815999999999</v>
      </c>
      <c r="P697">
        <v>36855500</v>
      </c>
      <c r="R697" s="273">
        <f>(O697/O696)*('16. câmbio USD-BRL'!O511/'16. câmbio USD-BRL'!O510)^-1-1</f>
        <v>3.7827331418762711E-3</v>
      </c>
    </row>
    <row r="698" spans="10:18" x14ac:dyDescent="0.2">
      <c r="J698" s="354">
        <v>41519</v>
      </c>
      <c r="K698">
        <v>17.450001</v>
      </c>
      <c r="L698">
        <v>17.93</v>
      </c>
      <c r="M698">
        <v>16.75</v>
      </c>
      <c r="N698">
        <v>16.850000000000001</v>
      </c>
      <c r="O698">
        <v>11.638601</v>
      </c>
      <c r="P698">
        <v>50835000</v>
      </c>
      <c r="R698" s="273">
        <f>(O698/O697)*('16. câmbio USD-BRL'!O512/'16. câmbio USD-BRL'!O511)^-1-1</f>
        <v>1.6715287540733925E-2</v>
      </c>
    </row>
    <row r="699" spans="10:18" x14ac:dyDescent="0.2">
      <c r="J699" s="354">
        <v>41526</v>
      </c>
      <c r="K699">
        <v>16.780000999999999</v>
      </c>
      <c r="L699">
        <v>17.559999000000001</v>
      </c>
      <c r="M699">
        <v>16.760000000000002</v>
      </c>
      <c r="N699">
        <v>17.040001</v>
      </c>
      <c r="O699">
        <v>11.769838999999999</v>
      </c>
      <c r="P699">
        <v>35591200</v>
      </c>
      <c r="R699" s="273">
        <f>(O699/O698)*('16. câmbio USD-BRL'!O513/'16. câmbio USD-BRL'!O512)^-1-1</f>
        <v>3.1863125905770229E-2</v>
      </c>
    </row>
    <row r="700" spans="10:18" x14ac:dyDescent="0.2">
      <c r="J700" s="354">
        <v>41533</v>
      </c>
      <c r="K700">
        <v>17.170000000000002</v>
      </c>
      <c r="L700">
        <v>17.239999999999998</v>
      </c>
      <c r="M700">
        <v>16.329999999999998</v>
      </c>
      <c r="N700">
        <v>16.459999</v>
      </c>
      <c r="O700">
        <v>11.36922</v>
      </c>
      <c r="P700">
        <v>33337700</v>
      </c>
      <c r="R700" s="273">
        <f>(O700/O699)*('16. câmbio USD-BRL'!O514/'16. câmbio USD-BRL'!O513)^-1-1</f>
        <v>-1.3383894029152965E-2</v>
      </c>
    </row>
    <row r="701" spans="10:18" x14ac:dyDescent="0.2">
      <c r="J701" s="354">
        <v>41540</v>
      </c>
      <c r="K701">
        <v>16.600000000000001</v>
      </c>
      <c r="L701">
        <v>17.290001</v>
      </c>
      <c r="M701">
        <v>16.459999</v>
      </c>
      <c r="N701">
        <v>17.059999000000001</v>
      </c>
      <c r="O701">
        <v>11.783652999999999</v>
      </c>
      <c r="P701">
        <v>33430900</v>
      </c>
      <c r="R701" s="273">
        <f>(O701/O700)*('16. câmbio USD-BRL'!O515/'16. câmbio USD-BRL'!O514)^-1-1</f>
        <v>2.936438373038408E-2</v>
      </c>
    </row>
    <row r="702" spans="10:18" x14ac:dyDescent="0.2">
      <c r="J702" s="354">
        <v>41547</v>
      </c>
      <c r="K702">
        <v>17</v>
      </c>
      <c r="L702">
        <v>17.100000000000001</v>
      </c>
      <c r="M702">
        <v>16.329999999999998</v>
      </c>
      <c r="N702">
        <v>16.940000999999999</v>
      </c>
      <c r="O702">
        <v>11.700768</v>
      </c>
      <c r="P702">
        <v>36696800</v>
      </c>
      <c r="R702" s="273">
        <f>(O702/O701)*('16. câmbio USD-BRL'!O516/'16. câmbio USD-BRL'!O515)^-1-1</f>
        <v>-1.9671238126883761E-4</v>
      </c>
    </row>
    <row r="703" spans="10:18" x14ac:dyDescent="0.2">
      <c r="J703" s="354">
        <v>41554</v>
      </c>
      <c r="K703">
        <v>16.809999000000001</v>
      </c>
      <c r="L703">
        <v>17.73</v>
      </c>
      <c r="M703">
        <v>16.68</v>
      </c>
      <c r="N703">
        <v>17.649999999999999</v>
      </c>
      <c r="O703">
        <v>12.191172</v>
      </c>
      <c r="P703">
        <v>27529500</v>
      </c>
      <c r="R703" s="273">
        <f>(O703/O702)*('16. câmbio USD-BRL'!O517/'16. câmbio USD-BRL'!O516)^-1-1</f>
        <v>6.1874887494659081E-2</v>
      </c>
    </row>
    <row r="704" spans="10:18" x14ac:dyDescent="0.2">
      <c r="J704" s="354">
        <v>41561</v>
      </c>
      <c r="K704">
        <v>17.670000000000002</v>
      </c>
      <c r="L704">
        <v>18.079999999999998</v>
      </c>
      <c r="M704">
        <v>16.670000000000002</v>
      </c>
      <c r="N704">
        <v>16.719999000000001</v>
      </c>
      <c r="O704">
        <v>11.548807999999999</v>
      </c>
      <c r="P704">
        <v>38383400</v>
      </c>
      <c r="R704" s="273">
        <f>(O704/O703)*('16. câmbio USD-BRL'!O518/'16. câmbio USD-BRL'!O517)^-1-1</f>
        <v>-5.2734647772166077E-2</v>
      </c>
    </row>
    <row r="705" spans="10:18" x14ac:dyDescent="0.2">
      <c r="J705" s="354">
        <v>41568</v>
      </c>
      <c r="K705">
        <v>16.75</v>
      </c>
      <c r="L705">
        <v>17.52</v>
      </c>
      <c r="M705">
        <v>16.639999</v>
      </c>
      <c r="N705">
        <v>16.649999999999999</v>
      </c>
      <c r="O705">
        <v>11.500456</v>
      </c>
      <c r="P705">
        <v>25117700</v>
      </c>
      <c r="R705" s="273">
        <f>(O705/O704)*('16. câmbio USD-BRL'!O519/'16. câmbio USD-BRL'!O518)^-1-1</f>
        <v>-1.2529264075524127E-2</v>
      </c>
    </row>
    <row r="706" spans="10:18" x14ac:dyDescent="0.2">
      <c r="J706" s="354">
        <v>41575</v>
      </c>
      <c r="K706">
        <v>16.760000000000002</v>
      </c>
      <c r="L706">
        <v>18.350000000000001</v>
      </c>
      <c r="M706">
        <v>16.559999000000001</v>
      </c>
      <c r="N706">
        <v>18.32</v>
      </c>
      <c r="O706">
        <v>12.653956000000001</v>
      </c>
      <c r="P706">
        <v>38844200</v>
      </c>
      <c r="R706" s="273">
        <f>(O706/O705)*('16. câmbio USD-BRL'!O520/'16. câmbio USD-BRL'!O519)^-1-1</f>
        <v>6.7414011526164108E-2</v>
      </c>
    </row>
    <row r="707" spans="10:18" x14ac:dyDescent="0.2">
      <c r="J707" s="354">
        <v>41582</v>
      </c>
      <c r="K707">
        <v>18.260000000000002</v>
      </c>
      <c r="L707">
        <v>18.670000000000002</v>
      </c>
      <c r="M707">
        <v>17.600000000000001</v>
      </c>
      <c r="N707">
        <v>18.299999</v>
      </c>
      <c r="O707">
        <v>12.640141</v>
      </c>
      <c r="P707">
        <v>33418000</v>
      </c>
      <c r="R707" s="273">
        <f>(O707/O706)*('16. câmbio USD-BRL'!O521/'16. câmbio USD-BRL'!O520)^-1-1</f>
        <v>-2.6007145551536603E-2</v>
      </c>
    </row>
    <row r="708" spans="10:18" x14ac:dyDescent="0.2">
      <c r="J708" s="354">
        <v>41589</v>
      </c>
      <c r="K708">
        <v>18.290001</v>
      </c>
      <c r="L708">
        <v>18.690000999999999</v>
      </c>
      <c r="M708">
        <v>17.719999000000001</v>
      </c>
      <c r="N708">
        <v>18.379999000000002</v>
      </c>
      <c r="O708">
        <v>12.695397</v>
      </c>
      <c r="P708">
        <v>21432300</v>
      </c>
      <c r="R708" s="273">
        <f>(O708/O707)*('16. câmbio USD-BRL'!O522/'16. câmbio USD-BRL'!O521)^-1-1</f>
        <v>1.5091481440048238E-3</v>
      </c>
    </row>
    <row r="709" spans="10:18" x14ac:dyDescent="0.2">
      <c r="J709" s="354">
        <v>41596</v>
      </c>
      <c r="K709">
        <v>18.43</v>
      </c>
      <c r="L709">
        <v>18.84</v>
      </c>
      <c r="M709">
        <v>17.989999999999998</v>
      </c>
      <c r="N709">
        <v>18.209999</v>
      </c>
      <c r="O709">
        <v>12.661227</v>
      </c>
      <c r="P709">
        <v>25008600</v>
      </c>
      <c r="R709" s="273">
        <f>(O709/O708)*('16. câmbio USD-BRL'!O523/'16. câmbio USD-BRL'!O522)^-1-1</f>
        <v>1.5773899777518086E-2</v>
      </c>
    </row>
    <row r="710" spans="10:18" x14ac:dyDescent="0.2">
      <c r="J710" s="354">
        <v>41603</v>
      </c>
      <c r="K710">
        <v>18.209999</v>
      </c>
      <c r="L710">
        <v>18.290001</v>
      </c>
      <c r="M710">
        <v>17.5</v>
      </c>
      <c r="N710">
        <v>18</v>
      </c>
      <c r="O710">
        <v>12.515217</v>
      </c>
      <c r="P710">
        <v>25009000</v>
      </c>
      <c r="R710" s="273">
        <f>(O710/O709)*('16. câmbio USD-BRL'!O524/'16. câmbio USD-BRL'!O523)^-1-1</f>
        <v>-3.5705162494150788E-2</v>
      </c>
    </row>
    <row r="711" spans="10:18" x14ac:dyDescent="0.2">
      <c r="J711" s="354">
        <v>41610</v>
      </c>
      <c r="K711">
        <v>17.870000999999998</v>
      </c>
      <c r="L711">
        <v>18.579999999999998</v>
      </c>
      <c r="M711">
        <v>17.719999000000001</v>
      </c>
      <c r="N711">
        <v>18.16</v>
      </c>
      <c r="O711">
        <v>12.626462</v>
      </c>
      <c r="P711">
        <v>38096100</v>
      </c>
      <c r="R711" s="273">
        <f>(O711/O710)*('16. câmbio USD-BRL'!O525/'16. câmbio USD-BRL'!O524)^-1-1</f>
        <v>1.2799537624409885E-2</v>
      </c>
    </row>
    <row r="712" spans="10:18" x14ac:dyDescent="0.2">
      <c r="J712" s="354">
        <v>41617</v>
      </c>
      <c r="K712">
        <v>18.09</v>
      </c>
      <c r="L712">
        <v>18.440000999999999</v>
      </c>
      <c r="M712">
        <v>17.799999</v>
      </c>
      <c r="N712">
        <v>17.829999999999998</v>
      </c>
      <c r="O712">
        <v>12.397019999999999</v>
      </c>
      <c r="P712">
        <v>29220200</v>
      </c>
      <c r="R712" s="273">
        <f>(O712/O711)*('16. câmbio USD-BRL'!O526/'16. câmbio USD-BRL'!O525)^-1-1</f>
        <v>-1.9522853287111674E-2</v>
      </c>
    </row>
    <row r="713" spans="10:18" x14ac:dyDescent="0.2">
      <c r="J713" s="354">
        <v>41624</v>
      </c>
      <c r="K713">
        <v>17.889999</v>
      </c>
      <c r="L713">
        <v>19.32</v>
      </c>
      <c r="M713">
        <v>17.73</v>
      </c>
      <c r="N713">
        <v>18.920000000000002</v>
      </c>
      <c r="O713">
        <v>13.154883999999999</v>
      </c>
      <c r="P713">
        <v>29574400</v>
      </c>
      <c r="R713" s="273">
        <f>(O713/O712)*('16. câmbio USD-BRL'!O527/'16. câmbio USD-BRL'!O526)^-1-1</f>
        <v>3.5436126212897046E-2</v>
      </c>
    </row>
    <row r="714" spans="10:18" x14ac:dyDescent="0.2">
      <c r="J714" s="354">
        <v>41631</v>
      </c>
      <c r="K714">
        <v>18.920000000000002</v>
      </c>
      <c r="L714">
        <v>19.170000000000002</v>
      </c>
      <c r="M714">
        <v>18.260000000000002</v>
      </c>
      <c r="N714">
        <v>18.389999</v>
      </c>
      <c r="O714">
        <v>12.786381</v>
      </c>
      <c r="P714">
        <v>9884200</v>
      </c>
      <c r="R714" s="273">
        <f>(O714/O713)*('16. câmbio USD-BRL'!O528/'16. câmbio USD-BRL'!O527)^-1-1</f>
        <v>-7.5190537571988569E-3</v>
      </c>
    </row>
    <row r="715" spans="10:18" x14ac:dyDescent="0.2">
      <c r="J715" s="354">
        <v>41638</v>
      </c>
      <c r="K715">
        <v>18.379999000000002</v>
      </c>
      <c r="L715">
        <v>18.600000000000001</v>
      </c>
      <c r="M715">
        <v>17.77</v>
      </c>
      <c r="N715">
        <v>18.100000000000001</v>
      </c>
      <c r="O715">
        <v>12.584749</v>
      </c>
      <c r="P715">
        <v>16730100</v>
      </c>
      <c r="R715" s="273">
        <f>(O715/O714)*('16. câmbio USD-BRL'!O529/'16. câmbio USD-BRL'!O528)^-1-1</f>
        <v>-3.1540211188262335E-2</v>
      </c>
    </row>
    <row r="716" spans="10:18" x14ac:dyDescent="0.2">
      <c r="J716" s="354">
        <v>41645</v>
      </c>
      <c r="K716">
        <v>18.059999000000001</v>
      </c>
      <c r="L716">
        <v>18.389999</v>
      </c>
      <c r="M716">
        <v>17.549999</v>
      </c>
      <c r="N716">
        <v>18.030000999999999</v>
      </c>
      <c r="O716">
        <v>12.536078</v>
      </c>
      <c r="P716">
        <v>30467700</v>
      </c>
      <c r="R716" s="273">
        <f>(O716/O715)*('16. câmbio USD-BRL'!O530/'16. câmbio USD-BRL'!O529)^-1-1</f>
        <v>3.751145582753912E-3</v>
      </c>
    </row>
    <row r="717" spans="10:18" x14ac:dyDescent="0.2">
      <c r="J717" s="354">
        <v>41652</v>
      </c>
      <c r="K717">
        <v>18.079999999999998</v>
      </c>
      <c r="L717">
        <v>18.100000000000001</v>
      </c>
      <c r="M717">
        <v>17.149999999999999</v>
      </c>
      <c r="N717">
        <v>17.290001</v>
      </c>
      <c r="O717">
        <v>12.021564</v>
      </c>
      <c r="P717">
        <v>38347700</v>
      </c>
      <c r="R717" s="273">
        <f>(O717/O716)*('16. câmbio USD-BRL'!O531/'16. câmbio USD-BRL'!O530)^-1-1</f>
        <v>-3.8591651856942799E-2</v>
      </c>
    </row>
    <row r="718" spans="10:18" x14ac:dyDescent="0.2">
      <c r="J718" s="354">
        <v>41659</v>
      </c>
      <c r="K718">
        <v>17.260000000000002</v>
      </c>
      <c r="L718">
        <v>17.370000999999998</v>
      </c>
      <c r="M718">
        <v>16.629999000000002</v>
      </c>
      <c r="N718">
        <v>16.950001</v>
      </c>
      <c r="O718">
        <v>11.785163000000001</v>
      </c>
      <c r="P718">
        <v>30416900</v>
      </c>
      <c r="R718" s="273">
        <f>(O718/O717)*('16. câmbio USD-BRL'!O532/'16. câmbio USD-BRL'!O531)^-1-1</f>
        <v>-3.8385003648110039E-2</v>
      </c>
    </row>
    <row r="719" spans="10:18" x14ac:dyDescent="0.2">
      <c r="J719" s="354">
        <v>41666</v>
      </c>
      <c r="K719">
        <v>16.850000000000001</v>
      </c>
      <c r="L719">
        <v>17.360001</v>
      </c>
      <c r="M719">
        <v>16.579999999999998</v>
      </c>
      <c r="N719">
        <v>17.149999999999999</v>
      </c>
      <c r="O719">
        <v>11.924220999999999</v>
      </c>
      <c r="P719">
        <v>31378500</v>
      </c>
      <c r="R719" s="273">
        <f>(O719/O718)*('16. câmbio USD-BRL'!O533/'16. câmbio USD-BRL'!O532)^-1-1</f>
        <v>-3.5571396076927719E-4</v>
      </c>
    </row>
    <row r="720" spans="10:18" x14ac:dyDescent="0.2">
      <c r="J720" s="354">
        <v>41673</v>
      </c>
      <c r="K720">
        <v>16.989999999999998</v>
      </c>
      <c r="L720">
        <v>17.200001</v>
      </c>
      <c r="M720">
        <v>16.059999000000001</v>
      </c>
      <c r="N720">
        <v>16.969999000000001</v>
      </c>
      <c r="O720">
        <v>11.799068</v>
      </c>
      <c r="P720">
        <v>35560400</v>
      </c>
      <c r="R720" s="273">
        <f>(O720/O719)*('16. câmbio USD-BRL'!O534/'16. câmbio USD-BRL'!O533)^-1-1</f>
        <v>9.1260842478659843E-3</v>
      </c>
    </row>
    <row r="721" spans="10:18" x14ac:dyDescent="0.2">
      <c r="J721" s="354">
        <v>41680</v>
      </c>
      <c r="K721">
        <v>16.98</v>
      </c>
      <c r="L721">
        <v>17.100000000000001</v>
      </c>
      <c r="M721">
        <v>15.88</v>
      </c>
      <c r="N721">
        <v>16.329999999999998</v>
      </c>
      <c r="O721">
        <v>11.354086000000001</v>
      </c>
      <c r="P721">
        <v>24686000</v>
      </c>
      <c r="R721" s="273">
        <f>(O721/O720)*('16. câmbio USD-BRL'!O535/'16. câmbio USD-BRL'!O534)^-1-1</f>
        <v>-4.1305596322048999E-2</v>
      </c>
    </row>
    <row r="722" spans="10:18" x14ac:dyDescent="0.2">
      <c r="J722" s="354">
        <v>41687</v>
      </c>
      <c r="K722">
        <v>16.280000999999999</v>
      </c>
      <c r="L722">
        <v>16.469999000000001</v>
      </c>
      <c r="M722">
        <v>14.81</v>
      </c>
      <c r="N722">
        <v>14.86</v>
      </c>
      <c r="O722">
        <v>10.332007000000001</v>
      </c>
      <c r="P722">
        <v>43895200</v>
      </c>
      <c r="R722" s="273">
        <f>(O722/O721)*('16. câmbio USD-BRL'!O536/'16. câmbio USD-BRL'!O535)^-1-1</f>
        <v>-7.3106622147484202E-2</v>
      </c>
    </row>
    <row r="723" spans="10:18" x14ac:dyDescent="0.2">
      <c r="J723" s="354">
        <v>41694</v>
      </c>
      <c r="K723">
        <v>14.91</v>
      </c>
      <c r="L723">
        <v>15.47</v>
      </c>
      <c r="M723">
        <v>14.44</v>
      </c>
      <c r="N723">
        <v>14.44</v>
      </c>
      <c r="O723">
        <v>10.039985</v>
      </c>
      <c r="P723">
        <v>36755000</v>
      </c>
      <c r="R723" s="273">
        <f>(O723/O722)*('16. câmbio USD-BRL'!O537/'16. câmbio USD-BRL'!O536)^-1-1</f>
        <v>-2.5265406807188362E-2</v>
      </c>
    </row>
    <row r="724" spans="10:18" x14ac:dyDescent="0.2">
      <c r="J724" s="354">
        <v>41701</v>
      </c>
      <c r="K724">
        <v>14.44</v>
      </c>
      <c r="L724">
        <v>14.74</v>
      </c>
      <c r="M724">
        <v>13.91</v>
      </c>
      <c r="N724">
        <v>13.94</v>
      </c>
      <c r="O724">
        <v>9.6923390000000005</v>
      </c>
      <c r="P724">
        <v>20918200</v>
      </c>
      <c r="R724" s="273">
        <f>(O724/O723)*('16. câmbio USD-BRL'!O538/'16. câmbio USD-BRL'!O537)^-1-1</f>
        <v>-3.5535473636784221E-2</v>
      </c>
    </row>
    <row r="725" spans="10:18" x14ac:dyDescent="0.2">
      <c r="J725" s="354">
        <v>41708</v>
      </c>
      <c r="K725">
        <v>13.88</v>
      </c>
      <c r="L725">
        <v>14.55</v>
      </c>
      <c r="M725">
        <v>13.32</v>
      </c>
      <c r="N725">
        <v>14.14</v>
      </c>
      <c r="O725">
        <v>9.8795929999999998</v>
      </c>
      <c r="P725">
        <v>33356200</v>
      </c>
      <c r="R725" s="273">
        <f>(O725/O724)*('16. câmbio USD-BRL'!O539/'16. câmbio USD-BRL'!O538)^-1-1</f>
        <v>1.7185777648961675E-2</v>
      </c>
    </row>
    <row r="726" spans="10:18" x14ac:dyDescent="0.2">
      <c r="J726" s="354">
        <v>41715</v>
      </c>
      <c r="K726">
        <v>14.1</v>
      </c>
      <c r="L726">
        <v>14.7</v>
      </c>
      <c r="M726">
        <v>13.83</v>
      </c>
      <c r="N726">
        <v>14.5</v>
      </c>
      <c r="O726">
        <v>10.131124</v>
      </c>
      <c r="P726">
        <v>33895700</v>
      </c>
      <c r="R726" s="273">
        <f>(O726/O725)*('16. câmbio USD-BRL'!O540/'16. câmbio USD-BRL'!O539)^-1-1</f>
        <v>3.4610016200284921E-2</v>
      </c>
    </row>
    <row r="727" spans="10:18" x14ac:dyDescent="0.2">
      <c r="J727" s="354">
        <v>41722</v>
      </c>
      <c r="K727">
        <v>14.79</v>
      </c>
      <c r="L727">
        <v>14.79</v>
      </c>
      <c r="M727">
        <v>14.13</v>
      </c>
      <c r="N727">
        <v>14.46</v>
      </c>
      <c r="O727">
        <v>10.103175999999999</v>
      </c>
      <c r="P727">
        <v>32548400</v>
      </c>
      <c r="R727" s="273">
        <f>(O727/O726)*('16. câmbio USD-BRL'!O541/'16. câmbio USD-BRL'!O540)^-1-1</f>
        <v>2.5398047649004996E-2</v>
      </c>
    </row>
    <row r="728" spans="10:18" x14ac:dyDescent="0.2">
      <c r="J728" s="354">
        <v>41729</v>
      </c>
      <c r="K728">
        <v>14.58</v>
      </c>
      <c r="L728">
        <v>14.69</v>
      </c>
      <c r="M728">
        <v>13.88</v>
      </c>
      <c r="N728">
        <v>13.95</v>
      </c>
      <c r="O728">
        <v>9.7468389999999996</v>
      </c>
      <c r="P728">
        <v>33957300</v>
      </c>
      <c r="R728" s="273">
        <f>(O728/O727)*('16. câmbio USD-BRL'!O542/'16. câmbio USD-BRL'!O541)^-1-1</f>
        <v>-3.7232802439794321E-2</v>
      </c>
    </row>
    <row r="729" spans="10:18" x14ac:dyDescent="0.2">
      <c r="J729" s="354">
        <v>41736</v>
      </c>
      <c r="K729">
        <v>14.08</v>
      </c>
      <c r="L729">
        <v>14.17</v>
      </c>
      <c r="M729">
        <v>13.33</v>
      </c>
      <c r="N729">
        <v>13.48</v>
      </c>
      <c r="O729">
        <v>9.4184520000000003</v>
      </c>
      <c r="P729">
        <v>39061500</v>
      </c>
      <c r="R729" s="273">
        <f>(O729/O728)*('16. câmbio USD-BRL'!O543/'16. câmbio USD-BRL'!O542)^-1-1</f>
        <v>-1.4199771073573286E-2</v>
      </c>
    </row>
    <row r="730" spans="10:18" x14ac:dyDescent="0.2">
      <c r="J730" s="354">
        <v>41743</v>
      </c>
      <c r="K730">
        <v>13.61</v>
      </c>
      <c r="L730">
        <v>14.09</v>
      </c>
      <c r="M730">
        <v>12.92</v>
      </c>
      <c r="N730">
        <v>13.83</v>
      </c>
      <c r="O730">
        <v>9.6629959999999997</v>
      </c>
      <c r="P730">
        <v>24140700</v>
      </c>
      <c r="R730" s="273">
        <f>(O730/O729)*('16. câmbio USD-BRL'!O544/'16. câmbio USD-BRL'!O543)^-1-1</f>
        <v>2.0346918284137372E-2</v>
      </c>
    </row>
    <row r="731" spans="10:18" x14ac:dyDescent="0.2">
      <c r="J731" s="354">
        <v>41750</v>
      </c>
      <c r="K731">
        <v>13.83</v>
      </c>
      <c r="L731">
        <v>13.92</v>
      </c>
      <c r="M731">
        <v>13.31</v>
      </c>
      <c r="N731">
        <v>13.53</v>
      </c>
      <c r="O731">
        <v>9.4533869999999993</v>
      </c>
      <c r="P731">
        <v>17720700</v>
      </c>
      <c r="R731" s="273">
        <f>(O731/O730)*('16. câmbio USD-BRL'!O545/'16. câmbio USD-BRL'!O544)^-1-1</f>
        <v>-2.6323901580077358E-2</v>
      </c>
    </row>
    <row r="732" spans="10:18" x14ac:dyDescent="0.2">
      <c r="J732" s="354">
        <v>41757</v>
      </c>
      <c r="K732">
        <v>13.5</v>
      </c>
      <c r="L732">
        <v>14.05</v>
      </c>
      <c r="M732">
        <v>13.23</v>
      </c>
      <c r="N732">
        <v>14.05</v>
      </c>
      <c r="O732">
        <v>9.8167089999999995</v>
      </c>
      <c r="P732">
        <v>21160700</v>
      </c>
      <c r="R732" s="273">
        <f>(O732/O731)*('16. câmbio USD-BRL'!O546/'16. câmbio USD-BRL'!O545)^-1-1</f>
        <v>4.2203700656573639E-2</v>
      </c>
    </row>
    <row r="733" spans="10:18" x14ac:dyDescent="0.2">
      <c r="J733" s="354">
        <v>41764</v>
      </c>
      <c r="K733">
        <v>14</v>
      </c>
      <c r="L733">
        <v>14.67</v>
      </c>
      <c r="M733">
        <v>13.84</v>
      </c>
      <c r="N733">
        <v>14.32</v>
      </c>
      <c r="O733">
        <v>10.005354000000001</v>
      </c>
      <c r="P733">
        <v>29644900</v>
      </c>
      <c r="R733" s="273">
        <f>(O733/O732)*('16. câmbio USD-BRL'!O547/'16. câmbio USD-BRL'!O546)^-1-1</f>
        <v>2.9928312154279935E-2</v>
      </c>
    </row>
    <row r="734" spans="10:18" x14ac:dyDescent="0.2">
      <c r="J734" s="354">
        <v>41771</v>
      </c>
      <c r="K734">
        <v>14.56</v>
      </c>
      <c r="L734">
        <v>14.7</v>
      </c>
      <c r="M734">
        <v>14.01</v>
      </c>
      <c r="N734">
        <v>14.3</v>
      </c>
      <c r="O734">
        <v>9.991384</v>
      </c>
      <c r="P734">
        <v>23201400</v>
      </c>
      <c r="R734" s="273">
        <f>(O734/O733)*('16. câmbio USD-BRL'!O548/'16. câmbio USD-BRL'!O547)^-1-1</f>
        <v>2.0080785111287192E-3</v>
      </c>
    </row>
    <row r="735" spans="10:18" x14ac:dyDescent="0.2">
      <c r="J735" s="354">
        <v>41778</v>
      </c>
      <c r="K735">
        <v>14.29</v>
      </c>
      <c r="L735">
        <v>14.29</v>
      </c>
      <c r="M735">
        <v>13.4</v>
      </c>
      <c r="N735">
        <v>13.5</v>
      </c>
      <c r="O735">
        <v>9.4324259999999995</v>
      </c>
      <c r="P735">
        <v>30142000</v>
      </c>
      <c r="R735" s="273">
        <f>(O735/O734)*('16. câmbio USD-BRL'!O549/'16. câmbio USD-BRL'!O548)^-1-1</f>
        <v>-6.4027401069599699E-2</v>
      </c>
    </row>
    <row r="736" spans="10:18" x14ac:dyDescent="0.2">
      <c r="J736" s="354">
        <v>41785</v>
      </c>
      <c r="K736">
        <v>13.6</v>
      </c>
      <c r="L736">
        <v>14</v>
      </c>
      <c r="M736">
        <v>13.28</v>
      </c>
      <c r="N736">
        <v>13.33</v>
      </c>
      <c r="O736">
        <v>9.3618699999999997</v>
      </c>
      <c r="P736">
        <v>28223200</v>
      </c>
      <c r="R736" s="273">
        <f>(O736/O735)*('16. câmbio USD-BRL'!O550/'16. câmbio USD-BRL'!O549)^-1-1</f>
        <v>-9.5333971685269692E-3</v>
      </c>
    </row>
    <row r="737" spans="10:18" x14ac:dyDescent="0.2">
      <c r="J737" s="354">
        <v>41792</v>
      </c>
      <c r="K737">
        <v>13.41</v>
      </c>
      <c r="L737">
        <v>13.9</v>
      </c>
      <c r="M737">
        <v>13.25</v>
      </c>
      <c r="N737">
        <v>13.71</v>
      </c>
      <c r="O737">
        <v>9.6287509999999994</v>
      </c>
      <c r="P737">
        <v>25157700</v>
      </c>
      <c r="R737" s="273">
        <f>(O737/O736)*('16. câmbio USD-BRL'!O551/'16. câmbio USD-BRL'!O550)^-1-1</f>
        <v>1.9702461683960726E-2</v>
      </c>
    </row>
    <row r="738" spans="10:18" x14ac:dyDescent="0.2">
      <c r="J738" s="354">
        <v>41799</v>
      </c>
      <c r="K738">
        <v>13.71</v>
      </c>
      <c r="L738">
        <v>13.99</v>
      </c>
      <c r="M738">
        <v>13.5</v>
      </c>
      <c r="N738">
        <v>13.56</v>
      </c>
      <c r="O738">
        <v>9.5233989999999995</v>
      </c>
      <c r="P738">
        <v>14679600</v>
      </c>
      <c r="R738" s="273">
        <f>(O738/O737)*('16. câmbio USD-BRL'!O552/'16. câmbio USD-BRL'!O551)^-1-1</f>
        <v>-6.0342771156030039E-4</v>
      </c>
    </row>
    <row r="739" spans="10:18" x14ac:dyDescent="0.2">
      <c r="J739" s="354">
        <v>41806</v>
      </c>
      <c r="K739">
        <v>13.58</v>
      </c>
      <c r="L739">
        <v>13.95</v>
      </c>
      <c r="M739">
        <v>13.42</v>
      </c>
      <c r="N739">
        <v>13.76</v>
      </c>
      <c r="O739">
        <v>9.6638629999999992</v>
      </c>
      <c r="P739">
        <v>17017500</v>
      </c>
      <c r="R739" s="273">
        <f>(O739/O738)*('16. câmbio USD-BRL'!O553/'16. câmbio USD-BRL'!O552)^-1-1</f>
        <v>1.2150123609971031E-2</v>
      </c>
    </row>
    <row r="740" spans="10:18" x14ac:dyDescent="0.2">
      <c r="J740" s="354">
        <v>41813</v>
      </c>
      <c r="K740">
        <v>13.76</v>
      </c>
      <c r="L740">
        <v>14.15</v>
      </c>
      <c r="M740">
        <v>12.99</v>
      </c>
      <c r="N740">
        <v>13.01</v>
      </c>
      <c r="O740">
        <v>9.1371280000000006</v>
      </c>
      <c r="P740">
        <v>25388600</v>
      </c>
      <c r="R740" s="273">
        <f>(O740/O739)*('16. câmbio USD-BRL'!O554/'16. câmbio USD-BRL'!O553)^-1-1</f>
        <v>-4.0973331516355405E-2</v>
      </c>
    </row>
    <row r="741" spans="10:18" x14ac:dyDescent="0.2">
      <c r="J741" s="354">
        <v>41820</v>
      </c>
      <c r="K741">
        <v>13.06</v>
      </c>
      <c r="L741">
        <v>13.79</v>
      </c>
      <c r="M741">
        <v>12.8</v>
      </c>
      <c r="N741">
        <v>13.75</v>
      </c>
      <c r="O741">
        <v>9.656841</v>
      </c>
      <c r="P741">
        <v>31372400</v>
      </c>
      <c r="R741" s="273">
        <f>(O741/O740)*('16. câmbio USD-BRL'!O555/'16. câmbio USD-BRL'!O554)^-1-1</f>
        <v>4.9274771248873916E-2</v>
      </c>
    </row>
    <row r="742" spans="10:18" x14ac:dyDescent="0.2">
      <c r="J742" s="354">
        <v>41827</v>
      </c>
      <c r="K742">
        <v>13.65</v>
      </c>
      <c r="L742">
        <v>14.05</v>
      </c>
      <c r="M742">
        <v>13.54</v>
      </c>
      <c r="N742">
        <v>13.75</v>
      </c>
      <c r="O742">
        <v>9.656841</v>
      </c>
      <c r="P742">
        <v>19729700</v>
      </c>
      <c r="R742" s="273">
        <f>(O742/O741)*('16. câmbio USD-BRL'!O556/'16. câmbio USD-BRL'!O555)^-1-1</f>
        <v>-3.4723788049603188E-3</v>
      </c>
    </row>
    <row r="743" spans="10:18" x14ac:dyDescent="0.2">
      <c r="J743" s="354">
        <v>41834</v>
      </c>
      <c r="K743">
        <v>13.91</v>
      </c>
      <c r="L743">
        <v>14.4</v>
      </c>
      <c r="M743">
        <v>13.37</v>
      </c>
      <c r="N743">
        <v>13.37</v>
      </c>
      <c r="O743">
        <v>9.3899600000000003</v>
      </c>
      <c r="P743">
        <v>42472800</v>
      </c>
      <c r="R743" s="273">
        <f>(O743/O742)*('16. câmbio USD-BRL'!O557/'16. câmbio USD-BRL'!O556)^-1-1</f>
        <v>-2.9736702068913545E-2</v>
      </c>
    </row>
    <row r="744" spans="10:18" x14ac:dyDescent="0.2">
      <c r="J744" s="354">
        <v>41841</v>
      </c>
      <c r="K744">
        <v>13.42</v>
      </c>
      <c r="L744">
        <v>13.87</v>
      </c>
      <c r="M744">
        <v>13.11</v>
      </c>
      <c r="N744">
        <v>13.69</v>
      </c>
      <c r="O744">
        <v>9.6147019999999994</v>
      </c>
      <c r="P744">
        <v>27500900</v>
      </c>
      <c r="R744" s="273">
        <f>(O744/O743)*('16. câmbio USD-BRL'!O558/'16. câmbio USD-BRL'!O557)^-1-1</f>
        <v>2.4026446414616487E-2</v>
      </c>
    </row>
    <row r="745" spans="10:18" x14ac:dyDescent="0.2">
      <c r="J745" s="354">
        <v>41848</v>
      </c>
      <c r="K745">
        <v>13.75</v>
      </c>
      <c r="L745">
        <v>13.94</v>
      </c>
      <c r="M745">
        <v>13.1</v>
      </c>
      <c r="N745">
        <v>13.13</v>
      </c>
      <c r="O745">
        <v>9.221406</v>
      </c>
      <c r="P745">
        <v>26596700</v>
      </c>
      <c r="R745" s="273">
        <f>(O745/O744)*('16. câmbio USD-BRL'!O559/'16. câmbio USD-BRL'!O558)^-1-1</f>
        <v>-5.3765719154999059E-2</v>
      </c>
    </row>
    <row r="746" spans="10:18" x14ac:dyDescent="0.2">
      <c r="J746" s="354">
        <v>41855</v>
      </c>
      <c r="K746">
        <v>13.19</v>
      </c>
      <c r="L746">
        <v>13.43</v>
      </c>
      <c r="M746">
        <v>13.1</v>
      </c>
      <c r="N746">
        <v>13.35</v>
      </c>
      <c r="O746">
        <v>9.3759150000000009</v>
      </c>
      <c r="P746">
        <v>19953600</v>
      </c>
      <c r="R746" s="273">
        <f>(O746/O745)*('16. câmbio USD-BRL'!O560/'16. câmbio USD-BRL'!O559)^-1-1</f>
        <v>4.8435046664836445E-3</v>
      </c>
    </row>
    <row r="747" spans="10:18" x14ac:dyDescent="0.2">
      <c r="J747" s="354">
        <v>41862</v>
      </c>
      <c r="K747">
        <v>13.45</v>
      </c>
      <c r="L747">
        <v>13.5</v>
      </c>
      <c r="M747">
        <v>12.42</v>
      </c>
      <c r="N747">
        <v>12.5</v>
      </c>
      <c r="O747">
        <v>8.7789459999999995</v>
      </c>
      <c r="P747">
        <v>37319000</v>
      </c>
      <c r="R747" s="273">
        <f>(O747/O746)*('16. câmbio USD-BRL'!O561/'16. câmbio USD-BRL'!O560)^-1-1</f>
        <v>-5.4292245105714398E-2</v>
      </c>
    </row>
    <row r="748" spans="10:18" x14ac:dyDescent="0.2">
      <c r="J748" s="354">
        <v>41869</v>
      </c>
      <c r="K748">
        <v>12.58</v>
      </c>
      <c r="L748">
        <v>12.97</v>
      </c>
      <c r="M748">
        <v>12.42</v>
      </c>
      <c r="N748">
        <v>12.95</v>
      </c>
      <c r="O748">
        <v>9.1366449999999997</v>
      </c>
      <c r="P748">
        <v>22501900</v>
      </c>
      <c r="R748" s="273">
        <f>(O748/O747)*('16. câmbio USD-BRL'!O562/'16. câmbio USD-BRL'!O561)^-1-1</f>
        <v>3.3189861078100069E-2</v>
      </c>
    </row>
    <row r="749" spans="10:18" x14ac:dyDescent="0.2">
      <c r="J749" s="354">
        <v>41876</v>
      </c>
      <c r="K749">
        <v>13</v>
      </c>
      <c r="L749">
        <v>13.6</v>
      </c>
      <c r="M749">
        <v>12.63</v>
      </c>
      <c r="N749">
        <v>12.99</v>
      </c>
      <c r="O749">
        <v>9.1648650000000007</v>
      </c>
      <c r="P749">
        <v>31542500</v>
      </c>
      <c r="R749" s="273">
        <f>(O749/O748)*('16. câmbio USD-BRL'!O563/'16. câmbio USD-BRL'!O562)^-1-1</f>
        <v>2.1652723523562845E-2</v>
      </c>
    </row>
    <row r="750" spans="10:18" x14ac:dyDescent="0.2">
      <c r="J750" s="354">
        <v>41883</v>
      </c>
      <c r="K750">
        <v>13.05</v>
      </c>
      <c r="L750">
        <v>13.73</v>
      </c>
      <c r="M750">
        <v>12.68</v>
      </c>
      <c r="N750">
        <v>13.4</v>
      </c>
      <c r="O750">
        <v>9.4541350000000008</v>
      </c>
      <c r="P750">
        <v>27040700</v>
      </c>
      <c r="R750" s="273">
        <f>(O750/O749)*('16. câmbio USD-BRL'!O564/'16. câmbio USD-BRL'!O563)^-1-1</f>
        <v>2.8015824777968268E-2</v>
      </c>
    </row>
    <row r="751" spans="10:18" x14ac:dyDescent="0.2">
      <c r="J751" s="354">
        <v>41890</v>
      </c>
      <c r="K751">
        <v>13.53</v>
      </c>
      <c r="L751">
        <v>13.53</v>
      </c>
      <c r="M751">
        <v>12.15</v>
      </c>
      <c r="N751">
        <v>12.36</v>
      </c>
      <c r="O751">
        <v>8.7203800000000005</v>
      </c>
      <c r="P751">
        <v>33452900</v>
      </c>
      <c r="R751" s="273">
        <f>(O751/O750)*('16. câmbio USD-BRL'!O565/'16. câmbio USD-BRL'!O564)^-1-1</f>
        <v>-9.0847621520836808E-2</v>
      </c>
    </row>
    <row r="752" spans="10:18" x14ac:dyDescent="0.2">
      <c r="J752" s="354">
        <v>41897</v>
      </c>
      <c r="K752">
        <v>12.4</v>
      </c>
      <c r="L752">
        <v>12.8</v>
      </c>
      <c r="M752">
        <v>12.3</v>
      </c>
      <c r="N752">
        <v>12.67</v>
      </c>
      <c r="O752">
        <v>8.9390929999999997</v>
      </c>
      <c r="P752">
        <v>27825700</v>
      </c>
      <c r="R752" s="273">
        <f>(O752/O751)*('16. câmbio USD-BRL'!O566/'16. câmbio USD-BRL'!O565)^-1-1</f>
        <v>-1.5272396958553425E-2</v>
      </c>
    </row>
    <row r="753" spans="10:18" x14ac:dyDescent="0.2">
      <c r="J753" s="354">
        <v>41904</v>
      </c>
      <c r="K753">
        <v>12.59</v>
      </c>
      <c r="L753">
        <v>12.59</v>
      </c>
      <c r="M753">
        <v>12.06</v>
      </c>
      <c r="N753">
        <v>12.15</v>
      </c>
      <c r="O753">
        <v>8.5722170000000002</v>
      </c>
      <c r="P753">
        <v>19738500</v>
      </c>
      <c r="R753" s="273">
        <f>(O753/O752)*('16. câmbio USD-BRL'!O567/'16. câmbio USD-BRL'!O566)^-1-1</f>
        <v>-6.2758795530008182E-2</v>
      </c>
    </row>
    <row r="754" spans="10:18" x14ac:dyDescent="0.2">
      <c r="J754" s="354">
        <v>41911</v>
      </c>
      <c r="K754">
        <v>11.91</v>
      </c>
      <c r="L754">
        <v>12.19</v>
      </c>
      <c r="M754">
        <v>11.52</v>
      </c>
      <c r="N754">
        <v>11.97</v>
      </c>
      <c r="O754">
        <v>8.4452250000000006</v>
      </c>
      <c r="P754">
        <v>24610600</v>
      </c>
      <c r="R754" s="273">
        <f>(O754/O753)*('16. câmbio USD-BRL'!O568/'16. câmbio USD-BRL'!O567)^-1-1</f>
        <v>-2.8900490495972986E-2</v>
      </c>
    </row>
    <row r="755" spans="10:18" x14ac:dyDescent="0.2">
      <c r="J755" s="354">
        <v>41918</v>
      </c>
      <c r="K755">
        <v>12.21</v>
      </c>
      <c r="L755">
        <v>12.57</v>
      </c>
      <c r="M755">
        <v>10.92</v>
      </c>
      <c r="N755">
        <v>10.92</v>
      </c>
      <c r="O755">
        <v>7.704415</v>
      </c>
      <c r="P755">
        <v>42742300</v>
      </c>
      <c r="R755" s="273">
        <f>(O755/O754)*('16. câmbio USD-BRL'!O569/'16. câmbio USD-BRL'!O568)^-1-1</f>
        <v>-6.1375664187466539E-2</v>
      </c>
    </row>
    <row r="756" spans="10:18" x14ac:dyDescent="0.2">
      <c r="J756" s="354">
        <v>41925</v>
      </c>
      <c r="K756">
        <v>11.21</v>
      </c>
      <c r="L756">
        <v>11.62</v>
      </c>
      <c r="M756">
        <v>10.9</v>
      </c>
      <c r="N756">
        <v>11.13</v>
      </c>
      <c r="O756">
        <v>7.852576</v>
      </c>
      <c r="P756">
        <v>27008200</v>
      </c>
      <c r="R756" s="273">
        <f>(O756/O755)*('16. câmbio USD-BRL'!O570/'16. câmbio USD-BRL'!O569)^-1-1</f>
        <v>4.8725029526108798E-4</v>
      </c>
    </row>
    <row r="757" spans="10:18" x14ac:dyDescent="0.2">
      <c r="J757" s="354">
        <v>41932</v>
      </c>
      <c r="K757">
        <v>11.23</v>
      </c>
      <c r="L757">
        <v>11.81</v>
      </c>
      <c r="M757">
        <v>10.75</v>
      </c>
      <c r="N757">
        <v>11.63</v>
      </c>
      <c r="O757">
        <v>8.2053410000000007</v>
      </c>
      <c r="P757">
        <v>32563000</v>
      </c>
      <c r="R757" s="273">
        <f>(O757/O756)*('16. câmbio USD-BRL'!O571/'16. câmbio USD-BRL'!O570)^-1-1</f>
        <v>2.875591971345437E-2</v>
      </c>
    </row>
    <row r="758" spans="10:18" x14ac:dyDescent="0.2">
      <c r="J758" s="354">
        <v>41939</v>
      </c>
      <c r="K758">
        <v>11.5</v>
      </c>
      <c r="L758">
        <v>11.6</v>
      </c>
      <c r="M758">
        <v>10.6</v>
      </c>
      <c r="N758">
        <v>11.09</v>
      </c>
      <c r="O758">
        <v>7.8243539999999996</v>
      </c>
      <c r="P758">
        <v>49005900</v>
      </c>
      <c r="R758" s="273">
        <f>(O758/O757)*('16. câmbio USD-BRL'!O572/'16. câmbio USD-BRL'!O571)^-1-1</f>
        <v>-2.454317124029104E-2</v>
      </c>
    </row>
    <row r="759" spans="10:18" x14ac:dyDescent="0.2">
      <c r="J759" s="354">
        <v>41946</v>
      </c>
      <c r="K759">
        <v>11.08</v>
      </c>
      <c r="L759">
        <v>11.7</v>
      </c>
      <c r="M759">
        <v>10.89</v>
      </c>
      <c r="N759">
        <v>11.59</v>
      </c>
      <c r="O759">
        <v>8.1771209999999996</v>
      </c>
      <c r="P759">
        <v>26453600</v>
      </c>
      <c r="R759" s="273">
        <f>(O759/O758)*('16. câmbio USD-BRL'!O573/'16. câmbio USD-BRL'!O572)^-1-1</f>
        <v>-1.7254539767763366E-2</v>
      </c>
    </row>
    <row r="760" spans="10:18" x14ac:dyDescent="0.2">
      <c r="J760" s="354">
        <v>41953</v>
      </c>
      <c r="K760">
        <v>11.59</v>
      </c>
      <c r="L760">
        <v>11.74</v>
      </c>
      <c r="M760">
        <v>10.64</v>
      </c>
      <c r="N760">
        <v>10.99</v>
      </c>
      <c r="O760">
        <v>7.7538</v>
      </c>
      <c r="P760">
        <v>22381300</v>
      </c>
      <c r="R760" s="273">
        <f>(O760/O759)*('16. câmbio USD-BRL'!O574/'16. câmbio USD-BRL'!O573)^-1-1</f>
        <v>-6.2796594675547324E-2</v>
      </c>
    </row>
    <row r="761" spans="10:18" x14ac:dyDescent="0.2">
      <c r="J761" s="354">
        <v>41960</v>
      </c>
      <c r="K761">
        <v>11.04</v>
      </c>
      <c r="L761">
        <v>11.05</v>
      </c>
      <c r="M761">
        <v>10.33</v>
      </c>
      <c r="N761">
        <v>10.82</v>
      </c>
      <c r="O761">
        <v>7.6338590000000002</v>
      </c>
      <c r="P761">
        <v>27826300</v>
      </c>
      <c r="R761" s="273">
        <f>(O761/O760)*('16. câmbio USD-BRL'!O575/'16. câmbio USD-BRL'!O574)^-1-1</f>
        <v>1.7767097472486615E-2</v>
      </c>
    </row>
    <row r="762" spans="10:18" x14ac:dyDescent="0.2">
      <c r="J762" s="354">
        <v>41967</v>
      </c>
      <c r="K762">
        <v>10.98</v>
      </c>
      <c r="L762">
        <v>11.2</v>
      </c>
      <c r="M762">
        <v>10.41</v>
      </c>
      <c r="N762">
        <v>10.9</v>
      </c>
      <c r="O762">
        <v>7.7267840000000003</v>
      </c>
      <c r="P762">
        <v>24153000</v>
      </c>
      <c r="R762" s="273">
        <f>(O762/O761)*('16. câmbio USD-BRL'!O576/'16. câmbio USD-BRL'!O575)^-1-1</f>
        <v>6.0849672351828143E-3</v>
      </c>
    </row>
    <row r="763" spans="10:18" x14ac:dyDescent="0.2">
      <c r="J763" s="354">
        <v>41974</v>
      </c>
      <c r="K763">
        <v>10.57</v>
      </c>
      <c r="L763">
        <v>10.58</v>
      </c>
      <c r="M763">
        <v>9.9700000000000006</v>
      </c>
      <c r="N763">
        <v>10.19</v>
      </c>
      <c r="O763">
        <v>7.2234809999999996</v>
      </c>
      <c r="P763">
        <v>150049644</v>
      </c>
      <c r="R763" s="273">
        <f>(O763/O762)*('16. câmbio USD-BRL'!O577/'16. câmbio USD-BRL'!O576)^-1-1</f>
        <v>-8.6429512210225989E-2</v>
      </c>
    </row>
    <row r="764" spans="10:18" x14ac:dyDescent="0.2">
      <c r="J764" s="354">
        <v>41981</v>
      </c>
      <c r="K764">
        <v>10.19</v>
      </c>
      <c r="L764">
        <v>10.34</v>
      </c>
      <c r="M764">
        <v>8.2899999999999991</v>
      </c>
      <c r="N764">
        <v>8.31</v>
      </c>
      <c r="O764">
        <v>5.8907879999999997</v>
      </c>
      <c r="P764">
        <v>37089500</v>
      </c>
      <c r="R764" s="273">
        <f>(O764/O763)*('16. câmbio USD-BRL'!O578/'16. câmbio USD-BRL'!O577)^-1-1</f>
        <v>-0.20403887377694085</v>
      </c>
    </row>
    <row r="765" spans="10:18" x14ac:dyDescent="0.2">
      <c r="J765" s="354">
        <v>41988</v>
      </c>
      <c r="K765">
        <v>8.35</v>
      </c>
      <c r="L765">
        <v>9.6999999999999993</v>
      </c>
      <c r="M765">
        <v>7.86</v>
      </c>
      <c r="N765">
        <v>9.6999999999999993</v>
      </c>
      <c r="O765">
        <v>6.8761299999999999</v>
      </c>
      <c r="P765">
        <v>51476800</v>
      </c>
      <c r="R765" s="273">
        <f>(O765/O764)*('16. câmbio USD-BRL'!O579/'16. câmbio USD-BRL'!O578)^-1-1</f>
        <v>0.16301058369154653</v>
      </c>
    </row>
    <row r="766" spans="10:18" x14ac:dyDescent="0.2">
      <c r="J766" s="354">
        <v>41995</v>
      </c>
      <c r="K766">
        <v>9.68</v>
      </c>
      <c r="L766">
        <v>9.8000000000000007</v>
      </c>
      <c r="M766">
        <v>9.2799999999999994</v>
      </c>
      <c r="N766">
        <v>9.36</v>
      </c>
      <c r="O766">
        <v>6.6351100000000001</v>
      </c>
      <c r="P766">
        <v>12432100</v>
      </c>
      <c r="R766" s="273">
        <f>(O766/O765)*('16. câmbio USD-BRL'!O580/'16. câmbio USD-BRL'!O579)^-1-1</f>
        <v>-4.7904781853050693E-2</v>
      </c>
    </row>
    <row r="767" spans="10:18" x14ac:dyDescent="0.2">
      <c r="J767" s="354">
        <v>42002</v>
      </c>
      <c r="K767">
        <v>9.3699999999999992</v>
      </c>
      <c r="L767">
        <v>9.77</v>
      </c>
      <c r="M767">
        <v>9.01</v>
      </c>
      <c r="N767">
        <v>9.17</v>
      </c>
      <c r="O767">
        <v>6.5004239999999998</v>
      </c>
      <c r="P767">
        <v>13484800</v>
      </c>
      <c r="R767" s="273">
        <f>(O767/O766)*('16. câmbio USD-BRL'!O581/'16. câmbio USD-BRL'!O580)^-1-1</f>
        <v>-4.790375786526635E-3</v>
      </c>
    </row>
    <row r="768" spans="10:18" x14ac:dyDescent="0.2">
      <c r="J768" s="354">
        <v>42009</v>
      </c>
      <c r="K768">
        <v>9.0399999999999991</v>
      </c>
      <c r="L768">
        <v>10.66</v>
      </c>
      <c r="M768">
        <v>8.6</v>
      </c>
      <c r="N768">
        <v>9.68</v>
      </c>
      <c r="O768">
        <v>6.8619519999999996</v>
      </c>
      <c r="P768">
        <v>51343800</v>
      </c>
      <c r="R768" s="273">
        <f>(O768/O767)*('16. câmbio USD-BRL'!O582/'16. câmbio USD-BRL'!O581)^-1-1</f>
        <v>5.3036260534307322E-2</v>
      </c>
    </row>
    <row r="769" spans="10:18" x14ac:dyDescent="0.2">
      <c r="J769" s="354">
        <v>42016</v>
      </c>
      <c r="K769">
        <v>9.6999999999999993</v>
      </c>
      <c r="L769">
        <v>9.77</v>
      </c>
      <c r="M769">
        <v>8.61</v>
      </c>
      <c r="N769">
        <v>9.42</v>
      </c>
      <c r="O769">
        <v>6.6776429999999998</v>
      </c>
      <c r="P769">
        <v>40207700</v>
      </c>
      <c r="R769" s="273">
        <f>(O769/O768)*('16. câmbio USD-BRL'!O583/'16. câmbio USD-BRL'!O582)^-1-1</f>
        <v>-1.911485477305408E-2</v>
      </c>
    </row>
    <row r="770" spans="10:18" x14ac:dyDescent="0.2">
      <c r="J770" s="354">
        <v>42023</v>
      </c>
      <c r="K770">
        <v>9.39</v>
      </c>
      <c r="L770">
        <v>9.58</v>
      </c>
      <c r="M770">
        <v>8.7799999999999994</v>
      </c>
      <c r="N770">
        <v>8.93</v>
      </c>
      <c r="O770">
        <v>6.3302930000000002</v>
      </c>
      <c r="P770">
        <v>48292400</v>
      </c>
      <c r="R770" s="273">
        <f>(O770/O769)*('16. câmbio USD-BRL'!O584/'16. câmbio USD-BRL'!O583)^-1-1</f>
        <v>-2.6940864418119825E-2</v>
      </c>
    </row>
    <row r="771" spans="10:18" x14ac:dyDescent="0.2">
      <c r="J771" s="354">
        <v>42030</v>
      </c>
      <c r="K771">
        <v>8.8000000000000007</v>
      </c>
      <c r="L771">
        <v>9.2899999999999991</v>
      </c>
      <c r="M771">
        <v>8.51</v>
      </c>
      <c r="N771">
        <v>9.27</v>
      </c>
      <c r="O771">
        <v>6.5713109999999997</v>
      </c>
      <c r="P771">
        <v>34056900</v>
      </c>
      <c r="R771" s="273">
        <f>(O771/O770)*('16. câmbio USD-BRL'!O585/'16. câmbio USD-BRL'!O584)^-1-1</f>
        <v>-3.8165626685449094E-3</v>
      </c>
    </row>
    <row r="772" spans="10:18" x14ac:dyDescent="0.2">
      <c r="J772" s="354">
        <v>42037</v>
      </c>
      <c r="K772">
        <v>9.1999999999999993</v>
      </c>
      <c r="L772">
        <v>9.93</v>
      </c>
      <c r="M772">
        <v>9.14</v>
      </c>
      <c r="N772">
        <v>9.77</v>
      </c>
      <c r="O772">
        <v>6.9257530000000003</v>
      </c>
      <c r="P772">
        <v>31325500</v>
      </c>
      <c r="R772" s="273">
        <f>(O772/O771)*('16. câmbio USD-BRL'!O586/'16. câmbio USD-BRL'!O585)^-1-1</f>
        <v>2.9795942081429772E-2</v>
      </c>
    </row>
    <row r="773" spans="10:18" x14ac:dyDescent="0.2">
      <c r="J773" s="354">
        <v>42044</v>
      </c>
      <c r="K773">
        <v>9.6999999999999993</v>
      </c>
      <c r="L773">
        <v>10.53</v>
      </c>
      <c r="M773">
        <v>9.6999999999999993</v>
      </c>
      <c r="N773">
        <v>10.14</v>
      </c>
      <c r="O773">
        <v>7.1880379999999997</v>
      </c>
      <c r="P773">
        <v>40844700</v>
      </c>
      <c r="R773" s="273">
        <f>(O773/O772)*('16. câmbio USD-BRL'!O587/'16. câmbio USD-BRL'!O586)^-1-1</f>
        <v>5.1316039598374719E-3</v>
      </c>
    </row>
    <row r="774" spans="10:18" x14ac:dyDescent="0.2">
      <c r="J774" s="354">
        <v>42051</v>
      </c>
      <c r="K774">
        <v>10.14</v>
      </c>
      <c r="L774">
        <v>10.49</v>
      </c>
      <c r="M774">
        <v>9.91</v>
      </c>
      <c r="N774">
        <v>10.18</v>
      </c>
      <c r="O774">
        <v>7.2163919999999999</v>
      </c>
      <c r="P774">
        <v>15603900</v>
      </c>
      <c r="R774" s="273">
        <f>(O774/O773)*('16. câmbio USD-BRL'!O588/'16. câmbio USD-BRL'!O587)^-1-1</f>
        <v>-7.4156414418798944E-3</v>
      </c>
    </row>
    <row r="775" spans="10:18" x14ac:dyDescent="0.2">
      <c r="J775" s="354">
        <v>42058</v>
      </c>
      <c r="K775">
        <v>10.1</v>
      </c>
      <c r="L775">
        <v>10.44</v>
      </c>
      <c r="M775">
        <v>9.8800000000000008</v>
      </c>
      <c r="N775">
        <v>10.14</v>
      </c>
      <c r="O775">
        <v>7.1880379999999997</v>
      </c>
      <c r="P775">
        <v>23167100</v>
      </c>
      <c r="R775" s="273">
        <f>(O775/O774)*('16. câmbio USD-BRL'!O589/'16. câmbio USD-BRL'!O588)^-1-1</f>
        <v>-1.822727072909236E-2</v>
      </c>
    </row>
    <row r="776" spans="10:18" x14ac:dyDescent="0.2">
      <c r="J776" s="354">
        <v>42065</v>
      </c>
      <c r="K776">
        <v>10.09</v>
      </c>
      <c r="L776">
        <v>10.74</v>
      </c>
      <c r="M776">
        <v>9.77</v>
      </c>
      <c r="N776">
        <v>10.73</v>
      </c>
      <c r="O776">
        <v>7.6062760000000003</v>
      </c>
      <c r="P776">
        <v>45041400</v>
      </c>
      <c r="R776" s="273">
        <f>(O776/O775)*('16. câmbio USD-BRL'!O590/'16. câmbio USD-BRL'!O589)^-1-1</f>
        <v>2.4641924240022872E-2</v>
      </c>
    </row>
    <row r="777" spans="10:18" x14ac:dyDescent="0.2">
      <c r="J777" s="354">
        <v>42072</v>
      </c>
      <c r="K777">
        <v>10.49</v>
      </c>
      <c r="L777">
        <v>11.32</v>
      </c>
      <c r="M777">
        <v>10.37</v>
      </c>
      <c r="N777">
        <v>10.84</v>
      </c>
      <c r="O777">
        <v>7.6842509999999997</v>
      </c>
      <c r="P777">
        <v>50060300</v>
      </c>
      <c r="R777" s="273">
        <f>(O777/O776)*('16. câmbio USD-BRL'!O591/'16. câmbio USD-BRL'!O590)^-1-1</f>
        <v>-6.5992223759142377E-2</v>
      </c>
    </row>
    <row r="778" spans="10:18" x14ac:dyDescent="0.2">
      <c r="J778" s="354">
        <v>42079</v>
      </c>
      <c r="K778">
        <v>11.08</v>
      </c>
      <c r="L778">
        <v>11.44</v>
      </c>
      <c r="M778">
        <v>10.55</v>
      </c>
      <c r="N778">
        <v>11.04</v>
      </c>
      <c r="O778">
        <v>7.826028</v>
      </c>
      <c r="P778">
        <v>42083600</v>
      </c>
      <c r="R778" s="273">
        <f>(O778/O777)*('16. câmbio USD-BRL'!O592/'16. câmbio USD-BRL'!O591)^-1-1</f>
        <v>4.39804731644311E-3</v>
      </c>
    </row>
    <row r="779" spans="10:18" x14ac:dyDescent="0.2">
      <c r="J779" s="354">
        <v>42086</v>
      </c>
      <c r="K779">
        <v>11.19</v>
      </c>
      <c r="L779">
        <v>11.2</v>
      </c>
      <c r="M779">
        <v>9.85</v>
      </c>
      <c r="N779">
        <v>9.9600000000000009</v>
      </c>
      <c r="O779">
        <v>7.1067150000000003</v>
      </c>
      <c r="P779">
        <v>55041700</v>
      </c>
      <c r="R779" s="273">
        <f>(O779/O778)*('16. câmbio USD-BRL'!O593/'16. câmbio USD-BRL'!O592)^-1-1</f>
        <v>-6.0239105528472447E-2</v>
      </c>
    </row>
    <row r="780" spans="10:18" x14ac:dyDescent="0.2">
      <c r="J780" s="354">
        <v>42093</v>
      </c>
      <c r="K780">
        <v>10.02</v>
      </c>
      <c r="L780">
        <v>10.44</v>
      </c>
      <c r="M780">
        <v>9.9499999999999993</v>
      </c>
      <c r="N780">
        <v>10.039999999999999</v>
      </c>
      <c r="O780">
        <v>7.1637969999999997</v>
      </c>
      <c r="P780">
        <v>36675300</v>
      </c>
      <c r="R780" s="273">
        <f>(O780/O779)*('16. câmbio USD-BRL'!O594/'16. câmbio USD-BRL'!O593)^-1-1</f>
        <v>2.6531974585002782E-2</v>
      </c>
    </row>
    <row r="781" spans="10:18" x14ac:dyDescent="0.2">
      <c r="J781" s="354">
        <v>42100</v>
      </c>
      <c r="K781">
        <v>10</v>
      </c>
      <c r="L781">
        <v>10.11</v>
      </c>
      <c r="M781">
        <v>9.5299999999999994</v>
      </c>
      <c r="N781">
        <v>9.59</v>
      </c>
      <c r="O781">
        <v>6.8427100000000003</v>
      </c>
      <c r="P781">
        <v>34395200</v>
      </c>
      <c r="R781" s="273">
        <f>(O781/O780)*('16. câmbio USD-BRL'!O595/'16. câmbio USD-BRL'!O594)^-1-1</f>
        <v>-2.3905820277965284E-2</v>
      </c>
    </row>
    <row r="782" spans="10:18" x14ac:dyDescent="0.2">
      <c r="J782" s="354">
        <v>42107</v>
      </c>
      <c r="K782">
        <v>9.6199999999999992</v>
      </c>
      <c r="L782">
        <v>10.210000000000001</v>
      </c>
      <c r="M782">
        <v>9.16</v>
      </c>
      <c r="N782">
        <v>9.24</v>
      </c>
      <c r="O782">
        <v>6.5929770000000003</v>
      </c>
      <c r="P782">
        <v>33164100</v>
      </c>
      <c r="R782" s="273">
        <f>(O782/O781)*('16. câmbio USD-BRL'!O596/'16. câmbio USD-BRL'!O595)^-1-1</f>
        <v>-3.0594684637580194E-2</v>
      </c>
    </row>
    <row r="783" spans="10:18" x14ac:dyDescent="0.2">
      <c r="J783" s="354">
        <v>42114</v>
      </c>
      <c r="K783">
        <v>9.2899999999999991</v>
      </c>
      <c r="L783">
        <v>10.64</v>
      </c>
      <c r="M783">
        <v>9.24</v>
      </c>
      <c r="N783">
        <v>10.5</v>
      </c>
      <c r="O783">
        <v>7.492019</v>
      </c>
      <c r="P783">
        <v>30343100</v>
      </c>
      <c r="R783" s="273">
        <f>(O783/O782)*('16. câmbio USD-BRL'!O597/'16. câmbio USD-BRL'!O596)^-1-1</f>
        <v>0.17043560967070026</v>
      </c>
    </row>
    <row r="784" spans="10:18" x14ac:dyDescent="0.2">
      <c r="J784" s="354">
        <v>42121</v>
      </c>
      <c r="K784">
        <v>10.56</v>
      </c>
      <c r="L784">
        <v>10.84</v>
      </c>
      <c r="M784">
        <v>9.73</v>
      </c>
      <c r="N784">
        <v>10.050000000000001</v>
      </c>
      <c r="O784">
        <v>7.1709319999999996</v>
      </c>
      <c r="P784">
        <v>22554600</v>
      </c>
      <c r="R784" s="273">
        <f>(O784/O783)*('16. câmbio USD-BRL'!O598/'16. câmbio USD-BRL'!O597)^-1-1</f>
        <v>-6.2819534324614179E-2</v>
      </c>
    </row>
    <row r="785" spans="10:18" x14ac:dyDescent="0.2">
      <c r="J785" s="354">
        <v>42128</v>
      </c>
      <c r="K785">
        <v>10.18</v>
      </c>
      <c r="L785">
        <v>10.85</v>
      </c>
      <c r="M785">
        <v>9.89</v>
      </c>
      <c r="N785">
        <v>10.35</v>
      </c>
      <c r="O785">
        <v>7.3849900000000002</v>
      </c>
      <c r="P785">
        <v>34972300</v>
      </c>
      <c r="R785" s="273">
        <f>(O785/O784)*('16. câmbio USD-BRL'!O599/'16. câmbio USD-BRL'!O598)^-1-1</f>
        <v>2.6373984698089936E-2</v>
      </c>
    </row>
    <row r="786" spans="10:18" x14ac:dyDescent="0.2">
      <c r="J786" s="354">
        <v>42135</v>
      </c>
      <c r="K786">
        <v>10.37</v>
      </c>
      <c r="L786">
        <v>10.67</v>
      </c>
      <c r="M786">
        <v>9.74</v>
      </c>
      <c r="N786">
        <v>10</v>
      </c>
      <c r="O786">
        <v>7.1352570000000002</v>
      </c>
      <c r="P786">
        <v>34223100</v>
      </c>
      <c r="R786" s="273">
        <f>(O786/O785)*('16. câmbio USD-BRL'!O600/'16. câmbio USD-BRL'!O599)^-1-1</f>
        <v>-2.3669410988636508E-2</v>
      </c>
    </row>
    <row r="787" spans="10:18" x14ac:dyDescent="0.2">
      <c r="J787" s="354">
        <v>42142</v>
      </c>
      <c r="K787">
        <v>10.08</v>
      </c>
      <c r="L787">
        <v>10.08</v>
      </c>
      <c r="M787">
        <v>9.18</v>
      </c>
      <c r="N787">
        <v>9.19</v>
      </c>
      <c r="O787">
        <v>6.5572990000000004</v>
      </c>
      <c r="P787">
        <v>33687800</v>
      </c>
      <c r="R787" s="273">
        <f>(O787/O786)*('16. câmbio USD-BRL'!O601/'16. câmbio USD-BRL'!O600)^-1-1</f>
        <v>-9.5163438846954551E-2</v>
      </c>
    </row>
    <row r="788" spans="10:18" x14ac:dyDescent="0.2">
      <c r="J788" s="354">
        <v>42149</v>
      </c>
      <c r="K788">
        <v>9.18</v>
      </c>
      <c r="L788">
        <v>9.33</v>
      </c>
      <c r="M788">
        <v>8.6</v>
      </c>
      <c r="N788">
        <v>8.61</v>
      </c>
      <c r="O788">
        <v>6.1825859999999997</v>
      </c>
      <c r="P788">
        <v>41538000</v>
      </c>
      <c r="R788" s="273">
        <f>(O788/O787)*('16. câmbio USD-BRL'!O602/'16. câmbio USD-BRL'!O601)^-1-1</f>
        <v>-9.347468272821291E-2</v>
      </c>
    </row>
    <row r="789" spans="10:18" x14ac:dyDescent="0.2">
      <c r="J789" s="354">
        <v>42156</v>
      </c>
      <c r="K789">
        <v>8.7100000000000009</v>
      </c>
      <c r="L789">
        <v>9.14</v>
      </c>
      <c r="M789">
        <v>8.64</v>
      </c>
      <c r="N789">
        <v>8.66</v>
      </c>
      <c r="O789">
        <v>6.2184889999999999</v>
      </c>
      <c r="P789">
        <v>23831400</v>
      </c>
      <c r="R789" s="273">
        <f>(O789/O788)*('16. câmbio USD-BRL'!O603/'16. câmbio USD-BRL'!O602)^-1-1</f>
        <v>1.1636583083130647E-2</v>
      </c>
    </row>
    <row r="790" spans="10:18" x14ac:dyDescent="0.2">
      <c r="J790" s="354">
        <v>42163</v>
      </c>
      <c r="K790">
        <v>8.7200000000000006</v>
      </c>
      <c r="L790">
        <v>8.85</v>
      </c>
      <c r="M790">
        <v>8.34</v>
      </c>
      <c r="N790">
        <v>8.57</v>
      </c>
      <c r="O790">
        <v>6.1538620000000002</v>
      </c>
      <c r="P790">
        <v>40972700</v>
      </c>
      <c r="R790" s="273">
        <f>(O790/O789)*('16. câmbio USD-BRL'!O604/'16. câmbio USD-BRL'!O603)^-1-1</f>
        <v>6.6291303264263135E-3</v>
      </c>
    </row>
    <row r="791" spans="10:18" x14ac:dyDescent="0.2">
      <c r="J791" s="354">
        <v>42170</v>
      </c>
      <c r="K791">
        <v>8.5299999999999994</v>
      </c>
      <c r="L791">
        <v>8.5299999999999994</v>
      </c>
      <c r="M791">
        <v>7.9</v>
      </c>
      <c r="N791">
        <v>8.15</v>
      </c>
      <c r="O791">
        <v>5.8522730000000003</v>
      </c>
      <c r="P791">
        <v>33563900</v>
      </c>
      <c r="R791" s="273">
        <f>(O791/O790)*('16. câmbio USD-BRL'!O605/'16. câmbio USD-BRL'!O604)^-1-1</f>
        <v>-3.9895631901899042E-2</v>
      </c>
    </row>
    <row r="792" spans="10:18" x14ac:dyDescent="0.2">
      <c r="J792" s="354">
        <v>42177</v>
      </c>
      <c r="K792">
        <v>8.1999999999999993</v>
      </c>
      <c r="L792">
        <v>8.25</v>
      </c>
      <c r="M792">
        <v>7.45</v>
      </c>
      <c r="N792">
        <v>7.7</v>
      </c>
      <c r="O792">
        <v>5.5291420000000002</v>
      </c>
      <c r="P792">
        <v>37588800</v>
      </c>
      <c r="R792" s="273">
        <f>(O792/O791)*('16. câmbio USD-BRL'!O606/'16. câmbio USD-BRL'!O605)^-1-1</f>
        <v>-7.5353747743320709E-2</v>
      </c>
    </row>
    <row r="793" spans="10:18" x14ac:dyDescent="0.2">
      <c r="J793" s="354">
        <v>42184</v>
      </c>
      <c r="K793">
        <v>7.55</v>
      </c>
      <c r="L793">
        <v>7.85</v>
      </c>
      <c r="M793">
        <v>6.64</v>
      </c>
      <c r="N793">
        <v>6.66</v>
      </c>
      <c r="O793">
        <v>4.7823479999999998</v>
      </c>
      <c r="P793">
        <v>46271700</v>
      </c>
      <c r="R793" s="273">
        <f>(O793/O792)*('16. câmbio USD-BRL'!O607/'16. câmbio USD-BRL'!O606)^-1-1</f>
        <v>-0.12656668786176983</v>
      </c>
    </row>
    <row r="794" spans="10:18" x14ac:dyDescent="0.2">
      <c r="J794" s="354">
        <v>42191</v>
      </c>
      <c r="K794">
        <v>6.59</v>
      </c>
      <c r="L794">
        <v>7.12</v>
      </c>
      <c r="M794">
        <v>6.53</v>
      </c>
      <c r="N794">
        <v>6.74</v>
      </c>
      <c r="O794">
        <v>4.8397940000000004</v>
      </c>
      <c r="P794">
        <v>44080200</v>
      </c>
      <c r="R794" s="273">
        <f>(O794/O793)*('16. câmbio USD-BRL'!O608/'16. câmbio USD-BRL'!O607)^-1-1</f>
        <v>-2.7920458861320219E-2</v>
      </c>
    </row>
    <row r="795" spans="10:18" x14ac:dyDescent="0.2">
      <c r="J795" s="354">
        <v>42198</v>
      </c>
      <c r="K795">
        <v>6.78</v>
      </c>
      <c r="L795">
        <v>7.15</v>
      </c>
      <c r="M795">
        <v>6.19</v>
      </c>
      <c r="N795">
        <v>6.26</v>
      </c>
      <c r="O795">
        <v>4.4951210000000001</v>
      </c>
      <c r="P795">
        <v>66899300</v>
      </c>
      <c r="R795" s="273">
        <f>(O795/O794)*('16. câmbio USD-BRL'!O609/'16. câmbio USD-BRL'!O608)^-1-1</f>
        <v>-6.0748255084496883E-2</v>
      </c>
    </row>
    <row r="796" spans="10:18" x14ac:dyDescent="0.2">
      <c r="J796" s="354">
        <v>42205</v>
      </c>
      <c r="K796">
        <v>6.27</v>
      </c>
      <c r="L796">
        <v>6.37</v>
      </c>
      <c r="M796">
        <v>5.81</v>
      </c>
      <c r="N796">
        <v>5.84</v>
      </c>
      <c r="O796">
        <v>4.1935320000000003</v>
      </c>
      <c r="P796">
        <v>47166800</v>
      </c>
      <c r="R796" s="273">
        <f>(O796/O795)*('16. câmbio USD-BRL'!O610/'16. câmbio USD-BRL'!O609)^-1-1</f>
        <v>-9.5214389448083914E-2</v>
      </c>
    </row>
    <row r="797" spans="10:18" x14ac:dyDescent="0.2">
      <c r="J797" s="354">
        <v>42212</v>
      </c>
      <c r="K797">
        <v>5.77</v>
      </c>
      <c r="L797">
        <v>6.12</v>
      </c>
      <c r="M797">
        <v>5.56</v>
      </c>
      <c r="N797">
        <v>5.89</v>
      </c>
      <c r="O797">
        <v>4.2294330000000002</v>
      </c>
      <c r="P797">
        <v>34607700</v>
      </c>
      <c r="R797" s="273">
        <f>(O797/O796)*('16. câmbio USD-BRL'!O611/'16. câmbio USD-BRL'!O610)^-1-1</f>
        <v>-1.7350133104182097E-2</v>
      </c>
    </row>
    <row r="798" spans="10:18" x14ac:dyDescent="0.2">
      <c r="J798" s="354">
        <v>42219</v>
      </c>
      <c r="K798">
        <v>5.85</v>
      </c>
      <c r="L798">
        <v>6.44</v>
      </c>
      <c r="M798">
        <v>5.82</v>
      </c>
      <c r="N798">
        <v>6.01</v>
      </c>
      <c r="O798">
        <v>4.315601</v>
      </c>
      <c r="P798">
        <v>33857200</v>
      </c>
      <c r="R798" s="273">
        <f>(O798/O797)*('16. câmbio USD-BRL'!O612/'16. câmbio USD-BRL'!O611)^-1-1</f>
        <v>-2.6085991538076669E-2</v>
      </c>
    </row>
    <row r="799" spans="10:18" x14ac:dyDescent="0.2">
      <c r="J799" s="354">
        <v>42226</v>
      </c>
      <c r="K799">
        <v>6.05</v>
      </c>
      <c r="L799">
        <v>6.12</v>
      </c>
      <c r="M799">
        <v>5.59</v>
      </c>
      <c r="N799">
        <v>5.6</v>
      </c>
      <c r="O799">
        <v>4.0211940000000004</v>
      </c>
      <c r="P799">
        <v>37351600</v>
      </c>
      <c r="R799" s="273">
        <f>(O799/O798)*('16. câmbio USD-BRL'!O613/'16. câmbio USD-BRL'!O612)^-1-1</f>
        <v>-6.4962649197306876E-2</v>
      </c>
    </row>
    <row r="800" spans="10:18" x14ac:dyDescent="0.2">
      <c r="J800" s="354">
        <v>42233</v>
      </c>
      <c r="K800">
        <v>5.56</v>
      </c>
      <c r="L800">
        <v>5.82</v>
      </c>
      <c r="M800">
        <v>5.13</v>
      </c>
      <c r="N800">
        <v>5.16</v>
      </c>
      <c r="O800">
        <v>3.7052420000000001</v>
      </c>
      <c r="P800">
        <v>41731000</v>
      </c>
      <c r="R800" s="273">
        <f>(O800/O799)*('16. câmbio USD-BRL'!O614/'16. câmbio USD-BRL'!O613)^-1-1</f>
        <v>-6.2183278751603788E-2</v>
      </c>
    </row>
    <row r="801" spans="10:18" x14ac:dyDescent="0.2">
      <c r="J801" s="354">
        <v>42240</v>
      </c>
      <c r="K801">
        <v>4.7300000000000004</v>
      </c>
      <c r="L801">
        <v>5.55</v>
      </c>
      <c r="M801">
        <v>4.4400000000000004</v>
      </c>
      <c r="N801">
        <v>5.29</v>
      </c>
      <c r="O801">
        <v>3.7985920000000002</v>
      </c>
      <c r="P801">
        <v>56334400</v>
      </c>
      <c r="R801" s="273">
        <f>(O801/O800)*('16. câmbio USD-BRL'!O615/'16. câmbio USD-BRL'!O614)^-1-1</f>
        <v>-1.4883844947961578E-3</v>
      </c>
    </row>
    <row r="802" spans="10:18" x14ac:dyDescent="0.2">
      <c r="J802" s="354">
        <v>42247</v>
      </c>
      <c r="K802">
        <v>5.03</v>
      </c>
      <c r="L802">
        <v>6.25</v>
      </c>
      <c r="M802">
        <v>5.0199999999999996</v>
      </c>
      <c r="N802">
        <v>6.07</v>
      </c>
      <c r="O802">
        <v>4.40428</v>
      </c>
      <c r="P802">
        <v>54202300</v>
      </c>
      <c r="R802" s="273">
        <f>(O802/O801)*('16. câmbio USD-BRL'!O616/'16. câmbio USD-BRL'!O615)^-1-1</f>
        <v>0.1020834623179252</v>
      </c>
    </row>
    <row r="803" spans="10:18" x14ac:dyDescent="0.2">
      <c r="J803" s="354">
        <v>42254</v>
      </c>
      <c r="K803">
        <v>6.07</v>
      </c>
      <c r="L803">
        <v>6.93</v>
      </c>
      <c r="M803">
        <v>5.93</v>
      </c>
      <c r="N803">
        <v>6.68</v>
      </c>
      <c r="O803">
        <v>4.8468840000000002</v>
      </c>
      <c r="P803">
        <v>41653500</v>
      </c>
      <c r="R803" s="273">
        <f>(O803/O802)*('16. câmbio USD-BRL'!O617/'16. câmbio USD-BRL'!O616)^-1-1</f>
        <v>6.8149302842364756E-2</v>
      </c>
    </row>
    <row r="804" spans="10:18" x14ac:dyDescent="0.2">
      <c r="J804" s="354">
        <v>42261</v>
      </c>
      <c r="K804">
        <v>6.7</v>
      </c>
      <c r="L804">
        <v>6.84</v>
      </c>
      <c r="M804">
        <v>6</v>
      </c>
      <c r="N804">
        <v>6.39</v>
      </c>
      <c r="O804">
        <v>4.6364660000000004</v>
      </c>
      <c r="P804">
        <v>51133200</v>
      </c>
      <c r="R804" s="273">
        <f>(O804/O803)*('16. câmbio USD-BRL'!O618/'16. câmbio USD-BRL'!O617)^-1-1</f>
        <v>-5.4057085846181185E-2</v>
      </c>
    </row>
    <row r="805" spans="10:18" x14ac:dyDescent="0.2">
      <c r="J805" s="354">
        <v>42268</v>
      </c>
      <c r="K805">
        <v>6.35</v>
      </c>
      <c r="L805">
        <v>6.47</v>
      </c>
      <c r="M805">
        <v>5.6</v>
      </c>
      <c r="N805">
        <v>6.11</v>
      </c>
      <c r="O805">
        <v>4.4333030000000004</v>
      </c>
      <c r="P805">
        <v>44647900</v>
      </c>
      <c r="R805" s="273">
        <f>(O805/O804)*('16. câmbio USD-BRL'!O619/'16. câmbio USD-BRL'!O618)^-1-1</f>
        <v>-5.3932195051156762E-2</v>
      </c>
    </row>
    <row r="806" spans="10:18" x14ac:dyDescent="0.2">
      <c r="J806" s="354">
        <v>42275</v>
      </c>
      <c r="K806">
        <v>6.01</v>
      </c>
      <c r="L806">
        <v>6.12</v>
      </c>
      <c r="M806">
        <v>5.27</v>
      </c>
      <c r="N806">
        <v>5.66</v>
      </c>
      <c r="O806">
        <v>4.1067920000000004</v>
      </c>
      <c r="P806">
        <v>59907900</v>
      </c>
      <c r="R806" s="273">
        <f>(O806/O805)*('16. câmbio USD-BRL'!O620/'16. câmbio USD-BRL'!O619)^-1-1</f>
        <v>-8.8892638626426157E-2</v>
      </c>
    </row>
    <row r="807" spans="10:18" x14ac:dyDescent="0.2">
      <c r="J807" s="354">
        <v>42282</v>
      </c>
      <c r="K807">
        <v>5.72</v>
      </c>
      <c r="L807">
        <v>6.88</v>
      </c>
      <c r="M807">
        <v>5.65</v>
      </c>
      <c r="N807">
        <v>6.71</v>
      </c>
      <c r="O807">
        <v>4.868652</v>
      </c>
      <c r="P807">
        <v>41694000</v>
      </c>
      <c r="R807" s="273">
        <f>(O807/O806)*('16. câmbio USD-BRL'!O621/'16. câmbio USD-BRL'!O620)^-1-1</f>
        <v>0.26110669229166672</v>
      </c>
    </row>
    <row r="808" spans="10:18" x14ac:dyDescent="0.2">
      <c r="J808" s="354">
        <v>42289</v>
      </c>
      <c r="K808">
        <v>6.71</v>
      </c>
      <c r="L808">
        <v>6.71</v>
      </c>
      <c r="M808">
        <v>6.16</v>
      </c>
      <c r="N808">
        <v>6.2</v>
      </c>
      <c r="O808">
        <v>4.4986050000000004</v>
      </c>
      <c r="P808">
        <v>34623600</v>
      </c>
      <c r="R808" s="273">
        <f>(O808/O807)*('16. câmbio USD-BRL'!O622/'16. câmbio USD-BRL'!O621)^-1-1</f>
        <v>-8.4143529831038455E-2</v>
      </c>
    </row>
    <row r="809" spans="10:18" x14ac:dyDescent="0.2">
      <c r="J809" s="354">
        <v>42296</v>
      </c>
      <c r="K809">
        <v>6.26</v>
      </c>
      <c r="L809">
        <v>6.36</v>
      </c>
      <c r="M809">
        <v>5.76</v>
      </c>
      <c r="N809">
        <v>5.76</v>
      </c>
      <c r="O809">
        <v>4.1793480000000001</v>
      </c>
      <c r="P809">
        <v>43049000</v>
      </c>
      <c r="R809" s="273">
        <f>(O809/O808)*('16. câmbio USD-BRL'!O623/'16. câmbio USD-BRL'!O622)^-1-1</f>
        <v>-9.7108407939803354E-2</v>
      </c>
    </row>
    <row r="810" spans="10:18" x14ac:dyDescent="0.2">
      <c r="J810" s="354">
        <v>42303</v>
      </c>
      <c r="K810">
        <v>5.83</v>
      </c>
      <c r="L810">
        <v>5.91</v>
      </c>
      <c r="M810">
        <v>5.36</v>
      </c>
      <c r="N810">
        <v>5.43</v>
      </c>
      <c r="O810">
        <v>3.939908</v>
      </c>
      <c r="P810">
        <v>32019000</v>
      </c>
      <c r="R810" s="273">
        <f>(O810/O809)*('16. câmbio USD-BRL'!O624/'16. câmbio USD-BRL'!O623)^-1-1</f>
        <v>-4.3167887867332722E-2</v>
      </c>
    </row>
    <row r="811" spans="10:18" x14ac:dyDescent="0.2">
      <c r="J811" s="354">
        <v>42310</v>
      </c>
      <c r="K811">
        <v>5.43</v>
      </c>
      <c r="L811">
        <v>6.06</v>
      </c>
      <c r="M811">
        <v>5.43</v>
      </c>
      <c r="N811">
        <v>5.66</v>
      </c>
      <c r="O811">
        <v>4.1067920000000004</v>
      </c>
      <c r="P811">
        <v>38000900</v>
      </c>
      <c r="R811" s="273">
        <f>(O811/O810)*('16. câmbio USD-BRL'!O625/'16. câmbio USD-BRL'!O624)^-1-1</f>
        <v>6.0170694670094393E-2</v>
      </c>
    </row>
    <row r="812" spans="10:18" x14ac:dyDescent="0.2">
      <c r="J812" s="354">
        <v>42317</v>
      </c>
      <c r="K812">
        <v>5.62</v>
      </c>
      <c r="L812">
        <v>5.75</v>
      </c>
      <c r="M812">
        <v>5.1100000000000003</v>
      </c>
      <c r="N812">
        <v>5.23</v>
      </c>
      <c r="O812">
        <v>3.794791</v>
      </c>
      <c r="P812">
        <v>47778300</v>
      </c>
      <c r="R812" s="273">
        <f>(O812/O811)*('16. câmbio USD-BRL'!O626/'16. câmbio USD-BRL'!O625)^-1-1</f>
        <v>-7.2733964647571536E-2</v>
      </c>
    </row>
    <row r="813" spans="10:18" x14ac:dyDescent="0.2">
      <c r="J813" s="354">
        <v>42324</v>
      </c>
      <c r="K813">
        <v>5.26</v>
      </c>
      <c r="L813">
        <v>5.85</v>
      </c>
      <c r="M813">
        <v>4.8</v>
      </c>
      <c r="N813">
        <v>5.84</v>
      </c>
      <c r="O813">
        <v>4.2681009999999997</v>
      </c>
      <c r="P813">
        <v>76970200</v>
      </c>
      <c r="R813" s="273">
        <f>(O813/O812)*('16. câmbio USD-BRL'!O627/'16. câmbio USD-BRL'!O626)^-1-1</f>
        <v>0.12643072969685853</v>
      </c>
    </row>
    <row r="814" spans="10:18" x14ac:dyDescent="0.2">
      <c r="J814" s="354">
        <v>42331</v>
      </c>
      <c r="K814">
        <v>5.86</v>
      </c>
      <c r="L814">
        <v>6.45</v>
      </c>
      <c r="M814">
        <v>5.67</v>
      </c>
      <c r="N814">
        <v>6.03</v>
      </c>
      <c r="O814">
        <v>4.406962</v>
      </c>
      <c r="P814">
        <v>55813400</v>
      </c>
      <c r="R814" s="273">
        <f>(O814/O813)*('16. câmbio USD-BRL'!O628/'16. câmbio USD-BRL'!O627)^-1-1</f>
        <v>3.8831899698170691E-2</v>
      </c>
    </row>
    <row r="815" spans="10:18" x14ac:dyDescent="0.2">
      <c r="J815" s="354">
        <v>42338</v>
      </c>
      <c r="K815">
        <v>6</v>
      </c>
      <c r="L815">
        <v>6.24</v>
      </c>
      <c r="M815">
        <v>5.42</v>
      </c>
      <c r="N815">
        <v>5.44</v>
      </c>
      <c r="O815">
        <v>3.9757660000000001</v>
      </c>
      <c r="P815">
        <v>63240000</v>
      </c>
      <c r="R815" s="273">
        <f>(O815/O814)*('16. câmbio USD-BRL'!O629/'16. câmbio USD-BRL'!O628)^-1-1</f>
        <v>-0.10204772121115457</v>
      </c>
    </row>
    <row r="816" spans="10:18" x14ac:dyDescent="0.2">
      <c r="J816" s="354">
        <v>42345</v>
      </c>
      <c r="K816">
        <v>5.49</v>
      </c>
      <c r="L816">
        <v>5.62</v>
      </c>
      <c r="M816">
        <v>4.83</v>
      </c>
      <c r="N816">
        <v>4.8899999999999997</v>
      </c>
      <c r="O816">
        <v>3.573804</v>
      </c>
      <c r="P816">
        <v>39864500</v>
      </c>
      <c r="R816" s="273">
        <f>(O816/O815)*('16. câmbio USD-BRL'!O630/'16. câmbio USD-BRL'!O629)^-1-1</f>
        <v>-0.11335492426260796</v>
      </c>
    </row>
    <row r="817" spans="10:18" x14ac:dyDescent="0.2">
      <c r="J817" s="354">
        <v>42352</v>
      </c>
      <c r="K817">
        <v>4.8899999999999997</v>
      </c>
      <c r="L817">
        <v>5.0599999999999996</v>
      </c>
      <c r="M817">
        <v>4.7</v>
      </c>
      <c r="N817">
        <v>4.93</v>
      </c>
      <c r="O817">
        <v>3.6030380000000002</v>
      </c>
      <c r="P817">
        <v>32495800</v>
      </c>
      <c r="R817" s="273">
        <f>(O817/O816)*('16. câmbio USD-BRL'!O631/'16. câmbio USD-BRL'!O630)^-1-1</f>
        <v>-9.6359657849361957E-3</v>
      </c>
    </row>
    <row r="818" spans="10:18" x14ac:dyDescent="0.2">
      <c r="J818" s="354">
        <v>42359</v>
      </c>
      <c r="K818">
        <v>4.97</v>
      </c>
      <c r="L818">
        <v>5.1100000000000003</v>
      </c>
      <c r="M818">
        <v>4.6500000000000004</v>
      </c>
      <c r="N818">
        <v>4.83</v>
      </c>
      <c r="O818">
        <v>3.5299529999999999</v>
      </c>
      <c r="P818">
        <v>24278600</v>
      </c>
      <c r="R818" s="273">
        <f>(O818/O817)*('16. câmbio USD-BRL'!O632/'16. câmbio USD-BRL'!O631)^-1-1</f>
        <v>-2.9473018277923813E-2</v>
      </c>
    </row>
    <row r="819" spans="10:18" x14ac:dyDescent="0.2">
      <c r="J819" s="354">
        <v>42366</v>
      </c>
      <c r="K819">
        <v>4.82</v>
      </c>
      <c r="L819">
        <v>4.92</v>
      </c>
      <c r="M819">
        <v>4.5999999999999996</v>
      </c>
      <c r="N819">
        <v>4.6500000000000004</v>
      </c>
      <c r="O819">
        <v>3.3984019999999999</v>
      </c>
      <c r="P819">
        <v>12942300</v>
      </c>
      <c r="R819" s="273">
        <f>(O819/O818)*('16. câmbio USD-BRL'!O633/'16. câmbio USD-BRL'!O632)^-1-1</f>
        <v>-4.6285073103870755E-2</v>
      </c>
    </row>
    <row r="820" spans="10:18" x14ac:dyDescent="0.2">
      <c r="J820" s="354">
        <v>42373</v>
      </c>
      <c r="K820">
        <v>4.5999999999999996</v>
      </c>
      <c r="L820">
        <v>4.67</v>
      </c>
      <c r="M820">
        <v>3.7</v>
      </c>
      <c r="N820">
        <v>3.93</v>
      </c>
      <c r="O820">
        <v>2.872198</v>
      </c>
      <c r="P820">
        <v>45168500</v>
      </c>
      <c r="R820" s="273">
        <f>(O820/O819)*('16. câmbio USD-BRL'!O634/'16. câmbio USD-BRL'!O633)^-1-1</f>
        <v>-0.17397320135097116</v>
      </c>
    </row>
    <row r="821" spans="10:18" x14ac:dyDescent="0.2">
      <c r="J821" s="354">
        <v>42380</v>
      </c>
      <c r="K821">
        <v>3.9</v>
      </c>
      <c r="L821">
        <v>4.0999999999999996</v>
      </c>
      <c r="M821">
        <v>3.33</v>
      </c>
      <c r="N821">
        <v>3.45</v>
      </c>
      <c r="O821">
        <v>2.5213950000000001</v>
      </c>
      <c r="P821">
        <v>47834500</v>
      </c>
      <c r="R821" s="273">
        <f>(O821/O820)*('16. câmbio USD-BRL'!O635/'16. câmbio USD-BRL'!O634)^-1-1</f>
        <v>-0.11433600168332392</v>
      </c>
    </row>
    <row r="822" spans="10:18" x14ac:dyDescent="0.2">
      <c r="J822" s="354">
        <v>42387</v>
      </c>
      <c r="K822">
        <v>3.43</v>
      </c>
      <c r="L822">
        <v>3.69</v>
      </c>
      <c r="M822">
        <v>3.3</v>
      </c>
      <c r="N822">
        <v>3.32</v>
      </c>
      <c r="O822">
        <v>2.4263870000000001</v>
      </c>
      <c r="P822">
        <v>35305600</v>
      </c>
      <c r="R822" s="273">
        <f>(O822/O821)*('16. câmbio USD-BRL'!O636/'16. câmbio USD-BRL'!O635)^-1-1</f>
        <v>-5.7353033281584587E-2</v>
      </c>
    </row>
    <row r="823" spans="10:18" x14ac:dyDescent="0.2">
      <c r="J823" s="354">
        <v>42394</v>
      </c>
      <c r="K823">
        <v>3.32</v>
      </c>
      <c r="L823">
        <v>3.66</v>
      </c>
      <c r="M823">
        <v>3.23</v>
      </c>
      <c r="N823">
        <v>3.6</v>
      </c>
      <c r="O823">
        <v>2.6310220000000002</v>
      </c>
      <c r="P823">
        <v>32487000</v>
      </c>
      <c r="R823" s="273">
        <f>(O823/O822)*('16. câmbio USD-BRL'!O637/'16. câmbio USD-BRL'!O636)^-1-1</f>
        <v>9.0336245177283336E-2</v>
      </c>
    </row>
    <row r="824" spans="10:18" x14ac:dyDescent="0.2">
      <c r="J824" s="354">
        <v>42401</v>
      </c>
      <c r="K824">
        <v>3.65</v>
      </c>
      <c r="L824">
        <v>4.38</v>
      </c>
      <c r="M824">
        <v>3.56</v>
      </c>
      <c r="N824">
        <v>4.18</v>
      </c>
      <c r="O824">
        <v>3.0549080000000002</v>
      </c>
      <c r="P824">
        <v>68314200</v>
      </c>
      <c r="R824" s="273">
        <f>(O824/O823)*('16. câmbio USD-BRL'!O638/'16. câmbio USD-BRL'!O637)^-1-1</f>
        <v>0.21129601950270094</v>
      </c>
    </row>
    <row r="825" spans="10:18" x14ac:dyDescent="0.2">
      <c r="J825" s="354">
        <v>42408</v>
      </c>
      <c r="K825">
        <v>4.18</v>
      </c>
      <c r="L825">
        <v>4.2699999999999996</v>
      </c>
      <c r="M825">
        <v>3.7</v>
      </c>
      <c r="N825">
        <v>3.75</v>
      </c>
      <c r="O825">
        <v>2.7406480000000002</v>
      </c>
      <c r="P825">
        <v>31813700</v>
      </c>
      <c r="R825" s="273">
        <f>(O825/O824)*('16. câmbio USD-BRL'!O639/'16. câmbio USD-BRL'!O638)^-1-1</f>
        <v>-0.11862828354068156</v>
      </c>
    </row>
    <row r="826" spans="10:18" x14ac:dyDescent="0.2">
      <c r="J826" s="354">
        <v>42415</v>
      </c>
      <c r="K826">
        <v>3.9</v>
      </c>
      <c r="L826">
        <v>4.5</v>
      </c>
      <c r="M826">
        <v>3.79</v>
      </c>
      <c r="N826">
        <v>4.09</v>
      </c>
      <c r="O826">
        <v>2.9891329999999998</v>
      </c>
      <c r="P826">
        <v>53955500</v>
      </c>
      <c r="R826" s="273">
        <f>(O826/O825)*('16. câmbio USD-BRL'!O640/'16. câmbio USD-BRL'!O639)^-1-1</f>
        <v>7.757764676745138E-2</v>
      </c>
    </row>
    <row r="827" spans="10:18" x14ac:dyDescent="0.2">
      <c r="J827" s="354">
        <v>42422</v>
      </c>
      <c r="K827">
        <v>4.25</v>
      </c>
      <c r="L827">
        <v>4.28</v>
      </c>
      <c r="M827">
        <v>3.41</v>
      </c>
      <c r="N827">
        <v>3.49</v>
      </c>
      <c r="O827">
        <v>2.55063</v>
      </c>
      <c r="P827">
        <v>94665900</v>
      </c>
      <c r="R827" s="273">
        <f>(O827/O826)*('16. câmbio USD-BRL'!O641/'16. câmbio USD-BRL'!O640)^-1-1</f>
        <v>-0.13277211033100655</v>
      </c>
    </row>
    <row r="828" spans="10:18" x14ac:dyDescent="0.2">
      <c r="J828" s="354">
        <v>42429</v>
      </c>
      <c r="K828">
        <v>3.53</v>
      </c>
      <c r="L828">
        <v>4.95</v>
      </c>
      <c r="M828">
        <v>3.49</v>
      </c>
      <c r="N828">
        <v>4.6900000000000004</v>
      </c>
      <c r="O828">
        <v>3.4276369999999998</v>
      </c>
      <c r="P828">
        <v>127706700</v>
      </c>
      <c r="R828" s="273">
        <f>(O828/O827)*('16. câmbio USD-BRL'!O642/'16. câmbio USD-BRL'!O641)^-1-1</f>
        <v>0.39899338458965761</v>
      </c>
    </row>
    <row r="829" spans="10:18" x14ac:dyDescent="0.2">
      <c r="J829" s="354">
        <v>42436</v>
      </c>
      <c r="K829">
        <v>4.8600000000000003</v>
      </c>
      <c r="L829">
        <v>5.49</v>
      </c>
      <c r="M829">
        <v>4.66</v>
      </c>
      <c r="N829">
        <v>5.13</v>
      </c>
      <c r="O829">
        <v>3.749206</v>
      </c>
      <c r="P829">
        <v>121147800</v>
      </c>
      <c r="R829" s="273">
        <f>(O829/O828)*('16. câmbio USD-BRL'!O643/'16. câmbio USD-BRL'!O642)^-1-1</f>
        <v>0.14893107888175261</v>
      </c>
    </row>
    <row r="830" spans="10:18" x14ac:dyDescent="0.2">
      <c r="J830" s="354">
        <v>42443</v>
      </c>
      <c r="K830">
        <v>5.25</v>
      </c>
      <c r="L830">
        <v>5.85</v>
      </c>
      <c r="M830">
        <v>4.5199999999999996</v>
      </c>
      <c r="N830">
        <v>5.85</v>
      </c>
      <c r="O830">
        <v>4.2754099999999999</v>
      </c>
      <c r="P830">
        <v>92206300</v>
      </c>
      <c r="R830" s="273">
        <f>(O830/O829)*('16. câmbio USD-BRL'!O644/'16. câmbio USD-BRL'!O643)^-1-1</f>
        <v>0.13811486342596968</v>
      </c>
    </row>
    <row r="831" spans="10:18" x14ac:dyDescent="0.2">
      <c r="J831" s="354">
        <v>42450</v>
      </c>
      <c r="K831">
        <v>5.86</v>
      </c>
      <c r="L831">
        <v>6.33</v>
      </c>
      <c r="M831">
        <v>5.53</v>
      </c>
      <c r="N831">
        <v>5.98</v>
      </c>
      <c r="O831">
        <v>4.3704200000000002</v>
      </c>
      <c r="P831">
        <v>56889700</v>
      </c>
      <c r="R831" s="273">
        <f>(O831/O830)*('16. câmbio USD-BRL'!O645/'16. câmbio USD-BRL'!O644)^-1-1</f>
        <v>6.6272277118357703E-3</v>
      </c>
    </row>
    <row r="832" spans="10:18" x14ac:dyDescent="0.2">
      <c r="J832" s="354">
        <v>42457</v>
      </c>
      <c r="K832">
        <v>6.2</v>
      </c>
      <c r="L832">
        <v>7.04</v>
      </c>
      <c r="M832">
        <v>5.95</v>
      </c>
      <c r="N832">
        <v>7.04</v>
      </c>
      <c r="O832">
        <v>5.1451089999999997</v>
      </c>
      <c r="P832">
        <v>52736500</v>
      </c>
      <c r="R832" s="273">
        <f>(O832/O831)*('16. câmbio USD-BRL'!O646/'16. câmbio USD-BRL'!O645)^-1-1</f>
        <v>0.2199207210036076</v>
      </c>
    </row>
    <row r="833" spans="10:18" x14ac:dyDescent="0.2">
      <c r="J833" s="354">
        <v>42464</v>
      </c>
      <c r="K833">
        <v>6.44</v>
      </c>
      <c r="L833">
        <v>6.85</v>
      </c>
      <c r="M833">
        <v>6.14</v>
      </c>
      <c r="N833">
        <v>6.81</v>
      </c>
      <c r="O833">
        <v>4.9770159999999999</v>
      </c>
      <c r="P833">
        <v>18225300</v>
      </c>
      <c r="R833" s="273">
        <f>(O833/O832)*('16. câmbio USD-BRL'!O647/'16. câmbio USD-BRL'!O646)^-1-1</f>
        <v>-4.2812542722313274E-2</v>
      </c>
    </row>
    <row r="834" spans="10:18" x14ac:dyDescent="0.2">
      <c r="J834" s="354">
        <v>42471</v>
      </c>
      <c r="K834">
        <v>7.24</v>
      </c>
      <c r="L834">
        <v>8.65</v>
      </c>
      <c r="M834">
        <v>7.24</v>
      </c>
      <c r="N834">
        <v>7.85</v>
      </c>
      <c r="O834">
        <v>5.7370890000000001</v>
      </c>
      <c r="P834">
        <v>41910000</v>
      </c>
      <c r="R834" s="273">
        <f>(O834/O833)*('16. câmbio USD-BRL'!O648/'16. câmbio USD-BRL'!O647)^-1-1</f>
        <v>0.170736986276391</v>
      </c>
    </row>
    <row r="835" spans="10:18" x14ac:dyDescent="0.2">
      <c r="J835" s="354">
        <v>42478</v>
      </c>
      <c r="K835">
        <v>7.97</v>
      </c>
      <c r="L835">
        <v>8.3000000000000007</v>
      </c>
      <c r="M835">
        <v>7.4</v>
      </c>
      <c r="N835">
        <v>7.76</v>
      </c>
      <c r="O835">
        <v>5.6713139999999997</v>
      </c>
      <c r="P835">
        <v>49561500</v>
      </c>
      <c r="R835" s="273">
        <f>(O835/O834)*('16. câmbio USD-BRL'!O649/'16. câmbio USD-BRL'!O648)^-1-1</f>
        <v>-9.6136841868328382E-3</v>
      </c>
    </row>
    <row r="836" spans="10:18" x14ac:dyDescent="0.2">
      <c r="J836" s="354">
        <v>42485</v>
      </c>
      <c r="K836">
        <v>7.69</v>
      </c>
      <c r="L836">
        <v>8.2899999999999991</v>
      </c>
      <c r="M836">
        <v>6.96</v>
      </c>
      <c r="N836">
        <v>7.81</v>
      </c>
      <c r="O836">
        <v>5.7078559999999996</v>
      </c>
      <c r="P836">
        <v>77443300</v>
      </c>
      <c r="R836" s="273">
        <f>(O836/O835)*('16. câmbio USD-BRL'!O650/'16. câmbio USD-BRL'!O649)^-1-1</f>
        <v>3.3298992223501189E-2</v>
      </c>
    </row>
    <row r="837" spans="10:18" x14ac:dyDescent="0.2">
      <c r="J837" s="354">
        <v>42492</v>
      </c>
      <c r="K837">
        <v>7.96</v>
      </c>
      <c r="L837">
        <v>7.97</v>
      </c>
      <c r="M837">
        <v>6.76</v>
      </c>
      <c r="N837">
        <v>7.35</v>
      </c>
      <c r="O837">
        <v>5.3716679999999997</v>
      </c>
      <c r="P837">
        <v>73671000</v>
      </c>
      <c r="R837" s="273">
        <f>(O837/O836)*('16. câmbio USD-BRL'!O651/'16. câmbio USD-BRL'!O650)^-1-1</f>
        <v>-8.5615771496809323E-2</v>
      </c>
    </row>
    <row r="838" spans="10:18" x14ac:dyDescent="0.2">
      <c r="J838" s="354">
        <v>42499</v>
      </c>
      <c r="K838">
        <v>7.15</v>
      </c>
      <c r="L838">
        <v>7.57</v>
      </c>
      <c r="M838">
        <v>6.6</v>
      </c>
      <c r="N838">
        <v>6.6</v>
      </c>
      <c r="O838">
        <v>4.8235400000000004</v>
      </c>
      <c r="P838">
        <v>86883300</v>
      </c>
      <c r="R838" s="273">
        <f>(O838/O837)*('16. câmbio USD-BRL'!O652/'16. câmbio USD-BRL'!O651)^-1-1</f>
        <v>-8.7578584279129235E-2</v>
      </c>
    </row>
    <row r="839" spans="10:18" x14ac:dyDescent="0.2">
      <c r="J839" s="354">
        <v>42506</v>
      </c>
      <c r="K839">
        <v>6.65</v>
      </c>
      <c r="L839">
        <v>6.98</v>
      </c>
      <c r="M839">
        <v>5.63</v>
      </c>
      <c r="N839">
        <v>5.81</v>
      </c>
      <c r="O839">
        <v>4.2461770000000003</v>
      </c>
      <c r="P839">
        <v>95460500</v>
      </c>
      <c r="R839" s="273">
        <f>(O839/O838)*('16. câmbio USD-BRL'!O653/'16. câmbio USD-BRL'!O652)^-1-1</f>
        <v>-0.1395435431243609</v>
      </c>
    </row>
    <row r="840" spans="10:18" x14ac:dyDescent="0.2">
      <c r="J840" s="354">
        <v>42513</v>
      </c>
      <c r="K840">
        <v>5.67</v>
      </c>
      <c r="L840">
        <v>6.06</v>
      </c>
      <c r="M840">
        <v>5.61</v>
      </c>
      <c r="N840">
        <v>5.69</v>
      </c>
      <c r="O840">
        <v>4.1584760000000003</v>
      </c>
      <c r="P840">
        <v>52025100</v>
      </c>
      <c r="R840" s="273">
        <f>(O840/O839)*('16. câmbio USD-BRL'!O654/'16. câmbio USD-BRL'!O653)^-1-1</f>
        <v>-3.4656781782483437E-2</v>
      </c>
    </row>
    <row r="841" spans="10:18" x14ac:dyDescent="0.2">
      <c r="J841" s="354">
        <v>42520</v>
      </c>
      <c r="K841">
        <v>5.7</v>
      </c>
      <c r="L841">
        <v>6.19</v>
      </c>
      <c r="M841">
        <v>5.51</v>
      </c>
      <c r="N841">
        <v>6.11</v>
      </c>
      <c r="O841">
        <v>4.4654280000000002</v>
      </c>
      <c r="P841">
        <v>55492800</v>
      </c>
      <c r="R841" s="273">
        <f>(O841/O840)*('16. câmbio USD-BRL'!O655/'16. câmbio USD-BRL'!O654)^-1-1</f>
        <v>8.2451838797073185E-2</v>
      </c>
    </row>
    <row r="842" spans="10:18" x14ac:dyDescent="0.2">
      <c r="J842" s="354">
        <v>42527</v>
      </c>
      <c r="K842">
        <v>6.2</v>
      </c>
      <c r="L842">
        <v>6.6</v>
      </c>
      <c r="M842">
        <v>5.84</v>
      </c>
      <c r="N842">
        <v>5.86</v>
      </c>
      <c r="O842">
        <v>4.2827190000000002</v>
      </c>
      <c r="P842">
        <v>67077900</v>
      </c>
      <c r="R842" s="273">
        <f>(O842/O841)*('16. câmbio USD-BRL'!O656/'16. câmbio USD-BRL'!O655)^-1-1</f>
        <v>1.1106153699816934E-2</v>
      </c>
    </row>
    <row r="843" spans="10:18" x14ac:dyDescent="0.2">
      <c r="J843" s="354">
        <v>42534</v>
      </c>
      <c r="K843">
        <v>5.67</v>
      </c>
      <c r="L843">
        <v>6.2</v>
      </c>
      <c r="M843">
        <v>5.62</v>
      </c>
      <c r="N843">
        <v>5.87</v>
      </c>
      <c r="O843">
        <v>4.2900270000000003</v>
      </c>
      <c r="P843">
        <v>66478400</v>
      </c>
      <c r="R843" s="273">
        <f>(O843/O842)*('16. câmbio USD-BRL'!O657/'16. câmbio USD-BRL'!O656)^-1-1</f>
        <v>-3.2540029820603555E-3</v>
      </c>
    </row>
    <row r="844" spans="10:18" x14ac:dyDescent="0.2">
      <c r="J844" s="354">
        <v>42541</v>
      </c>
      <c r="K844">
        <v>6.12</v>
      </c>
      <c r="L844">
        <v>6.25</v>
      </c>
      <c r="M844">
        <v>5.7</v>
      </c>
      <c r="N844">
        <v>5.86</v>
      </c>
      <c r="O844">
        <v>4.2827190000000002</v>
      </c>
      <c r="P844">
        <v>59058600</v>
      </c>
      <c r="R844" s="273">
        <f>(O844/O843)*('16. câmbio USD-BRL'!O658/'16. câmbio USD-BRL'!O657)^-1-1</f>
        <v>2.0972833000393099E-2</v>
      </c>
    </row>
    <row r="845" spans="10:18" x14ac:dyDescent="0.2">
      <c r="J845" s="354">
        <v>42548</v>
      </c>
      <c r="K845">
        <v>5.89</v>
      </c>
      <c r="L845">
        <v>6.3</v>
      </c>
      <c r="M845">
        <v>5.71</v>
      </c>
      <c r="N845">
        <v>6.19</v>
      </c>
      <c r="O845">
        <v>4.5238959999999997</v>
      </c>
      <c r="P845">
        <v>57398900</v>
      </c>
      <c r="R845" s="273">
        <f>(O845/O844)*('16. câmbio USD-BRL'!O659/'16. câmbio USD-BRL'!O658)^-1-1</f>
        <v>9.1103754278947235E-2</v>
      </c>
    </row>
    <row r="846" spans="10:18" x14ac:dyDescent="0.2">
      <c r="J846" s="354">
        <v>42555</v>
      </c>
      <c r="K846">
        <v>6.3</v>
      </c>
      <c r="L846">
        <v>6.43</v>
      </c>
      <c r="M846">
        <v>5.83</v>
      </c>
      <c r="N846">
        <v>6.16</v>
      </c>
      <c r="O846">
        <v>4.5019710000000002</v>
      </c>
      <c r="P846">
        <v>43662800</v>
      </c>
      <c r="R846" s="273">
        <f>(O846/O845)*('16. câmbio USD-BRL'!O660/'16. câmbio USD-BRL'!O659)^-1-1</f>
        <v>-2.5095387285178017E-2</v>
      </c>
    </row>
    <row r="847" spans="10:18" x14ac:dyDescent="0.2">
      <c r="J847" s="354">
        <v>42562</v>
      </c>
      <c r="K847">
        <v>6.3</v>
      </c>
      <c r="L847">
        <v>7.13</v>
      </c>
      <c r="M847">
        <v>6.18</v>
      </c>
      <c r="N847">
        <v>6.94</v>
      </c>
      <c r="O847">
        <v>5.072025</v>
      </c>
      <c r="P847">
        <v>88286200</v>
      </c>
      <c r="R847" s="273">
        <f>(O847/O846)*('16. câmbio USD-BRL'!O661/'16. câmbio USD-BRL'!O660)^-1-1</f>
        <v>0.13387821078110274</v>
      </c>
    </row>
    <row r="848" spans="10:18" x14ac:dyDescent="0.2">
      <c r="J848" s="354">
        <v>42569</v>
      </c>
      <c r="K848">
        <v>6.91</v>
      </c>
      <c r="L848">
        <v>7.31</v>
      </c>
      <c r="M848">
        <v>6.8</v>
      </c>
      <c r="N848">
        <v>7.29</v>
      </c>
      <c r="O848">
        <v>5.3278189999999999</v>
      </c>
      <c r="P848">
        <v>64888100</v>
      </c>
      <c r="R848" s="273">
        <f>(O848/O847)*('16. câmbio USD-BRL'!O662/'16. câmbio USD-BRL'!O661)^-1-1</f>
        <v>5.3003288124078729E-2</v>
      </c>
    </row>
    <row r="849" spans="10:18" x14ac:dyDescent="0.2">
      <c r="J849" s="354">
        <v>42576</v>
      </c>
      <c r="K849">
        <v>7.37</v>
      </c>
      <c r="L849">
        <v>8.0500000000000007</v>
      </c>
      <c r="M849">
        <v>7.16</v>
      </c>
      <c r="N849">
        <v>7.75</v>
      </c>
      <c r="O849">
        <v>5.6640050000000004</v>
      </c>
      <c r="P849">
        <v>69737700</v>
      </c>
      <c r="R849" s="273">
        <f>(O849/O848)*('16. câmbio USD-BRL'!O663/'16. câmbio USD-BRL'!O662)^-1-1</f>
        <v>7.0435906919744218E-2</v>
      </c>
    </row>
    <row r="850" spans="10:18" x14ac:dyDescent="0.2">
      <c r="J850" s="354">
        <v>42583</v>
      </c>
      <c r="K850">
        <v>7.79</v>
      </c>
      <c r="L850">
        <v>8.6199999999999992</v>
      </c>
      <c r="M850">
        <v>7.4</v>
      </c>
      <c r="N850">
        <v>8.57</v>
      </c>
      <c r="O850">
        <v>6.263293</v>
      </c>
      <c r="P850">
        <v>73775600</v>
      </c>
      <c r="R850" s="273">
        <f>(O850/O849)*('16. câmbio USD-BRL'!O664/'16. câmbio USD-BRL'!O663)^-1-1</f>
        <v>0.12638261254717742</v>
      </c>
    </row>
    <row r="851" spans="10:18" x14ac:dyDescent="0.2">
      <c r="J851" s="354">
        <v>42590</v>
      </c>
      <c r="K851">
        <v>8.7200000000000006</v>
      </c>
      <c r="L851">
        <v>9.2899999999999991</v>
      </c>
      <c r="M851">
        <v>8.08</v>
      </c>
      <c r="N851">
        <v>9.06</v>
      </c>
      <c r="O851">
        <v>6.6214050000000002</v>
      </c>
      <c r="P851">
        <v>96212800</v>
      </c>
      <c r="R851" s="273">
        <f>(O851/O850)*('16. câmbio USD-BRL'!O665/'16. câmbio USD-BRL'!O664)^-1-1</f>
        <v>5.5983448174803829E-2</v>
      </c>
    </row>
    <row r="852" spans="10:18" x14ac:dyDescent="0.2">
      <c r="J852" s="354">
        <v>42597</v>
      </c>
      <c r="K852">
        <v>9.1</v>
      </c>
      <c r="L852">
        <v>10.49</v>
      </c>
      <c r="M852">
        <v>9.07</v>
      </c>
      <c r="N852">
        <v>10.28</v>
      </c>
      <c r="O852">
        <v>7.5130280000000003</v>
      </c>
      <c r="P852">
        <v>111268300</v>
      </c>
      <c r="R852" s="273">
        <f>(O852/O851)*('16. câmbio USD-BRL'!O666/'16. câmbio USD-BRL'!O665)^-1-1</f>
        <v>0.12970051829202767</v>
      </c>
    </row>
    <row r="853" spans="10:18" x14ac:dyDescent="0.2">
      <c r="J853" s="354">
        <v>42604</v>
      </c>
      <c r="K853">
        <v>10.26</v>
      </c>
      <c r="L853">
        <v>10.3</v>
      </c>
      <c r="M853">
        <v>8.98</v>
      </c>
      <c r="N853">
        <v>9.1999999999999993</v>
      </c>
      <c r="O853">
        <v>6.7237220000000004</v>
      </c>
      <c r="P853">
        <v>84201200</v>
      </c>
      <c r="R853" s="273">
        <f>(O853/O852)*('16. câmbio USD-BRL'!O667/'16. câmbio USD-BRL'!O666)^-1-1</f>
        <v>-0.12139926591579053</v>
      </c>
    </row>
    <row r="854" spans="10:18" x14ac:dyDescent="0.2">
      <c r="J854" s="354">
        <v>42611</v>
      </c>
      <c r="K854">
        <v>9.27</v>
      </c>
      <c r="L854">
        <v>9.56</v>
      </c>
      <c r="M854">
        <v>8.8800000000000008</v>
      </c>
      <c r="N854">
        <v>9.4700000000000006</v>
      </c>
      <c r="O854">
        <v>6.9425869999999996</v>
      </c>
      <c r="P854">
        <v>63980500</v>
      </c>
      <c r="R854" s="273">
        <f>(O854/O853)*('16. câmbio USD-BRL'!O668/'16. câmbio USD-BRL'!O667)^-1-1</f>
        <v>3.5088070184955189E-2</v>
      </c>
    </row>
    <row r="855" spans="10:18" x14ac:dyDescent="0.2">
      <c r="J855" s="354">
        <v>42618</v>
      </c>
      <c r="K855">
        <v>9.58</v>
      </c>
      <c r="L855">
        <v>9.86</v>
      </c>
      <c r="M855">
        <v>9.24</v>
      </c>
      <c r="N855">
        <v>9.27</v>
      </c>
      <c r="O855">
        <v>6.7959639999999997</v>
      </c>
      <c r="P855">
        <v>52996800</v>
      </c>
      <c r="R855" s="273">
        <f>(O855/O854)*('16. câmbio USD-BRL'!O669/'16. câmbio USD-BRL'!O668)^-1-1</f>
        <v>-2.5786823615727705E-2</v>
      </c>
    </row>
    <row r="856" spans="10:18" x14ac:dyDescent="0.2">
      <c r="J856" s="354">
        <v>42625</v>
      </c>
      <c r="K856">
        <v>9.1300000000000008</v>
      </c>
      <c r="L856">
        <v>9.49</v>
      </c>
      <c r="M856">
        <v>8.23</v>
      </c>
      <c r="N856">
        <v>8.39</v>
      </c>
      <c r="O856">
        <v>6.1508240000000001</v>
      </c>
      <c r="P856">
        <v>87274400</v>
      </c>
      <c r="R856" s="273">
        <f>(O856/O855)*('16. câmbio USD-BRL'!O670/'16. câmbio USD-BRL'!O669)^-1-1</f>
        <v>-9.3211473210004558E-2</v>
      </c>
    </row>
    <row r="857" spans="10:18" x14ac:dyDescent="0.2">
      <c r="J857" s="354">
        <v>42632</v>
      </c>
      <c r="K857">
        <v>8.5500000000000007</v>
      </c>
      <c r="L857">
        <v>9.07</v>
      </c>
      <c r="M857">
        <v>8.18</v>
      </c>
      <c r="N857">
        <v>8.69</v>
      </c>
      <c r="O857">
        <v>6.3707589999999996</v>
      </c>
      <c r="P857">
        <v>60046100</v>
      </c>
      <c r="R857" s="273">
        <f>(O857/O856)*('16. câmbio USD-BRL'!O671/'16. câmbio USD-BRL'!O670)^-1-1</f>
        <v>4.287878520920918E-2</v>
      </c>
    </row>
    <row r="858" spans="10:18" x14ac:dyDescent="0.2">
      <c r="J858" s="354">
        <v>42639</v>
      </c>
      <c r="K858">
        <v>8.59</v>
      </c>
      <c r="L858">
        <v>9.2899999999999991</v>
      </c>
      <c r="M858">
        <v>8.43</v>
      </c>
      <c r="N858">
        <v>8.86</v>
      </c>
      <c r="O858">
        <v>6.495387</v>
      </c>
      <c r="P858">
        <v>56601000</v>
      </c>
      <c r="R858" s="273">
        <f>(O858/O857)*('16. câmbio USD-BRL'!O672/'16. câmbio USD-BRL'!O671)^-1-1</f>
        <v>1.4370548431458241E-2</v>
      </c>
    </row>
    <row r="859" spans="10:18" x14ac:dyDescent="0.2">
      <c r="J859" s="354">
        <v>42646</v>
      </c>
      <c r="K859">
        <v>8.9600000000000009</v>
      </c>
      <c r="L859">
        <v>9.74</v>
      </c>
      <c r="M859">
        <v>8.81</v>
      </c>
      <c r="N859">
        <v>9.67</v>
      </c>
      <c r="O859">
        <v>7.0892080000000002</v>
      </c>
      <c r="P859">
        <v>57863500</v>
      </c>
      <c r="R859" s="273">
        <f>(O859/O858)*('16. câmbio USD-BRL'!O673/'16. câmbio USD-BRL'!O672)^-1-1</f>
        <v>0.1051524554838541</v>
      </c>
    </row>
    <row r="860" spans="10:18" x14ac:dyDescent="0.2">
      <c r="J860" s="354">
        <v>42653</v>
      </c>
      <c r="K860">
        <v>9.75</v>
      </c>
      <c r="L860">
        <v>9.84</v>
      </c>
      <c r="M860">
        <v>9.17</v>
      </c>
      <c r="N860">
        <v>9.44</v>
      </c>
      <c r="O860">
        <v>6.9205930000000002</v>
      </c>
      <c r="P860">
        <v>49942000</v>
      </c>
      <c r="R860" s="273">
        <f>(O860/O859)*('16. câmbio USD-BRL'!O674/'16. câmbio USD-BRL'!O673)^-1-1</f>
        <v>-1.8510377114453247E-2</v>
      </c>
    </row>
    <row r="861" spans="10:18" x14ac:dyDescent="0.2">
      <c r="J861" s="354">
        <v>42660</v>
      </c>
      <c r="K861">
        <v>9.49</v>
      </c>
      <c r="L861">
        <v>10.74</v>
      </c>
      <c r="M861">
        <v>9.4700000000000006</v>
      </c>
      <c r="N861">
        <v>10.64</v>
      </c>
      <c r="O861">
        <v>7.8003299999999998</v>
      </c>
      <c r="P861">
        <v>73541500</v>
      </c>
      <c r="R861" s="273">
        <f>(O861/O860)*('16. câmbio USD-BRL'!O675/'16. câmbio USD-BRL'!O674)^-1-1</f>
        <v>0.14612536971499646</v>
      </c>
    </row>
    <row r="862" spans="10:18" x14ac:dyDescent="0.2">
      <c r="J862" s="354">
        <v>42667</v>
      </c>
      <c r="K862">
        <v>10.91</v>
      </c>
      <c r="L862">
        <v>11.11</v>
      </c>
      <c r="M862">
        <v>10.220000000000001</v>
      </c>
      <c r="N862">
        <v>10.97</v>
      </c>
      <c r="O862">
        <v>8.0422589999999996</v>
      </c>
      <c r="P862">
        <v>57947600</v>
      </c>
      <c r="R862" s="273">
        <f>(O862/O861)*('16. câmbio USD-BRL'!O676/'16. câmbio USD-BRL'!O675)^-1-1</f>
        <v>1.3569306618460342E-2</v>
      </c>
    </row>
    <row r="863" spans="10:18" x14ac:dyDescent="0.2">
      <c r="J863" s="354">
        <v>42674</v>
      </c>
      <c r="K863">
        <v>11.01</v>
      </c>
      <c r="L863">
        <v>11.24</v>
      </c>
      <c r="M863">
        <v>10.029999999999999</v>
      </c>
      <c r="N863">
        <v>10.4</v>
      </c>
      <c r="O863">
        <v>7.6243819999999998</v>
      </c>
      <c r="P863">
        <v>47286600</v>
      </c>
      <c r="R863" s="273">
        <f>(O863/O862)*('16. câmbio USD-BRL'!O677/'16. câmbio USD-BRL'!O676)^-1-1</f>
        <v>-6.0524568525805567E-2</v>
      </c>
    </row>
    <row r="864" spans="10:18" x14ac:dyDescent="0.2">
      <c r="J864" s="354">
        <v>42681</v>
      </c>
      <c r="K864">
        <v>10.87</v>
      </c>
      <c r="L864">
        <v>13.32</v>
      </c>
      <c r="M864">
        <v>10.7</v>
      </c>
      <c r="N864">
        <v>12.09</v>
      </c>
      <c r="O864">
        <v>8.8633459999999999</v>
      </c>
      <c r="P864">
        <v>124645700</v>
      </c>
      <c r="R864" s="273">
        <f>(O864/O863)*('16. câmbio USD-BRL'!O678/'16. câmbio USD-BRL'!O677)^-1-1</f>
        <v>0.10842170091133374</v>
      </c>
    </row>
    <row r="865" spans="10:18" x14ac:dyDescent="0.2">
      <c r="J865" s="354">
        <v>42688</v>
      </c>
      <c r="K865">
        <v>12</v>
      </c>
      <c r="L865">
        <v>13.35</v>
      </c>
      <c r="M865">
        <v>11.5</v>
      </c>
      <c r="N865">
        <v>13.3</v>
      </c>
      <c r="O865">
        <v>9.7504159999999995</v>
      </c>
      <c r="P865">
        <v>61640700</v>
      </c>
      <c r="R865" s="273">
        <f>(O865/O864)*('16. câmbio USD-BRL'!O679/'16. câmbio USD-BRL'!O678)^-1-1</f>
        <v>0.10258737292066011</v>
      </c>
    </row>
    <row r="866" spans="10:18" x14ac:dyDescent="0.2">
      <c r="J866" s="354">
        <v>42695</v>
      </c>
      <c r="K866">
        <v>13.51</v>
      </c>
      <c r="L866">
        <v>14.48</v>
      </c>
      <c r="M866">
        <v>13.35</v>
      </c>
      <c r="N866">
        <v>14.2</v>
      </c>
      <c r="O866">
        <v>10.410214</v>
      </c>
      <c r="P866">
        <v>57326100</v>
      </c>
      <c r="R866" s="273">
        <f>(O866/O865)*('16. câmbio USD-BRL'!O680/'16. câmbio USD-BRL'!O679)^-1-1</f>
        <v>5.5590719853853221E-2</v>
      </c>
    </row>
    <row r="867" spans="10:18" x14ac:dyDescent="0.2">
      <c r="J867" s="354">
        <v>42702</v>
      </c>
      <c r="K867">
        <v>14.2</v>
      </c>
      <c r="L867">
        <v>14.64</v>
      </c>
      <c r="M867">
        <v>12.16</v>
      </c>
      <c r="N867">
        <v>12.9</v>
      </c>
      <c r="O867">
        <v>9.4711569999999998</v>
      </c>
      <c r="P867">
        <v>67130900</v>
      </c>
      <c r="R867" s="273">
        <f>(O867/O866)*('16. câmbio USD-BRL'!O681/'16. câmbio USD-BRL'!O680)^-1-1</f>
        <v>-0.10426583681746804</v>
      </c>
    </row>
    <row r="868" spans="10:18" x14ac:dyDescent="0.2">
      <c r="J868" s="354">
        <v>42709</v>
      </c>
      <c r="K868">
        <v>13.2</v>
      </c>
      <c r="L868">
        <v>13.98</v>
      </c>
      <c r="M868">
        <v>12.69</v>
      </c>
      <c r="N868">
        <v>12.87</v>
      </c>
      <c r="O868">
        <v>9.4491320000000005</v>
      </c>
      <c r="P868">
        <v>52378500</v>
      </c>
      <c r="R868" s="273">
        <f>(O868/O867)*('16. câmbio USD-BRL'!O682/'16. câmbio USD-BRL'!O681)^-1-1</f>
        <v>2.6538243877395562E-2</v>
      </c>
    </row>
    <row r="869" spans="10:18" x14ac:dyDescent="0.2">
      <c r="J869" s="354">
        <v>42716</v>
      </c>
      <c r="K869">
        <v>12.59</v>
      </c>
      <c r="L869">
        <v>12.59</v>
      </c>
      <c r="M869">
        <v>10.73</v>
      </c>
      <c r="N869">
        <v>10.92</v>
      </c>
      <c r="O869">
        <v>8.0174450000000004</v>
      </c>
      <c r="P869">
        <v>77665900</v>
      </c>
      <c r="R869" s="273">
        <f>(O869/O868)*('16. câmbio USD-BRL'!O683/'16. câmbio USD-BRL'!O682)^-1-1</f>
        <v>-0.15486868387086328</v>
      </c>
    </row>
    <row r="870" spans="10:18" x14ac:dyDescent="0.2">
      <c r="J870" s="354">
        <v>42723</v>
      </c>
      <c r="K870">
        <v>10.87</v>
      </c>
      <c r="L870">
        <v>11.34</v>
      </c>
      <c r="M870">
        <v>10.25</v>
      </c>
      <c r="N870">
        <v>10.3</v>
      </c>
      <c r="O870">
        <v>7.5622420000000004</v>
      </c>
      <c r="P870">
        <v>54958600</v>
      </c>
      <c r="R870" s="273">
        <f>(O870/O869)*('16. câmbio USD-BRL'!O684/'16. câmbio USD-BRL'!O683)^-1-1</f>
        <v>-2.1897926716258009E-2</v>
      </c>
    </row>
    <row r="871" spans="10:18" x14ac:dyDescent="0.2">
      <c r="J871" s="354">
        <v>42730</v>
      </c>
      <c r="K871">
        <v>10.34</v>
      </c>
      <c r="L871">
        <v>11.37</v>
      </c>
      <c r="M871">
        <v>10.32</v>
      </c>
      <c r="N871">
        <v>10.8</v>
      </c>
      <c r="O871">
        <v>7.9293389999999997</v>
      </c>
      <c r="P871">
        <v>29372900</v>
      </c>
      <c r="R871" s="273">
        <f>(O871/O870)*('16. câmbio USD-BRL'!O685/'16. câmbio USD-BRL'!O684)^-1-1</f>
        <v>5.3797083786577771E-2</v>
      </c>
    </row>
    <row r="872" spans="10:18" x14ac:dyDescent="0.2">
      <c r="J872" s="354">
        <v>42737</v>
      </c>
      <c r="K872">
        <v>10.7</v>
      </c>
      <c r="L872">
        <v>11.88</v>
      </c>
      <c r="M872">
        <v>10.54</v>
      </c>
      <c r="N872">
        <v>11.73</v>
      </c>
      <c r="O872">
        <v>8.6121440000000007</v>
      </c>
      <c r="P872">
        <v>52515200</v>
      </c>
      <c r="R872" s="273">
        <f>(O872/O871)*('16. câmbio USD-BRL'!O686/'16. câmbio USD-BRL'!O685)^-1-1</f>
        <v>9.6560424028505842E-2</v>
      </c>
    </row>
    <row r="873" spans="10:18" x14ac:dyDescent="0.2">
      <c r="J873" s="354">
        <v>42744</v>
      </c>
      <c r="K873">
        <v>11.79</v>
      </c>
      <c r="L873">
        <v>13.22</v>
      </c>
      <c r="M873">
        <v>11.74</v>
      </c>
      <c r="N873">
        <v>13.06</v>
      </c>
      <c r="O873">
        <v>9.5886300000000002</v>
      </c>
      <c r="P873">
        <v>58207300</v>
      </c>
      <c r="R873" s="273">
        <f>(O873/O872)*('16. câmbio USD-BRL'!O687/'16. câmbio USD-BRL'!O686)^-1-1</f>
        <v>0.12575261025886109</v>
      </c>
    </row>
    <row r="874" spans="10:18" x14ac:dyDescent="0.2">
      <c r="J874" s="354">
        <v>42751</v>
      </c>
      <c r="K874">
        <v>13.1</v>
      </c>
      <c r="L874">
        <v>13.38</v>
      </c>
      <c r="M874">
        <v>11.91</v>
      </c>
      <c r="N874">
        <v>12.22</v>
      </c>
      <c r="O874">
        <v>8.971902</v>
      </c>
      <c r="P874">
        <v>62901900</v>
      </c>
      <c r="R874" s="273">
        <f>(O874/O873)*('16. câmbio USD-BRL'!O688/'16. câmbio USD-BRL'!O687)^-1-1</f>
        <v>-5.1067931529564348E-2</v>
      </c>
    </row>
    <row r="875" spans="10:18" x14ac:dyDescent="0.2">
      <c r="J875" s="354">
        <v>42758</v>
      </c>
      <c r="K875">
        <v>12.29</v>
      </c>
      <c r="L875">
        <v>13.05</v>
      </c>
      <c r="M875">
        <v>12.18</v>
      </c>
      <c r="N875">
        <v>12.57</v>
      </c>
      <c r="O875">
        <v>9.2288689999999995</v>
      </c>
      <c r="P875">
        <v>38070600</v>
      </c>
      <c r="R875" s="273">
        <f>(O875/O874)*('16. câmbio USD-BRL'!O689/'16. câmbio USD-BRL'!O688)^-1-1</f>
        <v>3.9458315906108821E-2</v>
      </c>
    </row>
    <row r="876" spans="10:18" x14ac:dyDescent="0.2">
      <c r="J876" s="354">
        <v>42765</v>
      </c>
      <c r="K876">
        <v>12.42</v>
      </c>
      <c r="L876">
        <v>12.84</v>
      </c>
      <c r="M876">
        <v>11.81</v>
      </c>
      <c r="N876">
        <v>12.7</v>
      </c>
      <c r="O876">
        <v>9.3243170000000006</v>
      </c>
      <c r="P876">
        <v>49580500</v>
      </c>
      <c r="R876" s="273">
        <f>(O876/O875)*('16. câmbio USD-BRL'!O690/'16. câmbio USD-BRL'!O689)^-1-1</f>
        <v>7.135921278490942E-3</v>
      </c>
    </row>
    <row r="877" spans="10:18" x14ac:dyDescent="0.2">
      <c r="J877" s="354">
        <v>42772</v>
      </c>
      <c r="K877">
        <v>12.85</v>
      </c>
      <c r="L877">
        <v>12.93</v>
      </c>
      <c r="M877">
        <v>11.97</v>
      </c>
      <c r="N877">
        <v>12.89</v>
      </c>
      <c r="O877">
        <v>9.463813</v>
      </c>
      <c r="P877">
        <v>33471400</v>
      </c>
      <c r="R877" s="273">
        <f>(O877/O876)*('16. câmbio USD-BRL'!O691/'16. câmbio USD-BRL'!O690)^-1-1</f>
        <v>1.9011017040760247E-2</v>
      </c>
    </row>
    <row r="878" spans="10:18" x14ac:dyDescent="0.2">
      <c r="J878" s="354">
        <v>42779</v>
      </c>
      <c r="K878">
        <v>13.01</v>
      </c>
      <c r="L878">
        <v>13.63</v>
      </c>
      <c r="M878">
        <v>12.94</v>
      </c>
      <c r="N878">
        <v>13.32</v>
      </c>
      <c r="O878">
        <v>9.7795190000000005</v>
      </c>
      <c r="P878">
        <v>59655500</v>
      </c>
      <c r="R878" s="273">
        <f>(O878/O877)*('16. câmbio USD-BRL'!O692/'16. câmbio USD-BRL'!O691)^-1-1</f>
        <v>3.7231666262279584E-2</v>
      </c>
    </row>
    <row r="879" spans="10:18" x14ac:dyDescent="0.2">
      <c r="J879" s="354">
        <v>42786</v>
      </c>
      <c r="K879">
        <v>13.47</v>
      </c>
      <c r="L879">
        <v>13.75</v>
      </c>
      <c r="M879">
        <v>12.55</v>
      </c>
      <c r="N879">
        <v>12.95</v>
      </c>
      <c r="O879">
        <v>9.5078680000000002</v>
      </c>
      <c r="P879">
        <v>48139000</v>
      </c>
      <c r="R879" s="273">
        <f>(O879/O878)*('16. câmbio USD-BRL'!O693/'16. câmbio USD-BRL'!O692)^-1-1</f>
        <v>-2.749479135792654E-2</v>
      </c>
    </row>
    <row r="880" spans="10:18" x14ac:dyDescent="0.2">
      <c r="J880" s="354">
        <v>42793</v>
      </c>
      <c r="K880">
        <v>12.95</v>
      </c>
      <c r="L880">
        <v>13.55</v>
      </c>
      <c r="M880">
        <v>12.95</v>
      </c>
      <c r="N880">
        <v>13.35</v>
      </c>
      <c r="O880">
        <v>9.8015469999999993</v>
      </c>
      <c r="P880">
        <v>30995000</v>
      </c>
      <c r="R880" s="273">
        <f>(O880/O879)*('16. câmbio USD-BRL'!O694/'16. câmbio USD-BRL'!O693)^-1-1</f>
        <v>2.2495511564872395E-2</v>
      </c>
    </row>
    <row r="881" spans="10:18" x14ac:dyDescent="0.2">
      <c r="J881" s="354">
        <v>42800</v>
      </c>
      <c r="K881">
        <v>13.35</v>
      </c>
      <c r="L881">
        <v>13.52</v>
      </c>
      <c r="M881">
        <v>11.68</v>
      </c>
      <c r="N881">
        <v>11.91</v>
      </c>
      <c r="O881">
        <v>8.7443019999999994</v>
      </c>
      <c r="P881">
        <v>73871800</v>
      </c>
      <c r="R881" s="273">
        <f>(O881/O880)*('16. câmbio USD-BRL'!O695/'16. câmbio USD-BRL'!O694)^-1-1</f>
        <v>-0.11565978097027263</v>
      </c>
    </row>
    <row r="882" spans="10:18" x14ac:dyDescent="0.2">
      <c r="J882" s="354">
        <v>42807</v>
      </c>
      <c r="K882">
        <v>12.07</v>
      </c>
      <c r="L882">
        <v>13.2</v>
      </c>
      <c r="M882">
        <v>11.96</v>
      </c>
      <c r="N882">
        <v>12.34</v>
      </c>
      <c r="O882">
        <v>9.0600039999999993</v>
      </c>
      <c r="P882">
        <v>55155700</v>
      </c>
      <c r="R882" s="273">
        <f>(O882/O881)*('16. câmbio USD-BRL'!O696/'16. câmbio USD-BRL'!O695)^-1-1</f>
        <v>5.6546530010396445E-2</v>
      </c>
    </row>
    <row r="883" spans="10:18" x14ac:dyDescent="0.2">
      <c r="J883" s="354">
        <v>42814</v>
      </c>
      <c r="K883">
        <v>12.15</v>
      </c>
      <c r="L883">
        <v>12.69</v>
      </c>
      <c r="M883">
        <v>10.97</v>
      </c>
      <c r="N883">
        <v>11.15</v>
      </c>
      <c r="O883">
        <v>8.1863100000000006</v>
      </c>
      <c r="P883">
        <v>53516700</v>
      </c>
      <c r="R883" s="273">
        <f>(O883/O882)*('16. câmbio USD-BRL'!O697/'16. câmbio USD-BRL'!O696)^-1-1</f>
        <v>-0.10314619440037109</v>
      </c>
    </row>
    <row r="884" spans="10:18" x14ac:dyDescent="0.2">
      <c r="J884" s="354">
        <v>42821</v>
      </c>
      <c r="K884">
        <v>10.9</v>
      </c>
      <c r="L884">
        <v>11.22</v>
      </c>
      <c r="M884">
        <v>10.6</v>
      </c>
      <c r="N884">
        <v>10.89</v>
      </c>
      <c r="O884">
        <v>7.9954200000000002</v>
      </c>
      <c r="P884">
        <v>39439500</v>
      </c>
      <c r="R884" s="273">
        <f>(O884/O883)*('16. câmbio USD-BRL'!O698/'16. câmbio USD-BRL'!O697)^-1-1</f>
        <v>-2.7103786687775133E-2</v>
      </c>
    </row>
    <row r="885" spans="10:18" x14ac:dyDescent="0.2">
      <c r="J885" s="354">
        <v>42828</v>
      </c>
      <c r="K885">
        <v>10.97</v>
      </c>
      <c r="L885">
        <v>11.28</v>
      </c>
      <c r="M885">
        <v>10.17</v>
      </c>
      <c r="N885">
        <v>10.55</v>
      </c>
      <c r="O885">
        <v>7.7457909999999996</v>
      </c>
      <c r="P885">
        <v>37772000</v>
      </c>
      <c r="R885" s="273">
        <f>(O885/O884)*('16. câmbio USD-BRL'!O699/'16. câmbio USD-BRL'!O698)^-1-1</f>
        <v>-3.8276235106948109E-2</v>
      </c>
    </row>
    <row r="886" spans="10:18" x14ac:dyDescent="0.2">
      <c r="J886" s="354">
        <v>42835</v>
      </c>
      <c r="K886">
        <v>10.62</v>
      </c>
      <c r="L886">
        <v>10.66</v>
      </c>
      <c r="M886">
        <v>9.41</v>
      </c>
      <c r="N886">
        <v>9.4499999999999993</v>
      </c>
      <c r="O886">
        <v>6.9381729999999999</v>
      </c>
      <c r="P886">
        <v>51712800</v>
      </c>
      <c r="R886" s="273">
        <f>(O886/O885)*('16. câmbio USD-BRL'!O700/'16. câmbio USD-BRL'!O699)^-1-1</f>
        <v>-0.10398047034571223</v>
      </c>
    </row>
    <row r="887" spans="10:18" x14ac:dyDescent="0.2">
      <c r="J887" s="354">
        <v>42842</v>
      </c>
      <c r="K887">
        <v>9.5</v>
      </c>
      <c r="L887">
        <v>9.69</v>
      </c>
      <c r="M887">
        <v>9.19</v>
      </c>
      <c r="N887">
        <v>9.5500000000000007</v>
      </c>
      <c r="O887">
        <v>7.0115939999999997</v>
      </c>
      <c r="P887">
        <v>41919000</v>
      </c>
      <c r="R887" s="273">
        <f>(O887/O886)*('16. câmbio USD-BRL'!O701/'16. câmbio USD-BRL'!O700)^-1-1</f>
        <v>9.5866280917340507E-3</v>
      </c>
    </row>
    <row r="888" spans="10:18" x14ac:dyDescent="0.2">
      <c r="J888" s="354">
        <v>42849</v>
      </c>
      <c r="K888">
        <v>9.7799999999999994</v>
      </c>
      <c r="L888">
        <v>10</v>
      </c>
      <c r="M888">
        <v>9.52</v>
      </c>
      <c r="N888">
        <v>9.8000000000000007</v>
      </c>
      <c r="O888">
        <v>7.1951419999999997</v>
      </c>
      <c r="P888">
        <v>42271300</v>
      </c>
      <c r="R888" s="273">
        <f>(O888/O887)*('16. câmbio USD-BRL'!O702/'16. câmbio USD-BRL'!O701)^-1-1</f>
        <v>1.6711140622337695E-2</v>
      </c>
    </row>
    <row r="889" spans="10:18" x14ac:dyDescent="0.2">
      <c r="J889" s="354">
        <v>42856</v>
      </c>
      <c r="K889">
        <v>9.8000000000000007</v>
      </c>
      <c r="L889">
        <v>10.130000000000001</v>
      </c>
      <c r="M889">
        <v>9.14</v>
      </c>
      <c r="N889">
        <v>9.32</v>
      </c>
      <c r="O889">
        <v>6.842727</v>
      </c>
      <c r="P889">
        <v>46026500</v>
      </c>
      <c r="R889" s="273">
        <f>(O889/O888)*('16. câmbio USD-BRL'!O703/'16. câmbio USD-BRL'!O702)^-1-1</f>
        <v>-4.9458422564308546E-2</v>
      </c>
    </row>
    <row r="890" spans="10:18" x14ac:dyDescent="0.2">
      <c r="J890" s="354">
        <v>42863</v>
      </c>
      <c r="K890">
        <v>9.32</v>
      </c>
      <c r="L890">
        <v>10.17</v>
      </c>
      <c r="M890">
        <v>9.0500000000000007</v>
      </c>
      <c r="N890">
        <v>9.6199999999999992</v>
      </c>
      <c r="O890">
        <v>7.0629869999999997</v>
      </c>
      <c r="P890">
        <v>48749100</v>
      </c>
      <c r="R890" s="273">
        <f>(O890/O889)*('16. câmbio USD-BRL'!O704/'16. câmbio USD-BRL'!O703)^-1-1</f>
        <v>3.2188921171339979E-2</v>
      </c>
    </row>
    <row r="891" spans="10:18" x14ac:dyDescent="0.2">
      <c r="J891" s="354">
        <v>42870</v>
      </c>
      <c r="K891">
        <v>9.76</v>
      </c>
      <c r="L891">
        <v>10.47</v>
      </c>
      <c r="M891">
        <v>8.25</v>
      </c>
      <c r="N891">
        <v>9.56</v>
      </c>
      <c r="O891">
        <v>7.0189349999999999</v>
      </c>
      <c r="P891">
        <v>83450000</v>
      </c>
      <c r="R891" s="273">
        <f>(O891/O890)*('16. câmbio USD-BRL'!O705/'16. câmbio USD-BRL'!O704)^-1-1</f>
        <v>-2.9330028716307077E-2</v>
      </c>
    </row>
    <row r="892" spans="10:18" x14ac:dyDescent="0.2">
      <c r="J892" s="354">
        <v>42877</v>
      </c>
      <c r="K892">
        <v>9.49</v>
      </c>
      <c r="L892">
        <v>9.99</v>
      </c>
      <c r="M892">
        <v>9.07</v>
      </c>
      <c r="N892">
        <v>9.5500000000000007</v>
      </c>
      <c r="O892">
        <v>7.0115939999999997</v>
      </c>
      <c r="P892">
        <v>54008700</v>
      </c>
      <c r="R892" s="273">
        <f>(O892/O891)*('16. câmbio USD-BRL'!O706/'16. câmbio USD-BRL'!O705)^-1-1</f>
        <v>2.2720024479449874E-2</v>
      </c>
    </row>
    <row r="893" spans="10:18" x14ac:dyDescent="0.2">
      <c r="J893" s="354">
        <v>42884</v>
      </c>
      <c r="K893">
        <v>9.5500000000000007</v>
      </c>
      <c r="L893">
        <v>9.98</v>
      </c>
      <c r="M893">
        <v>9.4</v>
      </c>
      <c r="N893">
        <v>9.56</v>
      </c>
      <c r="O893">
        <v>7.0189349999999999</v>
      </c>
      <c r="P893">
        <v>37111500</v>
      </c>
      <c r="R893" s="273">
        <f>(O893/O892)*('16. câmbio USD-BRL'!O707/'16. câmbio USD-BRL'!O706)^-1-1</f>
        <v>-2.0981475765893154E-2</v>
      </c>
    </row>
    <row r="894" spans="10:18" x14ac:dyDescent="0.2">
      <c r="J894" s="354">
        <v>42891</v>
      </c>
      <c r="K894">
        <v>9.48</v>
      </c>
      <c r="L894">
        <v>9.91</v>
      </c>
      <c r="M894">
        <v>9.11</v>
      </c>
      <c r="N894">
        <v>9.67</v>
      </c>
      <c r="O894">
        <v>7.0996949999999996</v>
      </c>
      <c r="P894">
        <v>48830300</v>
      </c>
      <c r="R894" s="273">
        <f>(O894/O893)*('16. câmbio USD-BRL'!O708/'16. câmbio USD-BRL'!O707)^-1-1</f>
        <v>3.4265461554034315E-2</v>
      </c>
    </row>
    <row r="895" spans="10:18" x14ac:dyDescent="0.2">
      <c r="J895" s="354">
        <v>42898</v>
      </c>
      <c r="K895">
        <v>9.75</v>
      </c>
      <c r="L895">
        <v>9.77</v>
      </c>
      <c r="M895">
        <v>8.93</v>
      </c>
      <c r="N895">
        <v>9.02</v>
      </c>
      <c r="O895">
        <v>6.6224679999999996</v>
      </c>
      <c r="P895">
        <v>36208900</v>
      </c>
      <c r="R895" s="273">
        <f>(O895/O894)*('16. câmbio USD-BRL'!O709/'16. câmbio USD-BRL'!O708)^-1-1</f>
        <v>-9.8673753266470876E-2</v>
      </c>
    </row>
    <row r="896" spans="10:18" x14ac:dyDescent="0.2">
      <c r="J896" s="354">
        <v>42905</v>
      </c>
      <c r="K896">
        <v>9.09</v>
      </c>
      <c r="L896">
        <v>9.84</v>
      </c>
      <c r="M896">
        <v>8.89</v>
      </c>
      <c r="N896">
        <v>9.6999999999999993</v>
      </c>
      <c r="O896">
        <v>7.1217230000000002</v>
      </c>
      <c r="P896">
        <v>43919300</v>
      </c>
      <c r="R896" s="273">
        <f>(O896/O895)*('16. câmbio USD-BRL'!O710/'16. câmbio USD-BRL'!O709)^-1-1</f>
        <v>5.836335977884044E-2</v>
      </c>
    </row>
    <row r="897" spans="10:18" x14ac:dyDescent="0.2">
      <c r="J897" s="354">
        <v>42912</v>
      </c>
      <c r="K897">
        <v>9.81</v>
      </c>
      <c r="L897">
        <v>10.47</v>
      </c>
      <c r="M897">
        <v>9.7100000000000009</v>
      </c>
      <c r="N897">
        <v>10.28</v>
      </c>
      <c r="O897">
        <v>7.5475570000000003</v>
      </c>
      <c r="P897">
        <v>49519500</v>
      </c>
      <c r="R897" s="273">
        <f>(O897/O896)*('16. câmbio USD-BRL'!O711/'16. câmbio USD-BRL'!O710)^-1-1</f>
        <v>0.11442256017526287</v>
      </c>
    </row>
    <row r="898" spans="10:18" x14ac:dyDescent="0.2">
      <c r="J898" s="354">
        <v>42919</v>
      </c>
      <c r="K898">
        <v>10.3</v>
      </c>
      <c r="L898">
        <v>10.94</v>
      </c>
      <c r="M898">
        <v>10.25</v>
      </c>
      <c r="N898">
        <v>10.76</v>
      </c>
      <c r="O898">
        <v>7.8999709999999999</v>
      </c>
      <c r="P898">
        <v>39351500</v>
      </c>
      <c r="R898" s="273">
        <f>(O898/O897)*('16. câmbio USD-BRL'!O712/'16. câmbio USD-BRL'!O711)^-1-1</f>
        <v>4.6692459560093269E-2</v>
      </c>
    </row>
    <row r="899" spans="10:18" x14ac:dyDescent="0.2">
      <c r="J899" s="354">
        <v>42926</v>
      </c>
      <c r="K899">
        <v>10.76</v>
      </c>
      <c r="L899">
        <v>11.12</v>
      </c>
      <c r="M899">
        <v>10.7</v>
      </c>
      <c r="N899">
        <v>10.94</v>
      </c>
      <c r="O899">
        <v>8.0321289999999994</v>
      </c>
      <c r="P899">
        <v>39706000</v>
      </c>
      <c r="R899" s="273">
        <f>(O899/O898)*('16. câmbio USD-BRL'!O713/'16. câmbio USD-BRL'!O712)^-1-1</f>
        <v>1.6728922169461091E-2</v>
      </c>
    </row>
    <row r="900" spans="10:18" x14ac:dyDescent="0.2">
      <c r="J900" s="354">
        <v>42933</v>
      </c>
      <c r="K900">
        <v>10.99</v>
      </c>
      <c r="L900">
        <v>11.1</v>
      </c>
      <c r="M900">
        <v>10.59</v>
      </c>
      <c r="N900">
        <v>10.69</v>
      </c>
      <c r="O900">
        <v>7.848579</v>
      </c>
      <c r="P900">
        <v>29038700</v>
      </c>
      <c r="R900" s="273">
        <f>(O900/O899)*('16. câmbio USD-BRL'!O714/'16. câmbio USD-BRL'!O713)^-1-1</f>
        <v>-2.2851973617455501E-2</v>
      </c>
    </row>
    <row r="901" spans="10:18" x14ac:dyDescent="0.2">
      <c r="J901" s="354">
        <v>42940</v>
      </c>
      <c r="K901">
        <v>10.71</v>
      </c>
      <c r="L901">
        <v>11.2</v>
      </c>
      <c r="M901">
        <v>10.41</v>
      </c>
      <c r="N901">
        <v>10.59</v>
      </c>
      <c r="O901">
        <v>7.7751590000000004</v>
      </c>
      <c r="P901">
        <v>40594100</v>
      </c>
      <c r="R901" s="273">
        <f>(O901/O900)*('16. câmbio USD-BRL'!O715/'16. câmbio USD-BRL'!O714)^-1-1</f>
        <v>-9.3545595960745631E-3</v>
      </c>
    </row>
    <row r="902" spans="10:18" x14ac:dyDescent="0.2">
      <c r="J902" s="354">
        <v>42947</v>
      </c>
      <c r="K902">
        <v>10.82</v>
      </c>
      <c r="L902">
        <v>11.21</v>
      </c>
      <c r="M902">
        <v>10.48</v>
      </c>
      <c r="N902">
        <v>11.18</v>
      </c>
      <c r="O902">
        <v>8.2083349999999999</v>
      </c>
      <c r="P902">
        <v>36569100</v>
      </c>
      <c r="R902" s="273">
        <f>(O902/O901)*('16. câmbio USD-BRL'!O716/'16. câmbio USD-BRL'!O715)^-1-1</f>
        <v>7.2041227841461941E-2</v>
      </c>
    </row>
    <row r="903" spans="10:18" x14ac:dyDescent="0.2">
      <c r="J903" s="354">
        <v>42954</v>
      </c>
      <c r="K903">
        <v>11.4</v>
      </c>
      <c r="L903">
        <v>11.7</v>
      </c>
      <c r="M903">
        <v>11.16</v>
      </c>
      <c r="N903">
        <v>11.29</v>
      </c>
      <c r="O903">
        <v>8.2890990000000002</v>
      </c>
      <c r="P903">
        <v>35619500</v>
      </c>
      <c r="R903" s="273">
        <f>(O903/O902)*('16. câmbio USD-BRL'!O717/'16. câmbio USD-BRL'!O716)^-1-1</f>
        <v>-5.541738256879869E-3</v>
      </c>
    </row>
    <row r="904" spans="10:18" x14ac:dyDescent="0.2">
      <c r="J904" s="354">
        <v>42961</v>
      </c>
      <c r="K904">
        <v>11.28</v>
      </c>
      <c r="L904">
        <v>11.54</v>
      </c>
      <c r="M904">
        <v>10.97</v>
      </c>
      <c r="N904">
        <v>11.18</v>
      </c>
      <c r="O904">
        <v>8.2083349999999999</v>
      </c>
      <c r="P904">
        <v>32593300</v>
      </c>
      <c r="R904" s="273">
        <f>(O904/O903)*('16. câmbio USD-BRL'!O718/'16. câmbio USD-BRL'!O717)^-1-1</f>
        <v>-9.7433991317995572E-3</v>
      </c>
    </row>
    <row r="905" spans="10:18" x14ac:dyDescent="0.2">
      <c r="J905" s="354">
        <v>42968</v>
      </c>
      <c r="K905">
        <v>11.3</v>
      </c>
      <c r="L905">
        <v>11.78</v>
      </c>
      <c r="M905">
        <v>11.05</v>
      </c>
      <c r="N905">
        <v>11.47</v>
      </c>
      <c r="O905">
        <v>8.4212550000000004</v>
      </c>
      <c r="P905">
        <v>45321700</v>
      </c>
      <c r="R905" s="273">
        <f>(O905/O904)*('16. câmbio USD-BRL'!O719/'16. câmbio USD-BRL'!O718)^-1-1</f>
        <v>3.2110649386672963E-2</v>
      </c>
    </row>
    <row r="906" spans="10:18" x14ac:dyDescent="0.2">
      <c r="J906" s="354">
        <v>42975</v>
      </c>
      <c r="K906">
        <v>11.47</v>
      </c>
      <c r="L906">
        <v>12.73</v>
      </c>
      <c r="M906">
        <v>11.32</v>
      </c>
      <c r="N906">
        <v>12.59</v>
      </c>
      <c r="O906">
        <v>9.2603159999999995</v>
      </c>
      <c r="P906">
        <v>60359700</v>
      </c>
      <c r="R906" s="273">
        <f>(O906/O905)*('16. câmbio USD-BRL'!O720/'16. câmbio USD-BRL'!O719)^-1-1</f>
        <v>9.3061191138237742E-2</v>
      </c>
    </row>
    <row r="907" spans="10:18" x14ac:dyDescent="0.2">
      <c r="J907" s="354">
        <v>42982</v>
      </c>
      <c r="K907">
        <v>12.59</v>
      </c>
      <c r="L907">
        <v>13.54</v>
      </c>
      <c r="M907">
        <v>12.17</v>
      </c>
      <c r="N907">
        <v>12.22</v>
      </c>
      <c r="O907">
        <v>8.9881700000000002</v>
      </c>
      <c r="P907">
        <v>50218700</v>
      </c>
      <c r="R907" s="273">
        <f>(O907/O906)*('16. câmbio USD-BRL'!O721/'16. câmbio USD-BRL'!O720)^-1-1</f>
        <v>-2.9388413959091642E-2</v>
      </c>
    </row>
    <row r="908" spans="10:18" x14ac:dyDescent="0.2">
      <c r="J908" s="354">
        <v>42989</v>
      </c>
      <c r="K908">
        <v>12.31</v>
      </c>
      <c r="L908">
        <v>12.6</v>
      </c>
      <c r="M908">
        <v>11.78</v>
      </c>
      <c r="N908">
        <v>12.16</v>
      </c>
      <c r="O908">
        <v>8.9440390000000001</v>
      </c>
      <c r="P908">
        <v>63415000</v>
      </c>
      <c r="R908" s="273">
        <f>(O908/O907)*('16. câmbio USD-BRL'!O722/'16. câmbio USD-BRL'!O721)^-1-1</f>
        <v>1.6849797853592197E-2</v>
      </c>
    </row>
    <row r="909" spans="10:18" x14ac:dyDescent="0.2">
      <c r="J909" s="354">
        <v>42996</v>
      </c>
      <c r="K909">
        <v>12.33</v>
      </c>
      <c r="L909">
        <v>12.49</v>
      </c>
      <c r="M909">
        <v>11.22</v>
      </c>
      <c r="N909">
        <v>11.31</v>
      </c>
      <c r="O909">
        <v>8.3188399999999998</v>
      </c>
      <c r="P909">
        <v>56665600</v>
      </c>
      <c r="R909" s="273">
        <f>(O909/O908)*('16. câmbio USD-BRL'!O723/'16. câmbio USD-BRL'!O722)^-1-1</f>
        <v>-7.4010482197898519E-2</v>
      </c>
    </row>
    <row r="910" spans="10:18" x14ac:dyDescent="0.2">
      <c r="J910" s="354">
        <v>43003</v>
      </c>
      <c r="K910">
        <v>11.26</v>
      </c>
      <c r="L910">
        <v>11.42</v>
      </c>
      <c r="M910">
        <v>10.65</v>
      </c>
      <c r="N910">
        <v>11.04</v>
      </c>
      <c r="O910">
        <v>8.1202470000000009</v>
      </c>
      <c r="P910">
        <v>55017500</v>
      </c>
      <c r="R910" s="273">
        <f>(O910/O909)*('16. câmbio USD-BRL'!O724/'16. câmbio USD-BRL'!O723)^-1-1</f>
        <v>-3.6184584305904099E-2</v>
      </c>
    </row>
    <row r="911" spans="10:18" x14ac:dyDescent="0.2">
      <c r="J911" s="354">
        <v>43010</v>
      </c>
      <c r="K911">
        <v>11.11</v>
      </c>
      <c r="L911">
        <v>11.76</v>
      </c>
      <c r="M911">
        <v>10.67</v>
      </c>
      <c r="N911">
        <v>10.76</v>
      </c>
      <c r="O911">
        <v>7.9142950000000001</v>
      </c>
      <c r="P911">
        <v>59344200</v>
      </c>
      <c r="R911" s="273">
        <f>(O911/O910)*('16. câmbio USD-BRL'!O725/'16. câmbio USD-BRL'!O724)^-1-1</f>
        <v>-2.2922707452972091E-2</v>
      </c>
    </row>
    <row r="912" spans="10:18" x14ac:dyDescent="0.2">
      <c r="J912" s="354">
        <v>43017</v>
      </c>
      <c r="K912">
        <v>10.83</v>
      </c>
      <c r="L912">
        <v>11.5</v>
      </c>
      <c r="M912">
        <v>10.43</v>
      </c>
      <c r="N912">
        <v>11.44</v>
      </c>
      <c r="O912">
        <v>8.4144570000000005</v>
      </c>
      <c r="P912">
        <v>51009400</v>
      </c>
      <c r="R912" s="273">
        <f>(O912/O911)*('16. câmbio USD-BRL'!O726/'16. câmbio USD-BRL'!O725)^-1-1</f>
        <v>6.725594085762765E-2</v>
      </c>
    </row>
    <row r="913" spans="10:18" x14ac:dyDescent="0.2">
      <c r="J913" s="354">
        <v>43024</v>
      </c>
      <c r="K913">
        <v>11.57</v>
      </c>
      <c r="L913">
        <v>11.93</v>
      </c>
      <c r="M913">
        <v>11.27</v>
      </c>
      <c r="N913">
        <v>11.68</v>
      </c>
      <c r="O913">
        <v>8.5909809999999993</v>
      </c>
      <c r="P913">
        <v>45330400</v>
      </c>
      <c r="R913" s="273">
        <f>(O913/O912)*('16. câmbio USD-BRL'!O727/'16. câmbio USD-BRL'!O726)^-1-1</f>
        <v>5.4026707515726358E-3</v>
      </c>
    </row>
    <row r="914" spans="10:18" x14ac:dyDescent="0.2">
      <c r="J914" s="354">
        <v>43031</v>
      </c>
      <c r="K914">
        <v>11.8</v>
      </c>
      <c r="L914">
        <v>12.2</v>
      </c>
      <c r="M914">
        <v>11.43</v>
      </c>
      <c r="N914">
        <v>11.58</v>
      </c>
      <c r="O914">
        <v>8.5174310000000002</v>
      </c>
      <c r="P914">
        <v>40843900</v>
      </c>
      <c r="R914" s="273">
        <f>(O914/O913)*('16. câmbio USD-BRL'!O728/'16. câmbio USD-BRL'!O727)^-1-1</f>
        <v>-2.0558101887502844E-2</v>
      </c>
    </row>
    <row r="915" spans="10:18" x14ac:dyDescent="0.2">
      <c r="J915" s="354">
        <v>43038</v>
      </c>
      <c r="K915">
        <v>11.53</v>
      </c>
      <c r="L915">
        <v>11.61</v>
      </c>
      <c r="M915">
        <v>10.19</v>
      </c>
      <c r="N915">
        <v>10.78</v>
      </c>
      <c r="O915">
        <v>7.9290060000000002</v>
      </c>
      <c r="P915">
        <v>55224300</v>
      </c>
      <c r="R915" s="273">
        <f>(O915/O914)*('16. câmbio USD-BRL'!O729/'16. câmbio USD-BRL'!O728)^-1-1</f>
        <v>-9.2014159115631267E-2</v>
      </c>
    </row>
    <row r="916" spans="10:18" x14ac:dyDescent="0.2">
      <c r="J916" s="354">
        <v>43045</v>
      </c>
      <c r="K916">
        <v>11</v>
      </c>
      <c r="L916">
        <v>11.09</v>
      </c>
      <c r="M916">
        <v>10.17</v>
      </c>
      <c r="N916">
        <v>10.28</v>
      </c>
      <c r="O916">
        <v>7.5612440000000003</v>
      </c>
      <c r="P916">
        <v>48747500</v>
      </c>
      <c r="R916" s="273">
        <f>(O916/O915)*('16. câmbio USD-BRL'!O730/'16. câmbio USD-BRL'!O729)^-1-1</f>
        <v>-3.4727136385982238E-2</v>
      </c>
    </row>
    <row r="917" spans="10:18" x14ac:dyDescent="0.2">
      <c r="J917" s="354">
        <v>43052</v>
      </c>
      <c r="K917">
        <v>10.27</v>
      </c>
      <c r="L917">
        <v>10.59</v>
      </c>
      <c r="M917">
        <v>9.9499999999999993</v>
      </c>
      <c r="N917">
        <v>10.54</v>
      </c>
      <c r="O917">
        <v>7.7524790000000001</v>
      </c>
      <c r="P917">
        <v>37095000</v>
      </c>
      <c r="R917" s="273">
        <f>(O917/O916)*('16. câmbio USD-BRL'!O731/'16. câmbio USD-BRL'!O730)^-1-1</f>
        <v>3.1753924069277906E-2</v>
      </c>
    </row>
    <row r="918" spans="10:18" x14ac:dyDescent="0.2">
      <c r="J918" s="354">
        <v>43059</v>
      </c>
      <c r="K918">
        <v>10.54</v>
      </c>
      <c r="L918">
        <v>10.99</v>
      </c>
      <c r="M918">
        <v>10.48</v>
      </c>
      <c r="N918">
        <v>10.77</v>
      </c>
      <c r="O918">
        <v>7.9216519999999999</v>
      </c>
      <c r="P918">
        <v>30584600</v>
      </c>
      <c r="R918" s="273">
        <f>(O918/O917)*('16. câmbio USD-BRL'!O732/'16. câmbio USD-BRL'!O731)^-1-1</f>
        <v>2.8430513049665596E-2</v>
      </c>
    </row>
    <row r="919" spans="10:18" x14ac:dyDescent="0.2">
      <c r="J919" s="354">
        <v>43066</v>
      </c>
      <c r="K919">
        <v>10.77</v>
      </c>
      <c r="L919">
        <v>11.21</v>
      </c>
      <c r="M919">
        <v>10.76</v>
      </c>
      <c r="N919">
        <v>11.05</v>
      </c>
      <c r="O919">
        <v>8.1508249999999993</v>
      </c>
      <c r="P919">
        <v>61207500</v>
      </c>
      <c r="R919" s="273">
        <f>(O919/O918)*('16. câmbio USD-BRL'!O733/'16. câmbio USD-BRL'!O732)^-1-1</f>
        <v>2.2129460480654561E-2</v>
      </c>
    </row>
    <row r="920" spans="10:18" x14ac:dyDescent="0.2">
      <c r="J920" s="354">
        <v>43073</v>
      </c>
      <c r="K920">
        <v>11.19</v>
      </c>
      <c r="L920">
        <v>11.77</v>
      </c>
      <c r="M920">
        <v>10.83</v>
      </c>
      <c r="N920">
        <v>11.7</v>
      </c>
      <c r="O920">
        <v>8.6302800000000008</v>
      </c>
      <c r="P920">
        <v>47055400</v>
      </c>
      <c r="R920" s="273">
        <f>(O920/O919)*('16. câmbio USD-BRL'!O734/'16. câmbio USD-BRL'!O733)^-1-1</f>
        <v>4.7615678657579208E-2</v>
      </c>
    </row>
    <row r="921" spans="10:18" x14ac:dyDescent="0.2">
      <c r="J921" s="354">
        <v>43080</v>
      </c>
      <c r="K921">
        <v>11.77</v>
      </c>
      <c r="L921">
        <v>12.08</v>
      </c>
      <c r="M921">
        <v>11.53</v>
      </c>
      <c r="N921">
        <v>12.06</v>
      </c>
      <c r="O921">
        <v>8.8958309999999994</v>
      </c>
      <c r="P921">
        <v>47910400</v>
      </c>
      <c r="R921" s="273">
        <f>(O921/O920)*('16. câmbio USD-BRL'!O735/'16. câmbio USD-BRL'!O734)^-1-1</f>
        <v>3.0174353729014447E-2</v>
      </c>
    </row>
    <row r="922" spans="10:18" x14ac:dyDescent="0.2">
      <c r="J922" s="354">
        <v>43087</v>
      </c>
      <c r="K922">
        <v>12.12</v>
      </c>
      <c r="L922">
        <v>12.55</v>
      </c>
      <c r="M922">
        <v>11.8</v>
      </c>
      <c r="N922">
        <v>12.44</v>
      </c>
      <c r="O922">
        <v>9.1761289999999995</v>
      </c>
      <c r="P922">
        <v>32395900</v>
      </c>
      <c r="R922" s="273">
        <f>(O922/O921)*('16. câmbio USD-BRL'!O736/'16. câmbio USD-BRL'!O735)^-1-1</f>
        <v>1.7345190833087498E-2</v>
      </c>
    </row>
    <row r="923" spans="10:18" x14ac:dyDescent="0.2">
      <c r="J923" s="354">
        <v>43094</v>
      </c>
      <c r="K923">
        <v>12.44</v>
      </c>
      <c r="L923">
        <v>12.6</v>
      </c>
      <c r="M923">
        <v>12.17</v>
      </c>
      <c r="N923">
        <v>12.38</v>
      </c>
      <c r="O923">
        <v>9.1318719999999995</v>
      </c>
      <c r="P923">
        <v>15539800</v>
      </c>
      <c r="R923" s="273">
        <f>(O923/O922)*('16. câmbio USD-BRL'!O737/'16. câmbio USD-BRL'!O736)^-1-1</f>
        <v>2.5408308387273593E-3</v>
      </c>
    </row>
    <row r="924" spans="10:18" x14ac:dyDescent="0.2">
      <c r="J924" s="354">
        <v>43101</v>
      </c>
      <c r="K924">
        <v>12.38</v>
      </c>
      <c r="L924">
        <v>13.95</v>
      </c>
      <c r="M924">
        <v>12.38</v>
      </c>
      <c r="N924">
        <v>13.48</v>
      </c>
      <c r="O924">
        <v>9.9432659999999995</v>
      </c>
      <c r="P924">
        <v>66461200</v>
      </c>
      <c r="R924" s="273">
        <f>(O924/O923)*('16. câmbio USD-BRL'!O738/'16. câmbio USD-BRL'!O737)^-1-1</f>
        <v>0.11757717294776882</v>
      </c>
    </row>
    <row r="925" spans="10:18" x14ac:dyDescent="0.2">
      <c r="J925" s="354">
        <v>43108</v>
      </c>
      <c r="K925">
        <v>13.43</v>
      </c>
      <c r="L925">
        <v>15.38</v>
      </c>
      <c r="M925">
        <v>13.26</v>
      </c>
      <c r="N925">
        <v>14.97</v>
      </c>
      <c r="O925">
        <v>11.042335</v>
      </c>
      <c r="P925">
        <v>110716900</v>
      </c>
      <c r="R925" s="273">
        <f>(O925/O924)*('16. câmbio USD-BRL'!O739/'16. câmbio USD-BRL'!O738)^-1-1</f>
        <v>0.11927754624464271</v>
      </c>
    </row>
    <row r="926" spans="10:18" x14ac:dyDescent="0.2">
      <c r="J926" s="354">
        <v>43115</v>
      </c>
      <c r="K926">
        <v>15.13</v>
      </c>
      <c r="L926">
        <v>15.21</v>
      </c>
      <c r="M926">
        <v>13.78</v>
      </c>
      <c r="N926">
        <v>14.16</v>
      </c>
      <c r="O926">
        <v>10.444855</v>
      </c>
      <c r="P926">
        <v>72001700</v>
      </c>
      <c r="R926" s="273">
        <f>(O926/O925)*('16. câmbio USD-BRL'!O740/'16. câmbio USD-BRL'!O739)^-1-1</f>
        <v>-5.1292261023038965E-2</v>
      </c>
    </row>
    <row r="927" spans="10:18" x14ac:dyDescent="0.2">
      <c r="J927" s="354">
        <v>43122</v>
      </c>
      <c r="K927">
        <v>14.2</v>
      </c>
      <c r="L927">
        <v>14.94</v>
      </c>
      <c r="M927">
        <v>13.41</v>
      </c>
      <c r="N927">
        <v>14.94</v>
      </c>
      <c r="O927">
        <v>11.020206</v>
      </c>
      <c r="P927">
        <v>57926800</v>
      </c>
      <c r="R927" s="273">
        <f>(O927/O926)*('16. câmbio USD-BRL'!O741/'16. câmbio USD-BRL'!O740)^-1-1</f>
        <v>6.9937423966836221E-2</v>
      </c>
    </row>
    <row r="928" spans="10:18" x14ac:dyDescent="0.2">
      <c r="J928" s="354">
        <v>43129</v>
      </c>
      <c r="K928">
        <v>14.81</v>
      </c>
      <c r="L928">
        <v>15.18</v>
      </c>
      <c r="M928">
        <v>14.3</v>
      </c>
      <c r="N928">
        <v>14.57</v>
      </c>
      <c r="O928">
        <v>10.747282</v>
      </c>
      <c r="P928">
        <v>64709900</v>
      </c>
      <c r="R928" s="273">
        <f>(O928/O927)*('16. câmbio USD-BRL'!O742/'16. câmbio USD-BRL'!O741)^-1-1</f>
        <v>-4.5986954471240016E-2</v>
      </c>
    </row>
    <row r="929" spans="10:18" x14ac:dyDescent="0.2">
      <c r="J929" s="354">
        <v>43136</v>
      </c>
      <c r="K929">
        <v>14.35</v>
      </c>
      <c r="L929">
        <v>14.65</v>
      </c>
      <c r="M929">
        <v>13.52</v>
      </c>
      <c r="N929">
        <v>14.03</v>
      </c>
      <c r="O929">
        <v>10.348962</v>
      </c>
      <c r="P929">
        <v>51020200</v>
      </c>
      <c r="R929" s="273">
        <f>(O929/O928)*('16. câmbio USD-BRL'!O743/'16. câmbio USD-BRL'!O742)^-1-1</f>
        <v>-5.9258386566025556E-2</v>
      </c>
    </row>
    <row r="930" spans="10:18" x14ac:dyDescent="0.2">
      <c r="J930" s="354">
        <v>43143</v>
      </c>
      <c r="K930">
        <v>14.03</v>
      </c>
      <c r="L930">
        <v>15.93</v>
      </c>
      <c r="M930">
        <v>14.03</v>
      </c>
      <c r="N930">
        <v>15.93</v>
      </c>
      <c r="O930">
        <v>11.750461</v>
      </c>
      <c r="P930">
        <v>42059700</v>
      </c>
      <c r="R930" s="273">
        <f>(O930/O929)*('16. câmbio USD-BRL'!O744/'16. câmbio USD-BRL'!O743)^-1-1</f>
        <v>0.15757152749474757</v>
      </c>
    </row>
    <row r="931" spans="10:18" x14ac:dyDescent="0.2">
      <c r="J931" s="354">
        <v>43150</v>
      </c>
      <c r="K931">
        <v>16.200001</v>
      </c>
      <c r="L931">
        <v>16.899999999999999</v>
      </c>
      <c r="M931">
        <v>15.95</v>
      </c>
      <c r="N931">
        <v>16.620000999999998</v>
      </c>
      <c r="O931">
        <v>12.259427000000001</v>
      </c>
      <c r="P931">
        <v>78089600</v>
      </c>
      <c r="R931" s="273">
        <f>(O931/O930)*('16. câmbio USD-BRL'!O745/'16. câmbio USD-BRL'!O744)^-1-1</f>
        <v>4.2314130561136754E-2</v>
      </c>
    </row>
    <row r="932" spans="10:18" x14ac:dyDescent="0.2">
      <c r="J932" s="354">
        <v>43157</v>
      </c>
      <c r="K932">
        <v>16.860001</v>
      </c>
      <c r="L932">
        <v>17.350000000000001</v>
      </c>
      <c r="M932">
        <v>16.149999999999999</v>
      </c>
      <c r="N932">
        <v>16.899999999999999</v>
      </c>
      <c r="O932">
        <v>12.465966</v>
      </c>
      <c r="P932">
        <v>86499100</v>
      </c>
      <c r="R932" s="273">
        <f>(O932/O931)*('16. câmbio USD-BRL'!O746/'16. câmbio USD-BRL'!O745)^-1-1</f>
        <v>1.1341589109861605E-2</v>
      </c>
    </row>
    <row r="933" spans="10:18" x14ac:dyDescent="0.2">
      <c r="J933" s="354">
        <v>43164</v>
      </c>
      <c r="K933">
        <v>16.860001</v>
      </c>
      <c r="L933">
        <v>17.59</v>
      </c>
      <c r="M933">
        <v>15.66</v>
      </c>
      <c r="N933">
        <v>16.129999000000002</v>
      </c>
      <c r="O933">
        <v>11.897987000000001</v>
      </c>
      <c r="P933">
        <v>74103100</v>
      </c>
      <c r="R933" s="273">
        <f>(O933/O932)*('16. câmbio USD-BRL'!O747/'16. câmbio USD-BRL'!O746)^-1-1</f>
        <v>-5.012109100782991E-2</v>
      </c>
    </row>
    <row r="934" spans="10:18" x14ac:dyDescent="0.2">
      <c r="J934" s="354">
        <v>43171</v>
      </c>
      <c r="K934">
        <v>16.350000000000001</v>
      </c>
      <c r="L934">
        <v>16.700001</v>
      </c>
      <c r="M934">
        <v>15.27</v>
      </c>
      <c r="N934">
        <v>15.45</v>
      </c>
      <c r="O934">
        <v>11.396399000000001</v>
      </c>
      <c r="P934">
        <v>48243500</v>
      </c>
      <c r="R934" s="273">
        <f>(O934/O933)*('16. câmbio USD-BRL'!O748/'16. câmbio USD-BRL'!O747)^-1-1</f>
        <v>-4.6826796873825294E-2</v>
      </c>
    </row>
    <row r="935" spans="10:18" x14ac:dyDescent="0.2">
      <c r="J935" s="354">
        <v>43178</v>
      </c>
      <c r="K935">
        <v>15.2</v>
      </c>
      <c r="L935">
        <v>15.98</v>
      </c>
      <c r="M935">
        <v>14.92</v>
      </c>
      <c r="N935">
        <v>15.09</v>
      </c>
      <c r="O935">
        <v>11.151593</v>
      </c>
      <c r="P935">
        <v>63054700</v>
      </c>
      <c r="R935" s="273">
        <f>(O935/O934)*('16. câmbio USD-BRL'!O749/'16. câmbio USD-BRL'!O748)^-1-1</f>
        <v>-2.9875480014374789E-2</v>
      </c>
    </row>
    <row r="936" spans="10:18" x14ac:dyDescent="0.2">
      <c r="J936" s="354">
        <v>43185</v>
      </c>
      <c r="K936">
        <v>15.33</v>
      </c>
      <c r="L936">
        <v>15.65</v>
      </c>
      <c r="M936">
        <v>14.43</v>
      </c>
      <c r="N936">
        <v>15.5</v>
      </c>
      <c r="O936">
        <v>11.454582</v>
      </c>
      <c r="P936">
        <v>33212700</v>
      </c>
      <c r="R936" s="273">
        <f>(O936/O935)*('16. câmbio USD-BRL'!O750/'16. câmbio USD-BRL'!O749)^-1-1</f>
        <v>2.931539828448626E-2</v>
      </c>
    </row>
    <row r="937" spans="10:18" x14ac:dyDescent="0.2">
      <c r="J937" s="354">
        <v>43192</v>
      </c>
      <c r="K937">
        <v>15.64</v>
      </c>
      <c r="L937">
        <v>16.489999999999998</v>
      </c>
      <c r="M937">
        <v>15.18</v>
      </c>
      <c r="N937">
        <v>16.129999000000002</v>
      </c>
      <c r="O937">
        <v>11.920156</v>
      </c>
      <c r="P937">
        <v>43255700</v>
      </c>
      <c r="R937" s="273">
        <f>(O937/O936)*('16. câmbio USD-BRL'!O751/'16. câmbio USD-BRL'!O750)^-1-1</f>
        <v>2.1201707184066221E-2</v>
      </c>
    </row>
    <row r="938" spans="10:18" x14ac:dyDescent="0.2">
      <c r="J938" s="354">
        <v>43199</v>
      </c>
      <c r="K938">
        <v>16.23</v>
      </c>
      <c r="L938">
        <v>16.73</v>
      </c>
      <c r="M938">
        <v>15.64</v>
      </c>
      <c r="N938">
        <v>16.41</v>
      </c>
      <c r="O938">
        <v>12.127079</v>
      </c>
      <c r="P938">
        <v>40739700</v>
      </c>
      <c r="R938" s="273">
        <f>(O938/O937)*('16. câmbio USD-BRL'!O752/'16. câmbio USD-BRL'!O751)^-1-1</f>
        <v>1.0929964073191911E-3</v>
      </c>
    </row>
    <row r="939" spans="10:18" x14ac:dyDescent="0.2">
      <c r="J939" s="354">
        <v>43206</v>
      </c>
      <c r="K939">
        <v>16.32</v>
      </c>
      <c r="L939">
        <v>17.5</v>
      </c>
      <c r="M939">
        <v>16.110001</v>
      </c>
      <c r="N939">
        <v>16.950001</v>
      </c>
      <c r="O939">
        <v>12.526142999999999</v>
      </c>
      <c r="P939">
        <v>42688200</v>
      </c>
      <c r="R939" s="273">
        <f>(O939/O938)*('16. câmbio USD-BRL'!O753/'16. câmbio USD-BRL'!O752)^-1-1</f>
        <v>3.6208229129025327E-2</v>
      </c>
    </row>
    <row r="940" spans="10:18" x14ac:dyDescent="0.2">
      <c r="J940" s="354">
        <v>43213</v>
      </c>
      <c r="K940">
        <v>17.049999</v>
      </c>
      <c r="L940">
        <v>17.219999000000001</v>
      </c>
      <c r="M940">
        <v>16.360001</v>
      </c>
      <c r="N940">
        <v>16.68</v>
      </c>
      <c r="O940">
        <v>12.326612000000001</v>
      </c>
      <c r="P940">
        <v>33217900</v>
      </c>
      <c r="R940" s="273">
        <f>(O940/O939)*('16. câmbio USD-BRL'!O754/'16. câmbio USD-BRL'!O753)^-1-1</f>
        <v>-2.8913808780392625E-2</v>
      </c>
    </row>
    <row r="941" spans="10:18" x14ac:dyDescent="0.2">
      <c r="J941" s="354">
        <v>43220</v>
      </c>
      <c r="K941">
        <v>16.620000999999998</v>
      </c>
      <c r="L941">
        <v>16.93</v>
      </c>
      <c r="M941">
        <v>16.18</v>
      </c>
      <c r="N941">
        <v>16.84</v>
      </c>
      <c r="O941">
        <v>12.444851</v>
      </c>
      <c r="P941">
        <v>24494900</v>
      </c>
      <c r="R941" s="273">
        <f>(O941/O940)*('16. câmbio USD-BRL'!O755/'16. câmbio USD-BRL'!O754)^-1-1</f>
        <v>-1.1152479274921023E-2</v>
      </c>
    </row>
    <row r="942" spans="10:18" x14ac:dyDescent="0.2">
      <c r="J942" s="354">
        <v>43227</v>
      </c>
      <c r="K942">
        <v>16.850000000000001</v>
      </c>
      <c r="L942">
        <v>18.139999</v>
      </c>
      <c r="M942">
        <v>15.99</v>
      </c>
      <c r="N942">
        <v>17.75</v>
      </c>
      <c r="O942">
        <v>13.117346</v>
      </c>
      <c r="P942">
        <v>61398800</v>
      </c>
      <c r="R942" s="273">
        <f>(O942/O941)*('16. câmbio USD-BRL'!O756/'16. câmbio USD-BRL'!O755)^-1-1</f>
        <v>3.3217868971917808E-2</v>
      </c>
    </row>
    <row r="943" spans="10:18" x14ac:dyDescent="0.2">
      <c r="J943" s="354">
        <v>43234</v>
      </c>
      <c r="K943">
        <v>17.899999999999999</v>
      </c>
      <c r="L943">
        <v>18.530000999999999</v>
      </c>
      <c r="M943">
        <v>17.25</v>
      </c>
      <c r="N943">
        <v>17.760000000000002</v>
      </c>
      <c r="O943">
        <v>13.124737</v>
      </c>
      <c r="P943">
        <v>50443000</v>
      </c>
      <c r="R943" s="273">
        <f>(O943/O942)*('16. câmbio USD-BRL'!O757/'16. câmbio USD-BRL'!O756)^-1-1</f>
        <v>-3.5993536699575945E-2</v>
      </c>
    </row>
    <row r="944" spans="10:18" x14ac:dyDescent="0.2">
      <c r="J944" s="354">
        <v>43241</v>
      </c>
      <c r="K944">
        <v>18.200001</v>
      </c>
      <c r="L944">
        <v>18.200001</v>
      </c>
      <c r="M944">
        <v>15.5</v>
      </c>
      <c r="N944">
        <v>15.85</v>
      </c>
      <c r="O944">
        <v>11.713234999999999</v>
      </c>
      <c r="P944">
        <v>59585100</v>
      </c>
      <c r="R944" s="273">
        <f>(O944/O943)*('16. câmbio USD-BRL'!O758/'16. câmbio USD-BRL'!O757)^-1-1</f>
        <v>-9.2262321924772683E-2</v>
      </c>
    </row>
    <row r="945" spans="10:18" x14ac:dyDescent="0.2">
      <c r="J945" s="354">
        <v>43248</v>
      </c>
      <c r="K945">
        <v>15.8</v>
      </c>
      <c r="L945">
        <v>15.8</v>
      </c>
      <c r="M945">
        <v>14.63</v>
      </c>
      <c r="N945">
        <v>15.46</v>
      </c>
      <c r="O945">
        <v>11.478505999999999</v>
      </c>
      <c r="P945">
        <v>44291300</v>
      </c>
      <c r="R945" s="273">
        <f>(O945/O944)*('16. câmbio USD-BRL'!O759/'16. câmbio USD-BRL'!O758)^-1-1</f>
        <v>-4.2357090941475106E-2</v>
      </c>
    </row>
    <row r="946" spans="10:18" x14ac:dyDescent="0.2">
      <c r="J946" s="354">
        <v>43255</v>
      </c>
      <c r="K946">
        <v>15.69</v>
      </c>
      <c r="L946">
        <v>16.549999</v>
      </c>
      <c r="M946">
        <v>13.87</v>
      </c>
      <c r="N946">
        <v>14.32</v>
      </c>
      <c r="O946">
        <v>10.632092999999999</v>
      </c>
      <c r="P946">
        <v>81060600</v>
      </c>
      <c r="R946" s="273">
        <f>(O946/O945)*('16. câmbio USD-BRL'!O760/'16. câmbio USD-BRL'!O759)^-1-1</f>
        <v>-5.9933197761917412E-2</v>
      </c>
    </row>
    <row r="947" spans="10:18" x14ac:dyDescent="0.2">
      <c r="J947" s="354">
        <v>43262</v>
      </c>
      <c r="K947">
        <v>14.65</v>
      </c>
      <c r="L947">
        <v>14.86</v>
      </c>
      <c r="M947">
        <v>13.65</v>
      </c>
      <c r="N947">
        <v>14.04</v>
      </c>
      <c r="O947">
        <v>10.424205000000001</v>
      </c>
      <c r="P947">
        <v>55565700</v>
      </c>
      <c r="R947" s="273">
        <f>(O947/O946)*('16. câmbio USD-BRL'!O761/'16. câmbio USD-BRL'!O760)^-1-1</f>
        <v>-2.6100761088428515E-2</v>
      </c>
    </row>
    <row r="948" spans="10:18" x14ac:dyDescent="0.2">
      <c r="J948" s="354">
        <v>43269</v>
      </c>
      <c r="K948">
        <v>13.84</v>
      </c>
      <c r="L948">
        <v>14.94</v>
      </c>
      <c r="M948">
        <v>13.63</v>
      </c>
      <c r="N948">
        <v>14.26</v>
      </c>
      <c r="O948">
        <v>10.587548</v>
      </c>
      <c r="P948">
        <v>55812600</v>
      </c>
      <c r="R948" s="273">
        <f>(O948/O947)*('16. câmbio USD-BRL'!O762/'16. câmbio USD-BRL'!O761)^-1-1</f>
        <v>5.7694331533384435E-3</v>
      </c>
    </row>
    <row r="949" spans="10:18" x14ac:dyDescent="0.2">
      <c r="J949" s="354">
        <v>43276</v>
      </c>
      <c r="K949">
        <v>14.34</v>
      </c>
      <c r="L949">
        <v>14.42</v>
      </c>
      <c r="M949">
        <v>13.09</v>
      </c>
      <c r="N949">
        <v>13.91</v>
      </c>
      <c r="O949">
        <v>10.327686</v>
      </c>
      <c r="P949">
        <v>57214800</v>
      </c>
      <c r="R949" s="273">
        <f>(O949/O948)*('16. câmbio USD-BRL'!O763/'16. câmbio USD-BRL'!O762)^-1-1</f>
        <v>-5.2331582743582516E-2</v>
      </c>
    </row>
    <row r="950" spans="10:18" x14ac:dyDescent="0.2">
      <c r="J950" s="354">
        <v>43283</v>
      </c>
      <c r="K950">
        <v>13.83</v>
      </c>
      <c r="L950">
        <v>15.66</v>
      </c>
      <c r="M950">
        <v>13.65</v>
      </c>
      <c r="N950">
        <v>15.52</v>
      </c>
      <c r="O950">
        <v>11.523054999999999</v>
      </c>
      <c r="P950">
        <v>52351300</v>
      </c>
      <c r="R950" s="273">
        <f>(O950/O949)*('16. câmbio USD-BRL'!O764/'16. câmbio USD-BRL'!O763)^-1-1</f>
        <v>0.11978929540035077</v>
      </c>
    </row>
    <row r="951" spans="10:18" x14ac:dyDescent="0.2">
      <c r="J951" s="354">
        <v>43290</v>
      </c>
      <c r="K951">
        <v>15.52</v>
      </c>
      <c r="L951">
        <v>15.85</v>
      </c>
      <c r="M951">
        <v>14.8</v>
      </c>
      <c r="N951">
        <v>15.51</v>
      </c>
      <c r="O951">
        <v>11.515628</v>
      </c>
      <c r="P951">
        <v>41371400</v>
      </c>
      <c r="R951" s="273">
        <f>(O951/O950)*('16. câmbio USD-BRL'!O765/'16. câmbio USD-BRL'!O764)^-1-1</f>
        <v>2.6270186817247687E-3</v>
      </c>
    </row>
    <row r="952" spans="10:18" x14ac:dyDescent="0.2">
      <c r="J952" s="354">
        <v>43297</v>
      </c>
      <c r="K952">
        <v>15.51</v>
      </c>
      <c r="L952">
        <v>16.52</v>
      </c>
      <c r="M952">
        <v>15.29</v>
      </c>
      <c r="N952">
        <v>16.25</v>
      </c>
      <c r="O952">
        <v>12.065053000000001</v>
      </c>
      <c r="P952">
        <v>60873100</v>
      </c>
      <c r="R952" s="273">
        <f>(O952/O951)*('16. câmbio USD-BRL'!O766/'16. câmbio USD-BRL'!O765)^-1-1</f>
        <v>7.1855783313193644E-2</v>
      </c>
    </row>
    <row r="953" spans="10:18" x14ac:dyDescent="0.2">
      <c r="J953" s="354">
        <v>43304</v>
      </c>
      <c r="K953">
        <v>16.299999</v>
      </c>
      <c r="L953">
        <v>17.120000999999998</v>
      </c>
      <c r="M953">
        <v>16.129999000000002</v>
      </c>
      <c r="N953">
        <v>16.84</v>
      </c>
      <c r="O953">
        <v>12.503107999999999</v>
      </c>
      <c r="P953">
        <v>46067400</v>
      </c>
      <c r="R953" s="273">
        <f>(O953/O952)*('16. câmbio USD-BRL'!O767/'16. câmbio USD-BRL'!O766)^-1-1</f>
        <v>5.0379072008875481E-2</v>
      </c>
    </row>
    <row r="954" spans="10:18" x14ac:dyDescent="0.2">
      <c r="J954" s="354">
        <v>43311</v>
      </c>
      <c r="K954">
        <v>16.920000000000002</v>
      </c>
      <c r="L954">
        <v>17.23</v>
      </c>
      <c r="M954">
        <v>16.170000000000002</v>
      </c>
      <c r="N954">
        <v>17.09</v>
      </c>
      <c r="O954">
        <v>12.688724000000001</v>
      </c>
      <c r="P954">
        <v>45941900</v>
      </c>
      <c r="R954" s="273">
        <f>(O954/O953)*('16. câmbio USD-BRL'!O768/'16. câmbio USD-BRL'!O767)^-1-1</f>
        <v>1.6571004312812221E-2</v>
      </c>
    </row>
    <row r="955" spans="10:18" x14ac:dyDescent="0.2">
      <c r="J955" s="354">
        <v>43318</v>
      </c>
      <c r="K955">
        <v>17.030000999999999</v>
      </c>
      <c r="L955">
        <v>17.530000999999999</v>
      </c>
      <c r="M955">
        <v>15.82</v>
      </c>
      <c r="N955">
        <v>16.07</v>
      </c>
      <c r="O955">
        <v>11.931407</v>
      </c>
      <c r="P955">
        <v>59697300</v>
      </c>
      <c r="R955" s="273">
        <f>(O955/O954)*('16. câmbio USD-BRL'!O769/'16. câmbio USD-BRL'!O768)^-1-1</f>
        <v>-9.7227690838386671E-2</v>
      </c>
    </row>
    <row r="956" spans="10:18" x14ac:dyDescent="0.2">
      <c r="J956" s="354">
        <v>43325</v>
      </c>
      <c r="K956">
        <v>16.149999999999999</v>
      </c>
      <c r="L956">
        <v>16.360001</v>
      </c>
      <c r="M956">
        <v>15.2</v>
      </c>
      <c r="N956">
        <v>15.65</v>
      </c>
      <c r="O956">
        <v>11.619576</v>
      </c>
      <c r="P956">
        <v>53228700</v>
      </c>
      <c r="R956" s="273">
        <f>(O956/O955)*('16. câmbio USD-BRL'!O770/'16. câmbio USD-BRL'!O769)^-1-1</f>
        <v>-3.8467124347293602E-2</v>
      </c>
    </row>
    <row r="957" spans="10:18" x14ac:dyDescent="0.2">
      <c r="J957" s="354">
        <v>43332</v>
      </c>
      <c r="K957">
        <v>15.9</v>
      </c>
      <c r="L957">
        <v>16.5</v>
      </c>
      <c r="M957">
        <v>15.67</v>
      </c>
      <c r="N957">
        <v>15.89</v>
      </c>
      <c r="O957">
        <v>11.797768</v>
      </c>
      <c r="P957">
        <v>48062400</v>
      </c>
      <c r="R957" s="273">
        <f>(O957/O956)*('16. câmbio USD-BRL'!O771/'16. câmbio USD-BRL'!O770)^-1-1</f>
        <v>-3.4835007065780799E-2</v>
      </c>
    </row>
    <row r="958" spans="10:18" x14ac:dyDescent="0.2">
      <c r="J958" s="354">
        <v>43339</v>
      </c>
      <c r="K958">
        <v>15.97</v>
      </c>
      <c r="L958">
        <v>16.66</v>
      </c>
      <c r="M958">
        <v>15.74</v>
      </c>
      <c r="N958">
        <v>16.040001</v>
      </c>
      <c r="O958">
        <v>12.014594000000001</v>
      </c>
      <c r="P958">
        <v>49046600</v>
      </c>
      <c r="R958" s="273">
        <f>(O958/O957)*('16. câmbio USD-BRL'!O772/'16. câmbio USD-BRL'!O771)^-1-1</f>
        <v>3.3074684691032585E-2</v>
      </c>
    </row>
    <row r="959" spans="10:18" x14ac:dyDescent="0.2">
      <c r="J959" s="354">
        <v>43346</v>
      </c>
      <c r="K959">
        <v>15.9</v>
      </c>
      <c r="L959">
        <v>16</v>
      </c>
      <c r="M959">
        <v>15.34</v>
      </c>
      <c r="N959">
        <v>15.86</v>
      </c>
      <c r="O959">
        <v>11.879766</v>
      </c>
      <c r="P959">
        <v>23787000</v>
      </c>
      <c r="R959" s="273">
        <f>(O959/O958)*('16. câmbio USD-BRL'!O773/'16. câmbio USD-BRL'!O772)^-1-1</f>
        <v>-1.2269737044027229E-2</v>
      </c>
    </row>
    <row r="960" spans="10:18" x14ac:dyDescent="0.2">
      <c r="J960" s="354">
        <v>43353</v>
      </c>
      <c r="K960">
        <v>15.98</v>
      </c>
      <c r="L960">
        <v>16.07</v>
      </c>
      <c r="M960">
        <v>15.04</v>
      </c>
      <c r="N960">
        <v>15.26</v>
      </c>
      <c r="O960">
        <v>11.430343000000001</v>
      </c>
      <c r="P960">
        <v>38539600</v>
      </c>
      <c r="R960" s="273">
        <f>(O960/O959)*('16. câmbio USD-BRL'!O774/'16. câmbio USD-BRL'!O773)^-1-1</f>
        <v>-7.144395601695519E-2</v>
      </c>
    </row>
    <row r="961" spans="10:18" x14ac:dyDescent="0.2">
      <c r="J961" s="354">
        <v>43360</v>
      </c>
      <c r="K961">
        <v>15.25</v>
      </c>
      <c r="L961">
        <v>17.260000000000002</v>
      </c>
      <c r="M961">
        <v>15.13</v>
      </c>
      <c r="N961">
        <v>17</v>
      </c>
      <c r="O961">
        <v>12.733670999999999</v>
      </c>
      <c r="P961">
        <v>54847200</v>
      </c>
      <c r="R961" s="273">
        <f>(O961/O960)*('16. câmbio USD-BRL'!O775/'16. câmbio USD-BRL'!O774)^-1-1</f>
        <v>0.15685894409494905</v>
      </c>
    </row>
    <row r="962" spans="10:18" x14ac:dyDescent="0.2">
      <c r="J962" s="354">
        <v>43367</v>
      </c>
      <c r="K962">
        <v>16.98</v>
      </c>
      <c r="L962">
        <v>17.649999999999999</v>
      </c>
      <c r="M962">
        <v>16.299999</v>
      </c>
      <c r="N962">
        <v>17.190000999999999</v>
      </c>
      <c r="O962">
        <v>12.875989000000001</v>
      </c>
      <c r="P962">
        <v>50106600</v>
      </c>
      <c r="R962" s="273">
        <f>(O962/O961)*('16. câmbio USD-BRL'!O776/'16. câmbio USD-BRL'!O775)^-1-1</f>
        <v>1.1501245439651697E-2</v>
      </c>
    </row>
    <row r="963" spans="10:18" x14ac:dyDescent="0.2">
      <c r="J963" s="354">
        <v>43374</v>
      </c>
      <c r="K963">
        <v>17.129999000000002</v>
      </c>
      <c r="L963">
        <v>17.559999000000001</v>
      </c>
      <c r="M963">
        <v>15.61</v>
      </c>
      <c r="N963">
        <v>15.8</v>
      </c>
      <c r="O963">
        <v>11.834825</v>
      </c>
      <c r="P963">
        <v>80110500</v>
      </c>
      <c r="R963" s="273">
        <f>(O963/O962)*('16. câmbio USD-BRL'!O777/'16. câmbio USD-BRL'!O776)^-1-1</f>
        <v>-2.9633806607031743E-2</v>
      </c>
    </row>
    <row r="964" spans="10:18" x14ac:dyDescent="0.2">
      <c r="J964" s="354">
        <v>43381</v>
      </c>
      <c r="K964">
        <v>16.379999000000002</v>
      </c>
      <c r="L964">
        <v>16.389999</v>
      </c>
      <c r="M964">
        <v>15.26</v>
      </c>
      <c r="N964">
        <v>15.74</v>
      </c>
      <c r="O964">
        <v>11.789883</v>
      </c>
      <c r="P964">
        <v>95664900</v>
      </c>
      <c r="R964" s="273">
        <f>(O964/O963)*('16. câmbio USD-BRL'!O778/'16. câmbio USD-BRL'!O777)^-1-1</f>
        <v>1.0112253886067846E-2</v>
      </c>
    </row>
    <row r="965" spans="10:18" x14ac:dyDescent="0.2">
      <c r="J965" s="354">
        <v>43388</v>
      </c>
      <c r="K965">
        <v>15.95</v>
      </c>
      <c r="L965">
        <v>16.290001</v>
      </c>
      <c r="M965">
        <v>14.97</v>
      </c>
      <c r="N965">
        <v>15.11</v>
      </c>
      <c r="O965">
        <v>11.317985999999999</v>
      </c>
      <c r="P965">
        <v>67118200</v>
      </c>
      <c r="R965" s="273">
        <f>(O965/O964)*('16. câmbio USD-BRL'!O779/'16. câmbio USD-BRL'!O778)^-1-1</f>
        <v>-2.4233734154225695E-2</v>
      </c>
    </row>
    <row r="966" spans="10:18" x14ac:dyDescent="0.2">
      <c r="J966" s="354">
        <v>43395</v>
      </c>
      <c r="K966">
        <v>15.38</v>
      </c>
      <c r="L966">
        <v>15.9</v>
      </c>
      <c r="M966">
        <v>14.83</v>
      </c>
      <c r="N966">
        <v>15.79</v>
      </c>
      <c r="O966">
        <v>11.827332</v>
      </c>
      <c r="P966">
        <v>76467300</v>
      </c>
      <c r="R966" s="273">
        <f>(O966/O965)*('16. câmbio USD-BRL'!O780/'16. câmbio USD-BRL'!O779)^-1-1</f>
        <v>6.7616515318810189E-2</v>
      </c>
    </row>
    <row r="967" spans="10:18" x14ac:dyDescent="0.2">
      <c r="J967" s="354">
        <v>43402</v>
      </c>
      <c r="K967">
        <v>15.81</v>
      </c>
      <c r="L967">
        <v>16.780000999999999</v>
      </c>
      <c r="M967">
        <v>15.43</v>
      </c>
      <c r="N967">
        <v>16.420000000000002</v>
      </c>
      <c r="O967">
        <v>12.299227999999999</v>
      </c>
      <c r="P967">
        <v>99348100</v>
      </c>
      <c r="R967" s="273">
        <f>(O967/O966)*('16. câmbio USD-BRL'!O781/'16. câmbio USD-BRL'!O780)^-1-1</f>
        <v>2.5174988144177846E-2</v>
      </c>
    </row>
    <row r="968" spans="10:18" x14ac:dyDescent="0.2">
      <c r="J968" s="354">
        <v>43409</v>
      </c>
      <c r="K968">
        <v>16.809999000000001</v>
      </c>
      <c r="L968">
        <v>17.399999999999999</v>
      </c>
      <c r="M968">
        <v>15.79</v>
      </c>
      <c r="N968">
        <v>16.120000999999998</v>
      </c>
      <c r="O968">
        <v>12.074515</v>
      </c>
      <c r="P968">
        <v>82082200</v>
      </c>
      <c r="R968" s="273">
        <f>(O968/O967)*('16. câmbio USD-BRL'!O782/'16. câmbio USD-BRL'!O781)^-1-1</f>
        <v>-2.8397384811776338E-2</v>
      </c>
    </row>
    <row r="969" spans="10:18" x14ac:dyDescent="0.2">
      <c r="J969" s="354">
        <v>43416</v>
      </c>
      <c r="K969">
        <v>16.239999999999998</v>
      </c>
      <c r="L969">
        <v>16.280000999999999</v>
      </c>
      <c r="M969">
        <v>14.64</v>
      </c>
      <c r="N969">
        <v>16.23</v>
      </c>
      <c r="O969">
        <v>12.156910999999999</v>
      </c>
      <c r="P969">
        <v>62557900</v>
      </c>
      <c r="R969" s="273">
        <f>(O969/O968)*('16. câmbio USD-BRL'!O783/'16. câmbio USD-BRL'!O782)^-1-1</f>
        <v>5.1542232518353437E-3</v>
      </c>
    </row>
    <row r="970" spans="10:18" x14ac:dyDescent="0.2">
      <c r="J970" s="354">
        <v>43423</v>
      </c>
      <c r="K970">
        <v>16.07</v>
      </c>
      <c r="L970">
        <v>16.399999999999999</v>
      </c>
      <c r="M970">
        <v>14.83</v>
      </c>
      <c r="N970">
        <v>14.92</v>
      </c>
      <c r="O970">
        <v>11.17567</v>
      </c>
      <c r="P970">
        <v>49386900</v>
      </c>
      <c r="R970" s="273">
        <f>(O970/O969)*('16. câmbio USD-BRL'!O784/'16. câmbio USD-BRL'!O783)^-1-1</f>
        <v>-0.10110422291517296</v>
      </c>
    </row>
    <row r="971" spans="10:18" x14ac:dyDescent="0.2">
      <c r="J971" s="354">
        <v>43430</v>
      </c>
      <c r="K971">
        <v>15.04</v>
      </c>
      <c r="L971">
        <v>15.54</v>
      </c>
      <c r="M971">
        <v>14.56</v>
      </c>
      <c r="N971">
        <v>15.48</v>
      </c>
      <c r="O971">
        <v>11.69417</v>
      </c>
      <c r="P971">
        <v>64593300</v>
      </c>
      <c r="R971" s="273">
        <f>(O971/O970)*('16. câmbio USD-BRL'!O785/'16. câmbio USD-BRL'!O784)^-1-1</f>
        <v>3.5936622471584245E-2</v>
      </c>
    </row>
    <row r="972" spans="10:18" x14ac:dyDescent="0.2">
      <c r="J972" s="354">
        <v>43437</v>
      </c>
      <c r="K972">
        <v>15.99</v>
      </c>
      <c r="L972">
        <v>16.379999000000002</v>
      </c>
      <c r="M972">
        <v>15.46</v>
      </c>
      <c r="N972">
        <v>15.67</v>
      </c>
      <c r="O972">
        <v>11.837702999999999</v>
      </c>
      <c r="P972">
        <v>67692600</v>
      </c>
      <c r="R972" s="273">
        <f>(O972/O971)*('16. câmbio USD-BRL'!O786/'16. câmbio USD-BRL'!O785)^-1-1</f>
        <v>8.1233045150708172E-3</v>
      </c>
    </row>
    <row r="973" spans="10:18" x14ac:dyDescent="0.2">
      <c r="J973" s="354">
        <v>43444</v>
      </c>
      <c r="K973">
        <v>15.65</v>
      </c>
      <c r="L973">
        <v>15.75</v>
      </c>
      <c r="M973">
        <v>15.04</v>
      </c>
      <c r="N973">
        <v>15.13</v>
      </c>
      <c r="O973">
        <v>11.429767999999999</v>
      </c>
      <c r="P973">
        <v>56124000</v>
      </c>
      <c r="R973" s="273">
        <f>(O973/O972)*('16. câmbio USD-BRL'!O787/'16. câmbio USD-BRL'!O786)^-1-1</f>
        <v>-3.7661996109147222E-2</v>
      </c>
    </row>
    <row r="974" spans="10:18" x14ac:dyDescent="0.2">
      <c r="J974" s="354">
        <v>43451</v>
      </c>
      <c r="K974">
        <v>15.16</v>
      </c>
      <c r="L974">
        <v>15.6</v>
      </c>
      <c r="M974">
        <v>14.43</v>
      </c>
      <c r="N974">
        <v>14.71</v>
      </c>
      <c r="O974">
        <v>11.112484</v>
      </c>
      <c r="P974">
        <v>62093400</v>
      </c>
      <c r="R974" s="273">
        <f>(O974/O973)*('16. câmbio USD-BRL'!O788/'16. câmbio USD-BRL'!O787)^-1-1</f>
        <v>-3.0748883378442504E-2</v>
      </c>
    </row>
    <row r="975" spans="10:18" x14ac:dyDescent="0.2">
      <c r="J975" s="354">
        <v>43458</v>
      </c>
      <c r="K975">
        <v>14.71</v>
      </c>
      <c r="L975">
        <v>14.9</v>
      </c>
      <c r="M975">
        <v>14.16</v>
      </c>
      <c r="N975">
        <v>14.82</v>
      </c>
      <c r="O975">
        <v>11.195581000000001</v>
      </c>
      <c r="P975">
        <v>29233500</v>
      </c>
      <c r="R975" s="273">
        <f>(O975/O974)*('16. câmbio USD-BRL'!O789/'16. câmbio USD-BRL'!O788)^-1-1</f>
        <v>1.3398189036116115E-2</v>
      </c>
    </row>
    <row r="976" spans="10:18" x14ac:dyDescent="0.2">
      <c r="J976" s="354">
        <v>43465</v>
      </c>
      <c r="K976">
        <v>14.82</v>
      </c>
      <c r="L976">
        <v>15.65</v>
      </c>
      <c r="M976">
        <v>14.57</v>
      </c>
      <c r="N976">
        <v>15.5</v>
      </c>
      <c r="O976">
        <v>11.709277</v>
      </c>
      <c r="P976">
        <v>38124500</v>
      </c>
      <c r="R976" s="273">
        <f>(O976/O975)*('16. câmbio USD-BRL'!O790/'16. câmbio USD-BRL'!O789)^-1-1</f>
        <v>9.266105474413866E-2</v>
      </c>
    </row>
    <row r="977" spans="10:18" x14ac:dyDescent="0.2">
      <c r="J977" s="354">
        <v>43472</v>
      </c>
      <c r="K977">
        <v>15.53</v>
      </c>
      <c r="L977">
        <v>16.100000000000001</v>
      </c>
      <c r="M977">
        <v>14.84</v>
      </c>
      <c r="N977">
        <v>15.22</v>
      </c>
      <c r="O977">
        <v>11.497757</v>
      </c>
      <c r="P977">
        <v>70372000</v>
      </c>
      <c r="R977" s="273">
        <f>(O977/O976)*('16. câmbio USD-BRL'!O791/'16. câmbio USD-BRL'!O790)^-1-1</f>
        <v>-1.7032057853841431E-2</v>
      </c>
    </row>
    <row r="978" spans="10:18" x14ac:dyDescent="0.2">
      <c r="J978" s="354">
        <v>43479</v>
      </c>
      <c r="K978">
        <v>15.11</v>
      </c>
      <c r="L978">
        <v>15.5</v>
      </c>
      <c r="M978">
        <v>14.75</v>
      </c>
      <c r="N978">
        <v>15.49</v>
      </c>
      <c r="O978">
        <v>11.701722999999999</v>
      </c>
      <c r="P978">
        <v>68632300</v>
      </c>
      <c r="R978" s="273">
        <f>(O978/O977)*('16. câmbio USD-BRL'!O792/'16. câmbio USD-BRL'!O791)^-1-1</f>
        <v>7.1520360248698012E-3</v>
      </c>
    </row>
    <row r="979" spans="10:18" x14ac:dyDescent="0.2">
      <c r="J979" s="354">
        <v>43486</v>
      </c>
      <c r="K979">
        <v>15.5</v>
      </c>
      <c r="L979">
        <v>16.030000999999999</v>
      </c>
      <c r="M979">
        <v>15.27</v>
      </c>
      <c r="N979">
        <v>15.99</v>
      </c>
      <c r="O979">
        <v>12.079442</v>
      </c>
      <c r="P979">
        <v>39906700</v>
      </c>
      <c r="R979" s="273">
        <f>(O979/O978)*('16. câmbio USD-BRL'!O793/'16. câmbio USD-BRL'!O792)^-1-1</f>
        <v>2.6610369643964127E-2</v>
      </c>
    </row>
    <row r="980" spans="10:18" x14ac:dyDescent="0.2">
      <c r="J980" s="354">
        <v>43493</v>
      </c>
      <c r="K980">
        <v>15.65</v>
      </c>
      <c r="L980">
        <v>16.299999</v>
      </c>
      <c r="M980">
        <v>15.53</v>
      </c>
      <c r="N980">
        <v>15.8</v>
      </c>
      <c r="O980">
        <v>11.93591</v>
      </c>
      <c r="P980">
        <v>58919600</v>
      </c>
      <c r="R980" s="273">
        <f>(O980/O979)*('16. câmbio USD-BRL'!O794/'16. câmbio USD-BRL'!O793)^-1-1</f>
        <v>1.8180122635382379E-2</v>
      </c>
    </row>
    <row r="981" spans="10:18" x14ac:dyDescent="0.2">
      <c r="J981" s="354">
        <v>43500</v>
      </c>
      <c r="K981">
        <v>15.85</v>
      </c>
      <c r="L981">
        <v>16.149999999999999</v>
      </c>
      <c r="M981">
        <v>15</v>
      </c>
      <c r="N981">
        <v>15.35</v>
      </c>
      <c r="O981">
        <v>11.595962999999999</v>
      </c>
      <c r="P981">
        <v>52987600</v>
      </c>
      <c r="R981" s="273">
        <f>(O981/O980)*('16. câmbio USD-BRL'!O795/'16. câmbio USD-BRL'!O794)^-1-1</f>
        <v>-4.6798301974667056E-2</v>
      </c>
    </row>
    <row r="982" spans="10:18" x14ac:dyDescent="0.2">
      <c r="J982" s="354">
        <v>43507</v>
      </c>
      <c r="K982">
        <v>15.45</v>
      </c>
      <c r="L982">
        <v>15.83</v>
      </c>
      <c r="M982">
        <v>15.1</v>
      </c>
      <c r="N982">
        <v>15.48</v>
      </c>
      <c r="O982">
        <v>11.69417</v>
      </c>
      <c r="P982">
        <v>43238200</v>
      </c>
      <c r="R982" s="273">
        <f>(O982/O981)*('16. câmbio USD-BRL'!O796/'16. câmbio USD-BRL'!O795)^-1-1</f>
        <v>1.653900167907052E-2</v>
      </c>
    </row>
    <row r="983" spans="10:18" x14ac:dyDescent="0.2">
      <c r="J983" s="354">
        <v>43514</v>
      </c>
      <c r="K983">
        <v>15.45</v>
      </c>
      <c r="L983">
        <v>15.88</v>
      </c>
      <c r="M983">
        <v>15.01</v>
      </c>
      <c r="N983">
        <v>15.18</v>
      </c>
      <c r="O983">
        <v>11.467537999999999</v>
      </c>
      <c r="P983">
        <v>59712000</v>
      </c>
      <c r="R983" s="273">
        <f>(O983/O982)*('16. câmbio USD-BRL'!O797/'16. câmbio USD-BRL'!O796)^-1-1</f>
        <v>-3.1036810223157962E-2</v>
      </c>
    </row>
    <row r="984" spans="10:18" x14ac:dyDescent="0.2">
      <c r="J984" s="354">
        <v>43521</v>
      </c>
      <c r="K984">
        <v>15.25</v>
      </c>
      <c r="L984">
        <v>15.54</v>
      </c>
      <c r="M984">
        <v>14.98</v>
      </c>
      <c r="N984">
        <v>15.03</v>
      </c>
      <c r="O984">
        <v>11.354222</v>
      </c>
      <c r="P984">
        <v>42859300</v>
      </c>
      <c r="R984" s="273">
        <f>(O984/O983)*('16. câmbio USD-BRL'!O798/'16. câmbio USD-BRL'!O797)^-1-1</f>
        <v>-1.754479275298193E-2</v>
      </c>
    </row>
    <row r="985" spans="10:18" x14ac:dyDescent="0.2">
      <c r="J985" s="354">
        <v>43528</v>
      </c>
      <c r="K985">
        <v>15.03</v>
      </c>
      <c r="L985">
        <v>15.15</v>
      </c>
      <c r="M985">
        <v>14.4</v>
      </c>
      <c r="N985">
        <v>14.71</v>
      </c>
      <c r="O985">
        <v>11.112484</v>
      </c>
      <c r="P985">
        <v>27607400</v>
      </c>
      <c r="R985" s="273">
        <f>(O985/O984)*('16. câmbio USD-BRL'!O799/'16. câmbio USD-BRL'!O798)^-1-1</f>
        <v>-4.5428758441234396E-2</v>
      </c>
    </row>
    <row r="986" spans="10:18" x14ac:dyDescent="0.2">
      <c r="J986" s="354">
        <v>43535</v>
      </c>
      <c r="K986">
        <v>14.74</v>
      </c>
      <c r="L986">
        <v>15.19</v>
      </c>
      <c r="M986">
        <v>14.55</v>
      </c>
      <c r="N986">
        <v>15.11</v>
      </c>
      <c r="O986">
        <v>11.491111999999999</v>
      </c>
      <c r="P986">
        <v>62272800</v>
      </c>
      <c r="R986" s="273">
        <f>(O986/O985)*('16. câmbio USD-BRL'!O800/'16. câmbio USD-BRL'!O799)^-1-1</f>
        <v>4.1503737119944262E-2</v>
      </c>
    </row>
    <row r="987" spans="10:18" x14ac:dyDescent="0.2">
      <c r="J987" s="354">
        <v>43542</v>
      </c>
      <c r="K987">
        <v>15.15</v>
      </c>
      <c r="L987">
        <v>16.09</v>
      </c>
      <c r="M987">
        <v>14.87</v>
      </c>
      <c r="N987">
        <v>14.94</v>
      </c>
      <c r="O987">
        <v>11.361827</v>
      </c>
      <c r="P987">
        <v>93611900</v>
      </c>
      <c r="R987" s="273">
        <f>(O987/O986)*('16. câmbio USD-BRL'!O801/'16. câmbio USD-BRL'!O800)^-1-1</f>
        <v>-2.7831275936025079E-2</v>
      </c>
    </row>
    <row r="988" spans="10:18" x14ac:dyDescent="0.2">
      <c r="J988" s="354">
        <v>43549</v>
      </c>
      <c r="K988">
        <v>14.91</v>
      </c>
      <c r="L988">
        <v>15.36</v>
      </c>
      <c r="M988">
        <v>14.54</v>
      </c>
      <c r="N988">
        <v>15.14</v>
      </c>
      <c r="O988">
        <v>11.513926</v>
      </c>
      <c r="P988">
        <v>50527800</v>
      </c>
      <c r="R988" s="273">
        <f>(O988/O987)*('16. câmbio USD-BRL'!O802/'16. câmbio USD-BRL'!O801)^-1-1</f>
        <v>9.3556228930655738E-3</v>
      </c>
    </row>
    <row r="989" spans="10:18" x14ac:dyDescent="0.2">
      <c r="J989" s="354">
        <v>43556</v>
      </c>
      <c r="K989">
        <v>15.4</v>
      </c>
      <c r="L989">
        <v>16.440000999999999</v>
      </c>
      <c r="M989">
        <v>15.38</v>
      </c>
      <c r="N989">
        <v>15.77</v>
      </c>
      <c r="O989">
        <v>11.993038</v>
      </c>
      <c r="P989">
        <v>82004500</v>
      </c>
      <c r="R989" s="273">
        <f>(O989/O988)*('16. câmbio USD-BRL'!O803/'16. câmbio USD-BRL'!O802)^-1-1</f>
        <v>5.9359358324978517E-2</v>
      </c>
    </row>
    <row r="990" spans="10:18" x14ac:dyDescent="0.2">
      <c r="J990" s="354">
        <v>43563</v>
      </c>
      <c r="K990">
        <v>15.78</v>
      </c>
      <c r="L990">
        <v>16.010000000000002</v>
      </c>
      <c r="M990">
        <v>14.92</v>
      </c>
      <c r="N990">
        <v>15.01</v>
      </c>
      <c r="O990">
        <v>11.415061</v>
      </c>
      <c r="P990">
        <v>52351900</v>
      </c>
      <c r="R990" s="273">
        <f>(O990/O989)*('16. câmbio USD-BRL'!O804/'16. câmbio USD-BRL'!O803)^-1-1</f>
        <v>-5.2223812652038792E-2</v>
      </c>
    </row>
    <row r="991" spans="10:18" x14ac:dyDescent="0.2">
      <c r="J991" s="354">
        <v>43570</v>
      </c>
      <c r="K991">
        <v>15.15</v>
      </c>
      <c r="L991">
        <v>15.41</v>
      </c>
      <c r="M991">
        <v>14.66</v>
      </c>
      <c r="N991">
        <v>14.93</v>
      </c>
      <c r="O991">
        <v>11.354222999999999</v>
      </c>
      <c r="P991">
        <v>39177100</v>
      </c>
      <c r="R991" s="273">
        <f>(O991/O990)*('16. câmbio USD-BRL'!O805/'16. câmbio USD-BRL'!O804)^-1-1</f>
        <v>-1.9109661741236517E-2</v>
      </c>
    </row>
    <row r="992" spans="10:18" x14ac:dyDescent="0.2">
      <c r="J992" s="354">
        <v>43577</v>
      </c>
      <c r="K992">
        <v>14.95</v>
      </c>
      <c r="L992">
        <v>15.11</v>
      </c>
      <c r="M992">
        <v>14.3</v>
      </c>
      <c r="N992">
        <v>14.37</v>
      </c>
      <c r="O992">
        <v>10.928345999999999</v>
      </c>
      <c r="P992">
        <v>48038700</v>
      </c>
      <c r="R992" s="273">
        <f>(O992/O991)*('16. câmbio USD-BRL'!O806/'16. câmbio USD-BRL'!O805)^-1-1</f>
        <v>-3.7924761538070784E-2</v>
      </c>
    </row>
    <row r="993" spans="10:18" x14ac:dyDescent="0.2">
      <c r="J993" s="354">
        <v>43584</v>
      </c>
      <c r="K993">
        <v>14.5</v>
      </c>
      <c r="L993">
        <v>14.57</v>
      </c>
      <c r="M993">
        <v>13.91</v>
      </c>
      <c r="N993">
        <v>14.23</v>
      </c>
      <c r="O993">
        <v>10.821873999999999</v>
      </c>
      <c r="P993">
        <v>40948900</v>
      </c>
      <c r="R993" s="273">
        <f>(O993/O992)*('16. câmbio USD-BRL'!O807/'16. câmbio USD-BRL'!O806)^-1-1</f>
        <v>-1.9180416443701831E-2</v>
      </c>
    </row>
    <row r="994" spans="10:18" x14ac:dyDescent="0.2">
      <c r="J994" s="354">
        <v>43591</v>
      </c>
      <c r="K994">
        <v>14.01</v>
      </c>
      <c r="L994">
        <v>14.88</v>
      </c>
      <c r="M994">
        <v>13.81</v>
      </c>
      <c r="N994">
        <v>14.15</v>
      </c>
      <c r="O994">
        <v>10.761035</v>
      </c>
      <c r="P994">
        <v>72680200</v>
      </c>
      <c r="R994" s="273">
        <f>(O994/O993)*('16. câmbio USD-BRL'!O808/'16. câmbio USD-BRL'!O807)^-1-1</f>
        <v>-3.7953032260029662E-4</v>
      </c>
    </row>
    <row r="995" spans="10:18" x14ac:dyDescent="0.2">
      <c r="J995" s="354">
        <v>43598</v>
      </c>
      <c r="K995">
        <v>13.95</v>
      </c>
      <c r="L995">
        <v>14.1</v>
      </c>
      <c r="M995">
        <v>13.62</v>
      </c>
      <c r="N995">
        <v>13.74</v>
      </c>
      <c r="O995">
        <v>10.449230999999999</v>
      </c>
      <c r="P995">
        <v>67655500</v>
      </c>
      <c r="R995" s="273">
        <f>(O995/O994)*('16. câmbio USD-BRL'!O809/'16. câmbio USD-BRL'!O808)^-1-1</f>
        <v>-5.3165703351285343E-2</v>
      </c>
    </row>
    <row r="996" spans="10:18" x14ac:dyDescent="0.2">
      <c r="J996" s="354">
        <v>43605</v>
      </c>
      <c r="K996">
        <v>13.7</v>
      </c>
      <c r="L996">
        <v>14.54</v>
      </c>
      <c r="M996">
        <v>13.58</v>
      </c>
      <c r="N996">
        <v>13.85</v>
      </c>
      <c r="O996">
        <v>10.532887000000001</v>
      </c>
      <c r="P996">
        <v>47111700</v>
      </c>
      <c r="R996" s="273">
        <f>(O996/O995)*('16. câmbio USD-BRL'!O810/'16. câmbio USD-BRL'!O809)^-1-1</f>
        <v>1.4903741704415996E-2</v>
      </c>
    </row>
    <row r="997" spans="10:18" x14ac:dyDescent="0.2">
      <c r="J997" s="354">
        <v>43612</v>
      </c>
      <c r="K997">
        <v>13.98</v>
      </c>
      <c r="L997">
        <v>14.19</v>
      </c>
      <c r="M997">
        <v>13.75</v>
      </c>
      <c r="N997">
        <v>13.87</v>
      </c>
      <c r="O997">
        <v>10.602109</v>
      </c>
      <c r="P997">
        <v>42355800</v>
      </c>
      <c r="R997" s="273">
        <f>(O997/O996)*('16. câmbio USD-BRL'!O811/'16. câmbio USD-BRL'!O810)^-1-1</f>
        <v>1.6359508923749821E-2</v>
      </c>
    </row>
    <row r="998" spans="10:18" x14ac:dyDescent="0.2">
      <c r="J998" s="354">
        <v>43619</v>
      </c>
      <c r="K998">
        <v>13.95</v>
      </c>
      <c r="L998">
        <v>14.04</v>
      </c>
      <c r="M998">
        <v>13.55</v>
      </c>
      <c r="N998">
        <v>13.9</v>
      </c>
      <c r="O998">
        <v>10.625041</v>
      </c>
      <c r="P998">
        <v>39099800</v>
      </c>
      <c r="R998" s="273">
        <f>(O998/O997)*('16. câmbio USD-BRL'!O812/'16. câmbio USD-BRL'!O811)^-1-1</f>
        <v>2.8415997368437917E-2</v>
      </c>
    </row>
    <row r="999" spans="10:18" x14ac:dyDescent="0.2">
      <c r="J999" s="354">
        <v>43626</v>
      </c>
      <c r="K999">
        <v>13.84</v>
      </c>
      <c r="L999">
        <v>14.79</v>
      </c>
      <c r="M999">
        <v>13.79</v>
      </c>
      <c r="N999">
        <v>14.35</v>
      </c>
      <c r="O999">
        <v>10.969018</v>
      </c>
      <c r="P999">
        <v>49312300</v>
      </c>
      <c r="R999" s="273">
        <f>(O999/O998)*('16. câmbio USD-BRL'!O813/'16. câmbio USD-BRL'!O812)^-1-1</f>
        <v>2.7974332071924346E-2</v>
      </c>
    </row>
    <row r="1000" spans="10:18" x14ac:dyDescent="0.2">
      <c r="J1000" s="354">
        <v>43633</v>
      </c>
      <c r="K1000">
        <v>14.37</v>
      </c>
      <c r="L1000">
        <v>15.24</v>
      </c>
      <c r="M1000">
        <v>14.15</v>
      </c>
      <c r="N1000">
        <v>15.22</v>
      </c>
      <c r="O1000">
        <v>11.634038</v>
      </c>
      <c r="P1000">
        <v>39566100</v>
      </c>
      <c r="R1000" s="273">
        <f>(O1000/O999)*('16. câmbio USD-BRL'!O814/'16. câmbio USD-BRL'!O813)^-1-1</f>
        <v>7.6463153151883345E-2</v>
      </c>
    </row>
    <row r="1001" spans="10:18" x14ac:dyDescent="0.2">
      <c r="J1001" s="354">
        <v>43640</v>
      </c>
      <c r="K1001">
        <v>15.18</v>
      </c>
      <c r="L1001">
        <v>15.27</v>
      </c>
      <c r="M1001">
        <v>14.68</v>
      </c>
      <c r="N1001">
        <v>15.2</v>
      </c>
      <c r="O1001">
        <v>11.618751</v>
      </c>
      <c r="P1001">
        <v>35828800</v>
      </c>
      <c r="R1001" s="273">
        <f>(O1001/O1000)*('16. câmbio USD-BRL'!O815/'16. câmbio USD-BRL'!O814)^-1-1</f>
        <v>4.365121525411686E-3</v>
      </c>
    </row>
    <row r="1002" spans="10:18" x14ac:dyDescent="0.2">
      <c r="J1002" s="354">
        <v>43647</v>
      </c>
      <c r="K1002">
        <v>15.4</v>
      </c>
      <c r="L1002">
        <v>15.5</v>
      </c>
      <c r="M1002">
        <v>14.47</v>
      </c>
      <c r="N1002">
        <v>15.37</v>
      </c>
      <c r="O1002">
        <v>11.748696000000001</v>
      </c>
      <c r="P1002">
        <v>46587000</v>
      </c>
      <c r="R1002" s="273">
        <f>(O1002/O1001)*('16. câmbio USD-BRL'!O816/'16. câmbio USD-BRL'!O815)^-1-1</f>
        <v>9.9930469619002871E-3</v>
      </c>
    </row>
    <row r="1003" spans="10:18" x14ac:dyDescent="0.2">
      <c r="J1003" s="354">
        <v>43654</v>
      </c>
      <c r="K1003">
        <v>15.37</v>
      </c>
      <c r="L1003">
        <v>15.54</v>
      </c>
      <c r="M1003">
        <v>14.71</v>
      </c>
      <c r="N1003">
        <v>14.72</v>
      </c>
      <c r="O1003">
        <v>11.251842</v>
      </c>
      <c r="P1003">
        <v>39587500</v>
      </c>
      <c r="R1003" s="273">
        <f>(O1003/O1002)*('16. câmbio USD-BRL'!O817/'16. câmbio USD-BRL'!O816)^-1-1</f>
        <v>-2.0864748938045019E-2</v>
      </c>
    </row>
    <row r="1004" spans="10:18" x14ac:dyDescent="0.2">
      <c r="J1004" s="354">
        <v>43661</v>
      </c>
      <c r="K1004">
        <v>14.89</v>
      </c>
      <c r="L1004">
        <v>15.22</v>
      </c>
      <c r="M1004">
        <v>14.24</v>
      </c>
      <c r="N1004">
        <v>14.34</v>
      </c>
      <c r="O1004">
        <v>10.961373999999999</v>
      </c>
      <c r="P1004">
        <v>85852800</v>
      </c>
      <c r="R1004" s="273">
        <f>(O1004/O1003)*('16. câmbio USD-BRL'!O818/'16. câmbio USD-BRL'!O817)^-1-1</f>
        <v>-2.8363263054466126E-2</v>
      </c>
    </row>
    <row r="1005" spans="10:18" x14ac:dyDescent="0.2">
      <c r="J1005" s="354">
        <v>43668</v>
      </c>
      <c r="K1005">
        <v>14.44</v>
      </c>
      <c r="L1005">
        <v>14.44</v>
      </c>
      <c r="M1005">
        <v>13.61</v>
      </c>
      <c r="N1005">
        <v>13.76</v>
      </c>
      <c r="O1005">
        <v>10.518027</v>
      </c>
      <c r="P1005">
        <v>53658700</v>
      </c>
      <c r="R1005" s="273">
        <f>(O1005/O1004)*('16. câmbio USD-BRL'!O819/'16. câmbio USD-BRL'!O818)^-1-1</f>
        <v>-4.7690226996742968E-2</v>
      </c>
    </row>
    <row r="1006" spans="10:18" x14ac:dyDescent="0.2">
      <c r="J1006" s="354">
        <v>43675</v>
      </c>
      <c r="K1006">
        <v>13.83</v>
      </c>
      <c r="L1006">
        <v>14.17</v>
      </c>
      <c r="M1006">
        <v>13.37</v>
      </c>
      <c r="N1006">
        <v>13.57</v>
      </c>
      <c r="O1006">
        <v>10.372790999999999</v>
      </c>
      <c r="P1006">
        <v>60949700</v>
      </c>
      <c r="R1006" s="273">
        <f>(O1006/O1005)*('16. câmbio USD-BRL'!O820/'16. câmbio USD-BRL'!O819)^-1-1</f>
        <v>-2.9768083870650552E-2</v>
      </c>
    </row>
    <row r="1007" spans="10:18" x14ac:dyDescent="0.2">
      <c r="J1007" s="354">
        <v>43682</v>
      </c>
      <c r="K1007">
        <v>13.3</v>
      </c>
      <c r="L1007">
        <v>13.47</v>
      </c>
      <c r="M1007">
        <v>12.67</v>
      </c>
      <c r="N1007">
        <v>13.29</v>
      </c>
      <c r="O1007">
        <v>10.158764</v>
      </c>
      <c r="P1007">
        <v>71867600</v>
      </c>
      <c r="R1007" s="273">
        <f>(O1007/O1006)*('16. câmbio USD-BRL'!O821/'16. câmbio USD-BRL'!O820)^-1-1</f>
        <v>-4.0707814938361286E-2</v>
      </c>
    </row>
    <row r="1008" spans="10:18" x14ac:dyDescent="0.2">
      <c r="J1008" s="354">
        <v>43689</v>
      </c>
      <c r="K1008">
        <v>13.02</v>
      </c>
      <c r="L1008">
        <v>13.32</v>
      </c>
      <c r="M1008">
        <v>11.95</v>
      </c>
      <c r="N1008">
        <v>12.68</v>
      </c>
      <c r="O1008">
        <v>9.6924849999999996</v>
      </c>
      <c r="P1008">
        <v>86347700</v>
      </c>
      <c r="R1008" s="273">
        <f>(O1008/O1007)*('16. câmbio USD-BRL'!O822/'16. câmbio USD-BRL'!O821)^-1-1</f>
        <v>-6.3235169971602501E-2</v>
      </c>
    </row>
    <row r="1009" spans="10:18" x14ac:dyDescent="0.2">
      <c r="J1009" s="354">
        <v>43696</v>
      </c>
      <c r="K1009">
        <v>12.66</v>
      </c>
      <c r="L1009">
        <v>12.85</v>
      </c>
      <c r="M1009">
        <v>12.01</v>
      </c>
      <c r="N1009">
        <v>12.29</v>
      </c>
      <c r="O1009">
        <v>9.3943709999999996</v>
      </c>
      <c r="P1009">
        <v>74429500</v>
      </c>
      <c r="R1009" s="273">
        <f>(O1009/O1008)*('16. câmbio USD-BRL'!O823/'16. câmbio USD-BRL'!O822)^-1-1</f>
        <v>-6.1020328591112061E-2</v>
      </c>
    </row>
    <row r="1010" spans="10:18" x14ac:dyDescent="0.2">
      <c r="J1010" s="354">
        <v>43703</v>
      </c>
      <c r="K1010">
        <v>12.39</v>
      </c>
      <c r="L1010">
        <v>12.93</v>
      </c>
      <c r="M1010">
        <v>11.54</v>
      </c>
      <c r="N1010">
        <v>12.87</v>
      </c>
      <c r="O1010">
        <v>9.8923269999999999</v>
      </c>
      <c r="P1010">
        <v>66798000</v>
      </c>
      <c r="R1010" s="273">
        <f>(O1010/O1009)*('16. câmbio USD-BRL'!O824/'16. câmbio USD-BRL'!O823)^-1-1</f>
        <v>4.0525640589823997E-2</v>
      </c>
    </row>
    <row r="1011" spans="10:18" x14ac:dyDescent="0.2">
      <c r="J1011" s="354">
        <v>43710</v>
      </c>
      <c r="K1011">
        <v>13.01</v>
      </c>
      <c r="L1011">
        <v>13.09</v>
      </c>
      <c r="M1011">
        <v>12.36</v>
      </c>
      <c r="N1011">
        <v>12.43</v>
      </c>
      <c r="O1011">
        <v>9.5541300000000007</v>
      </c>
      <c r="P1011">
        <v>60155600</v>
      </c>
      <c r="R1011" s="273">
        <f>(O1011/O1010)*('16. câmbio USD-BRL'!O825/'16. câmbio USD-BRL'!O824)^-1-1</f>
        <v>-8.5701439696213022E-3</v>
      </c>
    </row>
    <row r="1012" spans="10:18" x14ac:dyDescent="0.2">
      <c r="J1012" s="354">
        <v>43717</v>
      </c>
      <c r="K1012">
        <v>12.5</v>
      </c>
      <c r="L1012">
        <v>13.82</v>
      </c>
      <c r="M1012">
        <v>12.49</v>
      </c>
      <c r="N1012">
        <v>13.56</v>
      </c>
      <c r="O1012">
        <v>10.422688000000001</v>
      </c>
      <c r="P1012">
        <v>94599700</v>
      </c>
      <c r="R1012" s="273">
        <f>(O1012/O1011)*('16. câmbio USD-BRL'!O826/'16. câmbio USD-BRL'!O825)^-1-1</f>
        <v>8.4711426635853071E-2</v>
      </c>
    </row>
    <row r="1013" spans="10:18" x14ac:dyDescent="0.2">
      <c r="J1013" s="354">
        <v>43724</v>
      </c>
      <c r="K1013">
        <v>13.45</v>
      </c>
      <c r="L1013">
        <v>13.64</v>
      </c>
      <c r="M1013">
        <v>13.09</v>
      </c>
      <c r="N1013">
        <v>13.25</v>
      </c>
      <c r="O1013">
        <v>10.184409</v>
      </c>
      <c r="P1013">
        <v>50574300</v>
      </c>
      <c r="R1013" s="273">
        <f>(O1013/O1012)*('16. câmbio USD-BRL'!O827/'16. câmbio USD-BRL'!O826)^-1-1</f>
        <v>-4.2326477901552195E-2</v>
      </c>
    </row>
    <row r="1014" spans="10:18" x14ac:dyDescent="0.2">
      <c r="J1014" s="354">
        <v>43731</v>
      </c>
      <c r="K1014">
        <v>13.07</v>
      </c>
      <c r="L1014">
        <v>13.34</v>
      </c>
      <c r="M1014">
        <v>12.68</v>
      </c>
      <c r="N1014">
        <v>13.03</v>
      </c>
      <c r="O1014">
        <v>10.015307999999999</v>
      </c>
      <c r="P1014">
        <v>48745500</v>
      </c>
      <c r="R1014" s="273">
        <f>(O1014/O1013)*('16. câmbio USD-BRL'!O828/'16. câmbio USD-BRL'!O827)^-1-1</f>
        <v>-1.4475141219734033E-2</v>
      </c>
    </row>
    <row r="1015" spans="10:18" x14ac:dyDescent="0.2">
      <c r="J1015" s="354">
        <v>43738</v>
      </c>
      <c r="K1015">
        <v>13.02</v>
      </c>
      <c r="L1015">
        <v>13.38</v>
      </c>
      <c r="M1015">
        <v>12.38</v>
      </c>
      <c r="N1015">
        <v>13.03</v>
      </c>
      <c r="O1015">
        <v>10.015307999999999</v>
      </c>
      <c r="P1015">
        <v>68702200</v>
      </c>
      <c r="R1015" s="273">
        <f>(O1015/O1014)*('16. câmbio USD-BRL'!O829/'16. câmbio USD-BRL'!O828)^-1-1</f>
        <v>2.5150409310582988E-2</v>
      </c>
    </row>
    <row r="1016" spans="10:18" x14ac:dyDescent="0.2">
      <c r="J1016" s="354">
        <v>43745</v>
      </c>
      <c r="K1016">
        <v>12.98</v>
      </c>
      <c r="L1016">
        <v>13.4</v>
      </c>
      <c r="M1016">
        <v>12.31</v>
      </c>
      <c r="N1016">
        <v>13.29</v>
      </c>
      <c r="O1016">
        <v>10.215156</v>
      </c>
      <c r="P1016">
        <v>60698800</v>
      </c>
      <c r="R1016" s="273">
        <f>(O1016/O1015)*('16. câmbio USD-BRL'!O830/'16. câmbio USD-BRL'!O829)^-1-1</f>
        <v>6.5275987628510279E-3</v>
      </c>
    </row>
    <row r="1017" spans="10:18" x14ac:dyDescent="0.2">
      <c r="J1017" s="354">
        <v>43752</v>
      </c>
      <c r="K1017">
        <v>13.16</v>
      </c>
      <c r="L1017">
        <v>13.65</v>
      </c>
      <c r="M1017">
        <v>13.02</v>
      </c>
      <c r="N1017">
        <v>13.16</v>
      </c>
      <c r="O1017">
        <v>10.115232000000001</v>
      </c>
      <c r="P1017">
        <v>54912000</v>
      </c>
      <c r="R1017" s="273">
        <f>(O1017/O1016)*('16. câmbio USD-BRL'!O831/'16. câmbio USD-BRL'!O830)^-1-1</f>
        <v>-2.2013607335861218E-2</v>
      </c>
    </row>
    <row r="1018" spans="10:18" x14ac:dyDescent="0.2">
      <c r="J1018" s="354">
        <v>43759</v>
      </c>
      <c r="K1018">
        <v>13.2</v>
      </c>
      <c r="L1018">
        <v>13.5</v>
      </c>
      <c r="M1018">
        <v>12.82</v>
      </c>
      <c r="N1018">
        <v>13.24</v>
      </c>
      <c r="O1018">
        <v>10.176724</v>
      </c>
      <c r="P1018">
        <v>45226800</v>
      </c>
      <c r="R1018" s="273">
        <f>(O1018/O1017)*('16. câmbio USD-BRL'!O832/'16. câmbio USD-BRL'!O831)^-1-1</f>
        <v>4.5814625499994266E-2</v>
      </c>
    </row>
    <row r="1019" spans="10:18" x14ac:dyDescent="0.2">
      <c r="J1019" s="354">
        <v>43766</v>
      </c>
      <c r="K1019">
        <v>13.26</v>
      </c>
      <c r="L1019">
        <v>13.98</v>
      </c>
      <c r="M1019">
        <v>12.84</v>
      </c>
      <c r="N1019">
        <v>13.91</v>
      </c>
      <c r="O1019">
        <v>10.69171</v>
      </c>
      <c r="P1019">
        <v>58711100</v>
      </c>
      <c r="R1019" s="273">
        <f>(O1019/O1018)*('16. câmbio USD-BRL'!O833/'16. câmbio USD-BRL'!O832)^-1-1</f>
        <v>5.4529478984201685E-2</v>
      </c>
    </row>
    <row r="1020" spans="10:18" x14ac:dyDescent="0.2">
      <c r="J1020" s="354">
        <v>43773</v>
      </c>
      <c r="K1020">
        <v>14</v>
      </c>
      <c r="L1020">
        <v>15.55</v>
      </c>
      <c r="M1020">
        <v>13.98</v>
      </c>
      <c r="N1020">
        <v>15.25</v>
      </c>
      <c r="O1020">
        <v>11.721679999999999</v>
      </c>
      <c r="P1020">
        <v>107838700</v>
      </c>
      <c r="R1020" s="273">
        <f>(O1020/O1019)*('16. câmbio USD-BRL'!O834/'16. câmbio USD-BRL'!O833)^-1-1</f>
        <v>6.6541697538731182E-2</v>
      </c>
    </row>
    <row r="1021" spans="10:18" x14ac:dyDescent="0.2">
      <c r="J1021" s="354">
        <v>43780</v>
      </c>
      <c r="K1021">
        <v>15.08</v>
      </c>
      <c r="L1021">
        <v>15.54</v>
      </c>
      <c r="M1021">
        <v>14.85</v>
      </c>
      <c r="N1021">
        <v>15.44</v>
      </c>
      <c r="O1021">
        <v>11.867718999999999</v>
      </c>
      <c r="P1021">
        <v>43180600</v>
      </c>
      <c r="R1021" s="273">
        <f>(O1021/O1020)*('16. câmbio USD-BRL'!O835/'16. câmbio USD-BRL'!O834)^-1-1</f>
        <v>-1.0113526157225494E-2</v>
      </c>
    </row>
    <row r="1022" spans="10:18" x14ac:dyDescent="0.2">
      <c r="J1022" s="354">
        <v>43787</v>
      </c>
      <c r="K1022">
        <v>15.54</v>
      </c>
      <c r="L1022">
        <v>16.82</v>
      </c>
      <c r="M1022">
        <v>15.05</v>
      </c>
      <c r="N1022">
        <v>16.690000999999999</v>
      </c>
      <c r="O1022">
        <v>12.862185</v>
      </c>
      <c r="P1022">
        <v>77808000</v>
      </c>
      <c r="R1022" s="273">
        <f>(O1022/O1021)*('16. câmbio USD-BRL'!O836/'16. câmbio USD-BRL'!O835)^-1-1</f>
        <v>8.3300090071454225E-2</v>
      </c>
    </row>
    <row r="1023" spans="10:18" x14ac:dyDescent="0.2">
      <c r="J1023" s="354">
        <v>43794</v>
      </c>
      <c r="K1023">
        <v>16.690000999999999</v>
      </c>
      <c r="L1023">
        <v>17.579999999999998</v>
      </c>
      <c r="M1023">
        <v>16.549999</v>
      </c>
      <c r="N1023">
        <v>17</v>
      </c>
      <c r="O1023">
        <v>13.101084999999999</v>
      </c>
      <c r="P1023">
        <v>87786400</v>
      </c>
      <c r="R1023" s="273">
        <f>(O1023/O1022)*('16. câmbio USD-BRL'!O837/'16. câmbio USD-BRL'!O836)^-1-1</f>
        <v>9.0271682087699201E-3</v>
      </c>
    </row>
    <row r="1024" spans="10:18" x14ac:dyDescent="0.2">
      <c r="J1024" s="354">
        <v>43801</v>
      </c>
      <c r="K1024">
        <v>16.760000000000002</v>
      </c>
      <c r="L1024">
        <v>17.870000999999998</v>
      </c>
      <c r="M1024">
        <v>16.629999000000002</v>
      </c>
      <c r="N1024">
        <v>17.600000000000001</v>
      </c>
      <c r="O1024">
        <v>13.563477000000001</v>
      </c>
      <c r="P1024">
        <v>50651600</v>
      </c>
      <c r="R1024" s="273">
        <f>(O1024/O1023)*('16. câmbio USD-BRL'!O838/'16. câmbio USD-BRL'!O837)^-1-1</f>
        <v>5.8973726303646057E-2</v>
      </c>
    </row>
    <row r="1025" spans="10:18" x14ac:dyDescent="0.2">
      <c r="J1025" s="354">
        <v>43808</v>
      </c>
      <c r="K1025">
        <v>17.77</v>
      </c>
      <c r="L1025">
        <v>18.489999999999998</v>
      </c>
      <c r="M1025">
        <v>17.059999000000001</v>
      </c>
      <c r="N1025">
        <v>18.489999999999998</v>
      </c>
      <c r="O1025">
        <v>14.249358000000001</v>
      </c>
      <c r="P1025">
        <v>69445300</v>
      </c>
      <c r="R1025" s="273">
        <f>(O1025/O1024)*('16. câmbio USD-BRL'!O839/'16. câmbio USD-BRL'!O838)^-1-1</f>
        <v>5.9009814674842342E-2</v>
      </c>
    </row>
    <row r="1026" spans="10:18" x14ac:dyDescent="0.2">
      <c r="J1026" s="354">
        <v>43815</v>
      </c>
      <c r="K1026">
        <v>18.5</v>
      </c>
      <c r="L1026">
        <v>19.190000999999999</v>
      </c>
      <c r="M1026">
        <v>17.73</v>
      </c>
      <c r="N1026">
        <v>19.149999999999999</v>
      </c>
      <c r="O1026">
        <v>14.757987999999999</v>
      </c>
      <c r="P1026">
        <v>83515300</v>
      </c>
      <c r="R1026" s="273">
        <f>(O1026/O1025)*('16. câmbio USD-BRL'!O840/'16. câmbio USD-BRL'!O839)^-1-1</f>
        <v>3.7932097228291495E-2</v>
      </c>
    </row>
    <row r="1027" spans="10:18" x14ac:dyDescent="0.2">
      <c r="J1027" s="354">
        <v>43822</v>
      </c>
      <c r="K1027">
        <v>19.209999</v>
      </c>
      <c r="L1027">
        <v>20</v>
      </c>
      <c r="M1027">
        <v>19.010000000000002</v>
      </c>
      <c r="N1027">
        <v>19.879999000000002</v>
      </c>
      <c r="O1027">
        <v>15.320562000000001</v>
      </c>
      <c r="P1027">
        <v>30298200</v>
      </c>
      <c r="R1027" s="273">
        <f>(O1027/O1026)*('16. câmbio USD-BRL'!O841/'16. câmbio USD-BRL'!O840)^-1-1</f>
        <v>5.2005870045925606E-2</v>
      </c>
    </row>
    <row r="1028" spans="10:18" x14ac:dyDescent="0.2">
      <c r="J1028" s="354">
        <v>43829</v>
      </c>
      <c r="K1028">
        <v>19.91</v>
      </c>
      <c r="L1028">
        <v>20.790001</v>
      </c>
      <c r="M1028">
        <v>19.75</v>
      </c>
      <c r="N1028">
        <v>20.420000000000002</v>
      </c>
      <c r="O1028">
        <v>15.736713</v>
      </c>
      <c r="P1028">
        <v>38558700</v>
      </c>
      <c r="R1028" s="273">
        <f>(O1028/O1027)*('16. câmbio USD-BRL'!O842/'16. câmbio USD-BRL'!O841)^-1-1</f>
        <v>2.1770004804216425E-2</v>
      </c>
    </row>
    <row r="1029" spans="10:18" x14ac:dyDescent="0.2">
      <c r="J1029" s="354">
        <v>43836</v>
      </c>
      <c r="K1029">
        <v>20.299999</v>
      </c>
      <c r="L1029">
        <v>21.209999</v>
      </c>
      <c r="M1029">
        <v>19.829999999999998</v>
      </c>
      <c r="N1029">
        <v>20.940000999999999</v>
      </c>
      <c r="O1029">
        <v>16.137453000000001</v>
      </c>
      <c r="P1029">
        <v>49073400</v>
      </c>
      <c r="R1029" s="273">
        <f>(O1029/O1028)*('16. câmbio USD-BRL'!O843/'16. câmbio USD-BRL'!O842)^-1-1</f>
        <v>2.7263439440091686E-2</v>
      </c>
    </row>
    <row r="1030" spans="10:18" x14ac:dyDescent="0.2">
      <c r="J1030" s="354">
        <v>43843</v>
      </c>
      <c r="K1030">
        <v>21.219999000000001</v>
      </c>
      <c r="L1030">
        <v>22.16</v>
      </c>
      <c r="M1030">
        <v>20.879999000000002</v>
      </c>
      <c r="N1030">
        <v>21.57</v>
      </c>
      <c r="O1030">
        <v>16.622966999999999</v>
      </c>
      <c r="P1030">
        <v>61756400</v>
      </c>
      <c r="R1030" s="273">
        <f>(O1030/O1029)*('16. câmbio USD-BRL'!O844/'16. câmbio USD-BRL'!O843)^-1-1</f>
        <v>4.8989578850993087E-3</v>
      </c>
    </row>
    <row r="1031" spans="10:18" x14ac:dyDescent="0.2">
      <c r="J1031" s="354">
        <v>43850</v>
      </c>
      <c r="K1031">
        <v>21.530000999999999</v>
      </c>
      <c r="L1031">
        <v>22.540001</v>
      </c>
      <c r="M1031">
        <v>21.389999</v>
      </c>
      <c r="N1031">
        <v>21.67</v>
      </c>
      <c r="O1031">
        <v>16.700030999999999</v>
      </c>
      <c r="P1031">
        <v>52322500</v>
      </c>
      <c r="R1031" s="273">
        <f>(O1031/O1030)*('16. câmbio USD-BRL'!O845/'16. câmbio USD-BRL'!O844)^-1-1</f>
        <v>-1.4706980519740842E-4</v>
      </c>
    </row>
    <row r="1032" spans="10:18" x14ac:dyDescent="0.2">
      <c r="J1032" s="354">
        <v>43857</v>
      </c>
      <c r="K1032">
        <v>20.559999000000001</v>
      </c>
      <c r="L1032">
        <v>20.809999000000001</v>
      </c>
      <c r="M1032">
        <v>19.600000000000001</v>
      </c>
      <c r="N1032">
        <v>20.049999</v>
      </c>
      <c r="O1032">
        <v>15.451575999999999</v>
      </c>
      <c r="P1032">
        <v>72736100</v>
      </c>
      <c r="R1032" s="273">
        <f>(O1032/O1031)*('16. câmbio USD-BRL'!O846/'16. câmbio USD-BRL'!O845)^-1-1</f>
        <v>-9.6629761113620982E-2</v>
      </c>
    </row>
    <row r="1033" spans="10:18" x14ac:dyDescent="0.2">
      <c r="J1033" s="354">
        <v>43864</v>
      </c>
      <c r="K1033">
        <v>20.049999</v>
      </c>
      <c r="L1033">
        <v>22.290001</v>
      </c>
      <c r="M1033">
        <v>19.760000000000002</v>
      </c>
      <c r="N1033">
        <v>20.25</v>
      </c>
      <c r="O1033">
        <v>15.605703999999999</v>
      </c>
      <c r="P1033">
        <v>64765700</v>
      </c>
      <c r="R1033" s="273">
        <f>(O1033/O1032)*('16. câmbio USD-BRL'!O847/'16. câmbio USD-BRL'!O846)^-1-1</f>
        <v>1.0888093440293289E-3</v>
      </c>
    </row>
    <row r="1034" spans="10:18" x14ac:dyDescent="0.2">
      <c r="J1034" s="354">
        <v>43871</v>
      </c>
      <c r="K1034">
        <v>20.25</v>
      </c>
      <c r="L1034">
        <v>21.66</v>
      </c>
      <c r="M1034">
        <v>19.780000999999999</v>
      </c>
      <c r="N1034">
        <v>20.5</v>
      </c>
      <c r="O1034">
        <v>15.798366</v>
      </c>
      <c r="P1034">
        <v>59885900</v>
      </c>
      <c r="R1034" s="273">
        <f>(O1034/O1033)*('16. câmbio USD-BRL'!O848/'16. câmbio USD-BRL'!O847)^-1-1</f>
        <v>1.7765527811866466E-2</v>
      </c>
    </row>
    <row r="1035" spans="10:18" x14ac:dyDescent="0.2">
      <c r="J1035" s="354">
        <v>43878</v>
      </c>
      <c r="K1035">
        <v>20.690000999999999</v>
      </c>
      <c r="L1035">
        <v>20.83</v>
      </c>
      <c r="M1035">
        <v>18.850000000000001</v>
      </c>
      <c r="N1035">
        <v>19.100000000000001</v>
      </c>
      <c r="O1035">
        <v>14.719455</v>
      </c>
      <c r="P1035">
        <v>65912900</v>
      </c>
      <c r="R1035" s="273">
        <f>(O1035/O1034)*('16. câmbio USD-BRL'!O849/'16. câmbio USD-BRL'!O848)^-1-1</f>
        <v>-8.7847787512891018E-2</v>
      </c>
    </row>
    <row r="1036" spans="10:18" x14ac:dyDescent="0.2">
      <c r="J1036" s="354">
        <v>43885</v>
      </c>
      <c r="K1036">
        <v>19.100000000000001</v>
      </c>
      <c r="L1036">
        <v>19.100000000000001</v>
      </c>
      <c r="M1036">
        <v>16.149999999999999</v>
      </c>
      <c r="N1036">
        <v>16.93</v>
      </c>
      <c r="O1036">
        <v>13.047141</v>
      </c>
      <c r="P1036">
        <v>68504800</v>
      </c>
      <c r="R1036" s="273">
        <f>(O1036/O1035)*('16. câmbio USD-BRL'!O850/'16. câmbio USD-BRL'!O849)^-1-1</f>
        <v>-0.1299518951865728</v>
      </c>
    </row>
    <row r="1037" spans="10:18" x14ac:dyDescent="0.2">
      <c r="J1037" s="354">
        <v>43892</v>
      </c>
      <c r="K1037">
        <v>17.239999999999998</v>
      </c>
      <c r="L1037">
        <v>18.540001</v>
      </c>
      <c r="M1037">
        <v>15.69</v>
      </c>
      <c r="N1037">
        <v>16.149999999999999</v>
      </c>
      <c r="O1037">
        <v>12.446032000000001</v>
      </c>
      <c r="P1037">
        <v>83105800</v>
      </c>
      <c r="R1037" s="273">
        <f>(O1037/O1036)*('16. câmbio USD-BRL'!O851/'16. câmbio USD-BRL'!O850)^-1-1</f>
        <v>-7.8096248926407208E-2</v>
      </c>
    </row>
    <row r="1038" spans="10:18" x14ac:dyDescent="0.2">
      <c r="J1038" s="354">
        <v>43899</v>
      </c>
      <c r="K1038">
        <v>14.76</v>
      </c>
      <c r="L1038">
        <v>14.83</v>
      </c>
      <c r="M1038">
        <v>9.36</v>
      </c>
      <c r="N1038">
        <v>12.45</v>
      </c>
      <c r="O1038">
        <v>9.6116510000000002</v>
      </c>
      <c r="P1038">
        <v>137096500</v>
      </c>
      <c r="R1038" s="273">
        <f>(O1038/O1037)*('16. câmbio USD-BRL'!O852/'16. câmbio USD-BRL'!O851)^-1-1</f>
        <v>-0.26466120089260403</v>
      </c>
    </row>
    <row r="1039" spans="10:18" x14ac:dyDescent="0.2">
      <c r="J1039" s="354">
        <v>43906</v>
      </c>
      <c r="K1039">
        <v>10.6</v>
      </c>
      <c r="L1039">
        <v>11.6</v>
      </c>
      <c r="M1039">
        <v>8.16</v>
      </c>
      <c r="N1039">
        <v>9.25</v>
      </c>
      <c r="O1039">
        <v>7.1411860000000003</v>
      </c>
      <c r="P1039">
        <v>113268200</v>
      </c>
      <c r="R1039" s="273">
        <f>(O1039/O1038)*('16. câmbio USD-BRL'!O853/'16. câmbio USD-BRL'!O852)^-1-1</f>
        <v>-0.29146254931238258</v>
      </c>
    </row>
    <row r="1040" spans="10:18" x14ac:dyDescent="0.2">
      <c r="J1040" s="354">
        <v>43913</v>
      </c>
      <c r="K1040">
        <v>9.25</v>
      </c>
      <c r="L1040">
        <v>11.56</v>
      </c>
      <c r="M1040">
        <v>8.4600000000000009</v>
      </c>
      <c r="N1040">
        <v>10.1</v>
      </c>
      <c r="O1040">
        <v>7.7974019999999999</v>
      </c>
      <c r="P1040">
        <v>88977400</v>
      </c>
      <c r="R1040" s="273">
        <f>(O1040/O1039)*('16. câmbio USD-BRL'!O854/'16. câmbio USD-BRL'!O853)^-1-1</f>
        <v>9.0863874636055497E-2</v>
      </c>
    </row>
    <row r="1041" spans="10:18" x14ac:dyDescent="0.2">
      <c r="J1041" s="354">
        <v>43920</v>
      </c>
      <c r="K1041">
        <v>10.26</v>
      </c>
      <c r="L1041">
        <v>10.71</v>
      </c>
      <c r="M1041">
        <v>9.16</v>
      </c>
      <c r="N1041">
        <v>9.33</v>
      </c>
      <c r="O1041">
        <v>7.2029480000000001</v>
      </c>
      <c r="P1041">
        <v>104893700</v>
      </c>
      <c r="R1041" s="273">
        <f>(O1041/O1040)*('16. câmbio USD-BRL'!O855/'16. câmbio USD-BRL'!O854)^-1-1</f>
        <v>-0.10371143950950334</v>
      </c>
    </row>
    <row r="1042" spans="10:18" x14ac:dyDescent="0.2">
      <c r="J1042" s="354">
        <v>43927</v>
      </c>
      <c r="K1042">
        <v>9.8000000000000007</v>
      </c>
      <c r="L1042">
        <v>11.39</v>
      </c>
      <c r="M1042">
        <v>9.48</v>
      </c>
      <c r="N1042">
        <v>10.7</v>
      </c>
      <c r="O1042">
        <v>8.2606149999999996</v>
      </c>
      <c r="P1042">
        <v>93082000</v>
      </c>
      <c r="R1042" s="273">
        <f>(O1042/O1041)*('16. câmbio USD-BRL'!O856/'16. câmbio USD-BRL'!O855)^-1-1</f>
        <v>0.18048734148349044</v>
      </c>
    </row>
    <row r="1043" spans="10:18" x14ac:dyDescent="0.2">
      <c r="J1043" s="354">
        <v>43934</v>
      </c>
      <c r="K1043">
        <v>10.63</v>
      </c>
      <c r="L1043">
        <v>12.5</v>
      </c>
      <c r="M1043">
        <v>10.34</v>
      </c>
      <c r="N1043">
        <v>12.3</v>
      </c>
      <c r="O1043">
        <v>9.4958480000000005</v>
      </c>
      <c r="P1043">
        <v>103255900</v>
      </c>
      <c r="R1043" s="273">
        <f>(O1043/O1042)*('16. câmbio USD-BRL'!O857/'16. câmbio USD-BRL'!O856)^-1-1</f>
        <v>0.12101076860803905</v>
      </c>
    </row>
    <row r="1044" spans="10:18" x14ac:dyDescent="0.2">
      <c r="J1044" s="354">
        <v>43941</v>
      </c>
      <c r="K1044">
        <v>11.95</v>
      </c>
      <c r="L1044">
        <v>12.36</v>
      </c>
      <c r="M1044">
        <v>10.75</v>
      </c>
      <c r="N1044">
        <v>10.93</v>
      </c>
      <c r="O1044">
        <v>8.4381780000000006</v>
      </c>
      <c r="P1044">
        <v>90979200</v>
      </c>
      <c r="R1044" s="273">
        <f>(O1044/O1043)*('16. câmbio USD-BRL'!O858/'16. câmbio USD-BRL'!O857)^-1-1</f>
        <v>-0.16801946231162324</v>
      </c>
    </row>
    <row r="1045" spans="10:18" x14ac:dyDescent="0.2">
      <c r="J1045" s="354">
        <v>43948</v>
      </c>
      <c r="K1045">
        <v>11.27</v>
      </c>
      <c r="L1045">
        <v>12.8</v>
      </c>
      <c r="M1045">
        <v>10.94</v>
      </c>
      <c r="N1045">
        <v>11.74</v>
      </c>
      <c r="O1045">
        <v>9.0635159999999999</v>
      </c>
      <c r="P1045">
        <v>67364100</v>
      </c>
      <c r="R1045" s="273">
        <f>(O1045/O1044)*('16. câmbio USD-BRL'!O859/'16. câmbio USD-BRL'!O858)^-1-1</f>
        <v>9.484279910003024E-2</v>
      </c>
    </row>
    <row r="1046" spans="10:18" x14ac:dyDescent="0.2">
      <c r="J1046" s="354">
        <v>43955</v>
      </c>
      <c r="K1046">
        <v>11.16</v>
      </c>
      <c r="L1046">
        <v>13.28</v>
      </c>
      <c r="M1046">
        <v>11.03</v>
      </c>
      <c r="N1046">
        <v>13</v>
      </c>
      <c r="O1046">
        <v>10.036261</v>
      </c>
      <c r="P1046">
        <v>105411000</v>
      </c>
      <c r="R1046" s="273">
        <f>(O1046/O1045)*('16. câmbio USD-BRL'!O860/'16. câmbio USD-BRL'!O859)^-1-1</f>
        <v>6.0004907039966193E-2</v>
      </c>
    </row>
    <row r="1047" spans="10:18" x14ac:dyDescent="0.2">
      <c r="J1047" s="354">
        <v>43962</v>
      </c>
      <c r="K1047">
        <v>12.87</v>
      </c>
      <c r="L1047">
        <v>13</v>
      </c>
      <c r="M1047">
        <v>10.92</v>
      </c>
      <c r="N1047">
        <v>10.92</v>
      </c>
      <c r="O1047">
        <v>8.4304590000000008</v>
      </c>
      <c r="P1047">
        <v>119611600</v>
      </c>
      <c r="R1047" s="273">
        <f>(O1047/O1046)*('16. câmbio USD-BRL'!O861/'16. câmbio USD-BRL'!O860)^-1-1</f>
        <v>-0.17754359819086729</v>
      </c>
    </row>
    <row r="1048" spans="10:18" x14ac:dyDescent="0.2">
      <c r="J1048" s="354">
        <v>43969</v>
      </c>
      <c r="K1048">
        <v>11.38</v>
      </c>
      <c r="L1048">
        <v>12.33</v>
      </c>
      <c r="M1048">
        <v>11.25</v>
      </c>
      <c r="N1048">
        <v>11.6</v>
      </c>
      <c r="O1048">
        <v>8.9554340000000003</v>
      </c>
      <c r="P1048">
        <v>81853500</v>
      </c>
      <c r="R1048" s="273">
        <f>(O1048/O1047)*('16. câmbio USD-BRL'!O862/'16. câmbio USD-BRL'!O861)^-1-1</f>
        <v>0.12479296794322892</v>
      </c>
    </row>
    <row r="1049" spans="10:18" x14ac:dyDescent="0.2">
      <c r="J1049" s="354">
        <v>43976</v>
      </c>
      <c r="K1049">
        <v>12</v>
      </c>
      <c r="L1049">
        <v>13.91</v>
      </c>
      <c r="M1049">
        <v>11.88</v>
      </c>
      <c r="N1049">
        <v>13.43</v>
      </c>
      <c r="O1049">
        <v>10.368231</v>
      </c>
      <c r="P1049">
        <v>94545000</v>
      </c>
      <c r="R1049" s="273">
        <f>(O1049/O1048)*('16. câmbio USD-BRL'!O863/'16. câmbio USD-BRL'!O862)^-1-1</f>
        <v>0.20018423189482903</v>
      </c>
    </row>
    <row r="1050" spans="10:18" x14ac:dyDescent="0.2">
      <c r="J1050" s="354">
        <v>43983</v>
      </c>
      <c r="K1050">
        <v>13.75</v>
      </c>
      <c r="L1050">
        <v>16.219999000000001</v>
      </c>
      <c r="M1050">
        <v>13.34</v>
      </c>
      <c r="N1050">
        <v>15.17</v>
      </c>
      <c r="O1050">
        <v>11.711546</v>
      </c>
      <c r="P1050">
        <v>106810500</v>
      </c>
      <c r="R1050" s="273">
        <f>(O1050/O1049)*('16. câmbio USD-BRL'!O864/'16. câmbio USD-BRL'!O863)^-1-1</f>
        <v>0.21401414930629703</v>
      </c>
    </row>
    <row r="1051" spans="10:18" x14ac:dyDescent="0.2">
      <c r="J1051" s="354">
        <v>43990</v>
      </c>
      <c r="K1051">
        <v>15.45</v>
      </c>
      <c r="L1051">
        <v>15.76</v>
      </c>
      <c r="M1051">
        <v>13.4</v>
      </c>
      <c r="N1051">
        <v>13.88</v>
      </c>
      <c r="O1051">
        <v>10.71564</v>
      </c>
      <c r="P1051">
        <v>75124500</v>
      </c>
      <c r="R1051" s="273">
        <f>(O1051/O1050)*('16. câmbio USD-BRL'!O865/'16. câmbio USD-BRL'!O864)^-1-1</f>
        <v>-0.10063381718028397</v>
      </c>
    </row>
    <row r="1052" spans="10:18" x14ac:dyDescent="0.2">
      <c r="J1052" s="354">
        <v>43997</v>
      </c>
      <c r="K1052">
        <v>13.3</v>
      </c>
      <c r="L1052">
        <v>16.41</v>
      </c>
      <c r="M1052">
        <v>13.13</v>
      </c>
      <c r="N1052">
        <v>15.45</v>
      </c>
      <c r="O1052">
        <v>11.927711</v>
      </c>
      <c r="P1052">
        <v>119476600</v>
      </c>
      <c r="R1052" s="273">
        <f>(O1052/O1051)*('16. câmbio USD-BRL'!O866/'16. câmbio USD-BRL'!O865)^-1-1</f>
        <v>5.8395699812794577E-2</v>
      </c>
    </row>
    <row r="1053" spans="10:18" x14ac:dyDescent="0.2">
      <c r="J1053" s="354">
        <v>44004</v>
      </c>
      <c r="K1053">
        <v>15.52</v>
      </c>
      <c r="L1053">
        <v>16.27</v>
      </c>
      <c r="M1053">
        <v>14.96</v>
      </c>
      <c r="N1053">
        <v>15.18</v>
      </c>
      <c r="O1053">
        <v>11.719265999999999</v>
      </c>
      <c r="P1053">
        <v>82169900</v>
      </c>
      <c r="R1053" s="273">
        <f>(O1053/O1052)*('16. câmbio USD-BRL'!O867/'16. câmbio USD-BRL'!O866)^-1-1</f>
        <v>-4.7627619558191503E-2</v>
      </c>
    </row>
    <row r="1054" spans="10:18" x14ac:dyDescent="0.2">
      <c r="J1054" s="354">
        <v>44011</v>
      </c>
      <c r="K1054">
        <v>15.41</v>
      </c>
      <c r="L1054">
        <v>16.18</v>
      </c>
      <c r="M1054">
        <v>15.14</v>
      </c>
      <c r="N1054">
        <v>15.71</v>
      </c>
      <c r="O1054">
        <v>12.128437</v>
      </c>
      <c r="P1054">
        <v>72188100</v>
      </c>
      <c r="R1054" s="273">
        <f>(O1054/O1053)*('16. câmbio USD-BRL'!O868/'16. câmbio USD-BRL'!O867)^-1-1</f>
        <v>6.7204917308473444E-2</v>
      </c>
    </row>
    <row r="1055" spans="10:18" x14ac:dyDescent="0.2">
      <c r="J1055" s="354">
        <v>44018</v>
      </c>
      <c r="K1055">
        <v>16.059999000000001</v>
      </c>
      <c r="L1055">
        <v>16.280000999999999</v>
      </c>
      <c r="M1055">
        <v>15.62</v>
      </c>
      <c r="N1055">
        <v>16.100000000000001</v>
      </c>
      <c r="O1055">
        <v>12.429523</v>
      </c>
      <c r="P1055">
        <v>66284300</v>
      </c>
      <c r="R1055" s="273">
        <f>(O1055/O1054)*('16. câmbio USD-BRL'!O869/'16. câmbio USD-BRL'!O868)^-1-1</f>
        <v>2.3738544572541098E-2</v>
      </c>
    </row>
    <row r="1056" spans="10:18" x14ac:dyDescent="0.2">
      <c r="J1056" s="354">
        <v>44025</v>
      </c>
      <c r="K1056">
        <v>16.450001</v>
      </c>
      <c r="L1056">
        <v>17.110001</v>
      </c>
      <c r="M1056">
        <v>16.02</v>
      </c>
      <c r="N1056">
        <v>16.309999000000001</v>
      </c>
      <c r="O1056">
        <v>12.591647999999999</v>
      </c>
      <c r="P1056">
        <v>67964100</v>
      </c>
      <c r="R1056" s="273">
        <f>(O1056/O1055)*('16. câmbio USD-BRL'!O870/'16. câmbio USD-BRL'!O869)^-1-1</f>
        <v>1.7788045021083221E-4</v>
      </c>
    </row>
    <row r="1057" spans="10:18" x14ac:dyDescent="0.2">
      <c r="J1057" s="354">
        <v>44032</v>
      </c>
      <c r="K1057">
        <v>16.360001</v>
      </c>
      <c r="L1057">
        <v>17.200001</v>
      </c>
      <c r="M1057">
        <v>15.86</v>
      </c>
      <c r="N1057">
        <v>17.139999</v>
      </c>
      <c r="O1057">
        <v>13.232426999999999</v>
      </c>
      <c r="P1057">
        <v>84395000</v>
      </c>
      <c r="R1057" s="273">
        <f>(O1057/O1056)*('16. câmbio USD-BRL'!O871/'16. câmbio USD-BRL'!O870)^-1-1</f>
        <v>8.2454079135984015E-2</v>
      </c>
    </row>
    <row r="1058" spans="10:18" x14ac:dyDescent="0.2">
      <c r="J1058" s="354">
        <v>44039</v>
      </c>
      <c r="K1058">
        <v>17.219999000000001</v>
      </c>
      <c r="L1058">
        <v>18.120000999999998</v>
      </c>
      <c r="M1058">
        <v>17.200001</v>
      </c>
      <c r="N1058">
        <v>17.450001</v>
      </c>
      <c r="O1058">
        <v>13.471752</v>
      </c>
      <c r="P1058">
        <v>65772100</v>
      </c>
      <c r="R1058" s="273">
        <f>(O1058/O1057)*('16. câmbio USD-BRL'!O872/'16. câmbio USD-BRL'!O871)^-1-1</f>
        <v>1.941226530077178E-2</v>
      </c>
    </row>
    <row r="1059" spans="10:18" x14ac:dyDescent="0.2">
      <c r="J1059" s="354">
        <v>44046</v>
      </c>
      <c r="K1059">
        <v>17.690000999999999</v>
      </c>
      <c r="L1059">
        <v>18.889999</v>
      </c>
      <c r="M1059">
        <v>17.040001</v>
      </c>
      <c r="N1059">
        <v>17.610001</v>
      </c>
      <c r="O1059">
        <v>13.595275000000001</v>
      </c>
      <c r="P1059">
        <v>118470700</v>
      </c>
      <c r="R1059" s="273">
        <f>(O1059/O1058)*('16. câmbio USD-BRL'!O873/'16. câmbio USD-BRL'!O872)^-1-1</f>
        <v>-3.0563755091733147E-2</v>
      </c>
    </row>
    <row r="1060" spans="10:18" x14ac:dyDescent="0.2">
      <c r="J1060" s="354">
        <v>44053</v>
      </c>
      <c r="K1060">
        <v>17.700001</v>
      </c>
      <c r="L1060">
        <v>18.59</v>
      </c>
      <c r="M1060">
        <v>17.59</v>
      </c>
      <c r="N1060">
        <v>17.989999999999998</v>
      </c>
      <c r="O1060">
        <v>13.888641</v>
      </c>
      <c r="P1060">
        <v>58336900</v>
      </c>
      <c r="R1060" s="273">
        <f>(O1060/O1059)*('16. câmbio USD-BRL'!O874/'16. câmbio USD-BRL'!O873)^-1-1</f>
        <v>2.4402244125975248E-2</v>
      </c>
    </row>
    <row r="1061" spans="10:18" x14ac:dyDescent="0.2">
      <c r="J1061" s="354">
        <v>44060</v>
      </c>
      <c r="K1061">
        <v>17.989999999999998</v>
      </c>
      <c r="L1061">
        <v>20.399999999999999</v>
      </c>
      <c r="M1061">
        <v>17.75</v>
      </c>
      <c r="N1061">
        <v>19.68</v>
      </c>
      <c r="O1061">
        <v>15.193356</v>
      </c>
      <c r="P1061">
        <v>101695900</v>
      </c>
      <c r="R1061" s="273">
        <f>(O1061/O1060)*('16. câmbio USD-BRL'!O875/'16. câmbio USD-BRL'!O874)^-1-1</f>
        <v>5.5423336061216188E-2</v>
      </c>
    </row>
    <row r="1062" spans="10:18" x14ac:dyDescent="0.2">
      <c r="J1062" s="354">
        <v>44067</v>
      </c>
      <c r="K1062">
        <v>19.700001</v>
      </c>
      <c r="L1062">
        <v>20.149999999999999</v>
      </c>
      <c r="M1062">
        <v>19.02</v>
      </c>
      <c r="N1062">
        <v>19.600000000000001</v>
      </c>
      <c r="O1062">
        <v>15.131596999999999</v>
      </c>
      <c r="P1062">
        <v>45864500</v>
      </c>
      <c r="R1062" s="273">
        <f>(O1062/O1061)*('16. câmbio USD-BRL'!O876/'16. câmbio USD-BRL'!O875)^-1-1</f>
        <v>3.8143132890742226E-2</v>
      </c>
    </row>
    <row r="1063" spans="10:18" x14ac:dyDescent="0.2">
      <c r="J1063" s="354">
        <v>44074</v>
      </c>
      <c r="K1063">
        <v>19.370000999999998</v>
      </c>
      <c r="L1063">
        <v>20.389999</v>
      </c>
      <c r="M1063">
        <v>19.040001</v>
      </c>
      <c r="N1063">
        <v>19.920000000000002</v>
      </c>
      <c r="O1063">
        <v>15.378640000000001</v>
      </c>
      <c r="P1063">
        <v>63880900</v>
      </c>
      <c r="R1063" s="273">
        <f>(O1063/O1062)*('16. câmbio USD-BRL'!O877/'16. câmbio USD-BRL'!O876)^-1-1</f>
        <v>3.3469939320230457E-2</v>
      </c>
    </row>
    <row r="1064" spans="10:18" x14ac:dyDescent="0.2">
      <c r="J1064" s="354">
        <v>44081</v>
      </c>
      <c r="K1064">
        <v>19.920000000000002</v>
      </c>
      <c r="L1064">
        <v>20.82</v>
      </c>
      <c r="M1064">
        <v>19.299999</v>
      </c>
      <c r="N1064">
        <v>19.91</v>
      </c>
      <c r="O1064">
        <v>15.37092</v>
      </c>
      <c r="P1064">
        <v>42369900</v>
      </c>
      <c r="R1064" s="273">
        <f>(O1064/O1063)*('16. câmbio USD-BRL'!O878/'16. câmbio USD-BRL'!O877)^-1-1</f>
        <v>-3.5478119612493142E-3</v>
      </c>
    </row>
    <row r="1065" spans="10:18" x14ac:dyDescent="0.2">
      <c r="J1065" s="354">
        <v>44088</v>
      </c>
      <c r="K1065">
        <v>20.149999999999999</v>
      </c>
      <c r="L1065">
        <v>21.84</v>
      </c>
      <c r="M1065">
        <v>19.889999</v>
      </c>
      <c r="N1065">
        <v>20.959999</v>
      </c>
      <c r="O1065">
        <v>16.181539999999998</v>
      </c>
      <c r="P1065">
        <v>84336500</v>
      </c>
      <c r="R1065" s="273">
        <f>(O1065/O1064)*('16. câmbio USD-BRL'!O879/'16. câmbio USD-BRL'!O878)^-1-1</f>
        <v>3.8419207549258205E-2</v>
      </c>
    </row>
    <row r="1066" spans="10:18" x14ac:dyDescent="0.2">
      <c r="J1066" s="354">
        <v>44095</v>
      </c>
      <c r="K1066">
        <v>20.690000999999999</v>
      </c>
      <c r="L1066">
        <v>21.32</v>
      </c>
      <c r="M1066">
        <v>20.260000000000002</v>
      </c>
      <c r="N1066">
        <v>20.51</v>
      </c>
      <c r="O1066">
        <v>15.83413</v>
      </c>
      <c r="P1066">
        <v>65023700</v>
      </c>
      <c r="R1066" s="273">
        <f>(O1066/O1065)*('16. câmbio USD-BRL'!O880/'16. câmbio USD-BRL'!O879)^-1-1</f>
        <v>-5.1391852629060986E-2</v>
      </c>
    </row>
    <row r="1067" spans="10:18" x14ac:dyDescent="0.2">
      <c r="J1067" s="354">
        <v>44102</v>
      </c>
      <c r="K1067">
        <v>20.68</v>
      </c>
      <c r="L1067">
        <v>21.35</v>
      </c>
      <c r="M1067">
        <v>20.100000000000001</v>
      </c>
      <c r="N1067">
        <v>20.6</v>
      </c>
      <c r="O1067">
        <v>15.903613</v>
      </c>
      <c r="P1067">
        <v>68222600</v>
      </c>
      <c r="R1067" s="273">
        <f>(O1067/O1066)*('16. câmbio USD-BRL'!O881/'16. câmbio USD-BRL'!O880)^-1-1</f>
        <v>-1.6885461648689537E-2</v>
      </c>
    </row>
    <row r="1068" spans="10:18" x14ac:dyDescent="0.2">
      <c r="J1068" s="354">
        <v>44109</v>
      </c>
      <c r="K1068">
        <v>20.690000999999999</v>
      </c>
      <c r="L1068">
        <v>22.889999</v>
      </c>
      <c r="M1068">
        <v>20.559999000000001</v>
      </c>
      <c r="N1068">
        <v>21.799999</v>
      </c>
      <c r="O1068">
        <v>16.830037999999998</v>
      </c>
      <c r="P1068">
        <v>80118500</v>
      </c>
      <c r="R1068" s="273">
        <f>(O1068/O1067)*('16. câmbio USD-BRL'!O882/'16. câmbio USD-BRL'!O881)^-1-1</f>
        <v>8.7411196404900915E-2</v>
      </c>
    </row>
    <row r="1069" spans="10:18" x14ac:dyDescent="0.2">
      <c r="J1069" s="354">
        <v>44116</v>
      </c>
      <c r="K1069">
        <v>21.799999</v>
      </c>
      <c r="L1069">
        <v>23.18</v>
      </c>
      <c r="M1069">
        <v>21.58</v>
      </c>
      <c r="N1069">
        <v>22.82</v>
      </c>
      <c r="O1069">
        <v>17.617498000000001</v>
      </c>
      <c r="P1069">
        <v>44920900</v>
      </c>
      <c r="R1069" s="273">
        <f>(O1069/O1068)*('16. câmbio USD-BRL'!O883/'16. câmbio USD-BRL'!O882)^-1-1</f>
        <v>2.5254063220822909E-2</v>
      </c>
    </row>
    <row r="1070" spans="10:18" x14ac:dyDescent="0.2">
      <c r="J1070" s="354">
        <v>44123</v>
      </c>
      <c r="K1070">
        <v>23.01</v>
      </c>
      <c r="L1070">
        <v>23.59</v>
      </c>
      <c r="M1070">
        <v>22.48</v>
      </c>
      <c r="N1070">
        <v>23.280000999999999</v>
      </c>
      <c r="O1070">
        <v>17.972629999999999</v>
      </c>
      <c r="P1070">
        <v>57799500</v>
      </c>
      <c r="R1070" s="273">
        <f>(O1070/O1069)*('16. câmbio USD-BRL'!O884/'16. câmbio USD-BRL'!O883)^-1-1</f>
        <v>2.5116837824588956E-2</v>
      </c>
    </row>
    <row r="1071" spans="10:18" x14ac:dyDescent="0.2">
      <c r="J1071" s="354">
        <v>44130</v>
      </c>
      <c r="K1071">
        <v>23.27</v>
      </c>
      <c r="L1071">
        <v>24.059999000000001</v>
      </c>
      <c r="M1071">
        <v>21.33</v>
      </c>
      <c r="N1071">
        <v>21.809999000000001</v>
      </c>
      <c r="O1071">
        <v>16.837758999999998</v>
      </c>
      <c r="P1071">
        <v>81536700</v>
      </c>
      <c r="R1071" s="273">
        <f>(O1071/O1070)*('16. câmbio USD-BRL'!O885/'16. câmbio USD-BRL'!O884)^-1-1</f>
        <v>-8.9347433058498793E-2</v>
      </c>
    </row>
    <row r="1072" spans="10:18" x14ac:dyDescent="0.2">
      <c r="J1072" s="354">
        <v>44137</v>
      </c>
      <c r="K1072">
        <v>21.809999000000001</v>
      </c>
      <c r="L1072">
        <v>23.620000999999998</v>
      </c>
      <c r="M1072">
        <v>21.75</v>
      </c>
      <c r="N1072">
        <v>22.51</v>
      </c>
      <c r="O1072">
        <v>17.378171999999999</v>
      </c>
      <c r="P1072">
        <v>63803000</v>
      </c>
      <c r="R1072" s="273">
        <f>(O1072/O1071)*('16. câmbio USD-BRL'!O886/'16. câmbio USD-BRL'!O885)^-1-1</f>
        <v>0.11198468114649041</v>
      </c>
    </row>
    <row r="1073" spans="10:18" x14ac:dyDescent="0.2">
      <c r="J1073" s="354">
        <v>44144</v>
      </c>
      <c r="K1073">
        <v>23.209999</v>
      </c>
      <c r="L1073">
        <v>23.33</v>
      </c>
      <c r="M1073">
        <v>20.540001</v>
      </c>
      <c r="N1073">
        <v>20.93</v>
      </c>
      <c r="O1073">
        <v>16.158382</v>
      </c>
      <c r="P1073">
        <v>89102700</v>
      </c>
      <c r="R1073" s="273">
        <f>(O1073/O1072)*('16. câmbio USD-BRL'!O887/'16. câmbio USD-BRL'!O886)^-1-1</f>
        <v>-8.6258545634961048E-2</v>
      </c>
    </row>
    <row r="1074" spans="10:18" x14ac:dyDescent="0.2">
      <c r="J1074" s="354">
        <v>44151</v>
      </c>
      <c r="K1074">
        <v>21.110001</v>
      </c>
      <c r="L1074">
        <v>21.719999000000001</v>
      </c>
      <c r="M1074">
        <v>20.719999000000001</v>
      </c>
      <c r="N1074">
        <v>21.41</v>
      </c>
      <c r="O1074">
        <v>16.617536999999999</v>
      </c>
      <c r="P1074">
        <v>60103100</v>
      </c>
      <c r="R1074" s="273">
        <f>(O1074/O1073)*('16. câmbio USD-BRL'!O888/'16. câmbio USD-BRL'!O887)^-1-1</f>
        <v>4.3503389193175757E-2</v>
      </c>
    </row>
    <row r="1075" spans="10:18" x14ac:dyDescent="0.2">
      <c r="J1075" s="354">
        <v>44158</v>
      </c>
      <c r="K1075">
        <v>21.559999000000001</v>
      </c>
      <c r="L1075">
        <v>23.25</v>
      </c>
      <c r="M1075">
        <v>21.440000999999999</v>
      </c>
      <c r="N1075">
        <v>22.76</v>
      </c>
      <c r="O1075">
        <v>17.665351999999999</v>
      </c>
      <c r="P1075">
        <v>61116100</v>
      </c>
      <c r="R1075" s="273">
        <f>(O1075/O1074)*('16. câmbio USD-BRL'!O889/'16. câmbio USD-BRL'!O888)^-1-1</f>
        <v>7.013848705905068E-2</v>
      </c>
    </row>
    <row r="1076" spans="10:18" x14ac:dyDescent="0.2">
      <c r="J1076" s="354">
        <v>44165</v>
      </c>
      <c r="K1076">
        <v>22.76</v>
      </c>
      <c r="L1076">
        <v>24</v>
      </c>
      <c r="M1076">
        <v>22.4</v>
      </c>
      <c r="N1076">
        <v>22.940000999999999</v>
      </c>
      <c r="O1076">
        <v>17.805060999999998</v>
      </c>
      <c r="P1076">
        <v>94622300</v>
      </c>
      <c r="R1076" s="273">
        <f>(O1076/O1075)*('16. câmbio USD-BRL'!O890/'16. câmbio USD-BRL'!O889)^-1-1</f>
        <v>4.4690349330185564E-2</v>
      </c>
    </row>
    <row r="1077" spans="10:18" x14ac:dyDescent="0.2">
      <c r="J1077" s="354">
        <v>44172</v>
      </c>
      <c r="K1077">
        <v>22.959999</v>
      </c>
      <c r="L1077">
        <v>23.52</v>
      </c>
      <c r="M1077">
        <v>22.41</v>
      </c>
      <c r="N1077">
        <v>22.959999</v>
      </c>
      <c r="O1077">
        <v>17.820582999999999</v>
      </c>
      <c r="P1077">
        <v>49404300</v>
      </c>
      <c r="R1077" s="273">
        <f>(O1077/O1076)*('16. câmbio USD-BRL'!O891/'16. câmbio USD-BRL'!O890)^-1-1</f>
        <v>1.8698604916500772E-2</v>
      </c>
    </row>
    <row r="1078" spans="10:18" x14ac:dyDescent="0.2">
      <c r="J1078" s="354">
        <v>44179</v>
      </c>
      <c r="K1078">
        <v>23.02</v>
      </c>
      <c r="L1078">
        <v>25.25</v>
      </c>
      <c r="M1078">
        <v>22.59</v>
      </c>
      <c r="N1078">
        <v>24.83</v>
      </c>
      <c r="O1078">
        <v>19.271996999999999</v>
      </c>
      <c r="P1078">
        <v>69744500</v>
      </c>
      <c r="R1078" s="273">
        <f>(O1078/O1077)*('16. câmbio USD-BRL'!O892/'16. câmbio USD-BRL'!O891)^-1-1</f>
        <v>7.3728285168399799E-2</v>
      </c>
    </row>
    <row r="1079" spans="10:18" x14ac:dyDescent="0.2">
      <c r="J1079" s="354">
        <v>44186</v>
      </c>
      <c r="K1079">
        <v>24.49</v>
      </c>
      <c r="L1079">
        <v>24.84</v>
      </c>
      <c r="M1079">
        <v>23.73</v>
      </c>
      <c r="N1079">
        <v>24.24</v>
      </c>
      <c r="O1079">
        <v>18.814063999999998</v>
      </c>
      <c r="P1079">
        <v>28919500</v>
      </c>
      <c r="R1079" s="273">
        <f>(O1079/O1078)*('16. câmbio USD-BRL'!O893/'16. câmbio USD-BRL'!O892)^-1-1</f>
        <v>-4.5231969183970877E-2</v>
      </c>
    </row>
    <row r="1080" spans="10:18" x14ac:dyDescent="0.2">
      <c r="J1080" s="354">
        <v>44193</v>
      </c>
      <c r="K1080">
        <v>24.459999</v>
      </c>
      <c r="L1080">
        <v>24.93</v>
      </c>
      <c r="M1080">
        <v>24.059999000000001</v>
      </c>
      <c r="N1080">
        <v>24.450001</v>
      </c>
      <c r="O1080">
        <v>19.110256</v>
      </c>
      <c r="P1080">
        <v>24793500</v>
      </c>
      <c r="R1080" s="273">
        <f>(O1080/O1079)*('16. câmbio USD-BRL'!O894/'16. câmbio USD-BRL'!O893)^-1-1</f>
        <v>2.032109152661099E-2</v>
      </c>
    </row>
    <row r="1081" spans="10:18" x14ac:dyDescent="0.2">
      <c r="J1081" s="354">
        <v>44200</v>
      </c>
      <c r="K1081">
        <v>24.799999</v>
      </c>
      <c r="L1081">
        <v>30</v>
      </c>
      <c r="M1081">
        <v>24.799999</v>
      </c>
      <c r="N1081">
        <v>29.1</v>
      </c>
      <c r="O1081">
        <v>22.744724000000001</v>
      </c>
      <c r="P1081">
        <v>105542800</v>
      </c>
      <c r="R1081" s="273">
        <f>(O1081/O1080)*('16. câmbio USD-BRL'!O895/'16. câmbio USD-BRL'!O894)^-1-1</f>
        <v>0.14174103790343384</v>
      </c>
    </row>
    <row r="1082" spans="10:18" x14ac:dyDescent="0.2">
      <c r="J1082" s="354">
        <v>44207</v>
      </c>
      <c r="K1082">
        <v>28.4</v>
      </c>
      <c r="L1082">
        <v>29.1</v>
      </c>
      <c r="M1082">
        <v>25.709999</v>
      </c>
      <c r="N1082">
        <v>26.08</v>
      </c>
      <c r="O1082">
        <v>20.384274000000001</v>
      </c>
      <c r="P1082">
        <v>94864300</v>
      </c>
      <c r="R1082" s="273">
        <f>(O1082/O1081)*('16. câmbio USD-BRL'!O896/'16. câmbio USD-BRL'!O895)^-1-1</f>
        <v>-8.330457086585985E-2</v>
      </c>
    </row>
    <row r="1083" spans="10:18" x14ac:dyDescent="0.2">
      <c r="J1083" s="354">
        <v>44214</v>
      </c>
      <c r="K1083">
        <v>26.25</v>
      </c>
      <c r="L1083">
        <v>26.9</v>
      </c>
      <c r="M1083">
        <v>24.16</v>
      </c>
      <c r="N1083">
        <v>25.360001</v>
      </c>
      <c r="O1083">
        <v>19.82152</v>
      </c>
      <c r="P1083">
        <v>62005400</v>
      </c>
      <c r="R1083" s="273">
        <f>(O1083/O1082)*('16. câmbio USD-BRL'!O897/'16. câmbio USD-BRL'!O896)^-1-1</f>
        <v>-3.8186429991254767E-2</v>
      </c>
    </row>
    <row r="1084" spans="10:18" x14ac:dyDescent="0.2">
      <c r="J1084" s="354">
        <v>44221</v>
      </c>
      <c r="K1084">
        <v>25.360001</v>
      </c>
      <c r="L1084">
        <v>25.42</v>
      </c>
      <c r="M1084">
        <v>23.02</v>
      </c>
      <c r="N1084">
        <v>23.25</v>
      </c>
      <c r="O1084">
        <v>18.172332999999998</v>
      </c>
      <c r="P1084">
        <v>64857000</v>
      </c>
      <c r="R1084" s="273">
        <f>(O1084/O1083)*('16. câmbio USD-BRL'!O898/'16. câmbio USD-BRL'!O897)^-1-1</f>
        <v>-0.10188768320783725</v>
      </c>
    </row>
    <row r="1085" spans="10:18" x14ac:dyDescent="0.2">
      <c r="J1085" s="354">
        <v>44228</v>
      </c>
      <c r="K1085">
        <v>23.690000999999999</v>
      </c>
      <c r="L1085">
        <v>24.5</v>
      </c>
      <c r="M1085">
        <v>22.82</v>
      </c>
      <c r="N1085">
        <v>24.200001</v>
      </c>
      <c r="O1085">
        <v>18.914857999999999</v>
      </c>
      <c r="P1085">
        <v>69891500</v>
      </c>
      <c r="R1085" s="273">
        <f>(O1085/O1084)*('16. câmbio USD-BRL'!O899/'16. câmbio USD-BRL'!O898)^-1-1</f>
        <v>5.8617546715613811E-2</v>
      </c>
    </row>
    <row r="1086" spans="10:18" x14ac:dyDescent="0.2">
      <c r="J1086" s="354">
        <v>44235</v>
      </c>
      <c r="K1086">
        <v>24.379999000000002</v>
      </c>
      <c r="L1086">
        <v>24.780000999999999</v>
      </c>
      <c r="M1086">
        <v>23.360001</v>
      </c>
      <c r="N1086">
        <v>24.110001</v>
      </c>
      <c r="O1086">
        <v>18.844511000000001</v>
      </c>
      <c r="P1086">
        <v>52444600</v>
      </c>
      <c r="R1086" s="273">
        <f>(O1086/O1085)*('16. câmbio USD-BRL'!O900/'16. câmbio USD-BRL'!O899)^-1-1</f>
        <v>-3.589234436763955E-3</v>
      </c>
    </row>
    <row r="1087" spans="10:18" x14ac:dyDescent="0.2">
      <c r="J1087" s="354">
        <v>44242</v>
      </c>
      <c r="K1087">
        <v>24.110001</v>
      </c>
      <c r="L1087">
        <v>25.129999000000002</v>
      </c>
      <c r="M1087">
        <v>24.110001</v>
      </c>
      <c r="N1087">
        <v>24.9</v>
      </c>
      <c r="O1087">
        <v>19.461983</v>
      </c>
      <c r="P1087">
        <v>41177000</v>
      </c>
      <c r="R1087" s="273">
        <f>(O1087/O1086)*('16. câmbio USD-BRL'!O901/'16. câmbio USD-BRL'!O900)^-1-1</f>
        <v>3.0641081484644728E-2</v>
      </c>
    </row>
    <row r="1088" spans="10:18" x14ac:dyDescent="0.2">
      <c r="J1088" s="354">
        <v>44249</v>
      </c>
      <c r="K1088">
        <v>24.209999</v>
      </c>
      <c r="L1088">
        <v>28.17</v>
      </c>
      <c r="M1088">
        <v>23.459999</v>
      </c>
      <c r="N1088">
        <v>25.870000999999998</v>
      </c>
      <c r="O1088">
        <v>20.220139</v>
      </c>
      <c r="P1088">
        <v>113829700</v>
      </c>
      <c r="R1088" s="273">
        <f>(O1088/O1087)*('16. câmbio USD-BRL'!O902/'16. câmbio USD-BRL'!O901)^-1-1</f>
        <v>-1.511858284693024E-3</v>
      </c>
    </row>
    <row r="1089" spans="10:18" x14ac:dyDescent="0.2">
      <c r="J1089" s="354">
        <v>44256</v>
      </c>
      <c r="K1089">
        <v>26.280000999999999</v>
      </c>
      <c r="L1089">
        <v>27.969999000000001</v>
      </c>
      <c r="M1089">
        <v>26.02</v>
      </c>
      <c r="N1089">
        <v>27.620000999999998</v>
      </c>
      <c r="O1089">
        <v>21.587948000000001</v>
      </c>
      <c r="P1089">
        <v>105102200</v>
      </c>
      <c r="R1089" s="273">
        <f>(O1089/O1088)*('16. câmbio USD-BRL'!O903/'16. câmbio USD-BRL'!O902)^-1-1</f>
        <v>5.0400659321133023E-2</v>
      </c>
    </row>
    <row r="1090" spans="10:18" x14ac:dyDescent="0.2">
      <c r="J1090" s="354">
        <v>44263</v>
      </c>
      <c r="K1090">
        <v>27.200001</v>
      </c>
      <c r="L1090">
        <v>28.59</v>
      </c>
      <c r="M1090">
        <v>26.120000999999998</v>
      </c>
      <c r="N1090">
        <v>27.5</v>
      </c>
      <c r="O1090">
        <v>21.494154000000002</v>
      </c>
      <c r="P1090">
        <v>90487400</v>
      </c>
      <c r="R1090" s="273">
        <f>(O1090/O1089)*('16. câmbio USD-BRL'!O904/'16. câmbio USD-BRL'!O903)^-1-1</f>
        <v>2.0460550395509092E-2</v>
      </c>
    </row>
    <row r="1091" spans="10:18" x14ac:dyDescent="0.2">
      <c r="J1091" s="354">
        <v>44270</v>
      </c>
      <c r="K1091">
        <v>27.309999000000001</v>
      </c>
      <c r="L1091">
        <v>29.469999000000001</v>
      </c>
      <c r="M1091">
        <v>27.280000999999999</v>
      </c>
      <c r="N1091">
        <v>28.639999</v>
      </c>
      <c r="O1091">
        <v>22.489636999999998</v>
      </c>
      <c r="P1091">
        <v>80117300</v>
      </c>
      <c r="R1091" s="273">
        <f>(O1091/O1090)*('16. câmbio USD-BRL'!O905/'16. câmbio USD-BRL'!O904)^-1-1</f>
        <v>5.8074321423611241E-2</v>
      </c>
    </row>
    <row r="1092" spans="10:18" x14ac:dyDescent="0.2">
      <c r="J1092" s="354">
        <v>44277</v>
      </c>
      <c r="K1092">
        <v>28.209999</v>
      </c>
      <c r="L1092">
        <v>29.040001</v>
      </c>
      <c r="M1092">
        <v>26.33</v>
      </c>
      <c r="N1092">
        <v>28.6</v>
      </c>
      <c r="O1092">
        <v>22.458227000000001</v>
      </c>
      <c r="P1092">
        <v>75960300</v>
      </c>
      <c r="R1092" s="273">
        <f>(O1092/O1091)*('16. câmbio USD-BRL'!O906/'16. câmbio USD-BRL'!O905)^-1-1</f>
        <v>-4.7416350668395779E-2</v>
      </c>
    </row>
    <row r="1093" spans="10:18" x14ac:dyDescent="0.2">
      <c r="J1093" s="354">
        <v>44284</v>
      </c>
      <c r="K1093">
        <v>28.68</v>
      </c>
      <c r="L1093">
        <v>30.77</v>
      </c>
      <c r="M1093">
        <v>28.639999</v>
      </c>
      <c r="N1093">
        <v>29.379999000000002</v>
      </c>
      <c r="O1093">
        <v>23.070726000000001</v>
      </c>
      <c r="P1093">
        <v>74805100</v>
      </c>
      <c r="R1093" s="273">
        <f>(O1093/O1092)*('16. câmbio USD-BRL'!O907/'16. câmbio USD-BRL'!O906)^-1-1</f>
        <v>3.5949680275596974E-2</v>
      </c>
    </row>
    <row r="1094" spans="10:18" x14ac:dyDescent="0.2">
      <c r="J1094" s="354">
        <v>44291</v>
      </c>
      <c r="K1094">
        <v>29.799999</v>
      </c>
      <c r="L1094">
        <v>31.379999000000002</v>
      </c>
      <c r="M1094">
        <v>29.32</v>
      </c>
      <c r="N1094">
        <v>31.120000999999998</v>
      </c>
      <c r="O1094">
        <v>24.437066999999999</v>
      </c>
      <c r="P1094">
        <v>88217600</v>
      </c>
      <c r="R1094" s="273">
        <f>(O1094/O1093)*('16. câmbio USD-BRL'!O908/'16. câmbio USD-BRL'!O907)^-1-1</f>
        <v>6.2388933295796756E-2</v>
      </c>
    </row>
    <row r="1095" spans="10:18" x14ac:dyDescent="0.2">
      <c r="J1095" s="354">
        <v>44298</v>
      </c>
      <c r="K1095">
        <v>31.280000999999999</v>
      </c>
      <c r="L1095">
        <v>33.240001999999997</v>
      </c>
      <c r="M1095">
        <v>30.870000999999998</v>
      </c>
      <c r="N1095">
        <v>32.529998999999997</v>
      </c>
      <c r="O1095">
        <v>25.544273</v>
      </c>
      <c r="P1095">
        <v>62252200</v>
      </c>
      <c r="R1095" s="273">
        <f>(O1095/O1094)*('16. câmbio USD-BRL'!O909/'16. câmbio USD-BRL'!O908)^-1-1</f>
        <v>6.2250895567206754E-2</v>
      </c>
    </row>
    <row r="1096" spans="10:18" x14ac:dyDescent="0.2">
      <c r="J1096" s="354">
        <v>44305</v>
      </c>
      <c r="K1096">
        <v>32.849997999999999</v>
      </c>
      <c r="L1096">
        <v>34.330002</v>
      </c>
      <c r="M1096">
        <v>31.780000999999999</v>
      </c>
      <c r="N1096">
        <v>33.520000000000003</v>
      </c>
      <c r="O1096">
        <v>26.321672</v>
      </c>
      <c r="P1096">
        <v>46570500</v>
      </c>
      <c r="R1096" s="273">
        <f>(O1096/O1095)*('16. câmbio USD-BRL'!O910/'16. câmbio USD-BRL'!O909)^-1-1</f>
        <v>5.4089410884714306E-2</v>
      </c>
    </row>
    <row r="1097" spans="10:18" x14ac:dyDescent="0.2">
      <c r="J1097" s="354">
        <v>44312</v>
      </c>
      <c r="K1097">
        <v>33.740001999999997</v>
      </c>
      <c r="L1097">
        <v>35.009998000000003</v>
      </c>
      <c r="M1097">
        <v>33.150002000000001</v>
      </c>
      <c r="N1097">
        <v>33.220001000000003</v>
      </c>
      <c r="O1097">
        <v>26.086098</v>
      </c>
      <c r="P1097">
        <v>63869700</v>
      </c>
      <c r="R1097" s="273">
        <f>(O1097/O1096)*('16. câmbio USD-BRL'!O911/'16. câmbio USD-BRL'!O910)^-1-1</f>
        <v>-2.2214553170295526E-3</v>
      </c>
    </row>
    <row r="1098" spans="10:18" x14ac:dyDescent="0.2">
      <c r="J1098" s="354">
        <v>44319</v>
      </c>
      <c r="K1098">
        <v>33.25</v>
      </c>
      <c r="L1098">
        <v>36.560001</v>
      </c>
      <c r="M1098">
        <v>32.139999000000003</v>
      </c>
      <c r="N1098">
        <v>36.369999</v>
      </c>
      <c r="O1098">
        <v>28.559639000000001</v>
      </c>
      <c r="P1098">
        <v>91267300</v>
      </c>
      <c r="R1098" s="273">
        <f>(O1098/O1097)*('16. câmbio USD-BRL'!O912/'16. câmbio USD-BRL'!O911)^-1-1</f>
        <v>0.13728621952304931</v>
      </c>
    </row>
    <row r="1099" spans="10:18" x14ac:dyDescent="0.2">
      <c r="J1099" s="354">
        <v>44326</v>
      </c>
      <c r="K1099">
        <v>37.099997999999999</v>
      </c>
      <c r="L1099">
        <v>37.840000000000003</v>
      </c>
      <c r="M1099">
        <v>33.950001</v>
      </c>
      <c r="N1099">
        <v>34.610000999999997</v>
      </c>
      <c r="O1099">
        <v>27.177599000000001</v>
      </c>
      <c r="P1099">
        <v>85026600</v>
      </c>
      <c r="R1099" s="273">
        <f>(O1099/O1098)*('16. câmbio USD-BRL'!O913/'16. câmbio USD-BRL'!O912)^-1-1</f>
        <v>-5.4942559991114637E-2</v>
      </c>
    </row>
    <row r="1100" spans="10:18" x14ac:dyDescent="0.2">
      <c r="J1100" s="354">
        <v>44333</v>
      </c>
      <c r="K1100">
        <v>34.590000000000003</v>
      </c>
      <c r="L1100">
        <v>36.060001</v>
      </c>
      <c r="M1100">
        <v>33.529998999999997</v>
      </c>
      <c r="N1100">
        <v>33.869999</v>
      </c>
      <c r="O1100">
        <v>26.596509999999999</v>
      </c>
      <c r="P1100">
        <v>56574400</v>
      </c>
      <c r="R1100" s="273">
        <f>(O1100/O1099)*('16. câmbio USD-BRL'!O914/'16. câmbio USD-BRL'!O913)^-1-1</f>
        <v>-3.8657787107967967E-2</v>
      </c>
    </row>
    <row r="1101" spans="10:18" x14ac:dyDescent="0.2">
      <c r="J1101" s="354">
        <v>44340</v>
      </c>
      <c r="K1101">
        <v>33.759998000000003</v>
      </c>
      <c r="L1101">
        <v>33.779998999999997</v>
      </c>
      <c r="M1101">
        <v>31.75</v>
      </c>
      <c r="N1101">
        <v>32.650002000000001</v>
      </c>
      <c r="O1101">
        <v>25.938279999999999</v>
      </c>
      <c r="P1101">
        <v>85585200</v>
      </c>
      <c r="R1101" s="273">
        <f>(O1101/O1100)*('16. câmbio USD-BRL'!O915/'16. câmbio USD-BRL'!O914)^-1-1</f>
        <v>1.4247379897946999E-3</v>
      </c>
    </row>
    <row r="1102" spans="10:18" x14ac:dyDescent="0.2">
      <c r="J1102" s="354">
        <v>44347</v>
      </c>
      <c r="K1102">
        <v>32.810001</v>
      </c>
      <c r="L1102">
        <v>34.32</v>
      </c>
      <c r="M1102">
        <v>32.340000000000003</v>
      </c>
      <c r="N1102">
        <v>32.459999000000003</v>
      </c>
      <c r="O1102">
        <v>25.787337999999998</v>
      </c>
      <c r="P1102">
        <v>52140100</v>
      </c>
      <c r="R1102" s="273">
        <f>(O1102/O1101)*('16. câmbio USD-BRL'!O916/'16. câmbio USD-BRL'!O915)^-1-1</f>
        <v>2.9128542830314963E-2</v>
      </c>
    </row>
    <row r="1103" spans="10:18" x14ac:dyDescent="0.2">
      <c r="J1103" s="354">
        <v>44354</v>
      </c>
      <c r="K1103">
        <v>32.099997999999999</v>
      </c>
      <c r="L1103">
        <v>33.040000999999997</v>
      </c>
      <c r="M1103">
        <v>31.24</v>
      </c>
      <c r="N1103">
        <v>33</v>
      </c>
      <c r="O1103">
        <v>26.216329999999999</v>
      </c>
      <c r="P1103">
        <v>65139500</v>
      </c>
      <c r="R1103" s="273">
        <f>(O1103/O1102)*('16. câmbio USD-BRL'!O917/'16. câmbio USD-BRL'!O916)^-1-1</f>
        <v>3.4112362624711956E-3</v>
      </c>
    </row>
    <row r="1104" spans="10:18" x14ac:dyDescent="0.2">
      <c r="J1104" s="354">
        <v>44361</v>
      </c>
      <c r="K1104">
        <v>33.400002000000001</v>
      </c>
      <c r="L1104">
        <v>33.459999000000003</v>
      </c>
      <c r="M1104">
        <v>28.67</v>
      </c>
      <c r="N1104">
        <v>29.08</v>
      </c>
      <c r="O1104">
        <v>23.102148</v>
      </c>
      <c r="P1104">
        <v>102167400</v>
      </c>
      <c r="R1104" s="273">
        <f>(O1104/O1103)*('16. câmbio USD-BRL'!O918/'16. câmbio USD-BRL'!O917)^-1-1</f>
        <v>-0.11456043460365284</v>
      </c>
    </row>
    <row r="1105" spans="10:18" x14ac:dyDescent="0.2">
      <c r="J1105" s="354">
        <v>44368</v>
      </c>
      <c r="K1105">
        <v>28.700001</v>
      </c>
      <c r="L1105">
        <v>31.280000999999999</v>
      </c>
      <c r="M1105">
        <v>28.459999</v>
      </c>
      <c r="N1105">
        <v>30.84</v>
      </c>
      <c r="O1105">
        <v>24.500353</v>
      </c>
      <c r="P1105">
        <v>69787900</v>
      </c>
      <c r="R1105" s="273">
        <f>(O1105/O1104)*('16. câmbio USD-BRL'!O919/'16. câmbio USD-BRL'!O918)^-1-1</f>
        <v>9.4195576255949431E-2</v>
      </c>
    </row>
    <row r="1106" spans="10:18" x14ac:dyDescent="0.2">
      <c r="J1106" s="354">
        <v>44375</v>
      </c>
      <c r="K1106">
        <v>31.139999</v>
      </c>
      <c r="L1106">
        <v>31.33</v>
      </c>
      <c r="M1106">
        <v>28.75</v>
      </c>
      <c r="N1106">
        <v>29.76</v>
      </c>
      <c r="O1106">
        <v>23.642365999999999</v>
      </c>
      <c r="P1106">
        <v>80608900</v>
      </c>
      <c r="R1106" s="273">
        <f>(O1106/O1105)*('16. câmbio USD-BRL'!O920/'16. câmbio USD-BRL'!O919)^-1-1</f>
        <v>-5.8491513057537747E-2</v>
      </c>
    </row>
    <row r="1107" spans="10:18" x14ac:dyDescent="0.2">
      <c r="J1107" s="354">
        <v>44382</v>
      </c>
      <c r="K1107">
        <v>30</v>
      </c>
      <c r="L1107">
        <v>30.41</v>
      </c>
      <c r="M1107">
        <v>28.799999</v>
      </c>
      <c r="N1107">
        <v>29.1</v>
      </c>
      <c r="O1107">
        <v>23.118037999999999</v>
      </c>
      <c r="P1107">
        <v>43242900</v>
      </c>
      <c r="R1107" s="273">
        <f>(O1107/O1106)*('16. câmbio USD-BRL'!O921/'16. câmbio USD-BRL'!O920)^-1-1</f>
        <v>-5.94473020116979E-2</v>
      </c>
    </row>
    <row r="1108" spans="10:18" x14ac:dyDescent="0.2">
      <c r="J1108" s="354">
        <v>44389</v>
      </c>
      <c r="K1108">
        <v>29.65</v>
      </c>
      <c r="L1108">
        <v>31.15</v>
      </c>
      <c r="M1108">
        <v>29.16</v>
      </c>
      <c r="N1108">
        <v>29.459999</v>
      </c>
      <c r="O1108">
        <v>23.404033999999999</v>
      </c>
      <c r="P1108">
        <v>73505000</v>
      </c>
      <c r="R1108" s="273">
        <f>(O1108/O1107)*('16. câmbio USD-BRL'!O922/'16. câmbio USD-BRL'!O921)^-1-1</f>
        <v>4.071846328851314E-2</v>
      </c>
    </row>
    <row r="1109" spans="10:18" x14ac:dyDescent="0.2">
      <c r="J1109" s="354">
        <v>44396</v>
      </c>
      <c r="K1109">
        <v>28.9</v>
      </c>
      <c r="L1109">
        <v>31</v>
      </c>
      <c r="M1109">
        <v>28.32</v>
      </c>
      <c r="N1109">
        <v>30.74</v>
      </c>
      <c r="O1109">
        <v>24.420909999999999</v>
      </c>
      <c r="P1109">
        <v>57164600</v>
      </c>
      <c r="R1109" s="273">
        <f>(O1109/O1108)*('16. câmbio USD-BRL'!O923/'16. câmbio USD-BRL'!O922)^-1-1</f>
        <v>2.5437178069419586E-2</v>
      </c>
    </row>
    <row r="1110" spans="10:18" x14ac:dyDescent="0.2">
      <c r="J1110" s="354">
        <v>44403</v>
      </c>
      <c r="K1110">
        <v>30.76</v>
      </c>
      <c r="L1110">
        <v>31.799999</v>
      </c>
      <c r="M1110">
        <v>30.290001</v>
      </c>
      <c r="N1110">
        <v>30.799999</v>
      </c>
      <c r="O1110">
        <v>24.468575000000001</v>
      </c>
      <c r="P1110">
        <v>59335200</v>
      </c>
      <c r="R1110" s="273">
        <f>(O1110/O1109)*('16. câmbio USD-BRL'!O924/'16. câmbio USD-BRL'!O923)^-1-1</f>
        <v>1.8393403081882198E-3</v>
      </c>
    </row>
    <row r="1111" spans="10:18" x14ac:dyDescent="0.2">
      <c r="J1111" s="354">
        <v>44410</v>
      </c>
      <c r="K1111">
        <v>31.33</v>
      </c>
      <c r="L1111">
        <v>32.080002</v>
      </c>
      <c r="M1111">
        <v>30.41</v>
      </c>
      <c r="N1111">
        <v>31.360001</v>
      </c>
      <c r="O1111">
        <v>24.913457999999999</v>
      </c>
      <c r="P1111">
        <v>74638500</v>
      </c>
      <c r="R1111" s="273">
        <f>(O1111/O1110)*('16. câmbio USD-BRL'!O925/'16. câmbio USD-BRL'!O924)^-1-1</f>
        <v>1.160519091254919E-2</v>
      </c>
    </row>
    <row r="1112" spans="10:18" x14ac:dyDescent="0.2">
      <c r="J1112" s="354">
        <v>44417</v>
      </c>
      <c r="K1112">
        <v>30.799999</v>
      </c>
      <c r="L1112">
        <v>32.259998000000003</v>
      </c>
      <c r="M1112">
        <v>30.58</v>
      </c>
      <c r="N1112">
        <v>31.32</v>
      </c>
      <c r="O1112">
        <v>24.881679999999999</v>
      </c>
      <c r="P1112">
        <v>55948900</v>
      </c>
      <c r="R1112" s="273">
        <f>(O1112/O1111)*('16. câmbio USD-BRL'!O926/'16. câmbio USD-BRL'!O925)^-1-1</f>
        <v>-3.2887828105730987E-3</v>
      </c>
    </row>
    <row r="1113" spans="10:18" x14ac:dyDescent="0.2">
      <c r="J1113" s="354">
        <v>44424</v>
      </c>
      <c r="K1113">
        <v>31.18</v>
      </c>
      <c r="L1113">
        <v>31.18</v>
      </c>
      <c r="M1113">
        <v>27.469999000000001</v>
      </c>
      <c r="N1113">
        <v>27.65</v>
      </c>
      <c r="O1113">
        <v>21.966106</v>
      </c>
      <c r="P1113">
        <v>83277800</v>
      </c>
      <c r="R1113" s="273">
        <f>(O1113/O1112)*('16. câmbio USD-BRL'!O927/'16. câmbio USD-BRL'!O926)^-1-1</f>
        <v>-0.13840588993071801</v>
      </c>
    </row>
    <row r="1114" spans="10:18" x14ac:dyDescent="0.2">
      <c r="J1114" s="354">
        <v>44431</v>
      </c>
      <c r="K1114">
        <v>27.65</v>
      </c>
      <c r="L1114">
        <v>29.35</v>
      </c>
      <c r="M1114">
        <v>27.65</v>
      </c>
      <c r="N1114">
        <v>28.950001</v>
      </c>
      <c r="O1114">
        <v>23.415631999999999</v>
      </c>
      <c r="P1114">
        <v>56742800</v>
      </c>
      <c r="R1114" s="273">
        <f>(O1114/O1113)*('16. câmbio USD-BRL'!O928/'16. câmbio USD-BRL'!O927)^-1-1</f>
        <v>0.10151153057629148</v>
      </c>
    </row>
    <row r="1115" spans="10:18" x14ac:dyDescent="0.2">
      <c r="J1115" s="354">
        <v>44438</v>
      </c>
      <c r="K1115">
        <v>29.049999</v>
      </c>
      <c r="L1115">
        <v>29.25</v>
      </c>
      <c r="M1115">
        <v>27.209999</v>
      </c>
      <c r="N1115">
        <v>27.379999000000002</v>
      </c>
      <c r="O1115">
        <v>22.145765000000001</v>
      </c>
      <c r="P1115">
        <v>53663800</v>
      </c>
      <c r="R1115" s="273">
        <f>(O1115/O1114)*('16. câmbio USD-BRL'!O929/'16. câmbio USD-BRL'!O928)^-1-1</f>
        <v>-5.1679845397743285E-2</v>
      </c>
    </row>
    <row r="1116" spans="10:18" x14ac:dyDescent="0.2">
      <c r="J1116" s="354">
        <v>44445</v>
      </c>
      <c r="K1116">
        <v>27.07</v>
      </c>
      <c r="L1116">
        <v>28.18</v>
      </c>
      <c r="M1116">
        <v>26.74</v>
      </c>
      <c r="N1116">
        <v>27.299999</v>
      </c>
      <c r="O1116">
        <v>22.081060000000001</v>
      </c>
      <c r="P1116">
        <v>47725300</v>
      </c>
      <c r="R1116" s="273">
        <f>(O1116/O1115)*('16. câmbio USD-BRL'!O930/'16. câmbio USD-BRL'!O929)^-1-1</f>
        <v>-1.3341879162123815E-2</v>
      </c>
    </row>
    <row r="1117" spans="10:18" x14ac:dyDescent="0.2">
      <c r="J1117" s="354">
        <v>44452</v>
      </c>
      <c r="K1117">
        <v>27.950001</v>
      </c>
      <c r="L1117">
        <v>28.26</v>
      </c>
      <c r="M1117">
        <v>24.530000999999999</v>
      </c>
      <c r="N1117">
        <v>24.6</v>
      </c>
      <c r="O1117">
        <v>19.897220999999998</v>
      </c>
      <c r="P1117">
        <v>91832900</v>
      </c>
      <c r="R1117" s="273">
        <f>(O1117/O1116)*('16. câmbio USD-BRL'!O931/'16. câmbio USD-BRL'!O930)^-1-1</f>
        <v>-0.10636542673685645</v>
      </c>
    </row>
    <row r="1118" spans="10:18" x14ac:dyDescent="0.2">
      <c r="J1118" s="354">
        <v>44459</v>
      </c>
      <c r="K1118">
        <v>23.700001</v>
      </c>
      <c r="L1118">
        <v>27.27</v>
      </c>
      <c r="M1118">
        <v>23.459999</v>
      </c>
      <c r="N1118">
        <v>26.620000999999998</v>
      </c>
      <c r="O1118">
        <v>21.531054999999999</v>
      </c>
      <c r="P1118">
        <v>103965700</v>
      </c>
      <c r="R1118" s="273">
        <f>(O1118/O1117)*('16. câmbio USD-BRL'!O932/'16. câmbio USD-BRL'!O931)^-1-1</f>
        <v>7.9174649253989093E-2</v>
      </c>
    </row>
    <row r="1119" spans="10:18" x14ac:dyDescent="0.2">
      <c r="J1119" s="354">
        <v>44466</v>
      </c>
      <c r="K1119">
        <v>26.809999000000001</v>
      </c>
      <c r="L1119">
        <v>27.940000999999999</v>
      </c>
      <c r="M1119">
        <v>25.459999</v>
      </c>
      <c r="N1119">
        <v>27.700001</v>
      </c>
      <c r="O1119">
        <v>22.404592999999998</v>
      </c>
      <c r="P1119">
        <v>97743600</v>
      </c>
      <c r="R1119" s="273">
        <f>(O1119/O1118)*('16. câmbio USD-BRL'!O933/'16. câmbio USD-BRL'!O932)^-1-1</f>
        <v>2.8409158355024555E-2</v>
      </c>
    </row>
    <row r="1120" spans="10:18" x14ac:dyDescent="0.2">
      <c r="J1120" s="354">
        <v>44473</v>
      </c>
      <c r="K1120">
        <v>27.389999</v>
      </c>
      <c r="L1120">
        <v>28.049999</v>
      </c>
      <c r="M1120">
        <v>26</v>
      </c>
      <c r="N1120">
        <v>27.18</v>
      </c>
      <c r="O1120">
        <v>22.301158999999998</v>
      </c>
      <c r="P1120">
        <v>58668900</v>
      </c>
      <c r="R1120" s="273">
        <f>(O1120/O1119)*('16. câmbio USD-BRL'!O934/'16. câmbio USD-BRL'!O933)^-1-1</f>
        <v>-3.0579004056997205E-2</v>
      </c>
    </row>
    <row r="1121" spans="10:18" x14ac:dyDescent="0.2">
      <c r="J1121" s="354">
        <v>44480</v>
      </c>
      <c r="K1121">
        <v>27.780000999999999</v>
      </c>
      <c r="L1121">
        <v>28.42</v>
      </c>
      <c r="M1121">
        <v>26.629999000000002</v>
      </c>
      <c r="N1121">
        <v>28.17</v>
      </c>
      <c r="O1121">
        <v>23.113453</v>
      </c>
      <c r="P1121">
        <v>56404800</v>
      </c>
      <c r="R1121" s="273">
        <f>(O1121/O1120)*('16. câmbio USD-BRL'!O935/'16. câmbio USD-BRL'!O934)^-1-1</f>
        <v>4.6238210481600595E-2</v>
      </c>
    </row>
    <row r="1122" spans="10:18" x14ac:dyDescent="0.2">
      <c r="J1122" s="354">
        <v>44487</v>
      </c>
      <c r="K1122">
        <v>27.629999000000002</v>
      </c>
      <c r="L1122">
        <v>28.6</v>
      </c>
      <c r="M1122">
        <v>25.73</v>
      </c>
      <c r="N1122">
        <v>26.73</v>
      </c>
      <c r="O1122">
        <v>21.931933999999998</v>
      </c>
      <c r="P1122">
        <v>68026700</v>
      </c>
      <c r="R1122" s="273">
        <f>(O1122/O1121)*('16. câmbio USD-BRL'!O936/'16. câmbio USD-BRL'!O935)^-1-1</f>
        <v>-8.3414254527618747E-2</v>
      </c>
    </row>
    <row r="1123" spans="10:18" x14ac:dyDescent="0.2">
      <c r="J1123" s="354">
        <v>44494</v>
      </c>
      <c r="K1123">
        <v>27.01</v>
      </c>
      <c r="L1123">
        <v>29.08</v>
      </c>
      <c r="M1123">
        <v>26.6</v>
      </c>
      <c r="N1123">
        <v>26.9</v>
      </c>
      <c r="O1123">
        <v>22.071418999999999</v>
      </c>
      <c r="P1123">
        <v>84516600</v>
      </c>
      <c r="R1123" s="273">
        <f>(O1123/O1122)*('16. câmbio USD-BRL'!O937/'16. câmbio USD-BRL'!O936)^-1-1</f>
        <v>9.0686820553091962E-3</v>
      </c>
    </row>
    <row r="1124" spans="10:18" x14ac:dyDescent="0.2">
      <c r="J1124" s="354">
        <v>44501</v>
      </c>
      <c r="K1124">
        <v>27.32</v>
      </c>
      <c r="L1124">
        <v>27.34</v>
      </c>
      <c r="M1124">
        <v>24.43</v>
      </c>
      <c r="N1124">
        <v>24.51</v>
      </c>
      <c r="O1124">
        <v>20.110426</v>
      </c>
      <c r="P1124">
        <v>58041300</v>
      </c>
      <c r="R1124" s="273">
        <f>(O1124/O1123)*('16. câmbio USD-BRL'!O938/'16. câmbio USD-BRL'!O937)^-1-1</f>
        <v>-7.3620910017498709E-2</v>
      </c>
    </row>
    <row r="1125" spans="10:18" x14ac:dyDescent="0.2">
      <c r="J1125" s="354">
        <v>44508</v>
      </c>
      <c r="K1125">
        <v>23.360001</v>
      </c>
      <c r="L1125">
        <v>25.790001</v>
      </c>
      <c r="M1125">
        <v>23.139999</v>
      </c>
      <c r="N1125">
        <v>25.4</v>
      </c>
      <c r="O1125">
        <v>20.840669999999999</v>
      </c>
      <c r="P1125">
        <v>77220600</v>
      </c>
      <c r="R1125" s="273">
        <f>(O1125/O1124)*('16. câmbio USD-BRL'!O939/'16. câmbio USD-BRL'!O938)^-1-1</f>
        <v>5.2167038287833645E-2</v>
      </c>
    </row>
    <row r="1126" spans="10:18" x14ac:dyDescent="0.2">
      <c r="J1126" s="354">
        <v>44515</v>
      </c>
      <c r="K1126">
        <v>25.4</v>
      </c>
      <c r="L1126">
        <v>26.059999000000001</v>
      </c>
      <c r="M1126">
        <v>24.280000999999999</v>
      </c>
      <c r="N1126">
        <v>24.790001</v>
      </c>
      <c r="O1126">
        <v>21.779706999999998</v>
      </c>
      <c r="P1126">
        <v>46402000</v>
      </c>
      <c r="R1126" s="273">
        <f>(O1126/O1125)*('16. câmbio USD-BRL'!O940/'16. câmbio USD-BRL'!O939)^-1-1</f>
        <v>2.6475423101632201E-2</v>
      </c>
    </row>
    <row r="1127" spans="10:18" x14ac:dyDescent="0.2">
      <c r="J1127" s="354">
        <v>44522</v>
      </c>
      <c r="K1127">
        <v>25.379999000000002</v>
      </c>
      <c r="L1127">
        <v>27.35</v>
      </c>
      <c r="M1127">
        <v>24.940000999999999</v>
      </c>
      <c r="N1127">
        <v>25.549999</v>
      </c>
      <c r="O1127">
        <v>22.447417999999999</v>
      </c>
      <c r="P1127">
        <v>58726500</v>
      </c>
      <c r="R1127" s="273">
        <f>(O1127/O1126)*('16. câmbio USD-BRL'!O941/'16. câmbio USD-BRL'!O940)^-1-1</f>
        <v>2.1210677856144056E-2</v>
      </c>
    </row>
    <row r="1128" spans="10:18" x14ac:dyDescent="0.2">
      <c r="J1128" s="354">
        <v>44529</v>
      </c>
      <c r="K1128">
        <v>26.209999</v>
      </c>
      <c r="L1128">
        <v>28.59</v>
      </c>
      <c r="M1128">
        <v>25.33</v>
      </c>
      <c r="N1128">
        <v>27.85</v>
      </c>
      <c r="O1128">
        <v>24.468126000000002</v>
      </c>
      <c r="P1128">
        <v>77766800</v>
      </c>
      <c r="R1128" s="273">
        <f>(O1128/O1127)*('16. câmbio USD-BRL'!O942/'16. câmbio USD-BRL'!O941)^-1-1</f>
        <v>8.1859276352084231E-2</v>
      </c>
    </row>
    <row r="1129" spans="10:18" x14ac:dyDescent="0.2">
      <c r="J1129" s="354">
        <v>44536</v>
      </c>
      <c r="K1129">
        <v>28.57</v>
      </c>
      <c r="L1129">
        <v>29.889999</v>
      </c>
      <c r="M1129">
        <v>28.190000999999999</v>
      </c>
      <c r="N1129">
        <v>29.59</v>
      </c>
      <c r="O1129">
        <v>25.996835999999998</v>
      </c>
      <c r="P1129">
        <v>54499800</v>
      </c>
      <c r="R1129" s="273">
        <f>(O1129/O1128)*('16. câmbio USD-BRL'!O943/'16. câmbio USD-BRL'!O942)^-1-1</f>
        <v>6.9982504851376248E-2</v>
      </c>
    </row>
    <row r="1130" spans="10:18" x14ac:dyDescent="0.2">
      <c r="J1130" s="354">
        <v>44543</v>
      </c>
      <c r="K1130">
        <v>29.809999000000001</v>
      </c>
      <c r="L1130">
        <v>30.450001</v>
      </c>
      <c r="M1130">
        <v>28.27</v>
      </c>
      <c r="N1130">
        <v>29.01</v>
      </c>
      <c r="O1130">
        <v>25.487265000000001</v>
      </c>
      <c r="P1130">
        <v>60220400</v>
      </c>
      <c r="R1130" s="273">
        <f>(O1130/O1129)*('16. câmbio USD-BRL'!O944/'16. câmbio USD-BRL'!O943)^-1-1</f>
        <v>-3.3824220604432798E-2</v>
      </c>
    </row>
    <row r="1131" spans="10:18" x14ac:dyDescent="0.2">
      <c r="J1131" s="354">
        <v>44550</v>
      </c>
      <c r="K1131">
        <v>28.52</v>
      </c>
      <c r="L1131">
        <v>28.57</v>
      </c>
      <c r="M1131">
        <v>26.790001</v>
      </c>
      <c r="N1131">
        <v>26.950001</v>
      </c>
      <c r="O1131">
        <v>23.677413999999999</v>
      </c>
      <c r="P1131">
        <v>41548000</v>
      </c>
      <c r="R1131" s="273">
        <f>(O1131/O1130)*('16. câmbio USD-BRL'!O945/'16. câmbio USD-BRL'!O944)^-1-1</f>
        <v>-6.7412717174665904E-2</v>
      </c>
    </row>
    <row r="1132" spans="10:18" x14ac:dyDescent="0.2">
      <c r="J1132" s="354">
        <v>44557</v>
      </c>
      <c r="K1132">
        <v>26.790001</v>
      </c>
      <c r="L1132">
        <v>27.709999</v>
      </c>
      <c r="M1132">
        <v>26.73</v>
      </c>
      <c r="N1132">
        <v>27.370000999999998</v>
      </c>
      <c r="O1132">
        <v>24.046413000000001</v>
      </c>
      <c r="P1132">
        <v>22425400</v>
      </c>
      <c r="R1132" s="273">
        <f>(O1132/O1131)*('16. câmbio USD-BRL'!O946/'16. câmbio USD-BRL'!O945)^-1-1</f>
        <v>3.4148072597660617E-2</v>
      </c>
    </row>
    <row r="1133" spans="10:18" x14ac:dyDescent="0.2">
      <c r="J1133" s="354">
        <v>44564</v>
      </c>
      <c r="K1133">
        <v>27.389999</v>
      </c>
      <c r="L1133">
        <v>28.15</v>
      </c>
      <c r="M1133">
        <v>26.809999000000001</v>
      </c>
      <c r="N1133">
        <v>27.43</v>
      </c>
      <c r="O1133">
        <v>24.099129000000001</v>
      </c>
      <c r="P1133">
        <v>51077400</v>
      </c>
      <c r="R1133" s="273">
        <f>(O1133/O1132)*('16. câmbio USD-BRL'!O947/'16. câmbio USD-BRL'!O946)^-1-1</f>
        <v>-9.000149838161442E-3</v>
      </c>
    </row>
    <row r="1134" spans="10:18" x14ac:dyDescent="0.2">
      <c r="J1134" s="354">
        <v>44571</v>
      </c>
      <c r="K1134">
        <v>26.780000999999999</v>
      </c>
      <c r="L1134">
        <v>29.26</v>
      </c>
      <c r="M1134">
        <v>26.780000999999999</v>
      </c>
      <c r="N1134">
        <v>28.280000999999999</v>
      </c>
      <c r="O1134">
        <v>24.845908999999999</v>
      </c>
      <c r="P1134">
        <v>48156800</v>
      </c>
      <c r="R1134" s="273">
        <f>(O1134/O1133)*('16. câmbio USD-BRL'!O948/'16. câmbio USD-BRL'!O947)^-1-1</f>
        <v>4.9415307916460316E-2</v>
      </c>
    </row>
    <row r="1135" spans="10:18" x14ac:dyDescent="0.2">
      <c r="J1135" s="354">
        <v>44578</v>
      </c>
      <c r="K1135">
        <v>28.190000999999999</v>
      </c>
      <c r="L1135">
        <v>29.42</v>
      </c>
      <c r="M1135">
        <v>27.41</v>
      </c>
      <c r="N1135">
        <v>27.459999</v>
      </c>
      <c r="O1135">
        <v>24.125484</v>
      </c>
      <c r="P1135">
        <v>45121000</v>
      </c>
      <c r="R1135" s="273">
        <f>(O1135/O1134)*('16. câmbio USD-BRL'!O949/'16. câmbio USD-BRL'!O948)^-1-1</f>
        <v>-1.5437139306306191E-2</v>
      </c>
    </row>
    <row r="1136" spans="10:18" x14ac:dyDescent="0.2">
      <c r="J1136" s="354">
        <v>44585</v>
      </c>
      <c r="K1136">
        <v>27.370000999999998</v>
      </c>
      <c r="L1136">
        <v>28.549999</v>
      </c>
      <c r="M1136">
        <v>26.58</v>
      </c>
      <c r="N1136">
        <v>28.07</v>
      </c>
      <c r="O1136">
        <v>24.661408999999999</v>
      </c>
      <c r="P1136">
        <v>55894800</v>
      </c>
      <c r="R1136" s="273">
        <f>(O1136/O1135)*('16. câmbio USD-BRL'!O950/'16. câmbio USD-BRL'!O949)^-1-1</f>
        <v>3.9781609785505934E-2</v>
      </c>
    </row>
    <row r="1137" spans="10:18" x14ac:dyDescent="0.2">
      <c r="J1137" s="354">
        <v>44592</v>
      </c>
      <c r="K1137">
        <v>27.799999</v>
      </c>
      <c r="L1137">
        <v>29.32</v>
      </c>
      <c r="M1137">
        <v>27.549999</v>
      </c>
      <c r="N1137">
        <v>28.780000999999999</v>
      </c>
      <c r="O1137">
        <v>25.285194000000001</v>
      </c>
      <c r="P1137">
        <v>39780300</v>
      </c>
      <c r="R1137" s="273">
        <f>(O1137/O1136)*('16. câmbio USD-BRL'!O951/'16. câmbio USD-BRL'!O950)^-1-1</f>
        <v>3.2608014574189825E-2</v>
      </c>
    </row>
    <row r="1138" spans="10:18" x14ac:dyDescent="0.2">
      <c r="J1138" s="354">
        <v>44599</v>
      </c>
      <c r="K1138">
        <v>28.93</v>
      </c>
      <c r="L1138">
        <v>29.59</v>
      </c>
      <c r="M1138">
        <v>27.860001</v>
      </c>
      <c r="N1138">
        <v>28.09</v>
      </c>
      <c r="O1138">
        <v>24.678982000000001</v>
      </c>
      <c r="P1138">
        <v>67519600</v>
      </c>
      <c r="R1138" s="273">
        <f>(O1138/O1137)*('16. câmbio USD-BRL'!O952/'16. câmbio USD-BRL'!O951)^-1-1</f>
        <v>-9.6702365990420924E-3</v>
      </c>
    </row>
    <row r="1139" spans="10:18" x14ac:dyDescent="0.2">
      <c r="J1139" s="354">
        <v>44606</v>
      </c>
      <c r="K1139">
        <v>28</v>
      </c>
      <c r="L1139">
        <v>28.25</v>
      </c>
      <c r="M1139">
        <v>25.48</v>
      </c>
      <c r="N1139">
        <v>25.540001</v>
      </c>
      <c r="O1139">
        <v>22.438635000000001</v>
      </c>
      <c r="P1139">
        <v>53939300</v>
      </c>
      <c r="R1139" s="273">
        <f>(O1139/O1138)*('16. câmbio USD-BRL'!O953/'16. câmbio USD-BRL'!O952)^-1-1</f>
        <v>-7.0877405087773959E-2</v>
      </c>
    </row>
    <row r="1140" spans="10:18" x14ac:dyDescent="0.2">
      <c r="J1140" s="354">
        <v>44613</v>
      </c>
      <c r="K1140">
        <v>25.700001</v>
      </c>
      <c r="L1140">
        <v>25.889999</v>
      </c>
      <c r="M1140">
        <v>23.08</v>
      </c>
      <c r="N1140">
        <v>25.459999</v>
      </c>
      <c r="O1140">
        <v>22.368345000000001</v>
      </c>
      <c r="P1140">
        <v>85135500</v>
      </c>
      <c r="R1140" s="273">
        <f>(O1140/O1139)*('16. câmbio USD-BRL'!O954/'16. câmbio USD-BRL'!O953)^-1-1</f>
        <v>-7.4301054822309975E-3</v>
      </c>
    </row>
    <row r="1141" spans="10:18" x14ac:dyDescent="0.2">
      <c r="J1141" s="354">
        <v>44620</v>
      </c>
      <c r="K1141">
        <v>25.459999</v>
      </c>
      <c r="L1141">
        <v>29.4</v>
      </c>
      <c r="M1141">
        <v>25.459999</v>
      </c>
      <c r="N1141">
        <v>29.4</v>
      </c>
      <c r="O1141">
        <v>25.829906000000001</v>
      </c>
      <c r="P1141">
        <v>64038700</v>
      </c>
      <c r="R1141" s="273">
        <f>(O1141/O1140)*('16. câmbio USD-BRL'!O955/'16. câmbio USD-BRL'!O954)^-1-1</f>
        <v>0.18365924129273559</v>
      </c>
    </row>
    <row r="1142" spans="10:18" x14ac:dyDescent="0.2">
      <c r="J1142" s="354">
        <v>44627</v>
      </c>
      <c r="K1142">
        <v>29.65</v>
      </c>
      <c r="L1142">
        <v>30.440000999999999</v>
      </c>
      <c r="M1142">
        <v>27.290001</v>
      </c>
      <c r="N1142">
        <v>30.219999000000001</v>
      </c>
      <c r="O1142">
        <v>26.550331</v>
      </c>
      <c r="P1142">
        <v>78070700</v>
      </c>
      <c r="R1142" s="273">
        <f>(O1142/O1141)*('16. câmbio USD-BRL'!O956/'16. câmbio USD-BRL'!O955)^-1-1</f>
        <v>1.9834933142305777E-2</v>
      </c>
    </row>
    <row r="1143" spans="10:18" x14ac:dyDescent="0.2">
      <c r="J1143" s="354">
        <v>44634</v>
      </c>
      <c r="K1143">
        <v>29.780000999999999</v>
      </c>
      <c r="L1143">
        <v>30.49</v>
      </c>
      <c r="M1143">
        <v>27.549999</v>
      </c>
      <c r="N1143">
        <v>30.49</v>
      </c>
      <c r="O1143">
        <v>26.974415</v>
      </c>
      <c r="P1143">
        <v>87337600</v>
      </c>
      <c r="R1143" s="273">
        <f>(O1143/O1142)*('16. câmbio USD-BRL'!O957/'16. câmbio USD-BRL'!O956)^-1-1</f>
        <v>2.6330200828722283E-2</v>
      </c>
    </row>
    <row r="1144" spans="10:18" x14ac:dyDescent="0.2">
      <c r="J1144" s="354">
        <v>44641</v>
      </c>
      <c r="K1144">
        <v>30.57</v>
      </c>
      <c r="L1144">
        <v>31.440000999999999</v>
      </c>
      <c r="M1144">
        <v>29.43</v>
      </c>
      <c r="N1144">
        <v>30.58</v>
      </c>
      <c r="O1144">
        <v>27.054034999999999</v>
      </c>
      <c r="P1144">
        <v>72931900</v>
      </c>
      <c r="R1144" s="273">
        <f>(O1144/O1143)*('16. câmbio USD-BRL'!O958/'16. câmbio USD-BRL'!O957)^-1-1</f>
        <v>6.2303446447069533E-2</v>
      </c>
    </row>
    <row r="1145" spans="10:18" x14ac:dyDescent="0.2">
      <c r="J1145" s="354">
        <v>44648</v>
      </c>
      <c r="K1145">
        <v>30.719999000000001</v>
      </c>
      <c r="L1145">
        <v>31.4</v>
      </c>
      <c r="M1145">
        <v>29.719999000000001</v>
      </c>
      <c r="N1145">
        <v>30.639999</v>
      </c>
      <c r="O1145">
        <v>27.107116999999999</v>
      </c>
      <c r="P1145">
        <v>61676100</v>
      </c>
      <c r="R1145" s="273">
        <f>(O1145/O1144)*('16. câmbio USD-BRL'!O959/'16. câmbio USD-BRL'!O958)^-1-1</f>
        <v>2.0388108656711479E-2</v>
      </c>
    </row>
    <row r="1146" spans="10:18" x14ac:dyDescent="0.2">
      <c r="J1146" s="354">
        <v>44655</v>
      </c>
      <c r="K1146">
        <v>30.629999000000002</v>
      </c>
      <c r="L1146">
        <v>30.85</v>
      </c>
      <c r="M1146">
        <v>28.809999000000001</v>
      </c>
      <c r="N1146">
        <v>29.389999</v>
      </c>
      <c r="O1146">
        <v>26.001245000000001</v>
      </c>
      <c r="P1146">
        <v>59323400</v>
      </c>
      <c r="R1146" s="273">
        <f>(O1146/O1145)*('16. câmbio USD-BRL'!O960/'16. câmbio USD-BRL'!O959)^-1-1</f>
        <v>-4.9255127787591002E-2</v>
      </c>
    </row>
    <row r="1147" spans="10:18" x14ac:dyDescent="0.2">
      <c r="J1147" s="354">
        <v>44662</v>
      </c>
      <c r="K1147">
        <v>29.120000999999998</v>
      </c>
      <c r="L1147">
        <v>30.059999000000001</v>
      </c>
      <c r="M1147">
        <v>28.99</v>
      </c>
      <c r="N1147">
        <v>29.42</v>
      </c>
      <c r="O1147">
        <v>26.027785999999999</v>
      </c>
      <c r="P1147">
        <v>29102800</v>
      </c>
      <c r="R1147" s="273">
        <f>(O1147/O1146)*('16. câmbio USD-BRL'!O961/'16. câmbio USD-BRL'!O960)^-1-1</f>
        <v>3.6059535531407505E-4</v>
      </c>
    </row>
    <row r="1148" spans="10:18" x14ac:dyDescent="0.2">
      <c r="J1148" s="354">
        <v>44669</v>
      </c>
      <c r="K1148">
        <v>29.309999000000001</v>
      </c>
      <c r="L1148">
        <v>30.450001</v>
      </c>
      <c r="M1148">
        <v>27.889999</v>
      </c>
      <c r="N1148">
        <v>28.27</v>
      </c>
      <c r="O1148">
        <v>25.010386</v>
      </c>
      <c r="P1148">
        <v>46930500</v>
      </c>
      <c r="R1148" s="273">
        <f>(O1148/O1147)*('16. câmbio USD-BRL'!O962/'16. câmbio USD-BRL'!O961)^-1-1</f>
        <v>-5.798422120404878E-2</v>
      </c>
    </row>
    <row r="1149" spans="10:18" x14ac:dyDescent="0.2">
      <c r="J1149" s="354">
        <v>44676</v>
      </c>
      <c r="K1149">
        <v>27.879999000000002</v>
      </c>
      <c r="L1149">
        <v>29.6</v>
      </c>
      <c r="M1149">
        <v>26.58</v>
      </c>
      <c r="N1149">
        <v>27.969999000000001</v>
      </c>
      <c r="O1149">
        <v>24.744976000000001</v>
      </c>
      <c r="P1149">
        <v>73082500</v>
      </c>
      <c r="R1149" s="273">
        <f>(O1149/O1148)*('16. câmbio USD-BRL'!O963/'16. câmbio USD-BRL'!O962)^-1-1</f>
        <v>-4.5529905393419057E-2</v>
      </c>
    </row>
    <row r="1150" spans="10:18" x14ac:dyDescent="0.2">
      <c r="J1150" s="354">
        <v>44683</v>
      </c>
      <c r="K1150">
        <v>27.860001</v>
      </c>
      <c r="L1150">
        <v>28.74</v>
      </c>
      <c r="M1150">
        <v>26.52</v>
      </c>
      <c r="N1150">
        <v>28.200001</v>
      </c>
      <c r="O1150">
        <v>24.948460000000001</v>
      </c>
      <c r="P1150">
        <v>87737400</v>
      </c>
      <c r="R1150" s="273">
        <f>(O1150/O1149)*('16. câmbio USD-BRL'!O964/'16. câmbio USD-BRL'!O963)^-1-1</f>
        <v>-1.3529401250038209E-2</v>
      </c>
    </row>
    <row r="1151" spans="10:18" x14ac:dyDescent="0.2">
      <c r="J1151" s="354">
        <v>44690</v>
      </c>
      <c r="K1151">
        <v>27.639999</v>
      </c>
      <c r="L1151">
        <v>28.120000999999998</v>
      </c>
      <c r="M1151">
        <v>25.610001</v>
      </c>
      <c r="N1151">
        <v>27.799999</v>
      </c>
      <c r="O1151">
        <v>24.594580000000001</v>
      </c>
      <c r="P1151">
        <v>70641500</v>
      </c>
      <c r="R1151" s="273">
        <f>(O1151/O1150)*('16. câmbio USD-BRL'!O965/'16. câmbio USD-BRL'!O964)^-1-1</f>
        <v>-9.8377788283565692E-3</v>
      </c>
    </row>
    <row r="1152" spans="10:18" x14ac:dyDescent="0.2">
      <c r="J1152" s="354">
        <v>44697</v>
      </c>
      <c r="K1152">
        <v>28.049999</v>
      </c>
      <c r="L1152">
        <v>28.73</v>
      </c>
      <c r="M1152">
        <v>26.200001</v>
      </c>
      <c r="N1152">
        <v>27.959999</v>
      </c>
      <c r="O1152">
        <v>24.736129999999999</v>
      </c>
      <c r="P1152">
        <v>64858100</v>
      </c>
      <c r="R1152" s="273">
        <f>(O1152/O1151)*('16. câmbio USD-BRL'!O966/'16. câmbio USD-BRL'!O965)^-1-1</f>
        <v>4.2465042035790601E-2</v>
      </c>
    </row>
    <row r="1153" spans="10:18" x14ac:dyDescent="0.2">
      <c r="J1153" s="354">
        <v>44704</v>
      </c>
      <c r="K1153">
        <v>28.389999</v>
      </c>
      <c r="L1153">
        <v>29.74</v>
      </c>
      <c r="M1153">
        <v>28.08</v>
      </c>
      <c r="N1153">
        <v>29.4</v>
      </c>
      <c r="O1153">
        <v>26.546676999999999</v>
      </c>
      <c r="P1153">
        <v>68875600</v>
      </c>
      <c r="R1153" s="273">
        <f>(O1153/O1152)*('16. câmbio USD-BRL'!O967/'16. câmbio USD-BRL'!O966)^-1-1</f>
        <v>0.10725509237068631</v>
      </c>
    </row>
    <row r="1154" spans="10:18" x14ac:dyDescent="0.2">
      <c r="J1154" s="354">
        <v>44711</v>
      </c>
      <c r="K1154">
        <v>29.67</v>
      </c>
      <c r="L1154">
        <v>30.58</v>
      </c>
      <c r="M1154">
        <v>28.76</v>
      </c>
      <c r="N1154">
        <v>30.08</v>
      </c>
      <c r="O1154">
        <v>27.160678999999998</v>
      </c>
      <c r="P1154">
        <v>57557300</v>
      </c>
      <c r="R1154" s="273">
        <f>(O1154/O1153)*('16. câmbio USD-BRL'!O968/'16. câmbio USD-BRL'!O967)^-1-1</f>
        <v>2.4797634065483409E-2</v>
      </c>
    </row>
    <row r="1155" spans="10:18" x14ac:dyDescent="0.2">
      <c r="J1155" s="354">
        <v>44718</v>
      </c>
      <c r="K1155">
        <v>30.309999000000001</v>
      </c>
      <c r="L1155">
        <v>30.799999</v>
      </c>
      <c r="M1155">
        <v>26.6</v>
      </c>
      <c r="N1155">
        <v>27.459999</v>
      </c>
      <c r="O1155">
        <v>24.794954000000001</v>
      </c>
      <c r="P1155">
        <v>64470800</v>
      </c>
      <c r="R1155" s="273">
        <f>(O1155/O1154)*('16. câmbio USD-BRL'!O969/'16. câmbio USD-BRL'!O968)^-1-1</f>
        <v>-0.13500667458705351</v>
      </c>
    </row>
    <row r="1156" spans="10:18" x14ac:dyDescent="0.2">
      <c r="J1156" s="354">
        <v>44725</v>
      </c>
      <c r="K1156">
        <v>26.799999</v>
      </c>
      <c r="L1156">
        <v>26.799999</v>
      </c>
      <c r="M1156">
        <v>23.209999</v>
      </c>
      <c r="N1156">
        <v>23.360001</v>
      </c>
      <c r="O1156">
        <v>21.092870999999999</v>
      </c>
      <c r="P1156">
        <v>92196000</v>
      </c>
      <c r="R1156" s="273">
        <f>(O1156/O1155)*('16. câmbio USD-BRL'!O970/'16. câmbio USD-BRL'!O969)^-1-1</f>
        <v>-0.17717997385264439</v>
      </c>
    </row>
    <row r="1157" spans="10:18" x14ac:dyDescent="0.2">
      <c r="J1157" s="354">
        <v>44732</v>
      </c>
      <c r="K1157">
        <v>23.120000999999998</v>
      </c>
      <c r="L1157">
        <v>24.049999</v>
      </c>
      <c r="M1157">
        <v>21.889999</v>
      </c>
      <c r="N1157">
        <v>23.15</v>
      </c>
      <c r="O1157">
        <v>20.90325</v>
      </c>
      <c r="P1157">
        <v>99012000</v>
      </c>
      <c r="R1157" s="273">
        <f>(O1157/O1156)*('16. câmbio USD-BRL'!O971/'16. câmbio USD-BRL'!O970)^-1-1</f>
        <v>-2.5892991357153394E-2</v>
      </c>
    </row>
    <row r="1158" spans="10:18" x14ac:dyDescent="0.2">
      <c r="J1158" s="354">
        <v>44739</v>
      </c>
      <c r="K1158">
        <v>23.559999000000001</v>
      </c>
      <c r="L1158">
        <v>24.209999</v>
      </c>
      <c r="M1158">
        <v>21.540001</v>
      </c>
      <c r="N1158">
        <v>22.280000999999999</v>
      </c>
      <c r="O1158">
        <v>20.117685000000002</v>
      </c>
      <c r="P1158">
        <v>68336100</v>
      </c>
      <c r="R1158" s="273">
        <f>(O1158/O1157)*('16. câmbio USD-BRL'!O972/'16. câmbio USD-BRL'!O971)^-1-1</f>
        <v>-5.3756714276679274E-2</v>
      </c>
    </row>
    <row r="1159" spans="10:18" x14ac:dyDescent="0.2">
      <c r="J1159" s="354">
        <v>44746</v>
      </c>
      <c r="K1159">
        <v>22.02</v>
      </c>
      <c r="L1159">
        <v>24.040001</v>
      </c>
      <c r="M1159">
        <v>21.309999000000001</v>
      </c>
      <c r="N1159">
        <v>23.379999000000002</v>
      </c>
      <c r="O1159">
        <v>21.110928000000001</v>
      </c>
      <c r="P1159">
        <v>73455500</v>
      </c>
      <c r="R1159" s="273">
        <f>(O1159/O1158)*('16. câmbio USD-BRL'!O973/'16. câmbio USD-BRL'!O972)^-1-1</f>
        <v>6.5318438824609526E-2</v>
      </c>
    </row>
    <row r="1160" spans="10:18" x14ac:dyDescent="0.2">
      <c r="J1160" s="354">
        <v>44753</v>
      </c>
      <c r="K1160">
        <v>22.940000999999999</v>
      </c>
      <c r="L1160">
        <v>23.709999</v>
      </c>
      <c r="M1160">
        <v>21.950001</v>
      </c>
      <c r="N1160">
        <v>23.540001</v>
      </c>
      <c r="O1160">
        <v>21.255402</v>
      </c>
      <c r="P1160">
        <v>65064100</v>
      </c>
      <c r="R1160" s="273">
        <f>(O1160/O1159)*('16. câmbio USD-BRL'!O974/'16. câmbio USD-BRL'!O973)^-1-1</f>
        <v>-2.325199953012258E-2</v>
      </c>
    </row>
    <row r="1161" spans="10:18" x14ac:dyDescent="0.2">
      <c r="J1161" s="354">
        <v>44760</v>
      </c>
      <c r="K1161">
        <v>23.82</v>
      </c>
      <c r="L1161">
        <v>24.959999</v>
      </c>
      <c r="M1161">
        <v>23.18</v>
      </c>
      <c r="N1161">
        <v>23.809999000000001</v>
      </c>
      <c r="O1161">
        <v>21.499195</v>
      </c>
      <c r="P1161">
        <v>49185300</v>
      </c>
      <c r="R1161" s="273">
        <f>(O1161/O1160)*('16. câmbio USD-BRL'!O975/'16. câmbio USD-BRL'!O974)^-1-1</f>
        <v>-3.1887512968671317E-3</v>
      </c>
    </row>
    <row r="1162" spans="10:18" x14ac:dyDescent="0.2">
      <c r="J1162" s="354">
        <v>44767</v>
      </c>
      <c r="K1162">
        <v>24.379999000000002</v>
      </c>
      <c r="L1162">
        <v>24.75</v>
      </c>
      <c r="M1162">
        <v>23.540001</v>
      </c>
      <c r="N1162">
        <v>24.459999</v>
      </c>
      <c r="O1162">
        <v>22.086110999999999</v>
      </c>
      <c r="P1162">
        <v>56307000</v>
      </c>
      <c r="R1162" s="273">
        <f>(O1162/O1161)*('16. câmbio USD-BRL'!O976/'16. câmbio USD-BRL'!O975)^-1-1</f>
        <v>9.1232480127686033E-2</v>
      </c>
    </row>
    <row r="1163" spans="10:18" x14ac:dyDescent="0.2">
      <c r="J1163" s="354">
        <v>44774</v>
      </c>
      <c r="K1163">
        <v>24.629999000000002</v>
      </c>
      <c r="L1163">
        <v>24.93</v>
      </c>
      <c r="M1163">
        <v>23.040001</v>
      </c>
      <c r="N1163">
        <v>24.65</v>
      </c>
      <c r="O1163">
        <v>22.257670999999998</v>
      </c>
      <c r="P1163">
        <v>81725000</v>
      </c>
      <c r="R1163" s="273">
        <f>(O1163/O1162)*('16. câmbio USD-BRL'!O977/'16. câmbio USD-BRL'!O976)^-1-1</f>
        <v>9.8379180676733124E-3</v>
      </c>
    </row>
    <row r="1164" spans="10:18" x14ac:dyDescent="0.2">
      <c r="J1164" s="354">
        <v>44781</v>
      </c>
      <c r="K1164">
        <v>25.1</v>
      </c>
      <c r="L1164">
        <v>26.25</v>
      </c>
      <c r="M1164">
        <v>24.549999</v>
      </c>
      <c r="N1164">
        <v>26.1</v>
      </c>
      <c r="O1164">
        <v>23.566948</v>
      </c>
      <c r="P1164">
        <v>62076700</v>
      </c>
      <c r="R1164" s="273">
        <f>(O1164/O1163)*('16. câmbio USD-BRL'!O978/'16. câmbio USD-BRL'!O977)^-1-1</f>
        <v>7.6726646440825386E-2</v>
      </c>
    </row>
    <row r="1165" spans="10:18" x14ac:dyDescent="0.2">
      <c r="J1165" s="354">
        <v>44788</v>
      </c>
      <c r="K1165">
        <v>25.83</v>
      </c>
      <c r="L1165">
        <v>25.889999</v>
      </c>
      <c r="M1165">
        <v>23.450001</v>
      </c>
      <c r="N1165">
        <v>23.73</v>
      </c>
      <c r="O1165">
        <v>21.426960000000001</v>
      </c>
      <c r="P1165">
        <v>67478400</v>
      </c>
      <c r="R1165" s="273">
        <f>(O1165/O1164)*('16. câmbio USD-BRL'!O979/'16. câmbio USD-BRL'!O978)^-1-1</f>
        <v>-0.10651077076065629</v>
      </c>
    </row>
    <row r="1166" spans="10:18" x14ac:dyDescent="0.2">
      <c r="J1166" s="354">
        <v>44795</v>
      </c>
      <c r="K1166">
        <v>23.530000999999999</v>
      </c>
      <c r="L1166">
        <v>25.110001</v>
      </c>
      <c r="M1166">
        <v>22.98</v>
      </c>
      <c r="N1166">
        <v>24.059999000000001</v>
      </c>
      <c r="O1166">
        <v>22.341426999999999</v>
      </c>
      <c r="P1166">
        <v>50086400</v>
      </c>
      <c r="R1166" s="273">
        <f>(O1166/O1165)*('16. câmbio USD-BRL'!O980/'16. câmbio USD-BRL'!O979)^-1-1</f>
        <v>6.4363011262451142E-2</v>
      </c>
    </row>
    <row r="1167" spans="10:18" x14ac:dyDescent="0.2">
      <c r="J1167" s="354">
        <v>44802</v>
      </c>
      <c r="K1167">
        <v>23.98</v>
      </c>
      <c r="L1167">
        <v>24.370000999999998</v>
      </c>
      <c r="M1167">
        <v>22.639999</v>
      </c>
      <c r="N1167">
        <v>24.07</v>
      </c>
      <c r="O1167">
        <v>22.350714</v>
      </c>
      <c r="P1167">
        <v>55068500</v>
      </c>
      <c r="R1167" s="273">
        <f>(O1167/O1166)*('16. câmbio USD-BRL'!O981/'16. câmbio USD-BRL'!O980)^-1-1</f>
        <v>-2.1292944360233768E-2</v>
      </c>
    </row>
    <row r="1168" spans="10:18" x14ac:dyDescent="0.2">
      <c r="J1168" s="354">
        <v>44809</v>
      </c>
      <c r="K1168">
        <v>24.34</v>
      </c>
      <c r="L1168">
        <v>25.190000999999999</v>
      </c>
      <c r="M1168">
        <v>23.48</v>
      </c>
      <c r="N1168">
        <v>24.540001</v>
      </c>
      <c r="O1168">
        <v>22.787144000000001</v>
      </c>
      <c r="P1168">
        <v>75143700</v>
      </c>
      <c r="R1168" s="273">
        <f>(O1168/O1167)*('16. câmbio USD-BRL'!O982/'16. câmbio USD-BRL'!O981)^-1-1</f>
        <v>2.4420109092339271E-2</v>
      </c>
    </row>
    <row r="1169" spans="10:18" x14ac:dyDescent="0.2">
      <c r="J1169" s="354">
        <v>44816</v>
      </c>
      <c r="K1169">
        <v>24.83</v>
      </c>
      <c r="L1169">
        <v>25.299999</v>
      </c>
      <c r="M1169">
        <v>22.48</v>
      </c>
      <c r="N1169">
        <v>22.99</v>
      </c>
      <c r="O1169">
        <v>21.347857000000001</v>
      </c>
      <c r="P1169">
        <v>71975200</v>
      </c>
      <c r="R1169" s="273">
        <f>(O1169/O1168)*('16. câmbio USD-BRL'!O983/'16. câmbio USD-BRL'!O982)^-1-1</f>
        <v>-8.1335929581224486E-2</v>
      </c>
    </row>
    <row r="1170" spans="10:18" x14ac:dyDescent="0.2">
      <c r="J1170" s="354">
        <v>44823</v>
      </c>
      <c r="K1170">
        <v>22.799999</v>
      </c>
      <c r="L1170">
        <v>25.09</v>
      </c>
      <c r="M1170">
        <v>22.780000999999999</v>
      </c>
      <c r="N1170">
        <v>24.309999000000001</v>
      </c>
      <c r="O1170">
        <v>22.57357</v>
      </c>
      <c r="P1170">
        <v>74025800</v>
      </c>
      <c r="R1170" s="273">
        <f>(O1170/O1169)*('16. câmbio USD-BRL'!O984/'16. câmbio USD-BRL'!O983)^-1-1</f>
        <v>5.4743021335509123E-2</v>
      </c>
    </row>
    <row r="1171" spans="10:18" x14ac:dyDescent="0.2">
      <c r="J1171" s="354">
        <v>44830</v>
      </c>
      <c r="K1171">
        <v>24.09</v>
      </c>
      <c r="L1171">
        <v>24.790001</v>
      </c>
      <c r="M1171">
        <v>23.18</v>
      </c>
      <c r="N1171">
        <v>24.440000999999999</v>
      </c>
      <c r="O1171">
        <v>22.694286000000002</v>
      </c>
      <c r="P1171">
        <v>42378200</v>
      </c>
      <c r="R1171" s="273">
        <f>(O1171/O1170)*('16. câmbio USD-BRL'!O985/'16. câmbio USD-BRL'!O984)^-1-1</f>
        <v>-2.1907298773627404E-2</v>
      </c>
    </row>
    <row r="1172" spans="10:18" x14ac:dyDescent="0.2">
      <c r="J1172" s="354">
        <v>44837</v>
      </c>
      <c r="K1172">
        <v>25.07</v>
      </c>
      <c r="L1172">
        <v>26.200001</v>
      </c>
      <c r="M1172">
        <v>24.74</v>
      </c>
      <c r="N1172">
        <v>25.58</v>
      </c>
      <c r="O1172">
        <v>23.752856999999999</v>
      </c>
      <c r="P1172">
        <v>65704400</v>
      </c>
      <c r="R1172" s="273">
        <f>(O1172/O1171)*('16. câmbio USD-BRL'!O986/'16. câmbio USD-BRL'!O985)^-1-1</f>
        <v>8.7886163824902885E-2</v>
      </c>
    </row>
    <row r="1173" spans="10:18" x14ac:dyDescent="0.2">
      <c r="J1173" s="354">
        <v>44844</v>
      </c>
      <c r="K1173">
        <v>26</v>
      </c>
      <c r="L1173">
        <v>26.120000999999998</v>
      </c>
      <c r="M1173">
        <v>25.18</v>
      </c>
      <c r="N1173">
        <v>25.299999</v>
      </c>
      <c r="O1173">
        <v>23.492854999999999</v>
      </c>
      <c r="P1173">
        <v>34351500</v>
      </c>
      <c r="R1173" s="273">
        <f>(O1173/O1172)*('16. câmbio USD-BRL'!O987/'16. câmbio USD-BRL'!O986)^-1-1</f>
        <v>-3.3299210293691983E-2</v>
      </c>
    </row>
    <row r="1174" spans="10:18" x14ac:dyDescent="0.2">
      <c r="J1174" s="354">
        <v>44851</v>
      </c>
      <c r="K1174">
        <v>25.49</v>
      </c>
      <c r="L1174">
        <v>27.219999000000001</v>
      </c>
      <c r="M1174">
        <v>25.219999000000001</v>
      </c>
      <c r="N1174">
        <v>26.98</v>
      </c>
      <c r="O1174">
        <v>25.052855999999998</v>
      </c>
      <c r="P1174">
        <v>46067200</v>
      </c>
      <c r="R1174" s="273">
        <f>(O1174/O1173)*('16. câmbio USD-BRL'!O988/'16. câmbio USD-BRL'!O987)^-1-1</f>
        <v>0.10051719694441141</v>
      </c>
    </row>
    <row r="1175" spans="10:18" x14ac:dyDescent="0.2">
      <c r="J1175" s="354">
        <v>44858</v>
      </c>
      <c r="K1175">
        <v>26.48</v>
      </c>
      <c r="L1175">
        <v>27.1</v>
      </c>
      <c r="M1175">
        <v>24.870000999999998</v>
      </c>
      <c r="N1175">
        <v>25.610001</v>
      </c>
      <c r="O1175">
        <v>23.780714</v>
      </c>
      <c r="P1175">
        <v>56143300</v>
      </c>
      <c r="R1175" s="273">
        <f>(O1175/O1174)*('16. câmbio USD-BRL'!O989/'16. câmbio USD-BRL'!O988)^-1-1</f>
        <v>-7.4219440164703498E-2</v>
      </c>
    </row>
    <row r="1176" spans="10:18" x14ac:dyDescent="0.2">
      <c r="J1176" s="354">
        <v>44865</v>
      </c>
      <c r="K1176">
        <v>25.200001</v>
      </c>
      <c r="L1176">
        <v>27.5</v>
      </c>
      <c r="M1176">
        <v>24.950001</v>
      </c>
      <c r="N1176">
        <v>26.959999</v>
      </c>
      <c r="O1176">
        <v>25.034285000000001</v>
      </c>
      <c r="P1176">
        <v>52004100</v>
      </c>
      <c r="R1176" s="273">
        <f>(O1176/O1175)*('16. câmbio USD-BRL'!O990/'16. câmbio USD-BRL'!O989)^-1-1</f>
        <v>0.10402696036319403</v>
      </c>
    </row>
    <row r="1177" spans="10:18" x14ac:dyDescent="0.2">
      <c r="J1177" s="354">
        <v>44872</v>
      </c>
      <c r="K1177">
        <v>26.76</v>
      </c>
      <c r="L1177">
        <v>31.299999</v>
      </c>
      <c r="M1177">
        <v>26.17</v>
      </c>
      <c r="N1177">
        <v>31.120000999999998</v>
      </c>
      <c r="O1177">
        <v>28.897141999999999</v>
      </c>
      <c r="P1177">
        <v>106733800</v>
      </c>
      <c r="R1177" s="273">
        <f>(O1177/O1176)*('16. câmbio USD-BRL'!O991/'16. câmbio USD-BRL'!O990)^-1-1</f>
        <v>0.10261257990498596</v>
      </c>
    </row>
    <row r="1178" spans="10:18" x14ac:dyDescent="0.2">
      <c r="J1178" s="354">
        <v>44879</v>
      </c>
      <c r="K1178">
        <v>31.469999000000001</v>
      </c>
      <c r="L1178">
        <v>31.860001</v>
      </c>
      <c r="M1178">
        <v>29.610001</v>
      </c>
      <c r="N1178">
        <v>29.83</v>
      </c>
      <c r="O1178">
        <v>27.699286000000001</v>
      </c>
      <c r="P1178">
        <v>45996400</v>
      </c>
      <c r="R1178" s="273">
        <f>(O1178/O1177)*('16. câmbio USD-BRL'!O992/'16. câmbio USD-BRL'!O991)^-1-1</f>
        <v>-5.9656845949989767E-2</v>
      </c>
    </row>
    <row r="1179" spans="10:18" x14ac:dyDescent="0.2">
      <c r="J1179" s="354">
        <v>44886</v>
      </c>
      <c r="K1179">
        <v>30.09</v>
      </c>
      <c r="L1179">
        <v>30.25</v>
      </c>
      <c r="M1179">
        <v>27.780000999999999</v>
      </c>
      <c r="N1179">
        <v>29.370000999999998</v>
      </c>
      <c r="O1179">
        <v>27.272141999999999</v>
      </c>
      <c r="P1179">
        <v>47355700</v>
      </c>
      <c r="R1179" s="273">
        <f>(O1179/O1178)*('16. câmbio USD-BRL'!O993/'16. câmbio USD-BRL'!O992)^-1-1</f>
        <v>-2.0372326469543567E-2</v>
      </c>
    </row>
    <row r="1180" spans="10:18" x14ac:dyDescent="0.2">
      <c r="J1180" s="354">
        <v>44893</v>
      </c>
      <c r="K1180">
        <v>29.299999</v>
      </c>
      <c r="L1180">
        <v>32.479999999999997</v>
      </c>
      <c r="M1180">
        <v>28.73</v>
      </c>
      <c r="N1180">
        <v>31.1</v>
      </c>
      <c r="O1180">
        <v>31.1</v>
      </c>
      <c r="P1180">
        <v>88577800</v>
      </c>
      <c r="R1180" s="273">
        <f>(O1180/O1179)*('16. câmbio USD-BRL'!O994/'16. câmbio USD-BRL'!O993)^-1-1</f>
        <v>0.18210353436893589</v>
      </c>
    </row>
    <row r="1181" spans="10:18" x14ac:dyDescent="0.2">
      <c r="J1181" s="354">
        <v>44900</v>
      </c>
      <c r="K1181">
        <v>31.23</v>
      </c>
      <c r="L1181">
        <v>31.74</v>
      </c>
      <c r="M1181">
        <v>29.870000999999998</v>
      </c>
      <c r="N1181">
        <v>31.469999000000001</v>
      </c>
      <c r="O1181">
        <v>31.469999000000001</v>
      </c>
      <c r="P1181">
        <v>56396700</v>
      </c>
      <c r="R1181" s="273">
        <f>(O1181/O1180)*('16. câmbio USD-BRL'!O995/'16. câmbio USD-BRL'!O994)^-1-1</f>
        <v>8.5144189799672976E-3</v>
      </c>
    </row>
    <row r="1182" spans="10:18" x14ac:dyDescent="0.2">
      <c r="J1182" s="354">
        <v>44907</v>
      </c>
      <c r="K1182">
        <v>31.17</v>
      </c>
      <c r="L1182">
        <v>31.74</v>
      </c>
      <c r="M1182">
        <v>29.780000999999999</v>
      </c>
      <c r="N1182">
        <v>30.17</v>
      </c>
      <c r="O1182">
        <v>30.17</v>
      </c>
      <c r="P1182">
        <v>72324400</v>
      </c>
      <c r="R1182" s="273">
        <f>(O1182/O1181)*('16. câmbio USD-BRL'!O996/'16. câmbio USD-BRL'!O995)^-1-1</f>
        <v>-5.422659292490406E-2</v>
      </c>
    </row>
    <row r="1183" spans="10:18" x14ac:dyDescent="0.2">
      <c r="J1183" s="354">
        <v>44914</v>
      </c>
      <c r="K1183">
        <v>29.9</v>
      </c>
      <c r="L1183">
        <v>30.809999000000001</v>
      </c>
      <c r="M1183">
        <v>28.34</v>
      </c>
      <c r="N1183">
        <v>28.700001</v>
      </c>
      <c r="O1183">
        <v>28.700001</v>
      </c>
      <c r="P1183">
        <v>72677800</v>
      </c>
      <c r="R1183" s="273">
        <f>(O1183/O1182)*('16. câmbio USD-BRL'!O997/'16. câmbio USD-BRL'!O996)^-1-1</f>
        <v>-2.2530292272427865E-2</v>
      </c>
    </row>
    <row r="1184" spans="10:18" x14ac:dyDescent="0.2">
      <c r="J1184" s="354">
        <v>44921</v>
      </c>
      <c r="K1184">
        <v>28.700001</v>
      </c>
      <c r="L1184">
        <v>30.08</v>
      </c>
      <c r="M1184">
        <v>28.16</v>
      </c>
      <c r="N1184">
        <v>29.370000999999998</v>
      </c>
      <c r="O1184">
        <v>29.370000999999998</v>
      </c>
      <c r="P1184">
        <v>36332000</v>
      </c>
      <c r="R1184" s="273">
        <f>(O1184/O1183)*('16. câmbio USD-BRL'!O998/'16. câmbio USD-BRL'!O997)^-1-1</f>
        <v>-1.2102745470787823E-4</v>
      </c>
    </row>
    <row r="1185" spans="10:18" x14ac:dyDescent="0.2">
      <c r="J1185" s="354">
        <v>44928</v>
      </c>
      <c r="K1185">
        <v>29.280000999999999</v>
      </c>
      <c r="L1185">
        <v>31.059999000000001</v>
      </c>
      <c r="M1185">
        <v>28.799999</v>
      </c>
      <c r="N1185">
        <v>30.33</v>
      </c>
      <c r="O1185">
        <v>30.33</v>
      </c>
      <c r="P1185">
        <v>49238400</v>
      </c>
      <c r="R1185" s="273">
        <f>(O1185/O1184)*('16. câmbio USD-BRL'!O999/'16. câmbio USD-BRL'!O998)^-1-1</f>
        <v>4.4763773658017758E-2</v>
      </c>
    </row>
    <row r="1186" spans="10:18" x14ac:dyDescent="0.2">
      <c r="J1186" s="354">
        <v>44935</v>
      </c>
      <c r="K1186">
        <v>30.219999000000001</v>
      </c>
      <c r="L1186">
        <v>32.610000999999997</v>
      </c>
      <c r="M1186">
        <v>30.209999</v>
      </c>
      <c r="N1186">
        <v>32.43</v>
      </c>
      <c r="O1186">
        <v>32.43</v>
      </c>
      <c r="P1186">
        <v>57745500</v>
      </c>
      <c r="R1186" s="273">
        <f>(O1186/O1185)*('16. câmbio USD-BRL'!O1000/'16. câmbio USD-BRL'!O999)^-1-1</f>
        <v>9.9480186038680918E-2</v>
      </c>
    </row>
    <row r="1187" spans="10:18" x14ac:dyDescent="0.2">
      <c r="J1187" s="354">
        <v>44942</v>
      </c>
      <c r="K1187">
        <v>32.200001</v>
      </c>
      <c r="L1187">
        <v>33.880001</v>
      </c>
      <c r="M1187">
        <v>31.26</v>
      </c>
      <c r="N1187">
        <v>33.200001</v>
      </c>
      <c r="O1187">
        <v>33.200001</v>
      </c>
      <c r="P1187">
        <v>52956200</v>
      </c>
      <c r="R1187" s="273">
        <f>(O1187/O1186)*('16. câmbio USD-BRL'!O1001/'16. câmbio USD-BRL'!O1000)^-1-1</f>
        <v>-9.5394233908907555E-4</v>
      </c>
    </row>
    <row r="1188" spans="10:18" x14ac:dyDescent="0.2">
      <c r="J1188" s="354">
        <v>44949</v>
      </c>
      <c r="K1188">
        <v>33.459999000000003</v>
      </c>
      <c r="L1188">
        <v>33.700001</v>
      </c>
      <c r="M1188">
        <v>31.68</v>
      </c>
      <c r="N1188">
        <v>32.270000000000003</v>
      </c>
      <c r="O1188">
        <v>32.270000000000003</v>
      </c>
      <c r="P1188">
        <v>40510300</v>
      </c>
      <c r="R1188" s="273">
        <f>(O1188/O1187)*('16. câmbio USD-BRL'!O1002/'16. câmbio USD-BRL'!O1001)^-1-1</f>
        <v>-9.1516445272437075E-3</v>
      </c>
    </row>
    <row r="1189" spans="10:18" x14ac:dyDescent="0.2">
      <c r="J1189" s="354">
        <v>44956</v>
      </c>
      <c r="K1189">
        <v>32.490001999999997</v>
      </c>
      <c r="L1189">
        <v>33.270000000000003</v>
      </c>
      <c r="M1189">
        <v>30.58</v>
      </c>
      <c r="N1189">
        <v>31.049999</v>
      </c>
      <c r="O1189">
        <v>31.049999</v>
      </c>
      <c r="P1189">
        <v>46644700</v>
      </c>
      <c r="R1189" s="273">
        <f>(O1189/O1188)*('16. câmbio USD-BRL'!O1003/'16. câmbio USD-BRL'!O1002)^-1-1</f>
        <v>-4.5765470815411602E-2</v>
      </c>
    </row>
    <row r="1190" spans="10:18" x14ac:dyDescent="0.2">
      <c r="J1190" s="354">
        <v>44963</v>
      </c>
      <c r="K1190">
        <v>30.59</v>
      </c>
      <c r="L1190">
        <v>31.540001</v>
      </c>
      <c r="M1190">
        <v>28.040001</v>
      </c>
      <c r="N1190">
        <v>28.32</v>
      </c>
      <c r="O1190">
        <v>28.32</v>
      </c>
      <c r="P1190">
        <v>75787000</v>
      </c>
      <c r="R1190" s="273">
        <f>(O1190/O1189)*('16. câmbio USD-BRL'!O1004/'16. câmbio USD-BRL'!O1003)^-1-1</f>
        <v>-9.9066691580212085E-2</v>
      </c>
    </row>
    <row r="1191" spans="10:18" x14ac:dyDescent="0.2">
      <c r="J1191" s="354">
        <v>44970</v>
      </c>
      <c r="K1191">
        <v>28.030000999999999</v>
      </c>
      <c r="L1191">
        <v>29.4</v>
      </c>
      <c r="M1191">
        <v>27.41</v>
      </c>
      <c r="N1191">
        <v>28.59</v>
      </c>
      <c r="O1191">
        <v>28.59</v>
      </c>
      <c r="P1191">
        <v>44565000</v>
      </c>
      <c r="R1191" s="273">
        <f>(O1191/O1190)*('16. câmbio USD-BRL'!O1005/'16. câmbio USD-BRL'!O1004)^-1-1</f>
        <v>1.94675225780232E-2</v>
      </c>
    </row>
    <row r="1192" spans="10:18" x14ac:dyDescent="0.2">
      <c r="J1192" s="354">
        <v>44977</v>
      </c>
      <c r="K1192">
        <v>28.59</v>
      </c>
      <c r="L1192">
        <v>28.91</v>
      </c>
      <c r="M1192">
        <v>27.790001</v>
      </c>
      <c r="N1192">
        <v>28.049999</v>
      </c>
      <c r="O1192">
        <v>28.049999</v>
      </c>
      <c r="P1192">
        <v>21498100</v>
      </c>
      <c r="R1192" s="273">
        <f>(O1192/O1191)*('16. câmbio USD-BRL'!O1006/'16. câmbio USD-BRL'!O1005)^-1-1</f>
        <v>-2.7384275126981716E-2</v>
      </c>
    </row>
    <row r="1193" spans="10:18" x14ac:dyDescent="0.2">
      <c r="J1193" s="354">
        <v>44984</v>
      </c>
      <c r="K1193">
        <v>27.969999000000001</v>
      </c>
      <c r="L1193">
        <v>30.33</v>
      </c>
      <c r="M1193">
        <v>27.84</v>
      </c>
      <c r="N1193">
        <v>29.42</v>
      </c>
      <c r="O1193">
        <v>29.42</v>
      </c>
      <c r="P1193">
        <v>56772800</v>
      </c>
      <c r="R1193" s="273">
        <f>(O1193/O1192)*('16. câmbio USD-BRL'!O1007/'16. câmbio USD-BRL'!O1006)^-1-1</f>
        <v>5.1547089530918022E-2</v>
      </c>
    </row>
    <row r="1194" spans="10:18" x14ac:dyDescent="0.2">
      <c r="J1194" s="354">
        <v>44991</v>
      </c>
      <c r="K1194">
        <v>29.190000999999999</v>
      </c>
      <c r="L1194">
        <v>29.549999</v>
      </c>
      <c r="M1194">
        <v>28</v>
      </c>
      <c r="N1194">
        <v>28.620000999999998</v>
      </c>
      <c r="O1194">
        <v>28.620000999999998</v>
      </c>
      <c r="P1194">
        <v>29383100</v>
      </c>
      <c r="R1194" s="273">
        <f>(O1194/O1193)*('16. câmbio USD-BRL'!O1008/'16. câmbio USD-BRL'!O1007)^-1-1</f>
        <v>-3.1146551492309715E-2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C5A2F80C-6A25-4E80-8591-E511E2D5FBA3}"/>
  </hyperlink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AB6E-9157-4CDD-9D24-F6F08A5A3FA9}">
  <sheetPr>
    <tabColor theme="7" tint="0.79998168889431442"/>
  </sheetPr>
  <dimension ref="A1:S1212"/>
  <sheetViews>
    <sheetView topLeftCell="A1176" workbookViewId="0">
      <selection activeCell="J1202" sqref="J1202"/>
    </sheetView>
  </sheetViews>
  <sheetFormatPr baseColWidth="10" defaultColWidth="8.83203125" defaultRowHeight="15" x14ac:dyDescent="0.2"/>
  <cols>
    <col min="1" max="1" width="10.6640625" bestFit="1" customWidth="1"/>
    <col min="7" max="7" width="11" bestFit="1" customWidth="1"/>
    <col min="10" max="10" width="10.6640625" bestFit="1" customWidth="1"/>
    <col min="17" max="17" width="10.33203125" bestFit="1" customWidth="1"/>
  </cols>
  <sheetData>
    <row r="1" spans="1:19" x14ac:dyDescent="0.2">
      <c r="A1" s="528" t="s">
        <v>102</v>
      </c>
      <c r="B1" s="528"/>
      <c r="C1" s="528"/>
      <c r="D1" s="528"/>
      <c r="E1" s="528"/>
      <c r="F1" s="528"/>
      <c r="G1" s="528"/>
      <c r="J1" s="530" t="s">
        <v>103</v>
      </c>
      <c r="K1" s="530"/>
      <c r="L1" s="530"/>
      <c r="M1" s="530"/>
      <c r="N1" s="530"/>
      <c r="O1" s="530"/>
      <c r="P1" s="530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36557</v>
      </c>
      <c r="B3">
        <v>3.279166</v>
      </c>
      <c r="C3">
        <v>3.3958330000000001</v>
      </c>
      <c r="D3">
        <v>2.8333330000000001</v>
      </c>
      <c r="E3">
        <v>3.0541659999999999</v>
      </c>
      <c r="F3">
        <v>1.3690070000000001</v>
      </c>
      <c r="G3">
        <v>112132800</v>
      </c>
      <c r="J3" s="354">
        <v>36528</v>
      </c>
      <c r="K3">
        <v>3.8875000000000002</v>
      </c>
      <c r="L3">
        <v>4.6124999999999998</v>
      </c>
      <c r="M3">
        <v>3.8333330000000001</v>
      </c>
      <c r="N3">
        <v>4.5</v>
      </c>
      <c r="O3">
        <v>2.01709</v>
      </c>
      <c r="P3">
        <v>23983200</v>
      </c>
    </row>
    <row r="4" spans="1:19" x14ac:dyDescent="0.2">
      <c r="A4" s="354">
        <v>36586</v>
      </c>
      <c r="B4">
        <v>3.0541659999999999</v>
      </c>
      <c r="C4">
        <v>3.5125000000000002</v>
      </c>
      <c r="D4">
        <v>2.9166660000000002</v>
      </c>
      <c r="E4">
        <v>3.420833</v>
      </c>
      <c r="F4">
        <v>1.5333619999999999</v>
      </c>
      <c r="G4">
        <v>177501600</v>
      </c>
      <c r="J4" s="354">
        <v>36535</v>
      </c>
      <c r="K4">
        <v>4.5</v>
      </c>
      <c r="L4">
        <v>4.6124999999999998</v>
      </c>
      <c r="M4">
        <v>3.6666660000000002</v>
      </c>
      <c r="N4">
        <v>3.6666660000000002</v>
      </c>
      <c r="O4">
        <v>1.643554</v>
      </c>
      <c r="P4">
        <v>31327200</v>
      </c>
      <c r="R4" s="273" t="e">
        <f>(O4/O3)*('16. câmbio USD-BRL'!#REF!/'16. câmbio USD-BRL'!#REF!)^-1-1</f>
        <v>#REF!</v>
      </c>
    </row>
    <row r="5" spans="1:19" x14ac:dyDescent="0.2">
      <c r="A5" s="354">
        <v>36617</v>
      </c>
      <c r="B5">
        <v>3.3916659999999998</v>
      </c>
      <c r="C5">
        <v>3.4541659999999998</v>
      </c>
      <c r="D5">
        <v>2.6041660000000002</v>
      </c>
      <c r="E5">
        <v>2.8333330000000001</v>
      </c>
      <c r="F5">
        <v>1.270019</v>
      </c>
      <c r="G5">
        <v>124675200</v>
      </c>
      <c r="J5" s="354">
        <v>36542</v>
      </c>
      <c r="K5">
        <v>3.8333330000000001</v>
      </c>
      <c r="L5">
        <v>3.8958330000000001</v>
      </c>
      <c r="M5">
        <v>3.3333330000000001</v>
      </c>
      <c r="N5">
        <v>3.3624999999999998</v>
      </c>
      <c r="O5">
        <v>1.507215</v>
      </c>
      <c r="P5">
        <v>29016000</v>
      </c>
      <c r="R5" s="273" t="e">
        <f>(O5/O4)*('16. câmbio USD-BRL'!#REF!/'16. câmbio USD-BRL'!#REF!)^-1-1</f>
        <v>#REF!</v>
      </c>
    </row>
    <row r="6" spans="1:19" x14ac:dyDescent="0.2">
      <c r="A6" s="354">
        <v>36647</v>
      </c>
      <c r="B6">
        <v>2.779166</v>
      </c>
      <c r="C6">
        <v>3.4458329999999999</v>
      </c>
      <c r="D6">
        <v>2.3333330000000001</v>
      </c>
      <c r="E6">
        <v>3.3333330000000001</v>
      </c>
      <c r="F6">
        <v>1.4941409999999999</v>
      </c>
      <c r="G6">
        <v>119232000</v>
      </c>
      <c r="J6" s="354">
        <v>36549</v>
      </c>
      <c r="K6">
        <v>3.5</v>
      </c>
      <c r="L6">
        <v>3.5541659999999999</v>
      </c>
      <c r="M6">
        <v>3.279166</v>
      </c>
      <c r="N6">
        <v>3.3333330000000001</v>
      </c>
      <c r="O6">
        <v>1.4941409999999999</v>
      </c>
      <c r="P6">
        <v>8863200</v>
      </c>
      <c r="R6" s="273" t="e">
        <f>(O6/O5)*('16. câmbio USD-BRL'!#REF!/'16. câmbio USD-BRL'!#REF!)^-1-1</f>
        <v>#REF!</v>
      </c>
    </row>
    <row r="7" spans="1:19" x14ac:dyDescent="0.2">
      <c r="A7" s="354">
        <v>36678</v>
      </c>
      <c r="B7">
        <v>3.3333330000000001</v>
      </c>
      <c r="C7">
        <v>3.3875000000000002</v>
      </c>
      <c r="D7">
        <v>2.6958329999999999</v>
      </c>
      <c r="E7">
        <v>3.1416659999999998</v>
      </c>
      <c r="F7">
        <v>1.408228</v>
      </c>
      <c r="G7">
        <v>147657600</v>
      </c>
      <c r="J7" s="354">
        <v>36556</v>
      </c>
      <c r="K7">
        <v>3.3333330000000001</v>
      </c>
      <c r="L7">
        <v>3.3333330000000001</v>
      </c>
      <c r="M7">
        <v>3.0541659999999999</v>
      </c>
      <c r="N7">
        <v>3.3</v>
      </c>
      <c r="O7">
        <v>1.4791989999999999</v>
      </c>
      <c r="P7">
        <v>49867200</v>
      </c>
      <c r="R7" s="273" t="e">
        <f>(O7/O6)*('16. câmbio USD-BRL'!#REF!/'16. câmbio USD-BRL'!#REF!)^-1-1</f>
        <v>#REF!</v>
      </c>
    </row>
    <row r="8" spans="1:19" x14ac:dyDescent="0.2">
      <c r="A8" s="354">
        <v>36708</v>
      </c>
      <c r="B8">
        <v>3.1666660000000002</v>
      </c>
      <c r="C8">
        <v>3.6666660000000002</v>
      </c>
      <c r="D8">
        <v>3.0541659999999999</v>
      </c>
      <c r="E8">
        <v>3.1666660000000002</v>
      </c>
      <c r="F8">
        <v>1.4194329999999999</v>
      </c>
      <c r="G8">
        <v>206315997</v>
      </c>
      <c r="J8" s="354">
        <v>36563</v>
      </c>
      <c r="K8">
        <v>3.279166</v>
      </c>
      <c r="L8">
        <v>3.3958330000000001</v>
      </c>
      <c r="M8">
        <v>3.1333329999999999</v>
      </c>
      <c r="N8">
        <v>3.1333329999999999</v>
      </c>
      <c r="O8">
        <v>1.4044920000000001</v>
      </c>
      <c r="P8">
        <v>32580000</v>
      </c>
      <c r="R8" s="273" t="e">
        <f>(O8/O7)*('16. câmbio USD-BRL'!#REF!/'16. câmbio USD-BRL'!#REF!)^-1-1</f>
        <v>#REF!</v>
      </c>
    </row>
    <row r="9" spans="1:19" x14ac:dyDescent="0.2">
      <c r="A9" s="354">
        <v>36739</v>
      </c>
      <c r="B9">
        <v>3.3041659999999999</v>
      </c>
      <c r="C9">
        <v>3.779166</v>
      </c>
      <c r="D9">
        <v>3.0541659999999999</v>
      </c>
      <c r="E9">
        <v>3.670833</v>
      </c>
      <c r="F9">
        <v>1.6454230000000001</v>
      </c>
      <c r="G9">
        <v>143827200</v>
      </c>
      <c r="J9" s="354">
        <v>36570</v>
      </c>
      <c r="K9">
        <v>3.0625</v>
      </c>
      <c r="L9">
        <v>3.2208329999999998</v>
      </c>
      <c r="M9">
        <v>2.8333330000000001</v>
      </c>
      <c r="N9">
        <v>3.1124999999999998</v>
      </c>
      <c r="O9">
        <v>1.395154</v>
      </c>
      <c r="P9">
        <v>13248000</v>
      </c>
      <c r="R9" s="273" t="e">
        <f>(O9/O8)*('16. câmbio USD-BRL'!#REF!/'16. câmbio USD-BRL'!#REF!)^-1-1</f>
        <v>#REF!</v>
      </c>
    </row>
    <row r="10" spans="1:19" x14ac:dyDescent="0.2">
      <c r="A10" s="354">
        <v>36770</v>
      </c>
      <c r="B10">
        <v>3.670833</v>
      </c>
      <c r="C10">
        <v>3.779166</v>
      </c>
      <c r="D10">
        <v>3.1791659999999999</v>
      </c>
      <c r="E10">
        <v>3.2291660000000002</v>
      </c>
      <c r="F10">
        <v>1.447449</v>
      </c>
      <c r="G10">
        <v>188229600</v>
      </c>
      <c r="J10" s="354">
        <v>36577</v>
      </c>
      <c r="K10">
        <v>3.0541659999999999</v>
      </c>
      <c r="L10">
        <v>3.3166660000000001</v>
      </c>
      <c r="M10">
        <v>2.9958330000000002</v>
      </c>
      <c r="N10">
        <v>3</v>
      </c>
      <c r="O10">
        <v>1.344727</v>
      </c>
      <c r="P10">
        <v>19159200</v>
      </c>
      <c r="R10" s="273" t="e">
        <f>(O10/O9)*('16. câmbio USD-BRL'!#REF!/'16. câmbio USD-BRL'!#REF!)^-1-1</f>
        <v>#REF!</v>
      </c>
    </row>
    <row r="11" spans="1:19" x14ac:dyDescent="0.2">
      <c r="A11" s="354">
        <v>36800</v>
      </c>
      <c r="B11">
        <v>3.25</v>
      </c>
      <c r="C11">
        <v>3.3041659999999999</v>
      </c>
      <c r="D11">
        <v>2.779166</v>
      </c>
      <c r="E11">
        <v>2.9458329999999999</v>
      </c>
      <c r="F11">
        <v>1.3204469999999999</v>
      </c>
      <c r="G11">
        <v>172684799</v>
      </c>
      <c r="J11" s="354">
        <v>36584</v>
      </c>
      <c r="K11">
        <v>3</v>
      </c>
      <c r="L11">
        <v>3.3333330000000001</v>
      </c>
      <c r="M11">
        <v>3</v>
      </c>
      <c r="N11">
        <v>3.3333330000000001</v>
      </c>
      <c r="O11">
        <v>1.4941409999999999</v>
      </c>
      <c r="P11">
        <v>55692000</v>
      </c>
      <c r="R11" s="273" t="e">
        <f>(O11/O10)*('16. câmbio USD-BRL'!#REF!/'16. câmbio USD-BRL'!#REF!)^-1-1</f>
        <v>#REF!</v>
      </c>
    </row>
    <row r="12" spans="1:19" x14ac:dyDescent="0.2">
      <c r="A12" s="354">
        <v>36831</v>
      </c>
      <c r="B12">
        <v>3.0541659999999999</v>
      </c>
      <c r="C12">
        <v>3.2833329999999998</v>
      </c>
      <c r="D12">
        <v>2.7833329999999998</v>
      </c>
      <c r="E12">
        <v>2.8624999999999998</v>
      </c>
      <c r="F12">
        <v>1.283093</v>
      </c>
      <c r="G12">
        <v>171835200</v>
      </c>
      <c r="J12" s="354">
        <v>36591</v>
      </c>
      <c r="K12">
        <v>3.1666660000000002</v>
      </c>
      <c r="L12">
        <v>3.1666660000000002</v>
      </c>
      <c r="M12">
        <v>3.05</v>
      </c>
      <c r="N12">
        <v>3.05</v>
      </c>
      <c r="O12">
        <v>1.3671390000000001</v>
      </c>
      <c r="P12">
        <v>20548800</v>
      </c>
      <c r="R12" s="273" t="e">
        <f>(O12/O11)*('16. câmbio USD-BRL'!#REF!/'16. câmbio USD-BRL'!#REF!)^-1-1</f>
        <v>#REF!</v>
      </c>
    </row>
    <row r="13" spans="1:19" x14ac:dyDescent="0.2">
      <c r="A13" s="354">
        <v>36861</v>
      </c>
      <c r="B13">
        <v>2.8333330000000001</v>
      </c>
      <c r="C13">
        <v>3.5666660000000001</v>
      </c>
      <c r="D13">
        <v>2.8041659999999999</v>
      </c>
      <c r="E13">
        <v>3.45</v>
      </c>
      <c r="F13">
        <v>1.5464359999999999</v>
      </c>
      <c r="G13">
        <v>228153599</v>
      </c>
      <c r="J13" s="354">
        <v>36598</v>
      </c>
      <c r="K13">
        <v>3.045833</v>
      </c>
      <c r="L13">
        <v>3.0833330000000001</v>
      </c>
      <c r="M13">
        <v>2.9166660000000002</v>
      </c>
      <c r="N13">
        <v>3.0541659999999999</v>
      </c>
      <c r="O13">
        <v>1.3690059999999999</v>
      </c>
      <c r="P13">
        <v>22615200</v>
      </c>
      <c r="R13" s="273" t="e">
        <f>(O13/O12)*('16. câmbio USD-BRL'!#REF!/'16. câmbio USD-BRL'!#REF!)^-1-1</f>
        <v>#REF!</v>
      </c>
    </row>
    <row r="14" spans="1:19" x14ac:dyDescent="0.2">
      <c r="A14" s="354">
        <v>36892</v>
      </c>
      <c r="B14">
        <v>3.3166660000000001</v>
      </c>
      <c r="C14">
        <v>4.1124999999999998</v>
      </c>
      <c r="D14">
        <v>3.3166660000000001</v>
      </c>
      <c r="E14">
        <v>4.1124999999999998</v>
      </c>
      <c r="F14">
        <v>1.843396</v>
      </c>
      <c r="G14">
        <v>208900800</v>
      </c>
      <c r="J14" s="354">
        <v>36605</v>
      </c>
      <c r="K14">
        <v>3.0541659999999999</v>
      </c>
      <c r="L14">
        <v>3.1666660000000002</v>
      </c>
      <c r="M14">
        <v>2.9874999999999998</v>
      </c>
      <c r="N14">
        <v>3.1666660000000002</v>
      </c>
      <c r="O14">
        <v>1.4194340000000001</v>
      </c>
      <c r="P14">
        <v>27835200</v>
      </c>
      <c r="R14" s="273" t="e">
        <f>(O14/O13)*('16. câmbio USD-BRL'!#REF!/'16. câmbio USD-BRL'!#REF!)^-1-1</f>
        <v>#REF!</v>
      </c>
    </row>
    <row r="15" spans="1:19" x14ac:dyDescent="0.2">
      <c r="A15" s="354">
        <v>36923</v>
      </c>
      <c r="B15">
        <v>4.029166</v>
      </c>
      <c r="C15">
        <v>4.0833329999999997</v>
      </c>
      <c r="D15">
        <v>3.6208330000000002</v>
      </c>
      <c r="E15">
        <v>3.8624999999999998</v>
      </c>
      <c r="F15">
        <v>1.731336</v>
      </c>
      <c r="G15">
        <v>159602400</v>
      </c>
      <c r="J15" s="354">
        <v>36612</v>
      </c>
      <c r="K15">
        <v>3.1958329999999999</v>
      </c>
      <c r="L15">
        <v>3.5125000000000002</v>
      </c>
      <c r="M15">
        <v>3.1958329999999999</v>
      </c>
      <c r="N15">
        <v>3.420833</v>
      </c>
      <c r="O15">
        <v>1.5333619999999999</v>
      </c>
      <c r="P15">
        <v>55065600</v>
      </c>
      <c r="R15" s="273" t="e">
        <f>(O15/O14)*('16. câmbio USD-BRL'!#REF!/'16. câmbio USD-BRL'!#REF!)^-1-1</f>
        <v>#REF!</v>
      </c>
    </row>
    <row r="16" spans="1:19" x14ac:dyDescent="0.2">
      <c r="A16" s="354">
        <v>36951</v>
      </c>
      <c r="B16">
        <v>3.8875000000000002</v>
      </c>
      <c r="C16">
        <v>4.1624999999999996</v>
      </c>
      <c r="D16">
        <v>2.3333330000000001</v>
      </c>
      <c r="E16">
        <v>2.6041660000000002</v>
      </c>
      <c r="F16">
        <v>1.167297</v>
      </c>
      <c r="G16">
        <v>212925600</v>
      </c>
      <c r="J16" s="354">
        <v>36619</v>
      </c>
      <c r="K16">
        <v>3.3916659999999998</v>
      </c>
      <c r="L16">
        <v>3.4541659999999998</v>
      </c>
      <c r="M16">
        <v>3.2208329999999998</v>
      </c>
      <c r="N16">
        <v>3.4416660000000001</v>
      </c>
      <c r="O16">
        <v>1.5427</v>
      </c>
      <c r="P16">
        <v>11995200</v>
      </c>
      <c r="R16" s="273" t="e">
        <f>(O16/O15)*('16. câmbio USD-BRL'!#REF!/'16. câmbio USD-BRL'!#REF!)^-1-1</f>
        <v>#REF!</v>
      </c>
    </row>
    <row r="17" spans="1:18" x14ac:dyDescent="0.2">
      <c r="A17" s="354">
        <v>36982</v>
      </c>
      <c r="B17">
        <v>2.529166</v>
      </c>
      <c r="C17">
        <v>2.9166660000000002</v>
      </c>
      <c r="D17">
        <v>2.4458329999999999</v>
      </c>
      <c r="E17">
        <v>2.8708330000000002</v>
      </c>
      <c r="F17">
        <v>1.286829</v>
      </c>
      <c r="G17">
        <v>133912800</v>
      </c>
      <c r="J17" s="354">
        <v>36626</v>
      </c>
      <c r="K17">
        <v>3.3875000000000002</v>
      </c>
      <c r="L17">
        <v>3.3875000000000002</v>
      </c>
      <c r="M17">
        <v>3.029166</v>
      </c>
      <c r="N17">
        <v>3.029166</v>
      </c>
      <c r="O17">
        <v>1.3577999999999999</v>
      </c>
      <c r="P17">
        <v>16149600</v>
      </c>
      <c r="R17" s="273" t="e">
        <f>(O17/O16)*('16. câmbio USD-BRL'!#REF!/'16. câmbio USD-BRL'!#REF!)^-1-1</f>
        <v>#REF!</v>
      </c>
    </row>
    <row r="18" spans="1:18" x14ac:dyDescent="0.2">
      <c r="A18" s="354">
        <v>37012</v>
      </c>
      <c r="B18">
        <v>2.8624999999999998</v>
      </c>
      <c r="C18">
        <v>2.8875000000000002</v>
      </c>
      <c r="D18">
        <v>2.5541659999999999</v>
      </c>
      <c r="E18">
        <v>2.670833</v>
      </c>
      <c r="F18">
        <v>1.1971799999999999</v>
      </c>
      <c r="G18">
        <v>114811200</v>
      </c>
      <c r="J18" s="354">
        <v>36633</v>
      </c>
      <c r="K18">
        <v>3</v>
      </c>
      <c r="L18">
        <v>3</v>
      </c>
      <c r="M18">
        <v>2.6666660000000002</v>
      </c>
      <c r="N18">
        <v>2.7625000000000002</v>
      </c>
      <c r="O18">
        <v>1.2382690000000001</v>
      </c>
      <c r="P18">
        <v>48693600</v>
      </c>
      <c r="R18" s="273" t="e">
        <f>(O18/O17)*('16. câmbio USD-BRL'!#REF!/'16. câmbio USD-BRL'!#REF!)^-1-1</f>
        <v>#REF!</v>
      </c>
    </row>
    <row r="19" spans="1:18" x14ac:dyDescent="0.2">
      <c r="A19" s="354">
        <v>37043</v>
      </c>
      <c r="B19">
        <v>2.6375000000000002</v>
      </c>
      <c r="C19">
        <v>2.9541659999999998</v>
      </c>
      <c r="D19">
        <v>2.295833</v>
      </c>
      <c r="E19">
        <v>2.3875000000000002</v>
      </c>
      <c r="F19">
        <v>1.0701780000000001</v>
      </c>
      <c r="G19">
        <v>149356800</v>
      </c>
      <c r="J19" s="354">
        <v>36640</v>
      </c>
      <c r="K19">
        <v>2.7625000000000002</v>
      </c>
      <c r="L19">
        <v>2.8333330000000001</v>
      </c>
      <c r="M19">
        <v>2.6041660000000002</v>
      </c>
      <c r="N19">
        <v>2.8333330000000001</v>
      </c>
      <c r="O19">
        <v>1.2700199999999999</v>
      </c>
      <c r="P19">
        <v>47836800</v>
      </c>
      <c r="R19" s="273" t="e">
        <f>(O19/O18)*('16. câmbio USD-BRL'!#REF!/'16. câmbio USD-BRL'!#REF!)^-1-1</f>
        <v>#REF!</v>
      </c>
    </row>
    <row r="20" spans="1:18" x14ac:dyDescent="0.2">
      <c r="A20" s="354">
        <v>37073</v>
      </c>
      <c r="B20">
        <v>2.3624999999999998</v>
      </c>
      <c r="C20">
        <v>2.4166660000000002</v>
      </c>
      <c r="D20">
        <v>2.0375000000000001</v>
      </c>
      <c r="E20">
        <v>2.1666660000000002</v>
      </c>
      <c r="F20">
        <v>0.97119100000000003</v>
      </c>
      <c r="G20">
        <v>102304800</v>
      </c>
      <c r="J20" s="354">
        <v>36647</v>
      </c>
      <c r="K20">
        <v>2.779166</v>
      </c>
      <c r="L20">
        <v>2.8333330000000001</v>
      </c>
      <c r="M20">
        <v>2.6666660000000002</v>
      </c>
      <c r="N20">
        <v>2.75</v>
      </c>
      <c r="O20">
        <v>1.232666</v>
      </c>
      <c r="P20">
        <v>26740800</v>
      </c>
      <c r="R20" s="273" t="e">
        <f>(O20/O19)*('16. câmbio USD-BRL'!#REF!/'16. câmbio USD-BRL'!#REF!)^-1-1</f>
        <v>#REF!</v>
      </c>
    </row>
    <row r="21" spans="1:18" x14ac:dyDescent="0.2">
      <c r="A21" s="354">
        <v>37104</v>
      </c>
      <c r="B21">
        <v>2.1666660000000002</v>
      </c>
      <c r="C21">
        <v>2.279166</v>
      </c>
      <c r="D21">
        <v>1.933333</v>
      </c>
      <c r="E21">
        <v>1.979166</v>
      </c>
      <c r="F21">
        <v>0.88714599999999999</v>
      </c>
      <c r="G21">
        <v>104882400</v>
      </c>
      <c r="J21" s="354">
        <v>36654</v>
      </c>
      <c r="K21">
        <v>2.75</v>
      </c>
      <c r="L21">
        <v>2.779166</v>
      </c>
      <c r="M21">
        <v>2.3624999999999998</v>
      </c>
      <c r="N21">
        <v>2.3958330000000001</v>
      </c>
      <c r="O21">
        <v>1.073914</v>
      </c>
      <c r="P21">
        <v>10332000</v>
      </c>
      <c r="R21" s="273" t="e">
        <f>(O21/O20)*('16. câmbio USD-BRL'!#REF!/'16. câmbio USD-BRL'!#REF!)^-1-1</f>
        <v>#REF!</v>
      </c>
    </row>
    <row r="22" spans="1:18" x14ac:dyDescent="0.2">
      <c r="A22" s="354">
        <v>37135</v>
      </c>
      <c r="B22">
        <v>1.95</v>
      </c>
      <c r="C22">
        <v>2.0499999999999998</v>
      </c>
      <c r="D22">
        <v>1.4750000000000001</v>
      </c>
      <c r="E22">
        <v>1.5</v>
      </c>
      <c r="F22">
        <v>0.67236300000000004</v>
      </c>
      <c r="G22">
        <v>105343200</v>
      </c>
      <c r="J22" s="354">
        <v>36661</v>
      </c>
      <c r="K22">
        <v>2.4</v>
      </c>
      <c r="L22">
        <v>2.7708330000000001</v>
      </c>
      <c r="M22">
        <v>2.3333330000000001</v>
      </c>
      <c r="N22">
        <v>2.7208329999999998</v>
      </c>
      <c r="O22">
        <v>1.219592</v>
      </c>
      <c r="P22">
        <v>24523200</v>
      </c>
      <c r="R22" s="273" t="e">
        <f>(O22/O21)*('16. câmbio USD-BRL'!#REF!/'16. câmbio USD-BRL'!#REF!)^-1-1</f>
        <v>#REF!</v>
      </c>
    </row>
    <row r="23" spans="1:18" x14ac:dyDescent="0.2">
      <c r="A23" s="354">
        <v>37165</v>
      </c>
      <c r="B23">
        <v>1.5541659999999999</v>
      </c>
      <c r="C23">
        <v>1.6291659999999999</v>
      </c>
      <c r="D23">
        <v>1.4</v>
      </c>
      <c r="E23">
        <v>1.5541659999999999</v>
      </c>
      <c r="F23">
        <v>0.69664300000000001</v>
      </c>
      <c r="G23">
        <v>189547199</v>
      </c>
      <c r="J23" s="354">
        <v>36668</v>
      </c>
      <c r="K23">
        <v>2.6124999999999998</v>
      </c>
      <c r="L23">
        <v>3.0541659999999999</v>
      </c>
      <c r="M23">
        <v>2.6124999999999998</v>
      </c>
      <c r="N23">
        <v>2.9541659999999998</v>
      </c>
      <c r="O23">
        <v>1.324182</v>
      </c>
      <c r="P23">
        <v>41076000</v>
      </c>
      <c r="R23" s="273" t="e">
        <f>(O23/O22)*('16. câmbio USD-BRL'!#REF!/'16. câmbio USD-BRL'!#REF!)^-1-1</f>
        <v>#REF!</v>
      </c>
    </row>
    <row r="24" spans="1:18" x14ac:dyDescent="0.2">
      <c r="A24" s="354">
        <v>37196</v>
      </c>
      <c r="B24">
        <v>1.5791660000000001</v>
      </c>
      <c r="C24">
        <v>2.1375000000000002</v>
      </c>
      <c r="D24">
        <v>1.5333330000000001</v>
      </c>
      <c r="E24">
        <v>1.9458329999999999</v>
      </c>
      <c r="F24">
        <v>0.87220500000000001</v>
      </c>
      <c r="G24">
        <v>191016000</v>
      </c>
      <c r="J24" s="354">
        <v>36675</v>
      </c>
      <c r="K24">
        <v>2.9458329999999999</v>
      </c>
      <c r="L24">
        <v>3.4458329999999999</v>
      </c>
      <c r="M24">
        <v>2.9458329999999999</v>
      </c>
      <c r="N24">
        <v>3.1666660000000002</v>
      </c>
      <c r="O24">
        <v>1.4194340000000001</v>
      </c>
      <c r="P24">
        <v>37519200</v>
      </c>
      <c r="R24" s="273" t="e">
        <f>(O24/O23)*('16. câmbio USD-BRL'!#REF!/'16. câmbio USD-BRL'!#REF!)^-1-1</f>
        <v>#REF!</v>
      </c>
    </row>
    <row r="25" spans="1:18" x14ac:dyDescent="0.2">
      <c r="A25" s="354">
        <v>37226</v>
      </c>
      <c r="B25">
        <v>2.029166</v>
      </c>
      <c r="C25">
        <v>2.2124999999999999</v>
      </c>
      <c r="D25">
        <v>1.933333</v>
      </c>
      <c r="E25">
        <v>2.029166</v>
      </c>
      <c r="F25">
        <v>0.90955799999999998</v>
      </c>
      <c r="G25">
        <v>165844800</v>
      </c>
      <c r="J25" s="354">
        <v>36682</v>
      </c>
      <c r="K25">
        <v>3.1666660000000002</v>
      </c>
      <c r="L25">
        <v>3.1666660000000002</v>
      </c>
      <c r="M25">
        <v>2.9458329999999999</v>
      </c>
      <c r="N25">
        <v>3.1375000000000002</v>
      </c>
      <c r="O25">
        <v>1.4063600000000001</v>
      </c>
      <c r="P25">
        <v>27417600</v>
      </c>
      <c r="R25" s="273" t="e">
        <f>(O25/O24)*('16. câmbio USD-BRL'!#REF!/'16. câmbio USD-BRL'!#REF!)^-1-1</f>
        <v>#REF!</v>
      </c>
    </row>
    <row r="26" spans="1:18" x14ac:dyDescent="0.2">
      <c r="A26" s="354">
        <v>37257</v>
      </c>
      <c r="B26">
        <v>2.0375000000000001</v>
      </c>
      <c r="C26">
        <v>2.4458329999999999</v>
      </c>
      <c r="D26">
        <v>2.029166</v>
      </c>
      <c r="E26">
        <v>2.0708329999999999</v>
      </c>
      <c r="F26">
        <v>0.92823500000000003</v>
      </c>
      <c r="G26">
        <v>211960799</v>
      </c>
      <c r="J26" s="354">
        <v>36689</v>
      </c>
      <c r="K26">
        <v>3.1666660000000002</v>
      </c>
      <c r="L26">
        <v>3.2208329999999998</v>
      </c>
      <c r="M26">
        <v>2.6958329999999999</v>
      </c>
      <c r="N26">
        <v>2.716666</v>
      </c>
      <c r="O26">
        <v>1.2177249999999999</v>
      </c>
      <c r="P26">
        <v>34675200</v>
      </c>
      <c r="R26" s="273" t="e">
        <f>(O26/O25)*('16. câmbio USD-BRL'!#REF!/'16. câmbio USD-BRL'!#REF!)^-1-1</f>
        <v>#REF!</v>
      </c>
    </row>
    <row r="27" spans="1:18" x14ac:dyDescent="0.2">
      <c r="A27" s="354">
        <v>37288</v>
      </c>
      <c r="B27">
        <v>2.0666660000000001</v>
      </c>
      <c r="C27">
        <v>2.3333330000000001</v>
      </c>
      <c r="D27">
        <v>2.0541659999999999</v>
      </c>
      <c r="E27">
        <v>2.2999999999999998</v>
      </c>
      <c r="F27">
        <v>1.0309569999999999</v>
      </c>
      <c r="G27">
        <v>212155200</v>
      </c>
      <c r="J27" s="354">
        <v>36696</v>
      </c>
      <c r="K27">
        <v>2.7208329999999998</v>
      </c>
      <c r="L27">
        <v>3.0541659999999999</v>
      </c>
      <c r="M27">
        <v>2.7208329999999998</v>
      </c>
      <c r="N27">
        <v>3.029166</v>
      </c>
      <c r="O27">
        <v>1.3577999999999999</v>
      </c>
      <c r="P27">
        <v>33300000</v>
      </c>
      <c r="R27" s="273" t="e">
        <f>(O27/O26)*('16. câmbio USD-BRL'!#REF!/'16. câmbio USD-BRL'!#REF!)^-1-1</f>
        <v>#REF!</v>
      </c>
    </row>
    <row r="28" spans="1:18" x14ac:dyDescent="0.2">
      <c r="A28" s="354">
        <v>37316</v>
      </c>
      <c r="B28">
        <v>2.3875000000000002</v>
      </c>
      <c r="C28">
        <v>2.7749999999999999</v>
      </c>
      <c r="D28">
        <v>2.15</v>
      </c>
      <c r="E28">
        <v>2.3291659999999998</v>
      </c>
      <c r="F28">
        <v>1.0440309999999999</v>
      </c>
      <c r="G28">
        <v>227289600</v>
      </c>
      <c r="J28" s="354">
        <v>36703</v>
      </c>
      <c r="K28">
        <v>3.0166659999999998</v>
      </c>
      <c r="L28">
        <v>3.1666660000000002</v>
      </c>
      <c r="M28">
        <v>2.9458329999999999</v>
      </c>
      <c r="N28">
        <v>3.1416659999999998</v>
      </c>
      <c r="O28">
        <v>1.4082269999999999</v>
      </c>
      <c r="P28">
        <v>31305600</v>
      </c>
      <c r="R28" s="273" t="e">
        <f>(O28/O27)*('16. câmbio USD-BRL'!#REF!/'16. câmbio USD-BRL'!#REF!)^-1-1</f>
        <v>#REF!</v>
      </c>
    </row>
    <row r="29" spans="1:18" x14ac:dyDescent="0.2">
      <c r="A29" s="354">
        <v>37347</v>
      </c>
      <c r="B29">
        <v>2.3208329999999999</v>
      </c>
      <c r="C29">
        <v>2.6625000000000001</v>
      </c>
      <c r="D29">
        <v>2.279166</v>
      </c>
      <c r="E29">
        <v>2.5958329999999998</v>
      </c>
      <c r="F29">
        <v>1.163562</v>
      </c>
      <c r="G29">
        <v>218397600</v>
      </c>
      <c r="J29" s="354">
        <v>36710</v>
      </c>
      <c r="K29">
        <v>3.1666660000000002</v>
      </c>
      <c r="L29">
        <v>3.6666660000000002</v>
      </c>
      <c r="M29">
        <v>3.1666660000000002</v>
      </c>
      <c r="N29">
        <v>3.5208330000000001</v>
      </c>
      <c r="O29">
        <v>1.5781860000000001</v>
      </c>
      <c r="P29">
        <v>53100000</v>
      </c>
      <c r="R29" s="273" t="e">
        <f>(O29/O28)*('16. câmbio USD-BRL'!#REF!/'16. câmbio USD-BRL'!#REF!)^-1-1</f>
        <v>#REF!</v>
      </c>
    </row>
    <row r="30" spans="1:18" x14ac:dyDescent="0.2">
      <c r="A30" s="354">
        <v>37377</v>
      </c>
      <c r="B30">
        <v>2.5</v>
      </c>
      <c r="C30">
        <v>2.8875000000000002</v>
      </c>
      <c r="D30">
        <v>2.2250000000000001</v>
      </c>
      <c r="E30">
        <v>2.6833330000000002</v>
      </c>
      <c r="F30">
        <v>1.2027829999999999</v>
      </c>
      <c r="G30">
        <v>434397600</v>
      </c>
      <c r="J30" s="354">
        <v>36717</v>
      </c>
      <c r="K30">
        <v>3.55</v>
      </c>
      <c r="L30">
        <v>3.55</v>
      </c>
      <c r="M30">
        <v>3.0541659999999999</v>
      </c>
      <c r="N30">
        <v>3.279166</v>
      </c>
      <c r="O30">
        <v>1.4698610000000001</v>
      </c>
      <c r="P30">
        <v>55461598</v>
      </c>
      <c r="R30" s="273" t="e">
        <f>(O30/O29)*('16. câmbio USD-BRL'!#REF!/'16. câmbio USD-BRL'!#REF!)^-1-1</f>
        <v>#REF!</v>
      </c>
    </row>
    <row r="31" spans="1:18" x14ac:dyDescent="0.2">
      <c r="A31" s="354">
        <v>37408</v>
      </c>
      <c r="B31">
        <v>2.6291660000000001</v>
      </c>
      <c r="C31">
        <v>2.6958329999999999</v>
      </c>
      <c r="D31">
        <v>2.0666660000000001</v>
      </c>
      <c r="E31">
        <v>2.4541659999999998</v>
      </c>
      <c r="F31">
        <v>1.100061</v>
      </c>
      <c r="G31">
        <v>273607200</v>
      </c>
      <c r="J31" s="354">
        <v>36724</v>
      </c>
      <c r="K31">
        <v>3.3875000000000002</v>
      </c>
      <c r="L31">
        <v>3.4874999999999998</v>
      </c>
      <c r="M31">
        <v>3.279166</v>
      </c>
      <c r="N31">
        <v>3.35</v>
      </c>
      <c r="O31">
        <v>1.5016119999999999</v>
      </c>
      <c r="P31">
        <v>58795199</v>
      </c>
      <c r="R31" s="273" t="e">
        <f>(O31/O30)*('16. câmbio USD-BRL'!#REF!/'16. câmbio USD-BRL'!#REF!)^-1-1</f>
        <v>#REF!</v>
      </c>
    </row>
    <row r="32" spans="1:18" x14ac:dyDescent="0.2">
      <c r="A32" s="354">
        <v>37438</v>
      </c>
      <c r="B32">
        <v>2.545833</v>
      </c>
      <c r="C32">
        <v>3.279166</v>
      </c>
      <c r="D32">
        <v>2.1375000000000002</v>
      </c>
      <c r="E32">
        <v>2.3624999999999998</v>
      </c>
      <c r="F32">
        <v>1.058972</v>
      </c>
      <c r="G32">
        <v>532605600</v>
      </c>
      <c r="J32" s="354">
        <v>36731</v>
      </c>
      <c r="K32">
        <v>3.3875000000000002</v>
      </c>
      <c r="L32">
        <v>3.4458329999999999</v>
      </c>
      <c r="M32">
        <v>3.279166</v>
      </c>
      <c r="N32">
        <v>3.3624999999999998</v>
      </c>
      <c r="O32">
        <v>1.507215</v>
      </c>
      <c r="P32">
        <v>29700000</v>
      </c>
      <c r="R32" s="273" t="e">
        <f>(O32/O31)*('16. câmbio USD-BRL'!#REF!/'16. câmbio USD-BRL'!#REF!)^-1-1</f>
        <v>#REF!</v>
      </c>
    </row>
    <row r="33" spans="1:18" x14ac:dyDescent="0.2">
      <c r="A33" s="354">
        <v>37469</v>
      </c>
      <c r="B33">
        <v>2.4541659999999998</v>
      </c>
      <c r="C33">
        <v>2.4541659999999998</v>
      </c>
      <c r="D33">
        <v>1.9291659999999999</v>
      </c>
      <c r="E33">
        <v>2.25</v>
      </c>
      <c r="F33">
        <v>1.008545</v>
      </c>
      <c r="G33">
        <v>298353600</v>
      </c>
      <c r="J33" s="354">
        <v>36738</v>
      </c>
      <c r="K33">
        <v>3.4416660000000001</v>
      </c>
      <c r="L33">
        <v>3.4458329999999999</v>
      </c>
      <c r="M33">
        <v>3.0541659999999999</v>
      </c>
      <c r="N33">
        <v>3.3875000000000002</v>
      </c>
      <c r="O33">
        <v>1.518421</v>
      </c>
      <c r="P33">
        <v>23234400</v>
      </c>
      <c r="R33" s="273" t="e">
        <f>(O33/O32)*('16. câmbio USD-BRL'!#REF!/'16. câmbio USD-BRL'!#REF!)^-1-1</f>
        <v>#REF!</v>
      </c>
    </row>
    <row r="34" spans="1:18" x14ac:dyDescent="0.2">
      <c r="A34" s="354">
        <v>37500</v>
      </c>
      <c r="B34">
        <v>2.2541660000000001</v>
      </c>
      <c r="C34">
        <v>2.295833</v>
      </c>
      <c r="D34">
        <v>1.666666</v>
      </c>
      <c r="E34">
        <v>1.6875</v>
      </c>
      <c r="F34">
        <v>0.756409</v>
      </c>
      <c r="G34">
        <v>182944800</v>
      </c>
      <c r="J34" s="354">
        <v>36745</v>
      </c>
      <c r="K34">
        <v>3.3875000000000002</v>
      </c>
      <c r="L34">
        <v>3.6666660000000002</v>
      </c>
      <c r="M34">
        <v>3.3624999999999998</v>
      </c>
      <c r="N34">
        <v>3.6458330000000001</v>
      </c>
      <c r="O34">
        <v>1.6342159999999999</v>
      </c>
      <c r="P34">
        <v>39549600</v>
      </c>
      <c r="R34" s="273" t="e">
        <f>(O34/O33)*('16. câmbio USD-BRL'!#REF!/'16. câmbio USD-BRL'!#REF!)^-1-1</f>
        <v>#REF!</v>
      </c>
    </row>
    <row r="35" spans="1:18" x14ac:dyDescent="0.2">
      <c r="A35" s="354">
        <v>37530</v>
      </c>
      <c r="B35">
        <v>1.7708330000000001</v>
      </c>
      <c r="C35">
        <v>2.3291659999999998</v>
      </c>
      <c r="D35">
        <v>1.620833</v>
      </c>
      <c r="E35">
        <v>2.0541659999999999</v>
      </c>
      <c r="F35">
        <v>0.92076400000000003</v>
      </c>
      <c r="G35">
        <v>281930400</v>
      </c>
      <c r="J35" s="354">
        <v>36752</v>
      </c>
      <c r="K35">
        <v>3.7208329999999998</v>
      </c>
      <c r="L35">
        <v>3.779166</v>
      </c>
      <c r="M35">
        <v>3.4708329999999998</v>
      </c>
      <c r="N35">
        <v>3.5</v>
      </c>
      <c r="O35">
        <v>1.568848</v>
      </c>
      <c r="P35">
        <v>38541600</v>
      </c>
      <c r="R35" s="273" t="e">
        <f>(O35/O34)*('16. câmbio USD-BRL'!#REF!/'16. câmbio USD-BRL'!#REF!)^-1-1</f>
        <v>#REF!</v>
      </c>
    </row>
    <row r="36" spans="1:18" x14ac:dyDescent="0.2">
      <c r="A36" s="354">
        <v>37561</v>
      </c>
      <c r="B36">
        <v>2.0666660000000001</v>
      </c>
      <c r="C36">
        <v>2.7</v>
      </c>
      <c r="D36">
        <v>2.029166</v>
      </c>
      <c r="E36">
        <v>2.6958329999999999</v>
      </c>
      <c r="F36">
        <v>1.208386</v>
      </c>
      <c r="G36">
        <v>330681600</v>
      </c>
      <c r="J36" s="354">
        <v>36759</v>
      </c>
      <c r="K36">
        <v>3.5</v>
      </c>
      <c r="L36">
        <v>3.7208329999999998</v>
      </c>
      <c r="M36">
        <v>3.4458329999999999</v>
      </c>
      <c r="N36">
        <v>3.6666660000000002</v>
      </c>
      <c r="O36">
        <v>1.643554</v>
      </c>
      <c r="P36">
        <v>30873600</v>
      </c>
      <c r="R36" s="273" t="e">
        <f>(O36/O35)*('16. câmbio USD-BRL'!#REF!/'16. câmbio USD-BRL'!#REF!)^-1-1</f>
        <v>#REF!</v>
      </c>
    </row>
    <row r="37" spans="1:18" x14ac:dyDescent="0.2">
      <c r="A37" s="354">
        <v>37591</v>
      </c>
      <c r="B37">
        <v>2.6875</v>
      </c>
      <c r="C37">
        <v>2.9708329999999998</v>
      </c>
      <c r="D37">
        <v>2.6166659999999999</v>
      </c>
      <c r="E37">
        <v>2.841666</v>
      </c>
      <c r="F37">
        <v>1.273755</v>
      </c>
      <c r="G37">
        <v>229608000</v>
      </c>
      <c r="J37" s="354">
        <v>36766</v>
      </c>
      <c r="K37">
        <v>3.6666660000000002</v>
      </c>
      <c r="L37">
        <v>3.7208329999999998</v>
      </c>
      <c r="M37">
        <v>3.6375000000000002</v>
      </c>
      <c r="N37">
        <v>3.6666660000000002</v>
      </c>
      <c r="O37">
        <v>1.643554</v>
      </c>
      <c r="P37">
        <v>27417600</v>
      </c>
      <c r="R37" s="273" t="e">
        <f>(O37/O36)*('16. câmbio USD-BRL'!#REF!/'16. câmbio USD-BRL'!#REF!)^-1-1</f>
        <v>#REF!</v>
      </c>
    </row>
    <row r="38" spans="1:18" x14ac:dyDescent="0.2">
      <c r="A38" s="354">
        <v>37622</v>
      </c>
      <c r="B38">
        <v>2.8333330000000001</v>
      </c>
      <c r="C38">
        <v>3.2374999999999998</v>
      </c>
      <c r="D38">
        <v>2.8041659999999999</v>
      </c>
      <c r="E38">
        <v>3.2083330000000001</v>
      </c>
      <c r="F38">
        <v>1.43811</v>
      </c>
      <c r="G38">
        <v>258127199</v>
      </c>
      <c r="J38" s="354">
        <v>36773</v>
      </c>
      <c r="K38">
        <v>3.6958329999999999</v>
      </c>
      <c r="L38">
        <v>3.7124999999999999</v>
      </c>
      <c r="M38">
        <v>3.529166</v>
      </c>
      <c r="N38">
        <v>3.5541659999999999</v>
      </c>
      <c r="O38">
        <v>1.593127</v>
      </c>
      <c r="P38">
        <v>48052800</v>
      </c>
      <c r="R38" s="273" t="e">
        <f>(O38/O37)*('16. câmbio USD-BRL'!#REF!/'16. câmbio USD-BRL'!#REF!)^-1-1</f>
        <v>#REF!</v>
      </c>
    </row>
    <row r="39" spans="1:18" x14ac:dyDescent="0.2">
      <c r="A39" s="354">
        <v>37653</v>
      </c>
      <c r="B39">
        <v>3.2208329999999998</v>
      </c>
      <c r="C39">
        <v>3.6958329999999999</v>
      </c>
      <c r="D39">
        <v>3.1666660000000002</v>
      </c>
      <c r="E39">
        <v>3.4458329999999999</v>
      </c>
      <c r="F39">
        <v>1.5445679999999999</v>
      </c>
      <c r="G39">
        <v>352504797</v>
      </c>
      <c r="J39" s="354">
        <v>36780</v>
      </c>
      <c r="K39">
        <v>3.6124999999999998</v>
      </c>
      <c r="L39">
        <v>3.779166</v>
      </c>
      <c r="M39">
        <v>3.3333330000000001</v>
      </c>
      <c r="N39">
        <v>3.4958330000000002</v>
      </c>
      <c r="O39">
        <v>1.56698</v>
      </c>
      <c r="P39">
        <v>77608800</v>
      </c>
      <c r="R39" s="273" t="e">
        <f>(O39/O38)*('16. câmbio USD-BRL'!#REF!/'16. câmbio USD-BRL'!#REF!)^-1-1</f>
        <v>#REF!</v>
      </c>
    </row>
    <row r="40" spans="1:18" x14ac:dyDescent="0.2">
      <c r="A40" s="354">
        <v>37681</v>
      </c>
      <c r="B40">
        <v>3.3333330000000001</v>
      </c>
      <c r="C40">
        <v>3.7875000000000001</v>
      </c>
      <c r="D40">
        <v>3.1625000000000001</v>
      </c>
      <c r="E40">
        <v>3.6124999999999998</v>
      </c>
      <c r="F40">
        <v>1.619275</v>
      </c>
      <c r="G40">
        <v>333086398</v>
      </c>
      <c r="J40" s="354">
        <v>36787</v>
      </c>
      <c r="K40">
        <v>3.4874999999999998</v>
      </c>
      <c r="L40">
        <v>3.4874999999999998</v>
      </c>
      <c r="M40">
        <v>3.1791659999999999</v>
      </c>
      <c r="N40">
        <v>3.3374999999999999</v>
      </c>
      <c r="O40">
        <v>1.4960089999999999</v>
      </c>
      <c r="P40">
        <v>27943200</v>
      </c>
      <c r="R40" s="273" t="e">
        <f>(O40/O39)*('16. câmbio USD-BRL'!#REF!/'16. câmbio USD-BRL'!#REF!)^-1-1</f>
        <v>#REF!</v>
      </c>
    </row>
    <row r="41" spans="1:18" x14ac:dyDescent="0.2">
      <c r="A41" s="354">
        <v>37712</v>
      </c>
      <c r="B41">
        <v>3.6291660000000001</v>
      </c>
      <c r="C41">
        <v>3.8333330000000001</v>
      </c>
      <c r="D41">
        <v>3.1666660000000002</v>
      </c>
      <c r="E41">
        <v>3.2041659999999998</v>
      </c>
      <c r="F41">
        <v>1.436242</v>
      </c>
      <c r="G41">
        <v>789026400</v>
      </c>
      <c r="J41" s="354">
        <v>36794</v>
      </c>
      <c r="K41">
        <v>3.4874999999999998</v>
      </c>
      <c r="L41">
        <v>3.4874999999999998</v>
      </c>
      <c r="M41">
        <v>3.1875</v>
      </c>
      <c r="N41">
        <v>3.2291660000000002</v>
      </c>
      <c r="O41">
        <v>1.4474480000000001</v>
      </c>
      <c r="P41">
        <v>28094400</v>
      </c>
      <c r="R41" s="273" t="e">
        <f>(O41/O40)*('16. câmbio USD-BRL'!#REF!/'16. câmbio USD-BRL'!#REF!)^-1-1</f>
        <v>#REF!</v>
      </c>
    </row>
    <row r="42" spans="1:18" x14ac:dyDescent="0.2">
      <c r="A42" s="354">
        <v>37742</v>
      </c>
      <c r="B42">
        <v>3.2041659999999998</v>
      </c>
      <c r="C42">
        <v>3.4583330000000001</v>
      </c>
      <c r="D42">
        <v>3.0125000000000002</v>
      </c>
      <c r="E42">
        <v>3.1791659999999999</v>
      </c>
      <c r="F42">
        <v>1.425036</v>
      </c>
      <c r="G42">
        <v>423993599</v>
      </c>
      <c r="J42" s="354">
        <v>36801</v>
      </c>
      <c r="K42">
        <v>3.25</v>
      </c>
      <c r="L42">
        <v>3.3041659999999999</v>
      </c>
      <c r="M42">
        <v>3.1666660000000002</v>
      </c>
      <c r="N42">
        <v>3.2041659999999998</v>
      </c>
      <c r="O42">
        <v>1.4362429999999999</v>
      </c>
      <c r="P42">
        <v>35042400</v>
      </c>
      <c r="R42" s="273" t="e">
        <f>(O42/O41)*('16. câmbio USD-BRL'!#REF!/'16. câmbio USD-BRL'!#REF!)^-1-1</f>
        <v>#REF!</v>
      </c>
    </row>
    <row r="43" spans="1:18" x14ac:dyDescent="0.2">
      <c r="A43" s="354">
        <v>37773</v>
      </c>
      <c r="B43">
        <v>3.170833</v>
      </c>
      <c r="C43">
        <v>3.9708329999999998</v>
      </c>
      <c r="D43">
        <v>3.0791659999999998</v>
      </c>
      <c r="E43">
        <v>3.875</v>
      </c>
      <c r="F43">
        <v>1.736939</v>
      </c>
      <c r="G43">
        <v>362426400</v>
      </c>
      <c r="J43" s="354">
        <v>36808</v>
      </c>
      <c r="K43">
        <v>3.2458330000000002</v>
      </c>
      <c r="L43">
        <v>3.2458330000000002</v>
      </c>
      <c r="M43">
        <v>3.0625</v>
      </c>
      <c r="N43">
        <v>3.1666660000000002</v>
      </c>
      <c r="O43">
        <v>1.4194340000000001</v>
      </c>
      <c r="P43">
        <v>19872000</v>
      </c>
      <c r="R43" s="273" t="e">
        <f>(O43/O42)*('16. câmbio USD-BRL'!#REF!/'16. câmbio USD-BRL'!#REF!)^-1-1</f>
        <v>#REF!</v>
      </c>
    </row>
    <row r="44" spans="1:18" x14ac:dyDescent="0.2">
      <c r="A44" s="354">
        <v>37803</v>
      </c>
      <c r="B44">
        <v>3.9</v>
      </c>
      <c r="C44">
        <v>4.5</v>
      </c>
      <c r="D44">
        <v>3.7833329999999998</v>
      </c>
      <c r="E44">
        <v>4.5</v>
      </c>
      <c r="F44">
        <v>2.01709</v>
      </c>
      <c r="G44">
        <v>249645600</v>
      </c>
      <c r="J44" s="354">
        <v>36815</v>
      </c>
      <c r="K44">
        <v>3.0708329999999999</v>
      </c>
      <c r="L44">
        <v>3.3041659999999999</v>
      </c>
      <c r="M44">
        <v>2.8708330000000002</v>
      </c>
      <c r="N44">
        <v>2.966666</v>
      </c>
      <c r="O44">
        <v>1.329785</v>
      </c>
      <c r="P44">
        <v>39132000</v>
      </c>
      <c r="R44" s="273" t="e">
        <f>(O44/O43)*('16. câmbio USD-BRL'!#REF!/'16. câmbio USD-BRL'!#REF!)^-1-1</f>
        <v>#REF!</v>
      </c>
    </row>
    <row r="45" spans="1:18" x14ac:dyDescent="0.2">
      <c r="A45" s="354">
        <v>37834</v>
      </c>
      <c r="B45">
        <v>4.5</v>
      </c>
      <c r="C45">
        <v>44.445830999999998</v>
      </c>
      <c r="D45">
        <v>4.2208329999999998</v>
      </c>
      <c r="E45">
        <v>5.529166</v>
      </c>
      <c r="F45">
        <v>2.4784060000000001</v>
      </c>
      <c r="G45">
        <v>354992812</v>
      </c>
      <c r="J45" s="354">
        <v>36822</v>
      </c>
      <c r="K45">
        <v>3.0249999999999999</v>
      </c>
      <c r="L45">
        <v>3.029166</v>
      </c>
      <c r="M45">
        <v>2.779166</v>
      </c>
      <c r="N45">
        <v>2.9291659999999999</v>
      </c>
      <c r="O45">
        <v>1.3129759999999999</v>
      </c>
      <c r="P45">
        <v>41738399</v>
      </c>
      <c r="R45" s="273" t="e">
        <f>(O45/O44)*('16. câmbio USD-BRL'!#REF!/'16. câmbio USD-BRL'!#REF!)^-1-1</f>
        <v>#REF!</v>
      </c>
    </row>
    <row r="46" spans="1:18" x14ac:dyDescent="0.2">
      <c r="A46" s="354">
        <v>37865</v>
      </c>
      <c r="B46">
        <v>5.529166</v>
      </c>
      <c r="C46">
        <v>5.9458330000000004</v>
      </c>
      <c r="D46">
        <v>5.2625000000000002</v>
      </c>
      <c r="E46">
        <v>5.733333</v>
      </c>
      <c r="F46">
        <v>2.569922</v>
      </c>
      <c r="G46">
        <v>256874400</v>
      </c>
      <c r="J46" s="354">
        <v>36829</v>
      </c>
      <c r="K46">
        <v>3</v>
      </c>
      <c r="L46">
        <v>3.1124999999999998</v>
      </c>
      <c r="M46">
        <v>2.9166660000000002</v>
      </c>
      <c r="N46">
        <v>3.0833330000000001</v>
      </c>
      <c r="O46">
        <v>1.38208</v>
      </c>
      <c r="P46">
        <v>56138400</v>
      </c>
      <c r="R46" s="273" t="e">
        <f>(O46/O45)*('16. câmbio USD-BRL'!#REF!/'16. câmbio USD-BRL'!#REF!)^-1-1</f>
        <v>#REF!</v>
      </c>
    </row>
    <row r="47" spans="1:18" x14ac:dyDescent="0.2">
      <c r="A47" s="354">
        <v>37895</v>
      </c>
      <c r="B47">
        <v>5.7541659999999997</v>
      </c>
      <c r="C47">
        <v>7.0541660000000004</v>
      </c>
      <c r="D47">
        <v>5.7541659999999997</v>
      </c>
      <c r="E47">
        <v>6.5541660000000004</v>
      </c>
      <c r="F47">
        <v>2.9378540000000002</v>
      </c>
      <c r="G47">
        <v>261021598</v>
      </c>
      <c r="J47" s="354">
        <v>36836</v>
      </c>
      <c r="K47">
        <v>3.0541659999999999</v>
      </c>
      <c r="L47">
        <v>3.2208329999999998</v>
      </c>
      <c r="M47">
        <v>3</v>
      </c>
      <c r="N47">
        <v>3.15</v>
      </c>
      <c r="O47">
        <v>1.4119630000000001</v>
      </c>
      <c r="P47">
        <v>71085600</v>
      </c>
      <c r="R47" s="273" t="e">
        <f>(O47/O46)*('16. câmbio USD-BRL'!#REF!/'16. câmbio USD-BRL'!#REF!)^-1-1</f>
        <v>#REF!</v>
      </c>
    </row>
    <row r="48" spans="1:18" x14ac:dyDescent="0.2">
      <c r="A48" s="354">
        <v>37926</v>
      </c>
      <c r="B48">
        <v>6.5541660000000004</v>
      </c>
      <c r="C48">
        <v>7.4458330000000004</v>
      </c>
      <c r="D48">
        <v>6.2041659999999998</v>
      </c>
      <c r="E48">
        <v>7.4458330000000004</v>
      </c>
      <c r="F48">
        <v>3.3375360000000001</v>
      </c>
      <c r="G48">
        <v>212313600</v>
      </c>
      <c r="J48" s="354">
        <v>36843</v>
      </c>
      <c r="K48">
        <v>3.154166</v>
      </c>
      <c r="L48">
        <v>3.25</v>
      </c>
      <c r="M48">
        <v>3.0541659999999999</v>
      </c>
      <c r="N48">
        <v>3.2124999999999999</v>
      </c>
      <c r="O48">
        <v>1.439978</v>
      </c>
      <c r="P48">
        <v>20800800</v>
      </c>
      <c r="R48" s="273" t="e">
        <f>(O48/O47)*('16. câmbio USD-BRL'!#REF!/'16. câmbio USD-BRL'!#REF!)^-1-1</f>
        <v>#REF!</v>
      </c>
    </row>
    <row r="49" spans="1:18" x14ac:dyDescent="0.2">
      <c r="A49" s="354">
        <v>37956</v>
      </c>
      <c r="B49">
        <v>7.4458330000000004</v>
      </c>
      <c r="C49">
        <v>8.9708330000000007</v>
      </c>
      <c r="D49">
        <v>7.0666659999999997</v>
      </c>
      <c r="E49">
        <v>8.7041660000000007</v>
      </c>
      <c r="F49">
        <v>3.9015749999999998</v>
      </c>
      <c r="G49">
        <v>312260817</v>
      </c>
      <c r="J49" s="354">
        <v>36850</v>
      </c>
      <c r="K49">
        <v>3.2208329999999998</v>
      </c>
      <c r="L49">
        <v>3.2833329999999998</v>
      </c>
      <c r="M49">
        <v>3.1124999999999998</v>
      </c>
      <c r="N49">
        <v>3.1666660000000002</v>
      </c>
      <c r="O49">
        <v>1.4194340000000001</v>
      </c>
      <c r="P49">
        <v>39585600</v>
      </c>
      <c r="R49" s="273" t="e">
        <f>(O49/O48)*('16. câmbio USD-BRL'!#REF!/'16. câmbio USD-BRL'!#REF!)^-1-1</f>
        <v>#REF!</v>
      </c>
    </row>
    <row r="50" spans="1:18" x14ac:dyDescent="0.2">
      <c r="A50" s="354">
        <v>37987</v>
      </c>
      <c r="B50">
        <v>8.6125000000000007</v>
      </c>
      <c r="C50">
        <v>10.1875</v>
      </c>
      <c r="D50">
        <v>8.529166</v>
      </c>
      <c r="E50">
        <v>9.0833329999999997</v>
      </c>
      <c r="F50">
        <v>4.0715329999999996</v>
      </c>
      <c r="G50">
        <v>348559198</v>
      </c>
      <c r="J50" s="354">
        <v>36857</v>
      </c>
      <c r="K50">
        <v>3.1666660000000002</v>
      </c>
      <c r="L50">
        <v>3.1666660000000002</v>
      </c>
      <c r="M50">
        <v>2.7833329999999998</v>
      </c>
      <c r="N50">
        <v>2.8374999999999999</v>
      </c>
      <c r="O50">
        <v>1.2718879999999999</v>
      </c>
      <c r="P50">
        <v>22658400</v>
      </c>
      <c r="R50" s="273" t="e">
        <f>(O50/O49)*('16. câmbio USD-BRL'!#REF!/'16. câmbio USD-BRL'!#REF!)^-1-1</f>
        <v>#REF!</v>
      </c>
    </row>
    <row r="51" spans="1:18" x14ac:dyDescent="0.2">
      <c r="A51" s="354">
        <v>38018</v>
      </c>
      <c r="B51">
        <v>8.6666659999999993</v>
      </c>
      <c r="C51">
        <v>10.387499999999999</v>
      </c>
      <c r="D51">
        <v>8.0541660000000004</v>
      </c>
      <c r="E51">
        <v>10.333333</v>
      </c>
      <c r="F51">
        <v>4.6318359999999998</v>
      </c>
      <c r="G51">
        <v>253231198</v>
      </c>
      <c r="J51" s="354">
        <v>36864</v>
      </c>
      <c r="K51">
        <v>2.920833</v>
      </c>
      <c r="L51">
        <v>3.029166</v>
      </c>
      <c r="M51">
        <v>2.8291659999999998</v>
      </c>
      <c r="N51">
        <v>3</v>
      </c>
      <c r="O51">
        <v>1.344727</v>
      </c>
      <c r="P51">
        <v>28944000</v>
      </c>
      <c r="R51" s="273" t="e">
        <f>(O51/O50)*('16. câmbio USD-BRL'!#REF!/'16. câmbio USD-BRL'!#REF!)^-1-1</f>
        <v>#REF!</v>
      </c>
    </row>
    <row r="52" spans="1:18" x14ac:dyDescent="0.2">
      <c r="A52" s="354">
        <v>38047</v>
      </c>
      <c r="B52">
        <v>10.387499999999999</v>
      </c>
      <c r="C52">
        <v>11.6625</v>
      </c>
      <c r="D52">
        <v>9.8625000000000007</v>
      </c>
      <c r="E52">
        <v>11.05</v>
      </c>
      <c r="F52">
        <v>4.9530779999999996</v>
      </c>
      <c r="G52">
        <v>378755994</v>
      </c>
      <c r="J52" s="354">
        <v>36871</v>
      </c>
      <c r="K52">
        <v>3.0833330000000001</v>
      </c>
      <c r="L52">
        <v>3.4541659999999998</v>
      </c>
      <c r="M52">
        <v>3.029166</v>
      </c>
      <c r="N52">
        <v>3.2374999999999998</v>
      </c>
      <c r="O52">
        <v>1.451184</v>
      </c>
      <c r="P52">
        <v>52358400</v>
      </c>
      <c r="R52" s="273" t="e">
        <f>(O52/O51)*('16. câmbio USD-BRL'!#REF!/'16. câmbio USD-BRL'!#REF!)^-1-1</f>
        <v>#REF!</v>
      </c>
    </row>
    <row r="53" spans="1:18" x14ac:dyDescent="0.2">
      <c r="A53" s="354">
        <v>38078</v>
      </c>
      <c r="B53">
        <v>11.112500000000001</v>
      </c>
      <c r="C53">
        <v>11.387499999999999</v>
      </c>
      <c r="D53">
        <v>7.6833330000000002</v>
      </c>
      <c r="E53">
        <v>7.75</v>
      </c>
      <c r="F53">
        <v>3.4738769999999999</v>
      </c>
      <c r="G53">
        <v>290735996</v>
      </c>
      <c r="J53" s="354">
        <v>36878</v>
      </c>
      <c r="K53">
        <v>3.1958329999999999</v>
      </c>
      <c r="L53">
        <v>3.4125000000000001</v>
      </c>
      <c r="M53">
        <v>3.170833</v>
      </c>
      <c r="N53">
        <v>3.233333</v>
      </c>
      <c r="O53">
        <v>1.449317</v>
      </c>
      <c r="P53">
        <v>48924000</v>
      </c>
      <c r="R53" s="273" t="e">
        <f>(O53/O52)*('16. câmbio USD-BRL'!#REF!/'16. câmbio USD-BRL'!#REF!)^-1-1</f>
        <v>#REF!</v>
      </c>
    </row>
    <row r="54" spans="1:18" x14ac:dyDescent="0.2">
      <c r="A54" s="354">
        <v>38108</v>
      </c>
      <c r="B54">
        <v>7.75</v>
      </c>
      <c r="C54">
        <v>8.2208330000000007</v>
      </c>
      <c r="D54">
        <v>5.8766660000000002</v>
      </c>
      <c r="E54">
        <v>6.0833329999999997</v>
      </c>
      <c r="F54">
        <v>2.726807</v>
      </c>
      <c r="G54">
        <v>393096599</v>
      </c>
      <c r="J54" s="354">
        <v>36885</v>
      </c>
      <c r="K54">
        <v>3.233333</v>
      </c>
      <c r="L54">
        <v>3.5666660000000001</v>
      </c>
      <c r="M54">
        <v>3.233333</v>
      </c>
      <c r="N54">
        <v>3.45</v>
      </c>
      <c r="O54">
        <v>1.5464359999999999</v>
      </c>
      <c r="P54">
        <v>96393599</v>
      </c>
      <c r="R54" s="273" t="e">
        <f>(O54/O53)*('16. câmbio USD-BRL'!#REF!/'16. câmbio USD-BRL'!#REF!)^-1-1</f>
        <v>#REF!</v>
      </c>
    </row>
    <row r="55" spans="1:18" x14ac:dyDescent="0.2">
      <c r="A55" s="354">
        <v>38139</v>
      </c>
      <c r="B55">
        <v>6.0333329999999998</v>
      </c>
      <c r="C55">
        <v>6.4</v>
      </c>
      <c r="D55">
        <v>5.55</v>
      </c>
      <c r="E55">
        <v>6.3133330000000001</v>
      </c>
      <c r="F55">
        <v>2.8299020000000001</v>
      </c>
      <c r="G55">
        <v>377924400</v>
      </c>
      <c r="J55" s="354">
        <v>36892</v>
      </c>
      <c r="K55">
        <v>3.3166660000000001</v>
      </c>
      <c r="L55">
        <v>3.6375000000000002</v>
      </c>
      <c r="M55">
        <v>3.3166660000000001</v>
      </c>
      <c r="N55">
        <v>3.529166</v>
      </c>
      <c r="O55">
        <v>1.5819209999999999</v>
      </c>
      <c r="P55">
        <v>68889600</v>
      </c>
      <c r="R55" s="273" t="e">
        <f>(O55/O54)*('16. câmbio USD-BRL'!#REF!/'16. câmbio USD-BRL'!#REF!)^-1-1</f>
        <v>#REF!</v>
      </c>
    </row>
    <row r="56" spans="1:18" x14ac:dyDescent="0.2">
      <c r="A56" s="354">
        <v>38169</v>
      </c>
      <c r="B56">
        <v>6.2516660000000002</v>
      </c>
      <c r="C56">
        <v>7.3333329999999997</v>
      </c>
      <c r="D56">
        <v>6.1666660000000002</v>
      </c>
      <c r="E56">
        <v>7.3316660000000002</v>
      </c>
      <c r="F56">
        <v>3.286362</v>
      </c>
      <c r="G56">
        <v>285388200</v>
      </c>
      <c r="J56" s="354">
        <v>36899</v>
      </c>
      <c r="K56">
        <v>3.55</v>
      </c>
      <c r="L56">
        <v>3.6</v>
      </c>
      <c r="M56">
        <v>3.4874999999999998</v>
      </c>
      <c r="N56">
        <v>3.5625</v>
      </c>
      <c r="O56">
        <v>1.5968629999999999</v>
      </c>
      <c r="P56">
        <v>37166400</v>
      </c>
      <c r="R56" s="273" t="e">
        <f>(O56/O55)*('16. câmbio USD-BRL'!#REF!/'16. câmbio USD-BRL'!#REF!)^-1-1</f>
        <v>#REF!</v>
      </c>
    </row>
    <row r="57" spans="1:18" x14ac:dyDescent="0.2">
      <c r="A57" s="354">
        <v>38200</v>
      </c>
      <c r="B57">
        <v>7.3266660000000003</v>
      </c>
      <c r="C57">
        <v>7.75</v>
      </c>
      <c r="D57">
        <v>7.0666659999999997</v>
      </c>
      <c r="E57">
        <v>7.5583330000000002</v>
      </c>
      <c r="F57">
        <v>3.3879640000000002</v>
      </c>
      <c r="G57">
        <v>262999800</v>
      </c>
      <c r="J57" s="354">
        <v>36906</v>
      </c>
      <c r="K57">
        <v>3.5708329999999999</v>
      </c>
      <c r="L57">
        <v>3.7833329999999998</v>
      </c>
      <c r="M57">
        <v>3.55</v>
      </c>
      <c r="N57">
        <v>3.779166</v>
      </c>
      <c r="O57">
        <v>1.6939820000000001</v>
      </c>
      <c r="P57">
        <v>40104000</v>
      </c>
      <c r="R57" s="273" t="e">
        <f>(O57/O56)*('16. câmbio USD-BRL'!#REF!/'16. câmbio USD-BRL'!#REF!)^-1-1</f>
        <v>#REF!</v>
      </c>
    </row>
    <row r="58" spans="1:18" x14ac:dyDescent="0.2">
      <c r="A58" s="354">
        <v>38231</v>
      </c>
      <c r="B58">
        <v>7.5750000000000002</v>
      </c>
      <c r="C58">
        <v>7.75</v>
      </c>
      <c r="D58">
        <v>6.7350000000000003</v>
      </c>
      <c r="E58">
        <v>7.4</v>
      </c>
      <c r="F58">
        <v>3.3169930000000001</v>
      </c>
      <c r="G58">
        <v>242368200</v>
      </c>
      <c r="J58" s="354">
        <v>36913</v>
      </c>
      <c r="K58">
        <v>3.779166</v>
      </c>
      <c r="L58">
        <v>4.045833</v>
      </c>
      <c r="M58">
        <v>3.7541660000000001</v>
      </c>
      <c r="N58">
        <v>4.0166659999999998</v>
      </c>
      <c r="O58">
        <v>1.8004389999999999</v>
      </c>
      <c r="P58">
        <v>40780800</v>
      </c>
      <c r="R58" s="273" t="e">
        <f>(O58/O57)*('16. câmbio USD-BRL'!#REF!/'16. câmbio USD-BRL'!#REF!)^-1-1</f>
        <v>#REF!</v>
      </c>
    </row>
    <row r="59" spans="1:18" x14ac:dyDescent="0.2">
      <c r="A59" s="354">
        <v>38261</v>
      </c>
      <c r="B59">
        <v>7.4133329999999997</v>
      </c>
      <c r="C59">
        <v>7.9516660000000003</v>
      </c>
      <c r="D59">
        <v>6.34</v>
      </c>
      <c r="E59">
        <v>7.023333</v>
      </c>
      <c r="F59">
        <v>3.1481539999999999</v>
      </c>
      <c r="G59">
        <v>241965000</v>
      </c>
      <c r="J59" s="354">
        <v>36920</v>
      </c>
      <c r="K59">
        <v>4.0416660000000002</v>
      </c>
      <c r="L59">
        <v>4.1124999999999998</v>
      </c>
      <c r="M59">
        <v>3.8041659999999999</v>
      </c>
      <c r="N59">
        <v>3.8624999999999998</v>
      </c>
      <c r="O59">
        <v>1.731336</v>
      </c>
      <c r="P59">
        <v>38577600</v>
      </c>
      <c r="R59" s="273" t="e">
        <f>(O59/O58)*('16. câmbio USD-BRL'!#REF!/'16. câmbio USD-BRL'!#REF!)^-1-1</f>
        <v>#REF!</v>
      </c>
    </row>
    <row r="60" spans="1:18" x14ac:dyDescent="0.2">
      <c r="A60" s="354">
        <v>38292</v>
      </c>
      <c r="B60">
        <v>7.0316660000000004</v>
      </c>
      <c r="C60">
        <v>8.7466659999999994</v>
      </c>
      <c r="D60">
        <v>6.9083329999999998</v>
      </c>
      <c r="E60">
        <v>8.6333330000000004</v>
      </c>
      <c r="F60">
        <v>3.8698250000000001</v>
      </c>
      <c r="G60">
        <v>316762200</v>
      </c>
      <c r="J60" s="354">
        <v>36927</v>
      </c>
      <c r="K60">
        <v>3.8624999999999998</v>
      </c>
      <c r="L60">
        <v>3.9125000000000001</v>
      </c>
      <c r="M60">
        <v>3.6958329999999999</v>
      </c>
      <c r="N60">
        <v>3.779166</v>
      </c>
      <c r="O60">
        <v>1.6939820000000001</v>
      </c>
      <c r="P60">
        <v>21276000</v>
      </c>
      <c r="R60" s="273" t="e">
        <f>(O60/O59)*('16. câmbio USD-BRL'!#REF!/'16. câmbio USD-BRL'!#REF!)^-1-1</f>
        <v>#REF!</v>
      </c>
    </row>
    <row r="61" spans="1:18" x14ac:dyDescent="0.2">
      <c r="A61" s="354">
        <v>38322</v>
      </c>
      <c r="B61">
        <v>8.6666659999999993</v>
      </c>
      <c r="C61">
        <v>8.8183330000000009</v>
      </c>
      <c r="D61">
        <v>7.6916659999999997</v>
      </c>
      <c r="E61">
        <v>8.4649999999999999</v>
      </c>
      <c r="F61">
        <v>3.7943709999999999</v>
      </c>
      <c r="G61">
        <v>327110400</v>
      </c>
      <c r="J61" s="354">
        <v>36934</v>
      </c>
      <c r="K61">
        <v>3.779166</v>
      </c>
      <c r="L61">
        <v>3.8875000000000002</v>
      </c>
      <c r="M61">
        <v>3.6208330000000002</v>
      </c>
      <c r="N61">
        <v>3.6791659999999999</v>
      </c>
      <c r="O61">
        <v>1.649157</v>
      </c>
      <c r="P61">
        <v>26445600</v>
      </c>
      <c r="R61" s="273" t="e">
        <f>(O61/O60)*('16. câmbio USD-BRL'!#REF!/'16. câmbio USD-BRL'!#REF!)^-1-1</f>
        <v>#REF!</v>
      </c>
    </row>
    <row r="62" spans="1:18" x14ac:dyDescent="0.2">
      <c r="A62" s="354">
        <v>38353</v>
      </c>
      <c r="B62">
        <v>8.4583329999999997</v>
      </c>
      <c r="C62">
        <v>9.1999999999999993</v>
      </c>
      <c r="D62">
        <v>7.5166659999999998</v>
      </c>
      <c r="E62">
        <v>8.733333</v>
      </c>
      <c r="F62">
        <v>3.9146489999999998</v>
      </c>
      <c r="G62">
        <v>275868000</v>
      </c>
      <c r="J62" s="354">
        <v>36941</v>
      </c>
      <c r="K62">
        <v>3.7</v>
      </c>
      <c r="L62">
        <v>4.0833329999999997</v>
      </c>
      <c r="M62">
        <v>3.7</v>
      </c>
      <c r="N62">
        <v>4.0166659999999998</v>
      </c>
      <c r="O62">
        <v>1.8004389999999999</v>
      </c>
      <c r="P62">
        <v>64749600</v>
      </c>
      <c r="R62" s="273" t="e">
        <f>(O62/O61)*('16. câmbio USD-BRL'!#REF!/'16. câmbio USD-BRL'!#REF!)^-1-1</f>
        <v>#REF!</v>
      </c>
    </row>
    <row r="63" spans="1:18" x14ac:dyDescent="0.2">
      <c r="A63" s="354">
        <v>38384</v>
      </c>
      <c r="B63">
        <v>8.733333</v>
      </c>
      <c r="C63">
        <v>11.664999999999999</v>
      </c>
      <c r="D63">
        <v>8.6166660000000004</v>
      </c>
      <c r="E63">
        <v>11.2</v>
      </c>
      <c r="F63">
        <v>5.0203119999999997</v>
      </c>
      <c r="G63">
        <v>395625600</v>
      </c>
      <c r="J63" s="354">
        <v>36948</v>
      </c>
      <c r="K63">
        <v>4.0125000000000002</v>
      </c>
      <c r="L63">
        <v>4.0208329999999997</v>
      </c>
      <c r="M63">
        <v>3.8125</v>
      </c>
      <c r="N63">
        <v>4.0041659999999997</v>
      </c>
      <c r="O63">
        <v>1.7948360000000001</v>
      </c>
      <c r="P63">
        <v>44028000</v>
      </c>
      <c r="R63" s="273" t="e">
        <f>(O63/O62)*('16. câmbio USD-BRL'!#REF!/'16. câmbio USD-BRL'!#REF!)^-1-1</f>
        <v>#REF!</v>
      </c>
    </row>
    <row r="64" spans="1:18" x14ac:dyDescent="0.2">
      <c r="A64" s="354">
        <v>38412</v>
      </c>
      <c r="B64">
        <v>11.5</v>
      </c>
      <c r="C64">
        <v>11.948333</v>
      </c>
      <c r="D64">
        <v>9.7750000000000004</v>
      </c>
      <c r="E64">
        <v>10.55</v>
      </c>
      <c r="F64">
        <v>4.7289560000000002</v>
      </c>
      <c r="G64">
        <v>389185200</v>
      </c>
      <c r="J64" s="354">
        <v>36955</v>
      </c>
      <c r="K64">
        <v>4.0041659999999997</v>
      </c>
      <c r="L64">
        <v>4.1624999999999996</v>
      </c>
      <c r="M64">
        <v>3.8541660000000002</v>
      </c>
      <c r="N64">
        <v>3.8875000000000002</v>
      </c>
      <c r="O64">
        <v>1.742542</v>
      </c>
      <c r="P64">
        <v>40809600</v>
      </c>
      <c r="R64" s="273" t="e">
        <f>(O64/O63)*('16. câmbio USD-BRL'!#REF!/'16. câmbio USD-BRL'!#REF!)^-1-1</f>
        <v>#REF!</v>
      </c>
    </row>
    <row r="65" spans="1:18" x14ac:dyDescent="0.2">
      <c r="A65" s="354">
        <v>38443</v>
      </c>
      <c r="B65">
        <v>10.7</v>
      </c>
      <c r="C65">
        <v>10.816666</v>
      </c>
      <c r="D65">
        <v>8.3766660000000002</v>
      </c>
      <c r="E65">
        <v>9.1950000000000003</v>
      </c>
      <c r="F65">
        <v>4.1215869999999999</v>
      </c>
      <c r="G65">
        <v>401536800</v>
      </c>
      <c r="J65" s="354">
        <v>36962</v>
      </c>
      <c r="K65">
        <v>2.6666660000000002</v>
      </c>
      <c r="L65">
        <v>2.7708330000000001</v>
      </c>
      <c r="M65">
        <v>2.6124999999999998</v>
      </c>
      <c r="N65">
        <v>2.6208330000000002</v>
      </c>
      <c r="O65">
        <v>1.174768</v>
      </c>
      <c r="P65">
        <v>70005600</v>
      </c>
      <c r="R65" s="273" t="e">
        <f>(O65/O64)*('16. câmbio USD-BRL'!#REF!/'16. câmbio USD-BRL'!#REF!)^-1-1</f>
        <v>#REF!</v>
      </c>
    </row>
    <row r="66" spans="1:18" x14ac:dyDescent="0.2">
      <c r="A66" s="354">
        <v>38473</v>
      </c>
      <c r="B66">
        <v>7.7649999999999997</v>
      </c>
      <c r="C66">
        <v>7.8849999999999998</v>
      </c>
      <c r="D66">
        <v>6.5466660000000001</v>
      </c>
      <c r="E66">
        <v>7.1166660000000004</v>
      </c>
      <c r="F66">
        <v>3.189991</v>
      </c>
      <c r="G66">
        <v>479673000</v>
      </c>
      <c r="J66" s="354">
        <v>36969</v>
      </c>
      <c r="K66">
        <v>2.6291660000000001</v>
      </c>
      <c r="L66">
        <v>2.6666660000000002</v>
      </c>
      <c r="M66">
        <v>2.3333330000000001</v>
      </c>
      <c r="N66">
        <v>2.4624999999999999</v>
      </c>
      <c r="O66">
        <v>1.1037969999999999</v>
      </c>
      <c r="P66">
        <v>48448800</v>
      </c>
      <c r="R66" s="273" t="e">
        <f>(O66/O65)*('16. câmbio USD-BRL'!#REF!/'16. câmbio USD-BRL'!#REF!)^-1-1</f>
        <v>#REF!</v>
      </c>
    </row>
    <row r="67" spans="1:18" x14ac:dyDescent="0.2">
      <c r="A67" s="354">
        <v>38504</v>
      </c>
      <c r="B67">
        <v>7.1333330000000004</v>
      </c>
      <c r="C67">
        <v>7.483333</v>
      </c>
      <c r="D67">
        <v>6.273333</v>
      </c>
      <c r="E67">
        <v>6.3166659999999997</v>
      </c>
      <c r="F67">
        <v>2.8313969999999999</v>
      </c>
      <c r="G67">
        <v>353979000</v>
      </c>
      <c r="J67" s="354">
        <v>36976</v>
      </c>
      <c r="K67">
        <v>2.5375000000000001</v>
      </c>
      <c r="L67">
        <v>2.6208330000000002</v>
      </c>
      <c r="M67">
        <v>2.5</v>
      </c>
      <c r="N67">
        <v>2.6041660000000002</v>
      </c>
      <c r="O67">
        <v>1.167297</v>
      </c>
      <c r="P67">
        <v>40147200</v>
      </c>
      <c r="R67" s="273" t="e">
        <f>(O67/O66)*('16. câmbio USD-BRL'!#REF!/'16. câmbio USD-BRL'!#REF!)^-1-1</f>
        <v>#REF!</v>
      </c>
    </row>
    <row r="68" spans="1:18" x14ac:dyDescent="0.2">
      <c r="A68" s="354">
        <v>38534</v>
      </c>
      <c r="B68">
        <v>6.29</v>
      </c>
      <c r="C68">
        <v>7.6583329999999998</v>
      </c>
      <c r="D68">
        <v>5.8666660000000004</v>
      </c>
      <c r="E68">
        <v>7.466666</v>
      </c>
      <c r="F68">
        <v>3.3468749999999998</v>
      </c>
      <c r="G68">
        <v>350807400</v>
      </c>
      <c r="J68" s="354">
        <v>36983</v>
      </c>
      <c r="K68">
        <v>2.529166</v>
      </c>
      <c r="L68">
        <v>2.6041660000000002</v>
      </c>
      <c r="M68">
        <v>2.4458329999999999</v>
      </c>
      <c r="N68">
        <v>2.5833330000000001</v>
      </c>
      <c r="O68">
        <v>1.157959</v>
      </c>
      <c r="P68">
        <v>37857600</v>
      </c>
      <c r="R68" s="273" t="e">
        <f>(O68/O67)*('16. câmbio USD-BRL'!#REF!/'16. câmbio USD-BRL'!#REF!)^-1-1</f>
        <v>#REF!</v>
      </c>
    </row>
    <row r="69" spans="1:18" x14ac:dyDescent="0.2">
      <c r="A69" s="354">
        <v>38565</v>
      </c>
      <c r="B69">
        <v>7.4166660000000002</v>
      </c>
      <c r="C69">
        <v>8.3166659999999997</v>
      </c>
      <c r="D69">
        <v>7.2216659999999999</v>
      </c>
      <c r="E69">
        <v>7.7216659999999999</v>
      </c>
      <c r="F69">
        <v>3.461176</v>
      </c>
      <c r="G69">
        <v>388499400</v>
      </c>
      <c r="J69" s="354">
        <v>36990</v>
      </c>
      <c r="K69">
        <v>2.7208329999999998</v>
      </c>
      <c r="L69">
        <v>2.8791660000000001</v>
      </c>
      <c r="M69">
        <v>2.6</v>
      </c>
      <c r="N69">
        <v>2.779166</v>
      </c>
      <c r="O69">
        <v>1.2457400000000001</v>
      </c>
      <c r="P69">
        <v>18086400</v>
      </c>
      <c r="R69" s="273" t="e">
        <f>(O69/O68)*('16. câmbio USD-BRL'!#REF!/'16. câmbio USD-BRL'!#REF!)^-1-1</f>
        <v>#REF!</v>
      </c>
    </row>
    <row r="70" spans="1:18" x14ac:dyDescent="0.2">
      <c r="A70" s="354">
        <v>38596</v>
      </c>
      <c r="B70">
        <v>7.7350000000000003</v>
      </c>
      <c r="C70">
        <v>8.9649999999999999</v>
      </c>
      <c r="D70">
        <v>7.608333</v>
      </c>
      <c r="E70">
        <v>8.6283329999999996</v>
      </c>
      <c r="F70">
        <v>3.8675830000000002</v>
      </c>
      <c r="G70">
        <v>293671800</v>
      </c>
      <c r="J70" s="354">
        <v>36997</v>
      </c>
      <c r="K70">
        <v>2.6666660000000002</v>
      </c>
      <c r="L70">
        <v>2.9166660000000002</v>
      </c>
      <c r="M70">
        <v>2.5625</v>
      </c>
      <c r="N70">
        <v>2.5708329999999999</v>
      </c>
      <c r="O70">
        <v>1.1523559999999999</v>
      </c>
      <c r="P70">
        <v>32011200</v>
      </c>
      <c r="R70" s="273" t="e">
        <f>(O70/O69)*('16. câmbio USD-BRL'!#REF!/'16. câmbio USD-BRL'!#REF!)^-1-1</f>
        <v>#REF!</v>
      </c>
    </row>
    <row r="71" spans="1:18" x14ac:dyDescent="0.2">
      <c r="A71" s="354">
        <v>38626</v>
      </c>
      <c r="B71">
        <v>8.5749999999999993</v>
      </c>
      <c r="C71">
        <v>8.716666</v>
      </c>
      <c r="D71">
        <v>6.5416660000000002</v>
      </c>
      <c r="E71">
        <v>7.2083329999999997</v>
      </c>
      <c r="F71">
        <v>3.23108</v>
      </c>
      <c r="G71">
        <v>362894400</v>
      </c>
      <c r="J71" s="354">
        <v>37004</v>
      </c>
      <c r="K71">
        <v>2.5541659999999999</v>
      </c>
      <c r="L71">
        <v>2.8875000000000002</v>
      </c>
      <c r="M71">
        <v>2.5</v>
      </c>
      <c r="N71">
        <v>2.779166</v>
      </c>
      <c r="O71">
        <v>1.2457400000000001</v>
      </c>
      <c r="P71">
        <v>39088800</v>
      </c>
      <c r="R71" s="273" t="e">
        <f>(O71/O70)*('16. câmbio USD-BRL'!#REF!/'16. câmbio USD-BRL'!#REF!)^-1-1</f>
        <v>#REF!</v>
      </c>
    </row>
    <row r="72" spans="1:18" x14ac:dyDescent="0.2">
      <c r="A72" s="354">
        <v>38657</v>
      </c>
      <c r="B72">
        <v>7.2283330000000001</v>
      </c>
      <c r="C72">
        <v>7.8533330000000001</v>
      </c>
      <c r="D72">
        <v>7.0333329999999998</v>
      </c>
      <c r="E72">
        <v>7.6666660000000002</v>
      </c>
      <c r="F72">
        <v>3.4365239999999999</v>
      </c>
      <c r="G72">
        <v>296224200</v>
      </c>
      <c r="J72" s="354">
        <v>37011</v>
      </c>
      <c r="K72">
        <v>2.7875000000000001</v>
      </c>
      <c r="L72">
        <v>2.8875000000000002</v>
      </c>
      <c r="M72">
        <v>2.7875000000000001</v>
      </c>
      <c r="N72">
        <v>2.8624999999999998</v>
      </c>
      <c r="O72">
        <v>1.283093</v>
      </c>
      <c r="P72">
        <v>24249600</v>
      </c>
      <c r="R72" s="273" t="e">
        <f>(O72/O71)*('16. câmbio USD-BRL'!#REF!/'16. câmbio USD-BRL'!#REF!)^-1-1</f>
        <v>#REF!</v>
      </c>
    </row>
    <row r="73" spans="1:18" x14ac:dyDescent="0.2">
      <c r="A73" s="354">
        <v>38687</v>
      </c>
      <c r="B73">
        <v>7.7549999999999999</v>
      </c>
      <c r="C73">
        <v>8.4333329999999993</v>
      </c>
      <c r="D73">
        <v>7.67</v>
      </c>
      <c r="E73">
        <v>8.3833330000000004</v>
      </c>
      <c r="F73">
        <v>3.757765</v>
      </c>
      <c r="G73">
        <v>319996800</v>
      </c>
      <c r="J73" s="354">
        <v>37018</v>
      </c>
      <c r="K73">
        <v>2.8541660000000002</v>
      </c>
      <c r="L73">
        <v>2.8875000000000002</v>
      </c>
      <c r="M73">
        <v>2.6124999999999998</v>
      </c>
      <c r="N73">
        <v>2.6124999999999998</v>
      </c>
      <c r="O73">
        <v>1.171033</v>
      </c>
      <c r="P73">
        <v>18633600</v>
      </c>
      <c r="R73" s="273" t="e">
        <f>(O73/O72)*('16. câmbio USD-BRL'!#REF!/'16. câmbio USD-BRL'!#REF!)^-1-1</f>
        <v>#REF!</v>
      </c>
    </row>
    <row r="74" spans="1:18" x14ac:dyDescent="0.2">
      <c r="A74" s="354">
        <v>38718</v>
      </c>
      <c r="B74">
        <v>8.1666659999999993</v>
      </c>
      <c r="C74">
        <v>11.03</v>
      </c>
      <c r="D74">
        <v>8.0833329999999997</v>
      </c>
      <c r="E74">
        <v>10.831666</v>
      </c>
      <c r="F74">
        <v>4.8552090000000003</v>
      </c>
      <c r="G74">
        <v>396952200</v>
      </c>
      <c r="J74" s="354">
        <v>37025</v>
      </c>
      <c r="K74">
        <v>2.5625</v>
      </c>
      <c r="L74">
        <v>2.75</v>
      </c>
      <c r="M74">
        <v>2.5541659999999999</v>
      </c>
      <c r="N74">
        <v>2.75</v>
      </c>
      <c r="O74">
        <v>1.232666</v>
      </c>
      <c r="P74">
        <v>14983200</v>
      </c>
      <c r="R74" s="273" t="e">
        <f>(O74/O73)*('16. câmbio USD-BRL'!#REF!/'16. câmbio USD-BRL'!#REF!)^-1-1</f>
        <v>#REF!</v>
      </c>
    </row>
    <row r="75" spans="1:18" x14ac:dyDescent="0.2">
      <c r="A75" s="354">
        <v>38749</v>
      </c>
      <c r="B75">
        <v>10.813333</v>
      </c>
      <c r="C75">
        <v>11.3</v>
      </c>
      <c r="D75">
        <v>9.2666660000000007</v>
      </c>
      <c r="E75">
        <v>10.708333</v>
      </c>
      <c r="F75">
        <v>4.7999270000000003</v>
      </c>
      <c r="G75">
        <v>308811600</v>
      </c>
      <c r="J75" s="354">
        <v>37032</v>
      </c>
      <c r="K75">
        <v>2.75</v>
      </c>
      <c r="L75">
        <v>2.75</v>
      </c>
      <c r="M75">
        <v>2.5708329999999999</v>
      </c>
      <c r="N75">
        <v>2.6291660000000001</v>
      </c>
      <c r="O75">
        <v>1.1785030000000001</v>
      </c>
      <c r="P75">
        <v>48391200</v>
      </c>
      <c r="R75" s="273" t="e">
        <f>(O75/O74)*('16. câmbio USD-BRL'!#REF!/'16. câmbio USD-BRL'!#REF!)^-1-1</f>
        <v>#REF!</v>
      </c>
    </row>
    <row r="76" spans="1:18" x14ac:dyDescent="0.2">
      <c r="A76" s="354">
        <v>38777</v>
      </c>
      <c r="B76">
        <v>10.725</v>
      </c>
      <c r="C76">
        <v>11.566666</v>
      </c>
      <c r="D76">
        <v>9.9649999999999999</v>
      </c>
      <c r="E76">
        <v>11.341666</v>
      </c>
      <c r="F76">
        <v>5.0838150000000004</v>
      </c>
      <c r="G76">
        <v>297054000</v>
      </c>
      <c r="J76" s="354">
        <v>37039</v>
      </c>
      <c r="K76">
        <v>2.6291660000000001</v>
      </c>
      <c r="L76">
        <v>2.7541660000000001</v>
      </c>
      <c r="M76">
        <v>2.6041660000000002</v>
      </c>
      <c r="N76">
        <v>2.7541660000000001</v>
      </c>
      <c r="O76">
        <v>1.2345330000000001</v>
      </c>
      <c r="P76">
        <v>19584000</v>
      </c>
      <c r="R76" s="273" t="e">
        <f>(O76/O75)*('16. câmbio USD-BRL'!#REF!/'16. câmbio USD-BRL'!#REF!)^-1-1</f>
        <v>#REF!</v>
      </c>
    </row>
    <row r="77" spans="1:18" x14ac:dyDescent="0.2">
      <c r="A77" s="354">
        <v>38808</v>
      </c>
      <c r="B77">
        <v>11.5</v>
      </c>
      <c r="C77">
        <v>12.75</v>
      </c>
      <c r="D77">
        <v>11.256665999999999</v>
      </c>
      <c r="E77">
        <v>12.216666</v>
      </c>
      <c r="F77">
        <v>5.4760270000000002</v>
      </c>
      <c r="G77">
        <v>239913000</v>
      </c>
      <c r="J77" s="354">
        <v>37046</v>
      </c>
      <c r="K77">
        <v>2.7208329999999998</v>
      </c>
      <c r="L77">
        <v>2.9541659999999998</v>
      </c>
      <c r="M77">
        <v>2.6666660000000002</v>
      </c>
      <c r="N77">
        <v>2.9541659999999998</v>
      </c>
      <c r="O77">
        <v>1.324182</v>
      </c>
      <c r="P77">
        <v>25430400</v>
      </c>
      <c r="R77" s="273" t="e">
        <f>(O77/O76)*('16. câmbio USD-BRL'!#REF!/'16. câmbio USD-BRL'!#REF!)^-1-1</f>
        <v>#REF!</v>
      </c>
    </row>
    <row r="78" spans="1:18" x14ac:dyDescent="0.2">
      <c r="A78" s="354">
        <v>38838</v>
      </c>
      <c r="B78">
        <v>12.216666</v>
      </c>
      <c r="C78">
        <v>12.933332999999999</v>
      </c>
      <c r="D78">
        <v>10.483333</v>
      </c>
      <c r="E78">
        <v>11.366666</v>
      </c>
      <c r="F78">
        <v>5.0950189999999997</v>
      </c>
      <c r="G78">
        <v>5010032808</v>
      </c>
      <c r="J78" s="354">
        <v>37053</v>
      </c>
      <c r="K78">
        <v>2.4166660000000002</v>
      </c>
      <c r="L78">
        <v>2.5125000000000002</v>
      </c>
      <c r="M78">
        <v>2.295833</v>
      </c>
      <c r="N78">
        <v>2.4458329999999999</v>
      </c>
      <c r="O78">
        <v>1.0963259999999999</v>
      </c>
      <c r="P78">
        <v>40737600</v>
      </c>
      <c r="R78" s="273" t="e">
        <f>(O78/O77)*('16. câmbio USD-BRL'!#REF!/'16. câmbio USD-BRL'!#REF!)^-1-1</f>
        <v>#REF!</v>
      </c>
    </row>
    <row r="79" spans="1:18" x14ac:dyDescent="0.2">
      <c r="A79" s="354">
        <v>38869</v>
      </c>
      <c r="B79">
        <v>11.6</v>
      </c>
      <c r="C79">
        <v>12.133333</v>
      </c>
      <c r="D79">
        <v>9.3916660000000007</v>
      </c>
      <c r="E79">
        <v>11.583333</v>
      </c>
      <c r="F79">
        <v>5.1921390000000001</v>
      </c>
      <c r="G79">
        <v>4882907928</v>
      </c>
      <c r="J79" s="354">
        <v>37060</v>
      </c>
      <c r="K79">
        <v>2.4166660000000002</v>
      </c>
      <c r="L79">
        <v>2.5625</v>
      </c>
      <c r="M79">
        <v>2.3875000000000002</v>
      </c>
      <c r="N79">
        <v>2.4708329999999998</v>
      </c>
      <c r="O79">
        <v>1.107532</v>
      </c>
      <c r="P79">
        <v>42516000</v>
      </c>
      <c r="R79" s="273" t="e">
        <f>(O79/O78)*('16. câmbio USD-BRL'!#REF!/'16. câmbio USD-BRL'!#REF!)^-1-1</f>
        <v>#REF!</v>
      </c>
    </row>
    <row r="80" spans="1:18" x14ac:dyDescent="0.2">
      <c r="A80" s="354">
        <v>38899</v>
      </c>
      <c r="B80">
        <v>11.683332999999999</v>
      </c>
      <c r="C80">
        <v>12.1</v>
      </c>
      <c r="D80">
        <v>10.914999999999999</v>
      </c>
      <c r="E80">
        <v>11.616666</v>
      </c>
      <c r="F80">
        <v>5.2070809999999996</v>
      </c>
      <c r="G80">
        <v>3529935900</v>
      </c>
      <c r="J80" s="354">
        <v>37067</v>
      </c>
      <c r="K80">
        <v>2.545833</v>
      </c>
      <c r="L80">
        <v>2.545833</v>
      </c>
      <c r="M80">
        <v>2.3333330000000001</v>
      </c>
      <c r="N80">
        <v>2.3875000000000002</v>
      </c>
      <c r="O80">
        <v>1.0701780000000001</v>
      </c>
      <c r="P80">
        <v>36511200</v>
      </c>
      <c r="R80" s="273" t="e">
        <f>(O80/O79)*('16. câmbio USD-BRL'!#REF!/'16. câmbio USD-BRL'!#REF!)^-1-1</f>
        <v>#REF!</v>
      </c>
    </row>
    <row r="81" spans="1:18" x14ac:dyDescent="0.2">
      <c r="A81" s="354">
        <v>38930</v>
      </c>
      <c r="B81">
        <v>11.616666</v>
      </c>
      <c r="C81">
        <v>12.036666</v>
      </c>
      <c r="D81">
        <v>10.4</v>
      </c>
      <c r="E81">
        <v>10.433332999999999</v>
      </c>
      <c r="F81">
        <v>4.6766610000000002</v>
      </c>
      <c r="G81">
        <v>5286532164</v>
      </c>
      <c r="J81" s="354">
        <v>37074</v>
      </c>
      <c r="K81">
        <v>2.3624999999999998</v>
      </c>
      <c r="L81">
        <v>2.4166660000000002</v>
      </c>
      <c r="M81">
        <v>2.2124999999999999</v>
      </c>
      <c r="N81">
        <v>2.279166</v>
      </c>
      <c r="O81">
        <v>1.0216190000000001</v>
      </c>
      <c r="P81">
        <v>15681600</v>
      </c>
      <c r="R81" s="273" t="e">
        <f>(O81/O80)*('16. câmbio USD-BRL'!#REF!/'16. câmbio USD-BRL'!#REF!)^-1-1</f>
        <v>#REF!</v>
      </c>
    </row>
    <row r="82" spans="1:18" x14ac:dyDescent="0.2">
      <c r="A82" s="354">
        <v>38961</v>
      </c>
      <c r="B82">
        <v>10.5</v>
      </c>
      <c r="C82">
        <v>11.416665999999999</v>
      </c>
      <c r="D82">
        <v>9.608333</v>
      </c>
      <c r="E82">
        <v>10.333333</v>
      </c>
      <c r="F82">
        <v>4.6318359999999998</v>
      </c>
      <c r="G82">
        <v>960861132</v>
      </c>
      <c r="J82" s="354">
        <v>37081</v>
      </c>
      <c r="K82">
        <v>2.279166</v>
      </c>
      <c r="L82">
        <v>2.279166</v>
      </c>
      <c r="M82">
        <v>2.0375000000000001</v>
      </c>
      <c r="N82">
        <v>2.1375000000000002</v>
      </c>
      <c r="O82">
        <v>0.95811800000000003</v>
      </c>
      <c r="P82">
        <v>31046400</v>
      </c>
      <c r="R82" s="273" t="e">
        <f>(O82/O81)*('16. câmbio USD-BRL'!#REF!/'16. câmbio USD-BRL'!#REF!)^-1-1</f>
        <v>#REF!</v>
      </c>
    </row>
    <row r="83" spans="1:18" x14ac:dyDescent="0.2">
      <c r="A83" s="354">
        <v>38991</v>
      </c>
      <c r="B83">
        <v>10.35</v>
      </c>
      <c r="C83">
        <v>11.666665999999999</v>
      </c>
      <c r="D83">
        <v>10.058332999999999</v>
      </c>
      <c r="E83">
        <v>11.083333</v>
      </c>
      <c r="F83">
        <v>4.968019</v>
      </c>
      <c r="G83">
        <v>80681400</v>
      </c>
      <c r="J83" s="354">
        <v>37088</v>
      </c>
      <c r="K83">
        <v>2.1375000000000002</v>
      </c>
      <c r="L83">
        <v>2.3875000000000002</v>
      </c>
      <c r="M83">
        <v>2.1</v>
      </c>
      <c r="N83">
        <v>2.35</v>
      </c>
      <c r="O83">
        <v>1.053369</v>
      </c>
      <c r="P83">
        <v>27561600</v>
      </c>
      <c r="R83" s="273" t="e">
        <f>(O83/O82)*('16. câmbio USD-BRL'!#REF!/'16. câmbio USD-BRL'!#REF!)^-1-1</f>
        <v>#REF!</v>
      </c>
    </row>
    <row r="84" spans="1:18" x14ac:dyDescent="0.2">
      <c r="A84" s="354">
        <v>39022</v>
      </c>
      <c r="B84">
        <v>11.176666000000001</v>
      </c>
      <c r="C84">
        <v>12.016666000000001</v>
      </c>
      <c r="D84">
        <v>10.333333</v>
      </c>
      <c r="E84">
        <v>10.783333000000001</v>
      </c>
      <c r="F84">
        <v>4.8335439999999998</v>
      </c>
      <c r="G84">
        <v>130874400</v>
      </c>
      <c r="J84" s="354">
        <v>37095</v>
      </c>
      <c r="K84">
        <v>2.3333330000000001</v>
      </c>
      <c r="L84">
        <v>2.3916659999999998</v>
      </c>
      <c r="M84">
        <v>2.2250000000000001</v>
      </c>
      <c r="N84">
        <v>2.2250000000000001</v>
      </c>
      <c r="O84">
        <v>0.99733899999999998</v>
      </c>
      <c r="P84">
        <v>22348800</v>
      </c>
      <c r="R84" s="273" t="e">
        <f>(O84/O83)*('16. câmbio USD-BRL'!#REF!/'16. câmbio USD-BRL'!#REF!)^-1-1</f>
        <v>#REF!</v>
      </c>
    </row>
    <row r="85" spans="1:18" x14ac:dyDescent="0.2">
      <c r="A85" s="354">
        <v>39052</v>
      </c>
      <c r="B85">
        <v>10.535</v>
      </c>
      <c r="C85">
        <v>11.025</v>
      </c>
      <c r="D85">
        <v>10.258333</v>
      </c>
      <c r="E85">
        <v>10.75</v>
      </c>
      <c r="F85">
        <v>4.8186049999999998</v>
      </c>
      <c r="G85">
        <v>82391400</v>
      </c>
      <c r="J85" s="354">
        <v>37102</v>
      </c>
      <c r="K85">
        <v>2.279166</v>
      </c>
      <c r="L85">
        <v>2.2999999999999998</v>
      </c>
      <c r="M85">
        <v>2.1124999999999998</v>
      </c>
      <c r="N85">
        <v>2.233333</v>
      </c>
      <c r="O85">
        <v>1.001074</v>
      </c>
      <c r="P85">
        <v>13528800</v>
      </c>
      <c r="R85" s="273" t="e">
        <f>(O85/O84)*('16. câmbio USD-BRL'!#REF!/'16. câmbio USD-BRL'!#REF!)^-1-1</f>
        <v>#REF!</v>
      </c>
    </row>
    <row r="86" spans="1:18" x14ac:dyDescent="0.2">
      <c r="A86" s="354">
        <v>39083</v>
      </c>
      <c r="B86">
        <v>10.8</v>
      </c>
      <c r="C86">
        <v>11.526666000000001</v>
      </c>
      <c r="D86">
        <v>9.8783329999999996</v>
      </c>
      <c r="E86">
        <v>11.481666000000001</v>
      </c>
      <c r="F86">
        <v>5.146566</v>
      </c>
      <c r="G86">
        <v>179977800</v>
      </c>
      <c r="J86" s="354">
        <v>37109</v>
      </c>
      <c r="K86">
        <v>2.279166</v>
      </c>
      <c r="L86">
        <v>2.279166</v>
      </c>
      <c r="M86">
        <v>2.0958329999999998</v>
      </c>
      <c r="N86">
        <v>2.1375000000000002</v>
      </c>
      <c r="O86">
        <v>0.95811800000000003</v>
      </c>
      <c r="P86">
        <v>16156800</v>
      </c>
      <c r="R86" s="273" t="e">
        <f>(O86/O85)*('16. câmbio USD-BRL'!#REF!/'16. câmbio USD-BRL'!#REF!)^-1-1</f>
        <v>#REF!</v>
      </c>
    </row>
    <row r="87" spans="1:18" x14ac:dyDescent="0.2">
      <c r="A87" s="354">
        <v>39114</v>
      </c>
      <c r="B87">
        <v>11.508333</v>
      </c>
      <c r="C87">
        <v>13.533333000000001</v>
      </c>
      <c r="D87">
        <v>11.508333</v>
      </c>
      <c r="E87">
        <v>12.35</v>
      </c>
      <c r="F87">
        <v>5.5357909999999997</v>
      </c>
      <c r="G87">
        <v>251400000</v>
      </c>
      <c r="J87" s="354">
        <v>37116</v>
      </c>
      <c r="K87">
        <v>2.1375000000000002</v>
      </c>
      <c r="L87">
        <v>2.1625000000000001</v>
      </c>
      <c r="M87">
        <v>2.029166</v>
      </c>
      <c r="N87">
        <v>2.0333329999999998</v>
      </c>
      <c r="O87">
        <v>0.91142599999999996</v>
      </c>
      <c r="P87">
        <v>42501600</v>
      </c>
      <c r="R87" s="273" t="e">
        <f>(O87/O86)*('16. câmbio USD-BRL'!#REF!/'16. câmbio USD-BRL'!#REF!)^-1-1</f>
        <v>#REF!</v>
      </c>
    </row>
    <row r="88" spans="1:18" x14ac:dyDescent="0.2">
      <c r="A88" s="354">
        <v>39142</v>
      </c>
      <c r="B88">
        <v>12.033333000000001</v>
      </c>
      <c r="C88">
        <v>14.895</v>
      </c>
      <c r="D88">
        <v>11.333333</v>
      </c>
      <c r="E88">
        <v>14.808332999999999</v>
      </c>
      <c r="F88">
        <v>6.637721</v>
      </c>
      <c r="G88">
        <v>173606400</v>
      </c>
      <c r="J88" s="354">
        <v>37123</v>
      </c>
      <c r="K88">
        <v>2.0333329999999998</v>
      </c>
      <c r="L88">
        <v>2.0791659999999998</v>
      </c>
      <c r="M88">
        <v>1.9708330000000001</v>
      </c>
      <c r="N88">
        <v>2</v>
      </c>
      <c r="O88">
        <v>0.89648499999999998</v>
      </c>
      <c r="P88">
        <v>18108000</v>
      </c>
      <c r="R88" s="273" t="e">
        <f>(O88/O87)*('16. câmbio USD-BRL'!#REF!/'16. câmbio USD-BRL'!#REF!)^-1-1</f>
        <v>#REF!</v>
      </c>
    </row>
    <row r="89" spans="1:18" x14ac:dyDescent="0.2">
      <c r="A89" s="354">
        <v>39173</v>
      </c>
      <c r="B89">
        <v>14.808332999999999</v>
      </c>
      <c r="C89">
        <v>15.164999999999999</v>
      </c>
      <c r="D89">
        <v>14.316666</v>
      </c>
      <c r="E89">
        <v>14.833333</v>
      </c>
      <c r="F89">
        <v>6.6489269999999996</v>
      </c>
      <c r="G89">
        <v>98880000</v>
      </c>
      <c r="J89" s="354">
        <v>37130</v>
      </c>
      <c r="K89">
        <v>2</v>
      </c>
      <c r="L89">
        <v>2.029166</v>
      </c>
      <c r="M89">
        <v>1.933333</v>
      </c>
      <c r="N89">
        <v>1.979166</v>
      </c>
      <c r="O89">
        <v>0.88714599999999999</v>
      </c>
      <c r="P89">
        <v>20253600</v>
      </c>
      <c r="R89" s="273" t="e">
        <f>(O89/O88)*('16. câmbio USD-BRL'!#REF!/'16. câmbio USD-BRL'!#REF!)^-1-1</f>
        <v>#REF!</v>
      </c>
    </row>
    <row r="90" spans="1:18" x14ac:dyDescent="0.2">
      <c r="A90" s="354">
        <v>39203</v>
      </c>
      <c r="B90">
        <v>14.498333000000001</v>
      </c>
      <c r="C90">
        <v>17.633333</v>
      </c>
      <c r="D90">
        <v>14.333333</v>
      </c>
      <c r="E90">
        <v>16.518332999999998</v>
      </c>
      <c r="F90">
        <v>7.4042139999999996</v>
      </c>
      <c r="G90">
        <v>130538400</v>
      </c>
      <c r="J90" s="354">
        <v>37137</v>
      </c>
      <c r="K90">
        <v>1.95</v>
      </c>
      <c r="L90">
        <v>2.0499999999999998</v>
      </c>
      <c r="M90">
        <v>1.933333</v>
      </c>
      <c r="N90">
        <v>1.9708330000000001</v>
      </c>
      <c r="O90">
        <v>0.88341099999999995</v>
      </c>
      <c r="P90">
        <v>13140000</v>
      </c>
      <c r="R90" s="273" t="e">
        <f>(O90/O89)*('16. câmbio USD-BRL'!#REF!/'16. câmbio USD-BRL'!#REF!)^-1-1</f>
        <v>#REF!</v>
      </c>
    </row>
    <row r="91" spans="1:18" x14ac:dyDescent="0.2">
      <c r="A91" s="354">
        <v>39234</v>
      </c>
      <c r="B91">
        <v>17.024999999999999</v>
      </c>
      <c r="C91">
        <v>17.416665999999999</v>
      </c>
      <c r="D91">
        <v>16.200001</v>
      </c>
      <c r="E91">
        <v>16.633333</v>
      </c>
      <c r="F91">
        <v>7.4557630000000001</v>
      </c>
      <c r="G91">
        <v>97900200</v>
      </c>
      <c r="J91" s="354">
        <v>37144</v>
      </c>
      <c r="K91">
        <v>1.983333</v>
      </c>
      <c r="L91">
        <v>2</v>
      </c>
      <c r="M91">
        <v>1.7208330000000001</v>
      </c>
      <c r="N91">
        <v>1.75</v>
      </c>
      <c r="O91">
        <v>0.78442400000000001</v>
      </c>
      <c r="P91">
        <v>15228000</v>
      </c>
      <c r="R91" s="273" t="e">
        <f>(O91/O90)*('16. câmbio USD-BRL'!#REF!/'16. câmbio USD-BRL'!#REF!)^-1-1</f>
        <v>#REF!</v>
      </c>
    </row>
    <row r="92" spans="1:18" x14ac:dyDescent="0.2">
      <c r="A92" s="354">
        <v>39264</v>
      </c>
      <c r="B92">
        <v>16.633333</v>
      </c>
      <c r="C92">
        <v>18.456666999999999</v>
      </c>
      <c r="D92">
        <v>16.48</v>
      </c>
      <c r="E92">
        <v>18.118334000000001</v>
      </c>
      <c r="F92">
        <v>8.1214049999999993</v>
      </c>
      <c r="G92">
        <v>108161400</v>
      </c>
      <c r="J92" s="354">
        <v>37151</v>
      </c>
      <c r="K92">
        <v>1.666666</v>
      </c>
      <c r="L92">
        <v>1.8333330000000001</v>
      </c>
      <c r="M92">
        <v>1.5541659999999999</v>
      </c>
      <c r="N92">
        <v>1.6</v>
      </c>
      <c r="O92">
        <v>0.71718800000000005</v>
      </c>
      <c r="P92">
        <v>47700000</v>
      </c>
      <c r="R92" s="273" t="e">
        <f>(O92/O91)*('16. câmbio USD-BRL'!#REF!/'16. câmbio USD-BRL'!#REF!)^-1-1</f>
        <v>#REF!</v>
      </c>
    </row>
    <row r="93" spans="1:18" x14ac:dyDescent="0.2">
      <c r="A93" s="354">
        <v>39295</v>
      </c>
      <c r="B93">
        <v>17.916665999999999</v>
      </c>
      <c r="C93">
        <v>18.618334000000001</v>
      </c>
      <c r="D93">
        <v>14.738333000000001</v>
      </c>
      <c r="E93">
        <v>18.556664999999999</v>
      </c>
      <c r="F93">
        <v>8.3178809999999999</v>
      </c>
      <c r="G93">
        <v>181889400</v>
      </c>
      <c r="J93" s="354">
        <v>37158</v>
      </c>
      <c r="K93">
        <v>1.6125</v>
      </c>
      <c r="L93">
        <v>1.65</v>
      </c>
      <c r="M93">
        <v>1.4750000000000001</v>
      </c>
      <c r="N93">
        <v>1.5</v>
      </c>
      <c r="O93">
        <v>0.67236300000000004</v>
      </c>
      <c r="P93">
        <v>29275200</v>
      </c>
      <c r="R93" s="273" t="e">
        <f>(O93/O92)*('16. câmbio USD-BRL'!#REF!/'16. câmbio USD-BRL'!#REF!)^-1-1</f>
        <v>#REF!</v>
      </c>
    </row>
    <row r="94" spans="1:18" x14ac:dyDescent="0.2">
      <c r="A94" s="354">
        <v>39326</v>
      </c>
      <c r="B94">
        <v>18.584999</v>
      </c>
      <c r="C94">
        <v>21.915001</v>
      </c>
      <c r="D94">
        <v>18.233333999999999</v>
      </c>
      <c r="E94">
        <v>21.475000000000001</v>
      </c>
      <c r="F94">
        <v>9.6260019999999997</v>
      </c>
      <c r="G94">
        <v>177145800</v>
      </c>
      <c r="J94" s="354">
        <v>37165</v>
      </c>
      <c r="K94">
        <v>1.5541659999999999</v>
      </c>
      <c r="L94">
        <v>1.5541659999999999</v>
      </c>
      <c r="M94">
        <v>1.4083330000000001</v>
      </c>
      <c r="N94">
        <v>1.4624999999999999</v>
      </c>
      <c r="O94">
        <v>0.65555399999999997</v>
      </c>
      <c r="P94">
        <v>31910400</v>
      </c>
      <c r="R94" s="273" t="e">
        <f>(O94/O93)*('16. câmbio USD-BRL'!#REF!/'16. câmbio USD-BRL'!#REF!)^-1-1</f>
        <v>#REF!</v>
      </c>
    </row>
    <row r="95" spans="1:18" x14ac:dyDescent="0.2">
      <c r="A95" s="354">
        <v>39356</v>
      </c>
      <c r="B95">
        <v>21.65</v>
      </c>
      <c r="C95">
        <v>24</v>
      </c>
      <c r="D95">
        <v>20.895</v>
      </c>
      <c r="E95">
        <v>23.081666999999999</v>
      </c>
      <c r="F95">
        <v>10.346177000000001</v>
      </c>
      <c r="G95">
        <v>207430800</v>
      </c>
      <c r="J95" s="354">
        <v>37172</v>
      </c>
      <c r="K95">
        <v>1.4708330000000001</v>
      </c>
      <c r="L95">
        <v>1.5</v>
      </c>
      <c r="M95">
        <v>1.4</v>
      </c>
      <c r="N95">
        <v>1.4875</v>
      </c>
      <c r="O95">
        <v>0.66676100000000005</v>
      </c>
      <c r="P95">
        <v>31176000</v>
      </c>
      <c r="R95" s="273" t="e">
        <f>(O95/O94)*('16. câmbio USD-BRL'!#REF!/'16. câmbio USD-BRL'!#REF!)^-1-1</f>
        <v>#REF!</v>
      </c>
    </row>
    <row r="96" spans="1:18" x14ac:dyDescent="0.2">
      <c r="A96" s="354">
        <v>39387</v>
      </c>
      <c r="B96">
        <v>22.584999</v>
      </c>
      <c r="C96">
        <v>22.898333000000001</v>
      </c>
      <c r="D96">
        <v>20.416665999999999</v>
      </c>
      <c r="E96">
        <v>22.75</v>
      </c>
      <c r="F96">
        <v>10.197509999999999</v>
      </c>
      <c r="G96">
        <v>193078200</v>
      </c>
      <c r="J96" s="354">
        <v>37179</v>
      </c>
      <c r="K96">
        <v>1.479166</v>
      </c>
      <c r="L96">
        <v>1.6291659999999999</v>
      </c>
      <c r="M96">
        <v>1.479166</v>
      </c>
      <c r="N96">
        <v>1.5</v>
      </c>
      <c r="O96">
        <v>0.67236300000000004</v>
      </c>
      <c r="P96">
        <v>72244799</v>
      </c>
      <c r="R96" s="273" t="e">
        <f>(O96/O95)*('16. câmbio USD-BRL'!#REF!/'16. câmbio USD-BRL'!#REF!)^-1-1</f>
        <v>#REF!</v>
      </c>
    </row>
    <row r="97" spans="1:18" x14ac:dyDescent="0.2">
      <c r="A97" s="354">
        <v>39417</v>
      </c>
      <c r="B97">
        <v>22.924999</v>
      </c>
      <c r="C97">
        <v>26.666665999999999</v>
      </c>
      <c r="D97">
        <v>8.7555549999999993</v>
      </c>
      <c r="E97">
        <v>8.7555549999999993</v>
      </c>
      <c r="F97">
        <v>3.9246089999999998</v>
      </c>
      <c r="G97">
        <v>206985600</v>
      </c>
      <c r="J97" s="354">
        <v>37186</v>
      </c>
      <c r="K97">
        <v>1.5041659999999999</v>
      </c>
      <c r="L97">
        <v>1.6166659999999999</v>
      </c>
      <c r="M97">
        <v>1.5</v>
      </c>
      <c r="N97">
        <v>1.6</v>
      </c>
      <c r="O97">
        <v>0.71718800000000005</v>
      </c>
      <c r="P97">
        <v>42120000</v>
      </c>
      <c r="R97" s="273" t="e">
        <f>(O97/O96)*('16. câmbio USD-BRL'!#REF!/'16. câmbio USD-BRL'!#REF!)^-1-1</f>
        <v>#REF!</v>
      </c>
    </row>
    <row r="98" spans="1:18" x14ac:dyDescent="0.2">
      <c r="A98" s="354">
        <v>39448</v>
      </c>
      <c r="B98">
        <v>8.7555549999999993</v>
      </c>
      <c r="C98">
        <v>27.625</v>
      </c>
      <c r="D98">
        <v>8.7555549999999993</v>
      </c>
      <c r="E98">
        <v>27.5</v>
      </c>
      <c r="F98">
        <v>12.326662000000001</v>
      </c>
      <c r="G98">
        <v>102665800</v>
      </c>
      <c r="J98" s="354">
        <v>37193</v>
      </c>
      <c r="K98">
        <v>1.5958330000000001</v>
      </c>
      <c r="L98">
        <v>1.6</v>
      </c>
      <c r="M98">
        <v>1.5208330000000001</v>
      </c>
      <c r="N98">
        <v>1.5333330000000001</v>
      </c>
      <c r="O98">
        <v>0.68730500000000005</v>
      </c>
      <c r="P98">
        <v>14140800</v>
      </c>
      <c r="R98" s="273" t="e">
        <f>(O98/O97)*('16. câmbio USD-BRL'!#REF!/'16. câmbio USD-BRL'!#REF!)^-1-1</f>
        <v>#REF!</v>
      </c>
    </row>
    <row r="99" spans="1:18" x14ac:dyDescent="0.2">
      <c r="A99" s="354">
        <v>39479</v>
      </c>
      <c r="B99">
        <v>28.85</v>
      </c>
      <c r="C99">
        <v>35.794998</v>
      </c>
      <c r="D99">
        <v>27.049999</v>
      </c>
      <c r="E99">
        <v>31.549999</v>
      </c>
      <c r="F99">
        <v>14.142041000000001</v>
      </c>
      <c r="G99">
        <v>115024800</v>
      </c>
      <c r="J99" s="354">
        <v>37200</v>
      </c>
      <c r="K99">
        <v>1.6166659999999999</v>
      </c>
      <c r="L99">
        <v>1.8875</v>
      </c>
      <c r="M99">
        <v>1.5833330000000001</v>
      </c>
      <c r="N99">
        <v>1.8374999999999999</v>
      </c>
      <c r="O99">
        <v>0.82364499999999996</v>
      </c>
      <c r="P99">
        <v>61142400</v>
      </c>
      <c r="R99" s="273" t="e">
        <f>(O99/O98)*('16. câmbio USD-BRL'!#REF!/'16. câmbio USD-BRL'!#REF!)^-1-1</f>
        <v>#REF!</v>
      </c>
    </row>
    <row r="100" spans="1:18" x14ac:dyDescent="0.2">
      <c r="A100" s="354">
        <v>39508</v>
      </c>
      <c r="B100">
        <v>31.799999</v>
      </c>
      <c r="C100">
        <v>33.744999</v>
      </c>
      <c r="D100">
        <v>29.4</v>
      </c>
      <c r="E100">
        <v>31.280000999999999</v>
      </c>
      <c r="F100">
        <v>14.021018</v>
      </c>
      <c r="G100">
        <v>92655800</v>
      </c>
      <c r="J100" s="354">
        <v>37207</v>
      </c>
      <c r="K100">
        <v>1.854166</v>
      </c>
      <c r="L100">
        <v>1.9708330000000001</v>
      </c>
      <c r="M100">
        <v>1.7541659999999999</v>
      </c>
      <c r="N100">
        <v>1.9708330000000001</v>
      </c>
      <c r="O100">
        <v>0.88341099999999995</v>
      </c>
      <c r="P100">
        <v>42516000</v>
      </c>
      <c r="R100" s="273" t="e">
        <f>(O100/O99)*('16. câmbio USD-BRL'!#REF!/'16. câmbio USD-BRL'!#REF!)^-1-1</f>
        <v>#REF!</v>
      </c>
    </row>
    <row r="101" spans="1:18" x14ac:dyDescent="0.2">
      <c r="A101" s="354">
        <v>39539</v>
      </c>
      <c r="B101">
        <v>31.635000000000002</v>
      </c>
      <c r="C101">
        <v>36.735000999999997</v>
      </c>
      <c r="D101">
        <v>31.15</v>
      </c>
      <c r="E101">
        <v>36.400002000000001</v>
      </c>
      <c r="F101">
        <v>16.316020999999999</v>
      </c>
      <c r="G101">
        <v>82239000</v>
      </c>
      <c r="J101" s="354">
        <v>37214</v>
      </c>
      <c r="K101">
        <v>2.1</v>
      </c>
      <c r="L101">
        <v>2.1375000000000002</v>
      </c>
      <c r="M101">
        <v>1.9708330000000001</v>
      </c>
      <c r="N101">
        <v>2.1124999999999998</v>
      </c>
      <c r="O101">
        <v>0.94691199999999998</v>
      </c>
      <c r="P101">
        <v>43185600</v>
      </c>
      <c r="R101" s="273" t="e">
        <f>(O101/O100)*('16. câmbio USD-BRL'!#REF!/'16. câmbio USD-BRL'!#REF!)^-1-1</f>
        <v>#REF!</v>
      </c>
    </row>
    <row r="102" spans="1:18" x14ac:dyDescent="0.2">
      <c r="A102" s="354">
        <v>39569</v>
      </c>
      <c r="B102">
        <v>36.400002000000001</v>
      </c>
      <c r="C102">
        <v>43.150002000000001</v>
      </c>
      <c r="D102">
        <v>35.290000999999997</v>
      </c>
      <c r="E102">
        <v>39.650002000000001</v>
      </c>
      <c r="F102">
        <v>18.179995000000002</v>
      </c>
      <c r="G102">
        <v>92185400</v>
      </c>
      <c r="J102" s="354">
        <v>37221</v>
      </c>
      <c r="K102">
        <v>2.1124999999999998</v>
      </c>
      <c r="L102">
        <v>2.1375000000000002</v>
      </c>
      <c r="M102">
        <v>1.8958330000000001</v>
      </c>
      <c r="N102">
        <v>1.9458329999999999</v>
      </c>
      <c r="O102">
        <v>0.87220399999999998</v>
      </c>
      <c r="P102">
        <v>42127200</v>
      </c>
      <c r="R102" s="273" t="e">
        <f>(O102/O101)*('16. câmbio USD-BRL'!#REF!/'16. câmbio USD-BRL'!#REF!)^-1-1</f>
        <v>#REF!</v>
      </c>
    </row>
    <row r="103" spans="1:18" x14ac:dyDescent="0.2">
      <c r="A103" s="354">
        <v>39600</v>
      </c>
      <c r="B103">
        <v>41.064999</v>
      </c>
      <c r="C103">
        <v>41.064999</v>
      </c>
      <c r="D103">
        <v>32.93</v>
      </c>
      <c r="E103">
        <v>35.740001999999997</v>
      </c>
      <c r="F103">
        <v>16.387217</v>
      </c>
      <c r="G103">
        <v>108907000</v>
      </c>
      <c r="J103" s="354">
        <v>37228</v>
      </c>
      <c r="K103">
        <v>2.029166</v>
      </c>
      <c r="L103">
        <v>2.1333329999999999</v>
      </c>
      <c r="M103">
        <v>1.9541660000000001</v>
      </c>
      <c r="N103">
        <v>2.1</v>
      </c>
      <c r="O103">
        <v>0.94130899999999995</v>
      </c>
      <c r="P103">
        <v>44272800</v>
      </c>
      <c r="R103" s="273" t="e">
        <f>(O103/O102)*('16. câmbio USD-BRL'!#REF!/'16. câmbio USD-BRL'!#REF!)^-1-1</f>
        <v>#REF!</v>
      </c>
    </row>
    <row r="104" spans="1:18" x14ac:dyDescent="0.2">
      <c r="A104" s="354">
        <v>39630</v>
      </c>
      <c r="B104">
        <v>34.654998999999997</v>
      </c>
      <c r="C104">
        <v>35.025002000000001</v>
      </c>
      <c r="D104">
        <v>27.415001</v>
      </c>
      <c r="E104">
        <v>30.65</v>
      </c>
      <c r="F104">
        <v>14.053388999999999</v>
      </c>
      <c r="G104">
        <v>127507400</v>
      </c>
      <c r="J104" s="354">
        <v>37235</v>
      </c>
      <c r="K104">
        <v>2.1041660000000002</v>
      </c>
      <c r="L104">
        <v>2.2124999999999999</v>
      </c>
      <c r="M104">
        <v>1.995833</v>
      </c>
      <c r="N104">
        <v>2</v>
      </c>
      <c r="O104">
        <v>0.89648499999999998</v>
      </c>
      <c r="P104">
        <v>34128000</v>
      </c>
      <c r="R104" s="273" t="e">
        <f>(O104/O103)*('16. câmbio USD-BRL'!#REF!/'16. câmbio USD-BRL'!#REF!)^-1-1</f>
        <v>#REF!</v>
      </c>
    </row>
    <row r="105" spans="1:18" x14ac:dyDescent="0.2">
      <c r="A105" s="354">
        <v>39661</v>
      </c>
      <c r="B105">
        <v>30.450001</v>
      </c>
      <c r="C105">
        <v>30.98</v>
      </c>
      <c r="D105">
        <v>24.57</v>
      </c>
      <c r="E105">
        <v>28.25</v>
      </c>
      <c r="F105">
        <v>12.952966</v>
      </c>
      <c r="G105">
        <v>108020200</v>
      </c>
      <c r="J105" s="354">
        <v>37242</v>
      </c>
      <c r="K105">
        <v>2.0541659999999999</v>
      </c>
      <c r="L105">
        <v>2.0583330000000002</v>
      </c>
      <c r="M105">
        <v>1.933333</v>
      </c>
      <c r="N105">
        <v>2.029166</v>
      </c>
      <c r="O105">
        <v>0.90955799999999998</v>
      </c>
      <c r="P105">
        <v>76485600</v>
      </c>
      <c r="R105" s="273" t="e">
        <f>(O105/O104)*('16. câmbio USD-BRL'!#REF!/'16. câmbio USD-BRL'!#REF!)^-1-1</f>
        <v>#REF!</v>
      </c>
    </row>
    <row r="106" spans="1:18" x14ac:dyDescent="0.2">
      <c r="A106" s="354">
        <v>39692</v>
      </c>
      <c r="B106">
        <v>28.25</v>
      </c>
      <c r="C106">
        <v>28.709999</v>
      </c>
      <c r="D106">
        <v>18.075001</v>
      </c>
      <c r="E106">
        <v>20.375</v>
      </c>
      <c r="F106">
        <v>9.3784279999999995</v>
      </c>
      <c r="G106">
        <v>175486200</v>
      </c>
      <c r="J106" s="354">
        <v>37249</v>
      </c>
      <c r="K106">
        <v>2.029166</v>
      </c>
      <c r="L106">
        <v>2.0625</v>
      </c>
      <c r="M106">
        <v>1.9916659999999999</v>
      </c>
      <c r="N106">
        <v>2.029166</v>
      </c>
      <c r="O106">
        <v>0.90955799999999998</v>
      </c>
      <c r="P106">
        <v>10958400</v>
      </c>
      <c r="R106" s="273" t="e">
        <f>(O106/O105)*('16. câmbio USD-BRL'!#REF!/'16. câmbio USD-BRL'!#REF!)^-1-1</f>
        <v>#REF!</v>
      </c>
    </row>
    <row r="107" spans="1:18" x14ac:dyDescent="0.2">
      <c r="A107" s="354">
        <v>39722</v>
      </c>
      <c r="B107">
        <v>20.100000000000001</v>
      </c>
      <c r="C107">
        <v>20.200001</v>
      </c>
      <c r="D107">
        <v>11.3</v>
      </c>
      <c r="E107">
        <v>14.355</v>
      </c>
      <c r="F107">
        <v>6.6074770000000003</v>
      </c>
      <c r="G107">
        <v>210743000</v>
      </c>
      <c r="J107" s="354">
        <v>37256</v>
      </c>
      <c r="K107">
        <v>2.0375000000000001</v>
      </c>
      <c r="L107">
        <v>2.1124999999999998</v>
      </c>
      <c r="M107">
        <v>2.029166</v>
      </c>
      <c r="N107">
        <v>2.1124999999999998</v>
      </c>
      <c r="O107">
        <v>0.94691199999999998</v>
      </c>
      <c r="P107">
        <v>37569600</v>
      </c>
      <c r="R107" s="273" t="e">
        <f>(O107/O106)*('16. câmbio USD-BRL'!#REF!/'16. câmbio USD-BRL'!#REF!)^-1-1</f>
        <v>#REF!</v>
      </c>
    </row>
    <row r="108" spans="1:18" x14ac:dyDescent="0.2">
      <c r="A108" s="354">
        <v>39753</v>
      </c>
      <c r="B108">
        <v>14.5</v>
      </c>
      <c r="C108">
        <v>15.9</v>
      </c>
      <c r="D108">
        <v>9.8800000000000008</v>
      </c>
      <c r="E108">
        <v>12.945</v>
      </c>
      <c r="F108">
        <v>5.9584669999999997</v>
      </c>
      <c r="G108">
        <v>117539400</v>
      </c>
      <c r="J108" s="354">
        <v>37263</v>
      </c>
      <c r="K108">
        <v>2.1124999999999998</v>
      </c>
      <c r="L108">
        <v>2.3374999999999999</v>
      </c>
      <c r="M108">
        <v>2.0375000000000001</v>
      </c>
      <c r="N108">
        <v>2.3333330000000001</v>
      </c>
      <c r="O108">
        <v>1.045898</v>
      </c>
      <c r="P108">
        <v>65008800</v>
      </c>
      <c r="R108" s="273" t="e">
        <f>(O108/O107)*('16. câmbio USD-BRL'!#REF!/'16. câmbio USD-BRL'!#REF!)^-1-1</f>
        <v>#REF!</v>
      </c>
    </row>
    <row r="109" spans="1:18" x14ac:dyDescent="0.2">
      <c r="A109" s="354">
        <v>39783</v>
      </c>
      <c r="B109">
        <v>12.49</v>
      </c>
      <c r="C109">
        <v>16.299999</v>
      </c>
      <c r="D109">
        <v>11.35</v>
      </c>
      <c r="E109">
        <v>14.5</v>
      </c>
      <c r="F109">
        <v>6.6742210000000002</v>
      </c>
      <c r="G109">
        <v>98691000</v>
      </c>
      <c r="J109" s="354">
        <v>37270</v>
      </c>
      <c r="K109">
        <v>2.3291659999999998</v>
      </c>
      <c r="L109">
        <v>2.4458329999999999</v>
      </c>
      <c r="M109">
        <v>2.25</v>
      </c>
      <c r="N109">
        <v>2.295833</v>
      </c>
      <c r="O109">
        <v>1.0290889999999999</v>
      </c>
      <c r="P109">
        <v>69134399</v>
      </c>
      <c r="R109" s="273" t="e">
        <f>(O109/O108)*('16. câmbio USD-BRL'!#REF!/'16. câmbio USD-BRL'!#REF!)^-1-1</f>
        <v>#REF!</v>
      </c>
    </row>
    <row r="110" spans="1:18" x14ac:dyDescent="0.2">
      <c r="A110" s="354">
        <v>39814</v>
      </c>
      <c r="B110">
        <v>14.5</v>
      </c>
      <c r="C110">
        <v>19.475000000000001</v>
      </c>
      <c r="D110">
        <v>14.5</v>
      </c>
      <c r="E110">
        <v>17.59</v>
      </c>
      <c r="F110">
        <v>8.0965190000000007</v>
      </c>
      <c r="G110">
        <v>136506800</v>
      </c>
      <c r="J110" s="354">
        <v>37277</v>
      </c>
      <c r="K110">
        <v>2.2833329999999998</v>
      </c>
      <c r="L110">
        <v>2.341666</v>
      </c>
      <c r="M110">
        <v>2.2000000000000002</v>
      </c>
      <c r="N110">
        <v>2.2208329999999998</v>
      </c>
      <c r="O110">
        <v>0.99547099999999999</v>
      </c>
      <c r="P110">
        <v>12780000</v>
      </c>
      <c r="R110" s="273" t="e">
        <f>(O110/O109)*('16. câmbio USD-BRL'!#REF!/'16. câmbio USD-BRL'!#REF!)^-1-1</f>
        <v>#REF!</v>
      </c>
    </row>
    <row r="111" spans="1:18" x14ac:dyDescent="0.2">
      <c r="A111" s="354">
        <v>39845</v>
      </c>
      <c r="B111">
        <v>17.344999000000001</v>
      </c>
      <c r="C111">
        <v>20.799999</v>
      </c>
      <c r="D111">
        <v>15.45</v>
      </c>
      <c r="E111">
        <v>15.675000000000001</v>
      </c>
      <c r="F111">
        <v>7.2150619999999996</v>
      </c>
      <c r="G111">
        <v>97677200</v>
      </c>
      <c r="J111" s="354">
        <v>37284</v>
      </c>
      <c r="K111">
        <v>2.2208329999999998</v>
      </c>
      <c r="L111">
        <v>2.25</v>
      </c>
      <c r="M111">
        <v>2.0333329999999998</v>
      </c>
      <c r="N111">
        <v>2.0833330000000001</v>
      </c>
      <c r="O111">
        <v>0.93383799999999995</v>
      </c>
      <c r="P111">
        <v>59904000</v>
      </c>
      <c r="R111" s="273" t="e">
        <f>(O111/O110)*('16. câmbio USD-BRL'!#REF!/'16. câmbio USD-BRL'!#REF!)^-1-1</f>
        <v>#REF!</v>
      </c>
    </row>
    <row r="112" spans="1:18" x14ac:dyDescent="0.2">
      <c r="A112" s="354">
        <v>39873</v>
      </c>
      <c r="B112">
        <v>15.45</v>
      </c>
      <c r="C112">
        <v>18.125</v>
      </c>
      <c r="D112">
        <v>14.545</v>
      </c>
      <c r="E112">
        <v>17.200001</v>
      </c>
      <c r="F112">
        <v>7.9170059999999998</v>
      </c>
      <c r="G112">
        <v>129784800</v>
      </c>
      <c r="J112" s="354">
        <v>37291</v>
      </c>
      <c r="K112">
        <v>2.0833330000000001</v>
      </c>
      <c r="L112">
        <v>2.216666</v>
      </c>
      <c r="M112">
        <v>2.0541659999999999</v>
      </c>
      <c r="N112">
        <v>2.0833330000000001</v>
      </c>
      <c r="O112">
        <v>0.93383799999999995</v>
      </c>
      <c r="P112">
        <v>43113600</v>
      </c>
      <c r="R112" s="273" t="e">
        <f>(O112/O111)*('16. câmbio USD-BRL'!#REF!/'16. câmbio USD-BRL'!#REF!)^-1-1</f>
        <v>#REF!</v>
      </c>
    </row>
    <row r="113" spans="1:18" x14ac:dyDescent="0.2">
      <c r="A113" s="354">
        <v>39904</v>
      </c>
      <c r="B113">
        <v>16.760000000000002</v>
      </c>
      <c r="C113">
        <v>20.5</v>
      </c>
      <c r="D113">
        <v>16.75</v>
      </c>
      <c r="E113">
        <v>20.135000000000002</v>
      </c>
      <c r="F113">
        <v>9.5521080000000005</v>
      </c>
      <c r="G113">
        <v>103291000</v>
      </c>
      <c r="J113" s="354">
        <v>37298</v>
      </c>
      <c r="K113">
        <v>2.0833330000000001</v>
      </c>
      <c r="L113">
        <v>2.3333330000000001</v>
      </c>
      <c r="M113">
        <v>2.0541659999999999</v>
      </c>
      <c r="N113">
        <v>2.2875000000000001</v>
      </c>
      <c r="O113">
        <v>1.0253540000000001</v>
      </c>
      <c r="P113">
        <v>22053600</v>
      </c>
      <c r="R113" s="273" t="e">
        <f>(O113/O112)*('16. câmbio USD-BRL'!#REF!/'16. câmbio USD-BRL'!#REF!)^-1-1</f>
        <v>#REF!</v>
      </c>
    </row>
    <row r="114" spans="1:18" x14ac:dyDescent="0.2">
      <c r="A114" s="354">
        <v>39934</v>
      </c>
      <c r="B114">
        <v>20.135000000000002</v>
      </c>
      <c r="C114">
        <v>24.25</v>
      </c>
      <c r="D114">
        <v>19.84</v>
      </c>
      <c r="E114">
        <v>24.25</v>
      </c>
      <c r="F114">
        <v>11.504279</v>
      </c>
      <c r="G114">
        <v>96751400</v>
      </c>
      <c r="J114" s="354">
        <v>37305</v>
      </c>
      <c r="K114">
        <v>2.2875000000000001</v>
      </c>
      <c r="L114">
        <v>2.2875000000000001</v>
      </c>
      <c r="M114">
        <v>2.0791659999999998</v>
      </c>
      <c r="N114">
        <v>2.1666660000000002</v>
      </c>
      <c r="O114">
        <v>0.97119100000000003</v>
      </c>
      <c r="P114">
        <v>84124800</v>
      </c>
      <c r="R114" s="273" t="e">
        <f>(O114/O113)*('16. câmbio USD-BRL'!#REF!/'16. câmbio USD-BRL'!#REF!)^-1-1</f>
        <v>#REF!</v>
      </c>
    </row>
    <row r="115" spans="1:18" x14ac:dyDescent="0.2">
      <c r="A115" s="354">
        <v>39965</v>
      </c>
      <c r="B115">
        <v>24.68</v>
      </c>
      <c r="C115">
        <v>25.74</v>
      </c>
      <c r="D115">
        <v>20.655000999999999</v>
      </c>
      <c r="E115">
        <v>21.809999000000001</v>
      </c>
      <c r="F115">
        <v>10.43844</v>
      </c>
      <c r="G115">
        <v>107357800</v>
      </c>
      <c r="J115" s="354">
        <v>37312</v>
      </c>
      <c r="K115">
        <v>2.2208329999999998</v>
      </c>
      <c r="L115">
        <v>2.4458329999999999</v>
      </c>
      <c r="M115">
        <v>2.2208329999999998</v>
      </c>
      <c r="N115">
        <v>2.3708330000000002</v>
      </c>
      <c r="O115">
        <v>1.0627070000000001</v>
      </c>
      <c r="P115">
        <v>47800800</v>
      </c>
      <c r="R115" s="273" t="e">
        <f>(O115/O114)*('16. câmbio USD-BRL'!#REF!/'16. câmbio USD-BRL'!#REF!)^-1-1</f>
        <v>#REF!</v>
      </c>
    </row>
    <row r="116" spans="1:18" x14ac:dyDescent="0.2">
      <c r="A116" s="354">
        <v>39995</v>
      </c>
      <c r="B116">
        <v>21.715</v>
      </c>
      <c r="C116">
        <v>24.200001</v>
      </c>
      <c r="D116">
        <v>19.549999</v>
      </c>
      <c r="E116">
        <v>24.030000999999999</v>
      </c>
      <c r="F116">
        <v>11.500949</v>
      </c>
      <c r="G116">
        <v>108761000</v>
      </c>
      <c r="J116" s="354">
        <v>37319</v>
      </c>
      <c r="K116">
        <v>2.3208329999999999</v>
      </c>
      <c r="L116">
        <v>2.5</v>
      </c>
      <c r="M116">
        <v>2.15</v>
      </c>
      <c r="N116">
        <v>2.4375</v>
      </c>
      <c r="O116">
        <v>1.0925910000000001</v>
      </c>
      <c r="P116">
        <v>42213600</v>
      </c>
      <c r="R116" s="273" t="e">
        <f>(O116/O115)*('16. câmbio USD-BRL'!#REF!/'16. câmbio USD-BRL'!#REF!)^-1-1</f>
        <v>#REF!</v>
      </c>
    </row>
    <row r="117" spans="1:18" x14ac:dyDescent="0.2">
      <c r="A117" s="354">
        <v>40026</v>
      </c>
      <c r="B117">
        <v>24.305</v>
      </c>
      <c r="C117">
        <v>26.139999</v>
      </c>
      <c r="D117">
        <v>23.799999</v>
      </c>
      <c r="E117">
        <v>24.51</v>
      </c>
      <c r="F117">
        <v>11.73068</v>
      </c>
      <c r="G117">
        <v>100940400</v>
      </c>
      <c r="J117" s="354">
        <v>37326</v>
      </c>
      <c r="K117">
        <v>2.4291659999999999</v>
      </c>
      <c r="L117">
        <v>2.7749999999999999</v>
      </c>
      <c r="M117">
        <v>2.420833</v>
      </c>
      <c r="N117">
        <v>2.7208329999999998</v>
      </c>
      <c r="O117">
        <v>1.219592</v>
      </c>
      <c r="P117">
        <v>88300800</v>
      </c>
      <c r="R117" s="273" t="e">
        <f>(O117/O116)*('16. câmbio USD-BRL'!#REF!/'16. câmbio USD-BRL'!#REF!)^-1-1</f>
        <v>#REF!</v>
      </c>
    </row>
    <row r="118" spans="1:18" x14ac:dyDescent="0.2">
      <c r="A118" s="354">
        <v>40057</v>
      </c>
      <c r="B118">
        <v>24.545000000000002</v>
      </c>
      <c r="C118">
        <v>27.9</v>
      </c>
      <c r="D118">
        <v>24.059999000000001</v>
      </c>
      <c r="E118">
        <v>27.190000999999999</v>
      </c>
      <c r="F118">
        <v>13.013350000000001</v>
      </c>
      <c r="G118">
        <v>82966000</v>
      </c>
      <c r="J118" s="354">
        <v>37333</v>
      </c>
      <c r="K118">
        <v>2.7291660000000002</v>
      </c>
      <c r="L118">
        <v>2.7458330000000002</v>
      </c>
      <c r="M118">
        <v>2.4125000000000001</v>
      </c>
      <c r="N118">
        <v>2.4708329999999998</v>
      </c>
      <c r="O118">
        <v>1.107532</v>
      </c>
      <c r="P118">
        <v>35164800</v>
      </c>
      <c r="R118" s="273" t="e">
        <f>(O118/O117)*('16. câmbio USD-BRL'!#REF!/'16. câmbio USD-BRL'!#REF!)^-1-1</f>
        <v>#REF!</v>
      </c>
    </row>
    <row r="119" spans="1:18" x14ac:dyDescent="0.2">
      <c r="A119" s="354">
        <v>40087</v>
      </c>
      <c r="B119">
        <v>26.950001</v>
      </c>
      <c r="C119">
        <v>32.849997999999999</v>
      </c>
      <c r="D119">
        <v>26</v>
      </c>
      <c r="E119">
        <v>29.15</v>
      </c>
      <c r="F119">
        <v>13.951420000000001</v>
      </c>
      <c r="G119">
        <v>80708600</v>
      </c>
      <c r="J119" s="354">
        <v>37340</v>
      </c>
      <c r="K119">
        <v>2.4874999999999998</v>
      </c>
      <c r="L119">
        <v>2.5</v>
      </c>
      <c r="M119">
        <v>2.2875000000000001</v>
      </c>
      <c r="N119">
        <v>2.3291659999999998</v>
      </c>
      <c r="O119">
        <v>1.04403</v>
      </c>
      <c r="P119">
        <v>44236800</v>
      </c>
      <c r="R119" s="273" t="e">
        <f>(O119/O118)*('16. câmbio USD-BRL'!#REF!/'16. câmbio USD-BRL'!#REF!)^-1-1</f>
        <v>#REF!</v>
      </c>
    </row>
    <row r="120" spans="1:18" x14ac:dyDescent="0.2">
      <c r="A120" s="354">
        <v>40118</v>
      </c>
      <c r="B120">
        <v>29.15</v>
      </c>
      <c r="C120">
        <v>30.780000999999999</v>
      </c>
      <c r="D120">
        <v>28.35</v>
      </c>
      <c r="E120">
        <v>29.25</v>
      </c>
      <c r="F120">
        <v>13.999280000000001</v>
      </c>
      <c r="G120">
        <v>75938200</v>
      </c>
      <c r="J120" s="354">
        <v>37347</v>
      </c>
      <c r="K120">
        <v>2.3208329999999999</v>
      </c>
      <c r="L120">
        <v>2.5166659999999998</v>
      </c>
      <c r="M120">
        <v>2.279166</v>
      </c>
      <c r="N120">
        <v>2.5</v>
      </c>
      <c r="O120">
        <v>1.120606</v>
      </c>
      <c r="P120">
        <v>60213600</v>
      </c>
      <c r="R120" s="273" t="e">
        <f>(O120/O119)*('16. câmbio USD-BRL'!#REF!/'16. câmbio USD-BRL'!#REF!)^-1-1</f>
        <v>#REF!</v>
      </c>
    </row>
    <row r="121" spans="1:18" x14ac:dyDescent="0.2">
      <c r="A121" s="354">
        <v>40148</v>
      </c>
      <c r="B121">
        <v>29.674999</v>
      </c>
      <c r="C121">
        <v>30.674999</v>
      </c>
      <c r="D121">
        <v>26.625</v>
      </c>
      <c r="E121">
        <v>27.614999999999998</v>
      </c>
      <c r="F121">
        <v>13.216756</v>
      </c>
      <c r="G121">
        <v>89534200</v>
      </c>
      <c r="J121" s="354">
        <v>37354</v>
      </c>
      <c r="K121">
        <v>2.483333</v>
      </c>
      <c r="L121">
        <v>2.6375000000000002</v>
      </c>
      <c r="M121">
        <v>2.420833</v>
      </c>
      <c r="N121">
        <v>2.6291660000000001</v>
      </c>
      <c r="O121">
        <v>1.1785030000000001</v>
      </c>
      <c r="P121">
        <v>24076800</v>
      </c>
      <c r="R121" s="273" t="e">
        <f>(O121/O120)*('16. câmbio USD-BRL'!#REF!/'16. câmbio USD-BRL'!#REF!)^-1-1</f>
        <v>#REF!</v>
      </c>
    </row>
    <row r="122" spans="1:18" x14ac:dyDescent="0.2">
      <c r="A122" s="354">
        <v>40179</v>
      </c>
      <c r="B122">
        <v>27.614999999999998</v>
      </c>
      <c r="C122">
        <v>29.695</v>
      </c>
      <c r="D122">
        <v>26.004999000000002</v>
      </c>
      <c r="E122">
        <v>27.5</v>
      </c>
      <c r="F122">
        <v>13.330176</v>
      </c>
      <c r="G122">
        <v>86564200</v>
      </c>
      <c r="J122" s="354">
        <v>37361</v>
      </c>
      <c r="K122">
        <v>2.5833330000000001</v>
      </c>
      <c r="L122">
        <v>2.6625000000000001</v>
      </c>
      <c r="M122">
        <v>2.4708329999999998</v>
      </c>
      <c r="N122">
        <v>2.5791659999999998</v>
      </c>
      <c r="O122">
        <v>1.156091</v>
      </c>
      <c r="P122">
        <v>47815200</v>
      </c>
      <c r="R122" s="273" t="e">
        <f>(O122/O121)*('16. câmbio USD-BRL'!#REF!/'16. câmbio USD-BRL'!#REF!)^-1-1</f>
        <v>#REF!</v>
      </c>
    </row>
    <row r="123" spans="1:18" x14ac:dyDescent="0.2">
      <c r="A123" s="354">
        <v>40210</v>
      </c>
      <c r="B123">
        <v>27.774999999999999</v>
      </c>
      <c r="C123">
        <v>29.795000000000002</v>
      </c>
      <c r="D123">
        <v>26.370000999999998</v>
      </c>
      <c r="E123">
        <v>29.575001</v>
      </c>
      <c r="F123">
        <v>14.335998999999999</v>
      </c>
      <c r="G123">
        <v>80866000</v>
      </c>
      <c r="J123" s="354">
        <v>37368</v>
      </c>
      <c r="K123">
        <v>2.5499999999999998</v>
      </c>
      <c r="L123">
        <v>2.6375000000000002</v>
      </c>
      <c r="M123">
        <v>2.4541659999999998</v>
      </c>
      <c r="N123">
        <v>2.5166659999999998</v>
      </c>
      <c r="O123">
        <v>1.1280760000000001</v>
      </c>
      <c r="P123">
        <v>70286400</v>
      </c>
      <c r="R123" s="273" t="e">
        <f>(O123/O122)*('16. câmbio USD-BRL'!#REF!/'16. câmbio USD-BRL'!#REF!)^-1-1</f>
        <v>#REF!</v>
      </c>
    </row>
    <row r="124" spans="1:18" x14ac:dyDescent="0.2">
      <c r="A124" s="354">
        <v>40238</v>
      </c>
      <c r="B124">
        <v>29.92</v>
      </c>
      <c r="C124">
        <v>36.75</v>
      </c>
      <c r="D124">
        <v>29.495000999999998</v>
      </c>
      <c r="E124">
        <v>35.669998</v>
      </c>
      <c r="F124">
        <v>17.290451000000001</v>
      </c>
      <c r="G124">
        <v>116893400</v>
      </c>
      <c r="J124" s="354">
        <v>37375</v>
      </c>
      <c r="K124">
        <v>2.5</v>
      </c>
      <c r="L124">
        <v>2.6291660000000001</v>
      </c>
      <c r="M124">
        <v>2.4291659999999999</v>
      </c>
      <c r="N124">
        <v>2.4708329999999998</v>
      </c>
      <c r="O124">
        <v>1.107532</v>
      </c>
      <c r="P124">
        <v>39218400</v>
      </c>
      <c r="R124" s="273" t="e">
        <f>(O124/O123)*('16. câmbio USD-BRL'!#REF!/'16. câmbio USD-BRL'!#REF!)^-1-1</f>
        <v>#REF!</v>
      </c>
    </row>
    <row r="125" spans="1:18" x14ac:dyDescent="0.2">
      <c r="A125" s="354">
        <v>40269</v>
      </c>
      <c r="B125">
        <v>36.110000999999997</v>
      </c>
      <c r="C125">
        <v>36.979999999999997</v>
      </c>
      <c r="D125">
        <v>34.700001</v>
      </c>
      <c r="E125">
        <v>35.799999</v>
      </c>
      <c r="F125">
        <v>17.353463999999999</v>
      </c>
      <c r="G125">
        <v>14815200</v>
      </c>
      <c r="J125" s="354">
        <v>37382</v>
      </c>
      <c r="K125">
        <v>2.4458329999999999</v>
      </c>
      <c r="L125">
        <v>2.4708329999999998</v>
      </c>
      <c r="M125">
        <v>2.2250000000000001</v>
      </c>
      <c r="N125">
        <v>2.3875000000000002</v>
      </c>
      <c r="O125">
        <v>1.0701780000000001</v>
      </c>
      <c r="P125">
        <v>146505600</v>
      </c>
      <c r="R125" s="273" t="e">
        <f>(O125/O124)*('16. câmbio USD-BRL'!#REF!/'16. câmbio USD-BRL'!#REF!)^-1-1</f>
        <v>#REF!</v>
      </c>
    </row>
    <row r="126" spans="1:18" x14ac:dyDescent="0.2">
      <c r="A126" s="354">
        <v>40299</v>
      </c>
      <c r="B126">
        <v>35.799999</v>
      </c>
      <c r="C126">
        <v>35.799999</v>
      </c>
      <c r="D126">
        <v>35.799999</v>
      </c>
      <c r="E126">
        <v>35.799999</v>
      </c>
      <c r="F126">
        <v>17.353463999999999</v>
      </c>
      <c r="G126">
        <v>0</v>
      </c>
      <c r="J126" s="354">
        <v>37389</v>
      </c>
      <c r="K126">
        <v>2.4458329999999999</v>
      </c>
      <c r="L126">
        <v>2.8875000000000002</v>
      </c>
      <c r="M126">
        <v>2.3458329999999998</v>
      </c>
      <c r="N126">
        <v>2.7374999999999998</v>
      </c>
      <c r="O126">
        <v>1.227063</v>
      </c>
      <c r="P126">
        <v>132660000</v>
      </c>
      <c r="R126" s="273" t="e">
        <f>(O126/O125)*('16. câmbio USD-BRL'!#REF!/'16. câmbio USD-BRL'!#REF!)^-1-1</f>
        <v>#REF!</v>
      </c>
    </row>
    <row r="127" spans="1:18" x14ac:dyDescent="0.2">
      <c r="A127" s="354">
        <v>40330</v>
      </c>
      <c r="B127">
        <v>35.799999</v>
      </c>
      <c r="C127">
        <v>35.799999</v>
      </c>
      <c r="D127">
        <v>25.620000999999998</v>
      </c>
      <c r="E127">
        <v>26.299999</v>
      </c>
      <c r="F127">
        <v>13.125707</v>
      </c>
      <c r="G127">
        <v>54900037</v>
      </c>
      <c r="J127" s="354">
        <v>37396</v>
      </c>
      <c r="K127">
        <v>2.7374999999999998</v>
      </c>
      <c r="L127">
        <v>2.8041659999999999</v>
      </c>
      <c r="M127">
        <v>2.6124999999999998</v>
      </c>
      <c r="N127">
        <v>2.779166</v>
      </c>
      <c r="O127">
        <v>1.2457400000000001</v>
      </c>
      <c r="P127">
        <v>70905600</v>
      </c>
      <c r="R127" s="273" t="e">
        <f>(O127/O126)*('16. câmbio USD-BRL'!#REF!/'16. câmbio USD-BRL'!#REF!)^-1-1</f>
        <v>#REF!</v>
      </c>
    </row>
    <row r="128" spans="1:18" x14ac:dyDescent="0.2">
      <c r="A128" s="354">
        <v>40360</v>
      </c>
      <c r="B128">
        <v>26.32</v>
      </c>
      <c r="C128">
        <v>29.940000999999999</v>
      </c>
      <c r="D128">
        <v>25.700001</v>
      </c>
      <c r="E128">
        <v>29.24</v>
      </c>
      <c r="F128">
        <v>14.59299</v>
      </c>
      <c r="G128">
        <v>79522400</v>
      </c>
      <c r="J128" s="354">
        <v>37403</v>
      </c>
      <c r="K128">
        <v>2.7583329999999999</v>
      </c>
      <c r="L128">
        <v>2.8</v>
      </c>
      <c r="M128">
        <v>2.6333329999999999</v>
      </c>
      <c r="N128">
        <v>2.6833330000000002</v>
      </c>
      <c r="O128">
        <v>1.2027829999999999</v>
      </c>
      <c r="P128">
        <v>61113600</v>
      </c>
      <c r="R128" s="273" t="e">
        <f>(O128/O127)*('16. câmbio USD-BRL'!#REF!/'16. câmbio USD-BRL'!#REF!)^-1-1</f>
        <v>#REF!</v>
      </c>
    </row>
    <row r="129" spans="1:18" x14ac:dyDescent="0.2">
      <c r="A129" s="354">
        <v>40391</v>
      </c>
      <c r="B129">
        <v>29.549999</v>
      </c>
      <c r="C129">
        <v>30.67</v>
      </c>
      <c r="D129">
        <v>26.66</v>
      </c>
      <c r="E129">
        <v>26.9</v>
      </c>
      <c r="F129">
        <v>13.425152000000001</v>
      </c>
      <c r="G129">
        <v>66584900</v>
      </c>
      <c r="J129" s="354">
        <v>37410</v>
      </c>
      <c r="K129">
        <v>2.6291660000000001</v>
      </c>
      <c r="L129">
        <v>2.6958329999999999</v>
      </c>
      <c r="M129">
        <v>2.4375</v>
      </c>
      <c r="N129">
        <v>2.5208330000000001</v>
      </c>
      <c r="O129">
        <v>1.1299440000000001</v>
      </c>
      <c r="P129">
        <v>56037600</v>
      </c>
      <c r="R129" s="273" t="e">
        <f>(O129/O128)*('16. câmbio USD-BRL'!#REF!/'16. câmbio USD-BRL'!#REF!)^-1-1</f>
        <v>#REF!</v>
      </c>
    </row>
    <row r="130" spans="1:18" x14ac:dyDescent="0.2">
      <c r="A130" s="354">
        <v>40422</v>
      </c>
      <c r="B130">
        <v>27.299999</v>
      </c>
      <c r="C130">
        <v>29.76</v>
      </c>
      <c r="D130">
        <v>27.18</v>
      </c>
      <c r="E130">
        <v>29.33</v>
      </c>
      <c r="F130">
        <v>14.637907999999999</v>
      </c>
      <c r="G130">
        <v>55052400</v>
      </c>
      <c r="J130" s="354">
        <v>37417</v>
      </c>
      <c r="K130">
        <v>2.5208330000000001</v>
      </c>
      <c r="L130">
        <v>2.6375000000000002</v>
      </c>
      <c r="M130">
        <v>2.404166</v>
      </c>
      <c r="N130">
        <v>2.420833</v>
      </c>
      <c r="O130">
        <v>1.0851200000000001</v>
      </c>
      <c r="P130">
        <v>76521600</v>
      </c>
      <c r="R130" s="273" t="e">
        <f>(O130/O129)*('16. câmbio USD-BRL'!#REF!/'16. câmbio USD-BRL'!#REF!)^-1-1</f>
        <v>#REF!</v>
      </c>
    </row>
    <row r="131" spans="1:18" x14ac:dyDescent="0.2">
      <c r="A131" s="354">
        <v>40452</v>
      </c>
      <c r="B131">
        <v>29.33</v>
      </c>
      <c r="C131">
        <v>29.65</v>
      </c>
      <c r="D131">
        <v>27.209999</v>
      </c>
      <c r="E131">
        <v>28.25</v>
      </c>
      <c r="F131">
        <v>14.098907000000001</v>
      </c>
      <c r="G131">
        <v>61278000</v>
      </c>
      <c r="J131" s="354">
        <v>37424</v>
      </c>
      <c r="K131">
        <v>2.4916659999999999</v>
      </c>
      <c r="L131">
        <v>2.5541659999999999</v>
      </c>
      <c r="M131">
        <v>2.0666660000000001</v>
      </c>
      <c r="N131">
        <v>2.1375000000000002</v>
      </c>
      <c r="O131">
        <v>0.95811800000000003</v>
      </c>
      <c r="P131">
        <v>59644800</v>
      </c>
      <c r="R131" s="273" t="e">
        <f>(O131/O130)*('16. câmbio USD-BRL'!#REF!/'16. câmbio USD-BRL'!#REF!)^-1-1</f>
        <v>#REF!</v>
      </c>
    </row>
    <row r="132" spans="1:18" x14ac:dyDescent="0.2">
      <c r="A132" s="354">
        <v>40483</v>
      </c>
      <c r="B132">
        <v>28.15</v>
      </c>
      <c r="C132">
        <v>30.1</v>
      </c>
      <c r="D132">
        <v>26.110001</v>
      </c>
      <c r="E132">
        <v>26.110001</v>
      </c>
      <c r="F132">
        <v>13.030882999999999</v>
      </c>
      <c r="G132">
        <v>50112900</v>
      </c>
      <c r="J132" s="354">
        <v>37431</v>
      </c>
      <c r="K132">
        <v>2.1958329999999999</v>
      </c>
      <c r="L132">
        <v>2.5083329999999999</v>
      </c>
      <c r="M132">
        <v>2.0833330000000001</v>
      </c>
      <c r="N132">
        <v>2.4541659999999998</v>
      </c>
      <c r="O132">
        <v>1.100061</v>
      </c>
      <c r="P132">
        <v>81403200</v>
      </c>
      <c r="R132" s="273" t="e">
        <f>(O132/O131)*('16. câmbio USD-BRL'!#REF!/'16. câmbio USD-BRL'!#REF!)^-1-1</f>
        <v>#REF!</v>
      </c>
    </row>
    <row r="133" spans="1:18" x14ac:dyDescent="0.2">
      <c r="A133" s="354">
        <v>40513</v>
      </c>
      <c r="B133">
        <v>26.58</v>
      </c>
      <c r="C133">
        <v>28.6</v>
      </c>
      <c r="D133">
        <v>26.290001</v>
      </c>
      <c r="E133">
        <v>26.67</v>
      </c>
      <c r="F133">
        <v>13.310364999999999</v>
      </c>
      <c r="G133">
        <v>51225500</v>
      </c>
      <c r="J133" s="354">
        <v>37438</v>
      </c>
      <c r="K133">
        <v>2.545833</v>
      </c>
      <c r="L133">
        <v>2.779166</v>
      </c>
      <c r="M133">
        <v>2.5</v>
      </c>
      <c r="N133">
        <v>2.654166</v>
      </c>
      <c r="O133">
        <v>1.1897089999999999</v>
      </c>
      <c r="P133">
        <v>76233600</v>
      </c>
      <c r="R133" s="273" t="e">
        <f>(O133/O132)*('16. câmbio USD-BRL'!#REF!/'16. câmbio USD-BRL'!#REF!)^-1-1</f>
        <v>#REF!</v>
      </c>
    </row>
    <row r="134" spans="1:18" x14ac:dyDescent="0.2">
      <c r="A134" s="354">
        <v>40544</v>
      </c>
      <c r="B134">
        <v>27</v>
      </c>
      <c r="C134">
        <v>30.34</v>
      </c>
      <c r="D134">
        <v>27</v>
      </c>
      <c r="E134">
        <v>27.700001</v>
      </c>
      <c r="F134">
        <v>13.824411</v>
      </c>
      <c r="G134">
        <v>65079400</v>
      </c>
      <c r="J134" s="354">
        <v>37445</v>
      </c>
      <c r="K134">
        <v>2.6666660000000002</v>
      </c>
      <c r="L134">
        <v>2.6875</v>
      </c>
      <c r="M134">
        <v>2.3833329999999999</v>
      </c>
      <c r="N134">
        <v>2.4916659999999999</v>
      </c>
      <c r="O134">
        <v>1.11687</v>
      </c>
      <c r="P134">
        <v>58348800</v>
      </c>
      <c r="R134" s="273" t="e">
        <f>(O134/O133)*('16. câmbio USD-BRL'!#REF!/'16. câmbio USD-BRL'!#REF!)^-1-1</f>
        <v>#REF!</v>
      </c>
    </row>
    <row r="135" spans="1:18" x14ac:dyDescent="0.2">
      <c r="A135" s="354">
        <v>40575</v>
      </c>
      <c r="B135">
        <v>27.77</v>
      </c>
      <c r="C135">
        <v>28.889999</v>
      </c>
      <c r="D135">
        <v>26.440000999999999</v>
      </c>
      <c r="E135">
        <v>26.65</v>
      </c>
      <c r="F135">
        <v>13.300383</v>
      </c>
      <c r="G135">
        <v>44484704</v>
      </c>
      <c r="J135" s="354">
        <v>37452</v>
      </c>
      <c r="K135">
        <v>2.5</v>
      </c>
      <c r="L135">
        <v>3.279166</v>
      </c>
      <c r="M135">
        <v>2.4458329999999999</v>
      </c>
      <c r="N135">
        <v>2.9458329999999999</v>
      </c>
      <c r="O135">
        <v>1.3204469999999999</v>
      </c>
      <c r="P135">
        <v>256420800</v>
      </c>
      <c r="R135" s="273" t="e">
        <f>(O135/O134)*('16. câmbio USD-BRL'!#REF!/'16. câmbio USD-BRL'!#REF!)^-1-1</f>
        <v>#REF!</v>
      </c>
    </row>
    <row r="136" spans="1:18" x14ac:dyDescent="0.2">
      <c r="A136" s="354">
        <v>40603</v>
      </c>
      <c r="B136">
        <v>26.799999</v>
      </c>
      <c r="C136">
        <v>27.299999</v>
      </c>
      <c r="D136">
        <v>25.309999000000001</v>
      </c>
      <c r="E136">
        <v>26.68</v>
      </c>
      <c r="F136">
        <v>13.315353999999999</v>
      </c>
      <c r="G136">
        <v>60717400</v>
      </c>
      <c r="J136" s="354">
        <v>37459</v>
      </c>
      <c r="K136">
        <v>2.9166660000000002</v>
      </c>
      <c r="L136">
        <v>3.0708329999999999</v>
      </c>
      <c r="M136">
        <v>2.4</v>
      </c>
      <c r="N136">
        <v>2.5</v>
      </c>
      <c r="O136">
        <v>1.120606</v>
      </c>
      <c r="P136">
        <v>97005600</v>
      </c>
      <c r="R136" s="273" t="e">
        <f>(O136/O135)*('16. câmbio USD-BRL'!#REF!/'16. câmbio USD-BRL'!#REF!)^-1-1</f>
        <v>#REF!</v>
      </c>
    </row>
    <row r="137" spans="1:18" x14ac:dyDescent="0.2">
      <c r="A137" s="354">
        <v>40634</v>
      </c>
      <c r="B137">
        <v>26.68</v>
      </c>
      <c r="C137">
        <v>27.450001</v>
      </c>
      <c r="D137">
        <v>23.73</v>
      </c>
      <c r="E137">
        <v>24.459999</v>
      </c>
      <c r="F137">
        <v>12.207406000000001</v>
      </c>
      <c r="G137">
        <v>58639200</v>
      </c>
      <c r="J137" s="354">
        <v>37466</v>
      </c>
      <c r="K137">
        <v>2.4916659999999999</v>
      </c>
      <c r="L137">
        <v>2.5208330000000001</v>
      </c>
      <c r="M137">
        <v>2.1375000000000002</v>
      </c>
      <c r="N137">
        <v>2.1791659999999999</v>
      </c>
      <c r="O137">
        <v>0.97679400000000005</v>
      </c>
      <c r="P137">
        <v>70358400</v>
      </c>
      <c r="R137" s="273" t="e">
        <f>(O137/O136)*('16. câmbio USD-BRL'!#REF!/'16. câmbio USD-BRL'!#REF!)^-1-1</f>
        <v>#REF!</v>
      </c>
    </row>
    <row r="138" spans="1:18" x14ac:dyDescent="0.2">
      <c r="A138" s="354">
        <v>40664</v>
      </c>
      <c r="B138">
        <v>23.559999000000001</v>
      </c>
      <c r="C138">
        <v>23.68</v>
      </c>
      <c r="D138">
        <v>21.52</v>
      </c>
      <c r="E138">
        <v>22.040001</v>
      </c>
      <c r="F138">
        <v>10.999642</v>
      </c>
      <c r="G138">
        <v>55906950</v>
      </c>
      <c r="J138" s="354">
        <v>37473</v>
      </c>
      <c r="K138">
        <v>2.0125000000000002</v>
      </c>
      <c r="L138">
        <v>2.4</v>
      </c>
      <c r="M138">
        <v>1.983333</v>
      </c>
      <c r="N138">
        <v>2.3333330000000001</v>
      </c>
      <c r="O138">
        <v>1.045898</v>
      </c>
      <c r="P138">
        <v>109670400</v>
      </c>
      <c r="R138" s="273" t="e">
        <f>(O138/O137)*('16. câmbio USD-BRL'!#REF!/'16. câmbio USD-BRL'!#REF!)^-1-1</f>
        <v>#REF!</v>
      </c>
    </row>
    <row r="139" spans="1:18" x14ac:dyDescent="0.2">
      <c r="A139" s="354">
        <v>40695</v>
      </c>
      <c r="B139">
        <v>21.959999</v>
      </c>
      <c r="C139">
        <v>22.15</v>
      </c>
      <c r="D139">
        <v>18.399999999999999</v>
      </c>
      <c r="E139">
        <v>19.190000999999999</v>
      </c>
      <c r="F139">
        <v>9.6740630000000003</v>
      </c>
      <c r="G139">
        <v>71320100</v>
      </c>
      <c r="J139" s="354">
        <v>37480</v>
      </c>
      <c r="K139">
        <v>2.3333330000000001</v>
      </c>
      <c r="L139">
        <v>2.3333330000000001</v>
      </c>
      <c r="M139">
        <v>1.9291659999999999</v>
      </c>
      <c r="N139">
        <v>2.1124999999999998</v>
      </c>
      <c r="O139">
        <v>0.94691199999999998</v>
      </c>
      <c r="P139">
        <v>67212000</v>
      </c>
      <c r="R139" s="273" t="e">
        <f>(O139/O138)*('16. câmbio USD-BRL'!#REF!/'16. câmbio USD-BRL'!#REF!)^-1-1</f>
        <v>#REF!</v>
      </c>
    </row>
    <row r="140" spans="1:18" x14ac:dyDescent="0.2">
      <c r="A140" s="354">
        <v>40725</v>
      </c>
      <c r="B140">
        <v>19.190000999999999</v>
      </c>
      <c r="C140">
        <v>19.799999</v>
      </c>
      <c r="D140">
        <v>15.91</v>
      </c>
      <c r="E140">
        <v>16.600000000000001</v>
      </c>
      <c r="F140">
        <v>8.3683910000000008</v>
      </c>
      <c r="G140">
        <v>55618109</v>
      </c>
      <c r="J140" s="354">
        <v>37487</v>
      </c>
      <c r="K140">
        <v>2.1124999999999998</v>
      </c>
      <c r="L140">
        <v>2.3333330000000001</v>
      </c>
      <c r="M140">
        <v>2.0541659999999999</v>
      </c>
      <c r="N140">
        <v>2.3125</v>
      </c>
      <c r="O140">
        <v>1.0365599999999999</v>
      </c>
      <c r="P140">
        <v>34380000</v>
      </c>
      <c r="R140" s="273" t="e">
        <f>(O140/O139)*('16. câmbio USD-BRL'!#REF!/'16. câmbio USD-BRL'!#REF!)^-1-1</f>
        <v>#REF!</v>
      </c>
    </row>
    <row r="141" spans="1:18" x14ac:dyDescent="0.2">
      <c r="A141" s="354">
        <v>40756</v>
      </c>
      <c r="B141">
        <v>16.299999</v>
      </c>
      <c r="C141">
        <v>16.399999999999999</v>
      </c>
      <c r="D141">
        <v>12.8</v>
      </c>
      <c r="E141">
        <v>15.8</v>
      </c>
      <c r="F141">
        <v>7.9650949999999998</v>
      </c>
      <c r="G141">
        <v>108340300</v>
      </c>
      <c r="J141" s="354">
        <v>37494</v>
      </c>
      <c r="K141">
        <v>2.3333330000000001</v>
      </c>
      <c r="L141">
        <v>2.4166660000000002</v>
      </c>
      <c r="M141">
        <v>2.2208329999999998</v>
      </c>
      <c r="N141">
        <v>2.25</v>
      </c>
      <c r="O141">
        <v>1.008545</v>
      </c>
      <c r="P141">
        <v>61329600</v>
      </c>
      <c r="R141" s="273" t="e">
        <f>(O141/O140)*('16. câmbio USD-BRL'!#REF!/'16. câmbio USD-BRL'!#REF!)^-1-1</f>
        <v>#REF!</v>
      </c>
    </row>
    <row r="142" spans="1:18" x14ac:dyDescent="0.2">
      <c r="A142" s="354">
        <v>40787</v>
      </c>
      <c r="B142">
        <v>16.010000000000002</v>
      </c>
      <c r="C142">
        <v>16.799999</v>
      </c>
      <c r="D142">
        <v>14.41</v>
      </c>
      <c r="E142">
        <v>14.76</v>
      </c>
      <c r="F142">
        <v>7.4408089999999998</v>
      </c>
      <c r="G142">
        <v>74454000</v>
      </c>
      <c r="J142" s="354">
        <v>37501</v>
      </c>
      <c r="K142">
        <v>2.2541660000000001</v>
      </c>
      <c r="L142">
        <v>2.295833</v>
      </c>
      <c r="M142">
        <v>2.108333</v>
      </c>
      <c r="N142">
        <v>2.1166659999999999</v>
      </c>
      <c r="O142">
        <v>0.94877900000000004</v>
      </c>
      <c r="P142">
        <v>31521600</v>
      </c>
      <c r="R142" s="273" t="e">
        <f>(O142/O141)*('16. câmbio USD-BRL'!#REF!/'16. câmbio USD-BRL'!#REF!)^-1-1</f>
        <v>#REF!</v>
      </c>
    </row>
    <row r="143" spans="1:18" x14ac:dyDescent="0.2">
      <c r="A143" s="354">
        <v>40817</v>
      </c>
      <c r="B143">
        <v>14.6</v>
      </c>
      <c r="C143">
        <v>16.629999000000002</v>
      </c>
      <c r="D143">
        <v>13.23</v>
      </c>
      <c r="E143">
        <v>16.399999999999999</v>
      </c>
      <c r="F143">
        <v>8.2675689999999999</v>
      </c>
      <c r="G143">
        <v>75529700</v>
      </c>
      <c r="J143" s="354">
        <v>37508</v>
      </c>
      <c r="K143">
        <v>2.1666660000000002</v>
      </c>
      <c r="L143">
        <v>2.1958329999999999</v>
      </c>
      <c r="M143">
        <v>2.0625</v>
      </c>
      <c r="N143">
        <v>2.1375000000000002</v>
      </c>
      <c r="O143">
        <v>0.95811800000000003</v>
      </c>
      <c r="P143">
        <v>29656800</v>
      </c>
      <c r="R143" s="273" t="e">
        <f>(O143/O142)*('16. câmbio USD-BRL'!#REF!/'16. câmbio USD-BRL'!#REF!)^-1-1</f>
        <v>#REF!</v>
      </c>
    </row>
    <row r="144" spans="1:18" x14ac:dyDescent="0.2">
      <c r="A144" s="354">
        <v>40848</v>
      </c>
      <c r="B144">
        <v>15.27</v>
      </c>
      <c r="C144">
        <v>16.989999999999998</v>
      </c>
      <c r="D144">
        <v>13.93</v>
      </c>
      <c r="E144">
        <v>14.75</v>
      </c>
      <c r="F144">
        <v>7.4357689999999996</v>
      </c>
      <c r="G144">
        <v>70100600</v>
      </c>
      <c r="J144" s="354">
        <v>37515</v>
      </c>
      <c r="K144">
        <v>2.1333329999999999</v>
      </c>
      <c r="L144">
        <v>2.1333329999999999</v>
      </c>
      <c r="M144">
        <v>1.8333330000000001</v>
      </c>
      <c r="N144">
        <v>1.9624999999999999</v>
      </c>
      <c r="O144">
        <v>0.87967499999999998</v>
      </c>
      <c r="P144">
        <v>52675200</v>
      </c>
      <c r="R144" s="273" t="e">
        <f>(O144/O143)*('16. câmbio USD-BRL'!#REF!/'16. câmbio USD-BRL'!#REF!)^-1-1</f>
        <v>#REF!</v>
      </c>
    </row>
    <row r="145" spans="1:18" x14ac:dyDescent="0.2">
      <c r="A145" s="354">
        <v>40878</v>
      </c>
      <c r="B145">
        <v>15.05</v>
      </c>
      <c r="C145">
        <v>15.84</v>
      </c>
      <c r="D145">
        <v>13.69</v>
      </c>
      <c r="E145">
        <v>14.98</v>
      </c>
      <c r="F145">
        <v>7.5517149999999997</v>
      </c>
      <c r="G145">
        <v>56585500</v>
      </c>
      <c r="J145" s="354">
        <v>37522</v>
      </c>
      <c r="K145">
        <v>1.8041659999999999</v>
      </c>
      <c r="L145">
        <v>2.029166</v>
      </c>
      <c r="M145">
        <v>1.779166</v>
      </c>
      <c r="N145">
        <v>1.8625</v>
      </c>
      <c r="O145">
        <v>0.83485100000000001</v>
      </c>
      <c r="P145">
        <v>51314400</v>
      </c>
      <c r="R145" s="273" t="e">
        <f>(O145/O144)*('16. câmbio USD-BRL'!#REF!/'16. câmbio USD-BRL'!#REF!)^-1-1</f>
        <v>#REF!</v>
      </c>
    </row>
    <row r="146" spans="1:18" x14ac:dyDescent="0.2">
      <c r="A146" s="354">
        <v>40909</v>
      </c>
      <c r="B146">
        <v>15.28</v>
      </c>
      <c r="C146">
        <v>18.600000000000001</v>
      </c>
      <c r="D146">
        <v>14.81</v>
      </c>
      <c r="E146">
        <v>18.25</v>
      </c>
      <c r="F146">
        <v>9.2001910000000002</v>
      </c>
      <c r="G146">
        <v>74433700</v>
      </c>
      <c r="J146" s="354">
        <v>37529</v>
      </c>
      <c r="K146">
        <v>1.8875</v>
      </c>
      <c r="L146">
        <v>1.8875</v>
      </c>
      <c r="M146">
        <v>1.620833</v>
      </c>
      <c r="N146">
        <v>1.8875</v>
      </c>
      <c r="O146">
        <v>0.84605699999999995</v>
      </c>
      <c r="P146">
        <v>74937600</v>
      </c>
      <c r="R146" s="273" t="e">
        <f>(O146/O145)*('16. câmbio USD-BRL'!#REF!/'16. câmbio USD-BRL'!#REF!)^-1-1</f>
        <v>#REF!</v>
      </c>
    </row>
    <row r="147" spans="1:18" x14ac:dyDescent="0.2">
      <c r="A147" s="354">
        <v>40940</v>
      </c>
      <c r="B147">
        <v>18.379999000000002</v>
      </c>
      <c r="C147">
        <v>18.850000000000001</v>
      </c>
      <c r="D147">
        <v>17.129999000000002</v>
      </c>
      <c r="E147">
        <v>17.510000000000002</v>
      </c>
      <c r="F147">
        <v>8.8271409999999992</v>
      </c>
      <c r="G147">
        <v>77670800</v>
      </c>
      <c r="J147" s="354">
        <v>37536</v>
      </c>
      <c r="K147">
        <v>1.916666</v>
      </c>
      <c r="L147">
        <v>1.916666</v>
      </c>
      <c r="M147">
        <v>1.7</v>
      </c>
      <c r="N147">
        <v>1.8291660000000001</v>
      </c>
      <c r="O147">
        <v>0.81991000000000003</v>
      </c>
      <c r="P147">
        <v>38527200</v>
      </c>
      <c r="R147" s="273" t="e">
        <f>(O147/O146)*('16. câmbio USD-BRL'!#REF!/'16. câmbio USD-BRL'!#REF!)^-1-1</f>
        <v>#REF!</v>
      </c>
    </row>
    <row r="148" spans="1:18" x14ac:dyDescent="0.2">
      <c r="A148" s="354">
        <v>40969</v>
      </c>
      <c r="B148">
        <v>17.68</v>
      </c>
      <c r="C148">
        <v>19.459999</v>
      </c>
      <c r="D148">
        <v>16.91</v>
      </c>
      <c r="E148">
        <v>17.219999000000001</v>
      </c>
      <c r="F148">
        <v>8.6809440000000002</v>
      </c>
      <c r="G148">
        <v>87719000</v>
      </c>
      <c r="J148" s="354">
        <v>37543</v>
      </c>
      <c r="K148">
        <v>1.7875000000000001</v>
      </c>
      <c r="L148">
        <v>1.9125000000000001</v>
      </c>
      <c r="M148">
        <v>1.666666</v>
      </c>
      <c r="N148">
        <v>1.8958330000000001</v>
      </c>
      <c r="O148">
        <v>0.84979300000000002</v>
      </c>
      <c r="P148">
        <v>65728800</v>
      </c>
      <c r="R148" s="273" t="e">
        <f>(O148/O147)*('16. câmbio USD-BRL'!#REF!/'16. câmbio USD-BRL'!#REF!)^-1-1</f>
        <v>#REF!</v>
      </c>
    </row>
    <row r="149" spans="1:18" x14ac:dyDescent="0.2">
      <c r="A149" s="354">
        <v>41000</v>
      </c>
      <c r="B149">
        <v>17.219999000000001</v>
      </c>
      <c r="C149">
        <v>17.77</v>
      </c>
      <c r="D149">
        <v>15.9</v>
      </c>
      <c r="E149">
        <v>16.350000000000001</v>
      </c>
      <c r="F149">
        <v>8.2423629999999992</v>
      </c>
      <c r="G149">
        <v>60085700</v>
      </c>
      <c r="J149" s="354">
        <v>37550</v>
      </c>
      <c r="K149">
        <v>1.9541660000000001</v>
      </c>
      <c r="L149">
        <v>2.3291659999999998</v>
      </c>
      <c r="M149">
        <v>1.8833329999999999</v>
      </c>
      <c r="N149">
        <v>2.1791659999999999</v>
      </c>
      <c r="O149">
        <v>0.97679400000000005</v>
      </c>
      <c r="P149">
        <v>86284800</v>
      </c>
      <c r="R149" s="273" t="e">
        <f>(O149/O148)*('16. câmbio USD-BRL'!#REF!/'16. câmbio USD-BRL'!#REF!)^-1-1</f>
        <v>#REF!</v>
      </c>
    </row>
    <row r="150" spans="1:18" x14ac:dyDescent="0.2">
      <c r="A150" s="354">
        <v>41030</v>
      </c>
      <c r="B150">
        <v>16.350000000000001</v>
      </c>
      <c r="C150">
        <v>16.469999000000001</v>
      </c>
      <c r="D150">
        <v>12.81</v>
      </c>
      <c r="E150">
        <v>12.99</v>
      </c>
      <c r="F150">
        <v>6.8823160000000003</v>
      </c>
      <c r="G150">
        <v>85400100</v>
      </c>
      <c r="J150" s="354">
        <v>37557</v>
      </c>
      <c r="K150">
        <v>2.1875</v>
      </c>
      <c r="L150">
        <v>2.2208329999999998</v>
      </c>
      <c r="M150">
        <v>2.029166</v>
      </c>
      <c r="N150">
        <v>2.0833330000000001</v>
      </c>
      <c r="O150">
        <v>0.93383799999999995</v>
      </c>
      <c r="P150">
        <v>69278400</v>
      </c>
      <c r="R150" s="273" t="e">
        <f>(O150/O149)*('16. câmbio USD-BRL'!#REF!/'16. câmbio USD-BRL'!#REF!)^-1-1</f>
        <v>#REF!</v>
      </c>
    </row>
    <row r="151" spans="1:18" x14ac:dyDescent="0.2">
      <c r="A151" s="354">
        <v>41061</v>
      </c>
      <c r="B151">
        <v>12.8</v>
      </c>
      <c r="C151">
        <v>13.1</v>
      </c>
      <c r="D151">
        <v>10.76</v>
      </c>
      <c r="E151">
        <v>11.38</v>
      </c>
      <c r="F151">
        <v>6.029312</v>
      </c>
      <c r="G151">
        <v>84661500</v>
      </c>
      <c r="J151" s="354">
        <v>37564</v>
      </c>
      <c r="K151">
        <v>2.1458330000000001</v>
      </c>
      <c r="L151">
        <v>2.3166660000000001</v>
      </c>
      <c r="M151">
        <v>2.0833330000000001</v>
      </c>
      <c r="N151">
        <v>2.2583329999999999</v>
      </c>
      <c r="O151">
        <v>1.0122800000000001</v>
      </c>
      <c r="P151">
        <v>50414400</v>
      </c>
      <c r="R151" s="273" t="e">
        <f>(O151/O150)*('16. câmbio USD-BRL'!#REF!/'16. câmbio USD-BRL'!#REF!)^-1-1</f>
        <v>#REF!</v>
      </c>
    </row>
    <row r="152" spans="1:18" x14ac:dyDescent="0.2">
      <c r="A152" s="354">
        <v>41091</v>
      </c>
      <c r="B152">
        <v>11.31</v>
      </c>
      <c r="C152">
        <v>12.71</v>
      </c>
      <c r="D152">
        <v>9</v>
      </c>
      <c r="E152">
        <v>10.53</v>
      </c>
      <c r="F152">
        <v>5.5789689999999998</v>
      </c>
      <c r="G152">
        <v>97432800</v>
      </c>
      <c r="J152" s="354">
        <v>37571</v>
      </c>
      <c r="K152">
        <v>2.2583329999999999</v>
      </c>
      <c r="L152">
        <v>2.4791660000000002</v>
      </c>
      <c r="M152">
        <v>2.029166</v>
      </c>
      <c r="N152">
        <v>2.4541659999999998</v>
      </c>
      <c r="O152">
        <v>1.100061</v>
      </c>
      <c r="P152">
        <v>92592000</v>
      </c>
      <c r="R152" s="273" t="e">
        <f>(O152/O151)*('16. câmbio USD-BRL'!#REF!/'16. câmbio USD-BRL'!#REF!)^-1-1</f>
        <v>#REF!</v>
      </c>
    </row>
    <row r="153" spans="1:18" x14ac:dyDescent="0.2">
      <c r="A153" s="354">
        <v>41122</v>
      </c>
      <c r="B153">
        <v>10.56</v>
      </c>
      <c r="C153">
        <v>11.99</v>
      </c>
      <c r="D153">
        <v>9.5500000000000007</v>
      </c>
      <c r="E153">
        <v>9.94</v>
      </c>
      <c r="F153">
        <v>5.2663760000000002</v>
      </c>
      <c r="G153">
        <v>142616000</v>
      </c>
      <c r="J153" s="354">
        <v>37578</v>
      </c>
      <c r="K153">
        <v>2.4458329999999999</v>
      </c>
      <c r="L153">
        <v>2.6375000000000002</v>
      </c>
      <c r="M153">
        <v>2.4458329999999999</v>
      </c>
      <c r="N153">
        <v>2.5541659999999999</v>
      </c>
      <c r="O153">
        <v>1.1448849999999999</v>
      </c>
      <c r="P153">
        <v>47671200</v>
      </c>
      <c r="R153" s="273" t="e">
        <f>(O153/O152)*('16. câmbio USD-BRL'!#REF!/'16. câmbio USD-BRL'!#REF!)^-1-1</f>
        <v>#REF!</v>
      </c>
    </row>
    <row r="154" spans="1:18" x14ac:dyDescent="0.2">
      <c r="A154" s="354">
        <v>41153</v>
      </c>
      <c r="B154">
        <v>10.09</v>
      </c>
      <c r="C154">
        <v>14.55</v>
      </c>
      <c r="D154">
        <v>9.5500000000000007</v>
      </c>
      <c r="E154">
        <v>11.42</v>
      </c>
      <c r="F154">
        <v>6.0505050000000002</v>
      </c>
      <c r="G154">
        <v>158907000</v>
      </c>
      <c r="J154" s="354">
        <v>37585</v>
      </c>
      <c r="K154">
        <v>2.5333329999999998</v>
      </c>
      <c r="L154">
        <v>2.7</v>
      </c>
      <c r="M154">
        <v>2.4541659999999998</v>
      </c>
      <c r="N154">
        <v>2.6958329999999999</v>
      </c>
      <c r="O154">
        <v>1.208386</v>
      </c>
      <c r="P154">
        <v>104954400</v>
      </c>
      <c r="R154" s="273" t="e">
        <f>(O154/O153)*('16. câmbio USD-BRL'!#REF!/'16. câmbio USD-BRL'!#REF!)^-1-1</f>
        <v>#REF!</v>
      </c>
    </row>
    <row r="155" spans="1:18" x14ac:dyDescent="0.2">
      <c r="A155" s="354">
        <v>41183</v>
      </c>
      <c r="B155">
        <v>11.5</v>
      </c>
      <c r="C155">
        <v>11.98</v>
      </c>
      <c r="D155">
        <v>10.78</v>
      </c>
      <c r="E155">
        <v>11.23</v>
      </c>
      <c r="F155">
        <v>5.9498389999999999</v>
      </c>
      <c r="G155">
        <v>94535600</v>
      </c>
      <c r="J155" s="354">
        <v>37592</v>
      </c>
      <c r="K155">
        <v>2.6875</v>
      </c>
      <c r="L155">
        <v>2.8041659999999999</v>
      </c>
      <c r="M155">
        <v>2.6166659999999999</v>
      </c>
      <c r="N155">
        <v>2.8041659999999999</v>
      </c>
      <c r="O155">
        <v>1.2569459999999999</v>
      </c>
      <c r="P155">
        <v>69429600</v>
      </c>
      <c r="R155" s="273" t="e">
        <f>(O155/O154)*('16. câmbio USD-BRL'!#REF!/'16. câmbio USD-BRL'!#REF!)^-1-1</f>
        <v>#REF!</v>
      </c>
    </row>
    <row r="156" spans="1:18" x14ac:dyDescent="0.2">
      <c r="A156" s="354">
        <v>41214</v>
      </c>
      <c r="B156">
        <v>11.18</v>
      </c>
      <c r="C156">
        <v>11.95</v>
      </c>
      <c r="D156">
        <v>9.82</v>
      </c>
      <c r="E156">
        <v>10.49</v>
      </c>
      <c r="F156">
        <v>5.5577750000000004</v>
      </c>
      <c r="G156">
        <v>108345500</v>
      </c>
      <c r="J156" s="354">
        <v>37599</v>
      </c>
      <c r="K156">
        <v>2.8041659999999999</v>
      </c>
      <c r="L156">
        <v>2.8624999999999998</v>
      </c>
      <c r="M156">
        <v>2.7541660000000001</v>
      </c>
      <c r="N156">
        <v>2.8624999999999998</v>
      </c>
      <c r="O156">
        <v>1.283093</v>
      </c>
      <c r="P156">
        <v>60897600</v>
      </c>
      <c r="R156" s="273" t="e">
        <f>(O156/O155)*('16. câmbio USD-BRL'!#REF!/'16. câmbio USD-BRL'!#REF!)^-1-1</f>
        <v>#REF!</v>
      </c>
    </row>
    <row r="157" spans="1:18" x14ac:dyDescent="0.2">
      <c r="A157" s="354">
        <v>41244</v>
      </c>
      <c r="B157">
        <v>10.42</v>
      </c>
      <c r="C157">
        <v>12.44</v>
      </c>
      <c r="D157">
        <v>10.3</v>
      </c>
      <c r="E157">
        <v>11.86</v>
      </c>
      <c r="F157">
        <v>6.2836239999999997</v>
      </c>
      <c r="G157">
        <v>101863000</v>
      </c>
      <c r="J157" s="354">
        <v>37606</v>
      </c>
      <c r="K157">
        <v>2.9166660000000002</v>
      </c>
      <c r="L157">
        <v>2.9708329999999998</v>
      </c>
      <c r="M157">
        <v>2.7083330000000001</v>
      </c>
      <c r="N157">
        <v>2.779166</v>
      </c>
      <c r="O157">
        <v>1.2457400000000001</v>
      </c>
      <c r="P157">
        <v>77824800</v>
      </c>
      <c r="R157" s="273" t="e">
        <f>(O157/O156)*('16. câmbio USD-BRL'!#REF!/'16. câmbio USD-BRL'!#REF!)^-1-1</f>
        <v>#REF!</v>
      </c>
    </row>
    <row r="158" spans="1:18" x14ac:dyDescent="0.2">
      <c r="A158" s="354">
        <v>41275</v>
      </c>
      <c r="B158">
        <v>11.86</v>
      </c>
      <c r="C158">
        <v>12.89</v>
      </c>
      <c r="D158">
        <v>10.64</v>
      </c>
      <c r="E158">
        <v>10.75</v>
      </c>
      <c r="F158">
        <v>5.798559</v>
      </c>
      <c r="G158">
        <v>114274000</v>
      </c>
      <c r="J158" s="354">
        <v>37613</v>
      </c>
      <c r="K158">
        <v>2.8</v>
      </c>
      <c r="L158">
        <v>2.8041659999999999</v>
      </c>
      <c r="M158">
        <v>2.6666660000000002</v>
      </c>
      <c r="N158">
        <v>2.779166</v>
      </c>
      <c r="O158">
        <v>1.2457400000000001</v>
      </c>
      <c r="P158">
        <v>17856000</v>
      </c>
      <c r="R158" s="273" t="e">
        <f>(O158/O157)*('16. câmbio USD-BRL'!#REF!/'16. câmbio USD-BRL'!#REF!)^-1-1</f>
        <v>#REF!</v>
      </c>
    </row>
    <row r="159" spans="1:18" x14ac:dyDescent="0.2">
      <c r="A159" s="354">
        <v>41306</v>
      </c>
      <c r="B159">
        <v>10.84</v>
      </c>
      <c r="C159">
        <v>11.33</v>
      </c>
      <c r="D159">
        <v>9.5500000000000007</v>
      </c>
      <c r="E159">
        <v>10</v>
      </c>
      <c r="F159">
        <v>5.3940099999999997</v>
      </c>
      <c r="G159">
        <v>88784300</v>
      </c>
      <c r="J159" s="354">
        <v>37620</v>
      </c>
      <c r="K159">
        <v>2.8791660000000001</v>
      </c>
      <c r="L159">
        <v>2.9291659999999999</v>
      </c>
      <c r="M159">
        <v>2.779166</v>
      </c>
      <c r="N159">
        <v>2.8208329999999999</v>
      </c>
      <c r="O159">
        <v>1.264416</v>
      </c>
      <c r="P159">
        <v>13039200</v>
      </c>
      <c r="R159" s="273" t="e">
        <f>(O159/O158)*('16. câmbio USD-BRL'!#REF!/'16. câmbio USD-BRL'!#REF!)^-1-1</f>
        <v>#REF!</v>
      </c>
    </row>
    <row r="160" spans="1:18" x14ac:dyDescent="0.2">
      <c r="A160" s="354">
        <v>41334</v>
      </c>
      <c r="B160">
        <v>9.9499999999999993</v>
      </c>
      <c r="C160">
        <v>11</v>
      </c>
      <c r="D160">
        <v>8.9</v>
      </c>
      <c r="E160">
        <v>9.09</v>
      </c>
      <c r="F160">
        <v>4.9031549999999999</v>
      </c>
      <c r="G160">
        <v>129811500</v>
      </c>
      <c r="J160" s="354">
        <v>37627</v>
      </c>
      <c r="K160">
        <v>2.9166660000000002</v>
      </c>
      <c r="L160">
        <v>3.15</v>
      </c>
      <c r="M160">
        <v>2.8041659999999999</v>
      </c>
      <c r="N160">
        <v>3.0958329999999998</v>
      </c>
      <c r="O160">
        <v>1.387683</v>
      </c>
      <c r="P160">
        <v>85017599</v>
      </c>
      <c r="R160" s="273" t="e">
        <f>(O160/O159)*('16. câmbio USD-BRL'!#REF!/'16. câmbio USD-BRL'!#REF!)^-1-1</f>
        <v>#REF!</v>
      </c>
    </row>
    <row r="161" spans="1:18" x14ac:dyDescent="0.2">
      <c r="A161" s="354">
        <v>41365</v>
      </c>
      <c r="B161">
        <v>9.35</v>
      </c>
      <c r="C161">
        <v>9.77</v>
      </c>
      <c r="D161">
        <v>7.57</v>
      </c>
      <c r="E161">
        <v>7.91</v>
      </c>
      <c r="F161">
        <v>4.266661</v>
      </c>
      <c r="G161">
        <v>162538700</v>
      </c>
      <c r="J161" s="354">
        <v>37634</v>
      </c>
      <c r="K161">
        <v>3</v>
      </c>
      <c r="L161">
        <v>3.1375000000000002</v>
      </c>
      <c r="M161">
        <v>2.8666659999999999</v>
      </c>
      <c r="N161">
        <v>2.9291659999999999</v>
      </c>
      <c r="O161">
        <v>1.3129759999999999</v>
      </c>
      <c r="P161">
        <v>51811200</v>
      </c>
      <c r="R161" s="273" t="e">
        <f>(O161/O160)*('16. câmbio USD-BRL'!#REF!/'16. câmbio USD-BRL'!#REF!)^-1-1</f>
        <v>#REF!</v>
      </c>
    </row>
    <row r="162" spans="1:18" x14ac:dyDescent="0.2">
      <c r="A162" s="354">
        <v>41395</v>
      </c>
      <c r="B162">
        <v>7.91</v>
      </c>
      <c r="C162">
        <v>8</v>
      </c>
      <c r="D162">
        <v>6.5</v>
      </c>
      <c r="E162">
        <v>6.61</v>
      </c>
      <c r="F162">
        <v>3.7087889999999999</v>
      </c>
      <c r="G162">
        <v>163436500</v>
      </c>
      <c r="J162" s="354">
        <v>37641</v>
      </c>
      <c r="K162">
        <v>2.920833</v>
      </c>
      <c r="L162">
        <v>3.1041660000000002</v>
      </c>
      <c r="M162">
        <v>2.8791660000000001</v>
      </c>
      <c r="N162">
        <v>2.9708329999999998</v>
      </c>
      <c r="O162">
        <v>1.331653</v>
      </c>
      <c r="P162">
        <v>49888800</v>
      </c>
      <c r="R162" s="273" t="e">
        <f>(O162/O161)*('16. câmbio USD-BRL'!#REF!/'16. câmbio USD-BRL'!#REF!)^-1-1</f>
        <v>#REF!</v>
      </c>
    </row>
    <row r="163" spans="1:18" x14ac:dyDescent="0.2">
      <c r="A163" s="354">
        <v>41426</v>
      </c>
      <c r="B163">
        <v>6.71</v>
      </c>
      <c r="C163">
        <v>6.86</v>
      </c>
      <c r="D163">
        <v>5.76</v>
      </c>
      <c r="E163">
        <v>5.96</v>
      </c>
      <c r="F163">
        <v>3.3440829999999999</v>
      </c>
      <c r="G163">
        <v>170178800</v>
      </c>
      <c r="J163" s="354">
        <v>37648</v>
      </c>
      <c r="K163">
        <v>2.9458329999999999</v>
      </c>
      <c r="L163">
        <v>3.2374999999999998</v>
      </c>
      <c r="M163">
        <v>2.9083329999999998</v>
      </c>
      <c r="N163">
        <v>3.2083330000000001</v>
      </c>
      <c r="O163">
        <v>1.43811</v>
      </c>
      <c r="P163">
        <v>61970400</v>
      </c>
      <c r="R163" s="273" t="e">
        <f>(O163/O162)*('16. câmbio USD-BRL'!#REF!/'16. câmbio USD-BRL'!#REF!)^-1-1</f>
        <v>#REF!</v>
      </c>
    </row>
    <row r="164" spans="1:18" x14ac:dyDescent="0.2">
      <c r="A164" s="354">
        <v>41456</v>
      </c>
      <c r="B164">
        <v>6.15</v>
      </c>
      <c r="C164">
        <v>7.43</v>
      </c>
      <c r="D164">
        <v>5.28</v>
      </c>
      <c r="E164">
        <v>6.57</v>
      </c>
      <c r="F164">
        <v>3.6863459999999999</v>
      </c>
      <c r="G164">
        <v>142558400</v>
      </c>
      <c r="J164" s="354">
        <v>37655</v>
      </c>
      <c r="K164">
        <v>3.2208329999999998</v>
      </c>
      <c r="L164">
        <v>3.4541659999999998</v>
      </c>
      <c r="M164">
        <v>3.1791659999999999</v>
      </c>
      <c r="N164">
        <v>3.3875000000000002</v>
      </c>
      <c r="O164">
        <v>1.518421</v>
      </c>
      <c r="P164">
        <v>59198400</v>
      </c>
      <c r="R164" s="273" t="e">
        <f>(O164/O163)*('16. câmbio USD-BRL'!#REF!/'16. câmbio USD-BRL'!#REF!)^-1-1</f>
        <v>#REF!</v>
      </c>
    </row>
    <row r="165" spans="1:18" x14ac:dyDescent="0.2">
      <c r="A165" s="354">
        <v>41487</v>
      </c>
      <c r="B165">
        <v>6.52</v>
      </c>
      <c r="C165">
        <v>9.07</v>
      </c>
      <c r="D165">
        <v>6.41</v>
      </c>
      <c r="E165">
        <v>8.5</v>
      </c>
      <c r="F165">
        <v>4.7692459999999999</v>
      </c>
      <c r="G165">
        <v>230667700</v>
      </c>
      <c r="J165" s="354">
        <v>37662</v>
      </c>
      <c r="K165">
        <v>3.3333330000000001</v>
      </c>
      <c r="L165">
        <v>3.6875</v>
      </c>
      <c r="M165">
        <v>3.279166</v>
      </c>
      <c r="N165">
        <v>3.3291659999999998</v>
      </c>
      <c r="O165">
        <v>1.492273</v>
      </c>
      <c r="P165">
        <v>75477599</v>
      </c>
      <c r="R165" s="273" t="e">
        <f>(O165/O164)*('16. câmbio USD-BRL'!#REF!/'16. câmbio USD-BRL'!#REF!)^-1-1</f>
        <v>#REF!</v>
      </c>
    </row>
    <row r="166" spans="1:18" x14ac:dyDescent="0.2">
      <c r="A166" s="354">
        <v>41518</v>
      </c>
      <c r="B166">
        <v>8.61</v>
      </c>
      <c r="C166">
        <v>9.7899999999999991</v>
      </c>
      <c r="D166">
        <v>8.6</v>
      </c>
      <c r="E166">
        <v>9.4600000000000009</v>
      </c>
      <c r="F166">
        <v>5.4283650000000003</v>
      </c>
      <c r="G166">
        <v>162855800</v>
      </c>
      <c r="J166" s="354">
        <v>37669</v>
      </c>
      <c r="K166">
        <v>3.3333330000000001</v>
      </c>
      <c r="L166">
        <v>3.6958329999999999</v>
      </c>
      <c r="M166">
        <v>3.2833329999999998</v>
      </c>
      <c r="N166">
        <v>3.3208329999999999</v>
      </c>
      <c r="O166">
        <v>1.4885379999999999</v>
      </c>
      <c r="P166">
        <v>110484000</v>
      </c>
      <c r="R166" s="273" t="e">
        <f>(O166/O165)*('16. câmbio USD-BRL'!#REF!/'16. câmbio USD-BRL'!#REF!)^-1-1</f>
        <v>#REF!</v>
      </c>
    </row>
    <row r="167" spans="1:18" x14ac:dyDescent="0.2">
      <c r="A167" s="354">
        <v>41548</v>
      </c>
      <c r="B167">
        <v>9.5</v>
      </c>
      <c r="C167">
        <v>12.42</v>
      </c>
      <c r="D167">
        <v>9.24</v>
      </c>
      <c r="E167">
        <v>12.25</v>
      </c>
      <c r="F167">
        <v>7.0293299999999999</v>
      </c>
      <c r="G167">
        <v>176426500</v>
      </c>
      <c r="J167" s="354">
        <v>37676</v>
      </c>
      <c r="K167">
        <v>3.3541660000000002</v>
      </c>
      <c r="L167">
        <v>3.529166</v>
      </c>
      <c r="M167">
        <v>3.1666660000000002</v>
      </c>
      <c r="N167">
        <v>3.4458329999999999</v>
      </c>
      <c r="O167">
        <v>1.5445679999999999</v>
      </c>
      <c r="P167">
        <v>107344798</v>
      </c>
      <c r="R167" s="273" t="e">
        <f>(O167/O166)*('16. câmbio USD-BRL'!#REF!/'16. câmbio USD-BRL'!#REF!)^-1-1</f>
        <v>#REF!</v>
      </c>
    </row>
    <row r="168" spans="1:18" x14ac:dyDescent="0.2">
      <c r="A168" s="354">
        <v>41579</v>
      </c>
      <c r="B168">
        <v>12.1</v>
      </c>
      <c r="C168">
        <v>13.09</v>
      </c>
      <c r="D168">
        <v>11.72</v>
      </c>
      <c r="E168">
        <v>11.91</v>
      </c>
      <c r="F168">
        <v>6.8342299999999998</v>
      </c>
      <c r="G168">
        <v>108030300</v>
      </c>
      <c r="J168" s="354">
        <v>37683</v>
      </c>
      <c r="K168">
        <v>3.3333330000000001</v>
      </c>
      <c r="L168">
        <v>3.4166660000000002</v>
      </c>
      <c r="M168">
        <v>3.2374999999999998</v>
      </c>
      <c r="N168">
        <v>3.2708330000000001</v>
      </c>
      <c r="O168">
        <v>1.4661249999999999</v>
      </c>
      <c r="P168">
        <v>40932000</v>
      </c>
      <c r="R168" s="273" t="e">
        <f>(O168/O167)*('16. câmbio USD-BRL'!#REF!/'16. câmbio USD-BRL'!#REF!)^-1-1</f>
        <v>#REF!</v>
      </c>
    </row>
    <row r="169" spans="1:18" x14ac:dyDescent="0.2">
      <c r="A169" s="354">
        <v>41609</v>
      </c>
      <c r="B169">
        <v>11.7</v>
      </c>
      <c r="C169">
        <v>14.7</v>
      </c>
      <c r="D169">
        <v>11.7</v>
      </c>
      <c r="E169">
        <v>14.38</v>
      </c>
      <c r="F169">
        <v>8.7885190000000009</v>
      </c>
      <c r="G169">
        <v>98946400</v>
      </c>
      <c r="J169" s="354">
        <v>37690</v>
      </c>
      <c r="K169">
        <v>3.1958329999999999</v>
      </c>
      <c r="L169">
        <v>3.3333330000000001</v>
      </c>
      <c r="M169">
        <v>3.1625000000000001</v>
      </c>
      <c r="N169">
        <v>3.25</v>
      </c>
      <c r="O169">
        <v>1.4567870000000001</v>
      </c>
      <c r="P169">
        <v>74210399</v>
      </c>
      <c r="R169" s="273" t="e">
        <f>(O169/O168)*('16. câmbio USD-BRL'!#REF!/'16. câmbio USD-BRL'!#REF!)^-1-1</f>
        <v>#REF!</v>
      </c>
    </row>
    <row r="170" spans="1:18" x14ac:dyDescent="0.2">
      <c r="A170" s="354">
        <v>41640</v>
      </c>
      <c r="B170">
        <v>14.38</v>
      </c>
      <c r="C170">
        <v>14.56</v>
      </c>
      <c r="D170">
        <v>10.9</v>
      </c>
      <c r="E170">
        <v>11.19</v>
      </c>
      <c r="F170">
        <v>6.838908</v>
      </c>
      <c r="G170">
        <v>160403700</v>
      </c>
      <c r="J170" s="354">
        <v>37697</v>
      </c>
      <c r="K170">
        <v>3.170833</v>
      </c>
      <c r="L170">
        <v>3.6166659999999999</v>
      </c>
      <c r="M170">
        <v>3.170833</v>
      </c>
      <c r="N170">
        <v>3.5750000000000002</v>
      </c>
      <c r="O170">
        <v>1.6024659999999999</v>
      </c>
      <c r="P170">
        <v>85399199</v>
      </c>
      <c r="R170" s="273" t="e">
        <f>(O170/O169)*('16. câmbio USD-BRL'!#REF!/'16. câmbio USD-BRL'!#REF!)^-1-1</f>
        <v>#REF!</v>
      </c>
    </row>
    <row r="171" spans="1:18" x14ac:dyDescent="0.2">
      <c r="A171" s="354">
        <v>41671</v>
      </c>
      <c r="B171">
        <v>11.07</v>
      </c>
      <c r="C171">
        <v>11.94</v>
      </c>
      <c r="D171">
        <v>9.93</v>
      </c>
      <c r="E171">
        <v>9.93</v>
      </c>
      <c r="F171">
        <v>6.0688440000000003</v>
      </c>
      <c r="G171">
        <v>112181300</v>
      </c>
      <c r="J171" s="354">
        <v>37704</v>
      </c>
      <c r="K171">
        <v>3.529166</v>
      </c>
      <c r="L171">
        <v>3.7374999999999998</v>
      </c>
      <c r="M171">
        <v>3.3916659999999998</v>
      </c>
      <c r="N171">
        <v>3.716666</v>
      </c>
      <c r="O171">
        <v>1.665967</v>
      </c>
      <c r="P171">
        <v>102398401</v>
      </c>
      <c r="R171" s="273" t="e">
        <f>(O171/O170)*('16. câmbio USD-BRL'!#REF!/'16. câmbio USD-BRL'!#REF!)^-1-1</f>
        <v>#REF!</v>
      </c>
    </row>
    <row r="172" spans="1:18" x14ac:dyDescent="0.2">
      <c r="A172" s="354">
        <v>41699</v>
      </c>
      <c r="B172">
        <v>10.23</v>
      </c>
      <c r="C172">
        <v>10.31</v>
      </c>
      <c r="D172">
        <v>8.5</v>
      </c>
      <c r="E172">
        <v>9.84</v>
      </c>
      <c r="F172">
        <v>6.0138410000000002</v>
      </c>
      <c r="G172">
        <v>122785900</v>
      </c>
      <c r="J172" s="354">
        <v>37711</v>
      </c>
      <c r="K172">
        <v>3.6124999999999998</v>
      </c>
      <c r="L172">
        <v>3.7875000000000001</v>
      </c>
      <c r="M172">
        <v>3.35</v>
      </c>
      <c r="N172">
        <v>3.5166659999999998</v>
      </c>
      <c r="O172">
        <v>1.5763180000000001</v>
      </c>
      <c r="P172">
        <v>261331199</v>
      </c>
      <c r="R172" s="273" t="e">
        <f>(O172/O171)*('16. câmbio USD-BRL'!#REF!/'16. câmbio USD-BRL'!#REF!)^-1-1</f>
        <v>#REF!</v>
      </c>
    </row>
    <row r="173" spans="1:18" x14ac:dyDescent="0.2">
      <c r="A173" s="354">
        <v>41730</v>
      </c>
      <c r="B173">
        <v>9.9</v>
      </c>
      <c r="C173">
        <v>10.15</v>
      </c>
      <c r="D173">
        <v>8.56</v>
      </c>
      <c r="E173">
        <v>8.56</v>
      </c>
      <c r="F173">
        <v>5.3897719999999998</v>
      </c>
      <c r="G173">
        <v>124792400</v>
      </c>
      <c r="J173" s="354">
        <v>37718</v>
      </c>
      <c r="K173">
        <v>3.5375000000000001</v>
      </c>
      <c r="L173">
        <v>3.779166</v>
      </c>
      <c r="M173">
        <v>3.4</v>
      </c>
      <c r="N173">
        <v>3.7458330000000002</v>
      </c>
      <c r="O173">
        <v>1.679041</v>
      </c>
      <c r="P173">
        <v>299023201</v>
      </c>
      <c r="R173" s="273" t="e">
        <f>(O173/O172)*('16. câmbio USD-BRL'!#REF!/'16. câmbio USD-BRL'!#REF!)^-1-1</f>
        <v>#REF!</v>
      </c>
    </row>
    <row r="174" spans="1:18" x14ac:dyDescent="0.2">
      <c r="A174" s="354">
        <v>41760</v>
      </c>
      <c r="B174">
        <v>8.56</v>
      </c>
      <c r="C174">
        <v>9.57</v>
      </c>
      <c r="D174">
        <v>8.5299999999999994</v>
      </c>
      <c r="E174">
        <v>8.59</v>
      </c>
      <c r="F174">
        <v>5.4086600000000002</v>
      </c>
      <c r="G174">
        <v>119184700</v>
      </c>
      <c r="J174" s="354">
        <v>37725</v>
      </c>
      <c r="K174">
        <v>3.7625000000000002</v>
      </c>
      <c r="L174">
        <v>3.779166</v>
      </c>
      <c r="M174">
        <v>3.6</v>
      </c>
      <c r="N174">
        <v>3.6958329999999999</v>
      </c>
      <c r="O174">
        <v>1.656628</v>
      </c>
      <c r="P174">
        <v>58500000</v>
      </c>
      <c r="R174" s="273" t="e">
        <f>(O174/O173)*('16. câmbio USD-BRL'!#REF!/'16. câmbio USD-BRL'!#REF!)^-1-1</f>
        <v>#REF!</v>
      </c>
    </row>
    <row r="175" spans="1:18" x14ac:dyDescent="0.2">
      <c r="A175" s="354">
        <v>41791</v>
      </c>
      <c r="B175">
        <v>8.6300000000000008</v>
      </c>
      <c r="C175">
        <v>9.85</v>
      </c>
      <c r="D175">
        <v>8.57</v>
      </c>
      <c r="E175">
        <v>9.4</v>
      </c>
      <c r="F175">
        <v>5.9186740000000002</v>
      </c>
      <c r="G175">
        <v>101839000</v>
      </c>
      <c r="J175" s="354">
        <v>37732</v>
      </c>
      <c r="K175">
        <v>3.6958329999999999</v>
      </c>
      <c r="L175">
        <v>3.7208329999999998</v>
      </c>
      <c r="M175">
        <v>3.5874999999999999</v>
      </c>
      <c r="N175">
        <v>3.7208329999999998</v>
      </c>
      <c r="O175">
        <v>1.667835</v>
      </c>
      <c r="P175">
        <v>145965599</v>
      </c>
      <c r="R175" s="273" t="e">
        <f>(O175/O174)*('16. câmbio USD-BRL'!#REF!/'16. câmbio USD-BRL'!#REF!)^-1-1</f>
        <v>#REF!</v>
      </c>
    </row>
    <row r="176" spans="1:18" x14ac:dyDescent="0.2">
      <c r="A176" s="354">
        <v>41821</v>
      </c>
      <c r="B176">
        <v>9.4700000000000006</v>
      </c>
      <c r="C176">
        <v>11.9</v>
      </c>
      <c r="D176">
        <v>9.27</v>
      </c>
      <c r="E176">
        <v>11.45</v>
      </c>
      <c r="F176">
        <v>7.2094500000000004</v>
      </c>
      <c r="G176">
        <v>144393600</v>
      </c>
      <c r="J176" s="354">
        <v>37739</v>
      </c>
      <c r="K176">
        <v>3.6958329999999999</v>
      </c>
      <c r="L176">
        <v>3.8333330000000001</v>
      </c>
      <c r="M176">
        <v>3.1666660000000002</v>
      </c>
      <c r="N176">
        <v>3.279166</v>
      </c>
      <c r="O176">
        <v>1.4698610000000001</v>
      </c>
      <c r="P176">
        <v>72007200</v>
      </c>
      <c r="R176" s="273" t="e">
        <f>(O176/O175)*('16. câmbio USD-BRL'!#REF!/'16. câmbio USD-BRL'!#REF!)^-1-1</f>
        <v>#REF!</v>
      </c>
    </row>
    <row r="177" spans="1:18" x14ac:dyDescent="0.2">
      <c r="A177" s="354">
        <v>41852</v>
      </c>
      <c r="B177">
        <v>11.4</v>
      </c>
      <c r="C177">
        <v>12.08</v>
      </c>
      <c r="D177">
        <v>9.6199999999999992</v>
      </c>
      <c r="E177">
        <v>9.84</v>
      </c>
      <c r="F177">
        <v>6.1957199999999997</v>
      </c>
      <c r="G177">
        <v>108162000</v>
      </c>
      <c r="J177" s="354">
        <v>37746</v>
      </c>
      <c r="K177">
        <v>3.279166</v>
      </c>
      <c r="L177">
        <v>3.4583330000000001</v>
      </c>
      <c r="M177">
        <v>3.2625000000000002</v>
      </c>
      <c r="N177">
        <v>3.3624999999999998</v>
      </c>
      <c r="O177">
        <v>1.507215</v>
      </c>
      <c r="P177">
        <v>113191199</v>
      </c>
      <c r="R177" s="273" t="e">
        <f>(O177/O176)*('16. câmbio USD-BRL'!#REF!/'16. câmbio USD-BRL'!#REF!)^-1-1</f>
        <v>#REF!</v>
      </c>
    </row>
    <row r="178" spans="1:18" x14ac:dyDescent="0.2">
      <c r="A178" s="354">
        <v>41883</v>
      </c>
      <c r="B178">
        <v>9.83</v>
      </c>
      <c r="C178">
        <v>10.28</v>
      </c>
      <c r="D178">
        <v>8.6199999999999992</v>
      </c>
      <c r="E178">
        <v>8.6999999999999993</v>
      </c>
      <c r="F178">
        <v>5.4779229999999997</v>
      </c>
      <c r="G178">
        <v>118926100</v>
      </c>
      <c r="J178" s="354">
        <v>37753</v>
      </c>
      <c r="K178">
        <v>3.3833329999999999</v>
      </c>
      <c r="L178">
        <v>3.3833329999999999</v>
      </c>
      <c r="M178">
        <v>3.0125000000000002</v>
      </c>
      <c r="N178">
        <v>3.1375000000000002</v>
      </c>
      <c r="O178">
        <v>1.4063600000000001</v>
      </c>
      <c r="P178">
        <v>111283200</v>
      </c>
      <c r="R178" s="273" t="e">
        <f>(O178/O177)*('16. câmbio USD-BRL'!#REF!/'16. câmbio USD-BRL'!#REF!)^-1-1</f>
        <v>#REF!</v>
      </c>
    </row>
    <row r="179" spans="1:18" x14ac:dyDescent="0.2">
      <c r="A179" s="354">
        <v>41913</v>
      </c>
      <c r="B179">
        <v>8.69</v>
      </c>
      <c r="C179">
        <v>9.4700000000000006</v>
      </c>
      <c r="D179">
        <v>7.64</v>
      </c>
      <c r="E179">
        <v>8.25</v>
      </c>
      <c r="F179">
        <v>5.1945819999999996</v>
      </c>
      <c r="G179">
        <v>134145300</v>
      </c>
      <c r="J179" s="354">
        <v>37760</v>
      </c>
      <c r="K179">
        <v>3.0833330000000001</v>
      </c>
      <c r="L179">
        <v>3.2666659999999998</v>
      </c>
      <c r="M179">
        <v>3.0249999999999999</v>
      </c>
      <c r="N179">
        <v>3.1666660000000002</v>
      </c>
      <c r="O179">
        <v>1.4194340000000001</v>
      </c>
      <c r="P179">
        <v>70797600</v>
      </c>
      <c r="R179" s="273" t="e">
        <f>(O179/O178)*('16. câmbio USD-BRL'!#REF!/'16. câmbio USD-BRL'!#REF!)^-1-1</f>
        <v>#REF!</v>
      </c>
    </row>
    <row r="180" spans="1:18" x14ac:dyDescent="0.2">
      <c r="A180" s="354">
        <v>41944</v>
      </c>
      <c r="B180">
        <v>8.19</v>
      </c>
      <c r="C180">
        <v>8.44</v>
      </c>
      <c r="D180">
        <v>5.93</v>
      </c>
      <c r="E180">
        <v>6.05</v>
      </c>
      <c r="F180">
        <v>3.809361</v>
      </c>
      <c r="G180">
        <v>111030100</v>
      </c>
      <c r="J180" s="354">
        <v>37767</v>
      </c>
      <c r="K180">
        <v>3.1375000000000002</v>
      </c>
      <c r="L180">
        <v>3.2374999999999998</v>
      </c>
      <c r="M180">
        <v>3.0583330000000002</v>
      </c>
      <c r="N180">
        <v>3.1791659999999999</v>
      </c>
      <c r="O180">
        <v>1.4250370000000001</v>
      </c>
      <c r="P180">
        <v>111067200</v>
      </c>
      <c r="R180" s="273" t="e">
        <f>(O180/O179)*('16. câmbio USD-BRL'!#REF!/'16. câmbio USD-BRL'!#REF!)^-1-1</f>
        <v>#REF!</v>
      </c>
    </row>
    <row r="181" spans="1:18" x14ac:dyDescent="0.2">
      <c r="A181" s="354">
        <v>41974</v>
      </c>
      <c r="B181">
        <v>5.9</v>
      </c>
      <c r="C181">
        <v>6.48</v>
      </c>
      <c r="D181">
        <v>4.22</v>
      </c>
      <c r="E181">
        <v>5.58</v>
      </c>
      <c r="F181">
        <v>3.5134259999999999</v>
      </c>
      <c r="G181">
        <v>195993209</v>
      </c>
      <c r="J181" s="354">
        <v>37774</v>
      </c>
      <c r="K181">
        <v>3.170833</v>
      </c>
      <c r="L181">
        <v>3.4791660000000002</v>
      </c>
      <c r="M181">
        <v>3.0791659999999998</v>
      </c>
      <c r="N181">
        <v>3.4</v>
      </c>
      <c r="O181">
        <v>1.524024</v>
      </c>
      <c r="P181">
        <v>111571201</v>
      </c>
      <c r="R181" s="273" t="e">
        <f>(O181/O180)*('16. câmbio USD-BRL'!#REF!/'16. câmbio USD-BRL'!#REF!)^-1-1</f>
        <v>#REF!</v>
      </c>
    </row>
    <row r="182" spans="1:18" x14ac:dyDescent="0.2">
      <c r="A182" s="354">
        <v>42005</v>
      </c>
      <c r="B182">
        <v>5.58</v>
      </c>
      <c r="C182">
        <v>5.99</v>
      </c>
      <c r="D182">
        <v>4.1500000000000004</v>
      </c>
      <c r="E182">
        <v>4.2</v>
      </c>
      <c r="F182">
        <v>2.644514</v>
      </c>
      <c r="G182">
        <v>150667700</v>
      </c>
      <c r="J182" s="354">
        <v>37781</v>
      </c>
      <c r="K182">
        <v>3.3875000000000002</v>
      </c>
      <c r="L182">
        <v>3.6124999999999998</v>
      </c>
      <c r="M182">
        <v>3.3458329999999998</v>
      </c>
      <c r="N182">
        <v>3.5791659999999998</v>
      </c>
      <c r="O182">
        <v>1.604333</v>
      </c>
      <c r="P182">
        <v>100000800</v>
      </c>
      <c r="R182" s="273" t="e">
        <f>(O182/O181)*('16. câmbio USD-BRL'!#REF!/'16. câmbio USD-BRL'!#REF!)^-1-1</f>
        <v>#REF!</v>
      </c>
    </row>
    <row r="183" spans="1:18" x14ac:dyDescent="0.2">
      <c r="A183" s="354">
        <v>42036</v>
      </c>
      <c r="B183">
        <v>4.24</v>
      </c>
      <c r="C183">
        <v>5.44</v>
      </c>
      <c r="D183">
        <v>4.1500000000000004</v>
      </c>
      <c r="E183">
        <v>5.17</v>
      </c>
      <c r="F183">
        <v>3.3761909999999999</v>
      </c>
      <c r="G183">
        <v>98122600</v>
      </c>
      <c r="J183" s="354">
        <v>37788</v>
      </c>
      <c r="K183">
        <v>3.5625</v>
      </c>
      <c r="L183">
        <v>3.8041659999999999</v>
      </c>
      <c r="M183">
        <v>3.529166</v>
      </c>
      <c r="N183">
        <v>3.6958329999999999</v>
      </c>
      <c r="O183">
        <v>1.656628</v>
      </c>
      <c r="P183">
        <v>66772800</v>
      </c>
      <c r="R183" s="273" t="e">
        <f>(O183/O182)*('16. câmbio USD-BRL'!#REF!/'16. câmbio USD-BRL'!#REF!)^-1-1</f>
        <v>#REF!</v>
      </c>
    </row>
    <row r="184" spans="1:18" x14ac:dyDescent="0.2">
      <c r="A184" s="354">
        <v>42064</v>
      </c>
      <c r="B184">
        <v>5.18</v>
      </c>
      <c r="C184">
        <v>6.18</v>
      </c>
      <c r="D184">
        <v>4.8099999999999996</v>
      </c>
      <c r="E184">
        <v>5.42</v>
      </c>
      <c r="F184">
        <v>3.53945</v>
      </c>
      <c r="G184">
        <v>126733400</v>
      </c>
      <c r="J184" s="354">
        <v>37795</v>
      </c>
      <c r="K184">
        <v>3.75</v>
      </c>
      <c r="L184">
        <v>3.9708329999999998</v>
      </c>
      <c r="M184">
        <v>3.545833</v>
      </c>
      <c r="N184">
        <v>3.9166660000000002</v>
      </c>
      <c r="O184">
        <v>1.7556149999999999</v>
      </c>
      <c r="P184">
        <v>69602400</v>
      </c>
      <c r="R184" s="273" t="e">
        <f>(O184/O183)*('16. câmbio USD-BRL'!#REF!/'16. câmbio USD-BRL'!#REF!)^-1-1</f>
        <v>#REF!</v>
      </c>
    </row>
    <row r="185" spans="1:18" x14ac:dyDescent="0.2">
      <c r="A185" s="354">
        <v>42095</v>
      </c>
      <c r="B185">
        <v>5.58</v>
      </c>
      <c r="C185">
        <v>8.3699999999999992</v>
      </c>
      <c r="D185">
        <v>5.43</v>
      </c>
      <c r="E185">
        <v>8.0299999999999994</v>
      </c>
      <c r="F185">
        <v>5.4556519999999997</v>
      </c>
      <c r="G185">
        <v>122368300</v>
      </c>
      <c r="J185" s="354">
        <v>37802</v>
      </c>
      <c r="K185">
        <v>3.966666</v>
      </c>
      <c r="L185">
        <v>3.966666</v>
      </c>
      <c r="M185">
        <v>3.7833329999999998</v>
      </c>
      <c r="N185">
        <v>3.8875000000000002</v>
      </c>
      <c r="O185">
        <v>1.742542</v>
      </c>
      <c r="P185">
        <v>40557599</v>
      </c>
      <c r="R185" s="273" t="e">
        <f>(O185/O184)*('16. câmbio USD-BRL'!#REF!/'16. câmbio USD-BRL'!#REF!)^-1-1</f>
        <v>#REF!</v>
      </c>
    </row>
    <row r="186" spans="1:18" x14ac:dyDescent="0.2">
      <c r="A186" s="354">
        <v>42125</v>
      </c>
      <c r="B186">
        <v>8.07</v>
      </c>
      <c r="C186">
        <v>9.4</v>
      </c>
      <c r="D186">
        <v>6.1</v>
      </c>
      <c r="E186">
        <v>6.14</v>
      </c>
      <c r="F186">
        <v>4.17157</v>
      </c>
      <c r="G186">
        <v>120763000</v>
      </c>
      <c r="J186" s="354">
        <v>37809</v>
      </c>
      <c r="K186">
        <v>3.8875000000000002</v>
      </c>
      <c r="L186">
        <v>4.1666660000000002</v>
      </c>
      <c r="M186">
        <v>3.8624999999999998</v>
      </c>
      <c r="N186">
        <v>4.0374999999999996</v>
      </c>
      <c r="O186">
        <v>1.8097780000000001</v>
      </c>
      <c r="P186">
        <v>61156800</v>
      </c>
      <c r="R186" s="273" t="e">
        <f>(O186/O185)*('16. câmbio USD-BRL'!#REF!/'16. câmbio USD-BRL'!#REF!)^-1-1</f>
        <v>#REF!</v>
      </c>
    </row>
    <row r="187" spans="1:18" x14ac:dyDescent="0.2">
      <c r="A187" s="354">
        <v>42156</v>
      </c>
      <c r="B187">
        <v>6.18</v>
      </c>
      <c r="C187">
        <v>6.84</v>
      </c>
      <c r="D187">
        <v>5.12</v>
      </c>
      <c r="E187">
        <v>5.19</v>
      </c>
      <c r="F187">
        <v>3.526132</v>
      </c>
      <c r="G187">
        <v>89846700</v>
      </c>
      <c r="J187" s="354">
        <v>37816</v>
      </c>
      <c r="K187">
        <v>4</v>
      </c>
      <c r="L187">
        <v>4.0708330000000004</v>
      </c>
      <c r="M187">
        <v>3.8624999999999998</v>
      </c>
      <c r="N187">
        <v>4.0166659999999998</v>
      </c>
      <c r="O187">
        <v>1.8004389999999999</v>
      </c>
      <c r="P187">
        <v>49543200</v>
      </c>
      <c r="R187" s="273" t="e">
        <f>(O187/O186)*('16. câmbio USD-BRL'!#REF!/'16. câmbio USD-BRL'!#REF!)^-1-1</f>
        <v>#REF!</v>
      </c>
    </row>
    <row r="188" spans="1:18" x14ac:dyDescent="0.2">
      <c r="A188" s="354">
        <v>42186</v>
      </c>
      <c r="B188">
        <v>5.17</v>
      </c>
      <c r="C188">
        <v>5.25</v>
      </c>
      <c r="D188">
        <v>3.8</v>
      </c>
      <c r="E188">
        <v>4.3499999999999996</v>
      </c>
      <c r="F188">
        <v>2.9554279999999999</v>
      </c>
      <c r="G188">
        <v>115551900</v>
      </c>
      <c r="J188" s="354">
        <v>37823</v>
      </c>
      <c r="K188">
        <v>4.0125000000000002</v>
      </c>
      <c r="L188">
        <v>4.25</v>
      </c>
      <c r="M188">
        <v>3.966666</v>
      </c>
      <c r="N188">
        <v>4.2208329999999998</v>
      </c>
      <c r="O188">
        <v>1.8919550000000001</v>
      </c>
      <c r="P188">
        <v>58528800</v>
      </c>
      <c r="R188" s="273" t="e">
        <f>(O188/O187)*('16. câmbio USD-BRL'!#REF!/'16. câmbio USD-BRL'!#REF!)^-1-1</f>
        <v>#REF!</v>
      </c>
    </row>
    <row r="189" spans="1:18" x14ac:dyDescent="0.2">
      <c r="A189" s="354">
        <v>42217</v>
      </c>
      <c r="B189">
        <v>4.32</v>
      </c>
      <c r="C189">
        <v>4.59</v>
      </c>
      <c r="D189">
        <v>2.74</v>
      </c>
      <c r="E189">
        <v>3.5</v>
      </c>
      <c r="F189">
        <v>2.3779309999999998</v>
      </c>
      <c r="G189">
        <v>132525700</v>
      </c>
      <c r="J189" s="354">
        <v>37830</v>
      </c>
      <c r="K189">
        <v>4.2208329999999998</v>
      </c>
      <c r="L189">
        <v>4.5125000000000002</v>
      </c>
      <c r="M189">
        <v>4.1958330000000004</v>
      </c>
      <c r="N189">
        <v>4.4708329999999998</v>
      </c>
      <c r="O189">
        <v>2.004016</v>
      </c>
      <c r="P189">
        <v>68515200</v>
      </c>
      <c r="R189" s="273" t="e">
        <f>(O189/O188)*('16. câmbio USD-BRL'!#REF!/'16. câmbio USD-BRL'!#REF!)^-1-1</f>
        <v>#REF!</v>
      </c>
    </row>
    <row r="190" spans="1:18" x14ac:dyDescent="0.2">
      <c r="A190" s="354">
        <v>42248</v>
      </c>
      <c r="B190">
        <v>3.36</v>
      </c>
      <c r="C190">
        <v>5.85</v>
      </c>
      <c r="D190">
        <v>3.35</v>
      </c>
      <c r="E190">
        <v>3.92</v>
      </c>
      <c r="F190">
        <v>2.6632820000000001</v>
      </c>
      <c r="G190">
        <v>193411500</v>
      </c>
      <c r="J190" s="354">
        <v>37837</v>
      </c>
      <c r="K190">
        <v>44.445830999999998</v>
      </c>
      <c r="L190">
        <v>44.445830999999998</v>
      </c>
      <c r="M190">
        <v>4.2208329999999998</v>
      </c>
      <c r="N190">
        <v>4.4333330000000002</v>
      </c>
      <c r="O190">
        <v>1.9872080000000001</v>
      </c>
      <c r="P190">
        <v>109876013</v>
      </c>
      <c r="R190" s="273" t="e">
        <f>(O190/O189)*('16. câmbio USD-BRL'!#REF!/'16. câmbio USD-BRL'!#REF!)^-1-1</f>
        <v>#REF!</v>
      </c>
    </row>
    <row r="191" spans="1:18" x14ac:dyDescent="0.2">
      <c r="A191" s="354">
        <v>42278</v>
      </c>
      <c r="B191">
        <v>3.94</v>
      </c>
      <c r="C191">
        <v>5.49</v>
      </c>
      <c r="D191">
        <v>3.56</v>
      </c>
      <c r="E191">
        <v>4.34</v>
      </c>
      <c r="F191">
        <v>2.9486340000000002</v>
      </c>
      <c r="G191">
        <v>176602300</v>
      </c>
      <c r="J191" s="354">
        <v>37844</v>
      </c>
      <c r="K191">
        <v>4.4458330000000004</v>
      </c>
      <c r="L191">
        <v>4.904166</v>
      </c>
      <c r="M191">
        <v>4.4375</v>
      </c>
      <c r="N191">
        <v>4.904166</v>
      </c>
      <c r="O191">
        <v>2.1982539999999999</v>
      </c>
      <c r="P191">
        <v>70336800</v>
      </c>
      <c r="R191" s="273" t="e">
        <f>(O191/O190)*('16. câmbio USD-BRL'!#REF!/'16. câmbio USD-BRL'!#REF!)^-1-1</f>
        <v>#REF!</v>
      </c>
    </row>
    <row r="192" spans="1:18" x14ac:dyDescent="0.2">
      <c r="A192" s="354">
        <v>42309</v>
      </c>
      <c r="B192">
        <v>4.34</v>
      </c>
      <c r="C192">
        <v>6.37</v>
      </c>
      <c r="D192">
        <v>4.34</v>
      </c>
      <c r="E192">
        <v>5.5</v>
      </c>
      <c r="F192">
        <v>3.736748</v>
      </c>
      <c r="G192">
        <v>149099300</v>
      </c>
      <c r="J192" s="354">
        <v>37851</v>
      </c>
      <c r="K192">
        <v>4.904166</v>
      </c>
      <c r="L192">
        <v>5.3333329999999997</v>
      </c>
      <c r="M192">
        <v>4.7874999999999996</v>
      </c>
      <c r="N192">
        <v>5.3166659999999997</v>
      </c>
      <c r="O192">
        <v>2.3831540000000002</v>
      </c>
      <c r="P192">
        <v>71856000</v>
      </c>
      <c r="R192" s="273" t="e">
        <f>(O192/O191)*('16. câmbio USD-BRL'!#REF!/'16. câmbio USD-BRL'!#REF!)^-1-1</f>
        <v>#REF!</v>
      </c>
    </row>
    <row r="193" spans="1:18" x14ac:dyDescent="0.2">
      <c r="A193" s="354">
        <v>42339</v>
      </c>
      <c r="B193">
        <v>5.6</v>
      </c>
      <c r="C193">
        <v>5.69</v>
      </c>
      <c r="D193">
        <v>3.95</v>
      </c>
      <c r="E193">
        <v>4</v>
      </c>
      <c r="F193">
        <v>2.717635</v>
      </c>
      <c r="G193">
        <v>104293800</v>
      </c>
      <c r="J193" s="354">
        <v>37858</v>
      </c>
      <c r="K193">
        <v>5.4625000000000004</v>
      </c>
      <c r="L193">
        <v>5.608333</v>
      </c>
      <c r="M193">
        <v>5.1333330000000004</v>
      </c>
      <c r="N193">
        <v>5.529166</v>
      </c>
      <c r="O193">
        <v>2.478405</v>
      </c>
      <c r="P193">
        <v>88747199</v>
      </c>
      <c r="R193" s="273" t="e">
        <f>(O193/O192)*('16. câmbio USD-BRL'!#REF!/'16. câmbio USD-BRL'!#REF!)^-1-1</f>
        <v>#REF!</v>
      </c>
    </row>
    <row r="194" spans="1:18" x14ac:dyDescent="0.2">
      <c r="A194" s="354">
        <v>42370</v>
      </c>
      <c r="B194">
        <v>4</v>
      </c>
      <c r="C194">
        <v>4</v>
      </c>
      <c r="D194">
        <v>3.09</v>
      </c>
      <c r="E194">
        <v>3.55</v>
      </c>
      <c r="F194">
        <v>2.4119009999999999</v>
      </c>
      <c r="G194">
        <v>94973300</v>
      </c>
      <c r="J194" s="354">
        <v>37865</v>
      </c>
      <c r="K194">
        <v>5.529166</v>
      </c>
      <c r="L194">
        <v>5.9458330000000004</v>
      </c>
      <c r="M194">
        <v>5.3541660000000002</v>
      </c>
      <c r="N194">
        <v>5.7208329999999998</v>
      </c>
      <c r="O194">
        <v>2.5643189999999998</v>
      </c>
      <c r="P194">
        <v>64519200</v>
      </c>
      <c r="R194" s="273" t="e">
        <f>(O194/O193)*('16. câmbio USD-BRL'!#REF!/'16. câmbio USD-BRL'!#REF!)^-1-1</f>
        <v>#REF!</v>
      </c>
    </row>
    <row r="195" spans="1:18" x14ac:dyDescent="0.2">
      <c r="A195" s="354">
        <v>42401</v>
      </c>
      <c r="B195">
        <v>3.53</v>
      </c>
      <c r="C195">
        <v>5.47</v>
      </c>
      <c r="D195">
        <v>3.46</v>
      </c>
      <c r="E195">
        <v>5.2</v>
      </c>
      <c r="F195">
        <v>3.5329259999999998</v>
      </c>
      <c r="G195">
        <v>123746800</v>
      </c>
      <c r="J195" s="354">
        <v>37872</v>
      </c>
      <c r="K195">
        <v>5.7208329999999998</v>
      </c>
      <c r="L195">
        <v>5.8333329999999997</v>
      </c>
      <c r="M195">
        <v>5.2625000000000002</v>
      </c>
      <c r="N195">
        <v>5.7125000000000004</v>
      </c>
      <c r="O195">
        <v>2.560584</v>
      </c>
      <c r="P195">
        <v>83282400</v>
      </c>
      <c r="R195" s="273" t="e">
        <f>(O195/O194)*('16. câmbio USD-BRL'!#REF!/'16. câmbio USD-BRL'!#REF!)^-1-1</f>
        <v>#REF!</v>
      </c>
    </row>
    <row r="196" spans="1:18" x14ac:dyDescent="0.2">
      <c r="A196" s="354">
        <v>42430</v>
      </c>
      <c r="B196">
        <v>5.37</v>
      </c>
      <c r="C196">
        <v>8.59</v>
      </c>
      <c r="D196">
        <v>5.37</v>
      </c>
      <c r="E196">
        <v>7.13</v>
      </c>
      <c r="F196">
        <v>4.8441850000000004</v>
      </c>
      <c r="G196">
        <v>208798100</v>
      </c>
      <c r="J196" s="354">
        <v>37879</v>
      </c>
      <c r="K196">
        <v>5.7125000000000004</v>
      </c>
      <c r="L196">
        <v>5.9375</v>
      </c>
      <c r="M196">
        <v>5.4708329999999998</v>
      </c>
      <c r="N196">
        <v>5.7874999999999996</v>
      </c>
      <c r="O196">
        <v>2.5942029999999998</v>
      </c>
      <c r="P196">
        <v>41616000</v>
      </c>
      <c r="R196" s="273" t="e">
        <f>(O196/O195)*('16. câmbio USD-BRL'!#REF!/'16. câmbio USD-BRL'!#REF!)^-1-1</f>
        <v>#REF!</v>
      </c>
    </row>
    <row r="197" spans="1:18" x14ac:dyDescent="0.2">
      <c r="A197" s="354">
        <v>42461</v>
      </c>
      <c r="B197">
        <v>7.35</v>
      </c>
      <c r="C197">
        <v>14.12</v>
      </c>
      <c r="D197">
        <v>6.95</v>
      </c>
      <c r="E197">
        <v>13.14</v>
      </c>
      <c r="F197">
        <v>8.9274299999999993</v>
      </c>
      <c r="G197">
        <v>113679700</v>
      </c>
      <c r="J197" s="354">
        <v>37886</v>
      </c>
      <c r="K197">
        <v>5.7541659999999997</v>
      </c>
      <c r="L197">
        <v>5.7541659999999997</v>
      </c>
      <c r="M197">
        <v>5.2666659999999998</v>
      </c>
      <c r="N197">
        <v>5.3708330000000002</v>
      </c>
      <c r="O197">
        <v>2.4074339999999999</v>
      </c>
      <c r="P197">
        <v>41896800</v>
      </c>
      <c r="R197" s="273" t="e">
        <f>(O197/O196)*('16. câmbio USD-BRL'!#REF!/'16. câmbio USD-BRL'!#REF!)^-1-1</f>
        <v>#REF!</v>
      </c>
    </row>
    <row r="198" spans="1:18" x14ac:dyDescent="0.2">
      <c r="A198" s="354">
        <v>42491</v>
      </c>
      <c r="B198">
        <v>13.2</v>
      </c>
      <c r="C198">
        <v>13.59</v>
      </c>
      <c r="D198">
        <v>6.35</v>
      </c>
      <c r="E198">
        <v>6.54</v>
      </c>
      <c r="F198">
        <v>4.4433340000000001</v>
      </c>
      <c r="G198">
        <v>189133000</v>
      </c>
      <c r="J198" s="354">
        <v>37893</v>
      </c>
      <c r="K198">
        <v>5.3708330000000002</v>
      </c>
      <c r="L198">
        <v>6.2291660000000002</v>
      </c>
      <c r="M198">
        <v>5.3708330000000002</v>
      </c>
      <c r="N198">
        <v>6.2208329999999998</v>
      </c>
      <c r="O198">
        <v>2.78844</v>
      </c>
      <c r="P198">
        <v>60213599</v>
      </c>
      <c r="R198" s="273" t="e">
        <f>(O198/O197)*('16. câmbio USD-BRL'!#REF!/'16. câmbio USD-BRL'!#REF!)^-1-1</f>
        <v>#REF!</v>
      </c>
    </row>
    <row r="199" spans="1:18" x14ac:dyDescent="0.2">
      <c r="A199" s="354">
        <v>42522</v>
      </c>
      <c r="B199">
        <v>6.5</v>
      </c>
      <c r="C199">
        <v>8.17</v>
      </c>
      <c r="D199">
        <v>6.25</v>
      </c>
      <c r="E199">
        <v>7.82</v>
      </c>
      <c r="F199">
        <v>5.3129759999999999</v>
      </c>
      <c r="G199">
        <v>210397900</v>
      </c>
      <c r="J199" s="354">
        <v>37900</v>
      </c>
      <c r="K199">
        <v>6.25</v>
      </c>
      <c r="L199">
        <v>7.0541660000000004</v>
      </c>
      <c r="M199">
        <v>6.1166660000000004</v>
      </c>
      <c r="N199">
        <v>6.3458329999999998</v>
      </c>
      <c r="O199">
        <v>2.8444699999999998</v>
      </c>
      <c r="P199">
        <v>70451999</v>
      </c>
      <c r="R199" s="273" t="e">
        <f>(O199/O198)*('16. câmbio USD-BRL'!#REF!/'16. câmbio USD-BRL'!#REF!)^-1-1</f>
        <v>#REF!</v>
      </c>
    </row>
    <row r="200" spans="1:18" x14ac:dyDescent="0.2">
      <c r="A200" s="354">
        <v>42552</v>
      </c>
      <c r="B200">
        <v>7.88</v>
      </c>
      <c r="C200">
        <v>11.75</v>
      </c>
      <c r="D200">
        <v>7.78</v>
      </c>
      <c r="E200">
        <v>11.07</v>
      </c>
      <c r="F200">
        <v>7.5210559999999997</v>
      </c>
      <c r="G200">
        <v>206597200</v>
      </c>
      <c r="J200" s="354">
        <v>37907</v>
      </c>
      <c r="K200">
        <v>6.3624999999999998</v>
      </c>
      <c r="L200">
        <v>6.7208329999999998</v>
      </c>
      <c r="M200">
        <v>6.3125</v>
      </c>
      <c r="N200">
        <v>6.6375000000000002</v>
      </c>
      <c r="O200">
        <v>2.9752079999999999</v>
      </c>
      <c r="P200">
        <v>65037600</v>
      </c>
      <c r="R200" s="273" t="e">
        <f>(O200/O199)*('16. câmbio USD-BRL'!#REF!/'16. câmbio USD-BRL'!#REF!)^-1-1</f>
        <v>#REF!</v>
      </c>
    </row>
    <row r="201" spans="1:18" x14ac:dyDescent="0.2">
      <c r="A201" s="354">
        <v>42583</v>
      </c>
      <c r="B201">
        <v>11.15</v>
      </c>
      <c r="C201">
        <v>11.4</v>
      </c>
      <c r="D201">
        <v>8.49</v>
      </c>
      <c r="E201">
        <v>8.6</v>
      </c>
      <c r="F201">
        <v>5.8429159999999998</v>
      </c>
      <c r="G201">
        <v>158613700</v>
      </c>
      <c r="J201" s="354">
        <v>37914</v>
      </c>
      <c r="K201">
        <v>6.6666660000000002</v>
      </c>
      <c r="L201">
        <v>6.8875000000000002</v>
      </c>
      <c r="M201">
        <v>6.295833</v>
      </c>
      <c r="N201">
        <v>6.404166</v>
      </c>
      <c r="O201">
        <v>2.8706179999999999</v>
      </c>
      <c r="P201">
        <v>52250400</v>
      </c>
      <c r="R201" s="273" t="e">
        <f>(O201/O200)*('16. câmbio USD-BRL'!#REF!/'16. câmbio USD-BRL'!#REF!)^-1-1</f>
        <v>#REF!</v>
      </c>
    </row>
    <row r="202" spans="1:18" x14ac:dyDescent="0.2">
      <c r="A202" s="354">
        <v>42614</v>
      </c>
      <c r="B202">
        <v>8.6</v>
      </c>
      <c r="C202">
        <v>9.8000000000000007</v>
      </c>
      <c r="D202">
        <v>7.82</v>
      </c>
      <c r="E202">
        <v>9.09</v>
      </c>
      <c r="F202">
        <v>6.1758249999999997</v>
      </c>
      <c r="G202">
        <v>151095600</v>
      </c>
      <c r="J202" s="354">
        <v>37921</v>
      </c>
      <c r="K202">
        <v>6.4124999999999996</v>
      </c>
      <c r="L202">
        <v>6.6</v>
      </c>
      <c r="M202">
        <v>6.3333329999999997</v>
      </c>
      <c r="N202">
        <v>6.5541660000000004</v>
      </c>
      <c r="O202">
        <v>2.937853</v>
      </c>
      <c r="P202">
        <v>38628000</v>
      </c>
      <c r="R202" s="273" t="e">
        <f>(O202/O201)*('16. câmbio USD-BRL'!#REF!/'16. câmbio USD-BRL'!#REF!)^-1-1</f>
        <v>#REF!</v>
      </c>
    </row>
    <row r="203" spans="1:18" x14ac:dyDescent="0.2">
      <c r="A203" s="354">
        <v>42644</v>
      </c>
      <c r="B203">
        <v>9.09</v>
      </c>
      <c r="C203">
        <v>11.12</v>
      </c>
      <c r="D203">
        <v>9.09</v>
      </c>
      <c r="E203">
        <v>10.74</v>
      </c>
      <c r="F203">
        <v>7.2968500000000001</v>
      </c>
      <c r="G203">
        <v>146204400</v>
      </c>
      <c r="J203" s="354">
        <v>37928</v>
      </c>
      <c r="K203">
        <v>6.5541660000000004</v>
      </c>
      <c r="L203">
        <v>6.8250000000000002</v>
      </c>
      <c r="M203">
        <v>6.3375000000000004</v>
      </c>
      <c r="N203">
        <v>6.3666660000000004</v>
      </c>
      <c r="O203">
        <v>2.8538079999999999</v>
      </c>
      <c r="P203">
        <v>52545600</v>
      </c>
      <c r="R203" s="273" t="e">
        <f>(O203/O202)*('16. câmbio USD-BRL'!#REF!/'16. câmbio USD-BRL'!#REF!)^-1-1</f>
        <v>#REF!</v>
      </c>
    </row>
    <row r="204" spans="1:18" x14ac:dyDescent="0.2">
      <c r="A204" s="354">
        <v>42675</v>
      </c>
      <c r="B204">
        <v>10.9</v>
      </c>
      <c r="C204">
        <v>13.42</v>
      </c>
      <c r="D204">
        <v>9.43</v>
      </c>
      <c r="E204">
        <v>12.43</v>
      </c>
      <c r="F204">
        <v>8.4450509999999994</v>
      </c>
      <c r="G204">
        <v>144380900</v>
      </c>
      <c r="J204" s="354">
        <v>37935</v>
      </c>
      <c r="K204">
        <v>6.4166660000000002</v>
      </c>
      <c r="L204">
        <v>7.1666660000000002</v>
      </c>
      <c r="M204">
        <v>6.2041659999999998</v>
      </c>
      <c r="N204">
        <v>7.1666660000000002</v>
      </c>
      <c r="O204">
        <v>3.2124030000000001</v>
      </c>
      <c r="P204">
        <v>56347200</v>
      </c>
      <c r="R204" s="273" t="e">
        <f>(O204/O203)*('16. câmbio USD-BRL'!#REF!/'16. câmbio USD-BRL'!#REF!)^-1-1</f>
        <v>#REF!</v>
      </c>
    </row>
    <row r="205" spans="1:18" x14ac:dyDescent="0.2">
      <c r="A205" s="354">
        <v>42705</v>
      </c>
      <c r="B205">
        <v>12.45</v>
      </c>
      <c r="C205">
        <v>12.59</v>
      </c>
      <c r="D205">
        <v>9.41</v>
      </c>
      <c r="E205">
        <v>10.85</v>
      </c>
      <c r="F205">
        <v>7.3715859999999997</v>
      </c>
      <c r="G205">
        <v>103512000</v>
      </c>
      <c r="J205" s="354">
        <v>37942</v>
      </c>
      <c r="K205">
        <v>7.0250000000000004</v>
      </c>
      <c r="L205">
        <v>7.1375000000000002</v>
      </c>
      <c r="M205">
        <v>6.6208330000000002</v>
      </c>
      <c r="N205">
        <v>6.7374999999999998</v>
      </c>
      <c r="O205">
        <v>3.020032</v>
      </c>
      <c r="P205">
        <v>55036800</v>
      </c>
      <c r="R205" s="273" t="e">
        <f>(O205/O204)*('16. câmbio USD-BRL'!O1/'16. câmbio USD-BRL'!#REF!)^-1-1</f>
        <v>#REF!</v>
      </c>
    </row>
    <row r="206" spans="1:18" x14ac:dyDescent="0.2">
      <c r="A206" s="354">
        <v>42736</v>
      </c>
      <c r="B206">
        <v>10.7</v>
      </c>
      <c r="C206">
        <v>12.92</v>
      </c>
      <c r="D206">
        <v>10.61</v>
      </c>
      <c r="E206">
        <v>11.55</v>
      </c>
      <c r="F206">
        <v>7.8471719999999996</v>
      </c>
      <c r="G206">
        <v>87705000</v>
      </c>
      <c r="J206" s="354">
        <v>37949</v>
      </c>
      <c r="K206">
        <v>6.779166</v>
      </c>
      <c r="L206">
        <v>7.4458330000000004</v>
      </c>
      <c r="M206">
        <v>6.6375000000000002</v>
      </c>
      <c r="N206">
        <v>7.4458330000000004</v>
      </c>
      <c r="O206">
        <v>3.3375370000000002</v>
      </c>
      <c r="P206">
        <v>48384000</v>
      </c>
      <c r="R206" s="273" t="e">
        <f>(O206/O205)*('16. câmbio USD-BRL'!O2/'16. câmbio USD-BRL'!O1)^-1-1</f>
        <v>#VALUE!</v>
      </c>
    </row>
    <row r="207" spans="1:18" x14ac:dyDescent="0.2">
      <c r="A207" s="354">
        <v>42767</v>
      </c>
      <c r="B207">
        <v>11.84</v>
      </c>
      <c r="C207">
        <v>12.97</v>
      </c>
      <c r="D207">
        <v>11.02</v>
      </c>
      <c r="E207">
        <v>11.98</v>
      </c>
      <c r="F207">
        <v>8.1393179999999994</v>
      </c>
      <c r="G207">
        <v>78320600</v>
      </c>
      <c r="J207" s="354">
        <v>37956</v>
      </c>
      <c r="K207">
        <v>7.4458330000000004</v>
      </c>
      <c r="L207">
        <v>7.654166</v>
      </c>
      <c r="M207">
        <v>7.0666659999999997</v>
      </c>
      <c r="N207">
        <v>7.4166660000000002</v>
      </c>
      <c r="O207">
        <v>3.324462</v>
      </c>
      <c r="P207">
        <v>63259200</v>
      </c>
      <c r="R207" s="273" t="e">
        <f>(O207/O206)*('16. câmbio USD-BRL'!O3/'16. câmbio USD-BRL'!O2)^-1-1</f>
        <v>#VALUE!</v>
      </c>
    </row>
    <row r="208" spans="1:18" x14ac:dyDescent="0.2">
      <c r="A208" s="354">
        <v>42795</v>
      </c>
      <c r="B208">
        <v>12.1</v>
      </c>
      <c r="C208">
        <v>12.23</v>
      </c>
      <c r="D208">
        <v>9.01</v>
      </c>
      <c r="E208">
        <v>9.11</v>
      </c>
      <c r="F208">
        <v>6.1894140000000002</v>
      </c>
      <c r="G208">
        <v>116357800</v>
      </c>
      <c r="J208" s="354">
        <v>37963</v>
      </c>
      <c r="K208">
        <v>7.4166660000000002</v>
      </c>
      <c r="L208">
        <v>8.045833</v>
      </c>
      <c r="M208">
        <v>7.4166660000000002</v>
      </c>
      <c r="N208">
        <v>7.6958330000000004</v>
      </c>
      <c r="O208">
        <v>3.4495979999999999</v>
      </c>
      <c r="P208">
        <v>52804800</v>
      </c>
      <c r="R208" s="273">
        <f>(O208/O207)*('16. câmbio USD-BRL'!O4/'16. câmbio USD-BRL'!O3)^-1-1</f>
        <v>3.7287437330857154E-2</v>
      </c>
    </row>
    <row r="209" spans="1:18" x14ac:dyDescent="0.2">
      <c r="A209" s="354">
        <v>42826</v>
      </c>
      <c r="B209">
        <v>9.14</v>
      </c>
      <c r="C209">
        <v>9.52</v>
      </c>
      <c r="D209">
        <v>7.05</v>
      </c>
      <c r="E209">
        <v>7.75</v>
      </c>
      <c r="F209">
        <v>5.2654189999999996</v>
      </c>
      <c r="G209">
        <v>122180700</v>
      </c>
      <c r="J209" s="354">
        <v>37970</v>
      </c>
      <c r="K209">
        <v>7.779166</v>
      </c>
      <c r="L209">
        <v>7.8875000000000002</v>
      </c>
      <c r="M209">
        <v>7.3958329999999997</v>
      </c>
      <c r="N209">
        <v>7.8166659999999997</v>
      </c>
      <c r="O209">
        <v>3.5037600000000002</v>
      </c>
      <c r="P209">
        <v>90655200</v>
      </c>
      <c r="R209" s="273">
        <f>(O209/O208)*('16. câmbio USD-BRL'!O5/'16. câmbio USD-BRL'!O4)^-1-1</f>
        <v>1.9870789400566746E-2</v>
      </c>
    </row>
    <row r="210" spans="1:18" x14ac:dyDescent="0.2">
      <c r="A210" s="354">
        <v>42856</v>
      </c>
      <c r="B210">
        <v>7.75</v>
      </c>
      <c r="C210">
        <v>8.0500000000000007</v>
      </c>
      <c r="D210">
        <v>6.37</v>
      </c>
      <c r="E210">
        <v>6.86</v>
      </c>
      <c r="F210">
        <v>4.6607440000000002</v>
      </c>
      <c r="G210">
        <v>151725800</v>
      </c>
      <c r="J210" s="354">
        <v>37977</v>
      </c>
      <c r="K210">
        <v>7.8208330000000004</v>
      </c>
      <c r="L210">
        <v>8.4708330000000007</v>
      </c>
      <c r="M210">
        <v>7.8125</v>
      </c>
      <c r="N210">
        <v>8.3166659999999997</v>
      </c>
      <c r="O210">
        <v>3.7278799999999999</v>
      </c>
      <c r="P210">
        <v>85928817</v>
      </c>
      <c r="R210" s="273">
        <f>(O210/O209)*('16. câmbio USD-BRL'!O6/'16. câmbio USD-BRL'!O5)^-1-1</f>
        <v>7.2034249047088661E-2</v>
      </c>
    </row>
    <row r="211" spans="1:18" x14ac:dyDescent="0.2">
      <c r="A211" s="354">
        <v>42887</v>
      </c>
      <c r="B211">
        <v>6.97</v>
      </c>
      <c r="C211">
        <v>7.35</v>
      </c>
      <c r="D211">
        <v>5.97</v>
      </c>
      <c r="E211">
        <v>7.18</v>
      </c>
      <c r="F211">
        <v>4.8781559999999997</v>
      </c>
      <c r="G211">
        <v>159701900</v>
      </c>
      <c r="J211" s="354">
        <v>37984</v>
      </c>
      <c r="K211">
        <v>8.3874999999999993</v>
      </c>
      <c r="L211">
        <v>8.9708330000000007</v>
      </c>
      <c r="M211">
        <v>8.341666</v>
      </c>
      <c r="N211">
        <v>8.8375000000000004</v>
      </c>
      <c r="O211">
        <v>3.961341</v>
      </c>
      <c r="P211">
        <v>23400000</v>
      </c>
      <c r="R211" s="273">
        <f>(O211/O210)*('16. câmbio USD-BRL'!O7/'16. câmbio USD-BRL'!O6)^-1-1</f>
        <v>7.1862685030795292E-2</v>
      </c>
    </row>
    <row r="212" spans="1:18" x14ac:dyDescent="0.2">
      <c r="A212" s="354">
        <v>42917</v>
      </c>
      <c r="B212">
        <v>7.3</v>
      </c>
      <c r="C212">
        <v>8.02</v>
      </c>
      <c r="D212">
        <v>6.92</v>
      </c>
      <c r="E212">
        <v>7.62</v>
      </c>
      <c r="F212">
        <v>5.1770940000000003</v>
      </c>
      <c r="G212">
        <v>132366400</v>
      </c>
      <c r="J212" s="354">
        <v>37991</v>
      </c>
      <c r="K212">
        <v>8.8874999999999993</v>
      </c>
      <c r="L212">
        <v>10</v>
      </c>
      <c r="M212">
        <v>8.8874999999999993</v>
      </c>
      <c r="N212">
        <v>9.7750000000000004</v>
      </c>
      <c r="O212">
        <v>4.3815679999999997</v>
      </c>
      <c r="P212">
        <v>83851200</v>
      </c>
      <c r="R212" s="273">
        <f>(O212/O211)*('16. câmbio USD-BRL'!O8/'16. câmbio USD-BRL'!O7)^-1-1</f>
        <v>0.12406072418798275</v>
      </c>
    </row>
    <row r="213" spans="1:18" x14ac:dyDescent="0.2">
      <c r="A213" s="354">
        <v>42948</v>
      </c>
      <c r="B213">
        <v>7.62</v>
      </c>
      <c r="C213">
        <v>8.81</v>
      </c>
      <c r="D213">
        <v>7.43</v>
      </c>
      <c r="E213">
        <v>8.69</v>
      </c>
      <c r="F213">
        <v>5.9040629999999998</v>
      </c>
      <c r="G213">
        <v>197611400</v>
      </c>
      <c r="J213" s="354">
        <v>37998</v>
      </c>
      <c r="K213">
        <v>9.8874999999999993</v>
      </c>
      <c r="L213">
        <v>10.1875</v>
      </c>
      <c r="M213">
        <v>8.6875</v>
      </c>
      <c r="N213">
        <v>9.0625</v>
      </c>
      <c r="O213">
        <v>4.062195</v>
      </c>
      <c r="P213">
        <v>103658399</v>
      </c>
      <c r="R213" s="273">
        <f>(O213/O212)*('16. câmbio USD-BRL'!O9/'16. câmbio USD-BRL'!O8)^-1-1</f>
        <v>-7.1906271107490483E-2</v>
      </c>
    </row>
    <row r="214" spans="1:18" x14ac:dyDescent="0.2">
      <c r="A214" s="354">
        <v>42979</v>
      </c>
      <c r="B214">
        <v>8.81</v>
      </c>
      <c r="C214">
        <v>11.35</v>
      </c>
      <c r="D214">
        <v>8.7799999999999994</v>
      </c>
      <c r="E214">
        <v>9.61</v>
      </c>
      <c r="F214">
        <v>6.5291180000000004</v>
      </c>
      <c r="G214">
        <v>201935900</v>
      </c>
      <c r="J214" s="354">
        <v>38005</v>
      </c>
      <c r="K214">
        <v>9.1208329999999993</v>
      </c>
      <c r="L214">
        <v>9.5541660000000004</v>
      </c>
      <c r="M214">
        <v>8.8375000000000004</v>
      </c>
      <c r="N214">
        <v>9.1458329999999997</v>
      </c>
      <c r="O214">
        <v>4.0995489999999997</v>
      </c>
      <c r="P214">
        <v>57412800</v>
      </c>
      <c r="R214" s="273">
        <f>(O214/O213)*('16. câmbio USD-BRL'!O10/'16. câmbio USD-BRL'!O9)^-1-1</f>
        <v>4.5759641776963456E-3</v>
      </c>
    </row>
    <row r="215" spans="1:18" x14ac:dyDescent="0.2">
      <c r="A215" s="354">
        <v>43009</v>
      </c>
      <c r="B215">
        <v>9.81</v>
      </c>
      <c r="C215">
        <v>11.18</v>
      </c>
      <c r="D215">
        <v>8.36</v>
      </c>
      <c r="E215">
        <v>8.43</v>
      </c>
      <c r="F215">
        <v>5.7274159999999998</v>
      </c>
      <c r="G215">
        <v>218539000</v>
      </c>
      <c r="J215" s="354">
        <v>38012</v>
      </c>
      <c r="K215">
        <v>9.3333329999999997</v>
      </c>
      <c r="L215">
        <v>10.045833</v>
      </c>
      <c r="M215">
        <v>8.670833</v>
      </c>
      <c r="N215">
        <v>9.0833329999999997</v>
      </c>
      <c r="O215">
        <v>4.0715339999999998</v>
      </c>
      <c r="P215">
        <v>99849599</v>
      </c>
      <c r="R215" s="273">
        <f>(O215/O214)*('16. câmbio USD-BRL'!O11/'16. câmbio USD-BRL'!O10)^-1-1</f>
        <v>-3.7997151103784432E-2</v>
      </c>
    </row>
    <row r="216" spans="1:18" x14ac:dyDescent="0.2">
      <c r="A216" s="354">
        <v>43040</v>
      </c>
      <c r="B216">
        <v>8.65</v>
      </c>
      <c r="C216">
        <v>8.6999999999999993</v>
      </c>
      <c r="D216">
        <v>7.25</v>
      </c>
      <c r="E216">
        <v>7.36</v>
      </c>
      <c r="F216">
        <v>5.0004489999999997</v>
      </c>
      <c r="G216">
        <v>210501600</v>
      </c>
      <c r="J216" s="354">
        <v>38019</v>
      </c>
      <c r="K216">
        <v>8.6666659999999993</v>
      </c>
      <c r="L216">
        <v>9.654166</v>
      </c>
      <c r="M216">
        <v>8.0541660000000004</v>
      </c>
      <c r="N216">
        <v>8.8625000000000007</v>
      </c>
      <c r="O216">
        <v>3.9725459999999999</v>
      </c>
      <c r="P216">
        <v>77162399</v>
      </c>
      <c r="R216" s="273">
        <f>(O216/O215)*('16. câmbio USD-BRL'!O12/'16. câmbio USD-BRL'!O11)^-1-1</f>
        <v>-2.4312212546917178E-2</v>
      </c>
    </row>
    <row r="217" spans="1:18" x14ac:dyDescent="0.2">
      <c r="A217" s="354">
        <v>43070</v>
      </c>
      <c r="B217">
        <v>7.28</v>
      </c>
      <c r="C217">
        <v>8.5</v>
      </c>
      <c r="D217">
        <v>7.16</v>
      </c>
      <c r="E217">
        <v>8.3800000000000008</v>
      </c>
      <c r="F217">
        <v>5.6934449999999996</v>
      </c>
      <c r="G217">
        <v>174391200</v>
      </c>
      <c r="J217" s="354">
        <v>38026</v>
      </c>
      <c r="K217">
        <v>9.029166</v>
      </c>
      <c r="L217">
        <v>9.779166</v>
      </c>
      <c r="M217">
        <v>8.8874999999999993</v>
      </c>
      <c r="N217">
        <v>9.5541660000000004</v>
      </c>
      <c r="O217">
        <v>4.2825810000000004</v>
      </c>
      <c r="P217">
        <v>56692800</v>
      </c>
      <c r="R217" s="273">
        <f>(O217/O216)*('16. câmbio USD-BRL'!O13/'16. câmbio USD-BRL'!O12)^-1-1</f>
        <v>8.8438775361137534E-2</v>
      </c>
    </row>
    <row r="218" spans="1:18" x14ac:dyDescent="0.2">
      <c r="A218" s="354">
        <v>43101</v>
      </c>
      <c r="B218">
        <v>8.3800000000000008</v>
      </c>
      <c r="C218">
        <v>11.33</v>
      </c>
      <c r="D218">
        <v>8.3800000000000008</v>
      </c>
      <c r="E218">
        <v>10.99</v>
      </c>
      <c r="F218">
        <v>7.4667029999999999</v>
      </c>
      <c r="G218">
        <v>258667800</v>
      </c>
      <c r="J218" s="354">
        <v>38033</v>
      </c>
      <c r="K218">
        <v>9.529166</v>
      </c>
      <c r="L218">
        <v>10.262499999999999</v>
      </c>
      <c r="M218">
        <v>9.1666659999999993</v>
      </c>
      <c r="N218">
        <v>9.7708329999999997</v>
      </c>
      <c r="O218">
        <v>4.3796999999999997</v>
      </c>
      <c r="P218">
        <v>92786399</v>
      </c>
      <c r="R218" s="273">
        <f>(O218/O217)*('16. câmbio USD-BRL'!O14/'16. câmbio USD-BRL'!O13)^-1-1</f>
        <v>4.3476434589877488E-3</v>
      </c>
    </row>
    <row r="219" spans="1:18" x14ac:dyDescent="0.2">
      <c r="A219" s="354">
        <v>43132</v>
      </c>
      <c r="B219">
        <v>11.12</v>
      </c>
      <c r="C219">
        <v>11.2</v>
      </c>
      <c r="D219">
        <v>9.56</v>
      </c>
      <c r="E219">
        <v>10.15</v>
      </c>
      <c r="F219">
        <v>6.8959979999999996</v>
      </c>
      <c r="G219">
        <v>168158000</v>
      </c>
      <c r="J219" s="354">
        <v>38040</v>
      </c>
      <c r="K219">
        <v>9.6750000000000007</v>
      </c>
      <c r="L219">
        <v>10.387499999999999</v>
      </c>
      <c r="M219">
        <v>9.5</v>
      </c>
      <c r="N219">
        <v>10.333333</v>
      </c>
      <c r="O219">
        <v>4.6318359999999998</v>
      </c>
      <c r="P219">
        <v>26589600</v>
      </c>
      <c r="R219" s="273">
        <f>(O219/O218)*('16. câmbio USD-BRL'!O15/'16. câmbio USD-BRL'!O14)^-1-1</f>
        <v>7.6499911322213787E-2</v>
      </c>
    </row>
    <row r="220" spans="1:18" x14ac:dyDescent="0.2">
      <c r="A220" s="354">
        <v>43160</v>
      </c>
      <c r="B220">
        <v>10.25</v>
      </c>
      <c r="C220">
        <v>10.34</v>
      </c>
      <c r="D220">
        <v>8.1</v>
      </c>
      <c r="E220">
        <v>8.8000000000000007</v>
      </c>
      <c r="F220">
        <v>5.9787970000000001</v>
      </c>
      <c r="G220">
        <v>204944100</v>
      </c>
      <c r="J220" s="354">
        <v>38047</v>
      </c>
      <c r="K220">
        <v>10.387499999999999</v>
      </c>
      <c r="L220">
        <v>11.25</v>
      </c>
      <c r="M220">
        <v>10.120832999999999</v>
      </c>
      <c r="N220">
        <v>11.220833000000001</v>
      </c>
      <c r="O220">
        <v>5.0296519999999996</v>
      </c>
      <c r="P220">
        <v>80143200</v>
      </c>
      <c r="R220" s="273">
        <f>(O220/O219)*('16. câmbio USD-BRL'!O16/'16. câmbio USD-BRL'!O15)^-1-1</f>
        <v>0.10066387881798766</v>
      </c>
    </row>
    <row r="221" spans="1:18" x14ac:dyDescent="0.2">
      <c r="A221" s="354">
        <v>43191</v>
      </c>
      <c r="B221">
        <v>8.82</v>
      </c>
      <c r="C221">
        <v>9.4499999999999993</v>
      </c>
      <c r="D221">
        <v>8.39</v>
      </c>
      <c r="E221">
        <v>8.7799999999999994</v>
      </c>
      <c r="F221">
        <v>5.9652089999999998</v>
      </c>
      <c r="G221">
        <v>167154000</v>
      </c>
      <c r="J221" s="354">
        <v>38054</v>
      </c>
      <c r="K221">
        <v>11.304166</v>
      </c>
      <c r="L221">
        <v>11.6625</v>
      </c>
      <c r="M221">
        <v>10</v>
      </c>
      <c r="N221">
        <v>10.666665999999999</v>
      </c>
      <c r="O221">
        <v>4.78125</v>
      </c>
      <c r="P221">
        <v>123299997</v>
      </c>
      <c r="R221" s="273">
        <f>(O221/O220)*('16. câmbio USD-BRL'!O17/'16. câmbio USD-BRL'!O16)^-1-1</f>
        <v>-6.0208558207455187E-2</v>
      </c>
    </row>
    <row r="222" spans="1:18" x14ac:dyDescent="0.2">
      <c r="A222" s="354">
        <v>43221</v>
      </c>
      <c r="B222">
        <v>8.7799999999999994</v>
      </c>
      <c r="C222">
        <v>9.8000000000000007</v>
      </c>
      <c r="D222">
        <v>7.35</v>
      </c>
      <c r="E222">
        <v>7.7</v>
      </c>
      <c r="F222">
        <v>5.2314470000000002</v>
      </c>
      <c r="G222">
        <v>206378100</v>
      </c>
      <c r="J222" s="354">
        <v>38061</v>
      </c>
      <c r="K222">
        <v>10.720833000000001</v>
      </c>
      <c r="L222">
        <v>10.833333</v>
      </c>
      <c r="M222">
        <v>10.233333</v>
      </c>
      <c r="N222">
        <v>10.637499999999999</v>
      </c>
      <c r="O222">
        <v>4.7681760000000004</v>
      </c>
      <c r="P222">
        <v>76082399</v>
      </c>
      <c r="R222" s="273">
        <f>(O222/O221)*('16. câmbio USD-BRL'!O18/'16. câmbio USD-BRL'!O17)^-1-1</f>
        <v>-3.0783160513858654E-3</v>
      </c>
    </row>
    <row r="223" spans="1:18" x14ac:dyDescent="0.2">
      <c r="A223" s="354">
        <v>43252</v>
      </c>
      <c r="B223">
        <v>7.81</v>
      </c>
      <c r="C223">
        <v>9.4499999999999993</v>
      </c>
      <c r="D223">
        <v>7.42</v>
      </c>
      <c r="E223">
        <v>7.86</v>
      </c>
      <c r="F223">
        <v>5.3401529999999999</v>
      </c>
      <c r="G223">
        <v>220068500</v>
      </c>
      <c r="J223" s="354">
        <v>38068</v>
      </c>
      <c r="K223">
        <v>10.425000000000001</v>
      </c>
      <c r="L223">
        <v>10.829166000000001</v>
      </c>
      <c r="M223">
        <v>9.8625000000000007</v>
      </c>
      <c r="N223">
        <v>10.720833000000001</v>
      </c>
      <c r="O223">
        <v>4.8055310000000002</v>
      </c>
      <c r="P223">
        <v>67831198</v>
      </c>
      <c r="R223" s="273">
        <f>(O223/O222)*('16. câmbio USD-BRL'!O19/'16. câmbio USD-BRL'!O18)^-1-1</f>
        <v>-4.862351166465384E-3</v>
      </c>
    </row>
    <row r="224" spans="1:18" x14ac:dyDescent="0.2">
      <c r="A224" s="354">
        <v>43282</v>
      </c>
      <c r="B224">
        <v>7.8</v>
      </c>
      <c r="C224">
        <v>9.49</v>
      </c>
      <c r="D224">
        <v>7.53</v>
      </c>
      <c r="E224">
        <v>9.18</v>
      </c>
      <c r="F224">
        <v>6.2369719999999997</v>
      </c>
      <c r="G224">
        <v>192198700</v>
      </c>
      <c r="J224" s="354">
        <v>38075</v>
      </c>
      <c r="K224">
        <v>10.816666</v>
      </c>
      <c r="L224">
        <v>11.366666</v>
      </c>
      <c r="M224">
        <v>10.779166</v>
      </c>
      <c r="N224">
        <v>11.362500000000001</v>
      </c>
      <c r="O224">
        <v>5.0931519999999999</v>
      </c>
      <c r="P224">
        <v>50673600</v>
      </c>
      <c r="R224" s="273">
        <f>(O224/O223)*('16. câmbio USD-BRL'!O20/'16. câmbio USD-BRL'!O19)^-1-1</f>
        <v>7.5971497807984179E-2</v>
      </c>
    </row>
    <row r="225" spans="1:18" x14ac:dyDescent="0.2">
      <c r="A225" s="354">
        <v>43313</v>
      </c>
      <c r="B225">
        <v>9</v>
      </c>
      <c r="C225">
        <v>10.039999999999999</v>
      </c>
      <c r="D225">
        <v>8.24</v>
      </c>
      <c r="E225">
        <v>8.7799999999999994</v>
      </c>
      <c r="F225">
        <v>5.9652089999999998</v>
      </c>
      <c r="G225">
        <v>219550000</v>
      </c>
      <c r="J225" s="354">
        <v>38082</v>
      </c>
      <c r="K225">
        <v>11.283333000000001</v>
      </c>
      <c r="L225">
        <v>11.387499999999999</v>
      </c>
      <c r="M225">
        <v>10.558332999999999</v>
      </c>
      <c r="N225">
        <v>10.816666</v>
      </c>
      <c r="O225">
        <v>4.8484860000000003</v>
      </c>
      <c r="P225">
        <v>34128000</v>
      </c>
      <c r="R225" s="273">
        <f>(O225/O224)*('16. câmbio USD-BRL'!O21/'16. câmbio USD-BRL'!O20)^-1-1</f>
        <v>-4.5067474098380078E-2</v>
      </c>
    </row>
    <row r="226" spans="1:18" x14ac:dyDescent="0.2">
      <c r="A226" s="354">
        <v>43344</v>
      </c>
      <c r="B226">
        <v>8.7799999999999994</v>
      </c>
      <c r="C226">
        <v>9.56</v>
      </c>
      <c r="D226">
        <v>8.1300000000000008</v>
      </c>
      <c r="E226">
        <v>9.34</v>
      </c>
      <c r="F226">
        <v>6.8104259999999996</v>
      </c>
      <c r="G226">
        <v>123943000</v>
      </c>
      <c r="J226" s="354">
        <v>38089</v>
      </c>
      <c r="K226">
        <v>10.925000000000001</v>
      </c>
      <c r="L226">
        <v>10.945833</v>
      </c>
      <c r="M226">
        <v>9.779166</v>
      </c>
      <c r="N226">
        <v>9.9166659999999993</v>
      </c>
      <c r="O226">
        <v>4.4450690000000002</v>
      </c>
      <c r="P226">
        <v>82331998</v>
      </c>
      <c r="R226" s="273">
        <f>(O226/O225)*('16. câmbio USD-BRL'!O22/'16. câmbio USD-BRL'!O21)^-1-1</f>
        <v>-9.0771134812213106E-2</v>
      </c>
    </row>
    <row r="227" spans="1:18" x14ac:dyDescent="0.2">
      <c r="A227" s="354">
        <v>43374</v>
      </c>
      <c r="B227">
        <v>9.34</v>
      </c>
      <c r="C227">
        <v>10.3</v>
      </c>
      <c r="D227">
        <v>8.7799999999999994</v>
      </c>
      <c r="E227">
        <v>9.57</v>
      </c>
      <c r="F227">
        <v>6.978135</v>
      </c>
      <c r="G227">
        <v>200409200</v>
      </c>
      <c r="J227" s="354">
        <v>38096</v>
      </c>
      <c r="K227">
        <v>9.9625000000000004</v>
      </c>
      <c r="L227">
        <v>9.9625000000000004</v>
      </c>
      <c r="M227">
        <v>8.8333329999999997</v>
      </c>
      <c r="N227">
        <v>9.1125000000000007</v>
      </c>
      <c r="O227">
        <v>4.0846070000000001</v>
      </c>
      <c r="P227">
        <v>59349599</v>
      </c>
      <c r="R227" s="273">
        <f>(O227/O226)*('16. câmbio USD-BRL'!O23/'16. câmbio USD-BRL'!O22)^-1-1</f>
        <v>-8.1092554468783273E-2</v>
      </c>
    </row>
    <row r="228" spans="1:18" x14ac:dyDescent="0.2">
      <c r="A228" s="354">
        <v>43405</v>
      </c>
      <c r="B228">
        <v>9.61</v>
      </c>
      <c r="C228">
        <v>10.32</v>
      </c>
      <c r="D228">
        <v>8.32</v>
      </c>
      <c r="E228">
        <v>8.8699999999999992</v>
      </c>
      <c r="F228">
        <v>6.4677170000000004</v>
      </c>
      <c r="G228">
        <v>135678300</v>
      </c>
      <c r="J228" s="354">
        <v>38103</v>
      </c>
      <c r="K228">
        <v>9.5541660000000004</v>
      </c>
      <c r="L228">
        <v>9.779166</v>
      </c>
      <c r="M228">
        <v>7.6833330000000002</v>
      </c>
      <c r="N228">
        <v>7.75</v>
      </c>
      <c r="O228">
        <v>3.4738769999999999</v>
      </c>
      <c r="P228">
        <v>95651999</v>
      </c>
      <c r="R228" s="273">
        <f>(O228/O227)*('16. câmbio USD-BRL'!O24/'16. câmbio USD-BRL'!O23)^-1-1</f>
        <v>-0.15590575007307617</v>
      </c>
    </row>
    <row r="229" spans="1:18" x14ac:dyDescent="0.2">
      <c r="A229" s="354">
        <v>43435</v>
      </c>
      <c r="B229">
        <v>9.19</v>
      </c>
      <c r="C229">
        <v>9.6</v>
      </c>
      <c r="D229">
        <v>8.4</v>
      </c>
      <c r="E229">
        <v>8.84</v>
      </c>
      <c r="F229">
        <v>6.4458419999999998</v>
      </c>
      <c r="G229">
        <v>138440700</v>
      </c>
      <c r="J229" s="354">
        <v>38110</v>
      </c>
      <c r="K229">
        <v>7.75</v>
      </c>
      <c r="L229">
        <v>8.2208330000000007</v>
      </c>
      <c r="M229">
        <v>7.1</v>
      </c>
      <c r="N229">
        <v>7.2</v>
      </c>
      <c r="O229">
        <v>3.227344</v>
      </c>
      <c r="P229">
        <v>106185600</v>
      </c>
      <c r="R229" s="273">
        <f>(O229/O228)*('16. câmbio USD-BRL'!O25/'16. câmbio USD-BRL'!O24)^-1-1</f>
        <v>-0.11072698782810342</v>
      </c>
    </row>
    <row r="230" spans="1:18" x14ac:dyDescent="0.2">
      <c r="A230" s="354">
        <v>43466</v>
      </c>
      <c r="B230">
        <v>8.84</v>
      </c>
      <c r="C230">
        <v>11.11</v>
      </c>
      <c r="D230">
        <v>8.6999999999999993</v>
      </c>
      <c r="E230">
        <v>10.199999999999999</v>
      </c>
      <c r="F230">
        <v>7.4375099999999996</v>
      </c>
      <c r="G230">
        <v>230695500</v>
      </c>
      <c r="J230" s="354">
        <v>38117</v>
      </c>
      <c r="K230">
        <v>6.9958330000000002</v>
      </c>
      <c r="L230">
        <v>7.1666660000000002</v>
      </c>
      <c r="M230">
        <v>6.4708329999999998</v>
      </c>
      <c r="N230">
        <v>6.8208330000000004</v>
      </c>
      <c r="O230">
        <v>3.0573860000000002</v>
      </c>
      <c r="P230">
        <v>119836800</v>
      </c>
      <c r="R230" s="273">
        <f>(O230/O229)*('16. câmbio USD-BRL'!O26/'16. câmbio USD-BRL'!O25)^-1-1</f>
        <v>-6.0944952188921264E-2</v>
      </c>
    </row>
    <row r="231" spans="1:18" x14ac:dyDescent="0.2">
      <c r="A231" s="354">
        <v>43497</v>
      </c>
      <c r="B231">
        <v>10.44</v>
      </c>
      <c r="C231">
        <v>13.32</v>
      </c>
      <c r="D231">
        <v>9.26</v>
      </c>
      <c r="E231">
        <v>13.08</v>
      </c>
      <c r="F231">
        <v>9.5375130000000006</v>
      </c>
      <c r="G231">
        <v>296646200</v>
      </c>
      <c r="J231" s="354">
        <v>38124</v>
      </c>
      <c r="K231">
        <v>6.6624999999999996</v>
      </c>
      <c r="L231">
        <v>7.8791659999999997</v>
      </c>
      <c r="M231">
        <v>6.4541659999999998</v>
      </c>
      <c r="N231">
        <v>7.779166</v>
      </c>
      <c r="O231">
        <v>3.4869509999999999</v>
      </c>
      <c r="P231">
        <v>93355200</v>
      </c>
      <c r="R231" s="273">
        <f>(O231/O230)*('16. câmbio USD-BRL'!O27/'16. câmbio USD-BRL'!O26)^-1-1</f>
        <v>0.10299601932344604</v>
      </c>
    </row>
    <row r="232" spans="1:18" x14ac:dyDescent="0.2">
      <c r="A232" s="354">
        <v>43525</v>
      </c>
      <c r="B232">
        <v>13.23</v>
      </c>
      <c r="C232">
        <v>17.420000000000002</v>
      </c>
      <c r="D232">
        <v>13.16</v>
      </c>
      <c r="E232">
        <v>16.25</v>
      </c>
      <c r="F232">
        <v>11.848973000000001</v>
      </c>
      <c r="G232">
        <v>383684000</v>
      </c>
      <c r="J232" s="354">
        <v>38131</v>
      </c>
      <c r="K232">
        <v>7.8833330000000004</v>
      </c>
      <c r="L232">
        <v>8.2208330000000007</v>
      </c>
      <c r="M232">
        <v>7.7249999999999996</v>
      </c>
      <c r="N232">
        <v>8</v>
      </c>
      <c r="O232">
        <v>3.5859380000000001</v>
      </c>
      <c r="P232">
        <v>71114399</v>
      </c>
      <c r="R232" s="273">
        <f>(O232/O231)*('16. câmbio USD-BRL'!O28/'16. câmbio USD-BRL'!O27)^-1-1</f>
        <v>6.3355688678968569E-2</v>
      </c>
    </row>
    <row r="233" spans="1:18" x14ac:dyDescent="0.2">
      <c r="A233" s="354">
        <v>43556</v>
      </c>
      <c r="B233">
        <v>16.899999999999999</v>
      </c>
      <c r="C233">
        <v>17.489999999999998</v>
      </c>
      <c r="D233">
        <v>14.25</v>
      </c>
      <c r="E233">
        <v>14.54</v>
      </c>
      <c r="F233">
        <v>10.602098</v>
      </c>
      <c r="G233">
        <v>296254300</v>
      </c>
      <c r="J233" s="354">
        <v>38138</v>
      </c>
      <c r="K233">
        <v>6.0833329999999997</v>
      </c>
      <c r="L233">
        <v>6.3333329999999997</v>
      </c>
      <c r="M233">
        <v>5.8766660000000002</v>
      </c>
      <c r="N233">
        <v>6.2833329999999998</v>
      </c>
      <c r="O233">
        <v>2.8164549999999999</v>
      </c>
      <c r="P233">
        <v>57882600</v>
      </c>
      <c r="R233" s="273">
        <f>(O233/O232)*('16. câmbio USD-BRL'!O29/'16. câmbio USD-BRL'!O28)^-1-1</f>
        <v>-0.22437919372799875</v>
      </c>
    </row>
    <row r="234" spans="1:18" x14ac:dyDescent="0.2">
      <c r="A234" s="354">
        <v>43586</v>
      </c>
      <c r="B234">
        <v>14.54</v>
      </c>
      <c r="C234">
        <v>18.27</v>
      </c>
      <c r="D234">
        <v>13.48</v>
      </c>
      <c r="E234">
        <v>16.540001</v>
      </c>
      <c r="F234">
        <v>12.614084</v>
      </c>
      <c r="G234">
        <v>294985700</v>
      </c>
      <c r="J234" s="354">
        <v>38145</v>
      </c>
      <c r="K234">
        <v>6.2833329999999998</v>
      </c>
      <c r="L234">
        <v>6.4</v>
      </c>
      <c r="M234">
        <v>5.926666</v>
      </c>
      <c r="N234">
        <v>6.1666660000000002</v>
      </c>
      <c r="O234">
        <v>2.76416</v>
      </c>
      <c r="P234">
        <v>57497400</v>
      </c>
      <c r="R234" s="273">
        <f>(O234/O233)*('16. câmbio USD-BRL'!O30/'16. câmbio USD-BRL'!O29)^-1-1</f>
        <v>-2.2007997548514235E-2</v>
      </c>
    </row>
    <row r="235" spans="1:18" x14ac:dyDescent="0.2">
      <c r="A235" s="354">
        <v>43617</v>
      </c>
      <c r="B235">
        <v>16.530000999999999</v>
      </c>
      <c r="C235">
        <v>18.239999999999998</v>
      </c>
      <c r="D235">
        <v>15.89</v>
      </c>
      <c r="E235">
        <v>16.709999</v>
      </c>
      <c r="F235">
        <v>13.370286</v>
      </c>
      <c r="G235">
        <v>200641200</v>
      </c>
      <c r="J235" s="354">
        <v>38152</v>
      </c>
      <c r="K235">
        <v>6.1166660000000004</v>
      </c>
      <c r="L235">
        <v>6.1550000000000002</v>
      </c>
      <c r="M235">
        <v>5.77</v>
      </c>
      <c r="N235">
        <v>5.8916659999999998</v>
      </c>
      <c r="O235">
        <v>2.6408930000000002</v>
      </c>
      <c r="P235">
        <v>81424800</v>
      </c>
      <c r="R235" s="273">
        <f>(O235/O234)*('16. câmbio USD-BRL'!O31/'16. câmbio USD-BRL'!O30)^-1-1</f>
        <v>-4.4899107382118553E-2</v>
      </c>
    </row>
    <row r="236" spans="1:18" x14ac:dyDescent="0.2">
      <c r="A236" s="354">
        <v>43647</v>
      </c>
      <c r="B236">
        <v>17.149999999999999</v>
      </c>
      <c r="C236">
        <v>17.799999</v>
      </c>
      <c r="D236">
        <v>16.120000999999998</v>
      </c>
      <c r="E236">
        <v>16.530000999999999</v>
      </c>
      <c r="F236">
        <v>13.226262999999999</v>
      </c>
      <c r="G236">
        <v>182381500</v>
      </c>
      <c r="J236" s="354">
        <v>38159</v>
      </c>
      <c r="K236">
        <v>5.95</v>
      </c>
      <c r="L236">
        <v>6.17</v>
      </c>
      <c r="M236">
        <v>5.55</v>
      </c>
      <c r="N236">
        <v>6.0833329999999997</v>
      </c>
      <c r="O236">
        <v>2.726807</v>
      </c>
      <c r="P236">
        <v>105040800</v>
      </c>
      <c r="R236" s="273">
        <f>(O236/O235)*('16. câmbio USD-BRL'!O32/'16. câmbio USD-BRL'!O31)^-1-1</f>
        <v>4.2495498671343057E-2</v>
      </c>
    </row>
    <row r="237" spans="1:18" x14ac:dyDescent="0.2">
      <c r="A237" s="354">
        <v>43678</v>
      </c>
      <c r="B237">
        <v>16.489999999999998</v>
      </c>
      <c r="C237">
        <v>16.68</v>
      </c>
      <c r="D237">
        <v>13.19</v>
      </c>
      <c r="E237">
        <v>14.36</v>
      </c>
      <c r="F237">
        <v>11.489966000000001</v>
      </c>
      <c r="G237">
        <v>226725200</v>
      </c>
      <c r="J237" s="354">
        <v>38166</v>
      </c>
      <c r="K237">
        <v>6.15</v>
      </c>
      <c r="L237">
        <v>6.4716659999999999</v>
      </c>
      <c r="M237">
        <v>5.858333</v>
      </c>
      <c r="N237">
        <v>6.466666</v>
      </c>
      <c r="O237">
        <v>2.8986329999999998</v>
      </c>
      <c r="P237">
        <v>106569000</v>
      </c>
      <c r="R237" s="273">
        <f>(O237/O236)*('16. câmbio USD-BRL'!O33/'16. câmbio USD-BRL'!O32)^-1-1</f>
        <v>8.7498969153103179E-2</v>
      </c>
    </row>
    <row r="238" spans="1:18" x14ac:dyDescent="0.2">
      <c r="A238" s="354">
        <v>43709</v>
      </c>
      <c r="B238">
        <v>14.65</v>
      </c>
      <c r="C238">
        <v>15.15</v>
      </c>
      <c r="D238">
        <v>13.06</v>
      </c>
      <c r="E238">
        <v>13.23</v>
      </c>
      <c r="F238">
        <v>10.585812000000001</v>
      </c>
      <c r="G238">
        <v>166965100</v>
      </c>
      <c r="J238" s="354">
        <v>38173</v>
      </c>
      <c r="K238">
        <v>6.466666</v>
      </c>
      <c r="L238">
        <v>6.6</v>
      </c>
      <c r="M238">
        <v>6.1833330000000002</v>
      </c>
      <c r="N238">
        <v>6.4</v>
      </c>
      <c r="O238">
        <v>2.8687499999999999</v>
      </c>
      <c r="P238">
        <v>54174600</v>
      </c>
      <c r="R238" s="273">
        <f>(O238/O237)*('16. câmbio USD-BRL'!O34/'16. câmbio USD-BRL'!O33)^-1-1</f>
        <v>-1.0960240532835619E-2</v>
      </c>
    </row>
    <row r="239" spans="1:18" x14ac:dyDescent="0.2">
      <c r="A239" s="354">
        <v>43739</v>
      </c>
      <c r="B239">
        <v>13.22</v>
      </c>
      <c r="C239">
        <v>13.86</v>
      </c>
      <c r="D239">
        <v>11.65</v>
      </c>
      <c r="E239">
        <v>11.8</v>
      </c>
      <c r="F239">
        <v>9.6408280000000008</v>
      </c>
      <c r="G239">
        <v>251077500</v>
      </c>
      <c r="J239" s="354">
        <v>38180</v>
      </c>
      <c r="K239">
        <v>6.4483329999999999</v>
      </c>
      <c r="L239">
        <v>7.2766659999999996</v>
      </c>
      <c r="M239">
        <v>6.4483329999999999</v>
      </c>
      <c r="N239">
        <v>7.0350000000000001</v>
      </c>
      <c r="O239">
        <v>3.1533829999999998</v>
      </c>
      <c r="P239">
        <v>97894800</v>
      </c>
      <c r="R239" s="273">
        <f>(O239/O238)*('16. câmbio USD-BRL'!O35/'16. câmbio USD-BRL'!O34)^-1-1</f>
        <v>0.11386983749062596</v>
      </c>
    </row>
    <row r="240" spans="1:18" x14ac:dyDescent="0.2">
      <c r="A240" s="354">
        <v>43770</v>
      </c>
      <c r="B240">
        <v>11.94</v>
      </c>
      <c r="C240">
        <v>13.04</v>
      </c>
      <c r="D240">
        <v>11.23</v>
      </c>
      <c r="E240">
        <v>12.56</v>
      </c>
      <c r="F240">
        <v>10.261765</v>
      </c>
      <c r="G240">
        <v>185760300</v>
      </c>
      <c r="J240" s="354">
        <v>38187</v>
      </c>
      <c r="K240">
        <v>7.0250000000000004</v>
      </c>
      <c r="L240">
        <v>7.1666660000000002</v>
      </c>
      <c r="M240">
        <v>6.7416660000000004</v>
      </c>
      <c r="N240">
        <v>6.8250000000000002</v>
      </c>
      <c r="O240">
        <v>3.059253</v>
      </c>
      <c r="P240">
        <v>41643000</v>
      </c>
      <c r="R240" s="273">
        <f>(O240/O239)*('16. câmbio USD-BRL'!O36/'16. câmbio USD-BRL'!O35)^-1-1</f>
        <v>-4.6374482188426436E-2</v>
      </c>
    </row>
    <row r="241" spans="1:18" x14ac:dyDescent="0.2">
      <c r="A241" s="354">
        <v>43800</v>
      </c>
      <c r="B241">
        <v>12.38</v>
      </c>
      <c r="C241">
        <v>14.71</v>
      </c>
      <c r="D241">
        <v>12.35</v>
      </c>
      <c r="E241">
        <v>14.11</v>
      </c>
      <c r="F241">
        <v>11.528143999999999</v>
      </c>
      <c r="G241">
        <v>212873100</v>
      </c>
      <c r="J241" s="354">
        <v>38194</v>
      </c>
      <c r="K241">
        <v>6.9166660000000002</v>
      </c>
      <c r="L241">
        <v>7.3333329999999997</v>
      </c>
      <c r="M241">
        <v>6.6683329999999996</v>
      </c>
      <c r="N241">
        <v>7.3316660000000002</v>
      </c>
      <c r="O241">
        <v>3.286362</v>
      </c>
      <c r="P241">
        <v>63790200</v>
      </c>
      <c r="R241" s="273">
        <f>(O241/O240)*('16. câmbio USD-BRL'!O37/'16. câmbio USD-BRL'!O36)^-1-1</f>
        <v>8.0251909618758832E-2</v>
      </c>
    </row>
    <row r="242" spans="1:18" x14ac:dyDescent="0.2">
      <c r="A242" s="354">
        <v>43831</v>
      </c>
      <c r="B242">
        <v>14.11</v>
      </c>
      <c r="C242">
        <v>15.95</v>
      </c>
      <c r="D242">
        <v>12.74</v>
      </c>
      <c r="E242">
        <v>12.9</v>
      </c>
      <c r="F242">
        <v>10.53955</v>
      </c>
      <c r="G242">
        <v>259862700</v>
      </c>
      <c r="J242" s="354">
        <v>38201</v>
      </c>
      <c r="K242">
        <v>7.3266660000000003</v>
      </c>
      <c r="L242">
        <v>7.7433329999999998</v>
      </c>
      <c r="M242">
        <v>7.0666659999999997</v>
      </c>
      <c r="N242">
        <v>7.4583329999999997</v>
      </c>
      <c r="O242">
        <v>3.34314</v>
      </c>
      <c r="P242">
        <v>72174600</v>
      </c>
      <c r="R242" s="273">
        <f>(O242/O241)*('16. câmbio USD-BRL'!O38/'16. câmbio USD-BRL'!O37)^-1-1</f>
        <v>1.8954975918693329E-2</v>
      </c>
    </row>
    <row r="243" spans="1:18" x14ac:dyDescent="0.2">
      <c r="A243" s="354">
        <v>43862</v>
      </c>
      <c r="B243">
        <v>12.9</v>
      </c>
      <c r="C243">
        <v>13.75</v>
      </c>
      <c r="D243">
        <v>10.71</v>
      </c>
      <c r="E243">
        <v>11.18</v>
      </c>
      <c r="F243">
        <v>9.1342780000000001</v>
      </c>
      <c r="G243">
        <v>207459700</v>
      </c>
      <c r="J243" s="354">
        <v>38208</v>
      </c>
      <c r="K243">
        <v>7.4683330000000003</v>
      </c>
      <c r="L243">
        <v>7.4683330000000003</v>
      </c>
      <c r="M243">
        <v>7.1066659999999997</v>
      </c>
      <c r="N243">
        <v>7.1916659999999997</v>
      </c>
      <c r="O243">
        <v>3.223608</v>
      </c>
      <c r="P243">
        <v>69282000</v>
      </c>
      <c r="R243" s="273">
        <f>(O243/O242)*('16. câmbio USD-BRL'!O39/'16. câmbio USD-BRL'!O38)^-1-1</f>
        <v>-3.1921701987069895E-2</v>
      </c>
    </row>
    <row r="244" spans="1:18" x14ac:dyDescent="0.2">
      <c r="A244" s="354">
        <v>43891</v>
      </c>
      <c r="B244">
        <v>11.4</v>
      </c>
      <c r="C244">
        <v>12.69</v>
      </c>
      <c r="D244">
        <v>5.48</v>
      </c>
      <c r="E244">
        <v>6.98</v>
      </c>
      <c r="F244">
        <v>5.7027960000000002</v>
      </c>
      <c r="G244">
        <v>431157000</v>
      </c>
      <c r="J244" s="354">
        <v>38215</v>
      </c>
      <c r="K244">
        <v>7.1666660000000002</v>
      </c>
      <c r="L244">
        <v>7.75</v>
      </c>
      <c r="M244">
        <v>7.1666660000000002</v>
      </c>
      <c r="N244">
        <v>7.6416659999999998</v>
      </c>
      <c r="O244">
        <v>3.4253179999999999</v>
      </c>
      <c r="P244">
        <v>56106000</v>
      </c>
      <c r="R244" s="273">
        <f>(O244/O243)*('16. câmbio USD-BRL'!O40/'16. câmbio USD-BRL'!O39)^-1-1</f>
        <v>8.228985016113799E-2</v>
      </c>
    </row>
    <row r="245" spans="1:18" x14ac:dyDescent="0.2">
      <c r="A245" s="354">
        <v>43922</v>
      </c>
      <c r="B245">
        <v>6.63</v>
      </c>
      <c r="C245">
        <v>9.27</v>
      </c>
      <c r="D245">
        <v>6.13</v>
      </c>
      <c r="E245">
        <v>8.9600000000000009</v>
      </c>
      <c r="F245">
        <v>7.3204950000000002</v>
      </c>
      <c r="G245">
        <v>290457500</v>
      </c>
      <c r="J245" s="354">
        <v>38222</v>
      </c>
      <c r="K245">
        <v>7.625</v>
      </c>
      <c r="L245">
        <v>7.6916659999999997</v>
      </c>
      <c r="M245">
        <v>7.1183329999999998</v>
      </c>
      <c r="N245">
        <v>7.3449999999999998</v>
      </c>
      <c r="O245">
        <v>3.2923390000000001</v>
      </c>
      <c r="P245">
        <v>49901400</v>
      </c>
      <c r="R245" s="273">
        <f>(O245/O244)*('16. câmbio USD-BRL'!O41/'16. câmbio USD-BRL'!O40)^-1-1</f>
        <v>-3.4915154776893997E-2</v>
      </c>
    </row>
    <row r="246" spans="1:18" x14ac:dyDescent="0.2">
      <c r="A246" s="354">
        <v>43952</v>
      </c>
      <c r="B246">
        <v>8.9600000000000009</v>
      </c>
      <c r="C246">
        <v>10.69</v>
      </c>
      <c r="D246">
        <v>7.32</v>
      </c>
      <c r="E246">
        <v>10.32</v>
      </c>
      <c r="F246">
        <v>8.4316399999999998</v>
      </c>
      <c r="G246">
        <v>329840500</v>
      </c>
      <c r="J246" s="354">
        <v>38229</v>
      </c>
      <c r="K246">
        <v>7.3166659999999997</v>
      </c>
      <c r="L246">
        <v>7.716666</v>
      </c>
      <c r="M246">
        <v>7.2833329999999998</v>
      </c>
      <c r="N246">
        <v>7.6616660000000003</v>
      </c>
      <c r="O246">
        <v>3.4342820000000001</v>
      </c>
      <c r="P246">
        <v>57393000</v>
      </c>
      <c r="R246" s="273" t="e">
        <f>(O246/O245)*('16. câmbio USD-BRL'!O42/'16. câmbio USD-BRL'!O41)^-1-1</f>
        <v>#VALUE!</v>
      </c>
    </row>
    <row r="247" spans="1:18" x14ac:dyDescent="0.2">
      <c r="A247" s="354">
        <v>43983</v>
      </c>
      <c r="B247">
        <v>10.55</v>
      </c>
      <c r="C247">
        <v>12.46</v>
      </c>
      <c r="D247">
        <v>10.199999999999999</v>
      </c>
      <c r="E247">
        <v>10.68</v>
      </c>
      <c r="F247">
        <v>8.7439920000000004</v>
      </c>
      <c r="G247">
        <v>273749400</v>
      </c>
      <c r="J247" s="354">
        <v>38236</v>
      </c>
      <c r="K247">
        <v>7.67</v>
      </c>
      <c r="L247">
        <v>7.75</v>
      </c>
      <c r="M247">
        <v>7.1916659999999997</v>
      </c>
      <c r="N247">
        <v>7.3333329999999997</v>
      </c>
      <c r="O247">
        <v>3.2871090000000001</v>
      </c>
      <c r="P247">
        <v>41212800</v>
      </c>
      <c r="R247" s="273" t="e">
        <f>(O247/O246)*('16. câmbio USD-BRL'!O43/'16. câmbio USD-BRL'!O42)^-1-1</f>
        <v>#VALUE!</v>
      </c>
    </row>
    <row r="248" spans="1:18" x14ac:dyDescent="0.2">
      <c r="A248" s="354">
        <v>44013</v>
      </c>
      <c r="B248">
        <v>10.76</v>
      </c>
      <c r="C248">
        <v>13.57</v>
      </c>
      <c r="D248">
        <v>10.48</v>
      </c>
      <c r="E248">
        <v>12.25</v>
      </c>
      <c r="F248">
        <v>10.029391</v>
      </c>
      <c r="G248">
        <v>280706300</v>
      </c>
      <c r="J248" s="354">
        <v>38243</v>
      </c>
      <c r="K248">
        <v>7.335</v>
      </c>
      <c r="L248">
        <v>7.4966660000000003</v>
      </c>
      <c r="M248">
        <v>7.1883330000000001</v>
      </c>
      <c r="N248">
        <v>7.4116660000000003</v>
      </c>
      <c r="O248">
        <v>3.322222</v>
      </c>
      <c r="P248">
        <v>39337200</v>
      </c>
      <c r="R248" s="273" t="e">
        <f>(O248/O247)*('16. câmbio USD-BRL'!O44/'16. câmbio USD-BRL'!O43)^-1-1</f>
        <v>#VALUE!</v>
      </c>
    </row>
    <row r="249" spans="1:18" x14ac:dyDescent="0.2">
      <c r="A249" s="354">
        <v>44044</v>
      </c>
      <c r="B249">
        <v>12.53</v>
      </c>
      <c r="C249">
        <v>15.77</v>
      </c>
      <c r="D249">
        <v>12.36</v>
      </c>
      <c r="E249">
        <v>15.21</v>
      </c>
      <c r="F249">
        <v>12.452819999999999</v>
      </c>
      <c r="G249">
        <v>291631600</v>
      </c>
      <c r="J249" s="354">
        <v>38250</v>
      </c>
      <c r="K249">
        <v>7.5666659999999997</v>
      </c>
      <c r="L249">
        <v>7.6016659999999998</v>
      </c>
      <c r="M249">
        <v>7.0016660000000002</v>
      </c>
      <c r="N249">
        <v>7.0316660000000004</v>
      </c>
      <c r="O249">
        <v>3.1518899999999999</v>
      </c>
      <c r="P249">
        <v>67971600</v>
      </c>
      <c r="R249" s="273" t="e">
        <f>(O249/O248)*('16. câmbio USD-BRL'!O45/'16. câmbio USD-BRL'!O44)^-1-1</f>
        <v>#VALUE!</v>
      </c>
    </row>
    <row r="250" spans="1:18" x14ac:dyDescent="0.2">
      <c r="A250" s="354">
        <v>44075</v>
      </c>
      <c r="B250">
        <v>15.42</v>
      </c>
      <c r="C250">
        <v>17.260000000000002</v>
      </c>
      <c r="D250">
        <v>14.44</v>
      </c>
      <c r="E250">
        <v>16.5</v>
      </c>
      <c r="F250">
        <v>13.508976000000001</v>
      </c>
      <c r="G250">
        <v>310210300</v>
      </c>
      <c r="J250" s="354">
        <v>38257</v>
      </c>
      <c r="K250">
        <v>7.0333329999999998</v>
      </c>
      <c r="L250">
        <v>7.4583329999999997</v>
      </c>
      <c r="M250">
        <v>6.7350000000000003</v>
      </c>
      <c r="N250">
        <v>7.3333329999999997</v>
      </c>
      <c r="O250">
        <v>3.2871090000000001</v>
      </c>
      <c r="P250">
        <v>65707200</v>
      </c>
      <c r="R250" s="273" t="e">
        <f>(O250/O249)*('16. câmbio USD-BRL'!O46/'16. câmbio USD-BRL'!O45)^-1-1</f>
        <v>#VALUE!</v>
      </c>
    </row>
    <row r="251" spans="1:18" x14ac:dyDescent="0.2">
      <c r="A251" s="354">
        <v>44105</v>
      </c>
      <c r="B251">
        <v>16.510000000000002</v>
      </c>
      <c r="C251">
        <v>21.940000999999999</v>
      </c>
      <c r="D251">
        <v>16.16</v>
      </c>
      <c r="E251">
        <v>20.540001</v>
      </c>
      <c r="F251">
        <v>16.816628999999999</v>
      </c>
      <c r="G251">
        <v>315309700</v>
      </c>
      <c r="J251" s="354">
        <v>38264</v>
      </c>
      <c r="K251">
        <v>7.3766660000000002</v>
      </c>
      <c r="L251">
        <v>7.9516660000000003</v>
      </c>
      <c r="M251">
        <v>7.35</v>
      </c>
      <c r="N251">
        <v>7.65</v>
      </c>
      <c r="O251">
        <v>3.4290530000000001</v>
      </c>
      <c r="P251">
        <v>60836400</v>
      </c>
      <c r="R251" s="273" t="e">
        <f>(O251/O250)*('16. câmbio USD-BRL'!O47/'16. câmbio USD-BRL'!O46)^-1-1</f>
        <v>#VALUE!</v>
      </c>
    </row>
    <row r="252" spans="1:18" x14ac:dyDescent="0.2">
      <c r="A252" s="354">
        <v>44136</v>
      </c>
      <c r="B252">
        <v>20.540001</v>
      </c>
      <c r="C252">
        <v>24.77</v>
      </c>
      <c r="D252">
        <v>19.219999000000001</v>
      </c>
      <c r="E252">
        <v>23.51</v>
      </c>
      <c r="F252">
        <v>19.248242999999999</v>
      </c>
      <c r="G252">
        <v>262831500</v>
      </c>
      <c r="J252" s="354">
        <v>38271</v>
      </c>
      <c r="K252">
        <v>7.65</v>
      </c>
      <c r="L252">
        <v>7.75</v>
      </c>
      <c r="M252">
        <v>7</v>
      </c>
      <c r="N252">
        <v>7.17</v>
      </c>
      <c r="O252">
        <v>3.2138969999999998</v>
      </c>
      <c r="P252">
        <v>50432400</v>
      </c>
      <c r="R252" s="273" t="e">
        <f>(O252/O251)*('16. câmbio USD-BRL'!O48/'16. câmbio USD-BRL'!O47)^-1-1</f>
        <v>#VALUE!</v>
      </c>
    </row>
    <row r="253" spans="1:18" x14ac:dyDescent="0.2">
      <c r="A253" s="354">
        <v>44166</v>
      </c>
      <c r="B253">
        <v>24.09</v>
      </c>
      <c r="C253">
        <v>32.779998999999997</v>
      </c>
      <c r="D253">
        <v>23.059999000000001</v>
      </c>
      <c r="E253">
        <v>31.85</v>
      </c>
      <c r="F253">
        <v>26.076418</v>
      </c>
      <c r="G253">
        <v>272724500</v>
      </c>
      <c r="J253" s="354">
        <v>38278</v>
      </c>
      <c r="K253">
        <v>7.17</v>
      </c>
      <c r="L253">
        <v>7.1833330000000002</v>
      </c>
      <c r="M253">
        <v>6.5266659999999996</v>
      </c>
      <c r="N253">
        <v>6.5633330000000001</v>
      </c>
      <c r="O253">
        <v>2.9419629999999999</v>
      </c>
      <c r="P253">
        <v>66648600</v>
      </c>
      <c r="R253" s="273" t="e">
        <f>(O253/O252)*('16. câmbio USD-BRL'!O49/'16. câmbio USD-BRL'!O48)^-1-1</f>
        <v>#VALUE!</v>
      </c>
    </row>
    <row r="254" spans="1:18" x14ac:dyDescent="0.2">
      <c r="A254" s="354">
        <v>44197</v>
      </c>
      <c r="B254">
        <v>31.85</v>
      </c>
      <c r="C254">
        <v>39.630001</v>
      </c>
      <c r="D254">
        <v>30.360001</v>
      </c>
      <c r="E254">
        <v>30.4</v>
      </c>
      <c r="F254">
        <v>24.889265000000002</v>
      </c>
      <c r="G254">
        <v>288094600</v>
      </c>
      <c r="J254" s="354">
        <v>38285</v>
      </c>
      <c r="K254">
        <v>6.5250000000000004</v>
      </c>
      <c r="L254">
        <v>7.15</v>
      </c>
      <c r="M254">
        <v>6.34</v>
      </c>
      <c r="N254">
        <v>7.023333</v>
      </c>
      <c r="O254">
        <v>3.148155</v>
      </c>
      <c r="P254">
        <v>50329800</v>
      </c>
      <c r="R254" s="273" t="e">
        <f>(O254/O253)*('16. câmbio USD-BRL'!O50/'16. câmbio USD-BRL'!O49)^-1-1</f>
        <v>#VALUE!</v>
      </c>
    </row>
    <row r="255" spans="1:18" x14ac:dyDescent="0.2">
      <c r="A255" s="354">
        <v>44228</v>
      </c>
      <c r="B255">
        <v>31</v>
      </c>
      <c r="C255">
        <v>38.049999</v>
      </c>
      <c r="D255">
        <v>30.370000999999998</v>
      </c>
      <c r="E255">
        <v>32.869999</v>
      </c>
      <c r="F255">
        <v>26.911514</v>
      </c>
      <c r="G255">
        <v>350884300</v>
      </c>
      <c r="J255" s="354">
        <v>38292</v>
      </c>
      <c r="K255">
        <v>7.0316660000000004</v>
      </c>
      <c r="L255">
        <v>7.4333330000000002</v>
      </c>
      <c r="M255">
        <v>6.9749999999999996</v>
      </c>
      <c r="N255">
        <v>7.2</v>
      </c>
      <c r="O255">
        <v>3.227344</v>
      </c>
      <c r="P255">
        <v>41482800</v>
      </c>
      <c r="R255" s="273" t="e">
        <f>(O255/O254)*('16. câmbio USD-BRL'!O51/'16. câmbio USD-BRL'!O50)^-1-1</f>
        <v>#VALUE!</v>
      </c>
    </row>
    <row r="256" spans="1:18" x14ac:dyDescent="0.2">
      <c r="A256" s="354">
        <v>44256</v>
      </c>
      <c r="B256">
        <v>33.490001999999997</v>
      </c>
      <c r="C256">
        <v>38.700001</v>
      </c>
      <c r="D256">
        <v>32.849997999999999</v>
      </c>
      <c r="E256">
        <v>37.900002000000001</v>
      </c>
      <c r="F256">
        <v>31.029713000000001</v>
      </c>
      <c r="G256">
        <v>390760300</v>
      </c>
      <c r="J256" s="354">
        <v>38299</v>
      </c>
      <c r="K256">
        <v>7.1833330000000002</v>
      </c>
      <c r="L256">
        <v>7.6133329999999999</v>
      </c>
      <c r="M256">
        <v>6.9083329999999998</v>
      </c>
      <c r="N256">
        <v>7.6133329999999999</v>
      </c>
      <c r="O256">
        <v>3.412617</v>
      </c>
      <c r="P256">
        <v>75223800</v>
      </c>
      <c r="R256" s="273" t="e">
        <f>(O256/O255)*('16. câmbio USD-BRL'!O52/'16. câmbio USD-BRL'!O51)^-1-1</f>
        <v>#VALUE!</v>
      </c>
    </row>
    <row r="257" spans="1:18" x14ac:dyDescent="0.2">
      <c r="A257" s="354">
        <v>44287</v>
      </c>
      <c r="B257">
        <v>38.279998999999997</v>
      </c>
      <c r="C257">
        <v>52.549999</v>
      </c>
      <c r="D257">
        <v>36.439999</v>
      </c>
      <c r="E257">
        <v>49.189999</v>
      </c>
      <c r="F257">
        <v>40.273121000000003</v>
      </c>
      <c r="G257">
        <v>256448000</v>
      </c>
      <c r="J257" s="354">
        <v>38306</v>
      </c>
      <c r="K257">
        <v>7.5166659999999998</v>
      </c>
      <c r="L257">
        <v>7.9083329999999998</v>
      </c>
      <c r="M257">
        <v>7.4683330000000003</v>
      </c>
      <c r="N257">
        <v>7.7</v>
      </c>
      <c r="O257">
        <v>3.4514649999999998</v>
      </c>
      <c r="P257">
        <v>62757000</v>
      </c>
      <c r="R257" s="273" t="e">
        <f>(O257/O256)*('16. câmbio USD-BRL'!O53/'16. câmbio USD-BRL'!O52)^-1-1</f>
        <v>#VALUE!</v>
      </c>
    </row>
    <row r="258" spans="1:18" x14ac:dyDescent="0.2">
      <c r="A258" s="354">
        <v>44317</v>
      </c>
      <c r="B258">
        <v>49</v>
      </c>
      <c r="C258">
        <v>53.900002000000001</v>
      </c>
      <c r="D258">
        <v>43.389999000000003</v>
      </c>
      <c r="E258">
        <v>44.919998</v>
      </c>
      <c r="F258">
        <v>36.777161</v>
      </c>
      <c r="G258">
        <v>241203500</v>
      </c>
      <c r="J258" s="354">
        <v>38313</v>
      </c>
      <c r="K258">
        <v>7.6333330000000004</v>
      </c>
      <c r="L258">
        <v>8.5633330000000001</v>
      </c>
      <c r="M258">
        <v>7.551666</v>
      </c>
      <c r="N258">
        <v>8.5500000000000007</v>
      </c>
      <c r="O258">
        <v>3.832471</v>
      </c>
      <c r="P258">
        <v>85098600</v>
      </c>
      <c r="R258" s="273" t="e">
        <f>(O258/O257)*('16. câmbio USD-BRL'!O54/'16. câmbio USD-BRL'!O53)^-1-1</f>
        <v>#VALUE!</v>
      </c>
    </row>
    <row r="259" spans="1:18" x14ac:dyDescent="0.2">
      <c r="A259" s="354">
        <v>44348</v>
      </c>
      <c r="B259">
        <v>45.93</v>
      </c>
      <c r="C259">
        <v>47.98</v>
      </c>
      <c r="D259">
        <v>40</v>
      </c>
      <c r="E259">
        <v>43.990001999999997</v>
      </c>
      <c r="F259">
        <v>36.500256</v>
      </c>
      <c r="G259">
        <v>210260400</v>
      </c>
      <c r="J259" s="354">
        <v>38320</v>
      </c>
      <c r="K259">
        <v>8.5466660000000001</v>
      </c>
      <c r="L259">
        <v>8.8183330000000009</v>
      </c>
      <c r="M259">
        <v>8.25</v>
      </c>
      <c r="N259">
        <v>8.5333330000000007</v>
      </c>
      <c r="O259">
        <v>3.8250009999999999</v>
      </c>
      <c r="P259">
        <v>131263200</v>
      </c>
      <c r="R259" s="273" t="e">
        <f>(O259/O258)*('16. câmbio USD-BRL'!O55/'16. câmbio USD-BRL'!O54)^-1-1</f>
        <v>#VALUE!</v>
      </c>
    </row>
    <row r="260" spans="1:18" x14ac:dyDescent="0.2">
      <c r="A260" s="354">
        <v>44378</v>
      </c>
      <c r="B260">
        <v>44.189999</v>
      </c>
      <c r="C260">
        <v>48.540000999999997</v>
      </c>
      <c r="D260">
        <v>42.41</v>
      </c>
      <c r="E260">
        <v>46.75</v>
      </c>
      <c r="F260">
        <v>38.79034</v>
      </c>
      <c r="G260">
        <v>255824100</v>
      </c>
      <c r="J260" s="354">
        <v>38327</v>
      </c>
      <c r="K260">
        <v>8.4916660000000004</v>
      </c>
      <c r="L260">
        <v>8.608333</v>
      </c>
      <c r="M260">
        <v>7.6916659999999997</v>
      </c>
      <c r="N260">
        <v>7.9</v>
      </c>
      <c r="O260">
        <v>3.5411139999999999</v>
      </c>
      <c r="P260">
        <v>97896600</v>
      </c>
      <c r="R260" s="273" t="e">
        <f>(O260/O259)*('16. câmbio USD-BRL'!O56/'16. câmbio USD-BRL'!O55)^-1-1</f>
        <v>#VALUE!</v>
      </c>
    </row>
    <row r="261" spans="1:18" x14ac:dyDescent="0.2">
      <c r="A261" s="354">
        <v>44409</v>
      </c>
      <c r="B261">
        <v>46.689999</v>
      </c>
      <c r="C261">
        <v>46.689999</v>
      </c>
      <c r="D261">
        <v>34.689999</v>
      </c>
      <c r="E261">
        <v>34.860000999999997</v>
      </c>
      <c r="F261">
        <v>28.92473</v>
      </c>
      <c r="G261">
        <v>257154200</v>
      </c>
      <c r="J261" s="354">
        <v>38334</v>
      </c>
      <c r="K261">
        <v>7.966666</v>
      </c>
      <c r="L261">
        <v>8.5166660000000007</v>
      </c>
      <c r="M261">
        <v>7.9</v>
      </c>
      <c r="N261">
        <v>8.483333</v>
      </c>
      <c r="O261">
        <v>3.8025869999999999</v>
      </c>
      <c r="P261">
        <v>86196600</v>
      </c>
      <c r="R261" s="273" t="e">
        <f>(O261/O260)*('16. câmbio USD-BRL'!O57/'16. câmbio USD-BRL'!O56)^-1-1</f>
        <v>#VALUE!</v>
      </c>
    </row>
    <row r="262" spans="1:18" x14ac:dyDescent="0.2">
      <c r="A262" s="354">
        <v>44440</v>
      </c>
      <c r="B262">
        <v>34</v>
      </c>
      <c r="C262">
        <v>35.759998000000003</v>
      </c>
      <c r="D262">
        <v>27.469999000000001</v>
      </c>
      <c r="E262">
        <v>28.73</v>
      </c>
      <c r="F262">
        <v>24.503022999999999</v>
      </c>
      <c r="G262">
        <v>287765100</v>
      </c>
      <c r="J262" s="354">
        <v>38341</v>
      </c>
      <c r="K262">
        <v>8.5</v>
      </c>
      <c r="L262">
        <v>8.5183330000000002</v>
      </c>
      <c r="M262">
        <v>8.2266659999999998</v>
      </c>
      <c r="N262">
        <v>8.33</v>
      </c>
      <c r="O262">
        <v>3.7338580000000001</v>
      </c>
      <c r="P262">
        <v>33730200</v>
      </c>
      <c r="R262" s="273" t="e">
        <f>(O262/O261)*('16. câmbio USD-BRL'!O58/'16. câmbio USD-BRL'!O57)^-1-1</f>
        <v>#VALUE!</v>
      </c>
    </row>
    <row r="263" spans="1:18" x14ac:dyDescent="0.2">
      <c r="A263" s="354">
        <v>44470</v>
      </c>
      <c r="B263">
        <v>28.879999000000002</v>
      </c>
      <c r="C263">
        <v>29.440000999999999</v>
      </c>
      <c r="D263">
        <v>22.74</v>
      </c>
      <c r="E263">
        <v>22.780000999999999</v>
      </c>
      <c r="F263">
        <v>19.428433999999999</v>
      </c>
      <c r="G263">
        <v>245682100</v>
      </c>
      <c r="J263" s="354">
        <v>38348</v>
      </c>
      <c r="K263">
        <v>8.3333329999999997</v>
      </c>
      <c r="L263">
        <v>8.5333330000000007</v>
      </c>
      <c r="M263">
        <v>8.2349999999999994</v>
      </c>
      <c r="N263">
        <v>8.4649999999999999</v>
      </c>
      <c r="O263">
        <v>3.7943699999999998</v>
      </c>
      <c r="P263">
        <v>30223800</v>
      </c>
      <c r="R263" s="273" t="e">
        <f>(O263/O262)*('16. câmbio USD-BRL'!O59/'16. câmbio USD-BRL'!O58)^-1-1</f>
        <v>#VALUE!</v>
      </c>
    </row>
    <row r="264" spans="1:18" x14ac:dyDescent="0.2">
      <c r="A264" s="354">
        <v>44501</v>
      </c>
      <c r="B264">
        <v>22.700001</v>
      </c>
      <c r="C264">
        <v>23.559999000000001</v>
      </c>
      <c r="D264">
        <v>19.709999</v>
      </c>
      <c r="E264">
        <v>21.76</v>
      </c>
      <c r="F264">
        <v>18.558503999999999</v>
      </c>
      <c r="G264">
        <v>309899000</v>
      </c>
      <c r="J264" s="354">
        <v>38355</v>
      </c>
      <c r="K264">
        <v>8.4583329999999997</v>
      </c>
      <c r="L264">
        <v>8.5833329999999997</v>
      </c>
      <c r="M264">
        <v>7.5166659999999998</v>
      </c>
      <c r="N264">
        <v>7.7316659999999997</v>
      </c>
      <c r="O264">
        <v>3.465659</v>
      </c>
      <c r="P264">
        <v>64861200</v>
      </c>
      <c r="R264" s="273" t="e">
        <f>(O264/O263)*('16. câmbio USD-BRL'!O60/'16. câmbio USD-BRL'!O59)^-1-1</f>
        <v>#VALUE!</v>
      </c>
    </row>
    <row r="265" spans="1:18" x14ac:dyDescent="0.2">
      <c r="A265" s="354">
        <v>44531</v>
      </c>
      <c r="B265">
        <v>22.4</v>
      </c>
      <c r="C265">
        <v>25.860001</v>
      </c>
      <c r="D265">
        <v>21.549999</v>
      </c>
      <c r="E265">
        <v>25.15</v>
      </c>
      <c r="F265">
        <v>21.449743000000002</v>
      </c>
      <c r="G265">
        <v>239375700</v>
      </c>
      <c r="J265" s="354">
        <v>38362</v>
      </c>
      <c r="K265">
        <v>7.7666659999999998</v>
      </c>
      <c r="L265">
        <v>8.733333</v>
      </c>
      <c r="M265">
        <v>7.6333330000000004</v>
      </c>
      <c r="N265">
        <v>8.716666</v>
      </c>
      <c r="O265">
        <v>3.9071790000000002</v>
      </c>
      <c r="P265">
        <v>88453800</v>
      </c>
      <c r="R265" s="273" t="e">
        <f>(O265/O264)*('16. câmbio USD-BRL'!O61/'16. câmbio USD-BRL'!O60)^-1-1</f>
        <v>#VALUE!</v>
      </c>
    </row>
    <row r="266" spans="1:18" x14ac:dyDescent="0.2">
      <c r="A266" s="354">
        <v>44562</v>
      </c>
      <c r="B266">
        <v>25.389999</v>
      </c>
      <c r="C266">
        <v>27.09</v>
      </c>
      <c r="D266">
        <v>22.84</v>
      </c>
      <c r="E266">
        <v>25.540001</v>
      </c>
      <c r="F266">
        <v>21.782364000000001</v>
      </c>
      <c r="G266">
        <v>262191800</v>
      </c>
      <c r="J266" s="354">
        <v>38369</v>
      </c>
      <c r="K266">
        <v>8.716666</v>
      </c>
      <c r="L266">
        <v>8.8333329999999997</v>
      </c>
      <c r="M266">
        <v>8.1333330000000004</v>
      </c>
      <c r="N266">
        <v>8.5</v>
      </c>
      <c r="O266">
        <v>3.8100589999999999</v>
      </c>
      <c r="P266">
        <v>51699600</v>
      </c>
      <c r="R266" s="273" t="e">
        <f>(O266/O265)*('16. câmbio USD-BRL'!O62/'16. câmbio USD-BRL'!O61)^-1-1</f>
        <v>#VALUE!</v>
      </c>
    </row>
    <row r="267" spans="1:18" x14ac:dyDescent="0.2">
      <c r="A267" s="354">
        <v>44593</v>
      </c>
      <c r="B267">
        <v>25.690000999999999</v>
      </c>
      <c r="C267">
        <v>29.33</v>
      </c>
      <c r="D267">
        <v>22.549999</v>
      </c>
      <c r="E267">
        <v>25.1</v>
      </c>
      <c r="F267">
        <v>21.578282999999999</v>
      </c>
      <c r="G267">
        <v>198988300</v>
      </c>
      <c r="J267" s="354">
        <v>38376</v>
      </c>
      <c r="K267">
        <v>8.483333</v>
      </c>
      <c r="L267">
        <v>9.1999999999999993</v>
      </c>
      <c r="M267">
        <v>8.4016660000000005</v>
      </c>
      <c r="N267">
        <v>8.5649999999999995</v>
      </c>
      <c r="O267">
        <v>3.8391950000000001</v>
      </c>
      <c r="P267">
        <v>66155400</v>
      </c>
      <c r="R267" s="273" t="e">
        <f>(O267/O266)*('16. câmbio USD-BRL'!O63/'16. câmbio USD-BRL'!O62)^-1-1</f>
        <v>#VALUE!</v>
      </c>
    </row>
    <row r="268" spans="1:18" x14ac:dyDescent="0.2">
      <c r="A268" s="354">
        <v>44621</v>
      </c>
      <c r="B268">
        <v>25.1</v>
      </c>
      <c r="C268">
        <v>30.540001</v>
      </c>
      <c r="D268">
        <v>23.25</v>
      </c>
      <c r="E268">
        <v>26.030000999999999</v>
      </c>
      <c r="F268">
        <v>22.377797999999999</v>
      </c>
      <c r="G268">
        <v>270482200</v>
      </c>
      <c r="J268" s="354">
        <v>38383</v>
      </c>
      <c r="K268">
        <v>8.6266660000000002</v>
      </c>
      <c r="L268">
        <v>9.3000000000000007</v>
      </c>
      <c r="M268">
        <v>8.6166660000000004</v>
      </c>
      <c r="N268">
        <v>9.3000000000000007</v>
      </c>
      <c r="O268">
        <v>4.1686529999999999</v>
      </c>
      <c r="P268">
        <v>62586000</v>
      </c>
      <c r="R268" s="273" t="e">
        <f>(O268/O267)*('16. câmbio USD-BRL'!O64/'16. câmbio USD-BRL'!O63)^-1-1</f>
        <v>#VALUE!</v>
      </c>
    </row>
    <row r="269" spans="1:18" x14ac:dyDescent="0.2">
      <c r="A269" s="354">
        <v>44652</v>
      </c>
      <c r="B269">
        <v>26.280000999999999</v>
      </c>
      <c r="C269">
        <v>26.93</v>
      </c>
      <c r="D269">
        <v>20.079999999999998</v>
      </c>
      <c r="E269">
        <v>21.07</v>
      </c>
      <c r="F269">
        <v>18.113720000000001</v>
      </c>
      <c r="G269">
        <v>176473000</v>
      </c>
      <c r="J269" s="354">
        <v>38390</v>
      </c>
      <c r="K269">
        <v>9.466666</v>
      </c>
      <c r="L269">
        <v>9.5833329999999997</v>
      </c>
      <c r="M269">
        <v>8.983333</v>
      </c>
      <c r="N269">
        <v>9.5</v>
      </c>
      <c r="O269">
        <v>4.2583010000000003</v>
      </c>
      <c r="P269">
        <v>44431200</v>
      </c>
      <c r="R269" s="273" t="e">
        <f>(O269/O268)*('16. câmbio USD-BRL'!O65/'16. câmbio USD-BRL'!O64)^-1-1</f>
        <v>#VALUE!</v>
      </c>
    </row>
    <row r="270" spans="1:18" x14ac:dyDescent="0.2">
      <c r="A270" s="354">
        <v>44682</v>
      </c>
      <c r="B270">
        <v>20.290001</v>
      </c>
      <c r="C270">
        <v>22.639999</v>
      </c>
      <c r="D270">
        <v>16.959999</v>
      </c>
      <c r="E270">
        <v>21.84</v>
      </c>
      <c r="F270">
        <v>18.775686</v>
      </c>
      <c r="G270">
        <v>276063700</v>
      </c>
      <c r="J270" s="354">
        <v>38397</v>
      </c>
      <c r="K270">
        <v>9.4250000000000007</v>
      </c>
      <c r="L270">
        <v>10.45</v>
      </c>
      <c r="M270">
        <v>9.1016659999999998</v>
      </c>
      <c r="N270">
        <v>10.208333</v>
      </c>
      <c r="O270">
        <v>4.575806</v>
      </c>
      <c r="P270">
        <v>129943800</v>
      </c>
      <c r="R270" s="273" t="e">
        <f>(O270/O269)*('16. câmbio USD-BRL'!O66/'16. câmbio USD-BRL'!O65)^-1-1</f>
        <v>#VALUE!</v>
      </c>
    </row>
    <row r="271" spans="1:18" x14ac:dyDescent="0.2">
      <c r="A271" s="354">
        <v>44713</v>
      </c>
      <c r="B271">
        <v>21.93</v>
      </c>
      <c r="C271">
        <v>23.26</v>
      </c>
      <c r="D271">
        <v>15.34</v>
      </c>
      <c r="E271">
        <v>15.44</v>
      </c>
      <c r="F271">
        <v>13.717397999999999</v>
      </c>
      <c r="G271">
        <v>264715000</v>
      </c>
      <c r="J271" s="354">
        <v>38404</v>
      </c>
      <c r="K271">
        <v>10.216666</v>
      </c>
      <c r="L271">
        <v>11.664999999999999</v>
      </c>
      <c r="M271">
        <v>10.050000000000001</v>
      </c>
      <c r="N271">
        <v>11.15</v>
      </c>
      <c r="O271">
        <v>4.9979009999999997</v>
      </c>
      <c r="P271">
        <v>151725600</v>
      </c>
      <c r="R271" s="273" t="e">
        <f>(O271/O270)*('16. câmbio USD-BRL'!O67/'16. câmbio USD-BRL'!O66)^-1-1</f>
        <v>#VALUE!</v>
      </c>
    </row>
    <row r="272" spans="1:18" x14ac:dyDescent="0.2">
      <c r="A272" s="354">
        <v>44743</v>
      </c>
      <c r="B272">
        <v>15.18</v>
      </c>
      <c r="C272">
        <v>15.78</v>
      </c>
      <c r="D272">
        <v>13.24</v>
      </c>
      <c r="E272">
        <v>14.71</v>
      </c>
      <c r="F272">
        <v>13.068842</v>
      </c>
      <c r="G272">
        <v>241185400</v>
      </c>
      <c r="J272" s="354">
        <v>38411</v>
      </c>
      <c r="K272">
        <v>11.166665999999999</v>
      </c>
      <c r="L272">
        <v>11.633333</v>
      </c>
      <c r="M272">
        <v>10.766666000000001</v>
      </c>
      <c r="N272">
        <v>11.633333</v>
      </c>
      <c r="O272">
        <v>5.2145510000000002</v>
      </c>
      <c r="P272">
        <v>90759600</v>
      </c>
      <c r="R272" s="273" t="e">
        <f>(O272/O271)*('16. câmbio USD-BRL'!O68/'16. câmbio USD-BRL'!O67)^-1-1</f>
        <v>#VALUE!</v>
      </c>
    </row>
    <row r="273" spans="1:18" x14ac:dyDescent="0.2">
      <c r="A273" s="354">
        <v>44774</v>
      </c>
      <c r="B273">
        <v>14.65</v>
      </c>
      <c r="C273">
        <v>16.739999999999998</v>
      </c>
      <c r="D273">
        <v>13.8</v>
      </c>
      <c r="E273">
        <v>13.8</v>
      </c>
      <c r="F273">
        <v>12.260368</v>
      </c>
      <c r="G273">
        <v>255575100</v>
      </c>
      <c r="J273" s="354">
        <v>38418</v>
      </c>
      <c r="K273">
        <v>11.676666000000001</v>
      </c>
      <c r="L273">
        <v>11.948333</v>
      </c>
      <c r="M273">
        <v>10.785</v>
      </c>
      <c r="N273">
        <v>10.85</v>
      </c>
      <c r="O273">
        <v>4.863429</v>
      </c>
      <c r="P273">
        <v>87834600</v>
      </c>
      <c r="R273" s="273" t="e">
        <f>(O273/O272)*('16. câmbio USD-BRL'!O69/'16. câmbio USD-BRL'!O68)^-1-1</f>
        <v>#VALUE!</v>
      </c>
    </row>
    <row r="274" spans="1:18" x14ac:dyDescent="0.2">
      <c r="A274" s="354">
        <v>44805</v>
      </c>
      <c r="B274">
        <v>13.75</v>
      </c>
      <c r="C274">
        <v>14.42</v>
      </c>
      <c r="D274">
        <v>11.8</v>
      </c>
      <c r="E274">
        <v>12.72</v>
      </c>
      <c r="F274">
        <v>11.300860999999999</v>
      </c>
      <c r="G274">
        <v>277128300</v>
      </c>
      <c r="J274" s="354">
        <v>38425</v>
      </c>
      <c r="K274">
        <v>10.766666000000001</v>
      </c>
      <c r="L274">
        <v>11.2</v>
      </c>
      <c r="M274">
        <v>10.25</v>
      </c>
      <c r="N274">
        <v>10.858333</v>
      </c>
      <c r="O274">
        <v>4.8671639999999998</v>
      </c>
      <c r="P274">
        <v>82724400</v>
      </c>
      <c r="R274" s="273" t="e">
        <f>(O274/O273)*('16. câmbio USD-BRL'!O70/'16. câmbio USD-BRL'!O69)^-1-1</f>
        <v>#VALUE!</v>
      </c>
    </row>
    <row r="275" spans="1:18" x14ac:dyDescent="0.2">
      <c r="A275" s="354">
        <v>44835</v>
      </c>
      <c r="B275">
        <v>13.01</v>
      </c>
      <c r="C275">
        <v>14.68</v>
      </c>
      <c r="D275">
        <v>11.82</v>
      </c>
      <c r="E275">
        <v>12.28</v>
      </c>
      <c r="F275">
        <v>10.90995</v>
      </c>
      <c r="G275">
        <v>262177900</v>
      </c>
      <c r="J275" s="354">
        <v>38432</v>
      </c>
      <c r="K275">
        <v>10.858333</v>
      </c>
      <c r="L275">
        <v>11.2</v>
      </c>
      <c r="M275">
        <v>10.385</v>
      </c>
      <c r="N275">
        <v>10.608333</v>
      </c>
      <c r="O275">
        <v>4.7551030000000001</v>
      </c>
      <c r="P275">
        <v>68040000</v>
      </c>
      <c r="R275" s="273" t="e">
        <f>(O275/O274)*('16. câmbio USD-BRL'!O71/'16. câmbio USD-BRL'!O70)^-1-1</f>
        <v>#VALUE!</v>
      </c>
    </row>
    <row r="276" spans="1:18" x14ac:dyDescent="0.2">
      <c r="A276" s="354">
        <v>44866</v>
      </c>
      <c r="B276">
        <v>12.6</v>
      </c>
      <c r="C276">
        <v>15.58</v>
      </c>
      <c r="D276">
        <v>12.2</v>
      </c>
      <c r="E276">
        <v>14.52</v>
      </c>
      <c r="F276">
        <v>12.900041</v>
      </c>
      <c r="G276">
        <v>315386400</v>
      </c>
      <c r="J276" s="354">
        <v>38439</v>
      </c>
      <c r="K276">
        <v>10.666665999999999</v>
      </c>
      <c r="L276">
        <v>10.816666</v>
      </c>
      <c r="M276">
        <v>9.7750000000000004</v>
      </c>
      <c r="N276">
        <v>10.741666</v>
      </c>
      <c r="O276">
        <v>4.8148679999999997</v>
      </c>
      <c r="P276">
        <v>82906200</v>
      </c>
      <c r="R276" s="273" t="e">
        <f>(O276/O275)*('16. câmbio USD-BRL'!O72/'16. câmbio USD-BRL'!O71)^-1-1</f>
        <v>#VALUE!</v>
      </c>
    </row>
    <row r="277" spans="1:18" x14ac:dyDescent="0.2">
      <c r="A277" s="354">
        <v>44896</v>
      </c>
      <c r="B277">
        <v>14.47</v>
      </c>
      <c r="C277">
        <v>15.18</v>
      </c>
      <c r="D277">
        <v>13.33</v>
      </c>
      <c r="E277">
        <v>14.55</v>
      </c>
      <c r="F277">
        <v>14.0307</v>
      </c>
      <c r="G277">
        <v>237983600</v>
      </c>
      <c r="J277" s="354">
        <v>38446</v>
      </c>
      <c r="K277">
        <v>10.708333</v>
      </c>
      <c r="L277">
        <v>10.748333000000001</v>
      </c>
      <c r="M277">
        <v>9.466666</v>
      </c>
      <c r="N277">
        <v>9.5</v>
      </c>
      <c r="O277">
        <v>4.2583010000000003</v>
      </c>
      <c r="P277">
        <v>86052600</v>
      </c>
      <c r="R277" s="273" t="e">
        <f>(O277/O276)*('16. câmbio USD-BRL'!O73/'16. câmbio USD-BRL'!O72)^-1-1</f>
        <v>#VALUE!</v>
      </c>
    </row>
    <row r="278" spans="1:18" x14ac:dyDescent="0.2">
      <c r="A278" s="354">
        <v>44927</v>
      </c>
      <c r="B278">
        <v>14.55</v>
      </c>
      <c r="C278">
        <v>18.639999</v>
      </c>
      <c r="D278">
        <v>14.25</v>
      </c>
      <c r="E278">
        <v>18.5</v>
      </c>
      <c r="F278">
        <v>18.5</v>
      </c>
      <c r="G278">
        <v>212250800</v>
      </c>
      <c r="J278" s="354">
        <v>38453</v>
      </c>
      <c r="K278">
        <v>9.5549999999999997</v>
      </c>
      <c r="L278">
        <v>9.6166660000000004</v>
      </c>
      <c r="M278">
        <v>8.3766660000000002</v>
      </c>
      <c r="N278">
        <v>8.75</v>
      </c>
      <c r="O278">
        <v>3.9221189999999999</v>
      </c>
      <c r="P278">
        <v>113090400</v>
      </c>
      <c r="R278" s="273" t="e">
        <f>(O278/O277)*('16. câmbio USD-BRL'!O74/'16. câmbio USD-BRL'!O73)^-1-1</f>
        <v>#VALUE!</v>
      </c>
    </row>
    <row r="279" spans="1:18" x14ac:dyDescent="0.2">
      <c r="A279" s="354">
        <v>44958</v>
      </c>
      <c r="B279">
        <v>18.459999</v>
      </c>
      <c r="C279">
        <v>18.57</v>
      </c>
      <c r="D279">
        <v>16.389999</v>
      </c>
      <c r="E279">
        <v>16.670000000000002</v>
      </c>
      <c r="F279">
        <v>16.670000000000002</v>
      </c>
      <c r="G279">
        <v>116408500</v>
      </c>
      <c r="J279" s="354">
        <v>38460</v>
      </c>
      <c r="K279">
        <v>8.75</v>
      </c>
      <c r="L279">
        <v>9.233333</v>
      </c>
      <c r="M279">
        <v>8.5833329999999997</v>
      </c>
      <c r="N279">
        <v>8.81</v>
      </c>
      <c r="O279">
        <v>3.9490150000000002</v>
      </c>
      <c r="P279">
        <v>55522800</v>
      </c>
      <c r="R279" s="273" t="e">
        <f>(O279/O278)*('16. câmbio USD-BRL'!O75/'16. câmbio USD-BRL'!O74)^-1-1</f>
        <v>#VALUE!</v>
      </c>
    </row>
    <row r="280" spans="1:18" x14ac:dyDescent="0.2">
      <c r="A280" s="354">
        <v>44986</v>
      </c>
      <c r="B280">
        <v>17.09</v>
      </c>
      <c r="C280">
        <v>18.52</v>
      </c>
      <c r="D280">
        <v>17.02</v>
      </c>
      <c r="E280">
        <v>17.989999999999998</v>
      </c>
      <c r="F280">
        <v>17.989999999999998</v>
      </c>
      <c r="G280">
        <v>55920800</v>
      </c>
      <c r="J280" s="354">
        <v>38467</v>
      </c>
      <c r="K280">
        <v>8.9250000000000007</v>
      </c>
      <c r="L280">
        <v>9.5666659999999997</v>
      </c>
      <c r="M280">
        <v>8.8000000000000007</v>
      </c>
      <c r="N280">
        <v>9.1950000000000003</v>
      </c>
      <c r="O280">
        <v>4.121588</v>
      </c>
      <c r="P280">
        <v>135428400</v>
      </c>
      <c r="R280" s="273" t="e">
        <f>(O280/O279)*('16. câmbio USD-BRL'!O76/'16. câmbio USD-BRL'!O75)^-1-1</f>
        <v>#VALUE!</v>
      </c>
    </row>
    <row r="281" spans="1:18" x14ac:dyDescent="0.2">
      <c r="J281" s="354">
        <v>38474</v>
      </c>
      <c r="K281">
        <v>7.7649999999999997</v>
      </c>
      <c r="L281">
        <v>7.8566659999999997</v>
      </c>
      <c r="M281">
        <v>7.4483329999999999</v>
      </c>
      <c r="N281">
        <v>7.85</v>
      </c>
      <c r="O281">
        <v>3.5187020000000002</v>
      </c>
      <c r="P281">
        <v>117651600</v>
      </c>
      <c r="R281" s="273" t="e">
        <f>(O281/O280)*('16. câmbio USD-BRL'!O77/'16. câmbio USD-BRL'!O76)^-1-1</f>
        <v>#VALUE!</v>
      </c>
    </row>
    <row r="282" spans="1:18" x14ac:dyDescent="0.2">
      <c r="J282" s="354">
        <v>38481</v>
      </c>
      <c r="K282">
        <v>7.85</v>
      </c>
      <c r="L282">
        <v>7.8849999999999998</v>
      </c>
      <c r="M282">
        <v>6.5466660000000001</v>
      </c>
      <c r="N282">
        <v>6.8166659999999997</v>
      </c>
      <c r="O282">
        <v>3.0555180000000002</v>
      </c>
      <c r="P282">
        <v>140562000</v>
      </c>
      <c r="R282" s="273" t="e">
        <f>(O282/O281)*('16. câmbio USD-BRL'!O78/'16. câmbio USD-BRL'!O77)^-1-1</f>
        <v>#VALUE!</v>
      </c>
    </row>
    <row r="283" spans="1:18" x14ac:dyDescent="0.2">
      <c r="J283" s="354">
        <v>38488</v>
      </c>
      <c r="K283">
        <v>6.8666660000000004</v>
      </c>
      <c r="L283">
        <v>7.165</v>
      </c>
      <c r="M283">
        <v>6.6666660000000002</v>
      </c>
      <c r="N283">
        <v>6.875</v>
      </c>
      <c r="O283">
        <v>3.0816659999999998</v>
      </c>
      <c r="P283">
        <v>83478600</v>
      </c>
      <c r="R283" s="273" t="e">
        <f>(O283/O282)*('16. câmbio USD-BRL'!O79/'16. câmbio USD-BRL'!O78)^-1-1</f>
        <v>#VALUE!</v>
      </c>
    </row>
    <row r="284" spans="1:18" x14ac:dyDescent="0.2">
      <c r="J284" s="354">
        <v>38495</v>
      </c>
      <c r="K284">
        <v>6.875</v>
      </c>
      <c r="L284">
        <v>6.9166660000000002</v>
      </c>
      <c r="M284">
        <v>6.5833329999999997</v>
      </c>
      <c r="N284">
        <v>6.9166660000000002</v>
      </c>
      <c r="O284">
        <v>3.1003419999999999</v>
      </c>
      <c r="P284">
        <v>102934800</v>
      </c>
      <c r="R284" s="273" t="e">
        <f>(O284/O283)*('16. câmbio USD-BRL'!O80/'16. câmbio USD-BRL'!O79)^-1-1</f>
        <v>#VALUE!</v>
      </c>
    </row>
    <row r="285" spans="1:18" x14ac:dyDescent="0.2">
      <c r="J285" s="354">
        <v>38502</v>
      </c>
      <c r="K285">
        <v>6.9166660000000002</v>
      </c>
      <c r="L285">
        <v>7.483333</v>
      </c>
      <c r="M285">
        <v>6.8683329999999998</v>
      </c>
      <c r="N285">
        <v>7.26</v>
      </c>
      <c r="O285">
        <v>3.2542390000000001</v>
      </c>
      <c r="P285">
        <v>90819000</v>
      </c>
      <c r="R285" s="273" t="e">
        <f>(O285/O284)*('16. câmbio USD-BRL'!O81/'16. câmbio USD-BRL'!O80)^-1-1</f>
        <v>#VALUE!</v>
      </c>
    </row>
    <row r="286" spans="1:18" x14ac:dyDescent="0.2">
      <c r="J286" s="354">
        <v>38509</v>
      </c>
      <c r="K286">
        <v>7.1166660000000004</v>
      </c>
      <c r="L286">
        <v>7.2583330000000004</v>
      </c>
      <c r="M286">
        <v>6.5333329999999998</v>
      </c>
      <c r="N286">
        <v>6.733333</v>
      </c>
      <c r="O286">
        <v>3.0181640000000001</v>
      </c>
      <c r="P286">
        <v>97162200</v>
      </c>
      <c r="R286" s="273" t="e">
        <f>(O286/O285)*('16. câmbio USD-BRL'!O82/'16. câmbio USD-BRL'!O81)^-1-1</f>
        <v>#VALUE!</v>
      </c>
    </row>
    <row r="287" spans="1:18" x14ac:dyDescent="0.2">
      <c r="J287" s="354">
        <v>38516</v>
      </c>
      <c r="K287">
        <v>6.858333</v>
      </c>
      <c r="L287">
        <v>7.3333329999999997</v>
      </c>
      <c r="M287">
        <v>6.4683330000000003</v>
      </c>
      <c r="N287">
        <v>7.233333</v>
      </c>
      <c r="O287">
        <v>3.242286</v>
      </c>
      <c r="P287">
        <v>88119000</v>
      </c>
      <c r="R287" s="273" t="e">
        <f>(O287/O286)*('16. câmbio USD-BRL'!O83/'16. câmbio USD-BRL'!O82)^-1-1</f>
        <v>#VALUE!</v>
      </c>
    </row>
    <row r="288" spans="1:18" x14ac:dyDescent="0.2">
      <c r="J288" s="354">
        <v>38523</v>
      </c>
      <c r="K288">
        <v>7.2</v>
      </c>
      <c r="L288">
        <v>7.216666</v>
      </c>
      <c r="M288">
        <v>6.55</v>
      </c>
      <c r="N288">
        <v>6.65</v>
      </c>
      <c r="O288">
        <v>2.9808110000000001</v>
      </c>
      <c r="P288">
        <v>56896200</v>
      </c>
      <c r="R288" s="273" t="e">
        <f>(O288/O287)*('16. câmbio USD-BRL'!O84/'16. câmbio USD-BRL'!O83)^-1-1</f>
        <v>#VALUE!</v>
      </c>
    </row>
    <row r="289" spans="10:18" x14ac:dyDescent="0.2">
      <c r="J289" s="354">
        <v>38530</v>
      </c>
      <c r="K289">
        <v>6.6050000000000004</v>
      </c>
      <c r="L289">
        <v>6.716666</v>
      </c>
      <c r="M289">
        <v>6.273333</v>
      </c>
      <c r="N289">
        <v>6.3333329999999997</v>
      </c>
      <c r="O289">
        <v>2.8388680000000002</v>
      </c>
      <c r="P289">
        <v>62382600</v>
      </c>
      <c r="R289" s="273" t="e">
        <f>(O289/O288)*('16. câmbio USD-BRL'!O85/'16. câmbio USD-BRL'!O84)^-1-1</f>
        <v>#VALUE!</v>
      </c>
    </row>
    <row r="290" spans="10:18" x14ac:dyDescent="0.2">
      <c r="J290" s="354">
        <v>38537</v>
      </c>
      <c r="K290">
        <v>6.29</v>
      </c>
      <c r="L290">
        <v>6.3333329999999997</v>
      </c>
      <c r="M290">
        <v>5.8666660000000004</v>
      </c>
      <c r="N290">
        <v>5.9349999999999996</v>
      </c>
      <c r="O290">
        <v>2.6603180000000002</v>
      </c>
      <c r="P290">
        <v>70925400</v>
      </c>
      <c r="R290" s="273" t="e">
        <f>(O290/O289)*('16. câmbio USD-BRL'!O86/'16. câmbio USD-BRL'!O85)^-1-1</f>
        <v>#VALUE!</v>
      </c>
    </row>
    <row r="291" spans="10:18" x14ac:dyDescent="0.2">
      <c r="J291" s="354">
        <v>38544</v>
      </c>
      <c r="K291">
        <v>6.0316660000000004</v>
      </c>
      <c r="L291">
        <v>6.983333</v>
      </c>
      <c r="M291">
        <v>5.966666</v>
      </c>
      <c r="N291">
        <v>6.7249999999999996</v>
      </c>
      <c r="O291">
        <v>3.0144289999999998</v>
      </c>
      <c r="P291">
        <v>79358400</v>
      </c>
      <c r="R291" s="273" t="e">
        <f>(O291/O290)*('16. câmbio USD-BRL'!O87/'16. câmbio USD-BRL'!O86)^-1-1</f>
        <v>#VALUE!</v>
      </c>
    </row>
    <row r="292" spans="10:18" x14ac:dyDescent="0.2">
      <c r="J292" s="354">
        <v>38551</v>
      </c>
      <c r="K292">
        <v>6.6666660000000002</v>
      </c>
      <c r="L292">
        <v>7.6583329999999998</v>
      </c>
      <c r="M292">
        <v>6.52</v>
      </c>
      <c r="N292">
        <v>7.2249999999999996</v>
      </c>
      <c r="O292">
        <v>3.2385510000000002</v>
      </c>
      <c r="P292">
        <v>102295800</v>
      </c>
      <c r="R292" s="273" t="e">
        <f>(O292/O291)*('16. câmbio USD-BRL'!O88/'16. câmbio USD-BRL'!O87)^-1-1</f>
        <v>#VALUE!</v>
      </c>
    </row>
    <row r="293" spans="10:18" x14ac:dyDescent="0.2">
      <c r="J293" s="354">
        <v>38558</v>
      </c>
      <c r="K293">
        <v>7.1166660000000004</v>
      </c>
      <c r="L293">
        <v>7.5716659999999996</v>
      </c>
      <c r="M293">
        <v>6.8533330000000001</v>
      </c>
      <c r="N293">
        <v>7.466666</v>
      </c>
      <c r="O293">
        <v>3.3468749999999998</v>
      </c>
      <c r="P293">
        <v>91873800</v>
      </c>
      <c r="R293" s="273" t="e">
        <f>(O293/O292)*('16. câmbio USD-BRL'!O89/'16. câmbio USD-BRL'!O88)^-1-1</f>
        <v>#VALUE!</v>
      </c>
    </row>
    <row r="294" spans="10:18" x14ac:dyDescent="0.2">
      <c r="J294" s="354">
        <v>38565</v>
      </c>
      <c r="K294">
        <v>7.4166660000000002</v>
      </c>
      <c r="L294">
        <v>7.9083329999999998</v>
      </c>
      <c r="M294">
        <v>7.2216659999999999</v>
      </c>
      <c r="N294">
        <v>7.55</v>
      </c>
      <c r="O294">
        <v>3.3842300000000001</v>
      </c>
      <c r="P294">
        <v>63325800</v>
      </c>
      <c r="R294" s="273" t="e">
        <f>(O294/O293)*('16. câmbio USD-BRL'!O90/'16. câmbio USD-BRL'!O89)^-1-1</f>
        <v>#VALUE!</v>
      </c>
    </row>
    <row r="295" spans="10:18" x14ac:dyDescent="0.2">
      <c r="J295" s="354">
        <v>38572</v>
      </c>
      <c r="K295">
        <v>7.65</v>
      </c>
      <c r="L295">
        <v>8.3166659999999997</v>
      </c>
      <c r="M295">
        <v>7.4333330000000002</v>
      </c>
      <c r="N295">
        <v>7.9366659999999998</v>
      </c>
      <c r="O295">
        <v>3.5575489999999999</v>
      </c>
      <c r="P295">
        <v>113671800</v>
      </c>
      <c r="R295" s="273" t="e">
        <f>(O295/O294)*('16. câmbio USD-BRL'!O91/'16. câmbio USD-BRL'!O90)^-1-1</f>
        <v>#VALUE!</v>
      </c>
    </row>
    <row r="296" spans="10:18" x14ac:dyDescent="0.2">
      <c r="J296" s="354">
        <v>38579</v>
      </c>
      <c r="K296">
        <v>7.9050000000000002</v>
      </c>
      <c r="L296">
        <v>8.15</v>
      </c>
      <c r="M296">
        <v>7.5016660000000002</v>
      </c>
      <c r="N296">
        <v>7.75</v>
      </c>
      <c r="O296">
        <v>3.4738769999999999</v>
      </c>
      <c r="P296">
        <v>84940200</v>
      </c>
      <c r="R296" s="273" t="e">
        <f>(O296/O295)*('16. câmbio USD-BRL'!O92/'16. câmbio USD-BRL'!O91)^-1-1</f>
        <v>#VALUE!</v>
      </c>
    </row>
    <row r="297" spans="10:18" x14ac:dyDescent="0.2">
      <c r="J297" s="354">
        <v>38586</v>
      </c>
      <c r="K297">
        <v>7.898333</v>
      </c>
      <c r="L297">
        <v>7.9133329999999997</v>
      </c>
      <c r="M297">
        <v>7.341666</v>
      </c>
      <c r="N297">
        <v>7.5250000000000004</v>
      </c>
      <c r="O297">
        <v>3.3730220000000002</v>
      </c>
      <c r="P297">
        <v>76320000</v>
      </c>
      <c r="R297" s="273" t="e">
        <f>(O297/O296)*('16. câmbio USD-BRL'!O93/'16. câmbio USD-BRL'!O92)^-1-1</f>
        <v>#VALUE!</v>
      </c>
    </row>
    <row r="298" spans="10:18" x14ac:dyDescent="0.2">
      <c r="J298" s="354">
        <v>38593</v>
      </c>
      <c r="K298">
        <v>7.5833329999999997</v>
      </c>
      <c r="L298">
        <v>7.9</v>
      </c>
      <c r="M298">
        <v>7.4249999999999998</v>
      </c>
      <c r="N298">
        <v>7.9</v>
      </c>
      <c r="O298">
        <v>3.5411139999999999</v>
      </c>
      <c r="P298">
        <v>82755000</v>
      </c>
      <c r="R298" s="273" t="e">
        <f>(O298/O297)*('16. câmbio USD-BRL'!O94/'16. câmbio USD-BRL'!O93)^-1-1</f>
        <v>#VALUE!</v>
      </c>
    </row>
    <row r="299" spans="10:18" x14ac:dyDescent="0.2">
      <c r="J299" s="354">
        <v>38600</v>
      </c>
      <c r="K299">
        <v>7.8833330000000004</v>
      </c>
      <c r="L299">
        <v>8.2466659999999994</v>
      </c>
      <c r="M299">
        <v>7.8766660000000002</v>
      </c>
      <c r="N299">
        <v>8.233333</v>
      </c>
      <c r="O299">
        <v>3.6905269999999999</v>
      </c>
      <c r="P299">
        <v>63392400</v>
      </c>
      <c r="R299" s="273" t="e">
        <f>(O299/O298)*('16. câmbio USD-BRL'!O95/'16. câmbio USD-BRL'!O94)^-1-1</f>
        <v>#VALUE!</v>
      </c>
    </row>
    <row r="300" spans="10:18" x14ac:dyDescent="0.2">
      <c r="J300" s="354">
        <v>38607</v>
      </c>
      <c r="K300">
        <v>8.1766660000000009</v>
      </c>
      <c r="L300">
        <v>8.733333</v>
      </c>
      <c r="M300">
        <v>7.966666</v>
      </c>
      <c r="N300">
        <v>8.6850000000000005</v>
      </c>
      <c r="O300">
        <v>3.8929830000000001</v>
      </c>
      <c r="P300">
        <v>74894400</v>
      </c>
      <c r="R300" s="273" t="e">
        <f>(O300/O299)*('16. câmbio USD-BRL'!O96/'16. câmbio USD-BRL'!O95)^-1-1</f>
        <v>#VALUE!</v>
      </c>
    </row>
    <row r="301" spans="10:18" x14ac:dyDescent="0.2">
      <c r="J301" s="354">
        <v>38614</v>
      </c>
      <c r="K301">
        <v>8.7100000000000009</v>
      </c>
      <c r="L301">
        <v>8.9483329999999999</v>
      </c>
      <c r="M301">
        <v>8.3383330000000004</v>
      </c>
      <c r="N301">
        <v>8.8666660000000004</v>
      </c>
      <c r="O301">
        <v>3.974415</v>
      </c>
      <c r="P301">
        <v>78487200</v>
      </c>
      <c r="R301" s="273" t="e">
        <f>(O301/O300)*('16. câmbio USD-BRL'!O97/'16. câmbio USD-BRL'!O96)^-1-1</f>
        <v>#VALUE!</v>
      </c>
    </row>
    <row r="302" spans="10:18" x14ac:dyDescent="0.2">
      <c r="J302" s="354">
        <v>38621</v>
      </c>
      <c r="K302">
        <v>8.9166659999999993</v>
      </c>
      <c r="L302">
        <v>8.9649999999999999</v>
      </c>
      <c r="M302">
        <v>8.3666660000000004</v>
      </c>
      <c r="N302">
        <v>8.6283329999999996</v>
      </c>
      <c r="O302">
        <v>3.8675839999999999</v>
      </c>
      <c r="P302">
        <v>44384400</v>
      </c>
      <c r="R302" s="273" t="e">
        <f>(O302/O301)*('16. câmbio USD-BRL'!O98/'16. câmbio USD-BRL'!O97)^-1-1</f>
        <v>#VALUE!</v>
      </c>
    </row>
    <row r="303" spans="10:18" x14ac:dyDescent="0.2">
      <c r="J303" s="354">
        <v>38628</v>
      </c>
      <c r="K303">
        <v>8.5749999999999993</v>
      </c>
      <c r="L303">
        <v>8.716666</v>
      </c>
      <c r="M303">
        <v>7.375</v>
      </c>
      <c r="N303">
        <v>7.693333</v>
      </c>
      <c r="O303">
        <v>3.448477</v>
      </c>
      <c r="P303">
        <v>88061400</v>
      </c>
      <c r="R303" s="273" t="e">
        <f>(O303/O302)*('16. câmbio USD-BRL'!O99/'16. câmbio USD-BRL'!O98)^-1-1</f>
        <v>#VALUE!</v>
      </c>
    </row>
    <row r="304" spans="10:18" x14ac:dyDescent="0.2">
      <c r="J304" s="354">
        <v>38635</v>
      </c>
      <c r="K304">
        <v>7.75</v>
      </c>
      <c r="L304">
        <v>7.8833330000000004</v>
      </c>
      <c r="M304">
        <v>7.1</v>
      </c>
      <c r="N304">
        <v>7.2916660000000002</v>
      </c>
      <c r="O304">
        <v>3.2684329999999999</v>
      </c>
      <c r="P304">
        <v>56066400</v>
      </c>
      <c r="R304" s="273" t="e">
        <f>(O304/O303)*('16. câmbio USD-BRL'!O100/'16. câmbio USD-BRL'!O99)^-1-1</f>
        <v>#VALUE!</v>
      </c>
    </row>
    <row r="305" spans="10:18" x14ac:dyDescent="0.2">
      <c r="J305" s="354">
        <v>38642</v>
      </c>
      <c r="K305">
        <v>7.3566659999999997</v>
      </c>
      <c r="L305">
        <v>7.5</v>
      </c>
      <c r="M305">
        <v>6.5416660000000002</v>
      </c>
      <c r="N305">
        <v>6.8366660000000001</v>
      </c>
      <c r="O305">
        <v>3.0644819999999999</v>
      </c>
      <c r="P305">
        <v>114973200</v>
      </c>
      <c r="R305" s="273" t="e">
        <f>(O305/O304)*('16. câmbio USD-BRL'!O101/'16. câmbio USD-BRL'!O100)^-1-1</f>
        <v>#VALUE!</v>
      </c>
    </row>
    <row r="306" spans="10:18" x14ac:dyDescent="0.2">
      <c r="J306" s="354">
        <v>38649</v>
      </c>
      <c r="K306">
        <v>6.8216659999999996</v>
      </c>
      <c r="L306">
        <v>7.35</v>
      </c>
      <c r="M306">
        <v>6.8166659999999997</v>
      </c>
      <c r="N306">
        <v>6.9016659999999996</v>
      </c>
      <c r="O306">
        <v>3.0936180000000002</v>
      </c>
      <c r="P306">
        <v>90331200</v>
      </c>
      <c r="R306" s="273" t="e">
        <f>(O306/O305)*('16. câmbio USD-BRL'!O102/'16. câmbio USD-BRL'!O101)^-1-1</f>
        <v>#VALUE!</v>
      </c>
    </row>
    <row r="307" spans="10:18" x14ac:dyDescent="0.2">
      <c r="J307" s="354">
        <v>38656</v>
      </c>
      <c r="K307">
        <v>6.966666</v>
      </c>
      <c r="L307">
        <v>7.6683329999999996</v>
      </c>
      <c r="M307">
        <v>6.966666</v>
      </c>
      <c r="N307">
        <v>7.15</v>
      </c>
      <c r="O307">
        <v>3.2049319999999999</v>
      </c>
      <c r="P307">
        <v>62937000</v>
      </c>
      <c r="R307" s="273" t="e">
        <f>(O307/O306)*('16. câmbio USD-BRL'!O103/'16. câmbio USD-BRL'!O102)^-1-1</f>
        <v>#VALUE!</v>
      </c>
    </row>
    <row r="308" spans="10:18" x14ac:dyDescent="0.2">
      <c r="J308" s="354">
        <v>38663</v>
      </c>
      <c r="K308">
        <v>7.2</v>
      </c>
      <c r="L308">
        <v>7.466666</v>
      </c>
      <c r="M308">
        <v>7.0333329999999998</v>
      </c>
      <c r="N308">
        <v>7.3466659999999999</v>
      </c>
      <c r="O308">
        <v>3.2930860000000002</v>
      </c>
      <c r="P308">
        <v>74530800</v>
      </c>
      <c r="R308" s="273" t="e">
        <f>(O308/O307)*('16. câmbio USD-BRL'!O104/'16. câmbio USD-BRL'!O103)^-1-1</f>
        <v>#VALUE!</v>
      </c>
    </row>
    <row r="309" spans="10:18" x14ac:dyDescent="0.2">
      <c r="J309" s="354">
        <v>38670</v>
      </c>
      <c r="K309">
        <v>7.233333</v>
      </c>
      <c r="L309">
        <v>7.75</v>
      </c>
      <c r="M309">
        <v>7.085</v>
      </c>
      <c r="N309">
        <v>7.75</v>
      </c>
      <c r="O309">
        <v>3.4738769999999999</v>
      </c>
      <c r="P309">
        <v>65867400</v>
      </c>
      <c r="R309" s="273" t="e">
        <f>(O309/O308)*('16. câmbio USD-BRL'!O105/'16. câmbio USD-BRL'!O104)^-1-1</f>
        <v>#VALUE!</v>
      </c>
    </row>
    <row r="310" spans="10:18" x14ac:dyDescent="0.2">
      <c r="J310" s="354">
        <v>38677</v>
      </c>
      <c r="K310">
        <v>7.7583330000000004</v>
      </c>
      <c r="L310">
        <v>7.8533330000000001</v>
      </c>
      <c r="M310">
        <v>7.375</v>
      </c>
      <c r="N310">
        <v>7.608333</v>
      </c>
      <c r="O310">
        <v>3.410377</v>
      </c>
      <c r="P310">
        <v>64944000</v>
      </c>
      <c r="R310" s="273" t="e">
        <f>(O310/O309)*('16. câmbio USD-BRL'!O106/'16. câmbio USD-BRL'!O105)^-1-1</f>
        <v>#VALUE!</v>
      </c>
    </row>
    <row r="311" spans="10:18" x14ac:dyDescent="0.2">
      <c r="J311" s="354">
        <v>38684</v>
      </c>
      <c r="K311">
        <v>7.6633329999999997</v>
      </c>
      <c r="L311">
        <v>8.0666659999999997</v>
      </c>
      <c r="M311">
        <v>7.4166660000000002</v>
      </c>
      <c r="N311">
        <v>7.8166659999999997</v>
      </c>
      <c r="O311">
        <v>3.5037600000000002</v>
      </c>
      <c r="P311">
        <v>84015000</v>
      </c>
      <c r="R311" s="273" t="e">
        <f>(O311/O310)*('16. câmbio USD-BRL'!O107/'16. câmbio USD-BRL'!O106)^-1-1</f>
        <v>#VALUE!</v>
      </c>
    </row>
    <row r="312" spans="10:18" x14ac:dyDescent="0.2">
      <c r="J312" s="354">
        <v>38691</v>
      </c>
      <c r="K312">
        <v>7.733333</v>
      </c>
      <c r="L312">
        <v>8.1166660000000004</v>
      </c>
      <c r="M312">
        <v>7.67</v>
      </c>
      <c r="N312">
        <v>8.0500000000000007</v>
      </c>
      <c r="O312">
        <v>3.6083500000000002</v>
      </c>
      <c r="P312">
        <v>83687400</v>
      </c>
      <c r="R312" s="273" t="e">
        <f>(O312/O311)*('16. câmbio USD-BRL'!O108/'16. câmbio USD-BRL'!O107)^-1-1</f>
        <v>#VALUE!</v>
      </c>
    </row>
    <row r="313" spans="10:18" x14ac:dyDescent="0.2">
      <c r="J313" s="354">
        <v>38698</v>
      </c>
      <c r="K313">
        <v>8.0500000000000007</v>
      </c>
      <c r="L313">
        <v>8.3650000000000002</v>
      </c>
      <c r="M313">
        <v>7.9749999999999996</v>
      </c>
      <c r="N313">
        <v>8.1150000000000002</v>
      </c>
      <c r="O313">
        <v>3.637486</v>
      </c>
      <c r="P313">
        <v>88198200</v>
      </c>
      <c r="R313" s="273" t="e">
        <f>(O313/O312)*('16. câmbio USD-BRL'!O109/'16. câmbio USD-BRL'!O108)^-1-1</f>
        <v>#VALUE!</v>
      </c>
    </row>
    <row r="314" spans="10:18" x14ac:dyDescent="0.2">
      <c r="J314" s="354">
        <v>38705</v>
      </c>
      <c r="K314">
        <v>8.0266660000000005</v>
      </c>
      <c r="L314">
        <v>8.4166659999999993</v>
      </c>
      <c r="M314">
        <v>7.9166660000000002</v>
      </c>
      <c r="N314">
        <v>8.3333329999999997</v>
      </c>
      <c r="O314">
        <v>3.7353529999999999</v>
      </c>
      <c r="P314">
        <v>63849600</v>
      </c>
      <c r="R314" s="273" t="e">
        <f>(O314/O313)*('16. câmbio USD-BRL'!O110/'16. câmbio USD-BRL'!O109)^-1-1</f>
        <v>#VALUE!</v>
      </c>
    </row>
    <row r="315" spans="10:18" x14ac:dyDescent="0.2">
      <c r="J315" s="354">
        <v>38712</v>
      </c>
      <c r="K315">
        <v>8.4066659999999995</v>
      </c>
      <c r="L315">
        <v>8.4333329999999993</v>
      </c>
      <c r="M315">
        <v>8.1416660000000007</v>
      </c>
      <c r="N315">
        <v>8.3833330000000004</v>
      </c>
      <c r="O315">
        <v>3.7577639999999999</v>
      </c>
      <c r="P315">
        <v>41653800</v>
      </c>
      <c r="R315" s="273" t="e">
        <f>(O315/O314)*('16. câmbio USD-BRL'!O111/'16. câmbio USD-BRL'!O110)^-1-1</f>
        <v>#VALUE!</v>
      </c>
    </row>
    <row r="316" spans="10:18" x14ac:dyDescent="0.2">
      <c r="J316" s="354">
        <v>38719</v>
      </c>
      <c r="K316">
        <v>8.1666659999999993</v>
      </c>
      <c r="L316">
        <v>8.4983330000000006</v>
      </c>
      <c r="M316">
        <v>8.0833329999999997</v>
      </c>
      <c r="N316">
        <v>8.4499999999999993</v>
      </c>
      <c r="O316">
        <v>3.7876470000000002</v>
      </c>
      <c r="P316">
        <v>55024200</v>
      </c>
      <c r="R316" s="273" t="e">
        <f>(O316/O315)*('16. câmbio USD-BRL'!O112/'16. câmbio USD-BRL'!O111)^-1-1</f>
        <v>#VALUE!</v>
      </c>
    </row>
    <row r="317" spans="10:18" x14ac:dyDescent="0.2">
      <c r="J317" s="354">
        <v>38726</v>
      </c>
      <c r="K317">
        <v>8.4583329999999997</v>
      </c>
      <c r="L317">
        <v>9.2983329999999995</v>
      </c>
      <c r="M317">
        <v>8.4583329999999997</v>
      </c>
      <c r="N317">
        <v>8.9066659999999995</v>
      </c>
      <c r="O317">
        <v>3.9923440000000001</v>
      </c>
      <c r="P317">
        <v>100535400</v>
      </c>
      <c r="R317" s="273" t="e">
        <f>(O317/O316)*('16. câmbio USD-BRL'!O113/'16. câmbio USD-BRL'!O112)^-1-1</f>
        <v>#VALUE!</v>
      </c>
    </row>
    <row r="318" spans="10:18" x14ac:dyDescent="0.2">
      <c r="J318" s="354">
        <v>38733</v>
      </c>
      <c r="K318">
        <v>8.8683329999999998</v>
      </c>
      <c r="L318">
        <v>9.3133330000000001</v>
      </c>
      <c r="M318">
        <v>8.7666660000000007</v>
      </c>
      <c r="N318">
        <v>9.1783330000000003</v>
      </c>
      <c r="O318">
        <v>4.1141160000000001</v>
      </c>
      <c r="P318">
        <v>56397600</v>
      </c>
      <c r="R318" s="273" t="e">
        <f>(O318/O317)*('16. câmbio USD-BRL'!O114/'16. câmbio USD-BRL'!O113)^-1-1</f>
        <v>#VALUE!</v>
      </c>
    </row>
    <row r="319" spans="10:18" x14ac:dyDescent="0.2">
      <c r="J319" s="354">
        <v>38740</v>
      </c>
      <c r="K319">
        <v>8.9516659999999995</v>
      </c>
      <c r="L319">
        <v>10.408333000000001</v>
      </c>
      <c r="M319">
        <v>8.8666660000000004</v>
      </c>
      <c r="N319">
        <v>10.001666</v>
      </c>
      <c r="O319">
        <v>4.4831690000000002</v>
      </c>
      <c r="P319">
        <v>133612200</v>
      </c>
      <c r="R319" s="273" t="e">
        <f>(O319/O318)*('16. câmbio USD-BRL'!O115/'16. câmbio USD-BRL'!O114)^-1-1</f>
        <v>#VALUE!</v>
      </c>
    </row>
    <row r="320" spans="10:18" x14ac:dyDescent="0.2">
      <c r="J320" s="354">
        <v>38747</v>
      </c>
      <c r="K320">
        <v>9.9749999999999996</v>
      </c>
      <c r="L320">
        <v>11.163333</v>
      </c>
      <c r="M320">
        <v>9.6649999999999991</v>
      </c>
      <c r="N320">
        <v>10.216666</v>
      </c>
      <c r="O320">
        <v>4.5795409999999999</v>
      </c>
      <c r="P320">
        <v>131704200</v>
      </c>
      <c r="R320" s="273" t="e">
        <f>(O320/O319)*('16. câmbio USD-BRL'!O116/'16. câmbio USD-BRL'!O115)^-1-1</f>
        <v>#VALUE!</v>
      </c>
    </row>
    <row r="321" spans="10:18" x14ac:dyDescent="0.2">
      <c r="J321" s="354">
        <v>38754</v>
      </c>
      <c r="K321">
        <v>10.336665999999999</v>
      </c>
      <c r="L321">
        <v>10.466666</v>
      </c>
      <c r="M321">
        <v>9.2666660000000007</v>
      </c>
      <c r="N321">
        <v>9.9166659999999993</v>
      </c>
      <c r="O321">
        <v>4.4450690000000002</v>
      </c>
      <c r="P321">
        <v>89380800</v>
      </c>
      <c r="R321" s="273" t="e">
        <f>(O321/O320)*('16. câmbio USD-BRL'!O117/'16. câmbio USD-BRL'!O116)^-1-1</f>
        <v>#VALUE!</v>
      </c>
    </row>
    <row r="322" spans="10:18" x14ac:dyDescent="0.2">
      <c r="J322" s="354">
        <v>38761</v>
      </c>
      <c r="K322">
        <v>9.9149999999999991</v>
      </c>
      <c r="L322">
        <v>10.898332999999999</v>
      </c>
      <c r="M322">
        <v>9.3849999999999998</v>
      </c>
      <c r="N322">
        <v>10.766666000000001</v>
      </c>
      <c r="O322">
        <v>4.8260740000000002</v>
      </c>
      <c r="P322">
        <v>89469000</v>
      </c>
      <c r="R322" s="273" t="e">
        <f>(O322/O321)*('16. câmbio USD-BRL'!O118/'16. câmbio USD-BRL'!O117)^-1-1</f>
        <v>#VALUE!</v>
      </c>
    </row>
    <row r="323" spans="10:18" x14ac:dyDescent="0.2">
      <c r="J323" s="354">
        <v>38768</v>
      </c>
      <c r="K323">
        <v>10.675000000000001</v>
      </c>
      <c r="L323">
        <v>11.3</v>
      </c>
      <c r="M323">
        <v>10.465</v>
      </c>
      <c r="N323">
        <v>10.708333</v>
      </c>
      <c r="O323">
        <v>4.7999280000000004</v>
      </c>
      <c r="P323">
        <v>49640400</v>
      </c>
      <c r="R323" s="273" t="e">
        <f>(O323/O322)*('16. câmbio USD-BRL'!O119/'16. câmbio USD-BRL'!O118)^-1-1</f>
        <v>#VALUE!</v>
      </c>
    </row>
    <row r="324" spans="10:18" x14ac:dyDescent="0.2">
      <c r="J324" s="354">
        <v>38775</v>
      </c>
      <c r="K324">
        <v>10.708333</v>
      </c>
      <c r="L324">
        <v>11.166665999999999</v>
      </c>
      <c r="M324">
        <v>10.583333</v>
      </c>
      <c r="N324">
        <v>11.033333000000001</v>
      </c>
      <c r="O324">
        <v>4.9456059999999997</v>
      </c>
      <c r="P324">
        <v>24372000</v>
      </c>
      <c r="R324" s="273" t="e">
        <f>(O324/O323)*('16. câmbio USD-BRL'!O120/'16. câmbio USD-BRL'!O119)^-1-1</f>
        <v>#VALUE!</v>
      </c>
    </row>
    <row r="325" spans="10:18" x14ac:dyDescent="0.2">
      <c r="J325" s="354">
        <v>38782</v>
      </c>
      <c r="K325">
        <v>11.083333</v>
      </c>
      <c r="L325">
        <v>11.2</v>
      </c>
      <c r="M325">
        <v>9.9649999999999999</v>
      </c>
      <c r="N325">
        <v>10.583333</v>
      </c>
      <c r="O325">
        <v>4.7438969999999996</v>
      </c>
      <c r="P325">
        <v>62359200</v>
      </c>
      <c r="R325" s="273" t="e">
        <f>(O325/O324)*('16. câmbio USD-BRL'!O121/'16. câmbio USD-BRL'!O120)^-1-1</f>
        <v>#VALUE!</v>
      </c>
    </row>
    <row r="326" spans="10:18" x14ac:dyDescent="0.2">
      <c r="J326" s="354">
        <v>38789</v>
      </c>
      <c r="K326">
        <v>10.583333</v>
      </c>
      <c r="L326">
        <v>11.116666</v>
      </c>
      <c r="M326">
        <v>10.133333</v>
      </c>
      <c r="N326">
        <v>10.916665999999999</v>
      </c>
      <c r="O326">
        <v>4.8933099999999996</v>
      </c>
      <c r="P326">
        <v>50274000</v>
      </c>
      <c r="R326" s="273" t="e">
        <f>(O326/O325)*('16. câmbio USD-BRL'!O122/'16. câmbio USD-BRL'!O121)^-1-1</f>
        <v>#VALUE!</v>
      </c>
    </row>
    <row r="327" spans="10:18" x14ac:dyDescent="0.2">
      <c r="J327" s="354">
        <v>38796</v>
      </c>
      <c r="K327">
        <v>10.916665999999999</v>
      </c>
      <c r="L327">
        <v>11.105</v>
      </c>
      <c r="M327">
        <v>10.050000000000001</v>
      </c>
      <c r="N327">
        <v>10.381665999999999</v>
      </c>
      <c r="O327">
        <v>4.6535019999999996</v>
      </c>
      <c r="P327">
        <v>57857400</v>
      </c>
      <c r="R327" s="273" t="e">
        <f>(O327/O326)*('16. câmbio USD-BRL'!O123/'16. câmbio USD-BRL'!O122)^-1-1</f>
        <v>#VALUE!</v>
      </c>
    </row>
    <row r="328" spans="10:18" x14ac:dyDescent="0.2">
      <c r="J328" s="354">
        <v>38803</v>
      </c>
      <c r="K328">
        <v>10.508333</v>
      </c>
      <c r="L328">
        <v>11.566666</v>
      </c>
      <c r="M328">
        <v>10.45</v>
      </c>
      <c r="N328">
        <v>11.341666</v>
      </c>
      <c r="O328">
        <v>5.0838130000000001</v>
      </c>
      <c r="P328">
        <v>102191400</v>
      </c>
      <c r="R328" s="273">
        <f>(O328/O327)*('16. câmbio USD-BRL'!O124/'16. câmbio USD-BRL'!O123)^-1-1</f>
        <v>8.3295866204454505E-2</v>
      </c>
    </row>
    <row r="329" spans="10:18" x14ac:dyDescent="0.2">
      <c r="J329" s="354">
        <v>38810</v>
      </c>
      <c r="K329">
        <v>11.5</v>
      </c>
      <c r="L329">
        <v>11.908333000000001</v>
      </c>
      <c r="M329">
        <v>11.336665999999999</v>
      </c>
      <c r="N329">
        <v>11.546666</v>
      </c>
      <c r="O329">
        <v>5.1757039999999996</v>
      </c>
      <c r="P329">
        <v>55539000</v>
      </c>
      <c r="R329" s="273">
        <f>(O329/O328)*('16. câmbio USD-BRL'!O125/'16. câmbio USD-BRL'!O124)^-1-1</f>
        <v>3.3332990075118696E-2</v>
      </c>
    </row>
    <row r="330" spans="10:18" x14ac:dyDescent="0.2">
      <c r="J330" s="354">
        <v>38817</v>
      </c>
      <c r="K330">
        <v>11.574999999999999</v>
      </c>
      <c r="L330">
        <v>12.216666</v>
      </c>
      <c r="M330">
        <v>11.256665999999999</v>
      </c>
      <c r="N330">
        <v>12</v>
      </c>
      <c r="O330">
        <v>5.3789069999999999</v>
      </c>
      <c r="P330">
        <v>76008600</v>
      </c>
      <c r="R330" s="273">
        <f>(O330/O329)*('16. câmbio USD-BRL'!O126/'16. câmbio USD-BRL'!O125)^-1-1</f>
        <v>3.6590814852428766E-2</v>
      </c>
    </row>
    <row r="331" spans="10:18" x14ac:dyDescent="0.2">
      <c r="J331" s="354">
        <v>38824</v>
      </c>
      <c r="K331">
        <v>12.006665999999999</v>
      </c>
      <c r="L331">
        <v>12.75</v>
      </c>
      <c r="M331">
        <v>11.885</v>
      </c>
      <c r="N331">
        <v>12.475</v>
      </c>
      <c r="O331">
        <v>5.5918219999999996</v>
      </c>
      <c r="P331">
        <v>42616800</v>
      </c>
      <c r="R331" s="273">
        <f>(O331/O330)*('16. câmbio USD-BRL'!O127/'16. câmbio USD-BRL'!O126)^-1-1</f>
        <v>5.0427647647270923E-2</v>
      </c>
    </row>
    <row r="332" spans="10:18" x14ac:dyDescent="0.2">
      <c r="J332" s="354">
        <v>38831</v>
      </c>
      <c r="K332">
        <v>12.5</v>
      </c>
      <c r="L332">
        <v>12.583333</v>
      </c>
      <c r="M332">
        <v>11.835000000000001</v>
      </c>
      <c r="N332">
        <v>12.216666</v>
      </c>
      <c r="O332">
        <v>5.4760260000000001</v>
      </c>
      <c r="P332">
        <v>65748600</v>
      </c>
      <c r="R332" s="273">
        <f>(O332/O331)*('16. câmbio USD-BRL'!O128/'16. câmbio USD-BRL'!O127)^-1-1</f>
        <v>-9.0615547548310582E-3</v>
      </c>
    </row>
    <row r="333" spans="10:18" x14ac:dyDescent="0.2">
      <c r="J333" s="354">
        <v>38838</v>
      </c>
      <c r="K333">
        <v>12.216666</v>
      </c>
      <c r="L333">
        <v>12.9</v>
      </c>
      <c r="M333">
        <v>11.883333</v>
      </c>
      <c r="N333">
        <v>12.75</v>
      </c>
      <c r="O333">
        <v>5.7150889999999999</v>
      </c>
      <c r="P333">
        <v>54268200</v>
      </c>
      <c r="R333" s="273">
        <f>(O333/O332)*('16. câmbio USD-BRL'!O129/'16. câmbio USD-BRL'!O128)^-1-1</f>
        <v>6.2276705086309336E-2</v>
      </c>
    </row>
    <row r="334" spans="10:18" x14ac:dyDescent="0.2">
      <c r="J334" s="354">
        <v>38845</v>
      </c>
      <c r="K334">
        <v>12.866666</v>
      </c>
      <c r="L334">
        <v>12.933332999999999</v>
      </c>
      <c r="M334">
        <v>11.956666</v>
      </c>
      <c r="N334">
        <v>12.083333</v>
      </c>
      <c r="O334">
        <v>5.4162600000000003</v>
      </c>
      <c r="P334">
        <v>1184664912</v>
      </c>
      <c r="R334" s="273">
        <f>(O334/O333)*('16. câmbio USD-BRL'!O130/'16. câmbio USD-BRL'!O129)^-1-1</f>
        <v>-8.3692526256846422E-2</v>
      </c>
    </row>
    <row r="335" spans="10:18" x14ac:dyDescent="0.2">
      <c r="J335" s="354">
        <v>38852</v>
      </c>
      <c r="K335">
        <v>11.865</v>
      </c>
      <c r="L335">
        <v>12.033333000000001</v>
      </c>
      <c r="M335">
        <v>11.05</v>
      </c>
      <c r="N335">
        <v>11.323333</v>
      </c>
      <c r="O335">
        <v>5.075596</v>
      </c>
      <c r="P335">
        <v>1113906120</v>
      </c>
      <c r="R335" s="273">
        <f>(O335/O334)*('16. câmbio USD-BRL'!O131/'16. câmbio USD-BRL'!O130)^-1-1</f>
        <v>-9.2540911903863821E-2</v>
      </c>
    </row>
    <row r="336" spans="10:18" x14ac:dyDescent="0.2">
      <c r="J336" s="354">
        <v>38859</v>
      </c>
      <c r="K336">
        <v>11.131665999999999</v>
      </c>
      <c r="L336">
        <v>12.246665999999999</v>
      </c>
      <c r="M336">
        <v>10.483333</v>
      </c>
      <c r="N336">
        <v>12.081666</v>
      </c>
      <c r="O336">
        <v>5.4155119999999997</v>
      </c>
      <c r="P336">
        <v>1840800456</v>
      </c>
      <c r="R336" s="273">
        <f>(O336/O335)*('16. câmbio USD-BRL'!O132/'16. câmbio USD-BRL'!O131)^-1-1</f>
        <v>3.92970667054926E-2</v>
      </c>
    </row>
    <row r="337" spans="10:18" x14ac:dyDescent="0.2">
      <c r="J337" s="354">
        <v>38866</v>
      </c>
      <c r="K337">
        <v>12</v>
      </c>
      <c r="L337">
        <v>12.208333</v>
      </c>
      <c r="M337">
        <v>11.333333</v>
      </c>
      <c r="N337">
        <v>11.85</v>
      </c>
      <c r="O337">
        <v>5.3116709999999996</v>
      </c>
      <c r="P337">
        <v>1429250160</v>
      </c>
      <c r="R337" s="273">
        <f>(O337/O336)*('16. câmbio USD-BRL'!O133/'16. câmbio USD-BRL'!O132)^-1-1</f>
        <v>-3.0692113952277222E-2</v>
      </c>
    </row>
    <row r="338" spans="10:18" x14ac:dyDescent="0.2">
      <c r="J338" s="354">
        <v>38873</v>
      </c>
      <c r="K338">
        <v>11.833333</v>
      </c>
      <c r="L338">
        <v>11.833333</v>
      </c>
      <c r="M338">
        <v>10.276666000000001</v>
      </c>
      <c r="N338">
        <v>10.841666</v>
      </c>
      <c r="O338">
        <v>4.859693</v>
      </c>
      <c r="P338">
        <v>1430461272</v>
      </c>
      <c r="R338" s="273">
        <f>(O338/O337)*('16. câmbio USD-BRL'!O134/'16. câmbio USD-BRL'!O133)^-1-1</f>
        <v>-7.6063852974167512E-2</v>
      </c>
    </row>
    <row r="339" spans="10:18" x14ac:dyDescent="0.2">
      <c r="J339" s="354">
        <v>38880</v>
      </c>
      <c r="K339">
        <v>10.833333</v>
      </c>
      <c r="L339">
        <v>10.996665999999999</v>
      </c>
      <c r="M339">
        <v>9.3916660000000007</v>
      </c>
      <c r="N339">
        <v>10.391666000000001</v>
      </c>
      <c r="O339">
        <v>4.6579839999999999</v>
      </c>
      <c r="P339">
        <v>1048983264</v>
      </c>
      <c r="R339" s="273">
        <f>(O339/O338)*('16. câmbio USD-BRL'!O135/'16. câmbio USD-BRL'!O134)^-1-1</f>
        <v>-3.5875360921321486E-2</v>
      </c>
    </row>
    <row r="340" spans="10:18" x14ac:dyDescent="0.2">
      <c r="J340" s="354">
        <v>38887</v>
      </c>
      <c r="K340">
        <v>10.533333000000001</v>
      </c>
      <c r="L340">
        <v>10.833333</v>
      </c>
      <c r="M340">
        <v>9.8666660000000004</v>
      </c>
      <c r="N340">
        <v>10.783333000000001</v>
      </c>
      <c r="O340">
        <v>4.8335460000000001</v>
      </c>
      <c r="P340">
        <v>1020203592</v>
      </c>
      <c r="R340" s="273">
        <f>(O340/O339)*('16. câmbio USD-BRL'!O136/'16. câmbio USD-BRL'!O135)^-1-1</f>
        <v>3.8753904184103849E-2</v>
      </c>
    </row>
    <row r="341" spans="10:18" x14ac:dyDescent="0.2">
      <c r="J341" s="354">
        <v>38894</v>
      </c>
      <c r="K341">
        <v>10.6</v>
      </c>
      <c r="L341">
        <v>11.833333</v>
      </c>
      <c r="M341">
        <v>10.466666</v>
      </c>
      <c r="N341">
        <v>11.583333</v>
      </c>
      <c r="O341">
        <v>5.1921390000000001</v>
      </c>
      <c r="P341">
        <v>770402760</v>
      </c>
      <c r="R341" s="273">
        <f>(O341/O340)*('16. câmbio USD-BRL'!O137/'16. câmbio USD-BRL'!O136)^-1-1</f>
        <v>0.1154364299502082</v>
      </c>
    </row>
    <row r="342" spans="10:18" x14ac:dyDescent="0.2">
      <c r="J342" s="354">
        <v>38901</v>
      </c>
      <c r="K342">
        <v>11.683332999999999</v>
      </c>
      <c r="L342">
        <v>12.05</v>
      </c>
      <c r="M342">
        <v>11.35</v>
      </c>
      <c r="N342">
        <v>11.5</v>
      </c>
      <c r="O342">
        <v>5.1547869999999998</v>
      </c>
      <c r="P342">
        <v>1076602320</v>
      </c>
      <c r="R342" s="273">
        <f>(O342/O341)*('16. câmbio USD-BRL'!O138/'16. câmbio USD-BRL'!O137)^-1-1</f>
        <v>-9.8508410331544782E-3</v>
      </c>
    </row>
    <row r="343" spans="10:18" x14ac:dyDescent="0.2">
      <c r="J343" s="354">
        <v>38908</v>
      </c>
      <c r="K343">
        <v>11.5</v>
      </c>
      <c r="L343">
        <v>11.965</v>
      </c>
      <c r="M343">
        <v>11.045</v>
      </c>
      <c r="N343">
        <v>11.266666000000001</v>
      </c>
      <c r="O343">
        <v>5.0501950000000004</v>
      </c>
      <c r="P343">
        <v>1000297140</v>
      </c>
      <c r="R343" s="273">
        <f>(O343/O342)*('16. câmbio USD-BRL'!O139/'16. câmbio USD-BRL'!O138)^-1-1</f>
        <v>1.2650184208002013E-2</v>
      </c>
    </row>
    <row r="344" spans="10:18" x14ac:dyDescent="0.2">
      <c r="J344" s="354">
        <v>38915</v>
      </c>
      <c r="K344">
        <v>11.02</v>
      </c>
      <c r="L344">
        <v>12.1</v>
      </c>
      <c r="M344">
        <v>10.914999999999999</v>
      </c>
      <c r="N344">
        <v>11.116666</v>
      </c>
      <c r="O344">
        <v>4.9829600000000003</v>
      </c>
      <c r="P344">
        <v>762797136</v>
      </c>
      <c r="R344" s="273">
        <f>(O344/O343)*('16. câmbio USD-BRL'!O140/'16. câmbio USD-BRL'!O139)^-1-1</f>
        <v>-5.4613154191208824E-2</v>
      </c>
    </row>
    <row r="345" spans="10:18" x14ac:dyDescent="0.2">
      <c r="J345" s="354">
        <v>38922</v>
      </c>
      <c r="K345">
        <v>11.233333</v>
      </c>
      <c r="L345">
        <v>11.9</v>
      </c>
      <c r="M345">
        <v>11.05</v>
      </c>
      <c r="N345">
        <v>11.75</v>
      </c>
      <c r="O345">
        <v>5.2668460000000001</v>
      </c>
      <c r="P345">
        <v>547237968</v>
      </c>
      <c r="R345" s="273">
        <f>(O345/O344)*('16. câmbio USD-BRL'!O141/'16. câmbio USD-BRL'!O140)^-1-1</f>
        <v>6.3189980097142495E-2</v>
      </c>
    </row>
    <row r="346" spans="10:18" x14ac:dyDescent="0.2">
      <c r="J346" s="354">
        <v>38929</v>
      </c>
      <c r="K346">
        <v>11.666665999999999</v>
      </c>
      <c r="L346">
        <v>11.881665999999999</v>
      </c>
      <c r="M346">
        <v>11.378333</v>
      </c>
      <c r="N346">
        <v>11.568333000000001</v>
      </c>
      <c r="O346">
        <v>5.185416</v>
      </c>
      <c r="P346">
        <v>1043750784</v>
      </c>
      <c r="R346" s="273">
        <f>(O346/O345)*('16. câmbio USD-BRL'!O142/'16. câmbio USD-BRL'!O141)^-1-1</f>
        <v>-1.2465034562883726E-2</v>
      </c>
    </row>
    <row r="347" spans="10:18" x14ac:dyDescent="0.2">
      <c r="J347" s="354">
        <v>38936</v>
      </c>
      <c r="K347">
        <v>11.648332999999999</v>
      </c>
      <c r="L347">
        <v>12.036666</v>
      </c>
      <c r="M347">
        <v>11.068333000000001</v>
      </c>
      <c r="N347">
        <v>11.125</v>
      </c>
      <c r="O347">
        <v>4.986694</v>
      </c>
      <c r="P347">
        <v>1166115144</v>
      </c>
      <c r="R347" s="273">
        <f>(O347/O346)*('16. câmbio USD-BRL'!O143/'16. câmbio USD-BRL'!O142)^-1-1</f>
        <v>1.7302413248139414E-2</v>
      </c>
    </row>
    <row r="348" spans="10:18" x14ac:dyDescent="0.2">
      <c r="J348" s="354">
        <v>38943</v>
      </c>
      <c r="K348">
        <v>11.166665999999999</v>
      </c>
      <c r="L348">
        <v>11.468332999999999</v>
      </c>
      <c r="M348">
        <v>10.885</v>
      </c>
      <c r="N348">
        <v>11.333333</v>
      </c>
      <c r="O348">
        <v>5.0800789999999996</v>
      </c>
      <c r="P348">
        <v>1411340412</v>
      </c>
      <c r="R348" s="273">
        <f>(O348/O347)*('16. câmbio USD-BRL'!O144/'16. câmbio USD-BRL'!O143)^-1-1</f>
        <v>-2.6428569453144535E-2</v>
      </c>
    </row>
    <row r="349" spans="10:18" x14ac:dyDescent="0.2">
      <c r="J349" s="354">
        <v>38950</v>
      </c>
      <c r="K349">
        <v>11.175000000000001</v>
      </c>
      <c r="L349">
        <v>11.38</v>
      </c>
      <c r="M349">
        <v>10.503333</v>
      </c>
      <c r="N349">
        <v>10.716666</v>
      </c>
      <c r="O349">
        <v>4.8036620000000001</v>
      </c>
      <c r="P349">
        <v>1093314768</v>
      </c>
      <c r="R349" s="273">
        <f>(O349/O348)*('16. câmbio USD-BRL'!O145/'16. câmbio USD-BRL'!O144)^-1-1</f>
        <v>-5.8929787923686971E-2</v>
      </c>
    </row>
    <row r="350" spans="10:18" x14ac:dyDescent="0.2">
      <c r="J350" s="354">
        <v>38957</v>
      </c>
      <c r="K350">
        <v>10.741666</v>
      </c>
      <c r="L350">
        <v>11</v>
      </c>
      <c r="M350">
        <v>10.4</v>
      </c>
      <c r="N350">
        <v>10.983333</v>
      </c>
      <c r="O350">
        <v>4.9231930000000004</v>
      </c>
      <c r="P350">
        <v>992150568</v>
      </c>
      <c r="R350" s="273">
        <f>(O350/O349)*('16. câmbio USD-BRL'!O146/'16. câmbio USD-BRL'!O145)^-1-1</f>
        <v>2.9707524306498811E-2</v>
      </c>
    </row>
    <row r="351" spans="10:18" x14ac:dyDescent="0.2">
      <c r="J351" s="354">
        <v>38964</v>
      </c>
      <c r="K351">
        <v>11.08</v>
      </c>
      <c r="L351">
        <v>11.416665999999999</v>
      </c>
      <c r="M351">
        <v>10.605</v>
      </c>
      <c r="N351">
        <v>10.605</v>
      </c>
      <c r="O351">
        <v>4.7536100000000001</v>
      </c>
      <c r="P351">
        <v>616686756</v>
      </c>
      <c r="R351" s="273">
        <f>(O351/O350)*('16. câmbio USD-BRL'!O147/'16. câmbio USD-BRL'!O146)^-1-1</f>
        <v>-3.7272403794352926E-2</v>
      </c>
    </row>
    <row r="352" spans="10:18" x14ac:dyDescent="0.2">
      <c r="J352" s="354">
        <v>38971</v>
      </c>
      <c r="K352">
        <v>10.666665999999999</v>
      </c>
      <c r="L352">
        <v>10.758333</v>
      </c>
      <c r="M352">
        <v>10.116666</v>
      </c>
      <c r="N352">
        <v>10.266666000000001</v>
      </c>
      <c r="O352">
        <v>4.601953</v>
      </c>
      <c r="P352">
        <v>25242600</v>
      </c>
      <c r="R352" s="273">
        <f>(O352/O351)*('16. câmbio USD-BRL'!O148/'16. câmbio USD-BRL'!O147)^-1-1</f>
        <v>-3.1453474693202477E-2</v>
      </c>
    </row>
    <row r="353" spans="10:18" x14ac:dyDescent="0.2">
      <c r="J353" s="354">
        <v>38978</v>
      </c>
      <c r="K353">
        <v>10.285</v>
      </c>
      <c r="L353">
        <v>10.598333</v>
      </c>
      <c r="M353">
        <v>9.75</v>
      </c>
      <c r="N353">
        <v>9.9016660000000005</v>
      </c>
      <c r="O353">
        <v>4.4383429999999997</v>
      </c>
      <c r="P353">
        <v>26352000</v>
      </c>
      <c r="R353" s="273">
        <f>(O353/O352)*('16. câmbio USD-BRL'!O149/'16. câmbio USD-BRL'!O148)^-1-1</f>
        <v>-6.1342469084492368E-2</v>
      </c>
    </row>
    <row r="354" spans="10:18" x14ac:dyDescent="0.2">
      <c r="J354" s="354">
        <v>38985</v>
      </c>
      <c r="K354">
        <v>9.9</v>
      </c>
      <c r="L354">
        <v>10.471666000000001</v>
      </c>
      <c r="M354">
        <v>9.608333</v>
      </c>
      <c r="N354">
        <v>10.333333</v>
      </c>
      <c r="O354">
        <v>4.6318359999999998</v>
      </c>
      <c r="P354">
        <v>15441600</v>
      </c>
      <c r="R354" s="273">
        <f>(O354/O353)*('16. câmbio USD-BRL'!O150/'16. câmbio USD-BRL'!O149)^-1-1</f>
        <v>6.6369698521804965E-2</v>
      </c>
    </row>
    <row r="355" spans="10:18" x14ac:dyDescent="0.2">
      <c r="J355" s="354">
        <v>38992</v>
      </c>
      <c r="K355">
        <v>10.35</v>
      </c>
      <c r="L355">
        <v>10.756665999999999</v>
      </c>
      <c r="M355">
        <v>10.058332999999999</v>
      </c>
      <c r="N355">
        <v>10.645</v>
      </c>
      <c r="O355">
        <v>4.7715399999999999</v>
      </c>
      <c r="P355">
        <v>22150800</v>
      </c>
      <c r="R355" s="273">
        <f>(O355/O354)*('16. câmbio USD-BRL'!O151/'16. câmbio USD-BRL'!O150)^-1-1</f>
        <v>3.0352239801715752E-2</v>
      </c>
    </row>
    <row r="356" spans="10:18" x14ac:dyDescent="0.2">
      <c r="J356" s="354">
        <v>38999</v>
      </c>
      <c r="K356">
        <v>10.583333</v>
      </c>
      <c r="L356">
        <v>11.341666</v>
      </c>
      <c r="M356">
        <v>10.566666</v>
      </c>
      <c r="N356">
        <v>11.186666000000001</v>
      </c>
      <c r="O356">
        <v>5.0143370000000003</v>
      </c>
      <c r="P356">
        <v>10407600</v>
      </c>
      <c r="R356" s="273">
        <f>(O356/O355)*('16. câmbio USD-BRL'!O152/'16. câmbio USD-BRL'!O151)^-1-1</f>
        <v>6.317545622047982E-2</v>
      </c>
    </row>
    <row r="357" spans="10:18" x14ac:dyDescent="0.2">
      <c r="J357" s="354">
        <v>39006</v>
      </c>
      <c r="K357">
        <v>11.2</v>
      </c>
      <c r="L357">
        <v>11.666665999999999</v>
      </c>
      <c r="M357">
        <v>10.87</v>
      </c>
      <c r="N357">
        <v>11.168333000000001</v>
      </c>
      <c r="O357">
        <v>5.0061200000000001</v>
      </c>
      <c r="P357">
        <v>22946400</v>
      </c>
      <c r="R357" s="273">
        <f>(O357/O356)*('16. câmbio USD-BRL'!O153/'16. câmbio USD-BRL'!O152)^-1-1</f>
        <v>-2.3552297484419338E-4</v>
      </c>
    </row>
    <row r="358" spans="10:18" x14ac:dyDescent="0.2">
      <c r="J358" s="354">
        <v>39013</v>
      </c>
      <c r="K358">
        <v>11.166665999999999</v>
      </c>
      <c r="L358">
        <v>11.363333000000001</v>
      </c>
      <c r="M358">
        <v>10.925000000000001</v>
      </c>
      <c r="N358">
        <v>11.15</v>
      </c>
      <c r="O358">
        <v>4.9979009999999997</v>
      </c>
      <c r="P358">
        <v>19336200</v>
      </c>
      <c r="R358" s="273">
        <f>(O358/O357)*('16. câmbio USD-BRL'!O154/'16. câmbio USD-BRL'!O153)^-1-1</f>
        <v>-2.3664166657477725E-4</v>
      </c>
    </row>
    <row r="359" spans="10:18" x14ac:dyDescent="0.2">
      <c r="J359" s="354">
        <v>39020</v>
      </c>
      <c r="K359">
        <v>11.25</v>
      </c>
      <c r="L359">
        <v>11.746665999999999</v>
      </c>
      <c r="M359">
        <v>10.931666</v>
      </c>
      <c r="N359">
        <v>11.7</v>
      </c>
      <c r="O359">
        <v>5.2444329999999999</v>
      </c>
      <c r="P359">
        <v>15552000</v>
      </c>
      <c r="R359" s="273">
        <f>(O359/O358)*('16. câmbio USD-BRL'!O155/'16. câmbio USD-BRL'!O154)^-1-1</f>
        <v>4.4573477339024281E-2</v>
      </c>
    </row>
    <row r="360" spans="10:18" x14ac:dyDescent="0.2">
      <c r="J360" s="354">
        <v>39027</v>
      </c>
      <c r="K360">
        <v>11.753333</v>
      </c>
      <c r="L360">
        <v>12.016666000000001</v>
      </c>
      <c r="M360">
        <v>11.083333</v>
      </c>
      <c r="N360">
        <v>11.183332999999999</v>
      </c>
      <c r="O360">
        <v>5.0128430000000002</v>
      </c>
      <c r="P360">
        <v>23352000</v>
      </c>
      <c r="R360" s="273">
        <f>(O360/O359)*('16. câmbio USD-BRL'!O156/'16. câmbio USD-BRL'!O155)^-1-1</f>
        <v>-4.6297154254568817E-2</v>
      </c>
    </row>
    <row r="361" spans="10:18" x14ac:dyDescent="0.2">
      <c r="J361" s="354">
        <v>39034</v>
      </c>
      <c r="K361">
        <v>11.116666</v>
      </c>
      <c r="L361">
        <v>11.574999999999999</v>
      </c>
      <c r="M361">
        <v>10.728332999999999</v>
      </c>
      <c r="N361">
        <v>10.851666</v>
      </c>
      <c r="O361">
        <v>4.8641750000000004</v>
      </c>
      <c r="P361">
        <v>20192400</v>
      </c>
      <c r="R361" s="273">
        <f>(O361/O360)*('16. câmbio USD-BRL'!O157/'16. câmbio USD-BRL'!O156)^-1-1</f>
        <v>-3.5946679396339776E-2</v>
      </c>
    </row>
    <row r="362" spans="10:18" x14ac:dyDescent="0.2">
      <c r="J362" s="354">
        <v>39041</v>
      </c>
      <c r="K362">
        <v>10.83</v>
      </c>
      <c r="L362">
        <v>10.87</v>
      </c>
      <c r="M362">
        <v>10.466666</v>
      </c>
      <c r="N362">
        <v>10.734999999999999</v>
      </c>
      <c r="O362">
        <v>4.8118800000000004</v>
      </c>
      <c r="P362">
        <v>51924600</v>
      </c>
      <c r="R362" s="273">
        <f>(O362/O361)*('16. câmbio USD-BRL'!O158/'16. câmbio USD-BRL'!O157)^-1-1</f>
        <v>-1.2123103581752392E-2</v>
      </c>
    </row>
    <row r="363" spans="10:18" x14ac:dyDescent="0.2">
      <c r="J363" s="354">
        <v>39048</v>
      </c>
      <c r="K363">
        <v>10.673333</v>
      </c>
      <c r="L363">
        <v>10.866666</v>
      </c>
      <c r="M363">
        <v>10.333333</v>
      </c>
      <c r="N363">
        <v>10.516666000000001</v>
      </c>
      <c r="O363">
        <v>4.7140149999999998</v>
      </c>
      <c r="P363">
        <v>28785000</v>
      </c>
      <c r="R363" s="273">
        <f>(O363/O362)*('16. câmbio USD-BRL'!O159/'16. câmbio USD-BRL'!O158)^-1-1</f>
        <v>-1.8068367271540708E-2</v>
      </c>
    </row>
    <row r="364" spans="10:18" x14ac:dyDescent="0.2">
      <c r="J364" s="354">
        <v>39055</v>
      </c>
      <c r="K364">
        <v>10.6</v>
      </c>
      <c r="L364">
        <v>11.025</v>
      </c>
      <c r="M364">
        <v>10.533333000000001</v>
      </c>
      <c r="N364">
        <v>10.791665999999999</v>
      </c>
      <c r="O364">
        <v>4.8372809999999999</v>
      </c>
      <c r="P364">
        <v>17066400</v>
      </c>
      <c r="R364" s="273">
        <f>(O364/O363)*('16. câmbio USD-BRL'!O160/'16. câmbio USD-BRL'!O159)^-1-1</f>
        <v>3.6620721719209381E-2</v>
      </c>
    </row>
    <row r="365" spans="10:18" x14ac:dyDescent="0.2">
      <c r="J365" s="354">
        <v>39062</v>
      </c>
      <c r="K365">
        <v>10.625</v>
      </c>
      <c r="L365">
        <v>10.725</v>
      </c>
      <c r="M365">
        <v>10.258333</v>
      </c>
      <c r="N365">
        <v>10.521666</v>
      </c>
      <c r="O365">
        <v>4.7162550000000003</v>
      </c>
      <c r="P365">
        <v>33716400</v>
      </c>
      <c r="R365" s="273">
        <f>(O365/O364)*('16. câmbio USD-BRL'!O161/'16. câmbio USD-BRL'!O160)^-1-1</f>
        <v>-2.7432407406829951E-2</v>
      </c>
    </row>
    <row r="366" spans="10:18" x14ac:dyDescent="0.2">
      <c r="J366" s="354">
        <v>39069</v>
      </c>
      <c r="K366">
        <v>10.566666</v>
      </c>
      <c r="L366">
        <v>10.914999999999999</v>
      </c>
      <c r="M366">
        <v>10.518333</v>
      </c>
      <c r="N366">
        <v>10.656666</v>
      </c>
      <c r="O366">
        <v>4.7767679999999997</v>
      </c>
      <c r="P366">
        <v>21630000</v>
      </c>
      <c r="R366" s="273">
        <f>(O366/O365)*('16. câmbio USD-BRL'!O162/'16. câmbio USD-BRL'!O161)^-1-1</f>
        <v>1.000093633762078E-2</v>
      </c>
    </row>
    <row r="367" spans="10:18" x14ac:dyDescent="0.2">
      <c r="J367" s="354">
        <v>39076</v>
      </c>
      <c r="K367">
        <v>10.666665999999999</v>
      </c>
      <c r="L367">
        <v>10.933332999999999</v>
      </c>
      <c r="M367">
        <v>10.633333</v>
      </c>
      <c r="N367">
        <v>10.75</v>
      </c>
      <c r="O367">
        <v>4.8186049999999998</v>
      </c>
      <c r="P367">
        <v>6887400</v>
      </c>
      <c r="R367" s="273">
        <f>(O367/O366)*('16. câmbio USD-BRL'!O163/'16. câmbio USD-BRL'!O162)^-1-1</f>
        <v>1.656909138926288E-2</v>
      </c>
    </row>
    <row r="368" spans="10:18" x14ac:dyDescent="0.2">
      <c r="J368" s="354">
        <v>39083</v>
      </c>
      <c r="K368">
        <v>10.8</v>
      </c>
      <c r="L368">
        <v>11</v>
      </c>
      <c r="M368">
        <v>10.074999999999999</v>
      </c>
      <c r="N368">
        <v>10.083333</v>
      </c>
      <c r="O368">
        <v>4.5197750000000001</v>
      </c>
      <c r="P368">
        <v>12775200</v>
      </c>
      <c r="R368" s="273">
        <f>(O368/O367)*('16. câmbio USD-BRL'!O164/'16. câmbio USD-BRL'!O163)^-1-1</f>
        <v>-6.9005974502589051E-2</v>
      </c>
    </row>
    <row r="369" spans="10:18" x14ac:dyDescent="0.2">
      <c r="J369" s="354">
        <v>39090</v>
      </c>
      <c r="K369">
        <v>10.258333</v>
      </c>
      <c r="L369">
        <v>10.441666</v>
      </c>
      <c r="M369">
        <v>9.8783329999999996</v>
      </c>
      <c r="N369">
        <v>10.301666000000001</v>
      </c>
      <c r="O369">
        <v>4.617642</v>
      </c>
      <c r="P369">
        <v>19596600</v>
      </c>
      <c r="R369" s="273">
        <f>(O369/O368)*('16. câmbio USD-BRL'!O165/'16. câmbio USD-BRL'!O164)^-1-1</f>
        <v>2.6433850805685832E-2</v>
      </c>
    </row>
    <row r="370" spans="10:18" x14ac:dyDescent="0.2">
      <c r="J370" s="354">
        <v>39097</v>
      </c>
      <c r="K370">
        <v>10.34</v>
      </c>
      <c r="L370">
        <v>10.448333</v>
      </c>
      <c r="M370">
        <v>9.9</v>
      </c>
      <c r="N370">
        <v>10.185</v>
      </c>
      <c r="O370">
        <v>4.565347</v>
      </c>
      <c r="P370">
        <v>30066600</v>
      </c>
      <c r="R370" s="273">
        <f>(O370/O369)*('16. câmbio USD-BRL'!O166/'16. câmbio USD-BRL'!O165)^-1-1</f>
        <v>-5.507940490092178E-3</v>
      </c>
    </row>
    <row r="371" spans="10:18" x14ac:dyDescent="0.2">
      <c r="J371" s="354">
        <v>39104</v>
      </c>
      <c r="K371">
        <v>10.183332999999999</v>
      </c>
      <c r="L371">
        <v>10.581666</v>
      </c>
      <c r="M371">
        <v>10.056666</v>
      </c>
      <c r="N371">
        <v>10.414999999999999</v>
      </c>
      <c r="O371">
        <v>4.668444</v>
      </c>
      <c r="P371">
        <v>23896200</v>
      </c>
      <c r="R371" s="273">
        <f>(O371/O370)*('16. câmbio USD-BRL'!O167/'16. câmbio USD-BRL'!O166)^-1-1</f>
        <v>1.9224276404583573E-2</v>
      </c>
    </row>
    <row r="372" spans="10:18" x14ac:dyDescent="0.2">
      <c r="J372" s="354">
        <v>39111</v>
      </c>
      <c r="K372">
        <v>10.595000000000001</v>
      </c>
      <c r="L372">
        <v>11.951665999999999</v>
      </c>
      <c r="M372">
        <v>10.433332999999999</v>
      </c>
      <c r="N372">
        <v>11.923333</v>
      </c>
      <c r="O372">
        <v>5.3445419999999997</v>
      </c>
      <c r="P372">
        <v>124792800</v>
      </c>
      <c r="R372" s="273">
        <f>(O372/O371)*('16. câmbio USD-BRL'!O168/'16. câmbio USD-BRL'!O167)^-1-1</f>
        <v>0.16616018859471593</v>
      </c>
    </row>
    <row r="373" spans="10:18" x14ac:dyDescent="0.2">
      <c r="J373" s="354">
        <v>39118</v>
      </c>
      <c r="K373">
        <v>11.833333</v>
      </c>
      <c r="L373">
        <v>12.83</v>
      </c>
      <c r="M373">
        <v>11.793333000000001</v>
      </c>
      <c r="N373">
        <v>12.251666</v>
      </c>
      <c r="O373">
        <v>5.491714</v>
      </c>
      <c r="P373">
        <v>98168400</v>
      </c>
      <c r="R373" s="273">
        <f>(O373/O372)*('16. câmbio USD-BRL'!O169/'16. câmbio USD-BRL'!O168)^-1-1</f>
        <v>2.5087445442525391E-2</v>
      </c>
    </row>
    <row r="374" spans="10:18" x14ac:dyDescent="0.2">
      <c r="J374" s="354">
        <v>39125</v>
      </c>
      <c r="K374">
        <v>12.243333</v>
      </c>
      <c r="L374">
        <v>13.38</v>
      </c>
      <c r="M374">
        <v>11.883333</v>
      </c>
      <c r="N374">
        <v>13.348333</v>
      </c>
      <c r="O374">
        <v>5.9832879999999999</v>
      </c>
      <c r="P374">
        <v>57476400</v>
      </c>
      <c r="R374" s="273">
        <f>(O374/O373)*('16. câmbio USD-BRL'!O170/'16. câmbio USD-BRL'!O169)^-1-1</f>
        <v>9.4626289244397199E-2</v>
      </c>
    </row>
    <row r="375" spans="10:18" x14ac:dyDescent="0.2">
      <c r="J375" s="354">
        <v>39132</v>
      </c>
      <c r="K375">
        <v>13.346666000000001</v>
      </c>
      <c r="L375">
        <v>13.533333000000001</v>
      </c>
      <c r="M375">
        <v>12.5</v>
      </c>
      <c r="N375">
        <v>13.085000000000001</v>
      </c>
      <c r="O375">
        <v>5.8652490000000004</v>
      </c>
      <c r="P375">
        <v>23485800</v>
      </c>
      <c r="R375" s="273">
        <f>(O375/O374)*('16. câmbio USD-BRL'!O171/'16. câmbio USD-BRL'!O170)^-1-1</f>
        <v>-1.8223261150880687E-2</v>
      </c>
    </row>
    <row r="376" spans="10:18" x14ac:dyDescent="0.2">
      <c r="J376" s="354">
        <v>39139</v>
      </c>
      <c r="K376">
        <v>13.2</v>
      </c>
      <c r="L376">
        <v>13.328333000000001</v>
      </c>
      <c r="M376">
        <v>11.65</v>
      </c>
      <c r="N376">
        <v>11.883333</v>
      </c>
      <c r="O376">
        <v>5.3266119999999999</v>
      </c>
      <c r="P376">
        <v>53353200</v>
      </c>
      <c r="R376" s="273">
        <f>(O376/O375)*('16. câmbio USD-BRL'!O172/'16. câmbio USD-BRL'!O171)^-1-1</f>
        <v>-0.105988532637734</v>
      </c>
    </row>
    <row r="377" spans="10:18" x14ac:dyDescent="0.2">
      <c r="J377" s="354">
        <v>39146</v>
      </c>
      <c r="K377">
        <v>11.65</v>
      </c>
      <c r="L377">
        <v>12.788333</v>
      </c>
      <c r="M377">
        <v>11.333333</v>
      </c>
      <c r="N377">
        <v>12.766666000000001</v>
      </c>
      <c r="O377">
        <v>5.7225590000000004</v>
      </c>
      <c r="P377">
        <v>41211000</v>
      </c>
      <c r="R377" s="273">
        <f>(O377/O376)*('16. câmbio USD-BRL'!O173/'16. câmbio USD-BRL'!O172)^-1-1</f>
        <v>8.7429109863023546E-2</v>
      </c>
    </row>
    <row r="378" spans="10:18" x14ac:dyDescent="0.2">
      <c r="J378" s="354">
        <v>39153</v>
      </c>
      <c r="K378">
        <v>12.766666000000001</v>
      </c>
      <c r="L378">
        <v>13.433332999999999</v>
      </c>
      <c r="M378">
        <v>12.366666</v>
      </c>
      <c r="N378">
        <v>13.081666</v>
      </c>
      <c r="O378">
        <v>5.8637560000000004</v>
      </c>
      <c r="P378">
        <v>53820000</v>
      </c>
      <c r="R378" s="273">
        <f>(O378/O377)*('16. câmbio USD-BRL'!O174/'16. câmbio USD-BRL'!O173)^-1-1</f>
        <v>2.6145279372692176E-2</v>
      </c>
    </row>
    <row r="379" spans="10:18" x14ac:dyDescent="0.2">
      <c r="J379" s="354">
        <v>39160</v>
      </c>
      <c r="K379">
        <v>13.183332999999999</v>
      </c>
      <c r="L379">
        <v>14.833333</v>
      </c>
      <c r="M379">
        <v>13.083333</v>
      </c>
      <c r="N379">
        <v>14.6</v>
      </c>
      <c r="O379">
        <v>6.5443369999999996</v>
      </c>
      <c r="P379">
        <v>33844800</v>
      </c>
      <c r="R379" s="273">
        <f>(O379/O378)*('16. câmbio USD-BRL'!O175/'16. câmbio USD-BRL'!O174)^-1-1</f>
        <v>0.1306795669138312</v>
      </c>
    </row>
    <row r="380" spans="10:18" x14ac:dyDescent="0.2">
      <c r="J380" s="354">
        <v>39167</v>
      </c>
      <c r="K380">
        <v>14.666665999999999</v>
      </c>
      <c r="L380">
        <v>14.895</v>
      </c>
      <c r="M380">
        <v>13.946666</v>
      </c>
      <c r="N380">
        <v>14.808332999999999</v>
      </c>
      <c r="O380">
        <v>6.6377220000000001</v>
      </c>
      <c r="P380">
        <v>32497200</v>
      </c>
      <c r="R380" s="273">
        <f>(O380/O379)*('16. câmbio USD-BRL'!O176/'16. câmbio USD-BRL'!O175)^-1-1</f>
        <v>1.7724522018880418E-2</v>
      </c>
    </row>
    <row r="381" spans="10:18" x14ac:dyDescent="0.2">
      <c r="J381" s="354">
        <v>39174</v>
      </c>
      <c r="K381">
        <v>14.808332999999999</v>
      </c>
      <c r="L381">
        <v>15.033333000000001</v>
      </c>
      <c r="M381">
        <v>14.603332999999999</v>
      </c>
      <c r="N381">
        <v>14.824999999999999</v>
      </c>
      <c r="O381">
        <v>6.6451909999999996</v>
      </c>
      <c r="P381">
        <v>15003600</v>
      </c>
      <c r="R381" s="273">
        <f>(O381/O380)*('16. câmbio USD-BRL'!O177/'16. câmbio USD-BRL'!O176)^-1-1</f>
        <v>1.4754048938680597E-2</v>
      </c>
    </row>
    <row r="382" spans="10:18" x14ac:dyDescent="0.2">
      <c r="J382" s="354">
        <v>39181</v>
      </c>
      <c r="K382">
        <v>14.866666</v>
      </c>
      <c r="L382">
        <v>14.996665999999999</v>
      </c>
      <c r="M382">
        <v>14.316666</v>
      </c>
      <c r="N382">
        <v>14.916665999999999</v>
      </c>
      <c r="O382">
        <v>6.6862810000000001</v>
      </c>
      <c r="P382">
        <v>17661600</v>
      </c>
      <c r="R382" s="273">
        <f>(O382/O381)*('16. câmbio USD-BRL'!O178/'16. câmbio USD-BRL'!O177)^-1-1</f>
        <v>1.1622248248313705E-2</v>
      </c>
    </row>
    <row r="383" spans="10:18" x14ac:dyDescent="0.2">
      <c r="J383" s="354">
        <v>39188</v>
      </c>
      <c r="K383">
        <v>14.92</v>
      </c>
      <c r="L383">
        <v>15.164999999999999</v>
      </c>
      <c r="M383">
        <v>14.4</v>
      </c>
      <c r="N383">
        <v>14.775</v>
      </c>
      <c r="O383">
        <v>6.6227790000000004</v>
      </c>
      <c r="P383">
        <v>34525200</v>
      </c>
      <c r="R383" s="273">
        <f>(O383/O382)*('16. câmbio USD-BRL'!O179/'16. câmbio USD-BRL'!O178)^-1-1</f>
        <v>-1.2240453536630724E-2</v>
      </c>
    </row>
    <row r="384" spans="10:18" x14ac:dyDescent="0.2">
      <c r="J384" s="354">
        <v>39195</v>
      </c>
      <c r="K384">
        <v>14.776666000000001</v>
      </c>
      <c r="L384">
        <v>15.116666</v>
      </c>
      <c r="M384">
        <v>14.431666</v>
      </c>
      <c r="N384">
        <v>14.756665999999999</v>
      </c>
      <c r="O384">
        <v>6.6145610000000001</v>
      </c>
      <c r="P384">
        <v>25817400</v>
      </c>
      <c r="R384" s="273">
        <f>(O384/O383)*('16. câmbio USD-BRL'!O180/'16. câmbio USD-BRL'!O179)^-1-1</f>
        <v>-3.9009424672080684E-3</v>
      </c>
    </row>
    <row r="385" spans="10:18" x14ac:dyDescent="0.2">
      <c r="J385" s="354">
        <v>39202</v>
      </c>
      <c r="K385">
        <v>14.768333</v>
      </c>
      <c r="L385">
        <v>15.416665999999999</v>
      </c>
      <c r="M385">
        <v>14.333333</v>
      </c>
      <c r="N385">
        <v>15.25</v>
      </c>
      <c r="O385">
        <v>6.8356940000000002</v>
      </c>
      <c r="P385">
        <v>31417800</v>
      </c>
      <c r="R385" s="273">
        <f>(O385/O384)*('16. câmbio USD-BRL'!O181/'16. câmbio USD-BRL'!O180)^-1-1</f>
        <v>3.4553817394431752E-2</v>
      </c>
    </row>
    <row r="386" spans="10:18" x14ac:dyDescent="0.2">
      <c r="J386" s="354">
        <v>39209</v>
      </c>
      <c r="K386">
        <v>15.3</v>
      </c>
      <c r="L386">
        <v>16.933332</v>
      </c>
      <c r="M386">
        <v>14.933332999999999</v>
      </c>
      <c r="N386">
        <v>16.691666000000001</v>
      </c>
      <c r="O386">
        <v>7.4819100000000001</v>
      </c>
      <c r="P386">
        <v>45834000</v>
      </c>
      <c r="R386" s="273">
        <f>(O386/O385)*('16. câmbio USD-BRL'!O182/'16. câmbio USD-BRL'!O181)^-1-1</f>
        <v>0.10078598777443748</v>
      </c>
    </row>
    <row r="387" spans="10:18" x14ac:dyDescent="0.2">
      <c r="J387" s="354">
        <v>39216</v>
      </c>
      <c r="K387">
        <v>16.658332999999999</v>
      </c>
      <c r="L387">
        <v>17.200001</v>
      </c>
      <c r="M387">
        <v>16.268332999999998</v>
      </c>
      <c r="N387">
        <v>17.125</v>
      </c>
      <c r="O387">
        <v>7.6761499999999998</v>
      </c>
      <c r="P387">
        <v>19312200</v>
      </c>
      <c r="R387" s="273">
        <f>(O387/O386)*('16. câmbio USD-BRL'!O183/'16. câmbio USD-BRL'!O182)^-1-1</f>
        <v>5.4069096633087232E-2</v>
      </c>
    </row>
    <row r="388" spans="10:18" x14ac:dyDescent="0.2">
      <c r="J388" s="354">
        <v>39223</v>
      </c>
      <c r="K388">
        <v>17.125</v>
      </c>
      <c r="L388">
        <v>17.316666000000001</v>
      </c>
      <c r="M388">
        <v>15.885</v>
      </c>
      <c r="N388">
        <v>16.663333999999999</v>
      </c>
      <c r="O388">
        <v>7.4692109999999996</v>
      </c>
      <c r="P388">
        <v>25191000</v>
      </c>
      <c r="R388" s="273">
        <f>(O388/O387)*('16. câmbio USD-BRL'!O184/'16. câmbio USD-BRL'!O183)^-1-1</f>
        <v>-1.8142466658939038E-2</v>
      </c>
    </row>
    <row r="389" spans="10:18" x14ac:dyDescent="0.2">
      <c r="J389" s="354">
        <v>39230</v>
      </c>
      <c r="K389">
        <v>16.783332999999999</v>
      </c>
      <c r="L389">
        <v>17.633333</v>
      </c>
      <c r="M389">
        <v>16.283332999999999</v>
      </c>
      <c r="N389">
        <v>17.416665999999999</v>
      </c>
      <c r="O389">
        <v>7.8068850000000003</v>
      </c>
      <c r="P389">
        <v>18429000</v>
      </c>
      <c r="R389" s="273">
        <f>(O389/O388)*('16. câmbio USD-BRL'!O185/'16. câmbio USD-BRL'!O184)^-1-1</f>
        <v>4.3865335099614766E-2</v>
      </c>
    </row>
    <row r="390" spans="10:18" x14ac:dyDescent="0.2">
      <c r="J390" s="354">
        <v>39237</v>
      </c>
      <c r="K390">
        <v>17.151667</v>
      </c>
      <c r="L390">
        <v>17.416665999999999</v>
      </c>
      <c r="M390">
        <v>16.299999</v>
      </c>
      <c r="N390">
        <v>16.708331999999999</v>
      </c>
      <c r="O390">
        <v>7.4893809999999998</v>
      </c>
      <c r="P390">
        <v>34173600</v>
      </c>
      <c r="R390" s="273">
        <f>(O390/O389)*('16. câmbio USD-BRL'!O186/'16. câmbio USD-BRL'!O185)^-1-1</f>
        <v>-4.9563288760965052E-2</v>
      </c>
    </row>
    <row r="391" spans="10:18" x14ac:dyDescent="0.2">
      <c r="J391" s="354">
        <v>39244</v>
      </c>
      <c r="K391">
        <v>16.815000999999999</v>
      </c>
      <c r="L391">
        <v>17.071667000000001</v>
      </c>
      <c r="M391">
        <v>16.200001</v>
      </c>
      <c r="N391">
        <v>16.843332</v>
      </c>
      <c r="O391">
        <v>7.5498919999999998</v>
      </c>
      <c r="P391">
        <v>28918800</v>
      </c>
      <c r="R391" s="273">
        <f>(O391/O390)*('16. câmbio USD-BRL'!O187/'16. câmbio USD-BRL'!O186)^-1-1</f>
        <v>3.7788053266272881E-2</v>
      </c>
    </row>
    <row r="392" spans="10:18" x14ac:dyDescent="0.2">
      <c r="J392" s="354">
        <v>39251</v>
      </c>
      <c r="K392">
        <v>16.950001</v>
      </c>
      <c r="L392">
        <v>17.141666000000001</v>
      </c>
      <c r="M392">
        <v>16.591664999999999</v>
      </c>
      <c r="N392">
        <v>16.688334000000001</v>
      </c>
      <c r="O392">
        <v>7.4804170000000001</v>
      </c>
      <c r="P392">
        <v>13568400</v>
      </c>
      <c r="R392" s="273">
        <f>(O392/O391)*('16. câmbio USD-BRL'!O188/'16. câmbio USD-BRL'!O187)^-1-1</f>
        <v>-1.5910645711333715E-2</v>
      </c>
    </row>
    <row r="393" spans="10:18" x14ac:dyDescent="0.2">
      <c r="J393" s="354">
        <v>39258</v>
      </c>
      <c r="K393">
        <v>16.688334000000001</v>
      </c>
      <c r="L393">
        <v>16.899999999999999</v>
      </c>
      <c r="M393">
        <v>16.316666000000001</v>
      </c>
      <c r="N393">
        <v>16.633333</v>
      </c>
      <c r="O393">
        <v>7.455762</v>
      </c>
      <c r="P393">
        <v>17466000</v>
      </c>
      <c r="R393" s="273">
        <f>(O393/O392)*('16. câmbio USD-BRL'!O189/'16. câmbio USD-BRL'!O188)^-1-1</f>
        <v>-7.2256709695245336E-3</v>
      </c>
    </row>
    <row r="394" spans="10:18" x14ac:dyDescent="0.2">
      <c r="J394" s="354">
        <v>39265</v>
      </c>
      <c r="K394">
        <v>16.633333</v>
      </c>
      <c r="L394">
        <v>17.161667000000001</v>
      </c>
      <c r="M394">
        <v>16.549999</v>
      </c>
      <c r="N394">
        <v>16.916665999999999</v>
      </c>
      <c r="O394">
        <v>7.5827650000000002</v>
      </c>
      <c r="P394">
        <v>12837600</v>
      </c>
      <c r="R394" s="273">
        <f>(O394/O393)*('16. câmbio USD-BRL'!O190/'16. câmbio USD-BRL'!O189)^-1-1</f>
        <v>3.3004077962980327E-2</v>
      </c>
    </row>
    <row r="395" spans="10:18" x14ac:dyDescent="0.2">
      <c r="J395" s="354">
        <v>39272</v>
      </c>
      <c r="K395">
        <v>16.915001</v>
      </c>
      <c r="L395">
        <v>18.149999999999999</v>
      </c>
      <c r="M395">
        <v>16.48</v>
      </c>
      <c r="N395">
        <v>17.916665999999999</v>
      </c>
      <c r="O395">
        <v>8.0310059999999996</v>
      </c>
      <c r="P395">
        <v>21654000</v>
      </c>
      <c r="R395" s="273">
        <f>(O395/O394)*('16. câmbio USD-BRL'!O191/'16. câmbio USD-BRL'!O190)^-1-1</f>
        <v>7.5490879565701219E-2</v>
      </c>
    </row>
    <row r="396" spans="10:18" x14ac:dyDescent="0.2">
      <c r="J396" s="354">
        <v>39279</v>
      </c>
      <c r="K396">
        <v>17.466664999999999</v>
      </c>
      <c r="L396">
        <v>17.996666000000001</v>
      </c>
      <c r="M396">
        <v>17.166665999999999</v>
      </c>
      <c r="N396">
        <v>17.5</v>
      </c>
      <c r="O396">
        <v>7.844239</v>
      </c>
      <c r="P396">
        <v>27067200</v>
      </c>
      <c r="R396" s="273">
        <f>(O396/O395)*('16. câmbio USD-BRL'!O192/'16. câmbio USD-BRL'!O191)^-1-1</f>
        <v>-1.7948491177550041E-2</v>
      </c>
    </row>
    <row r="397" spans="10:18" x14ac:dyDescent="0.2">
      <c r="J397" s="354">
        <v>39286</v>
      </c>
      <c r="K397">
        <v>17.864999999999998</v>
      </c>
      <c r="L397">
        <v>18.456666999999999</v>
      </c>
      <c r="M397">
        <v>17.003332</v>
      </c>
      <c r="N397">
        <v>17.336666000000001</v>
      </c>
      <c r="O397">
        <v>7.7710270000000001</v>
      </c>
      <c r="P397">
        <v>37149000</v>
      </c>
      <c r="R397" s="273">
        <f>(O397/O396)*('16. câmbio USD-BRL'!O193/'16. câmbio USD-BRL'!O192)^-1-1</f>
        <v>-3.7652776255323483E-2</v>
      </c>
    </row>
    <row r="398" spans="10:18" x14ac:dyDescent="0.2">
      <c r="J398" s="354">
        <v>39293</v>
      </c>
      <c r="K398">
        <v>18.201665999999999</v>
      </c>
      <c r="L398">
        <v>18.450001</v>
      </c>
      <c r="M398">
        <v>17.253332</v>
      </c>
      <c r="N398">
        <v>17.333331999999999</v>
      </c>
      <c r="O398">
        <v>7.7695309999999997</v>
      </c>
      <c r="P398">
        <v>23730000</v>
      </c>
      <c r="R398" s="273">
        <f>(O398/O397)*('16. câmbio USD-BRL'!O194/'16. câmbio USD-BRL'!O193)^-1-1</f>
        <v>2.0336870514883865E-2</v>
      </c>
    </row>
    <row r="399" spans="10:18" x14ac:dyDescent="0.2">
      <c r="J399" s="354">
        <v>39300</v>
      </c>
      <c r="K399">
        <v>17.433332</v>
      </c>
      <c r="L399">
        <v>18.315000999999999</v>
      </c>
      <c r="M399">
        <v>16.591664999999999</v>
      </c>
      <c r="N399">
        <v>17.333331999999999</v>
      </c>
      <c r="O399">
        <v>7.7695309999999997</v>
      </c>
      <c r="P399">
        <v>29617200</v>
      </c>
      <c r="R399" s="273">
        <f>(O399/O398)*('16. câmbio USD-BRL'!O195/'16. câmbio USD-BRL'!O194)^-1-1</f>
        <v>-3.2507739938080538E-2</v>
      </c>
    </row>
    <row r="400" spans="10:18" x14ac:dyDescent="0.2">
      <c r="J400" s="354">
        <v>39307</v>
      </c>
      <c r="K400">
        <v>17.649999999999999</v>
      </c>
      <c r="L400">
        <v>17.850000000000001</v>
      </c>
      <c r="M400">
        <v>14.738333000000001</v>
      </c>
      <c r="N400">
        <v>15.578333000000001</v>
      </c>
      <c r="O400">
        <v>6.9828659999999996</v>
      </c>
      <c r="P400">
        <v>70266000</v>
      </c>
      <c r="R400" s="273">
        <f>(O400/O399)*('16. câmbio USD-BRL'!O196/'16. câmbio USD-BRL'!O195)^-1-1</f>
        <v>-0.13713588455873205</v>
      </c>
    </row>
    <row r="401" spans="10:18" x14ac:dyDescent="0.2">
      <c r="J401" s="354">
        <v>39314</v>
      </c>
      <c r="K401">
        <v>16</v>
      </c>
      <c r="L401">
        <v>17.833331999999999</v>
      </c>
      <c r="M401">
        <v>15.416665999999999</v>
      </c>
      <c r="N401">
        <v>17.583331999999999</v>
      </c>
      <c r="O401">
        <v>7.8815910000000002</v>
      </c>
      <c r="P401">
        <v>26615400</v>
      </c>
      <c r="R401" s="273">
        <f>(O401/O400)*('16. câmbio USD-BRL'!O197/'16. câmbio USD-BRL'!O196)^-1-1</f>
        <v>0.15543513084743754</v>
      </c>
    </row>
    <row r="402" spans="10:18" x14ac:dyDescent="0.2">
      <c r="J402" s="354">
        <v>39321</v>
      </c>
      <c r="K402">
        <v>17.600000000000001</v>
      </c>
      <c r="L402">
        <v>18.618334000000001</v>
      </c>
      <c r="M402">
        <v>17.018332999999998</v>
      </c>
      <c r="N402">
        <v>18.556664999999999</v>
      </c>
      <c r="O402">
        <v>8.3178820000000009</v>
      </c>
      <c r="P402">
        <v>41114400</v>
      </c>
      <c r="R402" s="273">
        <f>(O402/O401)*('16. câmbio USD-BRL'!O198/'16. câmbio USD-BRL'!O197)^-1-1</f>
        <v>6.0032553027107971E-2</v>
      </c>
    </row>
    <row r="403" spans="10:18" x14ac:dyDescent="0.2">
      <c r="J403" s="354">
        <v>39328</v>
      </c>
      <c r="K403">
        <v>18.584999</v>
      </c>
      <c r="L403">
        <v>19.498332999999999</v>
      </c>
      <c r="M403">
        <v>18.233333999999999</v>
      </c>
      <c r="N403">
        <v>19.266666000000001</v>
      </c>
      <c r="O403">
        <v>8.6361329999999992</v>
      </c>
      <c r="P403">
        <v>54659400</v>
      </c>
      <c r="R403" s="273">
        <f>(O403/O402)*('16. câmbio USD-BRL'!O199/'16. câmbio USD-BRL'!O198)^-1-1</f>
        <v>7.1950626965817222E-2</v>
      </c>
    </row>
    <row r="404" spans="10:18" x14ac:dyDescent="0.2">
      <c r="J404" s="354">
        <v>39335</v>
      </c>
      <c r="K404">
        <v>18.813334000000001</v>
      </c>
      <c r="L404">
        <v>19.625</v>
      </c>
      <c r="M404">
        <v>18.443332999999999</v>
      </c>
      <c r="N404">
        <v>18.866667</v>
      </c>
      <c r="O404">
        <v>8.4568379999999994</v>
      </c>
      <c r="P404">
        <v>45739200</v>
      </c>
      <c r="R404" s="273">
        <f>(O404/O403)*('16. câmbio USD-BRL'!O200/'16. câmbio USD-BRL'!O199)^-1-1</f>
        <v>-1.4802695744304595E-2</v>
      </c>
    </row>
    <row r="405" spans="10:18" x14ac:dyDescent="0.2">
      <c r="J405" s="354">
        <v>39342</v>
      </c>
      <c r="K405">
        <v>18.75</v>
      </c>
      <c r="L405">
        <v>20.100000000000001</v>
      </c>
      <c r="M405">
        <v>18.666665999999999</v>
      </c>
      <c r="N405">
        <v>19.831666999999999</v>
      </c>
      <c r="O405">
        <v>8.8893920000000008</v>
      </c>
      <c r="P405">
        <v>44080800</v>
      </c>
      <c r="R405" s="273">
        <f>(O405/O404)*('16. câmbio USD-BRL'!O201/'16. câmbio USD-BRL'!O200)^-1-1</f>
        <v>6.982796754176368E-2</v>
      </c>
    </row>
    <row r="406" spans="10:18" x14ac:dyDescent="0.2">
      <c r="J406" s="354">
        <v>39349</v>
      </c>
      <c r="K406">
        <v>20</v>
      </c>
      <c r="L406">
        <v>21.915001</v>
      </c>
      <c r="M406">
        <v>19.851665000000001</v>
      </c>
      <c r="N406">
        <v>21.475000000000001</v>
      </c>
      <c r="O406">
        <v>9.6260049999999993</v>
      </c>
      <c r="P406">
        <v>32666400</v>
      </c>
      <c r="R406" s="273">
        <f>(O406/O405)*('16. câmbio USD-BRL'!O202/'16. câmbio USD-BRL'!O201)^-1-1</f>
        <v>9.6444358677052477E-2</v>
      </c>
    </row>
    <row r="407" spans="10:18" x14ac:dyDescent="0.2">
      <c r="J407" s="354">
        <v>39356</v>
      </c>
      <c r="K407">
        <v>21.65</v>
      </c>
      <c r="L407">
        <v>22.879999000000002</v>
      </c>
      <c r="M407">
        <v>20.895</v>
      </c>
      <c r="N407">
        <v>22.716664999999999</v>
      </c>
      <c r="O407">
        <v>10.18257</v>
      </c>
      <c r="P407">
        <v>53492400</v>
      </c>
      <c r="R407" s="273">
        <f>(O407/O406)*('16. câmbio USD-BRL'!O203/'16. câmbio USD-BRL'!O202)^-1-1</f>
        <v>7.4814326146966259E-2</v>
      </c>
    </row>
    <row r="408" spans="10:18" x14ac:dyDescent="0.2">
      <c r="J408" s="354">
        <v>39363</v>
      </c>
      <c r="K408">
        <v>22.583331999999999</v>
      </c>
      <c r="L408">
        <v>23.700001</v>
      </c>
      <c r="M408">
        <v>22.083331999999999</v>
      </c>
      <c r="N408">
        <v>22.833331999999999</v>
      </c>
      <c r="O408">
        <v>10.234862</v>
      </c>
      <c r="P408">
        <v>29662800</v>
      </c>
      <c r="R408" s="273">
        <f>(O408/O407)*('16. câmbio USD-BRL'!O204/'16. câmbio USD-BRL'!O203)^-1-1</f>
        <v>8.3196094188233705E-3</v>
      </c>
    </row>
    <row r="409" spans="10:18" x14ac:dyDescent="0.2">
      <c r="J409" s="354">
        <v>39370</v>
      </c>
      <c r="K409">
        <v>23.298331999999998</v>
      </c>
      <c r="L409">
        <v>24</v>
      </c>
      <c r="M409">
        <v>22.333331999999999</v>
      </c>
      <c r="N409">
        <v>23.15</v>
      </c>
      <c r="O409">
        <v>10.376811</v>
      </c>
      <c r="P409">
        <v>42465600</v>
      </c>
      <c r="R409" s="273">
        <f>(O409/O408)*('16. câmbio USD-BRL'!O205/'16. câmbio USD-BRL'!O204)^-1-1</f>
        <v>1.8852158822874499E-2</v>
      </c>
    </row>
    <row r="410" spans="10:18" x14ac:dyDescent="0.2">
      <c r="J410" s="354">
        <v>39377</v>
      </c>
      <c r="K410">
        <v>22.855</v>
      </c>
      <c r="L410">
        <v>23.933332</v>
      </c>
      <c r="M410">
        <v>22.383333</v>
      </c>
      <c r="N410">
        <v>23.35</v>
      </c>
      <c r="O410">
        <v>10.466457</v>
      </c>
      <c r="P410">
        <v>43401000</v>
      </c>
      <c r="R410" s="273">
        <f>(O410/O409)*('16. câmbio USD-BRL'!O206/'16. câmbio USD-BRL'!O205)^-1-1</f>
        <v>1.9111932408254706E-2</v>
      </c>
    </row>
    <row r="411" spans="10:18" x14ac:dyDescent="0.2">
      <c r="J411" s="354">
        <v>39384</v>
      </c>
      <c r="K411">
        <v>23.559999000000001</v>
      </c>
      <c r="L411">
        <v>23.666665999999999</v>
      </c>
      <c r="M411">
        <v>22.333331999999999</v>
      </c>
      <c r="N411">
        <v>22.475000000000001</v>
      </c>
      <c r="O411">
        <v>10.074244999999999</v>
      </c>
      <c r="P411">
        <v>46481400</v>
      </c>
      <c r="R411" s="273">
        <f>(O411/O410)*('16. câmbio USD-BRL'!O207/'16. câmbio USD-BRL'!O206)^-1-1</f>
        <v>-2.3923501729947616E-2</v>
      </c>
    </row>
    <row r="412" spans="10:18" x14ac:dyDescent="0.2">
      <c r="J412" s="354">
        <v>39391</v>
      </c>
      <c r="K412">
        <v>22.333331999999999</v>
      </c>
      <c r="L412">
        <v>22.798331999999998</v>
      </c>
      <c r="M412">
        <v>20.841664999999999</v>
      </c>
      <c r="N412">
        <v>21.75</v>
      </c>
      <c r="O412">
        <v>9.7492680000000007</v>
      </c>
      <c r="P412">
        <v>59704200</v>
      </c>
      <c r="R412" s="273">
        <f>(O412/O411)*('16. câmbio USD-BRL'!O208/'16. câmbio USD-BRL'!O207)^-1-1</f>
        <v>-3.2147429036309849E-2</v>
      </c>
    </row>
    <row r="413" spans="10:18" x14ac:dyDescent="0.2">
      <c r="J413" s="354">
        <v>39398</v>
      </c>
      <c r="K413">
        <v>21.415001</v>
      </c>
      <c r="L413">
        <v>22.15</v>
      </c>
      <c r="M413">
        <v>20.549999</v>
      </c>
      <c r="N413">
        <v>22</v>
      </c>
      <c r="O413">
        <v>9.8613320000000009</v>
      </c>
      <c r="P413">
        <v>48661200</v>
      </c>
      <c r="R413" s="273">
        <f>(O413/O412)*('16. câmbio USD-BRL'!O209/'16. câmbio USD-BRL'!O208)^-1-1</f>
        <v>1.4863351167830441E-2</v>
      </c>
    </row>
    <row r="414" spans="10:18" x14ac:dyDescent="0.2">
      <c r="J414" s="354">
        <v>39405</v>
      </c>
      <c r="K414">
        <v>22.131665999999999</v>
      </c>
      <c r="L414">
        <v>22.131665999999999</v>
      </c>
      <c r="M414">
        <v>20.666665999999999</v>
      </c>
      <c r="N414">
        <v>21.633333</v>
      </c>
      <c r="O414">
        <v>9.6969750000000001</v>
      </c>
      <c r="P414">
        <v>12162600</v>
      </c>
      <c r="R414" s="273">
        <f>(O414/O413)*('16. câmbio USD-BRL'!O210/'16. câmbio USD-BRL'!O209)^-1-1</f>
        <v>-4.7301952162260519E-2</v>
      </c>
    </row>
    <row r="415" spans="10:18" x14ac:dyDescent="0.2">
      <c r="J415" s="354">
        <v>39412</v>
      </c>
      <c r="K415">
        <v>21.831666999999999</v>
      </c>
      <c r="L415">
        <v>22.898333000000001</v>
      </c>
      <c r="M415">
        <v>20.416665999999999</v>
      </c>
      <c r="N415">
        <v>22.75</v>
      </c>
      <c r="O415">
        <v>10.197511</v>
      </c>
      <c r="P415">
        <v>64477800</v>
      </c>
      <c r="R415" s="273">
        <f>(O415/O414)*('16. câmbio USD-BRL'!O211/'16. câmbio USD-BRL'!O210)^-1-1</f>
        <v>6.4408412535532422E-2</v>
      </c>
    </row>
    <row r="416" spans="10:18" x14ac:dyDescent="0.2">
      <c r="J416" s="354">
        <v>39419</v>
      </c>
      <c r="K416">
        <v>22.924999</v>
      </c>
      <c r="L416">
        <v>25.366667</v>
      </c>
      <c r="M416">
        <v>22.566666000000001</v>
      </c>
      <c r="N416">
        <v>25</v>
      </c>
      <c r="O416">
        <v>11.206056999999999</v>
      </c>
      <c r="P416">
        <v>78081000</v>
      </c>
      <c r="R416" s="273">
        <f>(O416/O415)*('16. câmbio USD-BRL'!O212/'16. câmbio USD-BRL'!O211)^-1-1</f>
        <v>0.10901780305383912</v>
      </c>
    </row>
    <row r="417" spans="10:18" x14ac:dyDescent="0.2">
      <c r="J417" s="354">
        <v>39426</v>
      </c>
      <c r="K417">
        <v>25.163333999999999</v>
      </c>
      <c r="L417">
        <v>25.916665999999999</v>
      </c>
      <c r="M417">
        <v>23.9</v>
      </c>
      <c r="N417">
        <v>23.9</v>
      </c>
      <c r="O417">
        <v>10.712991000000001</v>
      </c>
      <c r="P417">
        <v>39531600</v>
      </c>
      <c r="R417" s="273">
        <f>(O417/O416)*('16. câmbio USD-BRL'!O213/'16. câmbio USD-BRL'!O212)^-1-1</f>
        <v>-6.2277993438225487E-2</v>
      </c>
    </row>
    <row r="418" spans="10:18" x14ac:dyDescent="0.2">
      <c r="J418" s="354">
        <v>39433</v>
      </c>
      <c r="K418">
        <v>23.5</v>
      </c>
      <c r="L418">
        <v>26.5</v>
      </c>
      <c r="M418">
        <v>23.058332</v>
      </c>
      <c r="N418">
        <v>26.183332</v>
      </c>
      <c r="O418">
        <v>11.736478999999999</v>
      </c>
      <c r="P418">
        <v>58659600</v>
      </c>
      <c r="R418" s="273">
        <f>(O418/O417)*('16. câmbio USD-BRL'!O214/'16. câmbio USD-BRL'!O213)^-1-1</f>
        <v>9.8414766621363281E-2</v>
      </c>
    </row>
    <row r="419" spans="10:18" x14ac:dyDescent="0.2">
      <c r="J419" s="354">
        <v>39440</v>
      </c>
      <c r="K419">
        <v>26.5</v>
      </c>
      <c r="L419">
        <v>26.666665999999999</v>
      </c>
      <c r="M419">
        <v>25.751664999999999</v>
      </c>
      <c r="N419">
        <v>26.266666000000001</v>
      </c>
      <c r="O419">
        <v>11.77383</v>
      </c>
      <c r="P419">
        <v>30713400</v>
      </c>
      <c r="R419" s="273">
        <f>(O419/O418)*('16. câmbio USD-BRL'!O215/'16. câmbio USD-BRL'!O214)^-1-1</f>
        <v>1.5670454784918908E-2</v>
      </c>
    </row>
    <row r="420" spans="10:18" x14ac:dyDescent="0.2">
      <c r="J420" s="354">
        <v>39447</v>
      </c>
      <c r="K420">
        <v>8.7555549999999993</v>
      </c>
      <c r="L420">
        <v>26.65</v>
      </c>
      <c r="M420">
        <v>8.7555549999999993</v>
      </c>
      <c r="N420">
        <v>25.535</v>
      </c>
      <c r="O420">
        <v>11.445866000000001</v>
      </c>
      <c r="P420">
        <v>9644400</v>
      </c>
      <c r="R420" s="273">
        <f>(O420/O419)*('16. câmbio USD-BRL'!O216/'16. câmbio USD-BRL'!O215)^-1-1</f>
        <v>-2.2267662596881843E-2</v>
      </c>
    </row>
    <row r="421" spans="10:18" x14ac:dyDescent="0.2">
      <c r="J421" s="354">
        <v>39454</v>
      </c>
      <c r="K421">
        <v>25.633333</v>
      </c>
      <c r="L421">
        <v>25.833331999999999</v>
      </c>
      <c r="M421">
        <v>24.27</v>
      </c>
      <c r="N421">
        <v>25.083331999999999</v>
      </c>
      <c r="O421">
        <v>11.243409</v>
      </c>
      <c r="P421">
        <v>19208400</v>
      </c>
      <c r="R421" s="273">
        <f>(O421/O420)*('16. câmbio USD-BRL'!O217/'16. câmbio USD-BRL'!O216)^-1-1</f>
        <v>-1.1160483967501245E-2</v>
      </c>
    </row>
    <row r="422" spans="10:18" x14ac:dyDescent="0.2">
      <c r="J422" s="354">
        <v>39461</v>
      </c>
      <c r="K422">
        <v>25.168333000000001</v>
      </c>
      <c r="L422">
        <v>25.728332999999999</v>
      </c>
      <c r="M422">
        <v>22.5</v>
      </c>
      <c r="N422">
        <v>23.833331999999999</v>
      </c>
      <c r="O422">
        <v>10.683104999999999</v>
      </c>
      <c r="P422">
        <v>30671400</v>
      </c>
      <c r="R422" s="273">
        <f>(O422/O421)*('16. câmbio USD-BRL'!O218/'16. câmbio USD-BRL'!O217)^-1-1</f>
        <v>-7.402312614577089E-2</v>
      </c>
    </row>
    <row r="423" spans="10:18" x14ac:dyDescent="0.2">
      <c r="J423" s="354">
        <v>39468</v>
      </c>
      <c r="K423">
        <v>22.403334000000001</v>
      </c>
      <c r="L423">
        <v>25.5</v>
      </c>
      <c r="M423">
        <v>21.735001</v>
      </c>
      <c r="N423">
        <v>25.299999</v>
      </c>
      <c r="O423">
        <v>11.340529999999999</v>
      </c>
      <c r="P423">
        <v>22810400</v>
      </c>
      <c r="R423" s="273">
        <f>(O423/O422)*('16. câmbio USD-BRL'!O219/'16. câmbio USD-BRL'!O218)^-1-1</f>
        <v>6.8038095322353165E-2</v>
      </c>
    </row>
    <row r="424" spans="10:18" x14ac:dyDescent="0.2">
      <c r="J424" s="354">
        <v>39475</v>
      </c>
      <c r="K424">
        <v>24.25</v>
      </c>
      <c r="L424">
        <v>29.285</v>
      </c>
      <c r="M424">
        <v>24.245000999999998</v>
      </c>
      <c r="N424">
        <v>29.285</v>
      </c>
      <c r="O424">
        <v>13.126775</v>
      </c>
      <c r="P424">
        <v>27191200</v>
      </c>
      <c r="R424" s="273">
        <f>(O424/O423)*('16. câmbio USD-BRL'!O220/'16. câmbio USD-BRL'!O219)^-1-1</f>
        <v>0.18411466863182269</v>
      </c>
    </row>
    <row r="425" spans="10:18" x14ac:dyDescent="0.2">
      <c r="J425" s="354">
        <v>39482</v>
      </c>
      <c r="K425">
        <v>29.285</v>
      </c>
      <c r="L425">
        <v>29.285</v>
      </c>
      <c r="M425">
        <v>27.049999</v>
      </c>
      <c r="N425">
        <v>28.07</v>
      </c>
      <c r="O425">
        <v>12.58216</v>
      </c>
      <c r="P425">
        <v>15235600</v>
      </c>
      <c r="R425" s="273">
        <f>(O425/O424)*('16. câmbio USD-BRL'!O221/'16. câmbio USD-BRL'!O220)^-1-1</f>
        <v>-5.1894436915037256E-2</v>
      </c>
    </row>
    <row r="426" spans="10:18" x14ac:dyDescent="0.2">
      <c r="J426" s="354">
        <v>39489</v>
      </c>
      <c r="K426">
        <v>28.299999</v>
      </c>
      <c r="L426">
        <v>30.950001</v>
      </c>
      <c r="M426">
        <v>28.15</v>
      </c>
      <c r="N426">
        <v>30.75</v>
      </c>
      <c r="O426">
        <v>13.783448</v>
      </c>
      <c r="P426">
        <v>22524000</v>
      </c>
      <c r="R426" s="273">
        <f>(O426/O425)*('16. câmbio USD-BRL'!O222/'16. câmbio USD-BRL'!O221)^-1-1</f>
        <v>0.10293538901954435</v>
      </c>
    </row>
    <row r="427" spans="10:18" x14ac:dyDescent="0.2">
      <c r="J427" s="354">
        <v>39496</v>
      </c>
      <c r="K427">
        <v>32.200001</v>
      </c>
      <c r="L427">
        <v>35.794998</v>
      </c>
      <c r="M427">
        <v>31.495000999999998</v>
      </c>
      <c r="N427">
        <v>33.639999000000003</v>
      </c>
      <c r="O427">
        <v>15.078870999999999</v>
      </c>
      <c r="P427">
        <v>34578600</v>
      </c>
      <c r="R427" s="273">
        <f>(O427/O426)*('16. câmbio USD-BRL'!O223/'16. câmbio USD-BRL'!O222)^-1-1</f>
        <v>0.1212533530016402</v>
      </c>
    </row>
    <row r="428" spans="10:18" x14ac:dyDescent="0.2">
      <c r="J428" s="354">
        <v>39503</v>
      </c>
      <c r="K428">
        <v>33.345001000000003</v>
      </c>
      <c r="L428">
        <v>33.450001</v>
      </c>
      <c r="M428">
        <v>30.9</v>
      </c>
      <c r="N428">
        <v>31.549999</v>
      </c>
      <c r="O428">
        <v>14.142042999999999</v>
      </c>
      <c r="P428">
        <v>35826600</v>
      </c>
      <c r="R428" s="273">
        <f>(O428/O427)*('16. câmbio USD-BRL'!O224/'16. câmbio USD-BRL'!O223)^-1-1</f>
        <v>-4.732149750004877E-2</v>
      </c>
    </row>
    <row r="429" spans="10:18" x14ac:dyDescent="0.2">
      <c r="J429" s="354">
        <v>39510</v>
      </c>
      <c r="K429">
        <v>31.799999</v>
      </c>
      <c r="L429">
        <v>33.055</v>
      </c>
      <c r="M429">
        <v>31.35</v>
      </c>
      <c r="N429">
        <v>31.825001</v>
      </c>
      <c r="O429">
        <v>14.265309</v>
      </c>
      <c r="P429">
        <v>25401400</v>
      </c>
      <c r="R429" s="273">
        <f>(O429/O428)*('16. câmbio USD-BRL'!O225/'16. câmbio USD-BRL'!O224)^-1-1</f>
        <v>3.8123407846077928E-3</v>
      </c>
    </row>
    <row r="430" spans="10:18" x14ac:dyDescent="0.2">
      <c r="J430" s="354">
        <v>39517</v>
      </c>
      <c r="K430">
        <v>31.75</v>
      </c>
      <c r="L430">
        <v>33.625</v>
      </c>
      <c r="M430">
        <v>30.389999</v>
      </c>
      <c r="N430">
        <v>33.5</v>
      </c>
      <c r="O430">
        <v>15.016114999999999</v>
      </c>
      <c r="P430">
        <v>26075600</v>
      </c>
      <c r="R430" s="273">
        <f>(O430/O429)*('16. câmbio USD-BRL'!O226/'16. câmbio USD-BRL'!O225)^-1-1</f>
        <v>3.9869811014267231E-2</v>
      </c>
    </row>
    <row r="431" spans="10:18" x14ac:dyDescent="0.2">
      <c r="J431" s="354">
        <v>39524</v>
      </c>
      <c r="K431">
        <v>32.244999</v>
      </c>
      <c r="L431">
        <v>33.744999</v>
      </c>
      <c r="M431">
        <v>29.4</v>
      </c>
      <c r="N431">
        <v>30.495000999999998</v>
      </c>
      <c r="O431">
        <v>13.669149000000001</v>
      </c>
      <c r="P431">
        <v>22567000</v>
      </c>
      <c r="R431" s="273">
        <f>(O431/O430)*('16. câmbio USD-BRL'!O227/'16. câmbio USD-BRL'!O226)^-1-1</f>
        <v>-0.10567702927673472</v>
      </c>
    </row>
    <row r="432" spans="10:18" x14ac:dyDescent="0.2">
      <c r="J432" s="354">
        <v>39531</v>
      </c>
      <c r="K432">
        <v>30.85</v>
      </c>
      <c r="L432">
        <v>31.860001</v>
      </c>
      <c r="M432">
        <v>30.200001</v>
      </c>
      <c r="N432">
        <v>31.42</v>
      </c>
      <c r="O432">
        <v>14.083769999999999</v>
      </c>
      <c r="P432">
        <v>15953000</v>
      </c>
      <c r="R432" s="273">
        <f>(O432/O431)*('16. câmbio USD-BRL'!O228/'16. câmbio USD-BRL'!O227)^-1-1</f>
        <v>3.0451198300288196E-2</v>
      </c>
    </row>
    <row r="433" spans="10:18" x14ac:dyDescent="0.2">
      <c r="J433" s="354">
        <v>39538</v>
      </c>
      <c r="K433">
        <v>31.299999</v>
      </c>
      <c r="L433">
        <v>33.814999</v>
      </c>
      <c r="M433">
        <v>30.915001</v>
      </c>
      <c r="N433">
        <v>33.5</v>
      </c>
      <c r="O433">
        <v>15.016114999999999</v>
      </c>
      <c r="P433">
        <v>16404000</v>
      </c>
      <c r="R433" s="273">
        <f>(O433/O432)*('16. câmbio USD-BRL'!O229/'16. câmbio USD-BRL'!O228)^-1-1</f>
        <v>8.6967245044334396E-2</v>
      </c>
    </row>
    <row r="434" spans="10:18" x14ac:dyDescent="0.2">
      <c r="J434" s="354">
        <v>39545</v>
      </c>
      <c r="K434">
        <v>33.849997999999999</v>
      </c>
      <c r="L434">
        <v>34.900002000000001</v>
      </c>
      <c r="M434">
        <v>32.599997999999999</v>
      </c>
      <c r="N434">
        <v>34.25</v>
      </c>
      <c r="O434">
        <v>15.352301000000001</v>
      </c>
      <c r="P434">
        <v>18687800</v>
      </c>
      <c r="R434" s="273">
        <f>(O434/O433)*('16. câmbio USD-BRL'!O230/'16. câmbio USD-BRL'!O229)^-1-1</f>
        <v>3.6496126944641549E-2</v>
      </c>
    </row>
    <row r="435" spans="10:18" x14ac:dyDescent="0.2">
      <c r="J435" s="354">
        <v>39552</v>
      </c>
      <c r="K435">
        <v>34</v>
      </c>
      <c r="L435">
        <v>36.415000999999997</v>
      </c>
      <c r="M435">
        <v>33.235000999999997</v>
      </c>
      <c r="N435">
        <v>36.099997999999999</v>
      </c>
      <c r="O435">
        <v>16.181546999999998</v>
      </c>
      <c r="P435">
        <v>22404800</v>
      </c>
      <c r="R435" s="273">
        <f>(O435/O434)*('16. câmbio USD-BRL'!O231/'16. câmbio USD-BRL'!O230)^-1-1</f>
        <v>6.7217395006659686E-2</v>
      </c>
    </row>
    <row r="436" spans="10:18" x14ac:dyDescent="0.2">
      <c r="J436" s="354">
        <v>39559</v>
      </c>
      <c r="K436">
        <v>36.099997999999999</v>
      </c>
      <c r="L436">
        <v>36.610000999999997</v>
      </c>
      <c r="M436">
        <v>35.110000999999997</v>
      </c>
      <c r="N436">
        <v>35.525002000000001</v>
      </c>
      <c r="O436">
        <v>15.923806000000001</v>
      </c>
      <c r="P436">
        <v>13689400</v>
      </c>
      <c r="R436" s="273">
        <f>(O436/O435)*('16. câmbio USD-BRL'!O232/'16. câmbio USD-BRL'!O231)^-1-1</f>
        <v>-1.7407444011473316E-2</v>
      </c>
    </row>
    <row r="437" spans="10:18" x14ac:dyDescent="0.2">
      <c r="J437" s="354">
        <v>39566</v>
      </c>
      <c r="K437">
        <v>35.75</v>
      </c>
      <c r="L437">
        <v>38</v>
      </c>
      <c r="M437">
        <v>34.75</v>
      </c>
      <c r="N437">
        <v>35.5</v>
      </c>
      <c r="O437">
        <v>16.277177999999999</v>
      </c>
      <c r="P437">
        <v>20669200</v>
      </c>
      <c r="R437" s="273">
        <f>(O437/O436)*('16. câmbio USD-BRL'!O233/'16. câmbio USD-BRL'!O232)^-1-1</f>
        <v>3.494937312366897E-2</v>
      </c>
    </row>
    <row r="438" spans="10:18" x14ac:dyDescent="0.2">
      <c r="J438" s="354">
        <v>39573</v>
      </c>
      <c r="K438">
        <v>36</v>
      </c>
      <c r="L438">
        <v>39.924999</v>
      </c>
      <c r="M438">
        <v>35.75</v>
      </c>
      <c r="N438">
        <v>39.525002000000001</v>
      </c>
      <c r="O438">
        <v>18.122686000000002</v>
      </c>
      <c r="P438">
        <v>24818200</v>
      </c>
      <c r="R438" s="273">
        <f>(O438/O437)*('16. câmbio USD-BRL'!O234/'16. câmbio USD-BRL'!O233)^-1-1</f>
        <v>8.4975857164777402E-2</v>
      </c>
    </row>
    <row r="439" spans="10:18" x14ac:dyDescent="0.2">
      <c r="J439" s="354">
        <v>39580</v>
      </c>
      <c r="K439">
        <v>40</v>
      </c>
      <c r="L439">
        <v>41.950001</v>
      </c>
      <c r="M439">
        <v>39.110000999999997</v>
      </c>
      <c r="N439">
        <v>41.650002000000001</v>
      </c>
      <c r="O439">
        <v>19.097024999999999</v>
      </c>
      <c r="P439">
        <v>23083200</v>
      </c>
      <c r="R439" s="273">
        <f>(O439/O438)*('16. câmbio USD-BRL'!O235/'16. câmbio USD-BRL'!O234)^-1-1</f>
        <v>8.3329293427925277E-2</v>
      </c>
    </row>
    <row r="440" spans="10:18" x14ac:dyDescent="0.2">
      <c r="J440" s="354">
        <v>39587</v>
      </c>
      <c r="K440">
        <v>42</v>
      </c>
      <c r="L440">
        <v>43.150002000000001</v>
      </c>
      <c r="M440">
        <v>40.049999</v>
      </c>
      <c r="N440">
        <v>40.854999999999997</v>
      </c>
      <c r="O440">
        <v>18.732513000000001</v>
      </c>
      <c r="P440">
        <v>18853000</v>
      </c>
      <c r="R440" s="273">
        <f>(O440/O439)*('16. câmbio USD-BRL'!O236/'16. câmbio USD-BRL'!O235)^-1-1</f>
        <v>-2.5329542214511891E-2</v>
      </c>
    </row>
    <row r="441" spans="10:18" x14ac:dyDescent="0.2">
      <c r="J441" s="354">
        <v>39594</v>
      </c>
      <c r="K441">
        <v>41.150002000000001</v>
      </c>
      <c r="L441">
        <v>41.965000000000003</v>
      </c>
      <c r="M441">
        <v>39.575001</v>
      </c>
      <c r="N441">
        <v>39.650002000000001</v>
      </c>
      <c r="O441">
        <v>18.180005999999999</v>
      </c>
      <c r="P441">
        <v>18473600</v>
      </c>
      <c r="R441" s="273">
        <f>(O441/O440)*('16. câmbio USD-BRL'!O237/'16. câmbio USD-BRL'!O236)^-1-1</f>
        <v>-1.3045302842429551E-2</v>
      </c>
    </row>
    <row r="442" spans="10:18" x14ac:dyDescent="0.2">
      <c r="J442" s="354">
        <v>39601</v>
      </c>
      <c r="K442">
        <v>41.064999</v>
      </c>
      <c r="L442">
        <v>41.064999</v>
      </c>
      <c r="M442">
        <v>37.650002000000001</v>
      </c>
      <c r="N442">
        <v>40.255001</v>
      </c>
      <c r="O442">
        <v>18.457398999999999</v>
      </c>
      <c r="P442">
        <v>22745800</v>
      </c>
      <c r="R442" s="273">
        <f>(O442/O441)*('16. câmbio USD-BRL'!O238/'16. câmbio USD-BRL'!O237)^-1-1</f>
        <v>1.51955659438201E-2</v>
      </c>
    </row>
    <row r="443" spans="10:18" x14ac:dyDescent="0.2">
      <c r="J443" s="354">
        <v>39608</v>
      </c>
      <c r="K443">
        <v>39.700001</v>
      </c>
      <c r="L443">
        <v>39.950001</v>
      </c>
      <c r="M443">
        <v>36.330002</v>
      </c>
      <c r="N443">
        <v>36.599997999999999</v>
      </c>
      <c r="O443">
        <v>16.781535999999999</v>
      </c>
      <c r="P443">
        <v>19710200</v>
      </c>
      <c r="R443" s="273">
        <f>(O443/O442)*('16. câmbio USD-BRL'!O239/'16. câmbio USD-BRL'!O238)^-1-1</f>
        <v>-9.3143612728999292E-2</v>
      </c>
    </row>
    <row r="444" spans="10:18" x14ac:dyDescent="0.2">
      <c r="J444" s="354">
        <v>39615</v>
      </c>
      <c r="K444">
        <v>36.799999</v>
      </c>
      <c r="L444">
        <v>37.919998</v>
      </c>
      <c r="M444">
        <v>33.955002</v>
      </c>
      <c r="N444">
        <v>34.099997999999999</v>
      </c>
      <c r="O444">
        <v>15.635251999999999</v>
      </c>
      <c r="P444">
        <v>26998800</v>
      </c>
      <c r="R444" s="273">
        <f>(O444/O443)*('16. câmbio USD-BRL'!O240/'16. câmbio USD-BRL'!O239)^-1-1</f>
        <v>-5.222650545759E-2</v>
      </c>
    </row>
    <row r="445" spans="10:18" x14ac:dyDescent="0.2">
      <c r="J445" s="354">
        <v>39622</v>
      </c>
      <c r="K445">
        <v>34.400002000000001</v>
      </c>
      <c r="L445">
        <v>35.849997999999999</v>
      </c>
      <c r="M445">
        <v>32.93</v>
      </c>
      <c r="N445">
        <v>35.099997999999999</v>
      </c>
      <c r="O445">
        <v>16.093769000000002</v>
      </c>
      <c r="P445">
        <v>33562600</v>
      </c>
      <c r="R445" s="273">
        <f>(O445/O444)*('16. câmbio USD-BRL'!O241/'16. câmbio USD-BRL'!O240)^-1-1</f>
        <v>2.8168578206369421E-2</v>
      </c>
    </row>
    <row r="446" spans="10:18" x14ac:dyDescent="0.2">
      <c r="J446" s="354">
        <v>39629</v>
      </c>
      <c r="K446">
        <v>35.794998</v>
      </c>
      <c r="L446">
        <v>35.849997999999999</v>
      </c>
      <c r="M446">
        <v>29.014999</v>
      </c>
      <c r="N446">
        <v>29.954999999999998</v>
      </c>
      <c r="O446">
        <v>13.734728</v>
      </c>
      <c r="P446">
        <v>28855400</v>
      </c>
      <c r="R446" s="273">
        <f>(O446/O445)*('16. câmbio USD-BRL'!O242/'16. câmbio USD-BRL'!O241)^-1-1</f>
        <v>-0.14711373626276281</v>
      </c>
    </row>
    <row r="447" spans="10:18" x14ac:dyDescent="0.2">
      <c r="J447" s="354">
        <v>39636</v>
      </c>
      <c r="K447">
        <v>30.6</v>
      </c>
      <c r="L447">
        <v>32.25</v>
      </c>
      <c r="M447">
        <v>29.825001</v>
      </c>
      <c r="N447">
        <v>31.695</v>
      </c>
      <c r="O447">
        <v>14.532537</v>
      </c>
      <c r="P447">
        <v>21792600</v>
      </c>
      <c r="R447" s="273">
        <f>(O447/O446)*('16. câmbio USD-BRL'!O243/'16. câmbio USD-BRL'!O242)^-1-1</f>
        <v>5.8417331906466696E-2</v>
      </c>
    </row>
    <row r="448" spans="10:18" x14ac:dyDescent="0.2">
      <c r="J448" s="354">
        <v>39643</v>
      </c>
      <c r="K448">
        <v>32.400002000000001</v>
      </c>
      <c r="L448">
        <v>32.900002000000001</v>
      </c>
      <c r="M448">
        <v>29.780000999999999</v>
      </c>
      <c r="N448">
        <v>29.950001</v>
      </c>
      <c r="O448">
        <v>13.732431999999999</v>
      </c>
      <c r="P448">
        <v>29835000</v>
      </c>
      <c r="R448" s="273">
        <f>(O448/O447)*('16. câmbio USD-BRL'!O244/'16. câmbio USD-BRL'!O243)^-1-1</f>
        <v>-4.7622633764818234E-2</v>
      </c>
    </row>
    <row r="449" spans="10:18" x14ac:dyDescent="0.2">
      <c r="J449" s="354">
        <v>39650</v>
      </c>
      <c r="K449">
        <v>30.6</v>
      </c>
      <c r="L449">
        <v>31.950001</v>
      </c>
      <c r="M449">
        <v>27.415001</v>
      </c>
      <c r="N449">
        <v>28.174999</v>
      </c>
      <c r="O449">
        <v>12.918575000000001</v>
      </c>
      <c r="P449">
        <v>29927600</v>
      </c>
      <c r="R449" s="273">
        <f>(O449/O448)*('16. câmbio USD-BRL'!O245/'16. câmbio USD-BRL'!O244)^-1-1</f>
        <v>-4.7395230791337783E-2</v>
      </c>
    </row>
    <row r="450" spans="10:18" x14ac:dyDescent="0.2">
      <c r="J450" s="354">
        <v>39657</v>
      </c>
      <c r="K450">
        <v>28.575001</v>
      </c>
      <c r="L450">
        <v>32.064999</v>
      </c>
      <c r="M450">
        <v>28.450001</v>
      </c>
      <c r="N450">
        <v>29.65</v>
      </c>
      <c r="O450">
        <v>13.594881000000001</v>
      </c>
      <c r="P450">
        <v>27801000</v>
      </c>
      <c r="R450" s="273">
        <f>(O450/O449)*('16. câmbio USD-BRL'!O246/'16. câmbio USD-BRL'!O245)^-1-1</f>
        <v>5.7337609913157062E-2</v>
      </c>
    </row>
    <row r="451" spans="10:18" x14ac:dyDescent="0.2">
      <c r="J451" s="354">
        <v>39664</v>
      </c>
      <c r="K451">
        <v>29.299999</v>
      </c>
      <c r="L451">
        <v>29.35</v>
      </c>
      <c r="M451">
        <v>27.049999</v>
      </c>
      <c r="N451">
        <v>27.545000000000002</v>
      </c>
      <c r="O451">
        <v>12.629713000000001</v>
      </c>
      <c r="P451">
        <v>26743600</v>
      </c>
      <c r="R451" s="273" t="e">
        <f>(O451/O450)*('16. câmbio USD-BRL'!O247/'16. câmbio USD-BRL'!O246)^-1-1</f>
        <v>#VALUE!</v>
      </c>
    </row>
    <row r="452" spans="10:18" x14ac:dyDescent="0.2">
      <c r="J452" s="354">
        <v>39671</v>
      </c>
      <c r="K452">
        <v>27.950001</v>
      </c>
      <c r="L452">
        <v>27.950001</v>
      </c>
      <c r="M452">
        <v>25.26</v>
      </c>
      <c r="N452">
        <v>26.075001</v>
      </c>
      <c r="O452">
        <v>11.955700999999999</v>
      </c>
      <c r="P452">
        <v>28883800</v>
      </c>
      <c r="R452" s="273" t="e">
        <f>(O452/O451)*('16. câmbio USD-BRL'!O248/'16. câmbio USD-BRL'!O247)^-1-1</f>
        <v>#VALUE!</v>
      </c>
    </row>
    <row r="453" spans="10:18" x14ac:dyDescent="0.2">
      <c r="J453" s="354">
        <v>39678</v>
      </c>
      <c r="K453">
        <v>26.32</v>
      </c>
      <c r="L453">
        <v>28.375</v>
      </c>
      <c r="M453">
        <v>24.57</v>
      </c>
      <c r="N453">
        <v>27.745000999999998</v>
      </c>
      <c r="O453">
        <v>12.721413999999999</v>
      </c>
      <c r="P453">
        <v>27720400</v>
      </c>
      <c r="R453" s="273" t="e">
        <f>(O453/O452)*('16. câmbio USD-BRL'!O249/'16. câmbio USD-BRL'!O248)^-1-1</f>
        <v>#VALUE!</v>
      </c>
    </row>
    <row r="454" spans="10:18" x14ac:dyDescent="0.2">
      <c r="J454" s="354">
        <v>39685</v>
      </c>
      <c r="K454">
        <v>27.799999</v>
      </c>
      <c r="L454">
        <v>29.024999999999999</v>
      </c>
      <c r="M454">
        <v>26.299999</v>
      </c>
      <c r="N454">
        <v>28.25</v>
      </c>
      <c r="O454">
        <v>13.003221999999999</v>
      </c>
      <c r="P454">
        <v>19857800</v>
      </c>
      <c r="R454" s="273" t="e">
        <f>(O454/O453)*('16. câmbio USD-BRL'!O250/'16. câmbio USD-BRL'!O249)^-1-1</f>
        <v>#VALUE!</v>
      </c>
    </row>
    <row r="455" spans="10:18" x14ac:dyDescent="0.2">
      <c r="J455" s="354">
        <v>39692</v>
      </c>
      <c r="K455">
        <v>28.25</v>
      </c>
      <c r="L455">
        <v>28.709999</v>
      </c>
      <c r="M455">
        <v>23.035</v>
      </c>
      <c r="N455">
        <v>24.195</v>
      </c>
      <c r="O455">
        <v>11.13674</v>
      </c>
      <c r="P455">
        <v>35727200</v>
      </c>
      <c r="R455" s="273">
        <f>(O455/O454)*('16. câmbio USD-BRL'!O251/'16. câmbio USD-BRL'!O250)^-1-1</f>
        <v>-0.19218613978082144</v>
      </c>
    </row>
    <row r="456" spans="10:18" x14ac:dyDescent="0.2">
      <c r="J456" s="354">
        <v>39699</v>
      </c>
      <c r="K456">
        <v>25.02</v>
      </c>
      <c r="L456">
        <v>25.5</v>
      </c>
      <c r="M456">
        <v>20.954999999999998</v>
      </c>
      <c r="N456">
        <v>25.424999</v>
      </c>
      <c r="O456">
        <v>11.702897999999999</v>
      </c>
      <c r="P456">
        <v>36992000</v>
      </c>
      <c r="R456" s="273">
        <f>(O456/O455)*('16. câmbio USD-BRL'!O252/'16. câmbio USD-BRL'!O251)^-1-1</f>
        <v>2.2105214754684743E-2</v>
      </c>
    </row>
    <row r="457" spans="10:18" x14ac:dyDescent="0.2">
      <c r="J457" s="354">
        <v>39706</v>
      </c>
      <c r="K457">
        <v>23.725000000000001</v>
      </c>
      <c r="L457">
        <v>26.485001</v>
      </c>
      <c r="M457">
        <v>21.07</v>
      </c>
      <c r="N457">
        <v>26</v>
      </c>
      <c r="O457">
        <v>11.967568</v>
      </c>
      <c r="P457">
        <v>43728400</v>
      </c>
      <c r="R457" s="273">
        <f>(O457/O456)*('16. câmbio USD-BRL'!O253/'16. câmbio USD-BRL'!O252)^-1-1</f>
        <v>9.3586104429976835E-4</v>
      </c>
    </row>
    <row r="458" spans="10:18" x14ac:dyDescent="0.2">
      <c r="J458" s="354">
        <v>39713</v>
      </c>
      <c r="K458">
        <v>26.395</v>
      </c>
      <c r="L458">
        <v>26.895</v>
      </c>
      <c r="M458">
        <v>21.25</v>
      </c>
      <c r="N458">
        <v>22</v>
      </c>
      <c r="O458">
        <v>10.126402000000001</v>
      </c>
      <c r="P458">
        <v>42736000</v>
      </c>
      <c r="R458" s="273">
        <f>(O458/O457)*('16. câmbio USD-BRL'!O254/'16. câmbio USD-BRL'!O253)^-1-1</f>
        <v>-0.16831828977117047</v>
      </c>
    </row>
    <row r="459" spans="10:18" x14ac:dyDescent="0.2">
      <c r="J459" s="354">
        <v>39720</v>
      </c>
      <c r="K459">
        <v>21</v>
      </c>
      <c r="L459">
        <v>21</v>
      </c>
      <c r="M459">
        <v>17.350000000000001</v>
      </c>
      <c r="N459">
        <v>17.850000000000001</v>
      </c>
      <c r="O459">
        <v>8.2161950000000008</v>
      </c>
      <c r="P459">
        <v>34728000</v>
      </c>
      <c r="R459" s="273">
        <f>(O459/O458)*('16. câmbio USD-BRL'!O255/'16. câmbio USD-BRL'!O254)^-1-1</f>
        <v>-0.25861742179011338</v>
      </c>
    </row>
    <row r="460" spans="10:18" x14ac:dyDescent="0.2">
      <c r="J460" s="354">
        <v>39727</v>
      </c>
      <c r="K460">
        <v>15</v>
      </c>
      <c r="L460">
        <v>16.5</v>
      </c>
      <c r="M460">
        <v>11.31</v>
      </c>
      <c r="N460">
        <v>13.75</v>
      </c>
      <c r="O460">
        <v>6.3290009999999999</v>
      </c>
      <c r="P460">
        <v>50712200</v>
      </c>
      <c r="R460" s="273">
        <f>(O460/O459)*('16. câmbio USD-BRL'!O256/'16. câmbio USD-BRL'!O255)^-1-1</f>
        <v>-0.3072880407101376</v>
      </c>
    </row>
    <row r="461" spans="10:18" x14ac:dyDescent="0.2">
      <c r="J461" s="354">
        <v>39734</v>
      </c>
      <c r="K461">
        <v>15</v>
      </c>
      <c r="L461">
        <v>17.5</v>
      </c>
      <c r="M461">
        <v>11.305</v>
      </c>
      <c r="N461">
        <v>14.89</v>
      </c>
      <c r="O461">
        <v>6.8537330000000001</v>
      </c>
      <c r="P461">
        <v>69737200</v>
      </c>
      <c r="R461" s="273">
        <f>(O461/O460)*('16. câmbio USD-BRL'!O257/'16. câmbio USD-BRL'!O256)^-1-1</f>
        <v>0.17714343274976252</v>
      </c>
    </row>
    <row r="462" spans="10:18" x14ac:dyDescent="0.2">
      <c r="J462" s="354">
        <v>39741</v>
      </c>
      <c r="K462">
        <v>15.145</v>
      </c>
      <c r="L462">
        <v>16</v>
      </c>
      <c r="M462">
        <v>11.654999999999999</v>
      </c>
      <c r="N462">
        <v>11.98</v>
      </c>
      <c r="O462">
        <v>5.5142850000000001</v>
      </c>
      <c r="P462">
        <v>39507800</v>
      </c>
      <c r="R462" s="273">
        <f>(O462/O461)*('16. câmbio USD-BRL'!O258/'16. câmbio USD-BRL'!O257)^-1-1</f>
        <v>-0.26904158661980948</v>
      </c>
    </row>
    <row r="463" spans="10:18" x14ac:dyDescent="0.2">
      <c r="J463" s="354">
        <v>39748</v>
      </c>
      <c r="K463">
        <v>11.75</v>
      </c>
      <c r="L463">
        <v>15.65</v>
      </c>
      <c r="M463">
        <v>11.3</v>
      </c>
      <c r="N463">
        <v>14.355</v>
      </c>
      <c r="O463">
        <v>6.6074780000000004</v>
      </c>
      <c r="P463">
        <v>32360400</v>
      </c>
      <c r="R463" s="273">
        <f>(O463/O462)*('16. câmbio USD-BRL'!O259/'16. câmbio USD-BRL'!O258)^-1-1</f>
        <v>0.30098703815281524</v>
      </c>
    </row>
    <row r="464" spans="10:18" x14ac:dyDescent="0.2">
      <c r="J464" s="354">
        <v>39755</v>
      </c>
      <c r="K464">
        <v>14.5</v>
      </c>
      <c r="L464">
        <v>15.9</v>
      </c>
      <c r="M464">
        <v>12.04</v>
      </c>
      <c r="N464">
        <v>12.18</v>
      </c>
      <c r="O464">
        <v>5.6063450000000001</v>
      </c>
      <c r="P464">
        <v>35294200</v>
      </c>
      <c r="R464" s="273">
        <f>(O464/O463)*('16. câmbio USD-BRL'!O260/'16. câmbio USD-BRL'!O259)^-1-1</f>
        <v>-0.17069553162902373</v>
      </c>
    </row>
    <row r="465" spans="10:18" x14ac:dyDescent="0.2">
      <c r="J465" s="354">
        <v>39762</v>
      </c>
      <c r="K465">
        <v>13</v>
      </c>
      <c r="L465">
        <v>13.12</v>
      </c>
      <c r="M465">
        <v>10.6</v>
      </c>
      <c r="N465">
        <v>11.6</v>
      </c>
      <c r="O465">
        <v>5.3393759999999997</v>
      </c>
      <c r="P465">
        <v>31589000</v>
      </c>
      <c r="R465" s="273">
        <f>(O465/O464)*('16. câmbio USD-BRL'!O261/'16. câmbio USD-BRL'!O260)^-1-1</f>
        <v>-8.2266669463402775E-2</v>
      </c>
    </row>
    <row r="466" spans="10:18" x14ac:dyDescent="0.2">
      <c r="J466" s="354">
        <v>39769</v>
      </c>
      <c r="K466">
        <v>11.005000000000001</v>
      </c>
      <c r="L466">
        <v>12.08</v>
      </c>
      <c r="M466">
        <v>9.8800000000000008</v>
      </c>
      <c r="N466">
        <v>10</v>
      </c>
      <c r="O466">
        <v>4.6029109999999998</v>
      </c>
      <c r="P466">
        <v>25989600</v>
      </c>
      <c r="R466" s="273">
        <f>(O466/O465)*('16. câmbio USD-BRL'!O262/'16. câmbio USD-BRL'!O261)^-1-1</f>
        <v>-0.2019140021086876</v>
      </c>
    </row>
    <row r="467" spans="10:18" x14ac:dyDescent="0.2">
      <c r="J467" s="354">
        <v>39776</v>
      </c>
      <c r="K467">
        <v>10.63</v>
      </c>
      <c r="L467">
        <v>13.41</v>
      </c>
      <c r="M467">
        <v>10.46</v>
      </c>
      <c r="N467">
        <v>12.945</v>
      </c>
      <c r="O467">
        <v>5.9584659999999996</v>
      </c>
      <c r="P467">
        <v>24666600</v>
      </c>
      <c r="R467" s="273">
        <f>(O467/O466)*('16. câmbio USD-BRL'!O263/'16. câmbio USD-BRL'!O262)^-1-1</f>
        <v>0.37956808780373752</v>
      </c>
    </row>
    <row r="468" spans="10:18" x14ac:dyDescent="0.2">
      <c r="J468" s="354">
        <v>39783</v>
      </c>
      <c r="K468">
        <v>12.49</v>
      </c>
      <c r="L468">
        <v>12.6</v>
      </c>
      <c r="M468">
        <v>11.35</v>
      </c>
      <c r="N468">
        <v>11.654999999999999</v>
      </c>
      <c r="O468">
        <v>5.3646919999999998</v>
      </c>
      <c r="P468">
        <v>21882800</v>
      </c>
      <c r="R468" s="273">
        <f>(O468/O467)*('16. câmbio USD-BRL'!O264/'16. câmbio USD-BRL'!O263)^-1-1</f>
        <v>-0.20817810863217978</v>
      </c>
    </row>
    <row r="469" spans="10:18" x14ac:dyDescent="0.2">
      <c r="J469" s="354">
        <v>39790</v>
      </c>
      <c r="K469">
        <v>12.445</v>
      </c>
      <c r="L469">
        <v>14.975</v>
      </c>
      <c r="M469">
        <v>12.275</v>
      </c>
      <c r="N469">
        <v>14.4</v>
      </c>
      <c r="O469">
        <v>6.62819</v>
      </c>
      <c r="P469">
        <v>32279000</v>
      </c>
      <c r="R469" s="273">
        <f>(O469/O468)*('16. câmbio USD-BRL'!O265/'16. câmbio USD-BRL'!O264)^-1-1</f>
        <v>0.34937095790214534</v>
      </c>
    </row>
    <row r="470" spans="10:18" x14ac:dyDescent="0.2">
      <c r="J470" s="354">
        <v>39797</v>
      </c>
      <c r="K470">
        <v>14.525</v>
      </c>
      <c r="L470">
        <v>16.299999</v>
      </c>
      <c r="M470">
        <v>14.205</v>
      </c>
      <c r="N470">
        <v>15.75</v>
      </c>
      <c r="O470">
        <v>7.2495839999999996</v>
      </c>
      <c r="P470">
        <v>27348600</v>
      </c>
      <c r="R470" s="273">
        <f>(O470/O469)*('16. câmbio USD-BRL'!O266/'16. câmbio USD-BRL'!O265)^-1-1</f>
        <v>8.4060766055308545E-2</v>
      </c>
    </row>
    <row r="471" spans="10:18" x14ac:dyDescent="0.2">
      <c r="J471" s="354">
        <v>39804</v>
      </c>
      <c r="K471">
        <v>15.824999999999999</v>
      </c>
      <c r="L471">
        <v>15.93</v>
      </c>
      <c r="M471">
        <v>13.685</v>
      </c>
      <c r="N471">
        <v>14.045</v>
      </c>
      <c r="O471">
        <v>6.4647880000000004</v>
      </c>
      <c r="P471">
        <v>9282800</v>
      </c>
      <c r="R471" s="273">
        <f>(O471/O470)*('16. câmbio USD-BRL'!O267/'16. câmbio USD-BRL'!O266)^-1-1</f>
        <v>-9.1232515590670582E-2</v>
      </c>
    </row>
    <row r="472" spans="10:18" x14ac:dyDescent="0.2">
      <c r="J472" s="354">
        <v>39811</v>
      </c>
      <c r="K472">
        <v>14.285</v>
      </c>
      <c r="L472">
        <v>15.95</v>
      </c>
      <c r="M472">
        <v>13.85</v>
      </c>
      <c r="N472">
        <v>15.86</v>
      </c>
      <c r="O472">
        <v>7.3002149999999997</v>
      </c>
      <c r="P472">
        <v>11502600</v>
      </c>
      <c r="R472" s="273">
        <f>(O472/O471)*('16. câmbio USD-BRL'!O268/'16. câmbio USD-BRL'!O267)^-1-1</f>
        <v>0.13562282194385822</v>
      </c>
    </row>
    <row r="473" spans="10:18" x14ac:dyDescent="0.2">
      <c r="J473" s="354">
        <v>39818</v>
      </c>
      <c r="K473">
        <v>15.555</v>
      </c>
      <c r="L473">
        <v>19.475000000000001</v>
      </c>
      <c r="M473">
        <v>15.32</v>
      </c>
      <c r="N473">
        <v>18.540001</v>
      </c>
      <c r="O473">
        <v>8.5337929999999993</v>
      </c>
      <c r="P473">
        <v>37105400</v>
      </c>
      <c r="R473" s="273">
        <f>(O473/O472)*('16. câmbio USD-BRL'!O269/'16. câmbio USD-BRL'!O268)^-1-1</f>
        <v>0.20540628288583451</v>
      </c>
    </row>
    <row r="474" spans="10:18" x14ac:dyDescent="0.2">
      <c r="J474" s="354">
        <v>39825</v>
      </c>
      <c r="K474">
        <v>18.040001</v>
      </c>
      <c r="L474">
        <v>18.174999</v>
      </c>
      <c r="M474">
        <v>15.9</v>
      </c>
      <c r="N474">
        <v>17.75</v>
      </c>
      <c r="O474">
        <v>8.1701650000000008</v>
      </c>
      <c r="P474">
        <v>33825000</v>
      </c>
      <c r="R474" s="273">
        <f>(O474/O473)*('16. câmbio USD-BRL'!O270/'16. câmbio USD-BRL'!O269)^-1-1</f>
        <v>-6.2218035216709877E-2</v>
      </c>
    </row>
    <row r="475" spans="10:18" x14ac:dyDescent="0.2">
      <c r="J475" s="354">
        <v>39832</v>
      </c>
      <c r="K475">
        <v>17.844999000000001</v>
      </c>
      <c r="L475">
        <v>18.355</v>
      </c>
      <c r="M475">
        <v>16.684999000000001</v>
      </c>
      <c r="N475">
        <v>17.25</v>
      </c>
      <c r="O475">
        <v>7.9400209999999998</v>
      </c>
      <c r="P475">
        <v>34851600</v>
      </c>
      <c r="R475" s="273">
        <f>(O475/O474)*('16. câmbio USD-BRL'!O271/'16. câmbio USD-BRL'!O270)^-1-1</f>
        <v>-3.2478316579095501E-2</v>
      </c>
    </row>
    <row r="476" spans="10:18" x14ac:dyDescent="0.2">
      <c r="J476" s="354">
        <v>39839</v>
      </c>
      <c r="K476">
        <v>17.129999000000002</v>
      </c>
      <c r="L476">
        <v>18.75</v>
      </c>
      <c r="M476">
        <v>16.950001</v>
      </c>
      <c r="N476">
        <v>17.59</v>
      </c>
      <c r="O476">
        <v>8.0965190000000007</v>
      </c>
      <c r="P476">
        <v>27120000</v>
      </c>
      <c r="R476" s="273">
        <f>(O476/O475)*('16. câmbio USD-BRL'!O272/'16. câmbio USD-BRL'!O271)^-1-1</f>
        <v>1.4988530836344438E-2</v>
      </c>
    </row>
    <row r="477" spans="10:18" x14ac:dyDescent="0.2">
      <c r="J477" s="354">
        <v>39846</v>
      </c>
      <c r="K477">
        <v>17.344999000000001</v>
      </c>
      <c r="L477">
        <v>20.450001</v>
      </c>
      <c r="M477">
        <v>17.25</v>
      </c>
      <c r="N477">
        <v>20.100000000000001</v>
      </c>
      <c r="O477">
        <v>9.2518510000000003</v>
      </c>
      <c r="P477">
        <v>29830000</v>
      </c>
      <c r="R477" s="273">
        <f>(O477/O476)*('16. câmbio USD-BRL'!O273/'16. câmbio USD-BRL'!O272)^-1-1</f>
        <v>0.19389350449535758</v>
      </c>
    </row>
    <row r="478" spans="10:18" x14ac:dyDescent="0.2">
      <c r="J478" s="354">
        <v>39853</v>
      </c>
      <c r="K478">
        <v>19.975000000000001</v>
      </c>
      <c r="L478">
        <v>20.799999</v>
      </c>
      <c r="M478">
        <v>17.704999999999998</v>
      </c>
      <c r="N478">
        <v>18.555</v>
      </c>
      <c r="O478">
        <v>8.540699</v>
      </c>
      <c r="P478">
        <v>32111000</v>
      </c>
      <c r="R478" s="273">
        <f>(O478/O477)*('16. câmbio USD-BRL'!O274/'16. câmbio USD-BRL'!O273)^-1-1</f>
        <v>-8.4194677091710024E-2</v>
      </c>
    </row>
    <row r="479" spans="10:18" x14ac:dyDescent="0.2">
      <c r="J479" s="354">
        <v>39860</v>
      </c>
      <c r="K479">
        <v>18.495000999999998</v>
      </c>
      <c r="L479">
        <v>18.75</v>
      </c>
      <c r="M479">
        <v>16.309999000000001</v>
      </c>
      <c r="N479">
        <v>16.829999999999998</v>
      </c>
      <c r="O479">
        <v>7.7466989999999996</v>
      </c>
      <c r="P479">
        <v>23315200</v>
      </c>
      <c r="R479" s="273">
        <f>(O479/O478)*('16. câmbio USD-BRL'!O275/'16. câmbio USD-BRL'!O274)^-1-1</f>
        <v>-0.13494849663071329</v>
      </c>
    </row>
    <row r="480" spans="10:18" x14ac:dyDescent="0.2">
      <c r="J480" s="354">
        <v>39867</v>
      </c>
      <c r="K480">
        <v>16.829999999999998</v>
      </c>
      <c r="L480">
        <v>16.829999999999998</v>
      </c>
      <c r="M480">
        <v>15.45</v>
      </c>
      <c r="N480">
        <v>15.675000000000001</v>
      </c>
      <c r="O480">
        <v>7.2150610000000004</v>
      </c>
      <c r="P480">
        <v>12421000</v>
      </c>
      <c r="R480" s="273">
        <f>(O480/O479)*('16. câmbio USD-BRL'!O276/'16. câmbio USD-BRL'!O275)^-1-1</f>
        <v>-6.3983033215596286E-2</v>
      </c>
    </row>
    <row r="481" spans="10:18" x14ac:dyDescent="0.2">
      <c r="J481" s="354">
        <v>39874</v>
      </c>
      <c r="K481">
        <v>15.45</v>
      </c>
      <c r="L481">
        <v>16.674999</v>
      </c>
      <c r="M481">
        <v>14.545</v>
      </c>
      <c r="N481">
        <v>15.51</v>
      </c>
      <c r="O481">
        <v>7.1391140000000002</v>
      </c>
      <c r="P481">
        <v>29512600</v>
      </c>
      <c r="R481" s="273">
        <f>(O481/O480)*('16. câmbio USD-BRL'!O277/'16. câmbio USD-BRL'!O276)^-1-1</f>
        <v>-8.9924380491736011E-3</v>
      </c>
    </row>
    <row r="482" spans="10:18" x14ac:dyDescent="0.2">
      <c r="J482" s="354">
        <v>39881</v>
      </c>
      <c r="K482">
        <v>15.225</v>
      </c>
      <c r="L482">
        <v>16.950001</v>
      </c>
      <c r="M482">
        <v>15.06</v>
      </c>
      <c r="N482">
        <v>16.170000000000002</v>
      </c>
      <c r="O482">
        <v>7.4429059999999998</v>
      </c>
      <c r="P482">
        <v>26764800</v>
      </c>
      <c r="R482" s="273">
        <f>(O482/O481)*('16. câmbio USD-BRL'!O278/'16. câmbio USD-BRL'!O277)^-1-1</f>
        <v>5.518357935555529E-2</v>
      </c>
    </row>
    <row r="483" spans="10:18" x14ac:dyDescent="0.2">
      <c r="J483" s="354">
        <v>39888</v>
      </c>
      <c r="K483">
        <v>16.399999999999999</v>
      </c>
      <c r="L483">
        <v>17.399999999999999</v>
      </c>
      <c r="M483">
        <v>15.31</v>
      </c>
      <c r="N483">
        <v>16.899999999999999</v>
      </c>
      <c r="O483">
        <v>7.778918</v>
      </c>
      <c r="P483">
        <v>30946800</v>
      </c>
      <c r="R483" s="273">
        <f>(O483/O482)*('16. câmbio USD-BRL'!O279/'16. câmbio USD-BRL'!O278)^-1-1</f>
        <v>8.9242824404888621E-2</v>
      </c>
    </row>
    <row r="484" spans="10:18" x14ac:dyDescent="0.2">
      <c r="J484" s="354">
        <v>39895</v>
      </c>
      <c r="K484">
        <v>17.600000000000001</v>
      </c>
      <c r="L484">
        <v>18.125</v>
      </c>
      <c r="M484">
        <v>16.305</v>
      </c>
      <c r="N484">
        <v>17.245000999999998</v>
      </c>
      <c r="O484">
        <v>7.9377199999999997</v>
      </c>
      <c r="P484">
        <v>31021200</v>
      </c>
      <c r="R484" s="273">
        <f>(O484/O483)*('16. câmbio USD-BRL'!O280/'16. câmbio USD-BRL'!O279)^-1-1</f>
        <v>7.8720805124798954E-3</v>
      </c>
    </row>
    <row r="485" spans="10:18" x14ac:dyDescent="0.2">
      <c r="J485" s="354">
        <v>39902</v>
      </c>
      <c r="K485">
        <v>16.870000999999998</v>
      </c>
      <c r="L485">
        <v>18.799999</v>
      </c>
      <c r="M485">
        <v>16.450001</v>
      </c>
      <c r="N485">
        <v>18.649999999999999</v>
      </c>
      <c r="O485">
        <v>8.8476189999999999</v>
      </c>
      <c r="P485">
        <v>29697000</v>
      </c>
      <c r="R485" s="273">
        <f>(O485/O484)*('16. câmbio USD-BRL'!O281/'16. câmbio USD-BRL'!O280)^-1-1</f>
        <v>0.15391848708966571</v>
      </c>
    </row>
    <row r="486" spans="10:18" x14ac:dyDescent="0.2">
      <c r="J486" s="354">
        <v>39909</v>
      </c>
      <c r="K486">
        <v>18.454999999999998</v>
      </c>
      <c r="L486">
        <v>18.975000000000001</v>
      </c>
      <c r="M486">
        <v>17.959999</v>
      </c>
      <c r="N486">
        <v>18.950001</v>
      </c>
      <c r="O486">
        <v>8.9899419999999992</v>
      </c>
      <c r="P486">
        <v>19660200</v>
      </c>
      <c r="R486" s="273">
        <f>(O486/O485)*('16. câmbio USD-BRL'!O282/'16. câmbio USD-BRL'!O281)^-1-1</f>
        <v>3.1351302836499784E-3</v>
      </c>
    </row>
    <row r="487" spans="10:18" x14ac:dyDescent="0.2">
      <c r="J487" s="354">
        <v>39916</v>
      </c>
      <c r="K487">
        <v>18.725000000000001</v>
      </c>
      <c r="L487">
        <v>20.370000999999998</v>
      </c>
      <c r="M487">
        <v>18.674999</v>
      </c>
      <c r="N487">
        <v>20.129999000000002</v>
      </c>
      <c r="O487">
        <v>9.5497379999999996</v>
      </c>
      <c r="P487">
        <v>26123200</v>
      </c>
      <c r="R487" s="273">
        <f>(O487/O486)*('16. câmbio USD-BRL'!O283/'16. câmbio USD-BRL'!O282)^-1-1</f>
        <v>8.3176826409034899E-2</v>
      </c>
    </row>
    <row r="488" spans="10:18" x14ac:dyDescent="0.2">
      <c r="J488" s="354">
        <v>39923</v>
      </c>
      <c r="K488">
        <v>19.850000000000001</v>
      </c>
      <c r="L488">
        <v>20.5</v>
      </c>
      <c r="M488">
        <v>19.190000999999999</v>
      </c>
      <c r="N488">
        <v>20.170000000000002</v>
      </c>
      <c r="O488">
        <v>9.5687130000000007</v>
      </c>
      <c r="P488">
        <v>18497400</v>
      </c>
      <c r="R488" s="273">
        <f>(O488/O487)*('16. câmbio USD-BRL'!O284/'16. câmbio USD-BRL'!O283)^-1-1</f>
        <v>-2.5827814510747116E-3</v>
      </c>
    </row>
    <row r="489" spans="10:18" x14ac:dyDescent="0.2">
      <c r="J489" s="354">
        <v>39930</v>
      </c>
      <c r="K489">
        <v>19.899999999999999</v>
      </c>
      <c r="L489">
        <v>20.495000999999998</v>
      </c>
      <c r="M489">
        <v>19.105</v>
      </c>
      <c r="N489">
        <v>20.135000000000002</v>
      </c>
      <c r="O489">
        <v>9.5521080000000005</v>
      </c>
      <c r="P489">
        <v>20852600</v>
      </c>
      <c r="R489" s="273">
        <f>(O489/O488)*('16. câmbio USD-BRL'!O285/'16. câmbio USD-BRL'!O284)^-1-1</f>
        <v>-1.6022433594136909E-2</v>
      </c>
    </row>
    <row r="490" spans="10:18" x14ac:dyDescent="0.2">
      <c r="J490" s="354">
        <v>39937</v>
      </c>
      <c r="K490">
        <v>20.555</v>
      </c>
      <c r="L490">
        <v>22.6</v>
      </c>
      <c r="M490">
        <v>20.549999</v>
      </c>
      <c r="N490">
        <v>22.375</v>
      </c>
      <c r="O490">
        <v>10.614773</v>
      </c>
      <c r="P490">
        <v>25455600</v>
      </c>
      <c r="R490" s="273">
        <f>(O490/O489)*('16. câmbio USD-BRL'!O286/'16. câmbio USD-BRL'!O285)^-1-1</f>
        <v>0.17695350484552574</v>
      </c>
    </row>
    <row r="491" spans="10:18" x14ac:dyDescent="0.2">
      <c r="J491" s="354">
        <v>39944</v>
      </c>
      <c r="K491">
        <v>21.924999</v>
      </c>
      <c r="L491">
        <v>22.35</v>
      </c>
      <c r="M491">
        <v>19.84</v>
      </c>
      <c r="N491">
        <v>20.075001</v>
      </c>
      <c r="O491">
        <v>9.6080509999999997</v>
      </c>
      <c r="P491">
        <v>19788200</v>
      </c>
      <c r="R491" s="273">
        <f>(O491/O490)*('16. câmbio USD-BRL'!O287/'16. câmbio USD-BRL'!O286)^-1-1</f>
        <v>-8.2177671128322527E-2</v>
      </c>
    </row>
    <row r="492" spans="10:18" x14ac:dyDescent="0.2">
      <c r="J492" s="354">
        <v>39951</v>
      </c>
      <c r="K492">
        <v>20.225000000000001</v>
      </c>
      <c r="L492">
        <v>22.75</v>
      </c>
      <c r="M492">
        <v>20.225000000000001</v>
      </c>
      <c r="N492">
        <v>21.415001</v>
      </c>
      <c r="O492">
        <v>10.249385999999999</v>
      </c>
      <c r="P492">
        <v>23789000</v>
      </c>
      <c r="R492" s="273">
        <f>(O492/O491)*('16. câmbio USD-BRL'!O288/'16. câmbio USD-BRL'!O287)^-1-1</f>
        <v>6.9965074143855333E-2</v>
      </c>
    </row>
    <row r="493" spans="10:18" x14ac:dyDescent="0.2">
      <c r="J493" s="354">
        <v>39958</v>
      </c>
      <c r="K493">
        <v>21.445</v>
      </c>
      <c r="L493">
        <v>24.25</v>
      </c>
      <c r="M493">
        <v>21.07</v>
      </c>
      <c r="N493">
        <v>24.25</v>
      </c>
      <c r="O493">
        <v>11.606239</v>
      </c>
      <c r="P493">
        <v>27718600</v>
      </c>
      <c r="R493" s="273">
        <f>(O493/O492)*('16. câmbio USD-BRL'!O289/'16. câmbio USD-BRL'!O288)^-1-1</f>
        <v>0.19547125734049908</v>
      </c>
    </row>
    <row r="494" spans="10:18" x14ac:dyDescent="0.2">
      <c r="J494" s="354">
        <v>39965</v>
      </c>
      <c r="K494">
        <v>24.68</v>
      </c>
      <c r="L494">
        <v>25.74</v>
      </c>
      <c r="M494">
        <v>23.174999</v>
      </c>
      <c r="N494">
        <v>24.325001</v>
      </c>
      <c r="O494">
        <v>11.642137</v>
      </c>
      <c r="P494">
        <v>30942400</v>
      </c>
      <c r="R494" s="273">
        <f>(O494/O493)*('16. câmbio USD-BRL'!O290/'16. câmbio USD-BRL'!O289)^-1-1</f>
        <v>7.6133226477872462E-3</v>
      </c>
    </row>
    <row r="495" spans="10:18" x14ac:dyDescent="0.2">
      <c r="J495" s="354">
        <v>39972</v>
      </c>
      <c r="K495">
        <v>24</v>
      </c>
      <c r="L495">
        <v>24.809999000000001</v>
      </c>
      <c r="M495">
        <v>23.5</v>
      </c>
      <c r="N495">
        <v>24.15</v>
      </c>
      <c r="O495">
        <v>11.558379</v>
      </c>
      <c r="P495">
        <v>16650200</v>
      </c>
      <c r="R495" s="273">
        <f>(O495/O494)*('16. câmbio USD-BRL'!O291/'16. câmbio USD-BRL'!O290)^-1-1</f>
        <v>-1.3449498434737528E-2</v>
      </c>
    </row>
    <row r="496" spans="10:18" x14ac:dyDescent="0.2">
      <c r="J496" s="354">
        <v>39979</v>
      </c>
      <c r="K496">
        <v>23.704999999999998</v>
      </c>
      <c r="L496">
        <v>23.799999</v>
      </c>
      <c r="M496">
        <v>21.559999000000001</v>
      </c>
      <c r="N496">
        <v>22.07</v>
      </c>
      <c r="O496">
        <v>10.562875999999999</v>
      </c>
      <c r="P496">
        <v>24959600</v>
      </c>
      <c r="R496" s="273">
        <f>(O496/O495)*('16. câmbio USD-BRL'!O292/'16. câmbio USD-BRL'!O291)^-1-1</f>
        <v>-7.7239385603653732E-2</v>
      </c>
    </row>
    <row r="497" spans="10:18" x14ac:dyDescent="0.2">
      <c r="J497" s="354">
        <v>39986</v>
      </c>
      <c r="K497">
        <v>21.82</v>
      </c>
      <c r="L497">
        <v>22.65</v>
      </c>
      <c r="M497">
        <v>20.655000999999999</v>
      </c>
      <c r="N497">
        <v>22.325001</v>
      </c>
      <c r="O497">
        <v>10.684922</v>
      </c>
      <c r="P497">
        <v>25830200</v>
      </c>
      <c r="R497" s="273">
        <f>(O497/O496)*('16. câmbio USD-BRL'!O293/'16. câmbio USD-BRL'!O292)^-1-1</f>
        <v>1.5826907966606907E-2</v>
      </c>
    </row>
    <row r="498" spans="10:18" x14ac:dyDescent="0.2">
      <c r="J498" s="354">
        <v>39993</v>
      </c>
      <c r="K498">
        <v>22.360001</v>
      </c>
      <c r="L498">
        <v>22.620000999999998</v>
      </c>
      <c r="M498">
        <v>21.049999</v>
      </c>
      <c r="N498">
        <v>21.264999</v>
      </c>
      <c r="O498">
        <v>10.177598</v>
      </c>
      <c r="P498">
        <v>17667400</v>
      </c>
      <c r="R498" s="273">
        <f>(O498/O497)*('16. câmbio USD-BRL'!O294/'16. câmbio USD-BRL'!O293)^-1-1</f>
        <v>-5.2134614574889215E-2</v>
      </c>
    </row>
    <row r="499" spans="10:18" x14ac:dyDescent="0.2">
      <c r="J499" s="354">
        <v>40000</v>
      </c>
      <c r="K499">
        <v>20.799999</v>
      </c>
      <c r="L499">
        <v>21.16</v>
      </c>
      <c r="M499">
        <v>19.899999999999999</v>
      </c>
      <c r="N499">
        <v>20.25</v>
      </c>
      <c r="O499">
        <v>9.6918109999999995</v>
      </c>
      <c r="P499">
        <v>18944000</v>
      </c>
      <c r="R499" s="273">
        <f>(O499/O498)*('16. câmbio USD-BRL'!O295/'16. câmbio USD-BRL'!O294)^-1-1</f>
        <v>-7.7350043455918449E-2</v>
      </c>
    </row>
    <row r="500" spans="10:18" x14ac:dyDescent="0.2">
      <c r="J500" s="354">
        <v>40007</v>
      </c>
      <c r="K500">
        <v>20.605</v>
      </c>
      <c r="L500">
        <v>22.035</v>
      </c>
      <c r="M500">
        <v>19.549999</v>
      </c>
      <c r="N500">
        <v>21.844999000000001</v>
      </c>
      <c r="O500">
        <v>10.45519</v>
      </c>
      <c r="P500">
        <v>29044200</v>
      </c>
      <c r="R500" s="273">
        <f>(O500/O499)*('16. câmbio USD-BRL'!O296/'16. câmbio USD-BRL'!O295)^-1-1</f>
        <v>0.10050201326221031</v>
      </c>
    </row>
    <row r="501" spans="10:18" x14ac:dyDescent="0.2">
      <c r="J501" s="354">
        <v>40014</v>
      </c>
      <c r="K501">
        <v>22.299999</v>
      </c>
      <c r="L501">
        <v>23.9</v>
      </c>
      <c r="M501">
        <v>22.105</v>
      </c>
      <c r="N501">
        <v>23.424999</v>
      </c>
      <c r="O501">
        <v>11.21139</v>
      </c>
      <c r="P501">
        <v>26856000</v>
      </c>
      <c r="R501" s="273">
        <f>(O501/O500)*('16. câmbio USD-BRL'!O297/'16. câmbio USD-BRL'!O296)^-1-1</f>
        <v>9.0391428170685018E-2</v>
      </c>
    </row>
    <row r="502" spans="10:18" x14ac:dyDescent="0.2">
      <c r="J502" s="354">
        <v>40021</v>
      </c>
      <c r="K502">
        <v>23.52</v>
      </c>
      <c r="L502">
        <v>24.200001</v>
      </c>
      <c r="M502">
        <v>23.055</v>
      </c>
      <c r="N502">
        <v>24.030000999999999</v>
      </c>
      <c r="O502">
        <v>11.500949</v>
      </c>
      <c r="P502">
        <v>25224800</v>
      </c>
      <c r="R502" s="273">
        <f>(O502/O501)*('16. câmbio USD-BRL'!O298/'16. câmbio USD-BRL'!O297)^-1-1</f>
        <v>4.2507781704005598E-2</v>
      </c>
    </row>
    <row r="503" spans="10:18" x14ac:dyDescent="0.2">
      <c r="J503" s="354">
        <v>40028</v>
      </c>
      <c r="K503">
        <v>24.305</v>
      </c>
      <c r="L503">
        <v>25.280000999999999</v>
      </c>
      <c r="M503">
        <v>23.799999</v>
      </c>
      <c r="N503">
        <v>25.049999</v>
      </c>
      <c r="O503">
        <v>11.989129999999999</v>
      </c>
      <c r="P503">
        <v>25087800</v>
      </c>
      <c r="R503" s="273">
        <f>(O503/O502)*('16. câmbio USD-BRL'!O299/'16. câmbio USD-BRL'!O298)^-1-1</f>
        <v>9.6959439286072424E-2</v>
      </c>
    </row>
    <row r="504" spans="10:18" x14ac:dyDescent="0.2">
      <c r="J504" s="354">
        <v>40035</v>
      </c>
      <c r="K504">
        <v>25</v>
      </c>
      <c r="L504">
        <v>25.795000000000002</v>
      </c>
      <c r="M504">
        <v>24.450001</v>
      </c>
      <c r="N504">
        <v>25.1</v>
      </c>
      <c r="O504">
        <v>12.013059</v>
      </c>
      <c r="P504">
        <v>28299200</v>
      </c>
      <c r="R504" s="273">
        <f>(O504/O503)*('16. câmbio USD-BRL'!O300/'16. câmbio USD-BRL'!O299)^-1-1</f>
        <v>-1.4258708735885528E-2</v>
      </c>
    </row>
    <row r="505" spans="10:18" x14ac:dyDescent="0.2">
      <c r="J505" s="354">
        <v>40042</v>
      </c>
      <c r="K505">
        <v>24.219999000000001</v>
      </c>
      <c r="L505">
        <v>25.495000999999998</v>
      </c>
      <c r="M505">
        <v>23.959999</v>
      </c>
      <c r="N505">
        <v>25.15</v>
      </c>
      <c r="O505">
        <v>12.036989999999999</v>
      </c>
      <c r="P505">
        <v>19926800</v>
      </c>
      <c r="R505" s="273">
        <f>(O505/O504)*('16. câmbio USD-BRL'!O301/'16. câmbio USD-BRL'!O300)^-1-1</f>
        <v>1.4447239895351682E-2</v>
      </c>
    </row>
    <row r="506" spans="10:18" x14ac:dyDescent="0.2">
      <c r="J506" s="354">
        <v>40049</v>
      </c>
      <c r="K506">
        <v>25.6</v>
      </c>
      <c r="L506">
        <v>26.139999</v>
      </c>
      <c r="M506">
        <v>24.674999</v>
      </c>
      <c r="N506">
        <v>25.209999</v>
      </c>
      <c r="O506">
        <v>12.065704</v>
      </c>
      <c r="P506">
        <v>22962800</v>
      </c>
      <c r="R506" s="273">
        <f>(O506/O505)*('16. câmbio USD-BRL'!O302/'16. câmbio USD-BRL'!O301)^-1-1</f>
        <v>-2.6896830264439453E-2</v>
      </c>
    </row>
    <row r="507" spans="10:18" x14ac:dyDescent="0.2">
      <c r="J507" s="354">
        <v>40056</v>
      </c>
      <c r="K507">
        <v>24.905000999999999</v>
      </c>
      <c r="L507">
        <v>25.07</v>
      </c>
      <c r="M507">
        <v>24.059999000000001</v>
      </c>
      <c r="N507">
        <v>25.024999999999999</v>
      </c>
      <c r="O507">
        <v>11.97716</v>
      </c>
      <c r="P507">
        <v>18414000</v>
      </c>
      <c r="R507" s="273">
        <f>(O507/O506)*('16. câmbio USD-BRL'!O303/'16. câmbio USD-BRL'!O302)^-1-1</f>
        <v>-1.3800424909398701E-2</v>
      </c>
    </row>
    <row r="508" spans="10:18" x14ac:dyDescent="0.2">
      <c r="J508" s="354">
        <v>40063</v>
      </c>
      <c r="K508">
        <v>25.024999999999999</v>
      </c>
      <c r="L508">
        <v>25.524999999999999</v>
      </c>
      <c r="M508">
        <v>24.950001</v>
      </c>
      <c r="N508">
        <v>25.35</v>
      </c>
      <c r="O508">
        <v>12.132709999999999</v>
      </c>
      <c r="P508">
        <v>12797000</v>
      </c>
      <c r="R508" s="273">
        <f>(O508/O507)*('16. câmbio USD-BRL'!O304/'16. câmbio USD-BRL'!O303)^-1-1</f>
        <v>3.2535603824835002E-2</v>
      </c>
    </row>
    <row r="509" spans="10:18" x14ac:dyDescent="0.2">
      <c r="J509" s="354">
        <v>40070</v>
      </c>
      <c r="K509">
        <v>24.975000000000001</v>
      </c>
      <c r="L509">
        <v>27.485001</v>
      </c>
      <c r="M509">
        <v>24.924999</v>
      </c>
      <c r="N509">
        <v>27.485001</v>
      </c>
      <c r="O509">
        <v>13.154540000000001</v>
      </c>
      <c r="P509">
        <v>22493800</v>
      </c>
      <c r="R509" s="273">
        <f>(O509/O508)*('16. câmbio USD-BRL'!O305/'16. câmbio USD-BRL'!O304)^-1-1</f>
        <v>0.1145420520628242</v>
      </c>
    </row>
    <row r="510" spans="10:18" x14ac:dyDescent="0.2">
      <c r="J510" s="354">
        <v>40077</v>
      </c>
      <c r="K510">
        <v>27.15</v>
      </c>
      <c r="L510">
        <v>27.9</v>
      </c>
      <c r="M510">
        <v>26.25</v>
      </c>
      <c r="N510">
        <v>26.355</v>
      </c>
      <c r="O510">
        <v>12.613708000000001</v>
      </c>
      <c r="P510">
        <v>22855400</v>
      </c>
      <c r="R510" s="273">
        <f>(O510/O509)*('16. câmbio USD-BRL'!O306/'16. câmbio USD-BRL'!O305)^-1-1</f>
        <v>-3.6183144409843604E-2</v>
      </c>
    </row>
    <row r="511" spans="10:18" x14ac:dyDescent="0.2">
      <c r="J511" s="354">
        <v>40084</v>
      </c>
      <c r="K511">
        <v>26.5</v>
      </c>
      <c r="L511">
        <v>27.385000000000002</v>
      </c>
      <c r="M511">
        <v>26</v>
      </c>
      <c r="N511">
        <v>26.774999999999999</v>
      </c>
      <c r="O511">
        <v>12.814726</v>
      </c>
      <c r="P511">
        <v>19135800</v>
      </c>
      <c r="R511" s="273">
        <f>(O511/O510)*('16. câmbio USD-BRL'!O307/'16. câmbio USD-BRL'!O306)^-1-1</f>
        <v>2.5900655591560628E-2</v>
      </c>
    </row>
    <row r="512" spans="10:18" x14ac:dyDescent="0.2">
      <c r="J512" s="354">
        <v>40091</v>
      </c>
      <c r="K512">
        <v>27.274999999999999</v>
      </c>
      <c r="L512">
        <v>28.549999</v>
      </c>
      <c r="M512">
        <v>26.950001</v>
      </c>
      <c r="N512">
        <v>28.4</v>
      </c>
      <c r="O512">
        <v>13.592464</v>
      </c>
      <c r="P512">
        <v>16885600</v>
      </c>
      <c r="R512" s="273">
        <f>(O512/O511)*('16. câmbio USD-BRL'!O308/'16. câmbio USD-BRL'!O307)^-1-1</f>
        <v>8.9478896501716143E-2</v>
      </c>
    </row>
    <row r="513" spans="10:18" x14ac:dyDescent="0.2">
      <c r="J513" s="354">
        <v>40098</v>
      </c>
      <c r="K513">
        <v>28.4</v>
      </c>
      <c r="L513">
        <v>30.954999999999998</v>
      </c>
      <c r="M513">
        <v>28.315000999999999</v>
      </c>
      <c r="N513">
        <v>30.375</v>
      </c>
      <c r="O513">
        <v>14.537713999999999</v>
      </c>
      <c r="P513">
        <v>15274600</v>
      </c>
      <c r="R513" s="273">
        <f>(O513/O512)*('16. câmbio USD-BRL'!O309/'16. câmbio USD-BRL'!O308)^-1-1</f>
        <v>8.7588117580497116E-2</v>
      </c>
    </row>
    <row r="514" spans="10:18" x14ac:dyDescent="0.2">
      <c r="J514" s="354">
        <v>40105</v>
      </c>
      <c r="K514">
        <v>30.42</v>
      </c>
      <c r="L514">
        <v>32.849997999999999</v>
      </c>
      <c r="M514">
        <v>29.959999</v>
      </c>
      <c r="N514">
        <v>31.48</v>
      </c>
      <c r="O514">
        <v>15.066578</v>
      </c>
      <c r="P514">
        <v>18497200</v>
      </c>
      <c r="R514" s="273">
        <f>(O514/O513)*('16. câmbio USD-BRL'!O310/'16. câmbio USD-BRL'!O309)^-1-1</f>
        <v>3.3451839468499056E-2</v>
      </c>
    </row>
    <row r="515" spans="10:18" x14ac:dyDescent="0.2">
      <c r="J515" s="354">
        <v>40112</v>
      </c>
      <c r="K515">
        <v>31.65</v>
      </c>
      <c r="L515">
        <v>31.945</v>
      </c>
      <c r="M515">
        <v>28.055</v>
      </c>
      <c r="N515">
        <v>29.15</v>
      </c>
      <c r="O515">
        <v>13.951420000000001</v>
      </c>
      <c r="P515">
        <v>21985000</v>
      </c>
      <c r="R515" s="273">
        <f>(O515/O514)*('16. câmbio USD-BRL'!O311/'16. câmbio USD-BRL'!O310)^-1-1</f>
        <v>-0.1203198656313379</v>
      </c>
    </row>
    <row r="516" spans="10:18" x14ac:dyDescent="0.2">
      <c r="J516" s="354">
        <v>40119</v>
      </c>
      <c r="K516">
        <v>29.15</v>
      </c>
      <c r="L516">
        <v>30.655000999999999</v>
      </c>
      <c r="M516">
        <v>28.35</v>
      </c>
      <c r="N516">
        <v>29.85</v>
      </c>
      <c r="O516">
        <v>14.286445000000001</v>
      </c>
      <c r="P516">
        <v>17222400</v>
      </c>
      <c r="R516" s="273">
        <f>(O516/O515)*('16. câmbio USD-BRL'!O312/'16. câmbio USD-BRL'!O311)^-1-1</f>
        <v>4.5925702718347727E-2</v>
      </c>
    </row>
    <row r="517" spans="10:18" x14ac:dyDescent="0.2">
      <c r="J517" s="354">
        <v>40126</v>
      </c>
      <c r="K517">
        <v>30.355</v>
      </c>
      <c r="L517">
        <v>30.504999000000002</v>
      </c>
      <c r="M517">
        <v>28.895</v>
      </c>
      <c r="N517">
        <v>29.375</v>
      </c>
      <c r="O517">
        <v>14.059106</v>
      </c>
      <c r="P517">
        <v>21524600</v>
      </c>
      <c r="R517" s="273">
        <f>(O517/O516)*('16. câmbio USD-BRL'!O313/'16. câmbio USD-BRL'!O312)^-1-1</f>
        <v>-2.0652339749799853E-2</v>
      </c>
    </row>
    <row r="518" spans="10:18" x14ac:dyDescent="0.2">
      <c r="J518" s="354">
        <v>40133</v>
      </c>
      <c r="K518">
        <v>30.145</v>
      </c>
      <c r="L518">
        <v>30.780000999999999</v>
      </c>
      <c r="M518">
        <v>29.5</v>
      </c>
      <c r="N518">
        <v>30.110001</v>
      </c>
      <c r="O518">
        <v>14.410883</v>
      </c>
      <c r="P518">
        <v>16204600</v>
      </c>
      <c r="R518" s="273">
        <f>(O518/O517)*('16. câmbio USD-BRL'!O314/'16. câmbio USD-BRL'!O313)^-1-1</f>
        <v>1.9460812017361162E-2</v>
      </c>
    </row>
    <row r="519" spans="10:18" x14ac:dyDescent="0.2">
      <c r="J519" s="354">
        <v>40140</v>
      </c>
      <c r="K519">
        <v>30.495000999999998</v>
      </c>
      <c r="L519">
        <v>30.645</v>
      </c>
      <c r="M519">
        <v>28.754999000000002</v>
      </c>
      <c r="N519">
        <v>29.325001</v>
      </c>
      <c r="O519">
        <v>14.035178</v>
      </c>
      <c r="P519">
        <v>16783600</v>
      </c>
      <c r="R519" s="273">
        <f>(O519/O518)*('16. câmbio USD-BRL'!O315/'16. câmbio USD-BRL'!O314)^-1-1</f>
        <v>-2.7474034946518899E-2</v>
      </c>
    </row>
    <row r="520" spans="10:18" x14ac:dyDescent="0.2">
      <c r="J520" s="354">
        <v>40147</v>
      </c>
      <c r="K520">
        <v>29.4</v>
      </c>
      <c r="L520">
        <v>30.674999</v>
      </c>
      <c r="M520">
        <v>29.15</v>
      </c>
      <c r="N520">
        <v>29.9</v>
      </c>
      <c r="O520">
        <v>14.310376</v>
      </c>
      <c r="P520">
        <v>23922400</v>
      </c>
      <c r="R520" s="273">
        <f>(O520/O519)*('16. câmbio USD-BRL'!O316/'16. câmbio USD-BRL'!O315)^-1-1</f>
        <v>2.7184497098421856E-2</v>
      </c>
    </row>
    <row r="521" spans="10:18" x14ac:dyDescent="0.2">
      <c r="J521" s="354">
        <v>40154</v>
      </c>
      <c r="K521">
        <v>30.004999000000002</v>
      </c>
      <c r="L521">
        <v>30.25</v>
      </c>
      <c r="M521">
        <v>29.355</v>
      </c>
      <c r="N521">
        <v>29.950001</v>
      </c>
      <c r="O521">
        <v>14.334308999999999</v>
      </c>
      <c r="P521">
        <v>16030200</v>
      </c>
      <c r="R521" s="273">
        <f>(O521/O520)*('16. câmbio USD-BRL'!O317/'16. câmbio USD-BRL'!O316)^-1-1</f>
        <v>8.1102824314660538E-3</v>
      </c>
    </row>
    <row r="522" spans="10:18" x14ac:dyDescent="0.2">
      <c r="J522" s="354">
        <v>40161</v>
      </c>
      <c r="K522">
        <v>30.125</v>
      </c>
      <c r="L522">
        <v>30.245000999999998</v>
      </c>
      <c r="M522">
        <v>27.395</v>
      </c>
      <c r="N522">
        <v>27.704999999999998</v>
      </c>
      <c r="O522">
        <v>13.259831999999999</v>
      </c>
      <c r="P522">
        <v>28640400</v>
      </c>
      <c r="R522" s="273">
        <f>(O522/O521)*('16. câmbio USD-BRL'!O318/'16. câmbio USD-BRL'!O317)^-1-1</f>
        <v>-0.11379306878870599</v>
      </c>
    </row>
    <row r="523" spans="10:18" x14ac:dyDescent="0.2">
      <c r="J523" s="354">
        <v>40168</v>
      </c>
      <c r="K523">
        <v>28.075001</v>
      </c>
      <c r="L523">
        <v>28.075001</v>
      </c>
      <c r="M523">
        <v>26.625</v>
      </c>
      <c r="N523">
        <v>27.295000000000002</v>
      </c>
      <c r="O523">
        <v>13.230807</v>
      </c>
      <c r="P523">
        <v>19129200</v>
      </c>
      <c r="R523" s="273">
        <f>(O523/O522)*('16. câmbio USD-BRL'!O319/'16. câmbio USD-BRL'!O318)^-1-1</f>
        <v>3.2068929796860823E-2</v>
      </c>
    </row>
    <row r="524" spans="10:18" x14ac:dyDescent="0.2">
      <c r="J524" s="354">
        <v>40175</v>
      </c>
      <c r="K524">
        <v>27.540001</v>
      </c>
      <c r="L524">
        <v>27.73</v>
      </c>
      <c r="M524">
        <v>27.385000000000002</v>
      </c>
      <c r="N524">
        <v>27.614999999999998</v>
      </c>
      <c r="O524">
        <v>13.385918</v>
      </c>
      <c r="P524">
        <v>6015000</v>
      </c>
      <c r="R524" s="273">
        <f>(O524/O523)*('16. câmbio USD-BRL'!O320/'16. câmbio USD-BRL'!O319)^-1-1</f>
        <v>2.5523703033005773E-3</v>
      </c>
    </row>
    <row r="525" spans="10:18" x14ac:dyDescent="0.2">
      <c r="J525" s="354">
        <v>40182</v>
      </c>
      <c r="K525">
        <v>28.004999000000002</v>
      </c>
      <c r="L525">
        <v>29.024999999999999</v>
      </c>
      <c r="M525">
        <v>27.954999999999998</v>
      </c>
      <c r="N525">
        <v>28.735001</v>
      </c>
      <c r="O525">
        <v>13.928823</v>
      </c>
      <c r="P525">
        <v>26629800</v>
      </c>
      <c r="R525" s="273">
        <f>(O525/O524)*('16. câmbio USD-BRL'!O321/'16. câmbio USD-BRL'!O320)^-1-1</f>
        <v>4.716654485199312E-2</v>
      </c>
    </row>
    <row r="526" spans="10:18" x14ac:dyDescent="0.2">
      <c r="J526" s="354">
        <v>40189</v>
      </c>
      <c r="K526">
        <v>29.155000999999999</v>
      </c>
      <c r="L526">
        <v>29.695</v>
      </c>
      <c r="M526">
        <v>28.450001</v>
      </c>
      <c r="N526">
        <v>28.879999000000002</v>
      </c>
      <c r="O526">
        <v>13.999109000000001</v>
      </c>
      <c r="P526">
        <v>22374200</v>
      </c>
      <c r="R526" s="273">
        <f>(O526/O525)*('16. câmbio USD-BRL'!O322/'16. câmbio USD-BRL'!O321)^-1-1</f>
        <v>5.5105222592526371E-3</v>
      </c>
    </row>
    <row r="527" spans="10:18" x14ac:dyDescent="0.2">
      <c r="J527" s="354">
        <v>40196</v>
      </c>
      <c r="K527">
        <v>28.774999999999999</v>
      </c>
      <c r="L527">
        <v>29.4</v>
      </c>
      <c r="M527">
        <v>26.68</v>
      </c>
      <c r="N527">
        <v>26.799999</v>
      </c>
      <c r="O527">
        <v>12.990866</v>
      </c>
      <c r="P527">
        <v>20185000</v>
      </c>
      <c r="R527" s="273">
        <f>(O527/O526)*('16. câmbio USD-BRL'!O323/'16. câmbio USD-BRL'!O322)^-1-1</f>
        <v>-0.1167652888867724</v>
      </c>
    </row>
    <row r="528" spans="10:18" x14ac:dyDescent="0.2">
      <c r="J528" s="354">
        <v>40203</v>
      </c>
      <c r="K528">
        <v>26.799999</v>
      </c>
      <c r="L528">
        <v>27.85</v>
      </c>
      <c r="M528">
        <v>26.004999000000002</v>
      </c>
      <c r="N528">
        <v>27.5</v>
      </c>
      <c r="O528">
        <v>13.330177000000001</v>
      </c>
      <c r="P528">
        <v>17375200</v>
      </c>
      <c r="R528" s="273">
        <f>(O528/O527)*('16. câmbio USD-BRL'!O324/'16. câmbio USD-BRL'!O323)^-1-1</f>
        <v>1.4683162481144763E-2</v>
      </c>
    </row>
    <row r="529" spans="10:18" x14ac:dyDescent="0.2">
      <c r="J529" s="354">
        <v>40210</v>
      </c>
      <c r="K529">
        <v>27.774999999999999</v>
      </c>
      <c r="L529">
        <v>28.65</v>
      </c>
      <c r="M529">
        <v>26.370000999999998</v>
      </c>
      <c r="N529">
        <v>27.15</v>
      </c>
      <c r="O529">
        <v>13.16052</v>
      </c>
      <c r="P529">
        <v>21301800</v>
      </c>
      <c r="R529" s="273">
        <f>(O529/O528)*('16. câmbio USD-BRL'!O325/'16. câmbio USD-BRL'!O324)^-1-1</f>
        <v>-9.5503535876548806E-3</v>
      </c>
    </row>
    <row r="530" spans="10:18" x14ac:dyDescent="0.2">
      <c r="J530" s="354">
        <v>40217</v>
      </c>
      <c r="K530">
        <v>27.15</v>
      </c>
      <c r="L530">
        <v>29.165001</v>
      </c>
      <c r="M530">
        <v>26.9</v>
      </c>
      <c r="N530">
        <v>28.9</v>
      </c>
      <c r="O530">
        <v>14.008804</v>
      </c>
      <c r="P530">
        <v>24345000</v>
      </c>
      <c r="R530" s="273">
        <f>(O530/O529)*('16. câmbio USD-BRL'!O326/'16. câmbio USD-BRL'!O325)^-1-1</f>
        <v>7.7384158272443049E-2</v>
      </c>
    </row>
    <row r="531" spans="10:18" x14ac:dyDescent="0.2">
      <c r="J531" s="354">
        <v>40224</v>
      </c>
      <c r="K531">
        <v>28.9</v>
      </c>
      <c r="L531">
        <v>29.795000000000002</v>
      </c>
      <c r="M531">
        <v>28.9</v>
      </c>
      <c r="N531">
        <v>29.584999</v>
      </c>
      <c r="O531">
        <v>14.340844000000001</v>
      </c>
      <c r="P531">
        <v>9434800</v>
      </c>
      <c r="R531" s="273">
        <f>(O531/O530)*('16. câmbio USD-BRL'!O327/'16. câmbio USD-BRL'!O326)^-1-1</f>
        <v>4.2169609585277046E-2</v>
      </c>
    </row>
    <row r="532" spans="10:18" x14ac:dyDescent="0.2">
      <c r="J532" s="354">
        <v>40231</v>
      </c>
      <c r="K532">
        <v>29.700001</v>
      </c>
      <c r="L532">
        <v>29.75</v>
      </c>
      <c r="M532">
        <v>27.985001</v>
      </c>
      <c r="N532">
        <v>29.575001</v>
      </c>
      <c r="O532">
        <v>14.335995</v>
      </c>
      <c r="P532">
        <v>25784400</v>
      </c>
      <c r="R532" s="273">
        <f>(O532/O531)*('16. câmbio USD-BRL'!O328/'16. câmbio USD-BRL'!O327)^-1-1</f>
        <v>1.7037358554397919E-2</v>
      </c>
    </row>
    <row r="533" spans="10:18" x14ac:dyDescent="0.2">
      <c r="J533" s="354">
        <v>40238</v>
      </c>
      <c r="K533">
        <v>29.92</v>
      </c>
      <c r="L533">
        <v>31.299999</v>
      </c>
      <c r="M533">
        <v>29.495000999999998</v>
      </c>
      <c r="N533">
        <v>31.139999</v>
      </c>
      <c r="O533">
        <v>15.094609</v>
      </c>
      <c r="P533">
        <v>24759400</v>
      </c>
      <c r="R533" s="273">
        <f>(O533/O532)*('16. câmbio USD-BRL'!O329/'16. câmbio USD-BRL'!O328)^-1-1</f>
        <v>6.6021049848369984E-2</v>
      </c>
    </row>
    <row r="534" spans="10:18" x14ac:dyDescent="0.2">
      <c r="J534" s="354">
        <v>40245</v>
      </c>
      <c r="K534">
        <v>31.35</v>
      </c>
      <c r="L534">
        <v>34.349997999999999</v>
      </c>
      <c r="M534">
        <v>31.32</v>
      </c>
      <c r="N534">
        <v>34.075001</v>
      </c>
      <c r="O534">
        <v>16.517299999999999</v>
      </c>
      <c r="P534">
        <v>37910400</v>
      </c>
      <c r="R534" s="273">
        <f>(O534/O533)*('16. câmbio USD-BRL'!O330/'16. câmbio USD-BRL'!O329)^-1-1</f>
        <v>0.10261294524075115</v>
      </c>
    </row>
    <row r="535" spans="10:18" x14ac:dyDescent="0.2">
      <c r="J535" s="354">
        <v>40252</v>
      </c>
      <c r="K535">
        <v>33.799999</v>
      </c>
      <c r="L535">
        <v>34.595001000000003</v>
      </c>
      <c r="M535">
        <v>32.775002000000001</v>
      </c>
      <c r="N535">
        <v>33.049999</v>
      </c>
      <c r="O535">
        <v>16.020447000000001</v>
      </c>
      <c r="P535">
        <v>21346600</v>
      </c>
      <c r="R535" s="273">
        <f>(O535/O534)*('16. câmbio USD-BRL'!O331/'16. câmbio USD-BRL'!O330)^-1-1</f>
        <v>-4.7852989846354332E-2</v>
      </c>
    </row>
    <row r="536" spans="10:18" x14ac:dyDescent="0.2">
      <c r="J536" s="354">
        <v>40259</v>
      </c>
      <c r="K536">
        <v>32.805</v>
      </c>
      <c r="L536">
        <v>35.130001</v>
      </c>
      <c r="M536">
        <v>32.610000999999997</v>
      </c>
      <c r="N536">
        <v>34.790000999999997</v>
      </c>
      <c r="O536">
        <v>16.863886000000001</v>
      </c>
      <c r="P536">
        <v>20199200</v>
      </c>
      <c r="R536" s="273">
        <f>(O536/O535)*('16. câmbio USD-BRL'!O332/'16. câmbio USD-BRL'!O331)^-1-1</f>
        <v>3.7264497169080979E-2</v>
      </c>
    </row>
    <row r="537" spans="10:18" x14ac:dyDescent="0.2">
      <c r="J537" s="354">
        <v>40266</v>
      </c>
      <c r="K537">
        <v>35</v>
      </c>
      <c r="L537">
        <v>36.75</v>
      </c>
      <c r="M537">
        <v>34.959999000000003</v>
      </c>
      <c r="N537">
        <v>36.650002000000001</v>
      </c>
      <c r="O537">
        <v>17.765488000000001</v>
      </c>
      <c r="P537">
        <v>15901200</v>
      </c>
      <c r="R537" s="273">
        <f>(O537/O536)*('16. câmbio USD-BRL'!O333/'16. câmbio USD-BRL'!O332)^-1-1</f>
        <v>8.6886321022962898E-2</v>
      </c>
    </row>
    <row r="538" spans="10:18" x14ac:dyDescent="0.2">
      <c r="J538" s="354">
        <v>40273</v>
      </c>
      <c r="K538">
        <v>36.75</v>
      </c>
      <c r="L538">
        <v>36.979999999999997</v>
      </c>
      <c r="M538">
        <v>34.700001</v>
      </c>
      <c r="N538">
        <v>35.799999</v>
      </c>
      <c r="O538">
        <v>17.353467999999999</v>
      </c>
      <c r="P538">
        <v>11591800</v>
      </c>
      <c r="R538" s="273">
        <f>(O538/O537)*('16. câmbio USD-BRL'!O334/'16. câmbio USD-BRL'!O333)^-1-1</f>
        <v>-5.2535002012108478E-2</v>
      </c>
    </row>
    <row r="539" spans="10:18" x14ac:dyDescent="0.2">
      <c r="J539" s="354">
        <v>40280</v>
      </c>
      <c r="K539">
        <v>35.799999</v>
      </c>
      <c r="L539">
        <v>35.799999</v>
      </c>
      <c r="M539">
        <v>35.799999</v>
      </c>
      <c r="N539">
        <v>35.799999</v>
      </c>
      <c r="O539">
        <v>17.353467999999999</v>
      </c>
      <c r="P539">
        <v>0</v>
      </c>
      <c r="R539" s="273">
        <f>(O539/O538)*('16. câmbio USD-BRL'!O335/'16. câmbio USD-BRL'!O334)^-1-1</f>
        <v>7.4520734967857827E-3</v>
      </c>
    </row>
    <row r="540" spans="10:18" x14ac:dyDescent="0.2">
      <c r="J540" s="354">
        <v>40287</v>
      </c>
      <c r="K540">
        <v>35.799999</v>
      </c>
      <c r="L540">
        <v>35.799999</v>
      </c>
      <c r="M540">
        <v>35.799999</v>
      </c>
      <c r="N540">
        <v>35.799999</v>
      </c>
      <c r="O540">
        <v>17.353467999999999</v>
      </c>
      <c r="P540">
        <v>0</v>
      </c>
      <c r="R540" s="273">
        <f>(O540/O539)*('16. câmbio USD-BRL'!O336/'16. câmbio USD-BRL'!O335)^-1-1</f>
        <v>-2.7796687088722516E-3</v>
      </c>
    </row>
    <row r="541" spans="10:18" x14ac:dyDescent="0.2">
      <c r="J541" s="354">
        <v>40294</v>
      </c>
      <c r="K541">
        <v>35.799999</v>
      </c>
      <c r="L541">
        <v>35.799999</v>
      </c>
      <c r="M541">
        <v>35.799999</v>
      </c>
      <c r="N541">
        <v>35.799999</v>
      </c>
      <c r="O541">
        <v>17.353467999999999</v>
      </c>
      <c r="P541">
        <v>0</v>
      </c>
      <c r="R541" s="273">
        <f>(O541/O540)*('16. câmbio USD-BRL'!O337/'16. câmbio USD-BRL'!O336)^-1-1</f>
        <v>5.178997613365155E-2</v>
      </c>
    </row>
    <row r="542" spans="10:18" x14ac:dyDescent="0.2">
      <c r="J542" s="354">
        <v>40301</v>
      </c>
      <c r="K542">
        <v>35.799999</v>
      </c>
      <c r="L542">
        <v>35.799999</v>
      </c>
      <c r="M542">
        <v>35.799999</v>
      </c>
      <c r="N542">
        <v>35.799999</v>
      </c>
      <c r="O542">
        <v>17.353467999999999</v>
      </c>
      <c r="P542">
        <v>0</v>
      </c>
      <c r="R542" s="273">
        <f>(O542/O541)*('16. câmbio USD-BRL'!O338/'16. câmbio USD-BRL'!O337)^-1-1</f>
        <v>-6.3320851729726679E-2</v>
      </c>
    </row>
    <row r="543" spans="10:18" x14ac:dyDescent="0.2">
      <c r="J543" s="354">
        <v>40308</v>
      </c>
      <c r="K543">
        <v>35.799999</v>
      </c>
      <c r="L543">
        <v>35.799999</v>
      </c>
      <c r="M543">
        <v>35.799999</v>
      </c>
      <c r="N543">
        <v>35.799999</v>
      </c>
      <c r="O543">
        <v>17.86693</v>
      </c>
      <c r="P543">
        <v>0</v>
      </c>
      <c r="R543" s="273">
        <f>(O543/O542)*('16. câmbio USD-BRL'!O339/'16. câmbio USD-BRL'!O338)^-1-1</f>
        <v>4.8874169252894228E-2</v>
      </c>
    </row>
    <row r="544" spans="10:18" x14ac:dyDescent="0.2">
      <c r="J544" s="354">
        <v>40315</v>
      </c>
      <c r="K544">
        <v>35.799999</v>
      </c>
      <c r="L544">
        <v>35.799999</v>
      </c>
      <c r="M544">
        <v>35.799999</v>
      </c>
      <c r="N544">
        <v>35.799999</v>
      </c>
      <c r="O544">
        <v>17.86693</v>
      </c>
      <c r="P544">
        <v>0</v>
      </c>
      <c r="R544" s="273">
        <f>(O544/O543)*('16. câmbio USD-BRL'!O340/'16. câmbio USD-BRL'!O339)^-1-1</f>
        <v>-2.4168009333851992E-2</v>
      </c>
    </row>
    <row r="545" spans="10:18" x14ac:dyDescent="0.2">
      <c r="J545" s="354">
        <v>40322</v>
      </c>
      <c r="K545">
        <v>35.799999</v>
      </c>
      <c r="L545">
        <v>35.799999</v>
      </c>
      <c r="M545">
        <v>35.799999</v>
      </c>
      <c r="N545">
        <v>35.799999</v>
      </c>
      <c r="O545">
        <v>17.86693</v>
      </c>
      <c r="P545">
        <v>0</v>
      </c>
      <c r="R545" s="273">
        <f>(O545/O544)*('16. câmbio USD-BRL'!O341/'16. câmbio USD-BRL'!O340)^-1-1</f>
        <v>-7.9916225749558922E-3</v>
      </c>
    </row>
    <row r="546" spans="10:18" x14ac:dyDescent="0.2">
      <c r="J546" s="354">
        <v>40329</v>
      </c>
      <c r="K546">
        <v>35.799999</v>
      </c>
      <c r="L546">
        <v>35.799999</v>
      </c>
      <c r="M546">
        <v>35.799999</v>
      </c>
      <c r="N546">
        <v>35.799999</v>
      </c>
      <c r="O546">
        <v>17.86693</v>
      </c>
      <c r="P546">
        <v>0</v>
      </c>
      <c r="R546" s="273">
        <f>(O546/O545)*('16. câmbio USD-BRL'!O342/'16. câmbio USD-BRL'!O341)^-1-1</f>
        <v>1.2330525023712458E-2</v>
      </c>
    </row>
    <row r="547" spans="10:18" x14ac:dyDescent="0.2">
      <c r="J547" s="354">
        <v>40336</v>
      </c>
      <c r="K547">
        <v>35.799999</v>
      </c>
      <c r="L547">
        <v>35.799999</v>
      </c>
      <c r="M547">
        <v>25.620000999999998</v>
      </c>
      <c r="N547">
        <v>27.290001</v>
      </c>
      <c r="O547">
        <v>13.619792</v>
      </c>
      <c r="P547">
        <v>8401300</v>
      </c>
      <c r="R547" s="273">
        <f>(O547/O546)*('16. câmbio USD-BRL'!O343/'16. câmbio USD-BRL'!O342)^-1-1</f>
        <v>-0.2220842890472432</v>
      </c>
    </row>
    <row r="548" spans="10:18" x14ac:dyDescent="0.2">
      <c r="J548" s="354">
        <v>40343</v>
      </c>
      <c r="K548">
        <v>27.610001</v>
      </c>
      <c r="L548">
        <v>27.92</v>
      </c>
      <c r="M548">
        <v>26.620000999999998</v>
      </c>
      <c r="N548">
        <v>26.75</v>
      </c>
      <c r="O548">
        <v>13.350289999999999</v>
      </c>
      <c r="P548">
        <v>12463937</v>
      </c>
      <c r="R548" s="273">
        <f>(O548/O547)*('16. câmbio USD-BRL'!O344/'16. câmbio USD-BRL'!O343)^-1-1</f>
        <v>-1.8280474405156788E-3</v>
      </c>
    </row>
    <row r="549" spans="10:18" x14ac:dyDescent="0.2">
      <c r="J549" s="354">
        <v>40350</v>
      </c>
      <c r="K549">
        <v>27.549999</v>
      </c>
      <c r="L549">
        <v>28.299999</v>
      </c>
      <c r="M549">
        <v>27.1</v>
      </c>
      <c r="N549">
        <v>27.9</v>
      </c>
      <c r="O549">
        <v>13.924227999999999</v>
      </c>
      <c r="P549">
        <v>18493800</v>
      </c>
      <c r="R549" s="273">
        <f>(O549/O548)*('16. câmbio USD-BRL'!O345/'16. câmbio USD-BRL'!O344)^-1-1</f>
        <v>1.0587651654008878E-2</v>
      </c>
    </row>
    <row r="550" spans="10:18" x14ac:dyDescent="0.2">
      <c r="J550" s="354">
        <v>40357</v>
      </c>
      <c r="K550">
        <v>27.969999000000001</v>
      </c>
      <c r="L550">
        <v>28.389999</v>
      </c>
      <c r="M550">
        <v>25.9</v>
      </c>
      <c r="N550">
        <v>26.75</v>
      </c>
      <c r="O550">
        <v>13.350289999999999</v>
      </c>
      <c r="P550">
        <v>21522000</v>
      </c>
      <c r="R550" s="273">
        <f>(O550/O549)*('16. câmbio USD-BRL'!O346/'16. câmbio USD-BRL'!O345)^-1-1</f>
        <v>-1.2423593705434333E-2</v>
      </c>
    </row>
    <row r="551" spans="10:18" x14ac:dyDescent="0.2">
      <c r="J551" s="354">
        <v>40364</v>
      </c>
      <c r="K551">
        <v>26.91</v>
      </c>
      <c r="L551">
        <v>28.040001</v>
      </c>
      <c r="M551">
        <v>26.59</v>
      </c>
      <c r="N551">
        <v>27.85</v>
      </c>
      <c r="O551">
        <v>13.899272</v>
      </c>
      <c r="P551">
        <v>10061200</v>
      </c>
      <c r="R551" s="273">
        <f>(O551/O550)*('16. câmbio USD-BRL'!O347/'16. câmbio USD-BRL'!O346)^-1-1</f>
        <v>5.2449144022207017E-2</v>
      </c>
    </row>
    <row r="552" spans="10:18" x14ac:dyDescent="0.2">
      <c r="J552" s="354">
        <v>40371</v>
      </c>
      <c r="K552">
        <v>27.889999</v>
      </c>
      <c r="L552">
        <v>28.120000999999998</v>
      </c>
      <c r="M552">
        <v>25.700001</v>
      </c>
      <c r="N552">
        <v>25.85</v>
      </c>
      <c r="O552">
        <v>12.901122000000001</v>
      </c>
      <c r="P552">
        <v>19448100</v>
      </c>
      <c r="R552" s="273">
        <f>(O552/O551)*('16. câmbio USD-BRL'!O348/'16. câmbio USD-BRL'!O347)^-1-1</f>
        <v>-0.10992568452948714</v>
      </c>
    </row>
    <row r="553" spans="10:18" x14ac:dyDescent="0.2">
      <c r="J553" s="354">
        <v>40378</v>
      </c>
      <c r="K553">
        <v>25.860001</v>
      </c>
      <c r="L553">
        <v>29.549999</v>
      </c>
      <c r="M553">
        <v>25.860001</v>
      </c>
      <c r="N553">
        <v>29.549999</v>
      </c>
      <c r="O553">
        <v>14.747705</v>
      </c>
      <c r="P553">
        <v>23156700</v>
      </c>
      <c r="R553" s="273">
        <f>(O553/O552)*('16. câmbio USD-BRL'!O349/'16. câmbio USD-BRL'!O348)^-1-1</f>
        <v>0.19034119484673151</v>
      </c>
    </row>
    <row r="554" spans="10:18" x14ac:dyDescent="0.2">
      <c r="J554" s="354">
        <v>40385</v>
      </c>
      <c r="K554">
        <v>29.4</v>
      </c>
      <c r="L554">
        <v>29.940000999999999</v>
      </c>
      <c r="M554">
        <v>28.66</v>
      </c>
      <c r="N554">
        <v>29.24</v>
      </c>
      <c r="O554">
        <v>14.592992000000001</v>
      </c>
      <c r="P554">
        <v>20875400</v>
      </c>
      <c r="R554" s="273">
        <f>(O554/O553)*('16. câmbio USD-BRL'!O350/'16. câmbio USD-BRL'!O349)^-1-1</f>
        <v>-1.0952820802113128E-2</v>
      </c>
    </row>
    <row r="555" spans="10:18" x14ac:dyDescent="0.2">
      <c r="J555" s="354">
        <v>40392</v>
      </c>
      <c r="K555">
        <v>29.549999</v>
      </c>
      <c r="L555">
        <v>30.67</v>
      </c>
      <c r="M555">
        <v>29.41</v>
      </c>
      <c r="N555">
        <v>30.389999</v>
      </c>
      <c r="O555">
        <v>15.166926</v>
      </c>
      <c r="P555">
        <v>14315700</v>
      </c>
      <c r="R555" s="273">
        <f>(O555/O554)*('16. câmbio USD-BRL'!O351/'16. câmbio USD-BRL'!O350)^-1-1</f>
        <v>1.5205840303515572E-2</v>
      </c>
    </row>
    <row r="556" spans="10:18" x14ac:dyDescent="0.2">
      <c r="J556" s="354">
        <v>40399</v>
      </c>
      <c r="K556">
        <v>30.530000999999999</v>
      </c>
      <c r="L556">
        <v>30.67</v>
      </c>
      <c r="M556">
        <v>28.76</v>
      </c>
      <c r="N556">
        <v>28.76</v>
      </c>
      <c r="O556">
        <v>14.353434</v>
      </c>
      <c r="P556">
        <v>16573200</v>
      </c>
      <c r="R556" s="273">
        <f>(O556/O555)*('16. câmbio USD-BRL'!O352/'16. câmbio USD-BRL'!O351)^-1-1</f>
        <v>-6.0547204653494835E-2</v>
      </c>
    </row>
    <row r="557" spans="10:18" x14ac:dyDescent="0.2">
      <c r="J557" s="354">
        <v>40406</v>
      </c>
      <c r="K557">
        <v>28.6</v>
      </c>
      <c r="L557">
        <v>29.57</v>
      </c>
      <c r="M557">
        <v>28.02</v>
      </c>
      <c r="N557">
        <v>28.360001</v>
      </c>
      <c r="O557">
        <v>14.153803999999999</v>
      </c>
      <c r="P557">
        <v>15654400</v>
      </c>
      <c r="R557" s="273">
        <f>(O557/O556)*('16. câmbio USD-BRL'!O353/'16. câmbio USD-BRL'!O352)^-1-1</f>
        <v>-1.0659656633436931E-2</v>
      </c>
    </row>
    <row r="558" spans="10:18" x14ac:dyDescent="0.2">
      <c r="J558" s="354">
        <v>40413</v>
      </c>
      <c r="K558">
        <v>28.6</v>
      </c>
      <c r="L558">
        <v>28.809999000000001</v>
      </c>
      <c r="M558">
        <v>26.799999</v>
      </c>
      <c r="N558">
        <v>27.25</v>
      </c>
      <c r="O558">
        <v>13.599828</v>
      </c>
      <c r="P558">
        <v>15813300</v>
      </c>
      <c r="R558" s="273">
        <f>(O558/O557)*('16. câmbio USD-BRL'!O354/'16. câmbio USD-BRL'!O353)^-1-1</f>
        <v>-3.6787223310217776E-2</v>
      </c>
    </row>
    <row r="559" spans="10:18" x14ac:dyDescent="0.2">
      <c r="J559" s="354">
        <v>40420</v>
      </c>
      <c r="K559">
        <v>27.1</v>
      </c>
      <c r="L559">
        <v>28.780000999999999</v>
      </c>
      <c r="M559">
        <v>26.66</v>
      </c>
      <c r="N559">
        <v>27.959999</v>
      </c>
      <c r="O559">
        <v>13.954173000000001</v>
      </c>
      <c r="P559">
        <v>12784200</v>
      </c>
      <c r="R559" s="273">
        <f>(O559/O558)*('16. câmbio USD-BRL'!O355/'16. câmbio USD-BRL'!O354)^-1-1</f>
        <v>3.5964695497400667E-2</v>
      </c>
    </row>
    <row r="560" spans="10:18" x14ac:dyDescent="0.2">
      <c r="J560" s="354">
        <v>40427</v>
      </c>
      <c r="K560">
        <v>28.1</v>
      </c>
      <c r="L560">
        <v>28.42</v>
      </c>
      <c r="M560">
        <v>27.41</v>
      </c>
      <c r="N560">
        <v>27.799999</v>
      </c>
      <c r="O560">
        <v>13.874314999999999</v>
      </c>
      <c r="P560">
        <v>6997800</v>
      </c>
      <c r="R560" s="273">
        <f>(O560/O559)*('16. câmbio USD-BRL'!O356/'16. câmbio USD-BRL'!O355)^-1-1</f>
        <v>3.68213638439574E-3</v>
      </c>
    </row>
    <row r="561" spans="10:18" x14ac:dyDescent="0.2">
      <c r="J561" s="354">
        <v>40434</v>
      </c>
      <c r="K561">
        <v>28.25</v>
      </c>
      <c r="L561">
        <v>28.65</v>
      </c>
      <c r="M561">
        <v>27.74</v>
      </c>
      <c r="N561">
        <v>27.879999000000002</v>
      </c>
      <c r="O561">
        <v>13.914246</v>
      </c>
      <c r="P561">
        <v>12844600</v>
      </c>
      <c r="R561" s="273">
        <f>(O561/O560)*('16. câmbio USD-BRL'!O357/'16. câmbio USD-BRL'!O356)^-1-1</f>
        <v>6.2063809037149476E-3</v>
      </c>
    </row>
    <row r="562" spans="10:18" x14ac:dyDescent="0.2">
      <c r="J562" s="354">
        <v>40441</v>
      </c>
      <c r="K562">
        <v>27.809999000000001</v>
      </c>
      <c r="L562">
        <v>28.77</v>
      </c>
      <c r="M562">
        <v>27.799999</v>
      </c>
      <c r="N562">
        <v>28.200001</v>
      </c>
      <c r="O562">
        <v>14.07395</v>
      </c>
      <c r="P562">
        <v>13775100</v>
      </c>
      <c r="R562" s="273">
        <f>(O562/O561)*('16. câmbio USD-BRL'!O358/'16. câmbio USD-BRL'!O357)^-1-1</f>
        <v>1.1359961790602835E-2</v>
      </c>
    </row>
    <row r="563" spans="10:18" x14ac:dyDescent="0.2">
      <c r="J563" s="354">
        <v>40448</v>
      </c>
      <c r="K563">
        <v>28.17</v>
      </c>
      <c r="L563">
        <v>29.76</v>
      </c>
      <c r="M563">
        <v>27.959999</v>
      </c>
      <c r="N563">
        <v>29.52</v>
      </c>
      <c r="O563">
        <v>14.732730999999999</v>
      </c>
      <c r="P563">
        <v>15703000</v>
      </c>
      <c r="R563" s="273">
        <f>(O563/O562)*('16. câmbio USD-BRL'!O359/'16. câmbio USD-BRL'!O358)^-1-1</f>
        <v>6.0139745810088518E-2</v>
      </c>
    </row>
    <row r="564" spans="10:18" x14ac:dyDescent="0.2">
      <c r="J564" s="354">
        <v>40455</v>
      </c>
      <c r="K564">
        <v>29.450001</v>
      </c>
      <c r="L564">
        <v>29.65</v>
      </c>
      <c r="M564">
        <v>27.870000999999998</v>
      </c>
      <c r="N564">
        <v>28.85</v>
      </c>
      <c r="O564">
        <v>14.398351999999999</v>
      </c>
      <c r="P564">
        <v>16090700</v>
      </c>
      <c r="R564" s="273">
        <f>(O564/O563)*('16. câmbio USD-BRL'!O360/'16. câmbio USD-BRL'!O359)^-1-1</f>
        <v>-1.2036746928130615E-2</v>
      </c>
    </row>
    <row r="565" spans="10:18" x14ac:dyDescent="0.2">
      <c r="J565" s="354">
        <v>40462</v>
      </c>
      <c r="K565">
        <v>29.01</v>
      </c>
      <c r="L565">
        <v>29.32</v>
      </c>
      <c r="M565">
        <v>28.370000999999998</v>
      </c>
      <c r="N565">
        <v>28.82</v>
      </c>
      <c r="O565">
        <v>14.383379</v>
      </c>
      <c r="P565">
        <v>8883500</v>
      </c>
      <c r="R565" s="273">
        <f>(O565/O564)*('16. câmbio USD-BRL'!O361/'16. câmbio USD-BRL'!O360)^-1-1</f>
        <v>9.3070202717893125E-3</v>
      </c>
    </row>
    <row r="566" spans="10:18" x14ac:dyDescent="0.2">
      <c r="J566" s="354">
        <v>40469</v>
      </c>
      <c r="K566">
        <v>28.5</v>
      </c>
      <c r="L566">
        <v>29.07</v>
      </c>
      <c r="M566">
        <v>27.209999</v>
      </c>
      <c r="N566">
        <v>28.379999000000002</v>
      </c>
      <c r="O566">
        <v>14.163786</v>
      </c>
      <c r="P566">
        <v>15510600</v>
      </c>
      <c r="R566" s="273">
        <f>(O566/O565)*('16. câmbio USD-BRL'!O362/'16. câmbio USD-BRL'!O361)^-1-1</f>
        <v>-3.4682766031197576E-2</v>
      </c>
    </row>
    <row r="567" spans="10:18" x14ac:dyDescent="0.2">
      <c r="J567" s="354">
        <v>40476</v>
      </c>
      <c r="K567">
        <v>28.5</v>
      </c>
      <c r="L567">
        <v>28.75</v>
      </c>
      <c r="M567">
        <v>27.48</v>
      </c>
      <c r="N567">
        <v>28.25</v>
      </c>
      <c r="O567">
        <v>14.098907000000001</v>
      </c>
      <c r="P567">
        <v>17969200</v>
      </c>
      <c r="R567" s="273">
        <f>(O567/O566)*('16. câmbio USD-BRL'!O363/'16. câmbio USD-BRL'!O362)^-1-1</f>
        <v>-1.5908712971902217E-2</v>
      </c>
    </row>
    <row r="568" spans="10:18" x14ac:dyDescent="0.2">
      <c r="J568" s="354">
        <v>40483</v>
      </c>
      <c r="K568">
        <v>28.15</v>
      </c>
      <c r="L568">
        <v>30.1</v>
      </c>
      <c r="M568">
        <v>28.15</v>
      </c>
      <c r="N568">
        <v>29.66</v>
      </c>
      <c r="O568">
        <v>14.802605</v>
      </c>
      <c r="P568">
        <v>11504200</v>
      </c>
      <c r="R568" s="273">
        <f>(O568/O567)*('16. câmbio USD-BRL'!O364/'16. câmbio USD-BRL'!O363)^-1-1</f>
        <v>7.4236223957158565E-2</v>
      </c>
    </row>
    <row r="569" spans="10:18" x14ac:dyDescent="0.2">
      <c r="J569" s="354">
        <v>40490</v>
      </c>
      <c r="K569">
        <v>29.4</v>
      </c>
      <c r="L569">
        <v>30.030000999999999</v>
      </c>
      <c r="M569">
        <v>28.57</v>
      </c>
      <c r="N569">
        <v>28.950001</v>
      </c>
      <c r="O569">
        <v>14.448259</v>
      </c>
      <c r="P569">
        <v>10256700</v>
      </c>
      <c r="R569" s="273">
        <f>(O569/O568)*('16. câmbio USD-BRL'!O365/'16. câmbio USD-BRL'!O364)^-1-1</f>
        <v>-5.0472906801536155E-2</v>
      </c>
    </row>
    <row r="570" spans="10:18" x14ac:dyDescent="0.2">
      <c r="J570" s="354">
        <v>40497</v>
      </c>
      <c r="K570">
        <v>28.950001</v>
      </c>
      <c r="L570">
        <v>29.5</v>
      </c>
      <c r="M570">
        <v>27.809999000000001</v>
      </c>
      <c r="N570">
        <v>28.530000999999999</v>
      </c>
      <c r="O570">
        <v>14.238647</v>
      </c>
      <c r="P570">
        <v>9604300</v>
      </c>
      <c r="R570" s="273">
        <f>(O570/O569)*('16. câmbio USD-BRL'!O366/'16. câmbio USD-BRL'!O365)^-1-1</f>
        <v>-8.4600373197093459E-3</v>
      </c>
    </row>
    <row r="571" spans="10:18" x14ac:dyDescent="0.2">
      <c r="J571" s="354">
        <v>40504</v>
      </c>
      <c r="K571">
        <v>28.25</v>
      </c>
      <c r="L571">
        <v>28.41</v>
      </c>
      <c r="M571">
        <v>26.91</v>
      </c>
      <c r="N571">
        <v>27.049999</v>
      </c>
      <c r="O571">
        <v>13.500014</v>
      </c>
      <c r="P571">
        <v>11135700</v>
      </c>
      <c r="R571" s="273">
        <f>(O571/O570)*('16. câmbio USD-BRL'!O367/'16. câmbio USD-BRL'!O366)^-1-1</f>
        <v>-5.4362289684488641E-2</v>
      </c>
    </row>
    <row r="572" spans="10:18" x14ac:dyDescent="0.2">
      <c r="J572" s="354">
        <v>40511</v>
      </c>
      <c r="K572">
        <v>26.92</v>
      </c>
      <c r="L572">
        <v>27.17</v>
      </c>
      <c r="M572">
        <v>26.110001</v>
      </c>
      <c r="N572">
        <v>26.809999000000001</v>
      </c>
      <c r="O572">
        <v>13.380236999999999</v>
      </c>
      <c r="P572">
        <v>16736700</v>
      </c>
      <c r="R572" s="273">
        <f>(O572/O571)*('16. câmbio USD-BRL'!O368/'16. câmbio USD-BRL'!O367)^-1-1</f>
        <v>-7.1732917197253609E-4</v>
      </c>
    </row>
    <row r="573" spans="10:18" x14ac:dyDescent="0.2">
      <c r="J573" s="354">
        <v>40518</v>
      </c>
      <c r="K573">
        <v>26.92</v>
      </c>
      <c r="L573">
        <v>28.17</v>
      </c>
      <c r="M573">
        <v>26.83</v>
      </c>
      <c r="N573">
        <v>27.48</v>
      </c>
      <c r="O573">
        <v>13.714615</v>
      </c>
      <c r="P573">
        <v>11824700</v>
      </c>
      <c r="R573" s="273">
        <f>(O573/O572)*('16. câmbio USD-BRL'!O369/'16. câmbio USD-BRL'!O368)^-1-1</f>
        <v>2.3726950221123255E-2</v>
      </c>
    </row>
    <row r="574" spans="10:18" x14ac:dyDescent="0.2">
      <c r="J574" s="354">
        <v>40525</v>
      </c>
      <c r="K574">
        <v>27.68</v>
      </c>
      <c r="L574">
        <v>28.6</v>
      </c>
      <c r="M574">
        <v>26.870000999999998</v>
      </c>
      <c r="N574">
        <v>27.200001</v>
      </c>
      <c r="O574">
        <v>13.574877000000001</v>
      </c>
      <c r="P574">
        <v>13158700</v>
      </c>
      <c r="R574" s="273">
        <f>(O574/O573)*('16. câmbio USD-BRL'!O370/'16. câmbio USD-BRL'!O369)^-1-1</f>
        <v>-1.0595525457152144E-2</v>
      </c>
    </row>
    <row r="575" spans="10:18" x14ac:dyDescent="0.2">
      <c r="J575" s="354">
        <v>40532</v>
      </c>
      <c r="K575">
        <v>27.4</v>
      </c>
      <c r="L575">
        <v>27.5</v>
      </c>
      <c r="M575">
        <v>26.6</v>
      </c>
      <c r="N575">
        <v>26.969999000000001</v>
      </c>
      <c r="O575">
        <v>13.460084999999999</v>
      </c>
      <c r="P575">
        <v>9199800</v>
      </c>
      <c r="R575" s="273">
        <f>(O575/O574)*('16. câmbio USD-BRL'!O371/'16. câmbio USD-BRL'!O370)^-1-1</f>
        <v>-1.4252303773854003E-3</v>
      </c>
    </row>
    <row r="576" spans="10:18" x14ac:dyDescent="0.2">
      <c r="J576" s="354">
        <v>40539</v>
      </c>
      <c r="K576">
        <v>26.700001</v>
      </c>
      <c r="L576">
        <v>27.209999</v>
      </c>
      <c r="M576">
        <v>26.290001</v>
      </c>
      <c r="N576">
        <v>26.67</v>
      </c>
      <c r="O576">
        <v>13.310363000000001</v>
      </c>
      <c r="P576">
        <v>7917600</v>
      </c>
      <c r="R576" s="273">
        <f>(O576/O575)*('16. câmbio USD-BRL'!O372/'16. câmbio USD-BRL'!O371)^-1-1</f>
        <v>6.9048488569780631E-3</v>
      </c>
    </row>
    <row r="577" spans="10:18" x14ac:dyDescent="0.2">
      <c r="J577" s="354">
        <v>40546</v>
      </c>
      <c r="K577">
        <v>27</v>
      </c>
      <c r="L577">
        <v>29.27</v>
      </c>
      <c r="M577">
        <v>27</v>
      </c>
      <c r="N577">
        <v>29.049999</v>
      </c>
      <c r="O577">
        <v>14.498165</v>
      </c>
      <c r="P577">
        <v>22886400</v>
      </c>
      <c r="R577" s="273">
        <f>(O577/O576)*('16. câmbio USD-BRL'!O373/'16. câmbio USD-BRL'!O372)^-1-1</f>
        <v>7.3797397669204567E-2</v>
      </c>
    </row>
    <row r="578" spans="10:18" x14ac:dyDescent="0.2">
      <c r="J578" s="354">
        <v>40553</v>
      </c>
      <c r="K578">
        <v>28.85</v>
      </c>
      <c r="L578">
        <v>30.34</v>
      </c>
      <c r="M578">
        <v>28.780000999999999</v>
      </c>
      <c r="N578">
        <v>29.85</v>
      </c>
      <c r="O578">
        <v>14.897425</v>
      </c>
      <c r="P578">
        <v>15771100</v>
      </c>
      <c r="R578" s="273">
        <f>(O578/O577)*('16. câmbio USD-BRL'!O374/'16. câmbio USD-BRL'!O373)^-1-1</f>
        <v>3.79433329195904E-2</v>
      </c>
    </row>
    <row r="579" spans="10:18" x14ac:dyDescent="0.2">
      <c r="J579" s="354">
        <v>40560</v>
      </c>
      <c r="K579">
        <v>29.700001</v>
      </c>
      <c r="L579">
        <v>29.879999000000002</v>
      </c>
      <c r="M579">
        <v>28.040001</v>
      </c>
      <c r="N579">
        <v>28.67</v>
      </c>
      <c r="O579">
        <v>14.308515999999999</v>
      </c>
      <c r="P579">
        <v>12996200</v>
      </c>
      <c r="R579" s="273">
        <f>(O579/O578)*('16. câmbio USD-BRL'!O375/'16. câmbio USD-BRL'!O374)^-1-1</f>
        <v>-1.9677785533320558E-2</v>
      </c>
    </row>
    <row r="580" spans="10:18" x14ac:dyDescent="0.2">
      <c r="J580" s="354">
        <v>40567</v>
      </c>
      <c r="K580">
        <v>28.65</v>
      </c>
      <c r="L580">
        <v>29.24</v>
      </c>
      <c r="M580">
        <v>27</v>
      </c>
      <c r="N580">
        <v>27.73</v>
      </c>
      <c r="O580">
        <v>13.839387</v>
      </c>
      <c r="P580">
        <v>10779900</v>
      </c>
      <c r="R580" s="273">
        <f>(O580/O579)*('16. câmbio USD-BRL'!O376/'16. câmbio USD-BRL'!O375)^-1-1</f>
        <v>-5.4244339758831805E-2</v>
      </c>
    </row>
    <row r="581" spans="10:18" x14ac:dyDescent="0.2">
      <c r="J581" s="354">
        <v>40574</v>
      </c>
      <c r="K581">
        <v>27.6</v>
      </c>
      <c r="L581">
        <v>28.889999</v>
      </c>
      <c r="M581">
        <v>27.540001</v>
      </c>
      <c r="N581">
        <v>27.950001</v>
      </c>
      <c r="O581">
        <v>13.949183</v>
      </c>
      <c r="P581">
        <v>7463472</v>
      </c>
      <c r="R581" s="273">
        <f>(O581/O580)*('16. câmbio USD-BRL'!O377/'16. câmbio USD-BRL'!O376)^-1-1</f>
        <v>1.0289702626002928E-2</v>
      </c>
    </row>
    <row r="582" spans="10:18" x14ac:dyDescent="0.2">
      <c r="J582" s="354">
        <v>40581</v>
      </c>
      <c r="K582">
        <v>28.25</v>
      </c>
      <c r="L582">
        <v>28.85</v>
      </c>
      <c r="M582">
        <v>26.700001</v>
      </c>
      <c r="N582">
        <v>27.040001</v>
      </c>
      <c r="O582">
        <v>13.495025</v>
      </c>
      <c r="P582">
        <v>10753332</v>
      </c>
      <c r="R582" s="273">
        <f>(O582/O581)*('16. câmbio USD-BRL'!O378/'16. câmbio USD-BRL'!O377)^-1-1</f>
        <v>-3.0058185799621606E-2</v>
      </c>
    </row>
    <row r="583" spans="10:18" x14ac:dyDescent="0.2">
      <c r="J583" s="354">
        <v>40588</v>
      </c>
      <c r="K583">
        <v>27.1</v>
      </c>
      <c r="L583">
        <v>28.139999</v>
      </c>
      <c r="M583">
        <v>26.889999</v>
      </c>
      <c r="N583">
        <v>27.639999</v>
      </c>
      <c r="O583">
        <v>13.794468999999999</v>
      </c>
      <c r="P583">
        <v>13550000</v>
      </c>
      <c r="R583" s="273">
        <f>(O583/O582)*('16. câmbio USD-BRL'!O379/'16. câmbio USD-BRL'!O378)^-1-1</f>
        <v>2.3480788992723989E-2</v>
      </c>
    </row>
    <row r="584" spans="10:18" x14ac:dyDescent="0.2">
      <c r="J584" s="354">
        <v>40595</v>
      </c>
      <c r="K584">
        <v>27.629999000000002</v>
      </c>
      <c r="L584">
        <v>27.77</v>
      </c>
      <c r="M584">
        <v>26.440000999999999</v>
      </c>
      <c r="N584">
        <v>26.5</v>
      </c>
      <c r="O584">
        <v>13.225521000000001</v>
      </c>
      <c r="P584">
        <v>12564300</v>
      </c>
      <c r="R584" s="273">
        <f>(O584/O583)*('16. câmbio USD-BRL'!O380/'16. câmbio USD-BRL'!O379)^-1-1</f>
        <v>-4.1648284583481021E-2</v>
      </c>
    </row>
    <row r="585" spans="10:18" x14ac:dyDescent="0.2">
      <c r="J585" s="354">
        <v>40602</v>
      </c>
      <c r="K585">
        <v>26.93</v>
      </c>
      <c r="L585">
        <v>27.190000999999999</v>
      </c>
      <c r="M585">
        <v>26.02</v>
      </c>
      <c r="N585">
        <v>26.879999000000002</v>
      </c>
      <c r="O585">
        <v>13.415171000000001</v>
      </c>
      <c r="P585">
        <v>16880100</v>
      </c>
      <c r="R585" s="273">
        <f>(O585/O584)*('16. câmbio USD-BRL'!O381/'16. câmbio USD-BRL'!O380)^-1-1</f>
        <v>2.2456877085196947E-2</v>
      </c>
    </row>
    <row r="586" spans="10:18" x14ac:dyDescent="0.2">
      <c r="J586" s="354">
        <v>40609</v>
      </c>
      <c r="K586">
        <v>26.879999000000002</v>
      </c>
      <c r="L586">
        <v>26.879999000000002</v>
      </c>
      <c r="M586">
        <v>25.459999</v>
      </c>
      <c r="N586">
        <v>25.799999</v>
      </c>
      <c r="O586">
        <v>12.876168</v>
      </c>
      <c r="P586">
        <v>6539200</v>
      </c>
      <c r="R586" s="273">
        <f>(O586/O585)*('16. câmbio USD-BRL'!O382/'16. câmbio USD-BRL'!O381)^-1-1</f>
        <v>-4.5674880396399109E-2</v>
      </c>
    </row>
    <row r="587" spans="10:18" x14ac:dyDescent="0.2">
      <c r="J587" s="354">
        <v>40616</v>
      </c>
      <c r="K587">
        <v>25.700001</v>
      </c>
      <c r="L587">
        <v>26.85</v>
      </c>
      <c r="M587">
        <v>25.309999000000001</v>
      </c>
      <c r="N587">
        <v>25.969999000000001</v>
      </c>
      <c r="O587">
        <v>12.961009000000001</v>
      </c>
      <c r="P587">
        <v>19336600</v>
      </c>
      <c r="R587" s="273">
        <f>(O587/O586)*('16. câmbio USD-BRL'!O383/'16. câmbio USD-BRL'!O382)^-1-1</f>
        <v>-5.6974445618610536E-3</v>
      </c>
    </row>
    <row r="588" spans="10:18" x14ac:dyDescent="0.2">
      <c r="J588" s="354">
        <v>40623</v>
      </c>
      <c r="K588">
        <v>26.290001</v>
      </c>
      <c r="L588">
        <v>26.66</v>
      </c>
      <c r="M588">
        <v>25.709999</v>
      </c>
      <c r="N588">
        <v>26.299999</v>
      </c>
      <c r="O588">
        <v>13.125705</v>
      </c>
      <c r="P588">
        <v>9945000</v>
      </c>
      <c r="R588" s="273">
        <f>(O588/O587)*('16. câmbio USD-BRL'!O384/'16. câmbio USD-BRL'!O383)^-1-1</f>
        <v>2.6148697394041021E-2</v>
      </c>
    </row>
    <row r="589" spans="10:18" x14ac:dyDescent="0.2">
      <c r="J589" s="354">
        <v>40630</v>
      </c>
      <c r="K589">
        <v>26.459999</v>
      </c>
      <c r="L589">
        <v>27.299999</v>
      </c>
      <c r="M589">
        <v>26.450001</v>
      </c>
      <c r="N589">
        <v>26.68</v>
      </c>
      <c r="O589">
        <v>13.315355</v>
      </c>
      <c r="P589">
        <v>10815900</v>
      </c>
      <c r="R589" s="273">
        <f>(O589/O588)*('16. câmbio USD-BRL'!O385/'16. câmbio USD-BRL'!O384)^-1-1</f>
        <v>3.3338740979373505E-2</v>
      </c>
    </row>
    <row r="590" spans="10:18" x14ac:dyDescent="0.2">
      <c r="J590" s="354">
        <v>40637</v>
      </c>
      <c r="K590">
        <v>26.780000999999999</v>
      </c>
      <c r="L590">
        <v>27.450001</v>
      </c>
      <c r="M590">
        <v>25.91</v>
      </c>
      <c r="N590">
        <v>25.98</v>
      </c>
      <c r="O590">
        <v>12.966002</v>
      </c>
      <c r="P590">
        <v>12588400</v>
      </c>
      <c r="R590" s="273">
        <f>(O590/O589)*('16. câmbio USD-BRL'!O386/'16. câmbio USD-BRL'!O385)^-1-1</f>
        <v>-5.2687587182463913E-3</v>
      </c>
    </row>
    <row r="591" spans="10:18" x14ac:dyDescent="0.2">
      <c r="J591" s="354">
        <v>40644</v>
      </c>
      <c r="K591">
        <v>26.1</v>
      </c>
      <c r="L591">
        <v>26.16</v>
      </c>
      <c r="M591">
        <v>23.82</v>
      </c>
      <c r="N591">
        <v>24.299999</v>
      </c>
      <c r="O591">
        <v>12.127554</v>
      </c>
      <c r="P591">
        <v>23547400</v>
      </c>
      <c r="R591" s="273">
        <f>(O591/O590)*('16. câmbio USD-BRL'!O387/'16. câmbio USD-BRL'!O386)^-1-1</f>
        <v>-6.4136344474468143E-2</v>
      </c>
    </row>
    <row r="592" spans="10:18" x14ac:dyDescent="0.2">
      <c r="J592" s="354">
        <v>40651</v>
      </c>
      <c r="K592">
        <v>24.1</v>
      </c>
      <c r="L592">
        <v>24.799999</v>
      </c>
      <c r="M592">
        <v>23.73</v>
      </c>
      <c r="N592">
        <v>24.6</v>
      </c>
      <c r="O592">
        <v>12.277279</v>
      </c>
      <c r="P592">
        <v>8795600</v>
      </c>
      <c r="R592" s="273">
        <f>(O592/O591)*('16. câmbio USD-BRL'!O388/'16. câmbio USD-BRL'!O387)^-1-1</f>
        <v>2.7185849659651318E-2</v>
      </c>
    </row>
    <row r="593" spans="10:18" x14ac:dyDescent="0.2">
      <c r="J593" s="354">
        <v>40658</v>
      </c>
      <c r="K593">
        <v>24.49</v>
      </c>
      <c r="L593">
        <v>24.879999000000002</v>
      </c>
      <c r="M593">
        <v>23.83</v>
      </c>
      <c r="N593">
        <v>24.459999</v>
      </c>
      <c r="O593">
        <v>12.207404</v>
      </c>
      <c r="P593">
        <v>13707800</v>
      </c>
      <c r="R593" s="273">
        <f>(O593/O592)*('16. câmbio USD-BRL'!O389/'16. câmbio USD-BRL'!O388)^-1-1</f>
        <v>-1.6535219473734375E-2</v>
      </c>
    </row>
    <row r="594" spans="10:18" x14ac:dyDescent="0.2">
      <c r="J594" s="354">
        <v>40665</v>
      </c>
      <c r="K594">
        <v>23.559999000000001</v>
      </c>
      <c r="L594">
        <v>23.68</v>
      </c>
      <c r="M594">
        <v>22.09</v>
      </c>
      <c r="N594">
        <v>22.82</v>
      </c>
      <c r="O594">
        <v>11.388922000000001</v>
      </c>
      <c r="P594">
        <v>21513700</v>
      </c>
      <c r="R594" s="273">
        <f>(O594/O593)*('16. câmbio USD-BRL'!O390/'16. câmbio USD-BRL'!O389)^-1-1</f>
        <v>-8.926660883711357E-2</v>
      </c>
    </row>
    <row r="595" spans="10:18" x14ac:dyDescent="0.2">
      <c r="J595" s="354">
        <v>40672</v>
      </c>
      <c r="K595">
        <v>23.32</v>
      </c>
      <c r="L595">
        <v>23.32</v>
      </c>
      <c r="M595">
        <v>22.01</v>
      </c>
      <c r="N595">
        <v>22.17</v>
      </c>
      <c r="O595">
        <v>11.17634</v>
      </c>
      <c r="P595">
        <v>8532650</v>
      </c>
      <c r="R595" s="273">
        <f>(O595/O594)*('16. câmbio USD-BRL'!O391/'16. câmbio USD-BRL'!O390)^-1-1</f>
        <v>-1.3505557542377034E-2</v>
      </c>
    </row>
    <row r="596" spans="10:18" x14ac:dyDescent="0.2">
      <c r="J596" s="354">
        <v>40679</v>
      </c>
      <c r="K596">
        <v>22.17</v>
      </c>
      <c r="L596">
        <v>22.870000999999998</v>
      </c>
      <c r="M596">
        <v>21.82</v>
      </c>
      <c r="N596">
        <v>22</v>
      </c>
      <c r="O596">
        <v>11.090638999999999</v>
      </c>
      <c r="P596">
        <v>11507400</v>
      </c>
      <c r="R596" s="273">
        <f>(O596/O595)*('16. câmbio USD-BRL'!O392/'16. câmbio USD-BRL'!O391)^-1-1</f>
        <v>-7.2996109333880455E-3</v>
      </c>
    </row>
    <row r="597" spans="10:18" x14ac:dyDescent="0.2">
      <c r="J597" s="354">
        <v>40686</v>
      </c>
      <c r="K597">
        <v>21.690000999999999</v>
      </c>
      <c r="L597">
        <v>22.32</v>
      </c>
      <c r="M597">
        <v>21.52</v>
      </c>
      <c r="N597">
        <v>21.950001</v>
      </c>
      <c r="O597">
        <v>11.065431999999999</v>
      </c>
      <c r="P597">
        <v>11402500</v>
      </c>
      <c r="R597" s="273">
        <f>(O597/O596)*('16. câmbio USD-BRL'!O393/'16. câmbio USD-BRL'!O392)^-1-1</f>
        <v>-6.208867675883134E-3</v>
      </c>
    </row>
    <row r="598" spans="10:18" x14ac:dyDescent="0.2">
      <c r="J598" s="354">
        <v>40693</v>
      </c>
      <c r="K598">
        <v>22.01</v>
      </c>
      <c r="L598">
        <v>22.15</v>
      </c>
      <c r="M598">
        <v>21.34</v>
      </c>
      <c r="N598">
        <v>21.52</v>
      </c>
      <c r="O598">
        <v>10.848661999999999</v>
      </c>
      <c r="P598">
        <v>10822500</v>
      </c>
      <c r="R598" s="273">
        <f>(O598/O597)*('16. câmbio USD-BRL'!O394/'16. câmbio USD-BRL'!O393)^-1-1</f>
        <v>8.2531909894441036E-3</v>
      </c>
    </row>
    <row r="599" spans="10:18" x14ac:dyDescent="0.2">
      <c r="J599" s="354">
        <v>40700</v>
      </c>
      <c r="K599">
        <v>21.58</v>
      </c>
      <c r="L599">
        <v>21.58</v>
      </c>
      <c r="M599">
        <v>19.649999999999999</v>
      </c>
      <c r="N599">
        <v>20</v>
      </c>
      <c r="O599">
        <v>10.082397</v>
      </c>
      <c r="P599">
        <v>24229600</v>
      </c>
      <c r="R599" s="273">
        <f>(O599/O598)*('16. câmbio USD-BRL'!O395/'16. câmbio USD-BRL'!O394)^-1-1</f>
        <v>-7.6137321355337351E-2</v>
      </c>
    </row>
    <row r="600" spans="10:18" x14ac:dyDescent="0.2">
      <c r="J600" s="354">
        <v>40707</v>
      </c>
      <c r="K600">
        <v>20</v>
      </c>
      <c r="L600">
        <v>20.049999</v>
      </c>
      <c r="M600">
        <v>18.899999999999999</v>
      </c>
      <c r="N600">
        <v>19.040001</v>
      </c>
      <c r="O600">
        <v>9.5984440000000006</v>
      </c>
      <c r="P600">
        <v>16868500</v>
      </c>
      <c r="R600" s="273">
        <f>(O600/O599)*('16. câmbio USD-BRL'!O396/'16. câmbio USD-BRL'!O395)^-1-1</f>
        <v>-5.9380409936946155E-2</v>
      </c>
    </row>
    <row r="601" spans="10:18" x14ac:dyDescent="0.2">
      <c r="J601" s="354">
        <v>40714</v>
      </c>
      <c r="K601">
        <v>18.950001</v>
      </c>
      <c r="L601">
        <v>19.290001</v>
      </c>
      <c r="M601">
        <v>18.48</v>
      </c>
      <c r="N601">
        <v>18.549999</v>
      </c>
      <c r="O601">
        <v>9.3514250000000008</v>
      </c>
      <c r="P601">
        <v>9234800</v>
      </c>
      <c r="R601" s="273">
        <f>(O601/O600)*('16. câmbio USD-BRL'!O397/'16. câmbio USD-BRL'!O396)^-1-1</f>
        <v>-1.6179498769699374E-2</v>
      </c>
    </row>
    <row r="602" spans="10:18" x14ac:dyDescent="0.2">
      <c r="J602" s="354">
        <v>40721</v>
      </c>
      <c r="K602">
        <v>18.610001</v>
      </c>
      <c r="L602">
        <v>19.66</v>
      </c>
      <c r="M602">
        <v>18.399999999999999</v>
      </c>
      <c r="N602">
        <v>19.27</v>
      </c>
      <c r="O602">
        <v>9.7143920000000001</v>
      </c>
      <c r="P602">
        <v>16458300</v>
      </c>
      <c r="R602" s="273">
        <f>(O602/O601)*('16. câmbio USD-BRL'!O398/'16. câmbio USD-BRL'!O397)^-1-1</f>
        <v>5.8174587788214716E-2</v>
      </c>
    </row>
    <row r="603" spans="10:18" x14ac:dyDescent="0.2">
      <c r="J603" s="354">
        <v>40728</v>
      </c>
      <c r="K603">
        <v>19.280000999999999</v>
      </c>
      <c r="L603">
        <v>19.799999</v>
      </c>
      <c r="M603">
        <v>18.82</v>
      </c>
      <c r="N603">
        <v>19</v>
      </c>
      <c r="O603">
        <v>9.5782790000000002</v>
      </c>
      <c r="P603">
        <v>12297200</v>
      </c>
      <c r="R603" s="273">
        <f>(O603/O602)*('16. câmbio USD-BRL'!O399/'16. câmbio USD-BRL'!O398)^-1-1</f>
        <v>-9.6349458925946152E-3</v>
      </c>
    </row>
    <row r="604" spans="10:18" x14ac:dyDescent="0.2">
      <c r="J604" s="354">
        <v>40735</v>
      </c>
      <c r="K604">
        <v>18.75</v>
      </c>
      <c r="L604">
        <v>18.829999999999998</v>
      </c>
      <c r="M604">
        <v>17.139999</v>
      </c>
      <c r="N604">
        <v>17.280000999999999</v>
      </c>
      <c r="O604">
        <v>8.7111920000000005</v>
      </c>
      <c r="P604">
        <v>14449800</v>
      </c>
      <c r="R604" s="273">
        <f>(O604/O603)*('16. câmbio USD-BRL'!O400/'16. câmbio USD-BRL'!O399)^-1-1</f>
        <v>-0.10321805896810377</v>
      </c>
    </row>
    <row r="605" spans="10:18" x14ac:dyDescent="0.2">
      <c r="J605" s="354">
        <v>40742</v>
      </c>
      <c r="K605">
        <v>17.059999000000001</v>
      </c>
      <c r="L605">
        <v>17.629999000000002</v>
      </c>
      <c r="M605">
        <v>16.809999000000001</v>
      </c>
      <c r="N605">
        <v>17</v>
      </c>
      <c r="O605">
        <v>8.5700380000000003</v>
      </c>
      <c r="P605">
        <v>15516100</v>
      </c>
      <c r="R605" s="273">
        <f>(O605/O604)*('16. câmbio USD-BRL'!O401/'16. câmbio USD-BRL'!O400)^-1-1</f>
        <v>-8.6659535556488088E-4</v>
      </c>
    </row>
    <row r="606" spans="10:18" x14ac:dyDescent="0.2">
      <c r="J606" s="354">
        <v>40749</v>
      </c>
      <c r="K606">
        <v>17.100000000000001</v>
      </c>
      <c r="L606">
        <v>17.5</v>
      </c>
      <c r="M606">
        <v>15.91</v>
      </c>
      <c r="N606">
        <v>16.600000000000001</v>
      </c>
      <c r="O606">
        <v>8.3683910000000008</v>
      </c>
      <c r="P606">
        <v>10012109</v>
      </c>
      <c r="R606" s="273">
        <f>(O606/O605)*('16. câmbio USD-BRL'!O402/'16. câmbio USD-BRL'!O401)^-1-1</f>
        <v>-3.0089924030659687E-2</v>
      </c>
    </row>
    <row r="607" spans="10:18" x14ac:dyDescent="0.2">
      <c r="J607" s="354">
        <v>40756</v>
      </c>
      <c r="K607">
        <v>16.299999</v>
      </c>
      <c r="L607">
        <v>16.399999999999999</v>
      </c>
      <c r="M607">
        <v>13.75</v>
      </c>
      <c r="N607">
        <v>14.49</v>
      </c>
      <c r="O607">
        <v>7.304697</v>
      </c>
      <c r="P607">
        <v>24660300</v>
      </c>
      <c r="R607" s="273">
        <f>(O607/O606)*('16. câmbio USD-BRL'!O403/'16. câmbio USD-BRL'!O402)^-1-1</f>
        <v>-0.13485872233561291</v>
      </c>
    </row>
    <row r="608" spans="10:18" x14ac:dyDescent="0.2">
      <c r="J608" s="354">
        <v>40763</v>
      </c>
      <c r="K608">
        <v>13.68</v>
      </c>
      <c r="L608">
        <v>15.29</v>
      </c>
      <c r="M608">
        <v>12.8</v>
      </c>
      <c r="N608">
        <v>15</v>
      </c>
      <c r="O608">
        <v>7.5617989999999997</v>
      </c>
      <c r="P608">
        <v>32711900</v>
      </c>
      <c r="R608" s="273">
        <f>(O608/O607)*('16. câmbio USD-BRL'!O404/'16. câmbio USD-BRL'!O403)^-1-1</f>
        <v>5.543228614872886E-3</v>
      </c>
    </row>
    <row r="609" spans="10:18" x14ac:dyDescent="0.2">
      <c r="J609" s="354">
        <v>40770</v>
      </c>
      <c r="K609">
        <v>15.39</v>
      </c>
      <c r="L609">
        <v>15.72</v>
      </c>
      <c r="M609">
        <v>13.95</v>
      </c>
      <c r="N609">
        <v>14.05</v>
      </c>
      <c r="O609">
        <v>7.0828870000000004</v>
      </c>
      <c r="P609">
        <v>23028800</v>
      </c>
      <c r="R609" s="273">
        <f>(O609/O608)*('16. câmbio USD-BRL'!O405/'16. câmbio USD-BRL'!O404)^-1-1</f>
        <v>-5.383234863320574E-2</v>
      </c>
    </row>
    <row r="610" spans="10:18" x14ac:dyDescent="0.2">
      <c r="J610" s="354">
        <v>40777</v>
      </c>
      <c r="K610">
        <v>14.27</v>
      </c>
      <c r="L610">
        <v>15.04</v>
      </c>
      <c r="M610">
        <v>13.76</v>
      </c>
      <c r="N610">
        <v>14.6</v>
      </c>
      <c r="O610">
        <v>7.3601510000000001</v>
      </c>
      <c r="P610">
        <v>17066900</v>
      </c>
      <c r="R610" s="273">
        <f>(O610/O609)*('16. câmbio USD-BRL'!O406/'16. câmbio USD-BRL'!O405)^-1-1</f>
        <v>3.7853953174782351E-2</v>
      </c>
    </row>
    <row r="611" spans="10:18" x14ac:dyDescent="0.2">
      <c r="J611" s="354">
        <v>40784</v>
      </c>
      <c r="K611">
        <v>14.88</v>
      </c>
      <c r="L611">
        <v>16.379999000000002</v>
      </c>
      <c r="M611">
        <v>14.65</v>
      </c>
      <c r="N611">
        <v>15.26</v>
      </c>
      <c r="O611">
        <v>7.6928700000000001</v>
      </c>
      <c r="P611">
        <v>17359700</v>
      </c>
      <c r="R611" s="273">
        <f>(O611/O610)*('16. câmbio USD-BRL'!O407/'16. câmbio USD-BRL'!O406)^-1-1</f>
        <v>5.1742077922939833E-2</v>
      </c>
    </row>
    <row r="612" spans="10:18" x14ac:dyDescent="0.2">
      <c r="J612" s="354">
        <v>40791</v>
      </c>
      <c r="K612">
        <v>14.9</v>
      </c>
      <c r="L612">
        <v>16.139999</v>
      </c>
      <c r="M612">
        <v>14.41</v>
      </c>
      <c r="N612">
        <v>15.22</v>
      </c>
      <c r="O612">
        <v>7.6727049999999997</v>
      </c>
      <c r="P612">
        <v>13280900</v>
      </c>
      <c r="R612" s="273">
        <f>(O612/O611)*('16. câmbio USD-BRL'!O408/'16. câmbio USD-BRL'!O407)^-1-1</f>
        <v>-3.4385681859550266E-2</v>
      </c>
    </row>
    <row r="613" spans="10:18" x14ac:dyDescent="0.2">
      <c r="J613" s="354">
        <v>40798</v>
      </c>
      <c r="K613">
        <v>15.05</v>
      </c>
      <c r="L613">
        <v>16.41</v>
      </c>
      <c r="M613">
        <v>14.81</v>
      </c>
      <c r="N613">
        <v>16.41</v>
      </c>
      <c r="O613">
        <v>8.2726070000000007</v>
      </c>
      <c r="P613">
        <v>16518900</v>
      </c>
      <c r="R613" s="273">
        <f>(O613/O612)*('16. câmbio USD-BRL'!O409/'16. câmbio USD-BRL'!O408)^-1-1</f>
        <v>4.1912605625313182E-2</v>
      </c>
    </row>
    <row r="614" spans="10:18" x14ac:dyDescent="0.2">
      <c r="J614" s="354">
        <v>40805</v>
      </c>
      <c r="K614">
        <v>16.040001</v>
      </c>
      <c r="L614">
        <v>16.799999</v>
      </c>
      <c r="M614">
        <v>14.51</v>
      </c>
      <c r="N614">
        <v>14.94</v>
      </c>
      <c r="O614">
        <v>7.531549</v>
      </c>
      <c r="P614">
        <v>21401500</v>
      </c>
      <c r="R614" s="273">
        <f>(O614/O613)*('16. câmbio USD-BRL'!O410/'16. câmbio USD-BRL'!O409)^-1-1</f>
        <v>-0.17092963389914873</v>
      </c>
    </row>
    <row r="615" spans="10:18" x14ac:dyDescent="0.2">
      <c r="J615" s="354">
        <v>40812</v>
      </c>
      <c r="K615">
        <v>15.07</v>
      </c>
      <c r="L615">
        <v>15.7</v>
      </c>
      <c r="M615">
        <v>14.47</v>
      </c>
      <c r="N615">
        <v>14.76</v>
      </c>
      <c r="O615">
        <v>7.4408089999999998</v>
      </c>
      <c r="P615">
        <v>16765400</v>
      </c>
      <c r="R615" s="273">
        <f>(O615/O614)*('16. câmbio USD-BRL'!O411/'16. câmbio USD-BRL'!O410)^-1-1</f>
        <v>1.449271713370659E-2</v>
      </c>
    </row>
    <row r="616" spans="10:18" x14ac:dyDescent="0.2">
      <c r="J616" s="354">
        <v>40819</v>
      </c>
      <c r="K616">
        <v>14.6</v>
      </c>
      <c r="L616">
        <v>14.84</v>
      </c>
      <c r="M616">
        <v>13.23</v>
      </c>
      <c r="N616">
        <v>13.72</v>
      </c>
      <c r="O616">
        <v>6.916525</v>
      </c>
      <c r="P616">
        <v>19304600</v>
      </c>
      <c r="R616" s="273">
        <f>(O616/O615)*('16. câmbio USD-BRL'!O412/'16. câmbio USD-BRL'!O411)^-1-1</f>
        <v>-5.965620821445472E-2</v>
      </c>
    </row>
    <row r="617" spans="10:18" x14ac:dyDescent="0.2">
      <c r="J617" s="354">
        <v>40826</v>
      </c>
      <c r="K617">
        <v>14.05</v>
      </c>
      <c r="L617">
        <v>15.2</v>
      </c>
      <c r="M617">
        <v>13.88</v>
      </c>
      <c r="N617">
        <v>14.79</v>
      </c>
      <c r="O617">
        <v>7.4559329999999999</v>
      </c>
      <c r="P617">
        <v>16754800</v>
      </c>
      <c r="R617" s="273">
        <f>(O617/O616)*('16. câmbio USD-BRL'!O413/'16. câmbio USD-BRL'!O412)^-1-1</f>
        <v>0.1173205522612939</v>
      </c>
    </row>
    <row r="618" spans="10:18" x14ac:dyDescent="0.2">
      <c r="J618" s="354">
        <v>40833</v>
      </c>
      <c r="K618">
        <v>14.6</v>
      </c>
      <c r="L618">
        <v>14.74</v>
      </c>
      <c r="M618">
        <v>13.61</v>
      </c>
      <c r="N618">
        <v>14.05</v>
      </c>
      <c r="O618">
        <v>7.0828870000000004</v>
      </c>
      <c r="P618">
        <v>16347200</v>
      </c>
      <c r="R618" s="273">
        <f>(O618/O617)*('16. câmbio USD-BRL'!O414/'16. câmbio USD-BRL'!O413)^-1-1</f>
        <v>-7.3370618232503793E-2</v>
      </c>
    </row>
    <row r="619" spans="10:18" x14ac:dyDescent="0.2">
      <c r="J619" s="354">
        <v>40840</v>
      </c>
      <c r="K619">
        <v>14.23</v>
      </c>
      <c r="L619">
        <v>16.620000999999998</v>
      </c>
      <c r="M619">
        <v>14.1</v>
      </c>
      <c r="N619">
        <v>16.399999999999999</v>
      </c>
      <c r="O619">
        <v>8.2675669999999997</v>
      </c>
      <c r="P619">
        <v>16854100</v>
      </c>
      <c r="R619" s="273">
        <f>(O619/O618)*('16. câmbio USD-BRL'!O415/'16. câmbio USD-BRL'!O414)^-1-1</f>
        <v>0.22053405011018734</v>
      </c>
    </row>
    <row r="620" spans="10:18" x14ac:dyDescent="0.2">
      <c r="J620" s="354">
        <v>40847</v>
      </c>
      <c r="K620">
        <v>16.360001</v>
      </c>
      <c r="L620">
        <v>16.629999000000002</v>
      </c>
      <c r="M620">
        <v>15.19</v>
      </c>
      <c r="N620">
        <v>16.399999999999999</v>
      </c>
      <c r="O620">
        <v>8.2675669999999997</v>
      </c>
      <c r="P620">
        <v>17898100</v>
      </c>
      <c r="R620" s="273">
        <f>(O620/O619)*('16. câmbio USD-BRL'!O416/'16. câmbio USD-BRL'!O415)^-1-1</f>
        <v>-1.2994513427663779E-2</v>
      </c>
    </row>
    <row r="621" spans="10:18" x14ac:dyDescent="0.2">
      <c r="J621" s="354">
        <v>40854</v>
      </c>
      <c r="K621">
        <v>16.370000999999998</v>
      </c>
      <c r="L621">
        <v>16.989999999999998</v>
      </c>
      <c r="M621">
        <v>15.7</v>
      </c>
      <c r="N621">
        <v>16.48</v>
      </c>
      <c r="O621">
        <v>8.3078970000000005</v>
      </c>
      <c r="P621">
        <v>13563500</v>
      </c>
      <c r="R621" s="273">
        <f>(O621/O620)*('16. câmbio USD-BRL'!O417/'16. câmbio USD-BRL'!O416)^-1-1</f>
        <v>-1.1394075989674568E-2</v>
      </c>
    </row>
    <row r="622" spans="10:18" x14ac:dyDescent="0.2">
      <c r="J622" s="354">
        <v>40861</v>
      </c>
      <c r="K622">
        <v>16.379999000000002</v>
      </c>
      <c r="L622">
        <v>16.690000999999999</v>
      </c>
      <c r="M622">
        <v>15.51</v>
      </c>
      <c r="N622">
        <v>15.58</v>
      </c>
      <c r="O622">
        <v>7.8541889999999999</v>
      </c>
      <c r="P622">
        <v>13530500</v>
      </c>
      <c r="R622" s="273">
        <f>(O622/O621)*('16. câmbio USD-BRL'!O418/'16. câmbio USD-BRL'!O417)^-1-1</f>
        <v>-5.7022675996568628E-2</v>
      </c>
    </row>
    <row r="623" spans="10:18" x14ac:dyDescent="0.2">
      <c r="J623" s="354">
        <v>40868</v>
      </c>
      <c r="K623">
        <v>15.34</v>
      </c>
      <c r="L623">
        <v>15.45</v>
      </c>
      <c r="M623">
        <v>13.93</v>
      </c>
      <c r="N623">
        <v>14.27</v>
      </c>
      <c r="O623">
        <v>7.1937920000000002</v>
      </c>
      <c r="P623">
        <v>19047500</v>
      </c>
      <c r="R623" s="273">
        <f>(O623/O622)*('16. câmbio USD-BRL'!O419/'16. câmbio USD-BRL'!O418)^-1-1</f>
        <v>-0.13829001959079645</v>
      </c>
    </row>
    <row r="624" spans="10:18" x14ac:dyDescent="0.2">
      <c r="J624" s="354">
        <v>40875</v>
      </c>
      <c r="K624">
        <v>14.58</v>
      </c>
      <c r="L624">
        <v>15.39</v>
      </c>
      <c r="M624">
        <v>14.14</v>
      </c>
      <c r="N624">
        <v>14.82</v>
      </c>
      <c r="O624">
        <v>7.4710570000000001</v>
      </c>
      <c r="P624">
        <v>17669200</v>
      </c>
      <c r="R624" s="273">
        <f>(O624/O623)*('16. câmbio USD-BRL'!O420/'16. câmbio USD-BRL'!O419)^-1-1</f>
        <v>8.2704840578014194E-2</v>
      </c>
    </row>
    <row r="625" spans="10:18" x14ac:dyDescent="0.2">
      <c r="J625" s="354">
        <v>40882</v>
      </c>
      <c r="K625">
        <v>15.04</v>
      </c>
      <c r="L625">
        <v>15.84</v>
      </c>
      <c r="M625">
        <v>14.62</v>
      </c>
      <c r="N625">
        <v>15.04</v>
      </c>
      <c r="O625">
        <v>7.581963</v>
      </c>
      <c r="P625">
        <v>15001100</v>
      </c>
      <c r="R625" s="273">
        <f>(O625/O624)*('16. câmbio USD-BRL'!O421/'16. câmbio USD-BRL'!O420)^-1-1</f>
        <v>4.791255726467103E-3</v>
      </c>
    </row>
    <row r="626" spans="10:18" x14ac:dyDescent="0.2">
      <c r="J626" s="354">
        <v>40889</v>
      </c>
      <c r="K626">
        <v>15.04</v>
      </c>
      <c r="L626">
        <v>15.04</v>
      </c>
      <c r="M626">
        <v>13.89</v>
      </c>
      <c r="N626">
        <v>13.89</v>
      </c>
      <c r="O626">
        <v>7.0022250000000001</v>
      </c>
      <c r="P626">
        <v>15700900</v>
      </c>
      <c r="R626" s="273">
        <f>(O626/O625)*('16. câmbio USD-BRL'!O422/'16. câmbio USD-BRL'!O421)^-1-1</f>
        <v>-9.7230944011248099E-2</v>
      </c>
    </row>
    <row r="627" spans="10:18" x14ac:dyDescent="0.2">
      <c r="J627" s="354">
        <v>40896</v>
      </c>
      <c r="K627">
        <v>13.9</v>
      </c>
      <c r="L627">
        <v>15</v>
      </c>
      <c r="M627">
        <v>13.69</v>
      </c>
      <c r="N627">
        <v>14.99</v>
      </c>
      <c r="O627">
        <v>7.5567570000000002</v>
      </c>
      <c r="P627">
        <v>13078700</v>
      </c>
      <c r="R627" s="273">
        <f>(O627/O626)*('16. câmbio USD-BRL'!O423/'16. câmbio USD-BRL'!O422)^-1-1</f>
        <v>8.3741340586735102E-2</v>
      </c>
    </row>
    <row r="628" spans="10:18" x14ac:dyDescent="0.2">
      <c r="J628" s="354">
        <v>40903</v>
      </c>
      <c r="K628">
        <v>15</v>
      </c>
      <c r="L628">
        <v>15.3</v>
      </c>
      <c r="M628">
        <v>14.75</v>
      </c>
      <c r="N628">
        <v>14.98</v>
      </c>
      <c r="O628">
        <v>7.5517149999999997</v>
      </c>
      <c r="P628">
        <v>7465600</v>
      </c>
      <c r="R628" s="273">
        <f>(O628/O627)*('16. câmbio USD-BRL'!O424/'16. câmbio USD-BRL'!O423)^-1-1</f>
        <v>-8.2752624204825986E-3</v>
      </c>
    </row>
    <row r="629" spans="10:18" x14ac:dyDescent="0.2">
      <c r="J629" s="354">
        <v>40910</v>
      </c>
      <c r="K629">
        <v>15.28</v>
      </c>
      <c r="L629">
        <v>16.200001</v>
      </c>
      <c r="M629">
        <v>14.81</v>
      </c>
      <c r="N629">
        <v>15.83</v>
      </c>
      <c r="O629">
        <v>7.9802169999999997</v>
      </c>
      <c r="P629">
        <v>14187700</v>
      </c>
      <c r="R629" s="273">
        <f>(O629/O628)*('16. câmbio USD-BRL'!O425/'16. câmbio USD-BRL'!O424)^-1-1</f>
        <v>6.6808734293066996E-2</v>
      </c>
    </row>
    <row r="630" spans="10:18" x14ac:dyDescent="0.2">
      <c r="J630" s="354">
        <v>40917</v>
      </c>
      <c r="K630">
        <v>15.9</v>
      </c>
      <c r="L630">
        <v>16.739999999999998</v>
      </c>
      <c r="M630">
        <v>15.6</v>
      </c>
      <c r="N630">
        <v>16.370000999999998</v>
      </c>
      <c r="O630">
        <v>8.2524429999999995</v>
      </c>
      <c r="P630">
        <v>15987600</v>
      </c>
      <c r="R630" s="273">
        <f>(O630/O629)*('16. câmbio USD-BRL'!O426/'16. câmbio USD-BRL'!O425)^-1-1</f>
        <v>6.6912246613580084E-2</v>
      </c>
    </row>
    <row r="631" spans="10:18" x14ac:dyDescent="0.2">
      <c r="J631" s="354">
        <v>40924</v>
      </c>
      <c r="K631">
        <v>16.299999</v>
      </c>
      <c r="L631">
        <v>18</v>
      </c>
      <c r="M631">
        <v>16.280000999999999</v>
      </c>
      <c r="N631">
        <v>17.899999999999999</v>
      </c>
      <c r="O631">
        <v>9.0237470000000002</v>
      </c>
      <c r="P631">
        <v>15990800</v>
      </c>
      <c r="R631" s="273">
        <f>(O631/O630)*('16. câmbio USD-BRL'!O427/'16. câmbio USD-BRL'!O426)^-1-1</f>
        <v>0.11253612012419767</v>
      </c>
    </row>
    <row r="632" spans="10:18" x14ac:dyDescent="0.2">
      <c r="J632" s="354">
        <v>40931</v>
      </c>
      <c r="K632">
        <v>17.899999999999999</v>
      </c>
      <c r="L632">
        <v>18.600000000000001</v>
      </c>
      <c r="M632">
        <v>17.579999999999998</v>
      </c>
      <c r="N632">
        <v>18.299999</v>
      </c>
      <c r="O632">
        <v>9.2253930000000004</v>
      </c>
      <c r="P632">
        <v>19054100</v>
      </c>
      <c r="R632" s="273">
        <f>(O632/O631)*('16. câmbio USD-BRL'!O428/'16. câmbio USD-BRL'!O427)^-1-1</f>
        <v>3.5346063193383737E-2</v>
      </c>
    </row>
    <row r="633" spans="10:18" x14ac:dyDescent="0.2">
      <c r="J633" s="354">
        <v>40938</v>
      </c>
      <c r="K633">
        <v>18.059999000000001</v>
      </c>
      <c r="L633">
        <v>18.850000000000001</v>
      </c>
      <c r="M633">
        <v>17.73</v>
      </c>
      <c r="N633">
        <v>18.649999999999999</v>
      </c>
      <c r="O633">
        <v>9.4018350000000002</v>
      </c>
      <c r="P633">
        <v>30907600</v>
      </c>
      <c r="R633" s="273">
        <f>(O633/O632)*('16. câmbio USD-BRL'!O429/'16. câmbio USD-BRL'!O428)^-1-1</f>
        <v>3.261263217390975E-2</v>
      </c>
    </row>
    <row r="634" spans="10:18" x14ac:dyDescent="0.2">
      <c r="J634" s="354">
        <v>40945</v>
      </c>
      <c r="K634">
        <v>18.459999</v>
      </c>
      <c r="L634">
        <v>18.799999</v>
      </c>
      <c r="M634">
        <v>17.799999</v>
      </c>
      <c r="N634">
        <v>17.879999000000002</v>
      </c>
      <c r="O634">
        <v>9.0136640000000003</v>
      </c>
      <c r="P634">
        <v>20538900</v>
      </c>
      <c r="R634" s="273">
        <f>(O634/O633)*('16. câmbio USD-BRL'!O430/'16. câmbio USD-BRL'!O429)^-1-1</f>
        <v>-4.3238959591298531E-2</v>
      </c>
    </row>
    <row r="635" spans="10:18" x14ac:dyDescent="0.2">
      <c r="J635" s="354">
        <v>40952</v>
      </c>
      <c r="K635">
        <v>17.879999000000002</v>
      </c>
      <c r="L635">
        <v>18.290001</v>
      </c>
      <c r="M635">
        <v>17.129999000000002</v>
      </c>
      <c r="N635">
        <v>17.5</v>
      </c>
      <c r="O635">
        <v>8.8220989999999997</v>
      </c>
      <c r="P635">
        <v>18649000</v>
      </c>
      <c r="R635" s="273">
        <f>(O635/O634)*('16. câmbio USD-BRL'!O431/'16. câmbio USD-BRL'!O430)^-1-1</f>
        <v>-1.581302203181878E-2</v>
      </c>
    </row>
    <row r="636" spans="10:18" x14ac:dyDescent="0.2">
      <c r="J636" s="354">
        <v>40959</v>
      </c>
      <c r="K636">
        <v>17.5</v>
      </c>
      <c r="L636">
        <v>17.870000999999998</v>
      </c>
      <c r="M636">
        <v>17.399999999999999</v>
      </c>
      <c r="N636">
        <v>17.59</v>
      </c>
      <c r="O636">
        <v>8.8674700000000009</v>
      </c>
      <c r="P636">
        <v>7231000</v>
      </c>
      <c r="R636" s="273">
        <f>(O636/O635)*('16. câmbio USD-BRL'!O432/'16. câmbio USD-BRL'!O431)^-1-1</f>
        <v>6.7331099619951651E-3</v>
      </c>
    </row>
    <row r="637" spans="10:18" x14ac:dyDescent="0.2">
      <c r="J637" s="354">
        <v>40966</v>
      </c>
      <c r="K637">
        <v>17.510000000000002</v>
      </c>
      <c r="L637">
        <v>18.23</v>
      </c>
      <c r="M637">
        <v>17.27</v>
      </c>
      <c r="N637">
        <v>18.23</v>
      </c>
      <c r="O637">
        <v>9.1901069999999994</v>
      </c>
      <c r="P637">
        <v>17950100</v>
      </c>
      <c r="R637" s="273">
        <f>(O637/O636)*('16. câmbio USD-BRL'!O433/'16. câmbio USD-BRL'!O432)^-1-1</f>
        <v>2.2780030236273507E-2</v>
      </c>
    </row>
    <row r="638" spans="10:18" x14ac:dyDescent="0.2">
      <c r="J638" s="354">
        <v>40973</v>
      </c>
      <c r="K638">
        <v>18.059999000000001</v>
      </c>
      <c r="L638">
        <v>18.450001</v>
      </c>
      <c r="M638">
        <v>17.139999</v>
      </c>
      <c r="N638">
        <v>17.940000999999999</v>
      </c>
      <c r="O638">
        <v>9.0439129999999999</v>
      </c>
      <c r="P638">
        <v>19688100</v>
      </c>
      <c r="R638" s="273">
        <f>(O638/O637)*('16. câmbio USD-BRL'!O434/'16. câmbio USD-BRL'!O433)^-1-1</f>
        <v>-4.8800674225864427E-2</v>
      </c>
    </row>
    <row r="639" spans="10:18" x14ac:dyDescent="0.2">
      <c r="J639" s="354">
        <v>40980</v>
      </c>
      <c r="K639">
        <v>17.690000999999999</v>
      </c>
      <c r="L639">
        <v>19.459999</v>
      </c>
      <c r="M639">
        <v>17.66</v>
      </c>
      <c r="N639">
        <v>19.43</v>
      </c>
      <c r="O639">
        <v>9.7950490000000006</v>
      </c>
      <c r="P639">
        <v>21168400</v>
      </c>
      <c r="R639" s="273">
        <f>(O639/O638)*('16. câmbio USD-BRL'!O435/'16. câmbio USD-BRL'!O434)^-1-1</f>
        <v>7.7993032065478252E-2</v>
      </c>
    </row>
    <row r="640" spans="10:18" x14ac:dyDescent="0.2">
      <c r="J640" s="354">
        <v>40987</v>
      </c>
      <c r="K640">
        <v>19.43</v>
      </c>
      <c r="L640">
        <v>19.43</v>
      </c>
      <c r="M640">
        <v>17.860001</v>
      </c>
      <c r="N640">
        <v>18.139999</v>
      </c>
      <c r="O640">
        <v>9.1447350000000007</v>
      </c>
      <c r="P640">
        <v>17716200</v>
      </c>
      <c r="R640" s="273">
        <f>(O640/O639)*('16. câmbio USD-BRL'!O436/'16. câmbio USD-BRL'!O435)^-1-1</f>
        <v>-7.24297054546722E-2</v>
      </c>
    </row>
    <row r="641" spans="10:18" x14ac:dyDescent="0.2">
      <c r="J641" s="354">
        <v>40994</v>
      </c>
      <c r="K641">
        <v>18.389999</v>
      </c>
      <c r="L641">
        <v>18.670000000000002</v>
      </c>
      <c r="M641">
        <v>16.91</v>
      </c>
      <c r="N641">
        <v>17.219999000000001</v>
      </c>
      <c r="O641">
        <v>8.6809449999999995</v>
      </c>
      <c r="P641">
        <v>20754000</v>
      </c>
      <c r="R641" s="273">
        <f>(O641/O640)*('16. câmbio USD-BRL'!O437/'16. câmbio USD-BRL'!O436)^-1-1</f>
        <v>-5.8625574990583407E-2</v>
      </c>
    </row>
    <row r="642" spans="10:18" x14ac:dyDescent="0.2">
      <c r="J642" s="354">
        <v>41001</v>
      </c>
      <c r="K642">
        <v>17.219999000000001</v>
      </c>
      <c r="L642">
        <v>17.77</v>
      </c>
      <c r="M642">
        <v>16.649999999999999</v>
      </c>
      <c r="N642">
        <v>16.879999000000002</v>
      </c>
      <c r="O642">
        <v>8.5095430000000007</v>
      </c>
      <c r="P642">
        <v>13529500</v>
      </c>
      <c r="R642" s="273">
        <f>(O642/O641)*('16. câmbio USD-BRL'!O438/'16. câmbio USD-BRL'!O437)^-1-1</f>
        <v>-1.6239668341809788E-2</v>
      </c>
    </row>
    <row r="643" spans="10:18" x14ac:dyDescent="0.2">
      <c r="J643" s="354">
        <v>41008</v>
      </c>
      <c r="K643">
        <v>16.670000000000002</v>
      </c>
      <c r="L643">
        <v>17.079999999999998</v>
      </c>
      <c r="M643">
        <v>16.290001</v>
      </c>
      <c r="N643">
        <v>16.690000999999999</v>
      </c>
      <c r="O643">
        <v>8.4137620000000002</v>
      </c>
      <c r="P643">
        <v>14936200</v>
      </c>
      <c r="R643" s="273">
        <f>(O643/O642)*('16. câmbio USD-BRL'!O439/'16. câmbio USD-BRL'!O438)^-1-1</f>
        <v>-2.1802321777640299E-2</v>
      </c>
    </row>
    <row r="644" spans="10:18" x14ac:dyDescent="0.2">
      <c r="J644" s="354">
        <v>41015</v>
      </c>
      <c r="K644">
        <v>16.780000999999999</v>
      </c>
      <c r="L644">
        <v>17.379999000000002</v>
      </c>
      <c r="M644">
        <v>16.34</v>
      </c>
      <c r="N644">
        <v>16.860001</v>
      </c>
      <c r="O644">
        <v>8.4994619999999994</v>
      </c>
      <c r="P644">
        <v>15065500</v>
      </c>
      <c r="R644" s="273">
        <f>(O644/O643)*('16. câmbio USD-BRL'!O440/'16. câmbio USD-BRL'!O439)^-1-1</f>
        <v>-7.5832914848958932E-3</v>
      </c>
    </row>
    <row r="645" spans="10:18" x14ac:dyDescent="0.2">
      <c r="J645" s="354">
        <v>41022</v>
      </c>
      <c r="K645">
        <v>16.5</v>
      </c>
      <c r="L645">
        <v>17.139999</v>
      </c>
      <c r="M645">
        <v>16.32</v>
      </c>
      <c r="N645">
        <v>16.969999000000001</v>
      </c>
      <c r="O645">
        <v>8.5549160000000004</v>
      </c>
      <c r="P645">
        <v>14169100</v>
      </c>
      <c r="R645" s="273">
        <f>(O645/O644)*('16. câmbio USD-BRL'!O441/'16. câmbio USD-BRL'!O440)^-1-1</f>
        <v>-1.2714790479040339E-3</v>
      </c>
    </row>
    <row r="646" spans="10:18" x14ac:dyDescent="0.2">
      <c r="J646" s="354">
        <v>41029</v>
      </c>
      <c r="K646">
        <v>16.27</v>
      </c>
      <c r="L646">
        <v>16.469999000000001</v>
      </c>
      <c r="M646">
        <v>15.44</v>
      </c>
      <c r="N646">
        <v>15.44</v>
      </c>
      <c r="O646">
        <v>7.7836100000000004</v>
      </c>
      <c r="P646">
        <v>10569600</v>
      </c>
      <c r="R646" s="273">
        <f>(O646/O645)*('16. câmbio USD-BRL'!O442/'16. câmbio USD-BRL'!O441)^-1-1</f>
        <v>-9.5533408065487491E-2</v>
      </c>
    </row>
    <row r="647" spans="10:18" x14ac:dyDescent="0.2">
      <c r="J647" s="354">
        <v>41036</v>
      </c>
      <c r="K647">
        <v>15.11</v>
      </c>
      <c r="L647">
        <v>15.56</v>
      </c>
      <c r="M647">
        <v>14.56</v>
      </c>
      <c r="N647">
        <v>14.56</v>
      </c>
      <c r="O647">
        <v>7.7141289999999998</v>
      </c>
      <c r="P647">
        <v>20796000</v>
      </c>
      <c r="R647" s="273">
        <f>(O647/O646)*('16. câmbio USD-BRL'!O443/'16. câmbio USD-BRL'!O442)^-1-1</f>
        <v>-4.167596979518795E-2</v>
      </c>
    </row>
    <row r="648" spans="10:18" x14ac:dyDescent="0.2">
      <c r="J648" s="354">
        <v>41043</v>
      </c>
      <c r="K648">
        <v>14.42</v>
      </c>
      <c r="L648">
        <v>14.47</v>
      </c>
      <c r="M648">
        <v>12.96</v>
      </c>
      <c r="N648">
        <v>13.13</v>
      </c>
      <c r="O648">
        <v>6.9564909999999998</v>
      </c>
      <c r="P648">
        <v>20537600</v>
      </c>
      <c r="R648" s="273">
        <f>(O648/O647)*('16. câmbio USD-BRL'!O444/'16. câmbio USD-BRL'!O443)^-1-1</f>
        <v>-0.12567897669604955</v>
      </c>
    </row>
    <row r="649" spans="10:18" x14ac:dyDescent="0.2">
      <c r="J649" s="354">
        <v>41050</v>
      </c>
      <c r="K649">
        <v>13.13</v>
      </c>
      <c r="L649">
        <v>14.16</v>
      </c>
      <c r="M649">
        <v>13.01</v>
      </c>
      <c r="N649">
        <v>13.1</v>
      </c>
      <c r="O649">
        <v>6.9405960000000002</v>
      </c>
      <c r="P649">
        <v>19207600</v>
      </c>
      <c r="R649" s="273">
        <f>(O649/O648)*('16. câmbio USD-BRL'!O445/'16. câmbio USD-BRL'!O444)^-1-1</f>
        <v>1.7998551277617736E-2</v>
      </c>
    </row>
    <row r="650" spans="10:18" x14ac:dyDescent="0.2">
      <c r="J650" s="354">
        <v>41057</v>
      </c>
      <c r="K650">
        <v>13.2</v>
      </c>
      <c r="L650">
        <v>13.38</v>
      </c>
      <c r="M650">
        <v>12.66</v>
      </c>
      <c r="N650">
        <v>12.81</v>
      </c>
      <c r="O650">
        <v>6.7869479999999998</v>
      </c>
      <c r="P650">
        <v>19857300</v>
      </c>
      <c r="R650" s="273">
        <f>(O650/O649)*('16. câmbio USD-BRL'!O446/'16. câmbio USD-BRL'!O445)^-1-1</f>
        <v>-4.8816588185460752E-2</v>
      </c>
    </row>
    <row r="651" spans="10:18" x14ac:dyDescent="0.2">
      <c r="J651" s="354">
        <v>41064</v>
      </c>
      <c r="K651">
        <v>12.94</v>
      </c>
      <c r="L651">
        <v>12.95</v>
      </c>
      <c r="M651">
        <v>12.33</v>
      </c>
      <c r="N651">
        <v>12.55</v>
      </c>
      <c r="O651">
        <v>6.6491980000000002</v>
      </c>
      <c r="P651">
        <v>18460000</v>
      </c>
      <c r="R651" s="273">
        <f>(O651/O650)*('16. câmbio USD-BRL'!O447/'16. câmbio USD-BRL'!O446)^-1-1</f>
        <v>-3.2758474266314508E-3</v>
      </c>
    </row>
    <row r="652" spans="10:18" x14ac:dyDescent="0.2">
      <c r="J652" s="354">
        <v>41071</v>
      </c>
      <c r="K652">
        <v>12.67</v>
      </c>
      <c r="L652">
        <v>13.1</v>
      </c>
      <c r="M652">
        <v>12.27</v>
      </c>
      <c r="N652">
        <v>12.55</v>
      </c>
      <c r="O652">
        <v>6.6491980000000002</v>
      </c>
      <c r="P652">
        <v>21497400</v>
      </c>
      <c r="R652" s="273">
        <f>(O652/O651)*('16. câmbio USD-BRL'!O448/'16. câmbio USD-BRL'!O447)^-1-1</f>
        <v>-1.962607674236494E-2</v>
      </c>
    </row>
    <row r="653" spans="10:18" x14ac:dyDescent="0.2">
      <c r="J653" s="354">
        <v>41078</v>
      </c>
      <c r="K653">
        <v>12.55</v>
      </c>
      <c r="L653">
        <v>12.55</v>
      </c>
      <c r="M653">
        <v>11.6</v>
      </c>
      <c r="N653">
        <v>11.66</v>
      </c>
      <c r="O653">
        <v>6.1776600000000004</v>
      </c>
      <c r="P653">
        <v>23046000</v>
      </c>
      <c r="R653" s="273">
        <f>(O653/O652)*('16. câmbio USD-BRL'!O449/'16. câmbio USD-BRL'!O448)^-1-1</f>
        <v>-8.0769279406768257E-2</v>
      </c>
    </row>
    <row r="654" spans="10:18" x14ac:dyDescent="0.2">
      <c r="J654" s="354">
        <v>41085</v>
      </c>
      <c r="K654">
        <v>11.49</v>
      </c>
      <c r="L654">
        <v>11.5</v>
      </c>
      <c r="M654">
        <v>10.76</v>
      </c>
      <c r="N654">
        <v>11.38</v>
      </c>
      <c r="O654">
        <v>6.0293109999999999</v>
      </c>
      <c r="P654">
        <v>18475500</v>
      </c>
      <c r="R654" s="273">
        <f>(O654/O653)*('16. câmbio USD-BRL'!O450/'16. câmbio USD-BRL'!O449)^-1-1</f>
        <v>2.9404519688607245E-3</v>
      </c>
    </row>
    <row r="655" spans="10:18" x14ac:dyDescent="0.2">
      <c r="J655" s="354">
        <v>41092</v>
      </c>
      <c r="K655">
        <v>11.31</v>
      </c>
      <c r="L655">
        <v>12.71</v>
      </c>
      <c r="M655">
        <v>11.3</v>
      </c>
      <c r="N655">
        <v>11.9</v>
      </c>
      <c r="O655">
        <v>6.3048169999999999</v>
      </c>
      <c r="P655">
        <v>22820300</v>
      </c>
      <c r="R655" s="273">
        <f>(O655/O654)*('16. câmbio USD-BRL'!O451/'16. câmbio USD-BRL'!O450)^-1-1</f>
        <v>4.3565352359717258E-2</v>
      </c>
    </row>
    <row r="656" spans="10:18" x14ac:dyDescent="0.2">
      <c r="J656" s="354">
        <v>41099</v>
      </c>
      <c r="K656">
        <v>11.9</v>
      </c>
      <c r="L656">
        <v>11.9</v>
      </c>
      <c r="M656">
        <v>10.36</v>
      </c>
      <c r="N656">
        <v>10.78</v>
      </c>
      <c r="O656">
        <v>5.7114219999999998</v>
      </c>
      <c r="P656">
        <v>20870600</v>
      </c>
      <c r="R656" s="273">
        <f>(O656/O655)*('16. câmbio USD-BRL'!O452/'16. câmbio USD-BRL'!O451)^-1-1</f>
        <v>-0.10364348308502158</v>
      </c>
    </row>
    <row r="657" spans="10:18" x14ac:dyDescent="0.2">
      <c r="J657" s="354">
        <v>41106</v>
      </c>
      <c r="K657">
        <v>10.78</v>
      </c>
      <c r="L657">
        <v>10.78</v>
      </c>
      <c r="M657">
        <v>9.9700000000000006</v>
      </c>
      <c r="N657">
        <v>10.01</v>
      </c>
      <c r="O657">
        <v>5.3034629999999998</v>
      </c>
      <c r="P657">
        <v>16339200</v>
      </c>
      <c r="R657" s="273">
        <f>(O657/O656)*('16. câmbio USD-BRL'!O453/'16. câmbio USD-BRL'!O452)^-1-1</f>
        <v>-6.5966976828937374E-2</v>
      </c>
    </row>
    <row r="658" spans="10:18" x14ac:dyDescent="0.2">
      <c r="J658" s="354">
        <v>41113</v>
      </c>
      <c r="K658">
        <v>9.8000000000000007</v>
      </c>
      <c r="L658">
        <v>10.15</v>
      </c>
      <c r="M658">
        <v>9</v>
      </c>
      <c r="N658">
        <v>9.84</v>
      </c>
      <c r="O658">
        <v>5.2133950000000002</v>
      </c>
      <c r="P658">
        <v>26497300</v>
      </c>
      <c r="R658" s="273">
        <f>(O658/O657)*('16. câmbio USD-BRL'!O454/'16. câmbio USD-BRL'!O453)^-1-1</f>
        <v>-1.5035525917362458E-2</v>
      </c>
    </row>
    <row r="659" spans="10:18" x14ac:dyDescent="0.2">
      <c r="J659" s="354">
        <v>41120</v>
      </c>
      <c r="K659">
        <v>9.8699999999999992</v>
      </c>
      <c r="L659">
        <v>10.67</v>
      </c>
      <c r="M659">
        <v>9.67</v>
      </c>
      <c r="N659">
        <v>10.44</v>
      </c>
      <c r="O659">
        <v>5.5312840000000003</v>
      </c>
      <c r="P659">
        <v>25520200</v>
      </c>
      <c r="R659" s="273">
        <f>(O659/O658)*('16. câmbio USD-BRL'!O455/'16. câmbio USD-BRL'!O454)^-1-1</f>
        <v>5.7310032339344064E-2</v>
      </c>
    </row>
    <row r="660" spans="10:18" x14ac:dyDescent="0.2">
      <c r="J660" s="354">
        <v>41127</v>
      </c>
      <c r="K660">
        <v>10.39</v>
      </c>
      <c r="L660">
        <v>11.78</v>
      </c>
      <c r="M660">
        <v>10.34</v>
      </c>
      <c r="N660">
        <v>11.23</v>
      </c>
      <c r="O660">
        <v>5.9498410000000002</v>
      </c>
      <c r="P660">
        <v>25382700</v>
      </c>
      <c r="R660" s="273">
        <f>(O660/O659)*('16. câmbio USD-BRL'!O456/'16. câmbio USD-BRL'!O455)^-1-1</f>
        <v>8.213310671621632E-2</v>
      </c>
    </row>
    <row r="661" spans="10:18" x14ac:dyDescent="0.2">
      <c r="J661" s="354">
        <v>41134</v>
      </c>
      <c r="K661">
        <v>10.9</v>
      </c>
      <c r="L661">
        <v>11.07</v>
      </c>
      <c r="M661">
        <v>9.92</v>
      </c>
      <c r="N661">
        <v>10.65</v>
      </c>
      <c r="O661">
        <v>5.6425460000000003</v>
      </c>
      <c r="P661">
        <v>27540200</v>
      </c>
      <c r="R661" s="273">
        <f>(O661/O660)*('16. câmbio USD-BRL'!O457/'16. câmbio USD-BRL'!O456)^-1-1</f>
        <v>-5.0940787260854936E-2</v>
      </c>
    </row>
    <row r="662" spans="10:18" x14ac:dyDescent="0.2">
      <c r="J662" s="354">
        <v>41141</v>
      </c>
      <c r="K662">
        <v>10.7</v>
      </c>
      <c r="L662">
        <v>11.99</v>
      </c>
      <c r="M662">
        <v>10.4</v>
      </c>
      <c r="N662">
        <v>10.92</v>
      </c>
      <c r="O662">
        <v>5.785596</v>
      </c>
      <c r="P662">
        <v>38712300</v>
      </c>
      <c r="R662" s="273">
        <f>(O662/O661)*('16. câmbio USD-BRL'!O458/'16. câmbio USD-BRL'!O457)^-1-1</f>
        <v>2.0030397505981679E-2</v>
      </c>
    </row>
    <row r="663" spans="10:18" x14ac:dyDescent="0.2">
      <c r="J663" s="354">
        <v>41148</v>
      </c>
      <c r="K663">
        <v>10.92</v>
      </c>
      <c r="L663">
        <v>10.94</v>
      </c>
      <c r="M663">
        <v>9.5500000000000007</v>
      </c>
      <c r="N663">
        <v>9.94</v>
      </c>
      <c r="O663">
        <v>5.2663760000000002</v>
      </c>
      <c r="P663">
        <v>36366000</v>
      </c>
      <c r="R663" s="273">
        <f>(O663/O662)*('16. câmbio USD-BRL'!O459/'16. câmbio USD-BRL'!O458)^-1-1</f>
        <v>-9.1808552849792835E-2</v>
      </c>
    </row>
    <row r="664" spans="10:18" x14ac:dyDescent="0.2">
      <c r="J664" s="354">
        <v>41155</v>
      </c>
      <c r="K664">
        <v>10.09</v>
      </c>
      <c r="L664">
        <v>10.87</v>
      </c>
      <c r="M664">
        <v>9.5500000000000007</v>
      </c>
      <c r="N664">
        <v>10.52</v>
      </c>
      <c r="O664">
        <v>5.5736699999999999</v>
      </c>
      <c r="P664">
        <v>32180900</v>
      </c>
      <c r="R664" s="273">
        <f>(O664/O663)*('16. câmbio USD-BRL'!O460/'16. câmbio USD-BRL'!O459)^-1-1</f>
        <v>5.9604337520607453E-2</v>
      </c>
    </row>
    <row r="665" spans="10:18" x14ac:dyDescent="0.2">
      <c r="J665" s="354">
        <v>41162</v>
      </c>
      <c r="K665">
        <v>11.22</v>
      </c>
      <c r="L665">
        <v>14.55</v>
      </c>
      <c r="M665">
        <v>10.99</v>
      </c>
      <c r="N665">
        <v>13.7</v>
      </c>
      <c r="O665">
        <v>7.2584869999999997</v>
      </c>
      <c r="P665">
        <v>58689100</v>
      </c>
      <c r="R665" s="273">
        <f>(O665/O664)*('16. câmbio USD-BRL'!O461/'16. câmbio USD-BRL'!O460)^-1-1</f>
        <v>0.31265147201848875</v>
      </c>
    </row>
    <row r="666" spans="10:18" x14ac:dyDescent="0.2">
      <c r="J666" s="354">
        <v>41169</v>
      </c>
      <c r="K666">
        <v>13.54</v>
      </c>
      <c r="L666">
        <v>13.73</v>
      </c>
      <c r="M666">
        <v>12.71</v>
      </c>
      <c r="N666">
        <v>12.85</v>
      </c>
      <c r="O666">
        <v>6.8081420000000001</v>
      </c>
      <c r="P666">
        <v>27386200</v>
      </c>
      <c r="R666" s="273">
        <f>(O666/O665)*('16. câmbio USD-BRL'!O462/'16. câmbio USD-BRL'!O461)^-1-1</f>
        <v>-6.6457723461532003E-2</v>
      </c>
    </row>
    <row r="667" spans="10:18" x14ac:dyDescent="0.2">
      <c r="J667" s="354">
        <v>41176</v>
      </c>
      <c r="K667">
        <v>12.83</v>
      </c>
      <c r="L667">
        <v>12.94</v>
      </c>
      <c r="M667">
        <v>11.25</v>
      </c>
      <c r="N667">
        <v>11.42</v>
      </c>
      <c r="O667">
        <v>6.0505060000000004</v>
      </c>
      <c r="P667">
        <v>40650800</v>
      </c>
      <c r="R667" s="273">
        <f>(O667/O666)*('16. câmbio USD-BRL'!O463/'16. câmbio USD-BRL'!O462)^-1-1</f>
        <v>-0.11295350604516574</v>
      </c>
    </row>
    <row r="668" spans="10:18" x14ac:dyDescent="0.2">
      <c r="J668" s="354">
        <v>41183</v>
      </c>
      <c r="K668">
        <v>11.5</v>
      </c>
      <c r="L668">
        <v>11.88</v>
      </c>
      <c r="M668">
        <v>10.89</v>
      </c>
      <c r="N668">
        <v>11.05</v>
      </c>
      <c r="O668">
        <v>5.8544710000000002</v>
      </c>
      <c r="P668">
        <v>21156700</v>
      </c>
      <c r="R668" s="273">
        <f>(O668/O667)*('16. câmbio USD-BRL'!O464/'16. câmbio USD-BRL'!O463)^-1-1</f>
        <v>-2.019213671346487E-2</v>
      </c>
    </row>
    <row r="669" spans="10:18" x14ac:dyDescent="0.2">
      <c r="J669" s="354">
        <v>41190</v>
      </c>
      <c r="K669">
        <v>10.95</v>
      </c>
      <c r="L669">
        <v>11.59</v>
      </c>
      <c r="M669">
        <v>10.78</v>
      </c>
      <c r="N669">
        <v>11.22</v>
      </c>
      <c r="O669">
        <v>5.9445420000000002</v>
      </c>
      <c r="P669">
        <v>20857900</v>
      </c>
      <c r="R669" s="273">
        <f>(O669/O668)*('16. câmbio USD-BRL'!O465/'16. câmbio USD-BRL'!O464)^-1-1</f>
        <v>-6.6950795359969062E-3</v>
      </c>
    </row>
    <row r="670" spans="10:18" x14ac:dyDescent="0.2">
      <c r="J670" s="354">
        <v>41197</v>
      </c>
      <c r="K670">
        <v>11.25</v>
      </c>
      <c r="L670">
        <v>11.98</v>
      </c>
      <c r="M670">
        <v>10.93</v>
      </c>
      <c r="N670">
        <v>11.41</v>
      </c>
      <c r="O670">
        <v>6.0452070000000004</v>
      </c>
      <c r="P670">
        <v>25728000</v>
      </c>
      <c r="R670" s="273">
        <f>(O670/O669)*('16. câmbio USD-BRL'!O466/'16. câmbio USD-BRL'!O465)^-1-1</f>
        <v>2.5522736405148461E-2</v>
      </c>
    </row>
    <row r="671" spans="10:18" x14ac:dyDescent="0.2">
      <c r="J671" s="354">
        <v>41204</v>
      </c>
      <c r="K671">
        <v>11.45</v>
      </c>
      <c r="L671">
        <v>11.7</v>
      </c>
      <c r="M671">
        <v>10.85</v>
      </c>
      <c r="N671">
        <v>11.07</v>
      </c>
      <c r="O671">
        <v>5.8650679999999999</v>
      </c>
      <c r="P671">
        <v>19236700</v>
      </c>
      <c r="R671" s="273">
        <f>(O671/O670)*('16. câmbio USD-BRL'!O467/'16. câmbio USD-BRL'!O466)^-1-1</f>
        <v>-3.0038180979371054E-2</v>
      </c>
    </row>
    <row r="672" spans="10:18" x14ac:dyDescent="0.2">
      <c r="J672" s="354">
        <v>41211</v>
      </c>
      <c r="K672">
        <v>10.97</v>
      </c>
      <c r="L672">
        <v>11.59</v>
      </c>
      <c r="M672">
        <v>10.86</v>
      </c>
      <c r="N672">
        <v>11.5</v>
      </c>
      <c r="O672">
        <v>6.0928909999999998</v>
      </c>
      <c r="P672">
        <v>12805000</v>
      </c>
      <c r="R672" s="273">
        <f>(O672/O671)*('16. câmbio USD-BRL'!O468/'16. câmbio USD-BRL'!O467)^-1-1</f>
        <v>3.7000676216943917E-2</v>
      </c>
    </row>
    <row r="673" spans="10:18" x14ac:dyDescent="0.2">
      <c r="J673" s="354">
        <v>41218</v>
      </c>
      <c r="K673">
        <v>11.45</v>
      </c>
      <c r="L673">
        <v>11.95</v>
      </c>
      <c r="M673">
        <v>10.92</v>
      </c>
      <c r="N673">
        <v>11.05</v>
      </c>
      <c r="O673">
        <v>5.8544710000000002</v>
      </c>
      <c r="P673">
        <v>26144100</v>
      </c>
      <c r="R673" s="273">
        <f>(O673/O672)*('16. câmbio USD-BRL'!O469/'16. câmbio USD-BRL'!O468)^-1-1</f>
        <v>-4.6509497294641711E-2</v>
      </c>
    </row>
    <row r="674" spans="10:18" x14ac:dyDescent="0.2">
      <c r="J674" s="354">
        <v>41225</v>
      </c>
      <c r="K674">
        <v>11.08</v>
      </c>
      <c r="L674">
        <v>11.15</v>
      </c>
      <c r="M674">
        <v>9.82</v>
      </c>
      <c r="N674">
        <v>9.83</v>
      </c>
      <c r="O674">
        <v>5.2080970000000004</v>
      </c>
      <c r="P674">
        <v>25152600</v>
      </c>
      <c r="R674" s="273">
        <f>(O674/O673)*('16. câmbio USD-BRL'!O470/'16. câmbio USD-BRL'!O469)^-1-1</f>
        <v>-0.12584202107952103</v>
      </c>
    </row>
    <row r="675" spans="10:18" x14ac:dyDescent="0.2">
      <c r="J675" s="354">
        <v>41232</v>
      </c>
      <c r="K675">
        <v>10.119999999999999</v>
      </c>
      <c r="L675">
        <v>10.72</v>
      </c>
      <c r="M675">
        <v>10</v>
      </c>
      <c r="N675">
        <v>10.7</v>
      </c>
      <c r="O675">
        <v>5.669035</v>
      </c>
      <c r="P675">
        <v>17244900</v>
      </c>
      <c r="R675" s="273">
        <f>(O675/O674)*('16. câmbio USD-BRL'!O471/'16. câmbio USD-BRL'!O470)^-1-1</f>
        <v>8.8765759025697388E-2</v>
      </c>
    </row>
    <row r="676" spans="10:18" x14ac:dyDescent="0.2">
      <c r="J676" s="354">
        <v>41239</v>
      </c>
      <c r="K676">
        <v>10.6</v>
      </c>
      <c r="L676">
        <v>11.23</v>
      </c>
      <c r="M676">
        <v>9.9499999999999993</v>
      </c>
      <c r="N676">
        <v>10.49</v>
      </c>
      <c r="O676">
        <v>5.5577750000000004</v>
      </c>
      <c r="P676">
        <v>34555200</v>
      </c>
      <c r="R676" s="273">
        <f>(O676/O675)*('16. câmbio USD-BRL'!O472/'16. câmbio USD-BRL'!O471)^-1-1</f>
        <v>-4.4343158603028843E-2</v>
      </c>
    </row>
    <row r="677" spans="10:18" x14ac:dyDescent="0.2">
      <c r="J677" s="354">
        <v>41246</v>
      </c>
      <c r="K677">
        <v>10.42</v>
      </c>
      <c r="L677">
        <v>10.92</v>
      </c>
      <c r="M677">
        <v>10.3</v>
      </c>
      <c r="N677">
        <v>10.72</v>
      </c>
      <c r="O677">
        <v>5.6796329999999999</v>
      </c>
      <c r="P677">
        <v>29814300</v>
      </c>
      <c r="R677" s="273">
        <f>(O677/O676)*('16. câmbio USD-BRL'!O473/'16. câmbio USD-BRL'!O472)^-1-1</f>
        <v>5.1693855811716816E-2</v>
      </c>
    </row>
    <row r="678" spans="10:18" x14ac:dyDescent="0.2">
      <c r="J678" s="354">
        <v>41253</v>
      </c>
      <c r="K678">
        <v>10.69</v>
      </c>
      <c r="L678">
        <v>11.84</v>
      </c>
      <c r="M678">
        <v>10.59</v>
      </c>
      <c r="N678">
        <v>11.61</v>
      </c>
      <c r="O678">
        <v>6.1511699999999996</v>
      </c>
      <c r="P678">
        <v>30234000</v>
      </c>
      <c r="R678" s="273">
        <f>(O678/O677)*('16. câmbio USD-BRL'!O474/'16. câmbio USD-BRL'!O473)^-1-1</f>
        <v>7.6997282146523682E-2</v>
      </c>
    </row>
    <row r="679" spans="10:18" x14ac:dyDescent="0.2">
      <c r="J679" s="354">
        <v>41260</v>
      </c>
      <c r="K679">
        <v>11.6</v>
      </c>
      <c r="L679">
        <v>12.44</v>
      </c>
      <c r="M679">
        <v>11.44</v>
      </c>
      <c r="N679">
        <v>11.73</v>
      </c>
      <c r="O679">
        <v>6.2147459999999999</v>
      </c>
      <c r="P679">
        <v>32381600</v>
      </c>
      <c r="R679" s="273">
        <f>(O679/O678)*('16. câmbio USD-BRL'!O475/'16. câmbio USD-BRL'!O474)^-1-1</f>
        <v>1.804994369678159E-2</v>
      </c>
    </row>
    <row r="680" spans="10:18" x14ac:dyDescent="0.2">
      <c r="J680" s="354">
        <v>41267</v>
      </c>
      <c r="K680">
        <v>11.73</v>
      </c>
      <c r="L680">
        <v>11.99</v>
      </c>
      <c r="M680">
        <v>11.62</v>
      </c>
      <c r="N680">
        <v>11.86</v>
      </c>
      <c r="O680">
        <v>6.2836239999999997</v>
      </c>
      <c r="P680">
        <v>9433100</v>
      </c>
      <c r="R680" s="273">
        <f>(O680/O679)*('16. câmbio USD-BRL'!O476/'16. câmbio USD-BRL'!O475)^-1-1</f>
        <v>2.3047304258138279E-2</v>
      </c>
    </row>
    <row r="681" spans="10:18" x14ac:dyDescent="0.2">
      <c r="J681" s="354">
        <v>41274</v>
      </c>
      <c r="K681">
        <v>11.86</v>
      </c>
      <c r="L681">
        <v>12.89</v>
      </c>
      <c r="M681">
        <v>11.86</v>
      </c>
      <c r="N681">
        <v>12.32</v>
      </c>
      <c r="O681">
        <v>6.6454190000000004</v>
      </c>
      <c r="P681">
        <v>20281400</v>
      </c>
      <c r="R681" s="273">
        <f>(O681/O680)*('16. câmbio USD-BRL'!O477/'16. câmbio USD-BRL'!O476)^-1-1</f>
        <v>6.4186000690160672E-2</v>
      </c>
    </row>
    <row r="682" spans="10:18" x14ac:dyDescent="0.2">
      <c r="J682" s="354">
        <v>41281</v>
      </c>
      <c r="K682">
        <v>12.37</v>
      </c>
      <c r="L682">
        <v>12.84</v>
      </c>
      <c r="M682">
        <v>12.04</v>
      </c>
      <c r="N682">
        <v>12.62</v>
      </c>
      <c r="O682">
        <v>6.8072379999999999</v>
      </c>
      <c r="P682">
        <v>24796500</v>
      </c>
      <c r="R682" s="273">
        <f>(O682/O681)*('16. câmbio USD-BRL'!O478/'16. câmbio USD-BRL'!O477)^-1-1</f>
        <v>2.5713096509581757E-2</v>
      </c>
    </row>
    <row r="683" spans="10:18" x14ac:dyDescent="0.2">
      <c r="J683" s="354">
        <v>41288</v>
      </c>
      <c r="K683">
        <v>12.62</v>
      </c>
      <c r="L683">
        <v>12.85</v>
      </c>
      <c r="M683">
        <v>11.76</v>
      </c>
      <c r="N683">
        <v>12</v>
      </c>
      <c r="O683">
        <v>6.4728110000000001</v>
      </c>
      <c r="P683">
        <v>29372400</v>
      </c>
      <c r="R683" s="273">
        <f>(O683/O682)*('16. câmbio USD-BRL'!O479/'16. câmbio USD-BRL'!O478)^-1-1</f>
        <v>-4.9174994190356425E-2</v>
      </c>
    </row>
    <row r="684" spans="10:18" x14ac:dyDescent="0.2">
      <c r="J684" s="354">
        <v>41295</v>
      </c>
      <c r="K684">
        <v>12</v>
      </c>
      <c r="L684">
        <v>12.09</v>
      </c>
      <c r="M684">
        <v>11.33</v>
      </c>
      <c r="N684">
        <v>11.38</v>
      </c>
      <c r="O684">
        <v>6.138382</v>
      </c>
      <c r="P684">
        <v>17157500</v>
      </c>
      <c r="R684" s="273">
        <f>(O684/O683)*('16. câmbio USD-BRL'!O480/'16. câmbio USD-BRL'!O479)^-1-1</f>
        <v>-5.105897725696984E-2</v>
      </c>
    </row>
    <row r="685" spans="10:18" x14ac:dyDescent="0.2">
      <c r="J685" s="354">
        <v>41302</v>
      </c>
      <c r="K685">
        <v>11.5</v>
      </c>
      <c r="L685">
        <v>11.64</v>
      </c>
      <c r="M685">
        <v>10.64</v>
      </c>
      <c r="N685">
        <v>11.15</v>
      </c>
      <c r="O685">
        <v>6.0143199999999997</v>
      </c>
      <c r="P685">
        <v>28159000</v>
      </c>
      <c r="R685" s="273">
        <f>(O685/O684)*('16. câmbio USD-BRL'!O481/'16. câmbio USD-BRL'!O480)^-1-1</f>
        <v>5.5490516805378753E-4</v>
      </c>
    </row>
    <row r="686" spans="10:18" x14ac:dyDescent="0.2">
      <c r="J686" s="354">
        <v>41309</v>
      </c>
      <c r="K686">
        <v>11.09</v>
      </c>
      <c r="L686">
        <v>11.09</v>
      </c>
      <c r="M686">
        <v>10.56</v>
      </c>
      <c r="N686">
        <v>10.58</v>
      </c>
      <c r="O686">
        <v>5.7068620000000001</v>
      </c>
      <c r="P686">
        <v>22901200</v>
      </c>
      <c r="R686" s="273">
        <f>(O686/O685)*('16. câmbio USD-BRL'!O482/'16. câmbio USD-BRL'!O481)^-1-1</f>
        <v>-4.3270258863876254E-2</v>
      </c>
    </row>
    <row r="687" spans="10:18" x14ac:dyDescent="0.2">
      <c r="J687" s="354">
        <v>41316</v>
      </c>
      <c r="K687">
        <v>10.58</v>
      </c>
      <c r="L687">
        <v>10.83</v>
      </c>
      <c r="M687">
        <v>10.45</v>
      </c>
      <c r="N687">
        <v>10.63</v>
      </c>
      <c r="O687">
        <v>5.7338319999999996</v>
      </c>
      <c r="P687">
        <v>9249700</v>
      </c>
      <c r="R687" s="273">
        <f>(O687/O686)*('16. câmbio USD-BRL'!O483/'16. câmbio USD-BRL'!O482)^-1-1</f>
        <v>7.2310579985896961E-3</v>
      </c>
    </row>
    <row r="688" spans="10:18" x14ac:dyDescent="0.2">
      <c r="J688" s="354">
        <v>41323</v>
      </c>
      <c r="K688">
        <v>10.66</v>
      </c>
      <c r="L688">
        <v>10.79</v>
      </c>
      <c r="M688">
        <v>9.61</v>
      </c>
      <c r="N688">
        <v>9.7200000000000006</v>
      </c>
      <c r="O688">
        <v>5.2429769999999998</v>
      </c>
      <c r="P688">
        <v>23440800</v>
      </c>
      <c r="R688" s="273">
        <f>(O688/O687)*('16. câmbio USD-BRL'!O484/'16. câmbio USD-BRL'!O483)^-1-1</f>
        <v>-8.7417845811320949E-2</v>
      </c>
    </row>
    <row r="689" spans="10:18" x14ac:dyDescent="0.2">
      <c r="J689" s="354">
        <v>41330</v>
      </c>
      <c r="K689">
        <v>9.85</v>
      </c>
      <c r="L689">
        <v>10.28</v>
      </c>
      <c r="M689">
        <v>9.5500000000000007</v>
      </c>
      <c r="N689">
        <v>9.7200000000000006</v>
      </c>
      <c r="O689">
        <v>5.2429769999999998</v>
      </c>
      <c r="P689">
        <v>32947300</v>
      </c>
      <c r="R689" s="273">
        <f>(O689/O688)*('16. câmbio USD-BRL'!O485/'16. câmbio USD-BRL'!O484)^-1-1</f>
        <v>-6.0572409267579674E-3</v>
      </c>
    </row>
    <row r="690" spans="10:18" x14ac:dyDescent="0.2">
      <c r="J690" s="354">
        <v>41337</v>
      </c>
      <c r="K690">
        <v>9.7100000000000009</v>
      </c>
      <c r="L690">
        <v>11</v>
      </c>
      <c r="M690">
        <v>9.57</v>
      </c>
      <c r="N690">
        <v>10.64</v>
      </c>
      <c r="O690">
        <v>5.7392260000000004</v>
      </c>
      <c r="P690">
        <v>33022000</v>
      </c>
      <c r="R690" s="273">
        <f>(O690/O689)*('16. câmbio USD-BRL'!O486/'16. câmbio USD-BRL'!O485)^-1-1</f>
        <v>0.11674729832261477</v>
      </c>
    </row>
    <row r="691" spans="10:18" x14ac:dyDescent="0.2">
      <c r="J691" s="354">
        <v>41344</v>
      </c>
      <c r="K691">
        <v>10.55</v>
      </c>
      <c r="L691">
        <v>10.69</v>
      </c>
      <c r="M691">
        <v>9.75</v>
      </c>
      <c r="N691">
        <v>9.7799999999999994</v>
      </c>
      <c r="O691">
        <v>5.2753399999999999</v>
      </c>
      <c r="P691">
        <v>29343800</v>
      </c>
      <c r="R691" s="273">
        <f>(O691/O690)*('16. câmbio USD-BRL'!O487/'16. câmbio USD-BRL'!O486)^-1-1</f>
        <v>-9.796770059390103E-2</v>
      </c>
    </row>
    <row r="692" spans="10:18" x14ac:dyDescent="0.2">
      <c r="J692" s="354">
        <v>41351</v>
      </c>
      <c r="K692">
        <v>9.7100000000000009</v>
      </c>
      <c r="L692">
        <v>9.99</v>
      </c>
      <c r="M692">
        <v>9.09</v>
      </c>
      <c r="N692">
        <v>9.3000000000000007</v>
      </c>
      <c r="O692">
        <v>5.0164289999999996</v>
      </c>
      <c r="P692">
        <v>36957400</v>
      </c>
      <c r="R692" s="273">
        <f>(O692/O691)*('16. câmbio USD-BRL'!O488/'16. câmbio USD-BRL'!O487)^-1-1</f>
        <v>-6.2207075016750379E-2</v>
      </c>
    </row>
    <row r="693" spans="10:18" x14ac:dyDescent="0.2">
      <c r="J693" s="354">
        <v>41358</v>
      </c>
      <c r="K693">
        <v>9.3800000000000008</v>
      </c>
      <c r="L693">
        <v>9.3800000000000008</v>
      </c>
      <c r="M693">
        <v>8.9</v>
      </c>
      <c r="N693">
        <v>9.09</v>
      </c>
      <c r="O693">
        <v>4.9031539999999998</v>
      </c>
      <c r="P693">
        <v>25240800</v>
      </c>
      <c r="R693" s="273">
        <f>(O693/O692)*('16. câmbio USD-BRL'!O489/'16. câmbio USD-BRL'!O488)^-1-1</f>
        <v>-2.8632185841720781E-2</v>
      </c>
    </row>
    <row r="694" spans="10:18" x14ac:dyDescent="0.2">
      <c r="J694" s="354">
        <v>41365</v>
      </c>
      <c r="K694">
        <v>9.35</v>
      </c>
      <c r="L694">
        <v>9.77</v>
      </c>
      <c r="M694">
        <v>8.02</v>
      </c>
      <c r="N694">
        <v>8.43</v>
      </c>
      <c r="O694">
        <v>4.5471500000000002</v>
      </c>
      <c r="P694">
        <v>46227900</v>
      </c>
      <c r="R694" s="273">
        <f>(O694/O693)*('16. câmbio USD-BRL'!O490/'16. câmbio USD-BRL'!O489)^-1-1</f>
        <v>-5.5866186074352564E-2</v>
      </c>
    </row>
    <row r="695" spans="10:18" x14ac:dyDescent="0.2">
      <c r="J695" s="354">
        <v>41372</v>
      </c>
      <c r="K695">
        <v>8.4499999999999993</v>
      </c>
      <c r="L695">
        <v>8.6999999999999993</v>
      </c>
      <c r="M695">
        <v>8.0399999999999991</v>
      </c>
      <c r="N695">
        <v>8.18</v>
      </c>
      <c r="O695">
        <v>4.5896970000000001</v>
      </c>
      <c r="P695">
        <v>35522000</v>
      </c>
      <c r="R695" s="273">
        <f>(O695/O694)*('16. câmbio USD-BRL'!O491/'16. câmbio USD-BRL'!O490)^-1-1</f>
        <v>1.808386975472609E-2</v>
      </c>
    </row>
    <row r="696" spans="10:18" x14ac:dyDescent="0.2">
      <c r="J696" s="354">
        <v>41379</v>
      </c>
      <c r="K696">
        <v>8.0500000000000007</v>
      </c>
      <c r="L696">
        <v>8.1</v>
      </c>
      <c r="M696">
        <v>7.57</v>
      </c>
      <c r="N696">
        <v>7.85</v>
      </c>
      <c r="O696">
        <v>4.4045379999999996</v>
      </c>
      <c r="P696">
        <v>41727600</v>
      </c>
      <c r="R696" s="273">
        <f>(O696/O695)*('16. câmbio USD-BRL'!O492/'16. câmbio USD-BRL'!O491)^-1-1</f>
        <v>-5.9007110932146167E-2</v>
      </c>
    </row>
    <row r="697" spans="10:18" x14ac:dyDescent="0.2">
      <c r="J697" s="354">
        <v>41386</v>
      </c>
      <c r="K697">
        <v>7.96</v>
      </c>
      <c r="L697">
        <v>8.16</v>
      </c>
      <c r="M697">
        <v>7.61</v>
      </c>
      <c r="N697">
        <v>7.86</v>
      </c>
      <c r="O697">
        <v>4.4101499999999998</v>
      </c>
      <c r="P697">
        <v>25054700</v>
      </c>
      <c r="R697" s="273">
        <f>(O697/O696)*('16. câmbio USD-BRL'!O493/'16. câmbio USD-BRL'!O492)^-1-1</f>
        <v>7.2517465594603703E-3</v>
      </c>
    </row>
    <row r="698" spans="10:18" x14ac:dyDescent="0.2">
      <c r="J698" s="354">
        <v>41393</v>
      </c>
      <c r="K698">
        <v>7.89</v>
      </c>
      <c r="L698">
        <v>8.02</v>
      </c>
      <c r="M698">
        <v>7.67</v>
      </c>
      <c r="N698">
        <v>7.76</v>
      </c>
      <c r="O698">
        <v>4.3540419999999997</v>
      </c>
      <c r="P698">
        <v>33788200</v>
      </c>
      <c r="R698" s="273">
        <f>(O698/O697)*('16. câmbio USD-BRL'!O494/'16. câmbio USD-BRL'!O493)^-1-1</f>
        <v>-2.0925223366743961E-2</v>
      </c>
    </row>
    <row r="699" spans="10:18" x14ac:dyDescent="0.2">
      <c r="J699" s="354">
        <v>41400</v>
      </c>
      <c r="K699">
        <v>7.8</v>
      </c>
      <c r="L699">
        <v>7.89</v>
      </c>
      <c r="M699">
        <v>7.26</v>
      </c>
      <c r="N699">
        <v>7.27</v>
      </c>
      <c r="O699">
        <v>4.0791069999999996</v>
      </c>
      <c r="P699">
        <v>38113200</v>
      </c>
      <c r="R699" s="273">
        <f>(O699/O698)*('16. câmbio USD-BRL'!O495/'16. câmbio USD-BRL'!O494)^-1-1</f>
        <v>-6.4912601364565004E-2</v>
      </c>
    </row>
    <row r="700" spans="10:18" x14ac:dyDescent="0.2">
      <c r="J700" s="354">
        <v>41407</v>
      </c>
      <c r="K700">
        <v>7.25</v>
      </c>
      <c r="L700">
        <v>7.29</v>
      </c>
      <c r="M700">
        <v>6.5</v>
      </c>
      <c r="N700">
        <v>6.72</v>
      </c>
      <c r="O700">
        <v>3.7705099999999998</v>
      </c>
      <c r="P700">
        <v>42301900</v>
      </c>
      <c r="R700" s="273">
        <f>(O700/O699)*('16. câmbio USD-BRL'!O496/'16. câmbio USD-BRL'!O495)^-1-1</f>
        <v>-8.3571370842845716E-2</v>
      </c>
    </row>
    <row r="701" spans="10:18" x14ac:dyDescent="0.2">
      <c r="J701" s="354">
        <v>41414</v>
      </c>
      <c r="K701">
        <v>6.8</v>
      </c>
      <c r="L701">
        <v>7.38</v>
      </c>
      <c r="M701">
        <v>6.59</v>
      </c>
      <c r="N701">
        <v>7.05</v>
      </c>
      <c r="O701">
        <v>3.9556680000000002</v>
      </c>
      <c r="P701">
        <v>36705000</v>
      </c>
      <c r="R701" s="273">
        <f>(O701/O700)*('16. câmbio USD-BRL'!O497/'16. câmbio USD-BRL'!O496)^-1-1</f>
        <v>4.1060092966981543E-2</v>
      </c>
    </row>
    <row r="702" spans="10:18" x14ac:dyDescent="0.2">
      <c r="J702" s="354">
        <v>41421</v>
      </c>
      <c r="K702">
        <v>7.13</v>
      </c>
      <c r="L702">
        <v>7.2</v>
      </c>
      <c r="M702">
        <v>6.55</v>
      </c>
      <c r="N702">
        <v>6.61</v>
      </c>
      <c r="O702">
        <v>3.70879</v>
      </c>
      <c r="P702">
        <v>26534700</v>
      </c>
      <c r="R702" s="273">
        <f>(O702/O701)*('16. câmbio USD-BRL'!O498/'16. câmbio USD-BRL'!O497)^-1-1</f>
        <v>-8.1702230810918985E-2</v>
      </c>
    </row>
    <row r="703" spans="10:18" x14ac:dyDescent="0.2">
      <c r="J703" s="354">
        <v>41428</v>
      </c>
      <c r="K703">
        <v>6.71</v>
      </c>
      <c r="L703">
        <v>6.86</v>
      </c>
      <c r="M703">
        <v>6.07</v>
      </c>
      <c r="N703">
        <v>6.1</v>
      </c>
      <c r="O703">
        <v>3.4226350000000001</v>
      </c>
      <c r="P703">
        <v>34506500</v>
      </c>
      <c r="R703" s="273">
        <f>(O703/O702)*('16. câmbio USD-BRL'!O499/'16. câmbio USD-BRL'!O498)^-1-1</f>
        <v>-9.4146868771594727E-2</v>
      </c>
    </row>
    <row r="704" spans="10:18" x14ac:dyDescent="0.2">
      <c r="J704" s="354">
        <v>41435</v>
      </c>
      <c r="K704">
        <v>6.13</v>
      </c>
      <c r="L704">
        <v>6.53</v>
      </c>
      <c r="M704">
        <v>5.76</v>
      </c>
      <c r="N704">
        <v>6.53</v>
      </c>
      <c r="O704">
        <v>3.6639029999999999</v>
      </c>
      <c r="P704">
        <v>49857600</v>
      </c>
      <c r="R704" s="273">
        <f>(O704/O703)*('16. câmbio USD-BRL'!O500/'16. câmbio USD-BRL'!O499)^-1-1</f>
        <v>8.7189599705116194E-2</v>
      </c>
    </row>
    <row r="705" spans="10:18" x14ac:dyDescent="0.2">
      <c r="J705" s="354">
        <v>41442</v>
      </c>
      <c r="K705">
        <v>6.54</v>
      </c>
      <c r="L705">
        <v>6.75</v>
      </c>
      <c r="M705">
        <v>6.2</v>
      </c>
      <c r="N705">
        <v>6.38</v>
      </c>
      <c r="O705">
        <v>3.5797400000000001</v>
      </c>
      <c r="P705">
        <v>54015100</v>
      </c>
      <c r="R705" s="273">
        <f>(O705/O704)*('16. câmbio USD-BRL'!O501/'16. câmbio USD-BRL'!O500)^-1-1</f>
        <v>-8.4992677803801597E-2</v>
      </c>
    </row>
    <row r="706" spans="10:18" x14ac:dyDescent="0.2">
      <c r="J706" s="354">
        <v>41449</v>
      </c>
      <c r="K706">
        <v>6.31</v>
      </c>
      <c r="L706">
        <v>6.45</v>
      </c>
      <c r="M706">
        <v>5.93</v>
      </c>
      <c r="N706">
        <v>5.96</v>
      </c>
      <c r="O706">
        <v>3.3440829999999999</v>
      </c>
      <c r="P706">
        <v>31799600</v>
      </c>
      <c r="R706" s="273">
        <f>(O706/O705)*('16. câmbio USD-BRL'!O502/'16. câmbio USD-BRL'!O501)^-1-1</f>
        <v>-4.479360188970416E-2</v>
      </c>
    </row>
    <row r="707" spans="10:18" x14ac:dyDescent="0.2">
      <c r="J707" s="354">
        <v>41456</v>
      </c>
      <c r="K707">
        <v>6.15</v>
      </c>
      <c r="L707">
        <v>6.29</v>
      </c>
      <c r="M707">
        <v>5.28</v>
      </c>
      <c r="N707">
        <v>5.45</v>
      </c>
      <c r="O707">
        <v>3.057928</v>
      </c>
      <c r="P707">
        <v>33099700</v>
      </c>
      <c r="R707" s="273">
        <f>(O707/O706)*('16. câmbio USD-BRL'!O503/'16. câmbio USD-BRL'!O502)^-1-1</f>
        <v>-0.10929078262452452</v>
      </c>
    </row>
    <row r="708" spans="10:18" x14ac:dyDescent="0.2">
      <c r="J708" s="354">
        <v>41463</v>
      </c>
      <c r="K708">
        <v>5.4</v>
      </c>
      <c r="L708">
        <v>5.95</v>
      </c>
      <c r="M708">
        <v>5.4</v>
      </c>
      <c r="N708">
        <v>5.61</v>
      </c>
      <c r="O708">
        <v>3.1477029999999999</v>
      </c>
      <c r="P708">
        <v>21863100</v>
      </c>
      <c r="R708" s="273">
        <f>(O708/O707)*('16. câmbio USD-BRL'!O504/'16. câmbio USD-BRL'!O503)^-1-1</f>
        <v>2.2804881770433383E-2</v>
      </c>
    </row>
    <row r="709" spans="10:18" x14ac:dyDescent="0.2">
      <c r="J709" s="354">
        <v>41470</v>
      </c>
      <c r="K709">
        <v>5.64</v>
      </c>
      <c r="L709">
        <v>6.13</v>
      </c>
      <c r="M709">
        <v>5.64</v>
      </c>
      <c r="N709">
        <v>6</v>
      </c>
      <c r="O709">
        <v>3.3665259999999999</v>
      </c>
      <c r="P709">
        <v>35167300</v>
      </c>
      <c r="R709" s="273">
        <f>(O709/O708)*('16. câmbio USD-BRL'!O505/'16. câmbio USD-BRL'!O504)^-1-1</f>
        <v>7.8049674893422738E-2</v>
      </c>
    </row>
    <row r="710" spans="10:18" x14ac:dyDescent="0.2">
      <c r="J710" s="354">
        <v>41477</v>
      </c>
      <c r="K710">
        <v>6.01</v>
      </c>
      <c r="L710">
        <v>6.65</v>
      </c>
      <c r="M710">
        <v>6.01</v>
      </c>
      <c r="N710">
        <v>6.4</v>
      </c>
      <c r="O710">
        <v>3.5909610000000001</v>
      </c>
      <c r="P710">
        <v>25511200</v>
      </c>
      <c r="R710" s="273">
        <f>(O710/O709)*('16. câmbio USD-BRL'!O506/'16. câmbio USD-BRL'!O505)^-1-1</f>
        <v>6.1745899380101221E-2</v>
      </c>
    </row>
    <row r="711" spans="10:18" x14ac:dyDescent="0.2">
      <c r="J711" s="354">
        <v>41484</v>
      </c>
      <c r="K711">
        <v>6.95</v>
      </c>
      <c r="L711">
        <v>7.43</v>
      </c>
      <c r="M711">
        <v>6.43</v>
      </c>
      <c r="N711">
        <v>6.45</v>
      </c>
      <c r="O711">
        <v>3.6190159999999998</v>
      </c>
      <c r="P711">
        <v>41235500</v>
      </c>
      <c r="R711" s="273">
        <f>(O711/O710)*('16. câmbio USD-BRL'!O507/'16. câmbio USD-BRL'!O506)^-1-1</f>
        <v>-5.2482979556048859E-3</v>
      </c>
    </row>
    <row r="712" spans="10:18" x14ac:dyDescent="0.2">
      <c r="J712" s="354">
        <v>41491</v>
      </c>
      <c r="K712">
        <v>6.48</v>
      </c>
      <c r="L712">
        <v>7.09</v>
      </c>
      <c r="M712">
        <v>6.41</v>
      </c>
      <c r="N712">
        <v>7.06</v>
      </c>
      <c r="O712">
        <v>3.9612790000000002</v>
      </c>
      <c r="P712">
        <v>44638300</v>
      </c>
      <c r="R712" s="273">
        <f>(O712/O711)*('16. câmbio USD-BRL'!O508/'16. câmbio USD-BRL'!O507)^-1-1</f>
        <v>9.7215654111640015E-2</v>
      </c>
    </row>
    <row r="713" spans="10:18" x14ac:dyDescent="0.2">
      <c r="J713" s="354">
        <v>41498</v>
      </c>
      <c r="K713">
        <v>7.1</v>
      </c>
      <c r="L713">
        <v>8.35</v>
      </c>
      <c r="M713">
        <v>7.08</v>
      </c>
      <c r="N713">
        <v>8.35</v>
      </c>
      <c r="O713">
        <v>4.7914209999999997</v>
      </c>
      <c r="P713">
        <v>76236600</v>
      </c>
      <c r="R713" s="273">
        <f>(O713/O712)*('16. câmbio USD-BRL'!O509/'16. câmbio USD-BRL'!O508)^-1-1</f>
        <v>0.15434214764278176</v>
      </c>
    </row>
    <row r="714" spans="10:18" x14ac:dyDescent="0.2">
      <c r="J714" s="354">
        <v>41505</v>
      </c>
      <c r="K714">
        <v>8.27</v>
      </c>
      <c r="L714">
        <v>9.07</v>
      </c>
      <c r="M714">
        <v>8.23</v>
      </c>
      <c r="N714">
        <v>8.81</v>
      </c>
      <c r="O714">
        <v>5.0553800000000004</v>
      </c>
      <c r="P714">
        <v>56265800</v>
      </c>
      <c r="R714" s="273">
        <f>(O714/O713)*('16. câmbio USD-BRL'!O510/'16. câmbio USD-BRL'!O509)^-1-1</f>
        <v>4.437279610742717E-2</v>
      </c>
    </row>
    <row r="715" spans="10:18" x14ac:dyDescent="0.2">
      <c r="J715" s="354">
        <v>41512</v>
      </c>
      <c r="K715">
        <v>8.81</v>
      </c>
      <c r="L715">
        <v>8.94</v>
      </c>
      <c r="M715">
        <v>8.33</v>
      </c>
      <c r="N715">
        <v>8.5</v>
      </c>
      <c r="O715">
        <v>4.8774940000000004</v>
      </c>
      <c r="P715">
        <v>39208600</v>
      </c>
      <c r="R715" s="273">
        <f>(O715/O714)*('16. câmbio USD-BRL'!O511/'16. câmbio USD-BRL'!O510)^-1-1</f>
        <v>-2.2502693464120926E-2</v>
      </c>
    </row>
    <row r="716" spans="10:18" x14ac:dyDescent="0.2">
      <c r="J716" s="354">
        <v>41519</v>
      </c>
      <c r="K716">
        <v>8.61</v>
      </c>
      <c r="L716">
        <v>9.35</v>
      </c>
      <c r="M716">
        <v>8.6</v>
      </c>
      <c r="N716">
        <v>9.19</v>
      </c>
      <c r="O716">
        <v>5.2734319999999997</v>
      </c>
      <c r="P716">
        <v>39602400</v>
      </c>
      <c r="R716" s="273">
        <f>(O716/O715)*('16. câmbio USD-BRL'!O512/'16. câmbio USD-BRL'!O511)^-1-1</f>
        <v>0.11881984978506255</v>
      </c>
    </row>
    <row r="717" spans="10:18" x14ac:dyDescent="0.2">
      <c r="J717" s="354">
        <v>41526</v>
      </c>
      <c r="K717">
        <v>9.18</v>
      </c>
      <c r="L717">
        <v>9.6199999999999992</v>
      </c>
      <c r="M717">
        <v>9.17</v>
      </c>
      <c r="N717">
        <v>9.43</v>
      </c>
      <c r="O717">
        <v>5.4111500000000001</v>
      </c>
      <c r="P717">
        <v>41667900</v>
      </c>
      <c r="R717" s="273">
        <f>(O717/O716)*('16. câmbio USD-BRL'!O513/'16. câmbio USD-BRL'!O512)^-1-1</f>
        <v>4.7004560507879045E-2</v>
      </c>
    </row>
    <row r="718" spans="10:18" x14ac:dyDescent="0.2">
      <c r="J718" s="354">
        <v>41533</v>
      </c>
      <c r="K718">
        <v>9.5</v>
      </c>
      <c r="L718">
        <v>9.57</v>
      </c>
      <c r="M718">
        <v>9.14</v>
      </c>
      <c r="N718">
        <v>9.25</v>
      </c>
      <c r="O718">
        <v>5.3078620000000001</v>
      </c>
      <c r="P718">
        <v>33657400</v>
      </c>
      <c r="R718" s="273">
        <f>(O718/O717)*('16. câmbio USD-BRL'!O514/'16. câmbio USD-BRL'!O513)^-1-1</f>
        <v>1.8855263421575508E-3</v>
      </c>
    </row>
    <row r="719" spans="10:18" x14ac:dyDescent="0.2">
      <c r="J719" s="354">
        <v>41540</v>
      </c>
      <c r="K719">
        <v>9.43</v>
      </c>
      <c r="L719">
        <v>9.7899999999999991</v>
      </c>
      <c r="M719">
        <v>9.16</v>
      </c>
      <c r="N719">
        <v>9.67</v>
      </c>
      <c r="O719">
        <v>5.5488670000000004</v>
      </c>
      <c r="P719">
        <v>40511400</v>
      </c>
      <c r="R719" s="273">
        <f>(O719/O718)*('16. câmbio USD-BRL'!O515/'16. câmbio USD-BRL'!O514)^-1-1</f>
        <v>3.825625235353769E-2</v>
      </c>
    </row>
    <row r="720" spans="10:18" x14ac:dyDescent="0.2">
      <c r="J720" s="354">
        <v>41547</v>
      </c>
      <c r="K720">
        <v>9.73</v>
      </c>
      <c r="L720">
        <v>9.85</v>
      </c>
      <c r="M720">
        <v>9.24</v>
      </c>
      <c r="N720">
        <v>9.7799999999999994</v>
      </c>
      <c r="O720">
        <v>5.6119880000000002</v>
      </c>
      <c r="P720">
        <v>34972700</v>
      </c>
      <c r="R720" s="273">
        <f>(O720/O719)*('16. câmbio USD-BRL'!O516/'16. câmbio USD-BRL'!O515)^-1-1</f>
        <v>1.8339419773045984E-2</v>
      </c>
    </row>
    <row r="721" spans="10:18" x14ac:dyDescent="0.2">
      <c r="J721" s="354">
        <v>41554</v>
      </c>
      <c r="K721">
        <v>9.7100000000000009</v>
      </c>
      <c r="L721">
        <v>10.69</v>
      </c>
      <c r="M721">
        <v>9.7100000000000009</v>
      </c>
      <c r="N721">
        <v>10.61</v>
      </c>
      <c r="O721">
        <v>6.0882610000000001</v>
      </c>
      <c r="P721">
        <v>38799400</v>
      </c>
      <c r="R721" s="273">
        <f>(O721/O720)*('16. câmbio USD-BRL'!O517/'16. câmbio USD-BRL'!O516)^-1-1</f>
        <v>0.10565284649474793</v>
      </c>
    </row>
    <row r="722" spans="10:18" x14ac:dyDescent="0.2">
      <c r="J722" s="354">
        <v>41561</v>
      </c>
      <c r="K722">
        <v>10.6</v>
      </c>
      <c r="L722">
        <v>11.99</v>
      </c>
      <c r="M722">
        <v>10.51</v>
      </c>
      <c r="N722">
        <v>11.76</v>
      </c>
      <c r="O722">
        <v>6.748157</v>
      </c>
      <c r="P722">
        <v>49606200</v>
      </c>
      <c r="R722" s="273">
        <f>(O722/O721)*('16. câmbio USD-BRL'!O518/'16. câmbio USD-BRL'!O517)^-1-1</f>
        <v>0.10833708757256733</v>
      </c>
    </row>
    <row r="723" spans="10:18" x14ac:dyDescent="0.2">
      <c r="J723" s="354">
        <v>41568</v>
      </c>
      <c r="K723">
        <v>11.67</v>
      </c>
      <c r="L723">
        <v>12.42</v>
      </c>
      <c r="M723">
        <v>11.56</v>
      </c>
      <c r="N723">
        <v>11.7</v>
      </c>
      <c r="O723">
        <v>6.7137279999999997</v>
      </c>
      <c r="P723">
        <v>38237500</v>
      </c>
      <c r="R723" s="273">
        <f>(O723/O722)*('16. câmbio USD-BRL'!O519/'16. câmbio USD-BRL'!O518)^-1-1</f>
        <v>-1.3436829820246077E-2</v>
      </c>
    </row>
    <row r="724" spans="10:18" x14ac:dyDescent="0.2">
      <c r="J724" s="354">
        <v>41575</v>
      </c>
      <c r="K724">
        <v>11.72</v>
      </c>
      <c r="L724">
        <v>13.04</v>
      </c>
      <c r="M724">
        <v>11.69</v>
      </c>
      <c r="N724">
        <v>12.85</v>
      </c>
      <c r="O724">
        <v>7.3736240000000004</v>
      </c>
      <c r="P724">
        <v>32983100</v>
      </c>
      <c r="R724" s="273">
        <f>(O724/O723)*('16. câmbio USD-BRL'!O520/'16. câmbio USD-BRL'!O519)^-1-1</f>
        <v>6.5464258858064062E-2</v>
      </c>
    </row>
    <row r="725" spans="10:18" x14ac:dyDescent="0.2">
      <c r="J725" s="354">
        <v>41582</v>
      </c>
      <c r="K725">
        <v>12.85</v>
      </c>
      <c r="L725">
        <v>13.09</v>
      </c>
      <c r="M725">
        <v>12.33</v>
      </c>
      <c r="N725">
        <v>12.81</v>
      </c>
      <c r="O725">
        <v>7.35067</v>
      </c>
      <c r="P725">
        <v>31281400</v>
      </c>
      <c r="R725" s="273">
        <f>(O725/O724)*('16. câmbio USD-BRL'!O521/'16. câmbio USD-BRL'!O520)^-1-1</f>
        <v>-2.7977964818246548E-2</v>
      </c>
    </row>
    <row r="726" spans="10:18" x14ac:dyDescent="0.2">
      <c r="J726" s="354">
        <v>41589</v>
      </c>
      <c r="K726">
        <v>12.83</v>
      </c>
      <c r="L726">
        <v>12.99</v>
      </c>
      <c r="M726">
        <v>11.95</v>
      </c>
      <c r="N726">
        <v>12.62</v>
      </c>
      <c r="O726">
        <v>7.2416450000000001</v>
      </c>
      <c r="P726">
        <v>23830300</v>
      </c>
      <c r="R726" s="273">
        <f>(O726/O725)*('16. câmbio USD-BRL'!O522/'16. câmbio USD-BRL'!O521)^-1-1</f>
        <v>-1.7639576156827763E-2</v>
      </c>
    </row>
    <row r="727" spans="10:18" x14ac:dyDescent="0.2">
      <c r="J727" s="354">
        <v>41596</v>
      </c>
      <c r="K727">
        <v>12.79</v>
      </c>
      <c r="L727">
        <v>12.92</v>
      </c>
      <c r="M727">
        <v>12.31</v>
      </c>
      <c r="N727">
        <v>12.5</v>
      </c>
      <c r="O727">
        <v>7.6395340000000003</v>
      </c>
      <c r="P727">
        <v>19954700</v>
      </c>
      <c r="R727" s="273">
        <f>(O727/O726)*('16. câmbio USD-BRL'!O523/'16. câmbio USD-BRL'!O522)^-1-1</f>
        <v>7.4477133907670856E-2</v>
      </c>
    </row>
    <row r="728" spans="10:18" x14ac:dyDescent="0.2">
      <c r="J728" s="354">
        <v>41603</v>
      </c>
      <c r="K728">
        <v>12.55</v>
      </c>
      <c r="L728">
        <v>12.63</v>
      </c>
      <c r="M728">
        <v>11.72</v>
      </c>
      <c r="N728">
        <v>11.91</v>
      </c>
      <c r="O728">
        <v>7.2789460000000004</v>
      </c>
      <c r="P728">
        <v>22208200</v>
      </c>
      <c r="R728" s="273">
        <f>(O728/O727)*('16. câmbio USD-BRL'!O524/'16. câmbio USD-BRL'!O523)^-1-1</f>
        <v>-7.0501095693863758E-2</v>
      </c>
    </row>
    <row r="729" spans="10:18" x14ac:dyDescent="0.2">
      <c r="J729" s="354">
        <v>41610</v>
      </c>
      <c r="K729">
        <v>11.7</v>
      </c>
      <c r="L729">
        <v>12.74</v>
      </c>
      <c r="M729">
        <v>11.7</v>
      </c>
      <c r="N729">
        <v>12.51</v>
      </c>
      <c r="O729">
        <v>7.6456439999999999</v>
      </c>
      <c r="P729">
        <v>27636400</v>
      </c>
      <c r="R729" s="273">
        <f>(O729/O728)*('16. câmbio USD-BRL'!O525/'16. câmbio USD-BRL'!O524)^-1-1</f>
        <v>5.4449480978215004E-2</v>
      </c>
    </row>
    <row r="730" spans="10:18" x14ac:dyDescent="0.2">
      <c r="J730" s="354">
        <v>41617</v>
      </c>
      <c r="K730">
        <v>12.59</v>
      </c>
      <c r="L730">
        <v>12.94</v>
      </c>
      <c r="M730">
        <v>12.39</v>
      </c>
      <c r="N730">
        <v>12.64</v>
      </c>
      <c r="O730">
        <v>7.7250959999999997</v>
      </c>
      <c r="P730">
        <v>19500400</v>
      </c>
      <c r="R730" s="273">
        <f>(O730/O729)*('16. câmbio USD-BRL'!O526/'16. câmbio USD-BRL'!O525)^-1-1</f>
        <v>9.001152787973421E-3</v>
      </c>
    </row>
    <row r="731" spans="10:18" x14ac:dyDescent="0.2">
      <c r="J731" s="354">
        <v>41624</v>
      </c>
      <c r="K731">
        <v>12.63</v>
      </c>
      <c r="L731">
        <v>14.33</v>
      </c>
      <c r="M731">
        <v>12.6</v>
      </c>
      <c r="N731">
        <v>13.85</v>
      </c>
      <c r="O731">
        <v>8.4646019999999993</v>
      </c>
      <c r="P731">
        <v>34262600</v>
      </c>
      <c r="R731" s="273">
        <f>(O731/O730)*('16. câmbio USD-BRL'!O527/'16. câmbio USD-BRL'!O526)^-1-1</f>
        <v>6.9193352545059206E-2</v>
      </c>
    </row>
    <row r="732" spans="10:18" x14ac:dyDescent="0.2">
      <c r="J732" s="354">
        <v>41631</v>
      </c>
      <c r="K732">
        <v>13.91</v>
      </c>
      <c r="L732">
        <v>14.7</v>
      </c>
      <c r="M732">
        <v>13.91</v>
      </c>
      <c r="N732">
        <v>14.35</v>
      </c>
      <c r="O732">
        <v>8.7701840000000004</v>
      </c>
      <c r="P732">
        <v>12543900</v>
      </c>
      <c r="R732" s="273">
        <f>(O732/O731)*('16. câmbio USD-BRL'!O528/'16. câmbio USD-BRL'!O527)^-1-1</f>
        <v>5.794653854127696E-2</v>
      </c>
    </row>
    <row r="733" spans="10:18" x14ac:dyDescent="0.2">
      <c r="J733" s="354">
        <v>41638</v>
      </c>
      <c r="K733">
        <v>14.4</v>
      </c>
      <c r="L733">
        <v>14.63</v>
      </c>
      <c r="M733">
        <v>13.87</v>
      </c>
      <c r="N733">
        <v>14.48</v>
      </c>
      <c r="O733">
        <v>8.8496330000000007</v>
      </c>
      <c r="P733">
        <v>32128900</v>
      </c>
      <c r="R733" s="273">
        <f>(O733/O732)*('16. câmbio USD-BRL'!O529/'16. câmbio USD-BRL'!O528)^-1-1</f>
        <v>-7.1097825303250151E-3</v>
      </c>
    </row>
    <row r="734" spans="10:18" x14ac:dyDescent="0.2">
      <c r="J734" s="354">
        <v>41645</v>
      </c>
      <c r="K734">
        <v>14.38</v>
      </c>
      <c r="L734">
        <v>14.56</v>
      </c>
      <c r="M734">
        <v>13.65</v>
      </c>
      <c r="N734">
        <v>13.89</v>
      </c>
      <c r="O734">
        <v>8.4890480000000004</v>
      </c>
      <c r="P734">
        <v>33804500</v>
      </c>
      <c r="R734" s="273">
        <f>(O734/O733)*('16. câmbio USD-BRL'!O530/'16. câmbio USD-BRL'!O529)^-1-1</f>
        <v>-3.3409204955376581E-2</v>
      </c>
    </row>
    <row r="735" spans="10:18" x14ac:dyDescent="0.2">
      <c r="J735" s="354">
        <v>41652</v>
      </c>
      <c r="K735">
        <v>13.84</v>
      </c>
      <c r="L735">
        <v>14.13</v>
      </c>
      <c r="M735">
        <v>13.54</v>
      </c>
      <c r="N735">
        <v>13.75</v>
      </c>
      <c r="O735">
        <v>8.4034849999999999</v>
      </c>
      <c r="P735">
        <v>19790800</v>
      </c>
      <c r="R735" s="273">
        <f>(O735/O734)*('16. câmbio USD-BRL'!O531/'16. câmbio USD-BRL'!O530)^-1-1</f>
        <v>-7.549073122152139E-3</v>
      </c>
    </row>
    <row r="736" spans="10:18" x14ac:dyDescent="0.2">
      <c r="J736" s="354">
        <v>41659</v>
      </c>
      <c r="K736">
        <v>13.75</v>
      </c>
      <c r="L736">
        <v>13.83</v>
      </c>
      <c r="M736">
        <v>11.62</v>
      </c>
      <c r="N736">
        <v>11.8</v>
      </c>
      <c r="O736">
        <v>7.2117180000000003</v>
      </c>
      <c r="P736">
        <v>47132900</v>
      </c>
      <c r="R736" s="273">
        <f>(O736/O735)*('16. câmbio USD-BRL'!O532/'16. câmbio USD-BRL'!O531)^-1-1</f>
        <v>-0.15820582984134424</v>
      </c>
    </row>
    <row r="737" spans="10:18" x14ac:dyDescent="0.2">
      <c r="J737" s="354">
        <v>41666</v>
      </c>
      <c r="K737">
        <v>11.84</v>
      </c>
      <c r="L737">
        <v>12.05</v>
      </c>
      <c r="M737">
        <v>10.9</v>
      </c>
      <c r="N737">
        <v>11.19</v>
      </c>
      <c r="O737">
        <v>6.838908</v>
      </c>
      <c r="P737">
        <v>32549700</v>
      </c>
      <c r="R737" s="273">
        <f>(O737/O736)*('16. câmbio USD-BRL'!O533/'16. câmbio USD-BRL'!O532)^-1-1</f>
        <v>-6.3087376863599443E-2</v>
      </c>
    </row>
    <row r="738" spans="10:18" x14ac:dyDescent="0.2">
      <c r="J738" s="354">
        <v>41673</v>
      </c>
      <c r="K738">
        <v>11.07</v>
      </c>
      <c r="L738">
        <v>11.73</v>
      </c>
      <c r="M738">
        <v>10.62</v>
      </c>
      <c r="N738">
        <v>11.62</v>
      </c>
      <c r="O738">
        <v>7.1017089999999996</v>
      </c>
      <c r="P738">
        <v>23948500</v>
      </c>
      <c r="R738" s="273">
        <f>(O738/O737)*('16. câmbio USD-BRL'!O534/'16. câmbio USD-BRL'!O533)^-1-1</f>
        <v>5.9019253313926656E-2</v>
      </c>
    </row>
    <row r="739" spans="10:18" x14ac:dyDescent="0.2">
      <c r="J739" s="354">
        <v>41680</v>
      </c>
      <c r="K739">
        <v>11.54</v>
      </c>
      <c r="L739">
        <v>11.94</v>
      </c>
      <c r="M739">
        <v>11.1</v>
      </c>
      <c r="N739">
        <v>11.68</v>
      </c>
      <c r="O739">
        <v>7.1383799999999997</v>
      </c>
      <c r="P739">
        <v>24342700</v>
      </c>
      <c r="R739" s="273">
        <f>(O739/O738)*('16. câmbio USD-BRL'!O535/'16. câmbio USD-BRL'!O534)^-1-1</f>
        <v>1.4113453907000917E-3</v>
      </c>
    </row>
    <row r="740" spans="10:18" x14ac:dyDescent="0.2">
      <c r="J740" s="354">
        <v>41687</v>
      </c>
      <c r="K740">
        <v>11.68</v>
      </c>
      <c r="L740">
        <v>11.77</v>
      </c>
      <c r="M740">
        <v>10.55</v>
      </c>
      <c r="N740">
        <v>11.31</v>
      </c>
      <c r="O740">
        <v>6.9122490000000001</v>
      </c>
      <c r="P740">
        <v>33569700</v>
      </c>
      <c r="R740" s="273">
        <f>(O740/O739)*('16. câmbio USD-BRL'!O536/'16. câmbio USD-BRL'!O535)^-1-1</f>
        <v>-1.3681956262899919E-2</v>
      </c>
    </row>
    <row r="741" spans="10:18" x14ac:dyDescent="0.2">
      <c r="J741" s="354">
        <v>41694</v>
      </c>
      <c r="K741">
        <v>11.25</v>
      </c>
      <c r="L741">
        <v>11.35</v>
      </c>
      <c r="M741">
        <v>9.93</v>
      </c>
      <c r="N741">
        <v>9.93</v>
      </c>
      <c r="O741">
        <v>6.0688449999999996</v>
      </c>
      <c r="P741">
        <v>30320400</v>
      </c>
      <c r="R741" s="273">
        <f>(O741/O740)*('16. câmbio USD-BRL'!O537/'16. câmbio USD-BRL'!O536)^-1-1</f>
        <v>-0.11930672829054934</v>
      </c>
    </row>
    <row r="742" spans="10:18" x14ac:dyDescent="0.2">
      <c r="J742" s="354">
        <v>41701</v>
      </c>
      <c r="K742">
        <v>10.23</v>
      </c>
      <c r="L742">
        <v>10.23</v>
      </c>
      <c r="M742">
        <v>9.1</v>
      </c>
      <c r="N742">
        <v>9.15</v>
      </c>
      <c r="O742">
        <v>5.5921370000000001</v>
      </c>
      <c r="P742">
        <v>17593800</v>
      </c>
      <c r="R742" s="273">
        <f>(O742/O741)*('16. câmbio USD-BRL'!O538/'16. câmbio USD-BRL'!O537)^-1-1</f>
        <v>-7.9417989641202613E-2</v>
      </c>
    </row>
    <row r="743" spans="10:18" x14ac:dyDescent="0.2">
      <c r="J743" s="354">
        <v>41708</v>
      </c>
      <c r="K743">
        <v>8.98</v>
      </c>
      <c r="L743">
        <v>9.9700000000000006</v>
      </c>
      <c r="M743">
        <v>8.5</v>
      </c>
      <c r="N743">
        <v>9.61</v>
      </c>
      <c r="O743">
        <v>6.0509000000000004</v>
      </c>
      <c r="P743">
        <v>45495600</v>
      </c>
      <c r="R743" s="273">
        <f>(O743/O742)*('16. câmbio USD-BRL'!O539/'16. câmbio USD-BRL'!O538)^-1-1</f>
        <v>7.9771832986101909E-2</v>
      </c>
    </row>
    <row r="744" spans="10:18" x14ac:dyDescent="0.2">
      <c r="J744" s="354">
        <v>41715</v>
      </c>
      <c r="K744">
        <v>9.75</v>
      </c>
      <c r="L744">
        <v>9.8800000000000008</v>
      </c>
      <c r="M744">
        <v>9.43</v>
      </c>
      <c r="N744">
        <v>9.6300000000000008</v>
      </c>
      <c r="O744">
        <v>6.0634930000000002</v>
      </c>
      <c r="P744">
        <v>27384900</v>
      </c>
      <c r="R744" s="273">
        <f>(O744/O743)*('16. câmbio USD-BRL'!O540/'16. câmbio USD-BRL'!O539)^-1-1</f>
        <v>1.1022931771874633E-2</v>
      </c>
    </row>
    <row r="745" spans="10:18" x14ac:dyDescent="0.2">
      <c r="J745" s="354">
        <v>41722</v>
      </c>
      <c r="K745">
        <v>9.75</v>
      </c>
      <c r="L745">
        <v>10.31</v>
      </c>
      <c r="M745">
        <v>9.6300000000000008</v>
      </c>
      <c r="N745">
        <v>9.89</v>
      </c>
      <c r="O745">
        <v>6.227201</v>
      </c>
      <c r="P745">
        <v>28644000</v>
      </c>
      <c r="R745" s="273">
        <f>(O745/O744)*('16. câmbio USD-BRL'!O541/'16. câmbio USD-BRL'!O540)^-1-1</f>
        <v>5.5995827094363682E-2</v>
      </c>
    </row>
    <row r="746" spans="10:18" x14ac:dyDescent="0.2">
      <c r="J746" s="354">
        <v>41729</v>
      </c>
      <c r="K746">
        <v>9.9600000000000009</v>
      </c>
      <c r="L746">
        <v>10.15</v>
      </c>
      <c r="M746">
        <v>9.52</v>
      </c>
      <c r="N746">
        <v>9.9700000000000006</v>
      </c>
      <c r="O746">
        <v>6.2775730000000003</v>
      </c>
      <c r="P746">
        <v>26987400</v>
      </c>
      <c r="R746" s="273">
        <f>(O746/O745)*('16. câmbio USD-BRL'!O542/'16. câmbio USD-BRL'!O541)^-1-1</f>
        <v>6.0378001915801782E-3</v>
      </c>
    </row>
    <row r="747" spans="10:18" x14ac:dyDescent="0.2">
      <c r="J747" s="354">
        <v>41736</v>
      </c>
      <c r="K747">
        <v>10.09</v>
      </c>
      <c r="L747">
        <v>10.14</v>
      </c>
      <c r="M747">
        <v>8.91</v>
      </c>
      <c r="N747">
        <v>9.16</v>
      </c>
      <c r="O747">
        <v>5.7675590000000003</v>
      </c>
      <c r="P747">
        <v>33685000</v>
      </c>
      <c r="R747" s="273">
        <f>(O747/O746)*('16. câmbio USD-BRL'!O543/'16. câmbio USD-BRL'!O542)^-1-1</f>
        <v>-6.2711146194527778E-2</v>
      </c>
    </row>
    <row r="748" spans="10:18" x14ac:dyDescent="0.2">
      <c r="J748" s="354">
        <v>41743</v>
      </c>
      <c r="K748">
        <v>9.26</v>
      </c>
      <c r="L748">
        <v>9.6199999999999992</v>
      </c>
      <c r="M748">
        <v>8.92</v>
      </c>
      <c r="N748">
        <v>9.3699999999999992</v>
      </c>
      <c r="O748">
        <v>5.8997840000000004</v>
      </c>
      <c r="P748">
        <v>29498100</v>
      </c>
      <c r="R748" s="273">
        <f>(O748/O747)*('16. câmbio USD-BRL'!O544/'16. câmbio USD-BRL'!O543)^-1-1</f>
        <v>1.7324847598946924E-2</v>
      </c>
    </row>
    <row r="749" spans="10:18" x14ac:dyDescent="0.2">
      <c r="J749" s="354">
        <v>41750</v>
      </c>
      <c r="K749">
        <v>9.3699999999999992</v>
      </c>
      <c r="L749">
        <v>9.5500000000000007</v>
      </c>
      <c r="M749">
        <v>8.75</v>
      </c>
      <c r="N749">
        <v>8.8000000000000007</v>
      </c>
      <c r="O749">
        <v>5.5408869999999997</v>
      </c>
      <c r="P749">
        <v>24476800</v>
      </c>
      <c r="R749" s="273">
        <f>(O749/O748)*('16. câmbio USD-BRL'!O545/'16. câmbio USD-BRL'!O544)^-1-1</f>
        <v>-6.5278885284759669E-2</v>
      </c>
    </row>
    <row r="750" spans="10:18" x14ac:dyDescent="0.2">
      <c r="J750" s="354">
        <v>41757</v>
      </c>
      <c r="K750">
        <v>8.76</v>
      </c>
      <c r="L750">
        <v>9.0500000000000007</v>
      </c>
      <c r="M750">
        <v>8.5500000000000007</v>
      </c>
      <c r="N750">
        <v>8.9499999999999993</v>
      </c>
      <c r="O750">
        <v>5.6353340000000003</v>
      </c>
      <c r="P750">
        <v>19521300</v>
      </c>
      <c r="R750" s="273">
        <f>(O750/O749)*('16. câmbio USD-BRL'!O546/'16. câmbio USD-BRL'!O545)^-1-1</f>
        <v>2.0738507593822675E-2</v>
      </c>
    </row>
    <row r="751" spans="10:18" x14ac:dyDescent="0.2">
      <c r="J751" s="354">
        <v>41764</v>
      </c>
      <c r="K751">
        <v>8.9499999999999993</v>
      </c>
      <c r="L751">
        <v>9.2899999999999991</v>
      </c>
      <c r="M751">
        <v>8.83</v>
      </c>
      <c r="N751">
        <v>9.0399999999999991</v>
      </c>
      <c r="O751">
        <v>5.6920019999999996</v>
      </c>
      <c r="P751">
        <v>34227400</v>
      </c>
      <c r="R751" s="273">
        <f>(O751/O750)*('16. câmbio USD-BRL'!O547/'16. câmbio USD-BRL'!O546)^-1-1</f>
        <v>2.0671146336886936E-2</v>
      </c>
    </row>
    <row r="752" spans="10:18" x14ac:dyDescent="0.2">
      <c r="J752" s="354">
        <v>41771</v>
      </c>
      <c r="K752">
        <v>9.14</v>
      </c>
      <c r="L752">
        <v>9.57</v>
      </c>
      <c r="M752">
        <v>9.0299999999999994</v>
      </c>
      <c r="N752">
        <v>9.34</v>
      </c>
      <c r="O752">
        <v>5.880897</v>
      </c>
      <c r="P752">
        <v>19946300</v>
      </c>
      <c r="R752" s="273">
        <f>(O752/O751)*('16. câmbio USD-BRL'!O548/'16. câmbio USD-BRL'!O547)^-1-1</f>
        <v>3.6708264069478691E-2</v>
      </c>
    </row>
    <row r="753" spans="10:18" x14ac:dyDescent="0.2">
      <c r="J753" s="354">
        <v>41778</v>
      </c>
      <c r="K753">
        <v>9.33</v>
      </c>
      <c r="L753">
        <v>9.33</v>
      </c>
      <c r="M753">
        <v>8.6</v>
      </c>
      <c r="N753">
        <v>8.68</v>
      </c>
      <c r="O753">
        <v>5.4653299999999998</v>
      </c>
      <c r="P753">
        <v>27530900</v>
      </c>
      <c r="R753" s="273">
        <f>(O753/O752)*('16. câmbio USD-BRL'!O549/'16. câmbio USD-BRL'!O548)^-1-1</f>
        <v>-7.8621242017699156E-2</v>
      </c>
    </row>
    <row r="754" spans="10:18" x14ac:dyDescent="0.2">
      <c r="J754" s="354">
        <v>41785</v>
      </c>
      <c r="K754">
        <v>8.86</v>
      </c>
      <c r="L754">
        <v>9.1999999999999993</v>
      </c>
      <c r="M754">
        <v>8.5299999999999994</v>
      </c>
      <c r="N754">
        <v>8.59</v>
      </c>
      <c r="O754">
        <v>5.4086610000000004</v>
      </c>
      <c r="P754">
        <v>31771500</v>
      </c>
      <c r="R754" s="273">
        <f>(O754/O753)*('16. câmbio USD-BRL'!O550/'16. câmbio USD-BRL'!O549)^-1-1</f>
        <v>-1.2416083035337366E-2</v>
      </c>
    </row>
    <row r="755" spans="10:18" x14ac:dyDescent="0.2">
      <c r="J755" s="354">
        <v>41792</v>
      </c>
      <c r="K755">
        <v>8.6300000000000008</v>
      </c>
      <c r="L755">
        <v>9.2200000000000006</v>
      </c>
      <c r="M755">
        <v>8.57</v>
      </c>
      <c r="N755">
        <v>9.2100000000000009</v>
      </c>
      <c r="O755">
        <v>5.799042</v>
      </c>
      <c r="P755">
        <v>26819200</v>
      </c>
      <c r="R755" s="273">
        <f>(O755/O754)*('16. câmbio USD-BRL'!O551/'16. câmbio USD-BRL'!O550)^-1-1</f>
        <v>6.2998398446188819E-2</v>
      </c>
    </row>
    <row r="756" spans="10:18" x14ac:dyDescent="0.2">
      <c r="J756" s="354">
        <v>41799</v>
      </c>
      <c r="K756">
        <v>9.2100000000000009</v>
      </c>
      <c r="L756">
        <v>9.58</v>
      </c>
      <c r="M756">
        <v>9.14</v>
      </c>
      <c r="N756">
        <v>9.4</v>
      </c>
      <c r="O756">
        <v>5.9186740000000002</v>
      </c>
      <c r="P756">
        <v>22884500</v>
      </c>
      <c r="R756" s="273">
        <f>(O756/O755)*('16. câmbio USD-BRL'!O552/'16. câmbio USD-BRL'!O551)^-1-1</f>
        <v>3.1297575707869285E-2</v>
      </c>
    </row>
    <row r="757" spans="10:18" x14ac:dyDescent="0.2">
      <c r="J757" s="354">
        <v>41806</v>
      </c>
      <c r="K757">
        <v>9.4</v>
      </c>
      <c r="L757">
        <v>9.5299999999999994</v>
      </c>
      <c r="M757">
        <v>9.18</v>
      </c>
      <c r="N757">
        <v>9.27</v>
      </c>
      <c r="O757">
        <v>5.8368209999999996</v>
      </c>
      <c r="P757">
        <v>20436600</v>
      </c>
      <c r="R757" s="273">
        <f>(O757/O756)*('16. câmbio USD-BRL'!O553/'16. câmbio USD-BRL'!O552)^-1-1</f>
        <v>-1.6355646398392487E-2</v>
      </c>
    </row>
    <row r="758" spans="10:18" x14ac:dyDescent="0.2">
      <c r="J758" s="354">
        <v>41813</v>
      </c>
      <c r="K758">
        <v>9.33</v>
      </c>
      <c r="L758">
        <v>9.85</v>
      </c>
      <c r="M758">
        <v>9.3000000000000007</v>
      </c>
      <c r="N758">
        <v>9.36</v>
      </c>
      <c r="O758">
        <v>5.8934879999999996</v>
      </c>
      <c r="P758">
        <v>26797600</v>
      </c>
      <c r="R758" s="273">
        <f>(O758/O757)*('16. câmbio USD-BRL'!O554/'16. câmbio USD-BRL'!O553)^-1-1</f>
        <v>2.4159902544227396E-2</v>
      </c>
    </row>
    <row r="759" spans="10:18" x14ac:dyDescent="0.2">
      <c r="J759" s="354">
        <v>41820</v>
      </c>
      <c r="K759">
        <v>9.36</v>
      </c>
      <c r="L759">
        <v>10.18</v>
      </c>
      <c r="M759">
        <v>9.19</v>
      </c>
      <c r="N759">
        <v>10.11</v>
      </c>
      <c r="O759">
        <v>6.3657219999999999</v>
      </c>
      <c r="P759">
        <v>20956300</v>
      </c>
      <c r="R759" s="273">
        <f>(O759/O758)*('16. câmbio USD-BRL'!O555/'16. câmbio USD-BRL'!O554)^-1-1</f>
        <v>7.2356340007566411E-2</v>
      </c>
    </row>
    <row r="760" spans="10:18" x14ac:dyDescent="0.2">
      <c r="J760" s="354">
        <v>41827</v>
      </c>
      <c r="K760">
        <v>10.039999999999999</v>
      </c>
      <c r="L760">
        <v>10.7</v>
      </c>
      <c r="M760">
        <v>9.9499999999999993</v>
      </c>
      <c r="N760">
        <v>10.63</v>
      </c>
      <c r="O760">
        <v>6.6931399999999996</v>
      </c>
      <c r="P760">
        <v>27180800</v>
      </c>
      <c r="R760" s="273">
        <f>(O760/O759)*('16. câmbio USD-BRL'!O556/'16. câmbio USD-BRL'!O555)^-1-1</f>
        <v>4.7783563675160234E-2</v>
      </c>
    </row>
    <row r="761" spans="10:18" x14ac:dyDescent="0.2">
      <c r="J761" s="354">
        <v>41834</v>
      </c>
      <c r="K761">
        <v>10.63</v>
      </c>
      <c r="L761">
        <v>11.9</v>
      </c>
      <c r="M761">
        <v>10.62</v>
      </c>
      <c r="N761">
        <v>11.56</v>
      </c>
      <c r="O761">
        <v>7.2787100000000002</v>
      </c>
      <c r="P761">
        <v>61385600</v>
      </c>
      <c r="R761" s="273">
        <f>(O761/O760)*('16. câmbio USD-BRL'!O557/'16. câmbio USD-BRL'!O556)^-1-1</f>
        <v>8.5139192763219684E-2</v>
      </c>
    </row>
    <row r="762" spans="10:18" x14ac:dyDescent="0.2">
      <c r="J762" s="354">
        <v>41841</v>
      </c>
      <c r="K762">
        <v>11.6</v>
      </c>
      <c r="L762">
        <v>11.86</v>
      </c>
      <c r="M762">
        <v>11.11</v>
      </c>
      <c r="N762">
        <v>11.3</v>
      </c>
      <c r="O762">
        <v>7.1150010000000004</v>
      </c>
      <c r="P762">
        <v>24361500</v>
      </c>
      <c r="R762" s="273">
        <f>(O762/O761)*('16. câmbio USD-BRL'!O558/'16. câmbio USD-BRL'!O557)^-1-1</f>
        <v>-2.2403504836544852E-2</v>
      </c>
    </row>
    <row r="763" spans="10:18" x14ac:dyDescent="0.2">
      <c r="J763" s="354">
        <v>41848</v>
      </c>
      <c r="K763">
        <v>11.31</v>
      </c>
      <c r="L763">
        <v>11.92</v>
      </c>
      <c r="M763">
        <v>11</v>
      </c>
      <c r="N763">
        <v>11.77</v>
      </c>
      <c r="O763">
        <v>7.4109360000000004</v>
      </c>
      <c r="P763">
        <v>23539600</v>
      </c>
      <c r="R763" s="273">
        <f>(O763/O762)*('16. câmbio USD-BRL'!O559/'16. câmbio USD-BRL'!O558)^-1-1</f>
        <v>2.7626889722127013E-2</v>
      </c>
    </row>
    <row r="764" spans="10:18" x14ac:dyDescent="0.2">
      <c r="J764" s="354">
        <v>41855</v>
      </c>
      <c r="K764">
        <v>11.69</v>
      </c>
      <c r="L764">
        <v>12.08</v>
      </c>
      <c r="M764">
        <v>11.21</v>
      </c>
      <c r="N764">
        <v>11.28</v>
      </c>
      <c r="O764">
        <v>7.1024099999999999</v>
      </c>
      <c r="P764">
        <v>28412300</v>
      </c>
      <c r="R764" s="273">
        <f>(O764/O763)*('16. câmbio USD-BRL'!O560/'16. câmbio USD-BRL'!O559)^-1-1</f>
        <v>-5.2859106405094503E-2</v>
      </c>
    </row>
    <row r="765" spans="10:18" x14ac:dyDescent="0.2">
      <c r="J765" s="354">
        <v>41862</v>
      </c>
      <c r="K765">
        <v>11.32</v>
      </c>
      <c r="L765">
        <v>11.5</v>
      </c>
      <c r="M765">
        <v>10.44</v>
      </c>
      <c r="N765">
        <v>10.45</v>
      </c>
      <c r="O765">
        <v>6.5798030000000001</v>
      </c>
      <c r="P765">
        <v>28041600</v>
      </c>
      <c r="R765" s="273">
        <f>(O765/O764)*('16. câmbio USD-BRL'!O561/'16. câmbio USD-BRL'!O560)^-1-1</f>
        <v>-6.4302679197171253E-2</v>
      </c>
    </row>
    <row r="766" spans="10:18" x14ac:dyDescent="0.2">
      <c r="J766" s="354">
        <v>41869</v>
      </c>
      <c r="K766">
        <v>10.51</v>
      </c>
      <c r="L766">
        <v>10.96</v>
      </c>
      <c r="M766">
        <v>10.3</v>
      </c>
      <c r="N766">
        <v>10.42</v>
      </c>
      <c r="O766">
        <v>6.5609149999999996</v>
      </c>
      <c r="P766">
        <v>20202800</v>
      </c>
      <c r="R766" s="273">
        <f>(O766/O765)*('16. câmbio USD-BRL'!O562/'16. câmbio USD-BRL'!O561)^-1-1</f>
        <v>-1.010921195127612E-2</v>
      </c>
    </row>
    <row r="767" spans="10:18" x14ac:dyDescent="0.2">
      <c r="J767" s="354">
        <v>41876</v>
      </c>
      <c r="K767">
        <v>10.53</v>
      </c>
      <c r="L767">
        <v>10.66</v>
      </c>
      <c r="M767">
        <v>9.6199999999999992</v>
      </c>
      <c r="N767">
        <v>9.84</v>
      </c>
      <c r="O767">
        <v>6.1957190000000004</v>
      </c>
      <c r="P767">
        <v>23376200</v>
      </c>
      <c r="R767" s="273">
        <f>(O767/O766)*('16. câmbio USD-BRL'!O563/'16. câmbio USD-BRL'!O562)^-1-1</f>
        <v>-3.8185594935651324E-2</v>
      </c>
    </row>
    <row r="768" spans="10:18" x14ac:dyDescent="0.2">
      <c r="J768" s="354">
        <v>41883</v>
      </c>
      <c r="K768">
        <v>9.83</v>
      </c>
      <c r="L768">
        <v>10.28</v>
      </c>
      <c r="M768">
        <v>9.64</v>
      </c>
      <c r="N768">
        <v>9.76</v>
      </c>
      <c r="O768">
        <v>6.1453480000000003</v>
      </c>
      <c r="P768">
        <v>26794100</v>
      </c>
      <c r="R768" s="273">
        <f>(O768/O767)*('16. câmbio USD-BRL'!O564/'16. câmbio USD-BRL'!O563)^-1-1</f>
        <v>-1.1540587502700705E-2</v>
      </c>
    </row>
    <row r="769" spans="10:18" x14ac:dyDescent="0.2">
      <c r="J769" s="354">
        <v>41890</v>
      </c>
      <c r="K769">
        <v>9.84</v>
      </c>
      <c r="L769">
        <v>9.8699999999999992</v>
      </c>
      <c r="M769">
        <v>9.3000000000000007</v>
      </c>
      <c r="N769">
        <v>9.4</v>
      </c>
      <c r="O769">
        <v>5.9186740000000002</v>
      </c>
      <c r="P769">
        <v>27469900</v>
      </c>
      <c r="R769" s="273">
        <f>(O769/O768)*('16. câmbio USD-BRL'!O565/'16. câmbio USD-BRL'!O564)^-1-1</f>
        <v>-5.0705407372220068E-2</v>
      </c>
    </row>
    <row r="770" spans="10:18" x14ac:dyDescent="0.2">
      <c r="J770" s="354">
        <v>41897</v>
      </c>
      <c r="K770">
        <v>9.39</v>
      </c>
      <c r="L770">
        <v>10.220000000000001</v>
      </c>
      <c r="M770">
        <v>9.3699999999999992</v>
      </c>
      <c r="N770">
        <v>10.06</v>
      </c>
      <c r="O770">
        <v>6.3342419999999997</v>
      </c>
      <c r="P770">
        <v>27954600</v>
      </c>
      <c r="R770" s="273">
        <f>(O770/O769)*('16. câmbio USD-BRL'!O566/'16. câmbio USD-BRL'!O565)^-1-1</f>
        <v>2.8083285148090997E-2</v>
      </c>
    </row>
    <row r="771" spans="10:18" x14ac:dyDescent="0.2">
      <c r="J771" s="354">
        <v>41904</v>
      </c>
      <c r="K771">
        <v>9.7799999999999994</v>
      </c>
      <c r="L771">
        <v>9.9600000000000009</v>
      </c>
      <c r="M771">
        <v>9.16</v>
      </c>
      <c r="N771">
        <v>9.2100000000000009</v>
      </c>
      <c r="O771">
        <v>5.799042</v>
      </c>
      <c r="P771">
        <v>24667400</v>
      </c>
      <c r="R771" s="273">
        <f>(O771/O770)*('16. câmbio USD-BRL'!O567/'16. câmbio USD-BRL'!O566)^-1-1</f>
        <v>-0.10522616644192817</v>
      </c>
    </row>
    <row r="772" spans="10:18" x14ac:dyDescent="0.2">
      <c r="J772" s="354">
        <v>41911</v>
      </c>
      <c r="K772">
        <v>9.0500000000000007</v>
      </c>
      <c r="L772">
        <v>9.1999999999999993</v>
      </c>
      <c r="M772">
        <v>8.3699999999999992</v>
      </c>
      <c r="N772">
        <v>8.84</v>
      </c>
      <c r="O772">
        <v>5.5660730000000003</v>
      </c>
      <c r="P772">
        <v>30035600</v>
      </c>
      <c r="R772" s="273">
        <f>(O772/O771)*('16. câmbio USD-BRL'!O568/'16. câmbio USD-BRL'!O567)^-1-1</f>
        <v>-5.3897238289950966E-2</v>
      </c>
    </row>
    <row r="773" spans="10:18" x14ac:dyDescent="0.2">
      <c r="J773" s="354">
        <v>41918</v>
      </c>
      <c r="K773">
        <v>9.0500000000000007</v>
      </c>
      <c r="L773">
        <v>9.3800000000000008</v>
      </c>
      <c r="M773">
        <v>8.43</v>
      </c>
      <c r="N773">
        <v>8.43</v>
      </c>
      <c r="O773">
        <v>5.3079179999999999</v>
      </c>
      <c r="P773">
        <v>30367800</v>
      </c>
      <c r="R773" s="273">
        <f>(O773/O772)*('16. câmbio USD-BRL'!O569/'16. câmbio USD-BRL'!O568)^-1-1</f>
        <v>-1.8842622646181972E-2</v>
      </c>
    </row>
    <row r="774" spans="10:18" x14ac:dyDescent="0.2">
      <c r="J774" s="354">
        <v>41925</v>
      </c>
      <c r="K774">
        <v>8.59</v>
      </c>
      <c r="L774">
        <v>9.16</v>
      </c>
      <c r="M774">
        <v>8.48</v>
      </c>
      <c r="N774">
        <v>8.48</v>
      </c>
      <c r="O774">
        <v>5.3394000000000004</v>
      </c>
      <c r="P774">
        <v>25494800</v>
      </c>
      <c r="R774" s="273">
        <f>(O774/O773)*('16. câmbio USD-BRL'!O570/'16. câmbio USD-BRL'!O569)^-1-1</f>
        <v>-1.2567697413350953E-2</v>
      </c>
    </row>
    <row r="775" spans="10:18" x14ac:dyDescent="0.2">
      <c r="J775" s="354">
        <v>41932</v>
      </c>
      <c r="K775">
        <v>8.52</v>
      </c>
      <c r="L775">
        <v>9.4700000000000006</v>
      </c>
      <c r="M775">
        <v>8.19</v>
      </c>
      <c r="N775">
        <v>9.1199999999999992</v>
      </c>
      <c r="O775">
        <v>5.7423729999999997</v>
      </c>
      <c r="P775">
        <v>29449500</v>
      </c>
      <c r="R775" s="273">
        <f>(O775/O774)*('16. câmbio USD-BRL'!O571/'16. câmbio USD-BRL'!O570)^-1-1</f>
        <v>5.8831378481204899E-2</v>
      </c>
    </row>
    <row r="776" spans="10:18" x14ac:dyDescent="0.2">
      <c r="J776" s="354">
        <v>41939</v>
      </c>
      <c r="K776">
        <v>8.8000000000000007</v>
      </c>
      <c r="L776">
        <v>9.07</v>
      </c>
      <c r="M776">
        <v>7.64</v>
      </c>
      <c r="N776">
        <v>8.25</v>
      </c>
      <c r="O776">
        <v>5.1945819999999996</v>
      </c>
      <c r="P776">
        <v>30837700</v>
      </c>
      <c r="R776" s="273">
        <f>(O776/O775)*('16. câmbio USD-BRL'!O572/'16. câmbio USD-BRL'!O571)^-1-1</f>
        <v>-7.4630025500331598E-2</v>
      </c>
    </row>
    <row r="777" spans="10:18" x14ac:dyDescent="0.2">
      <c r="J777" s="354">
        <v>41946</v>
      </c>
      <c r="K777">
        <v>8.19</v>
      </c>
      <c r="L777">
        <v>8.44</v>
      </c>
      <c r="M777">
        <v>7.66</v>
      </c>
      <c r="N777">
        <v>7.87</v>
      </c>
      <c r="O777">
        <v>4.9553159999999998</v>
      </c>
      <c r="P777">
        <v>18745600</v>
      </c>
      <c r="R777" s="273">
        <f>(O777/O776)*('16. câmbio USD-BRL'!O573/'16. câmbio USD-BRL'!O572)^-1-1</f>
        <v>-0.10296402276453454</v>
      </c>
    </row>
    <row r="778" spans="10:18" x14ac:dyDescent="0.2">
      <c r="J778" s="354">
        <v>41953</v>
      </c>
      <c r="K778">
        <v>7.99</v>
      </c>
      <c r="L778">
        <v>8</v>
      </c>
      <c r="M778">
        <v>6.75</v>
      </c>
      <c r="N778">
        <v>7.04</v>
      </c>
      <c r="O778">
        <v>4.432709</v>
      </c>
      <c r="P778">
        <v>29327800</v>
      </c>
      <c r="R778" s="273">
        <f>(O778/O777)*('16. câmbio USD-BRL'!O574/'16. câmbio USD-BRL'!O573)^-1-1</f>
        <v>-0.11586709452850918</v>
      </c>
    </row>
    <row r="779" spans="10:18" x14ac:dyDescent="0.2">
      <c r="J779" s="354">
        <v>41960</v>
      </c>
      <c r="K779">
        <v>7</v>
      </c>
      <c r="L779">
        <v>7.14</v>
      </c>
      <c r="M779">
        <v>6.32</v>
      </c>
      <c r="N779">
        <v>6.68</v>
      </c>
      <c r="O779">
        <v>4.2060370000000002</v>
      </c>
      <c r="P779">
        <v>30604800</v>
      </c>
      <c r="R779" s="273">
        <f>(O779/O778)*('16. câmbio USD-BRL'!O575/'16. câmbio USD-BRL'!O574)^-1-1</f>
        <v>-1.9104516830287466E-2</v>
      </c>
    </row>
    <row r="780" spans="10:18" x14ac:dyDescent="0.2">
      <c r="J780" s="354">
        <v>41967</v>
      </c>
      <c r="K780">
        <v>6.9</v>
      </c>
      <c r="L780">
        <v>7.13</v>
      </c>
      <c r="M780">
        <v>5.93</v>
      </c>
      <c r="N780">
        <v>6.05</v>
      </c>
      <c r="O780">
        <v>3.8093599999999999</v>
      </c>
      <c r="P780">
        <v>32351900</v>
      </c>
      <c r="R780" s="273">
        <f>(O780/O779)*('16. câmbio USD-BRL'!O576/'16. câmbio USD-BRL'!O575)^-1-1</f>
        <v>-9.9758663621537624E-2</v>
      </c>
    </row>
    <row r="781" spans="10:18" x14ac:dyDescent="0.2">
      <c r="J781" s="354">
        <v>41974</v>
      </c>
      <c r="K781">
        <v>5.9</v>
      </c>
      <c r="L781">
        <v>5.97</v>
      </c>
      <c r="M781">
        <v>5.44</v>
      </c>
      <c r="N781">
        <v>5.54</v>
      </c>
      <c r="O781">
        <v>3.4882399999999998</v>
      </c>
      <c r="P781">
        <v>84262709</v>
      </c>
      <c r="R781" s="273">
        <f>(O781/O780)*('16. câmbio USD-BRL'!O577/'16. câmbio USD-BRL'!O576)^-1-1</f>
        <v>-0.10515330319367677</v>
      </c>
    </row>
    <row r="782" spans="10:18" x14ac:dyDescent="0.2">
      <c r="J782" s="354">
        <v>41981</v>
      </c>
      <c r="K782">
        <v>5.53</v>
      </c>
      <c r="L782">
        <v>5.62</v>
      </c>
      <c r="M782">
        <v>4.5</v>
      </c>
      <c r="N782">
        <v>4.57</v>
      </c>
      <c r="O782">
        <v>2.8774829999999998</v>
      </c>
      <c r="P782">
        <v>32817300</v>
      </c>
      <c r="R782" s="273">
        <f>(O782/O781)*('16. câmbio USD-BRL'!O578/'16. câmbio USD-BRL'!O577)^-1-1</f>
        <v>-0.19485999157349854</v>
      </c>
    </row>
    <row r="783" spans="10:18" x14ac:dyDescent="0.2">
      <c r="J783" s="354">
        <v>41988</v>
      </c>
      <c r="K783">
        <v>4.53</v>
      </c>
      <c r="L783">
        <v>5.83</v>
      </c>
      <c r="M783">
        <v>4.22</v>
      </c>
      <c r="N783">
        <v>5.72</v>
      </c>
      <c r="O783">
        <v>3.6015760000000001</v>
      </c>
      <c r="P783">
        <v>52066900</v>
      </c>
      <c r="R783" s="273">
        <f>(O783/O782)*('16. câmbio USD-BRL'!O579/'16. câmbio USD-BRL'!O578)^-1-1</f>
        <v>0.24707564780467917</v>
      </c>
    </row>
    <row r="784" spans="10:18" x14ac:dyDescent="0.2">
      <c r="J784" s="354">
        <v>41995</v>
      </c>
      <c r="K784">
        <v>5.75</v>
      </c>
      <c r="L784">
        <v>6.48</v>
      </c>
      <c r="M784">
        <v>5.53</v>
      </c>
      <c r="N784">
        <v>6.05</v>
      </c>
      <c r="O784">
        <v>3.8093599999999999</v>
      </c>
      <c r="P784">
        <v>16510500</v>
      </c>
      <c r="R784" s="273">
        <f>(O784/O783)*('16. câmbio USD-BRL'!O580/'16. câmbio USD-BRL'!O579)^-1-1</f>
        <v>4.3604082006530653E-2</v>
      </c>
    </row>
    <row r="785" spans="10:18" x14ac:dyDescent="0.2">
      <c r="J785" s="354">
        <v>42002</v>
      </c>
      <c r="K785">
        <v>6.08</v>
      </c>
      <c r="L785">
        <v>6.26</v>
      </c>
      <c r="M785">
        <v>5.03</v>
      </c>
      <c r="N785">
        <v>5.08</v>
      </c>
      <c r="O785">
        <v>3.1986029999999999</v>
      </c>
      <c r="P785">
        <v>16159400</v>
      </c>
      <c r="R785" s="273">
        <f>(O785/O784)*('16. câmbio USD-BRL'!O581/'16. câmbio USD-BRL'!O580)^-1-1</f>
        <v>-0.14703868959038247</v>
      </c>
    </row>
    <row r="786" spans="10:18" x14ac:dyDescent="0.2">
      <c r="J786" s="354">
        <v>42009</v>
      </c>
      <c r="K786">
        <v>5.04</v>
      </c>
      <c r="L786">
        <v>5.99</v>
      </c>
      <c r="M786">
        <v>4.7699999999999996</v>
      </c>
      <c r="N786">
        <v>5.36</v>
      </c>
      <c r="O786">
        <v>3.5002680000000002</v>
      </c>
      <c r="P786">
        <v>45433000</v>
      </c>
      <c r="R786" s="273">
        <f>(O786/O785)*('16. câmbio USD-BRL'!O582/'16. câmbio USD-BRL'!O581)^-1-1</f>
        <v>9.1637114317925095E-2</v>
      </c>
    </row>
    <row r="787" spans="10:18" x14ac:dyDescent="0.2">
      <c r="J787" s="354">
        <v>42016</v>
      </c>
      <c r="K787">
        <v>5.36</v>
      </c>
      <c r="L787">
        <v>5.63</v>
      </c>
      <c r="M787">
        <v>4.82</v>
      </c>
      <c r="N787">
        <v>5.16</v>
      </c>
      <c r="O787">
        <v>3.3696600000000001</v>
      </c>
      <c r="P787">
        <v>34580500</v>
      </c>
      <c r="R787" s="273">
        <f>(O787/O786)*('16. câmbio USD-BRL'!O583/'16. câmbio USD-BRL'!O582)^-1-1</f>
        <v>-2.9652209735248403E-2</v>
      </c>
    </row>
    <row r="788" spans="10:18" x14ac:dyDescent="0.2">
      <c r="J788" s="354">
        <v>42023</v>
      </c>
      <c r="K788">
        <v>5.13</v>
      </c>
      <c r="L788">
        <v>5.52</v>
      </c>
      <c r="M788">
        <v>4.78</v>
      </c>
      <c r="N788">
        <v>5</v>
      </c>
      <c r="O788">
        <v>3.2651750000000002</v>
      </c>
      <c r="P788">
        <v>31032800</v>
      </c>
      <c r="R788" s="273">
        <f>(O788/O787)*('16. câmbio USD-BRL'!O584/'16. câmbio USD-BRL'!O583)^-1-1</f>
        <v>-5.3758508429585516E-3</v>
      </c>
    </row>
    <row r="789" spans="10:18" x14ac:dyDescent="0.2">
      <c r="J789" s="354">
        <v>42030</v>
      </c>
      <c r="K789">
        <v>4.95</v>
      </c>
      <c r="L789">
        <v>5.04</v>
      </c>
      <c r="M789">
        <v>4.1500000000000004</v>
      </c>
      <c r="N789">
        <v>4.2</v>
      </c>
      <c r="O789">
        <v>2.742747</v>
      </c>
      <c r="P789">
        <v>33797800</v>
      </c>
      <c r="R789" s="273">
        <f>(O789/O788)*('16. câmbio USD-BRL'!O585/'16. câmbio USD-BRL'!O584)^-1-1</f>
        <v>-0.19389726743317903</v>
      </c>
    </row>
    <row r="790" spans="10:18" x14ac:dyDescent="0.2">
      <c r="J790" s="354">
        <v>42037</v>
      </c>
      <c r="K790">
        <v>4.24</v>
      </c>
      <c r="L790">
        <v>4.68</v>
      </c>
      <c r="M790">
        <v>4.1500000000000004</v>
      </c>
      <c r="N790">
        <v>4.57</v>
      </c>
      <c r="O790">
        <v>2.9843700000000002</v>
      </c>
      <c r="P790">
        <v>27043500</v>
      </c>
      <c r="R790" s="273">
        <f>(O790/O789)*('16. câmbio USD-BRL'!O586/'16. câmbio USD-BRL'!O585)^-1-1</f>
        <v>6.3170985061196561E-2</v>
      </c>
    </row>
    <row r="791" spans="10:18" x14ac:dyDescent="0.2">
      <c r="J791" s="354">
        <v>42044</v>
      </c>
      <c r="K791">
        <v>4.58</v>
      </c>
      <c r="L791">
        <v>5.24</v>
      </c>
      <c r="M791">
        <v>4.57</v>
      </c>
      <c r="N791">
        <v>4.93</v>
      </c>
      <c r="O791">
        <v>3.2194630000000002</v>
      </c>
      <c r="P791">
        <v>32553300</v>
      </c>
      <c r="R791" s="273">
        <f>(O791/O790)*('16. câmbio USD-BRL'!O587/'16. câmbio USD-BRL'!O586)^-1-1</f>
        <v>4.4745082481184584E-2</v>
      </c>
    </row>
    <row r="792" spans="10:18" x14ac:dyDescent="0.2">
      <c r="J792" s="354">
        <v>42051</v>
      </c>
      <c r="K792">
        <v>4.8499999999999996</v>
      </c>
      <c r="L792">
        <v>5.44</v>
      </c>
      <c r="M792">
        <v>4.8499999999999996</v>
      </c>
      <c r="N792">
        <v>5.28</v>
      </c>
      <c r="O792">
        <v>3.4480249999999999</v>
      </c>
      <c r="P792">
        <v>13858200</v>
      </c>
      <c r="R792" s="273">
        <f>(O792/O791)*('16. câmbio USD-BRL'!O588/'16. câmbio USD-BRL'!O587)^-1-1</f>
        <v>5.8874873575759379E-2</v>
      </c>
    </row>
    <row r="793" spans="10:18" x14ac:dyDescent="0.2">
      <c r="J793" s="354">
        <v>42058</v>
      </c>
      <c r="K793">
        <v>5.31</v>
      </c>
      <c r="L793">
        <v>5.43</v>
      </c>
      <c r="M793">
        <v>5.0199999999999996</v>
      </c>
      <c r="N793">
        <v>5.17</v>
      </c>
      <c r="O793">
        <v>3.3761909999999999</v>
      </c>
      <c r="P793">
        <v>24667600</v>
      </c>
      <c r="R793" s="273">
        <f>(O793/O792)*('16. câmbio USD-BRL'!O589/'16. câmbio USD-BRL'!O588)^-1-1</f>
        <v>-3.4888882766221152E-2</v>
      </c>
    </row>
    <row r="794" spans="10:18" x14ac:dyDescent="0.2">
      <c r="J794" s="354">
        <v>42065</v>
      </c>
      <c r="K794">
        <v>5.18</v>
      </c>
      <c r="L794">
        <v>5.42</v>
      </c>
      <c r="M794">
        <v>4.87</v>
      </c>
      <c r="N794">
        <v>5.03</v>
      </c>
      <c r="O794">
        <v>3.284767</v>
      </c>
      <c r="P794">
        <v>31787400</v>
      </c>
      <c r="R794" s="273">
        <f>(O794/O793)*('16. câmbio USD-BRL'!O590/'16. câmbio USD-BRL'!O589)^-1-1</f>
        <v>-5.7919603219100058E-2</v>
      </c>
    </row>
    <row r="795" spans="10:18" x14ac:dyDescent="0.2">
      <c r="J795" s="354">
        <v>42072</v>
      </c>
      <c r="K795">
        <v>4.8899999999999997</v>
      </c>
      <c r="L795">
        <v>5.53</v>
      </c>
      <c r="M795">
        <v>4.8099999999999996</v>
      </c>
      <c r="N795">
        <v>5.49</v>
      </c>
      <c r="O795">
        <v>3.585162</v>
      </c>
      <c r="P795">
        <v>32596400</v>
      </c>
      <c r="R795" s="273">
        <f>(O795/O794)*('16. câmbio USD-BRL'!O591/'16. câmbio USD-BRL'!O590)^-1-1</f>
        <v>9.0791796142541958E-3</v>
      </c>
    </row>
    <row r="796" spans="10:18" x14ac:dyDescent="0.2">
      <c r="J796" s="354">
        <v>42079</v>
      </c>
      <c r="K796">
        <v>5.55</v>
      </c>
      <c r="L796">
        <v>5.94</v>
      </c>
      <c r="M796">
        <v>5.38</v>
      </c>
      <c r="N796">
        <v>5.88</v>
      </c>
      <c r="O796">
        <v>3.994923</v>
      </c>
      <c r="P796">
        <v>27869900</v>
      </c>
      <c r="R796" s="273">
        <f>(O796/O795)*('16. câmbio USD-BRL'!O592/'16. câmbio USD-BRL'!O591)^-1-1</f>
        <v>9.8918875281653662E-2</v>
      </c>
    </row>
    <row r="797" spans="10:18" x14ac:dyDescent="0.2">
      <c r="J797" s="354">
        <v>42086</v>
      </c>
      <c r="K797">
        <v>5.83</v>
      </c>
      <c r="L797">
        <v>6.18</v>
      </c>
      <c r="M797">
        <v>5.54</v>
      </c>
      <c r="N797">
        <v>5.61</v>
      </c>
      <c r="O797">
        <v>3.811483</v>
      </c>
      <c r="P797">
        <v>22448000</v>
      </c>
      <c r="R797" s="273">
        <f>(O797/O796)*('16. câmbio USD-BRL'!O593/'16. câmbio USD-BRL'!O592)^-1-1</f>
        <v>-1.2640199517568673E-2</v>
      </c>
    </row>
    <row r="798" spans="10:18" x14ac:dyDescent="0.2">
      <c r="J798" s="354">
        <v>42093</v>
      </c>
      <c r="K798">
        <v>5.71</v>
      </c>
      <c r="L798">
        <v>5.81</v>
      </c>
      <c r="M798">
        <v>5.41</v>
      </c>
      <c r="N798">
        <v>5.62</v>
      </c>
      <c r="O798">
        <v>3.8182779999999998</v>
      </c>
      <c r="P798">
        <v>23381600</v>
      </c>
      <c r="R798" s="273">
        <f>(O798/O797)*('16. câmbio USD-BRL'!O594/'16. câmbio USD-BRL'!O593)^-1-1</f>
        <v>2.0167932630999807E-2</v>
      </c>
    </row>
    <row r="799" spans="10:18" x14ac:dyDescent="0.2">
      <c r="J799" s="354">
        <v>42100</v>
      </c>
      <c r="K799">
        <v>5.74</v>
      </c>
      <c r="L799">
        <v>5.92</v>
      </c>
      <c r="M799">
        <v>5.51</v>
      </c>
      <c r="N799">
        <v>5.72</v>
      </c>
      <c r="O799">
        <v>3.8862190000000001</v>
      </c>
      <c r="P799">
        <v>22429100</v>
      </c>
      <c r="R799" s="273">
        <f>(O799/O798)*('16. câmbio USD-BRL'!O595/'16. câmbio USD-BRL'!O594)^-1-1</f>
        <v>4.0079615864587526E-2</v>
      </c>
    </row>
    <row r="800" spans="10:18" x14ac:dyDescent="0.2">
      <c r="J800" s="354">
        <v>42107</v>
      </c>
      <c r="K800">
        <v>5.68</v>
      </c>
      <c r="L800">
        <v>6.94</v>
      </c>
      <c r="M800">
        <v>5.59</v>
      </c>
      <c r="N800">
        <v>6.15</v>
      </c>
      <c r="O800">
        <v>4.1783640000000002</v>
      </c>
      <c r="P800">
        <v>29674000</v>
      </c>
      <c r="R800" s="273">
        <f>(O800/O799)*('16. câmbio USD-BRL'!O596/'16. câmbio USD-BRL'!O595)^-1-1</f>
        <v>8.1760130319608493E-2</v>
      </c>
    </row>
    <row r="801" spans="10:18" x14ac:dyDescent="0.2">
      <c r="J801" s="354">
        <v>42114</v>
      </c>
      <c r="K801">
        <v>6.17</v>
      </c>
      <c r="L801">
        <v>7.42</v>
      </c>
      <c r="M801">
        <v>6.1</v>
      </c>
      <c r="N801">
        <v>7.14</v>
      </c>
      <c r="O801">
        <v>4.8509779999999996</v>
      </c>
      <c r="P801">
        <v>21842400</v>
      </c>
      <c r="R801" s="273">
        <f>(O801/O800)*('16. câmbio USD-BRL'!O597/'16. câmbio USD-BRL'!O596)^-1-1</f>
        <v>0.1957854121788023</v>
      </c>
    </row>
    <row r="802" spans="10:18" x14ac:dyDescent="0.2">
      <c r="J802" s="354">
        <v>42121</v>
      </c>
      <c r="K802">
        <v>7.25</v>
      </c>
      <c r="L802">
        <v>8.3699999999999992</v>
      </c>
      <c r="M802">
        <v>7.15</v>
      </c>
      <c r="N802">
        <v>8.07</v>
      </c>
      <c r="O802">
        <v>5.4828289999999997</v>
      </c>
      <c r="P802">
        <v>37072900</v>
      </c>
      <c r="R802" s="273">
        <f>(O802/O801)*('16. câmbio USD-BRL'!O598/'16. câmbio USD-BRL'!O597)^-1-1</f>
        <v>0.10667956252392341</v>
      </c>
    </row>
    <row r="803" spans="10:18" x14ac:dyDescent="0.2">
      <c r="J803" s="354">
        <v>42128</v>
      </c>
      <c r="K803">
        <v>8.27</v>
      </c>
      <c r="L803">
        <v>9.4</v>
      </c>
      <c r="M803">
        <v>7.98</v>
      </c>
      <c r="N803">
        <v>8.02</v>
      </c>
      <c r="O803">
        <v>5.4488580000000004</v>
      </c>
      <c r="P803">
        <v>36922600</v>
      </c>
      <c r="R803" s="273">
        <f>(O803/O802)*('16. câmbio USD-BRL'!O599/'16. câmbio USD-BRL'!O598)^-1-1</f>
        <v>-9.5510016973887613E-3</v>
      </c>
    </row>
    <row r="804" spans="10:18" x14ac:dyDescent="0.2">
      <c r="J804" s="354">
        <v>42135</v>
      </c>
      <c r="K804">
        <v>8.16</v>
      </c>
      <c r="L804">
        <v>8.6300000000000008</v>
      </c>
      <c r="M804">
        <v>7.66</v>
      </c>
      <c r="N804">
        <v>7.9</v>
      </c>
      <c r="O804">
        <v>5.3673299999999999</v>
      </c>
      <c r="P804">
        <v>25314000</v>
      </c>
      <c r="R804" s="273">
        <f>(O804/O803)*('16. câmbio USD-BRL'!O600/'16. câmbio USD-BRL'!O599)^-1-1</f>
        <v>-4.6175133064967344E-3</v>
      </c>
    </row>
    <row r="805" spans="10:18" x14ac:dyDescent="0.2">
      <c r="J805" s="354">
        <v>42142</v>
      </c>
      <c r="K805">
        <v>7.85</v>
      </c>
      <c r="L805">
        <v>7.96</v>
      </c>
      <c r="M805">
        <v>7.02</v>
      </c>
      <c r="N805">
        <v>7.18</v>
      </c>
      <c r="O805">
        <v>4.8781540000000003</v>
      </c>
      <c r="P805">
        <v>22908000</v>
      </c>
      <c r="R805" s="273">
        <f>(O805/O804)*('16. câmbio USD-BRL'!O601/'16. câmbio USD-BRL'!O600)^-1-1</f>
        <v>-0.10514641477939868</v>
      </c>
    </row>
    <row r="806" spans="10:18" x14ac:dyDescent="0.2">
      <c r="J806" s="354">
        <v>42149</v>
      </c>
      <c r="K806">
        <v>7.13</v>
      </c>
      <c r="L806">
        <v>7.39</v>
      </c>
      <c r="M806">
        <v>6.1</v>
      </c>
      <c r="N806">
        <v>6.14</v>
      </c>
      <c r="O806">
        <v>4.17157</v>
      </c>
      <c r="P806">
        <v>35618400</v>
      </c>
      <c r="R806" s="273">
        <f>(O806/O805)*('16. câmbio USD-BRL'!O602/'16. câmbio USD-BRL'!O601)^-1-1</f>
        <v>-0.17779751046019432</v>
      </c>
    </row>
    <row r="807" spans="10:18" x14ac:dyDescent="0.2">
      <c r="J807" s="354">
        <v>42156</v>
      </c>
      <c r="K807">
        <v>6.18</v>
      </c>
      <c r="L807">
        <v>6.84</v>
      </c>
      <c r="M807">
        <v>6.08</v>
      </c>
      <c r="N807">
        <v>6.19</v>
      </c>
      <c r="O807">
        <v>4.2055400000000001</v>
      </c>
      <c r="P807">
        <v>25608600</v>
      </c>
      <c r="R807" s="273">
        <f>(O807/O806)*('16. câmbio USD-BRL'!O603/'16. câmbio USD-BRL'!O602)^-1-1</f>
        <v>1.3986222778527013E-2</v>
      </c>
    </row>
    <row r="808" spans="10:18" x14ac:dyDescent="0.2">
      <c r="J808" s="354">
        <v>42163</v>
      </c>
      <c r="K808">
        <v>6.21</v>
      </c>
      <c r="L808">
        <v>6.29</v>
      </c>
      <c r="M808">
        <v>5.97</v>
      </c>
      <c r="N808">
        <v>6.19</v>
      </c>
      <c r="O808">
        <v>4.2055400000000001</v>
      </c>
      <c r="P808">
        <v>24104400</v>
      </c>
      <c r="R808" s="273">
        <f>(O808/O807)*('16. câmbio USD-BRL'!O604/'16. câmbio USD-BRL'!O603)^-1-1</f>
        <v>1.7200608985779686E-2</v>
      </c>
    </row>
    <row r="809" spans="10:18" x14ac:dyDescent="0.2">
      <c r="J809" s="354">
        <v>42170</v>
      </c>
      <c r="K809">
        <v>6.09</v>
      </c>
      <c r="L809">
        <v>6.14</v>
      </c>
      <c r="M809">
        <v>5.54</v>
      </c>
      <c r="N809">
        <v>5.7</v>
      </c>
      <c r="O809">
        <v>3.87263</v>
      </c>
      <c r="P809">
        <v>19699500</v>
      </c>
      <c r="R809" s="273">
        <f>(O809/O808)*('16. câmbio USD-BRL'!O605/'16. câmbio USD-BRL'!O604)^-1-1</f>
        <v>-7.0336331647604333E-2</v>
      </c>
    </row>
    <row r="810" spans="10:18" x14ac:dyDescent="0.2">
      <c r="J810" s="354">
        <v>42177</v>
      </c>
      <c r="K810">
        <v>5.77</v>
      </c>
      <c r="L810">
        <v>5.85</v>
      </c>
      <c r="M810">
        <v>5.33</v>
      </c>
      <c r="N810">
        <v>5.59</v>
      </c>
      <c r="O810">
        <v>3.797895</v>
      </c>
      <c r="P810">
        <v>13881900</v>
      </c>
      <c r="R810" s="273">
        <f>(O810/O809)*('16. câmbio USD-BRL'!O606/'16. câmbio USD-BRL'!O605)^-1-1</f>
        <v>-4.0202983978876006E-2</v>
      </c>
    </row>
    <row r="811" spans="10:18" x14ac:dyDescent="0.2">
      <c r="J811" s="354">
        <v>42184</v>
      </c>
      <c r="K811">
        <v>5.45</v>
      </c>
      <c r="L811">
        <v>5.52</v>
      </c>
      <c r="M811">
        <v>4.75</v>
      </c>
      <c r="N811">
        <v>4.76</v>
      </c>
      <c r="O811">
        <v>3.2339859999999998</v>
      </c>
      <c r="P811">
        <v>15416800</v>
      </c>
      <c r="R811" s="273">
        <f>(O811/O810)*('16. câmbio USD-BRL'!O607/'16. câmbio USD-BRL'!O606)^-1-1</f>
        <v>-0.14011276560981845</v>
      </c>
    </row>
    <row r="812" spans="10:18" x14ac:dyDescent="0.2">
      <c r="J812" s="354">
        <v>42191</v>
      </c>
      <c r="K812">
        <v>4.6399999999999997</v>
      </c>
      <c r="L812">
        <v>4.99</v>
      </c>
      <c r="M812">
        <v>4.5</v>
      </c>
      <c r="N812">
        <v>4.5199999999999996</v>
      </c>
      <c r="O812">
        <v>3.0709270000000002</v>
      </c>
      <c r="P812">
        <v>21442600</v>
      </c>
      <c r="R812" s="273">
        <f>(O812/O811)*('16. câmbio USD-BRL'!O608/'16. câmbio USD-BRL'!O607)^-1-1</f>
        <v>-8.7889492458942176E-2</v>
      </c>
    </row>
    <row r="813" spans="10:18" x14ac:dyDescent="0.2">
      <c r="J813" s="354">
        <v>42198</v>
      </c>
      <c r="K813">
        <v>4.54</v>
      </c>
      <c r="L813">
        <v>4.95</v>
      </c>
      <c r="M813">
        <v>4.42</v>
      </c>
      <c r="N813">
        <v>4.49</v>
      </c>
      <c r="O813">
        <v>3.0505450000000001</v>
      </c>
      <c r="P813">
        <v>24091600</v>
      </c>
      <c r="R813" s="273">
        <f>(O813/O812)*('16. câmbio USD-BRL'!O609/'16. câmbio USD-BRL'!O608)^-1-1</f>
        <v>4.5589881975414137E-3</v>
      </c>
    </row>
    <row r="814" spans="10:18" x14ac:dyDescent="0.2">
      <c r="J814" s="354">
        <v>42205</v>
      </c>
      <c r="K814">
        <v>4.53</v>
      </c>
      <c r="L814">
        <v>4.5599999999999996</v>
      </c>
      <c r="M814">
        <v>3.9</v>
      </c>
      <c r="N814">
        <v>3.96</v>
      </c>
      <c r="O814">
        <v>2.6904590000000002</v>
      </c>
      <c r="P814">
        <v>30732300</v>
      </c>
      <c r="R814" s="273">
        <f>(O814/O813)*('16. câmbio USD-BRL'!O610/'16. câmbio USD-BRL'!O609)^-1-1</f>
        <v>-0.14462598549233252</v>
      </c>
    </row>
    <row r="815" spans="10:18" x14ac:dyDescent="0.2">
      <c r="J815" s="354">
        <v>42212</v>
      </c>
      <c r="K815">
        <v>3.91</v>
      </c>
      <c r="L815">
        <v>4.38</v>
      </c>
      <c r="M815">
        <v>3.8</v>
      </c>
      <c r="N815">
        <v>4.3499999999999996</v>
      </c>
      <c r="O815">
        <v>2.9554290000000001</v>
      </c>
      <c r="P815">
        <v>30420900</v>
      </c>
      <c r="R815" s="273">
        <f>(O815/O814)*('16. câmbio USD-BRL'!O611/'16. câmbio USD-BRL'!O610)^-1-1</f>
        <v>7.0263621238023433E-2</v>
      </c>
    </row>
    <row r="816" spans="10:18" x14ac:dyDescent="0.2">
      <c r="J816" s="354">
        <v>42219</v>
      </c>
      <c r="K816">
        <v>4.32</v>
      </c>
      <c r="L816">
        <v>4.59</v>
      </c>
      <c r="M816">
        <v>3.99</v>
      </c>
      <c r="N816">
        <v>4.0199999999999996</v>
      </c>
      <c r="O816">
        <v>2.731223</v>
      </c>
      <c r="P816">
        <v>24327500</v>
      </c>
      <c r="R816" s="273">
        <f>(O816/O815)*('16. câmbio USD-BRL'!O612/'16. câmbio USD-BRL'!O611)^-1-1</f>
        <v>-0.11794004128695568</v>
      </c>
    </row>
    <row r="817" spans="10:18" x14ac:dyDescent="0.2">
      <c r="J817" s="354">
        <v>42226</v>
      </c>
      <c r="K817">
        <v>4.03</v>
      </c>
      <c r="L817">
        <v>4.09</v>
      </c>
      <c r="M817">
        <v>3.43</v>
      </c>
      <c r="N817">
        <v>3.46</v>
      </c>
      <c r="O817">
        <v>2.3507539999999998</v>
      </c>
      <c r="P817">
        <v>39025600</v>
      </c>
      <c r="R817" s="273">
        <f>(O817/O816)*('16. câmbio USD-BRL'!O613/'16. câmbio USD-BRL'!O612)^-1-1</f>
        <v>-0.13629538258495499</v>
      </c>
    </row>
    <row r="818" spans="10:18" x14ac:dyDescent="0.2">
      <c r="J818" s="354">
        <v>42233</v>
      </c>
      <c r="K818">
        <v>3.45</v>
      </c>
      <c r="L818">
        <v>3.51</v>
      </c>
      <c r="M818">
        <v>3.03</v>
      </c>
      <c r="N818">
        <v>3.05</v>
      </c>
      <c r="O818">
        <v>2.0721970000000001</v>
      </c>
      <c r="P818">
        <v>26480300</v>
      </c>
      <c r="R818" s="273">
        <f>(O818/O817)*('16. câmbio USD-BRL'!O614/'16. câmbio USD-BRL'!O613)^-1-1</f>
        <v>-0.10281856899048059</v>
      </c>
    </row>
    <row r="819" spans="10:18" x14ac:dyDescent="0.2">
      <c r="J819" s="354">
        <v>42240</v>
      </c>
      <c r="K819">
        <v>2.8</v>
      </c>
      <c r="L819">
        <v>3.54</v>
      </c>
      <c r="M819">
        <v>2.74</v>
      </c>
      <c r="N819">
        <v>3.32</v>
      </c>
      <c r="O819">
        <v>2.2556370000000001</v>
      </c>
      <c r="P819">
        <v>35811800</v>
      </c>
      <c r="R819" s="273">
        <f>(O819/O818)*('16. câmbio USD-BRL'!O615/'16. câmbio USD-BRL'!O614)^-1-1</f>
        <v>6.0193700866554511E-2</v>
      </c>
    </row>
    <row r="820" spans="10:18" x14ac:dyDescent="0.2">
      <c r="J820" s="354">
        <v>42247</v>
      </c>
      <c r="K820">
        <v>3.25</v>
      </c>
      <c r="L820">
        <v>4.03</v>
      </c>
      <c r="M820">
        <v>3.19</v>
      </c>
      <c r="N820">
        <v>4.03</v>
      </c>
      <c r="O820">
        <v>2.7380179999999998</v>
      </c>
      <c r="P820">
        <v>34135400</v>
      </c>
      <c r="R820" s="273">
        <f>(O820/O819)*('16. câmbio USD-BRL'!O616/'16. câmbio USD-BRL'!O615)^-1-1</f>
        <v>0.15379672673805067</v>
      </c>
    </row>
    <row r="821" spans="10:18" x14ac:dyDescent="0.2">
      <c r="J821" s="354">
        <v>42254</v>
      </c>
      <c r="K821">
        <v>4.03</v>
      </c>
      <c r="L821">
        <v>5.18</v>
      </c>
      <c r="M821">
        <v>4.03</v>
      </c>
      <c r="N821">
        <v>5.13</v>
      </c>
      <c r="O821">
        <v>3.4853670000000001</v>
      </c>
      <c r="P821">
        <v>35569300</v>
      </c>
      <c r="R821" s="273">
        <f>(O821/O820)*('16. câmbio USD-BRL'!O617/'16. câmbio USD-BRL'!O616)^-1-1</f>
        <v>0.23553904030768802</v>
      </c>
    </row>
    <row r="822" spans="10:18" x14ac:dyDescent="0.2">
      <c r="J822" s="354">
        <v>42261</v>
      </c>
      <c r="K822">
        <v>5.24</v>
      </c>
      <c r="L822">
        <v>5.75</v>
      </c>
      <c r="M822">
        <v>4.66</v>
      </c>
      <c r="N822">
        <v>5.75</v>
      </c>
      <c r="O822">
        <v>3.9066000000000001</v>
      </c>
      <c r="P822">
        <v>53403800</v>
      </c>
      <c r="R822" s="273">
        <f>(O822/O821)*('16. câmbio USD-BRL'!O618/'16. câmbio USD-BRL'!O617)^-1-1</f>
        <v>0.10838567877300953</v>
      </c>
    </row>
    <row r="823" spans="10:18" x14ac:dyDescent="0.2">
      <c r="J823" s="354">
        <v>42268</v>
      </c>
      <c r="K823">
        <v>5.84</v>
      </c>
      <c r="L823">
        <v>5.85</v>
      </c>
      <c r="M823">
        <v>3.85</v>
      </c>
      <c r="N823">
        <v>4.01</v>
      </c>
      <c r="O823">
        <v>2.7244290000000002</v>
      </c>
      <c r="P823">
        <v>57669900</v>
      </c>
      <c r="R823" s="273">
        <f>(O823/O822)*('16. câmbio USD-BRL'!O619/'16. câmbio USD-BRL'!O618)^-1-1</f>
        <v>-0.30998508729559859</v>
      </c>
    </row>
    <row r="824" spans="10:18" x14ac:dyDescent="0.2">
      <c r="J824" s="354">
        <v>42275</v>
      </c>
      <c r="K824">
        <v>3.9</v>
      </c>
      <c r="L824">
        <v>4.1500000000000004</v>
      </c>
      <c r="M824">
        <v>3.56</v>
      </c>
      <c r="N824">
        <v>3.78</v>
      </c>
      <c r="O824">
        <v>2.568165</v>
      </c>
      <c r="P824">
        <v>37004200</v>
      </c>
      <c r="R824" s="273">
        <f>(O824/O823)*('16. câmbio USD-BRL'!O620/'16. câmbio USD-BRL'!O619)^-1-1</f>
        <v>-7.2867742909646371E-2</v>
      </c>
    </row>
    <row r="825" spans="10:18" x14ac:dyDescent="0.2">
      <c r="J825" s="354">
        <v>42282</v>
      </c>
      <c r="K825">
        <v>3.87</v>
      </c>
      <c r="L825">
        <v>5.49</v>
      </c>
      <c r="M825">
        <v>3.85</v>
      </c>
      <c r="N825">
        <v>5.33</v>
      </c>
      <c r="O825">
        <v>3.621248</v>
      </c>
      <c r="P825">
        <v>42288100</v>
      </c>
      <c r="R825" s="273">
        <f>(O825/O824)*('16. câmbio USD-BRL'!O621/'16. câmbio USD-BRL'!O620)^-1-1</f>
        <v>0.49996508439690546</v>
      </c>
    </row>
    <row r="826" spans="10:18" x14ac:dyDescent="0.2">
      <c r="J826" s="354">
        <v>42289</v>
      </c>
      <c r="K826">
        <v>5.33</v>
      </c>
      <c r="L826">
        <v>5.33</v>
      </c>
      <c r="M826">
        <v>4.3600000000000003</v>
      </c>
      <c r="N826">
        <v>5.0199999999999996</v>
      </c>
      <c r="O826">
        <v>3.4106320000000001</v>
      </c>
      <c r="P826">
        <v>57617500</v>
      </c>
      <c r="R826" s="273">
        <f>(O826/O825)*('16. câmbio USD-BRL'!O622/'16. câmbio USD-BRL'!O621)^-1-1</f>
        <v>-6.6455802986137513E-2</v>
      </c>
    </row>
    <row r="827" spans="10:18" x14ac:dyDescent="0.2">
      <c r="J827" s="354">
        <v>42296</v>
      </c>
      <c r="K827">
        <v>5.0999999999999996</v>
      </c>
      <c r="L827">
        <v>5.24</v>
      </c>
      <c r="M827">
        <v>4.6500000000000004</v>
      </c>
      <c r="N827">
        <v>4.92</v>
      </c>
      <c r="O827">
        <v>3.3426909999999999</v>
      </c>
      <c r="P827">
        <v>39015600</v>
      </c>
      <c r="R827" s="273">
        <f>(O827/O826)*('16. câmbio USD-BRL'!O623/'16. câmbio USD-BRL'!O622)^-1-1</f>
        <v>-4.7497103272208574E-2</v>
      </c>
    </row>
    <row r="828" spans="10:18" x14ac:dyDescent="0.2">
      <c r="J828" s="354">
        <v>42303</v>
      </c>
      <c r="K828">
        <v>5</v>
      </c>
      <c r="L828">
        <v>5.04</v>
      </c>
      <c r="M828">
        <v>4.26</v>
      </c>
      <c r="N828">
        <v>4.34</v>
      </c>
      <c r="O828">
        <v>2.9486340000000002</v>
      </c>
      <c r="P828">
        <v>20190500</v>
      </c>
      <c r="R828" s="273">
        <f>(O828/O827)*('16. câmbio USD-BRL'!O624/'16. câmbio USD-BRL'!O623)^-1-1</f>
        <v>-0.10467062582190934</v>
      </c>
    </row>
    <row r="829" spans="10:18" x14ac:dyDescent="0.2">
      <c r="J829" s="354">
        <v>42310</v>
      </c>
      <c r="K829">
        <v>4.34</v>
      </c>
      <c r="L829">
        <v>5.33</v>
      </c>
      <c r="M829">
        <v>4.34</v>
      </c>
      <c r="N829">
        <v>5</v>
      </c>
      <c r="O829">
        <v>3.397043</v>
      </c>
      <c r="P829">
        <v>37337300</v>
      </c>
      <c r="R829" s="273">
        <f>(O829/O828)*('16. câmbio USD-BRL'!O625/'16. câmbio USD-BRL'!O624)^-1-1</f>
        <v>0.17176182236208404</v>
      </c>
    </row>
    <row r="830" spans="10:18" x14ac:dyDescent="0.2">
      <c r="J830" s="354">
        <v>42317</v>
      </c>
      <c r="K830">
        <v>4.99</v>
      </c>
      <c r="L830">
        <v>5.46</v>
      </c>
      <c r="M830">
        <v>4.9000000000000004</v>
      </c>
      <c r="N830">
        <v>4.9000000000000004</v>
      </c>
      <c r="O830">
        <v>3.3291029999999999</v>
      </c>
      <c r="P830">
        <v>31436600</v>
      </c>
      <c r="R830" s="273">
        <f>(O830/O829)*('16. câmbio USD-BRL'!O626/'16. câmbio USD-BRL'!O625)^-1-1</f>
        <v>-1.656562240164916E-2</v>
      </c>
    </row>
    <row r="831" spans="10:18" x14ac:dyDescent="0.2">
      <c r="J831" s="354">
        <v>42324</v>
      </c>
      <c r="K831">
        <v>4.9000000000000004</v>
      </c>
      <c r="L831">
        <v>6.14</v>
      </c>
      <c r="M831">
        <v>4.8099999999999996</v>
      </c>
      <c r="N831">
        <v>5.86</v>
      </c>
      <c r="O831">
        <v>3.9813360000000002</v>
      </c>
      <c r="P831">
        <v>37110900</v>
      </c>
      <c r="R831" s="273">
        <f>(O831/O830)*('16. câmbio USD-BRL'!O627/'16. câmbio USD-BRL'!O626)^-1-1</f>
        <v>0.19773092341604537</v>
      </c>
    </row>
    <row r="832" spans="10:18" x14ac:dyDescent="0.2">
      <c r="J832" s="354">
        <v>42331</v>
      </c>
      <c r="K832">
        <v>5.85</v>
      </c>
      <c r="L832">
        <v>6.37</v>
      </c>
      <c r="M832">
        <v>5.57</v>
      </c>
      <c r="N832">
        <v>5.88</v>
      </c>
      <c r="O832">
        <v>3.994923</v>
      </c>
      <c r="P832">
        <v>30924800</v>
      </c>
      <c r="R832" s="273">
        <f>(O832/O831)*('16. câmbio USD-BRL'!O628/'16. câmbio USD-BRL'!O627)^-1-1</f>
        <v>9.5323527976574063E-3</v>
      </c>
    </row>
    <row r="833" spans="10:18" x14ac:dyDescent="0.2">
      <c r="J833" s="354">
        <v>42338</v>
      </c>
      <c r="K833">
        <v>5.94</v>
      </c>
      <c r="L833">
        <v>6.17</v>
      </c>
      <c r="M833">
        <v>4.8099999999999996</v>
      </c>
      <c r="N833">
        <v>4.87</v>
      </c>
      <c r="O833">
        <v>3.3087200000000001</v>
      </c>
      <c r="P833">
        <v>39587600</v>
      </c>
      <c r="R833" s="273">
        <f>(O833/O832)*('16. câmbio USD-BRL'!O629/'16. câmbio USD-BRL'!O628)^-1-1</f>
        <v>-0.17562777508786287</v>
      </c>
    </row>
    <row r="834" spans="10:18" x14ac:dyDescent="0.2">
      <c r="J834" s="354">
        <v>42345</v>
      </c>
      <c r="K834">
        <v>4.9400000000000004</v>
      </c>
      <c r="L834">
        <v>5.09</v>
      </c>
      <c r="M834">
        <v>4.47</v>
      </c>
      <c r="N834">
        <v>4.51</v>
      </c>
      <c r="O834">
        <v>3.0641340000000001</v>
      </c>
      <c r="P834">
        <v>28391800</v>
      </c>
      <c r="R834" s="273">
        <f>(O834/O833)*('16. câmbio USD-BRL'!O630/'16. câmbio USD-BRL'!O629)^-1-1</f>
        <v>-8.6544009086420015E-2</v>
      </c>
    </row>
    <row r="835" spans="10:18" x14ac:dyDescent="0.2">
      <c r="J835" s="354">
        <v>42352</v>
      </c>
      <c r="K835">
        <v>4.51</v>
      </c>
      <c r="L835">
        <v>4.57</v>
      </c>
      <c r="M835">
        <v>4.13</v>
      </c>
      <c r="N835">
        <v>4.1900000000000004</v>
      </c>
      <c r="O835">
        <v>2.8467229999999999</v>
      </c>
      <c r="P835">
        <v>23873000</v>
      </c>
      <c r="R835" s="273">
        <f>(O835/O834)*('16. câmbio USD-BRL'!O631/'16. câmbio USD-BRL'!O630)^-1-1</f>
        <v>-8.7371126543522637E-2</v>
      </c>
    </row>
    <row r="836" spans="10:18" x14ac:dyDescent="0.2">
      <c r="J836" s="354">
        <v>42359</v>
      </c>
      <c r="K836">
        <v>4.21</v>
      </c>
      <c r="L836">
        <v>4.42</v>
      </c>
      <c r="M836">
        <v>3.95</v>
      </c>
      <c r="N836">
        <v>4.33</v>
      </c>
      <c r="O836">
        <v>2.94184</v>
      </c>
      <c r="P836">
        <v>14271100</v>
      </c>
      <c r="R836" s="273">
        <f>(O836/O835)*('16. câmbio USD-BRL'!O632/'16. câmbio USD-BRL'!O631)^-1-1</f>
        <v>2.3720433262710117E-2</v>
      </c>
    </row>
    <row r="837" spans="10:18" x14ac:dyDescent="0.2">
      <c r="J837" s="354">
        <v>42366</v>
      </c>
      <c r="K837">
        <v>4.3499999999999996</v>
      </c>
      <c r="L837">
        <v>4.47</v>
      </c>
      <c r="M837">
        <v>4</v>
      </c>
      <c r="N837">
        <v>4</v>
      </c>
      <c r="O837">
        <v>2.7176360000000002</v>
      </c>
      <c r="P837">
        <v>10460000</v>
      </c>
      <c r="R837" s="273">
        <f>(O837/O836)*('16. câmbio USD-BRL'!O633/'16. câmbio USD-BRL'!O632)^-1-1</f>
        <v>-8.4865369025912352E-2</v>
      </c>
    </row>
    <row r="838" spans="10:18" x14ac:dyDescent="0.2">
      <c r="J838" s="354">
        <v>42373</v>
      </c>
      <c r="K838">
        <v>3.98</v>
      </c>
      <c r="L838">
        <v>3.98</v>
      </c>
      <c r="M838">
        <v>3.14</v>
      </c>
      <c r="N838">
        <v>3.42</v>
      </c>
      <c r="O838">
        <v>2.3235779999999999</v>
      </c>
      <c r="P838">
        <v>27420100</v>
      </c>
      <c r="R838" s="273">
        <f>(O838/O837)*('16. câmbio USD-BRL'!O634/'16. câmbio USD-BRL'!O633)^-1-1</f>
        <v>-0.16435757360037428</v>
      </c>
    </row>
    <row r="839" spans="10:18" x14ac:dyDescent="0.2">
      <c r="J839" s="354">
        <v>42380</v>
      </c>
      <c r="K839">
        <v>3.44</v>
      </c>
      <c r="L839">
        <v>3.55</v>
      </c>
      <c r="M839">
        <v>3.09</v>
      </c>
      <c r="N839">
        <v>3.17</v>
      </c>
      <c r="O839">
        <v>2.1537259999999998</v>
      </c>
      <c r="P839">
        <v>29342000</v>
      </c>
      <c r="R839" s="273">
        <f>(O839/O838)*('16. câmbio USD-BRL'!O635/'16. câmbio USD-BRL'!O634)^-1-1</f>
        <v>-6.4862066174130817E-2</v>
      </c>
    </row>
    <row r="840" spans="10:18" x14ac:dyDescent="0.2">
      <c r="J840" s="354">
        <v>42387</v>
      </c>
      <c r="K840">
        <v>3.2</v>
      </c>
      <c r="L840">
        <v>3.56</v>
      </c>
      <c r="M840">
        <v>3.16</v>
      </c>
      <c r="N840">
        <v>3.45</v>
      </c>
      <c r="O840">
        <v>2.34396</v>
      </c>
      <c r="P840">
        <v>21757200</v>
      </c>
      <c r="R840" s="273">
        <f>(O840/O839)*('16. câmbio USD-BRL'!O636/'16. câmbio USD-BRL'!O635)^-1-1</f>
        <v>6.6079608354637775E-2</v>
      </c>
    </row>
    <row r="841" spans="10:18" x14ac:dyDescent="0.2">
      <c r="J841" s="354">
        <v>42394</v>
      </c>
      <c r="K841">
        <v>3.45</v>
      </c>
      <c r="L841">
        <v>3.65</v>
      </c>
      <c r="M841">
        <v>3.32</v>
      </c>
      <c r="N841">
        <v>3.55</v>
      </c>
      <c r="O841">
        <v>2.4119009999999999</v>
      </c>
      <c r="P841">
        <v>16454000</v>
      </c>
      <c r="R841" s="273">
        <f>(O841/O840)*('16. câmbio USD-BRL'!O637/'16. câmbio USD-BRL'!O636)^-1-1</f>
        <v>3.4678254107015638E-2</v>
      </c>
    </row>
    <row r="842" spans="10:18" x14ac:dyDescent="0.2">
      <c r="J842" s="354">
        <v>42401</v>
      </c>
      <c r="K842">
        <v>3.53</v>
      </c>
      <c r="L842">
        <v>4.5</v>
      </c>
      <c r="M842">
        <v>3.46</v>
      </c>
      <c r="N842">
        <v>4.38</v>
      </c>
      <c r="O842">
        <v>2.9758100000000001</v>
      </c>
      <c r="P842">
        <v>32165500</v>
      </c>
      <c r="R842" s="273">
        <f>(O842/O841)*('16. câmbio USD-BRL'!O638/'16. câmbio USD-BRL'!O637)^-1-1</f>
        <v>0.2871298289970563</v>
      </c>
    </row>
    <row r="843" spans="10:18" x14ac:dyDescent="0.2">
      <c r="J843" s="354">
        <v>42408</v>
      </c>
      <c r="K843">
        <v>4.38</v>
      </c>
      <c r="L843">
        <v>4.43</v>
      </c>
      <c r="M843">
        <v>3.88</v>
      </c>
      <c r="N843">
        <v>4.0199999999999996</v>
      </c>
      <c r="O843">
        <v>2.731223</v>
      </c>
      <c r="P843">
        <v>16923400</v>
      </c>
      <c r="R843" s="273">
        <f>(O843/O842)*('16. câmbio USD-BRL'!O639/'16. câmbio USD-BRL'!O638)^-1-1</f>
        <v>-9.8312710049788588E-2</v>
      </c>
    </row>
    <row r="844" spans="10:18" x14ac:dyDescent="0.2">
      <c r="J844" s="354">
        <v>42415</v>
      </c>
      <c r="K844">
        <v>4.2</v>
      </c>
      <c r="L844">
        <v>4.8899999999999997</v>
      </c>
      <c r="M844">
        <v>4.09</v>
      </c>
      <c r="N844">
        <v>4.63</v>
      </c>
      <c r="O844">
        <v>3.1456629999999999</v>
      </c>
      <c r="P844">
        <v>29774200</v>
      </c>
      <c r="R844" s="273">
        <f>(O844/O843)*('16. câmbio USD-BRL'!O640/'16. câmbio USD-BRL'!O639)^-1-1</f>
        <v>0.13791972963952226</v>
      </c>
    </row>
    <row r="845" spans="10:18" x14ac:dyDescent="0.2">
      <c r="J845" s="354">
        <v>42422</v>
      </c>
      <c r="K845">
        <v>4.82</v>
      </c>
      <c r="L845">
        <v>5.47</v>
      </c>
      <c r="M845">
        <v>4.8</v>
      </c>
      <c r="N845">
        <v>5</v>
      </c>
      <c r="O845">
        <v>3.397043</v>
      </c>
      <c r="P845">
        <v>35841400</v>
      </c>
      <c r="R845" s="273">
        <f>(O845/O844)*('16. câmbio USD-BRL'!O641/'16. câmbio USD-BRL'!O640)^-1-1</f>
        <v>9.7538748705841893E-2</v>
      </c>
    </row>
    <row r="846" spans="10:18" x14ac:dyDescent="0.2">
      <c r="J846" s="354">
        <v>42429</v>
      </c>
      <c r="K846">
        <v>5.07</v>
      </c>
      <c r="L846">
        <v>7.72</v>
      </c>
      <c r="M846">
        <v>5.0599999999999996</v>
      </c>
      <c r="N846">
        <v>7.56</v>
      </c>
      <c r="O846">
        <v>5.1363300000000001</v>
      </c>
      <c r="P846">
        <v>51354600</v>
      </c>
      <c r="R846" s="273">
        <f>(O846/O845)*('16. câmbio USD-BRL'!O642/'16. câmbio USD-BRL'!O641)^-1-1</f>
        <v>0.57405599028527288</v>
      </c>
    </row>
    <row r="847" spans="10:18" x14ac:dyDescent="0.2">
      <c r="J847" s="354">
        <v>42436</v>
      </c>
      <c r="K847">
        <v>7.83</v>
      </c>
      <c r="L847">
        <v>8.59</v>
      </c>
      <c r="M847">
        <v>6.69</v>
      </c>
      <c r="N847">
        <v>7.06</v>
      </c>
      <c r="O847">
        <v>4.7966259999999998</v>
      </c>
      <c r="P847">
        <v>60087800</v>
      </c>
      <c r="R847" s="273">
        <f>(O847/O846)*('16. câmbio USD-BRL'!O643/'16. câmbio USD-BRL'!O642)^-1-1</f>
        <v>-1.9082607912599858E-2</v>
      </c>
    </row>
    <row r="848" spans="10:18" x14ac:dyDescent="0.2">
      <c r="J848" s="354">
        <v>42443</v>
      </c>
      <c r="K848">
        <v>7.14</v>
      </c>
      <c r="L848">
        <v>8.16</v>
      </c>
      <c r="M848">
        <v>5.91</v>
      </c>
      <c r="N848">
        <v>7.92</v>
      </c>
      <c r="O848">
        <v>5.3809180000000003</v>
      </c>
      <c r="P848">
        <v>53668700</v>
      </c>
      <c r="R848" s="273">
        <f>(O848/O847)*('16. câmbio USD-BRL'!O644/'16. câmbio USD-BRL'!O643)^-1-1</f>
        <v>0.11961355164290999</v>
      </c>
    </row>
    <row r="849" spans="10:18" x14ac:dyDescent="0.2">
      <c r="J849" s="354">
        <v>42450</v>
      </c>
      <c r="K849">
        <v>7.93</v>
      </c>
      <c r="L849">
        <v>8.4</v>
      </c>
      <c r="M849">
        <v>7.21</v>
      </c>
      <c r="N849">
        <v>7.79</v>
      </c>
      <c r="O849">
        <v>5.2925940000000002</v>
      </c>
      <c r="P849">
        <v>31139500</v>
      </c>
      <c r="R849" s="273">
        <f>(O849/O848)*('16. câmbio USD-BRL'!O645/'16. câmbio USD-BRL'!O644)^-1-1</f>
        <v>-3.1420053345961874E-2</v>
      </c>
    </row>
    <row r="850" spans="10:18" x14ac:dyDescent="0.2">
      <c r="J850" s="354">
        <v>42457</v>
      </c>
      <c r="K850">
        <v>8.07</v>
      </c>
      <c r="L850">
        <v>8.1999999999999993</v>
      </c>
      <c r="M850">
        <v>7.13</v>
      </c>
      <c r="N850">
        <v>7.35</v>
      </c>
      <c r="O850">
        <v>4.9936550000000004</v>
      </c>
      <c r="P850">
        <v>21653200</v>
      </c>
      <c r="R850" s="273">
        <f>(O850/O849)*('16. câmbio USD-BRL'!O646/'16. câmbio USD-BRL'!O645)^-1-1</f>
        <v>-2.2289773506900645E-2</v>
      </c>
    </row>
    <row r="851" spans="10:18" x14ac:dyDescent="0.2">
      <c r="J851" s="354">
        <v>42464</v>
      </c>
      <c r="K851">
        <v>6.95</v>
      </c>
      <c r="L851">
        <v>8.33</v>
      </c>
      <c r="M851">
        <v>6.95</v>
      </c>
      <c r="N851">
        <v>8.25</v>
      </c>
      <c r="O851">
        <v>5.6051229999999999</v>
      </c>
      <c r="P851">
        <v>8778000</v>
      </c>
      <c r="R851" s="273">
        <f>(O851/O850)*('16. câmbio USD-BRL'!O647/'16. câmbio USD-BRL'!O646)^-1-1</f>
        <v>0.11068051920823208</v>
      </c>
    </row>
    <row r="852" spans="10:18" x14ac:dyDescent="0.2">
      <c r="J852" s="354">
        <v>42471</v>
      </c>
      <c r="K852">
        <v>8.99</v>
      </c>
      <c r="L852">
        <v>13.64</v>
      </c>
      <c r="M852">
        <v>8.99</v>
      </c>
      <c r="N852">
        <v>11.92</v>
      </c>
      <c r="O852">
        <v>8.0985530000000008</v>
      </c>
      <c r="P852">
        <v>28338600</v>
      </c>
      <c r="R852" s="273">
        <f>(O852/O851)*('16. câmbio USD-BRL'!O648/'16. câmbio USD-BRL'!O647)^-1-1</f>
        <v>0.46743566500527756</v>
      </c>
    </row>
    <row r="853" spans="10:18" x14ac:dyDescent="0.2">
      <c r="J853" s="354">
        <v>42478</v>
      </c>
      <c r="K853">
        <v>11.96</v>
      </c>
      <c r="L853">
        <v>14.12</v>
      </c>
      <c r="M853">
        <v>11.71</v>
      </c>
      <c r="N853">
        <v>13.4</v>
      </c>
      <c r="O853">
        <v>9.1040759999999992</v>
      </c>
      <c r="P853">
        <v>31310600</v>
      </c>
      <c r="R853" s="273">
        <f>(O853/O852)*('16. câmbio USD-BRL'!O649/'16. câmbio USD-BRL'!O648)^-1-1</f>
        <v>0.12626599238909386</v>
      </c>
    </row>
    <row r="854" spans="10:18" x14ac:dyDescent="0.2">
      <c r="J854" s="354">
        <v>42485</v>
      </c>
      <c r="K854">
        <v>13.21</v>
      </c>
      <c r="L854">
        <v>13.71</v>
      </c>
      <c r="M854">
        <v>11.7</v>
      </c>
      <c r="N854">
        <v>13.14</v>
      </c>
      <c r="O854">
        <v>8.9274319999999996</v>
      </c>
      <c r="P854">
        <v>45189100</v>
      </c>
      <c r="R854" s="273">
        <f>(O854/O853)*('16. câmbio USD-BRL'!O650/'16. câmbio USD-BRL'!O649)^-1-1</f>
        <v>6.7632809133424399E-3</v>
      </c>
    </row>
    <row r="855" spans="10:18" x14ac:dyDescent="0.2">
      <c r="J855" s="354">
        <v>42492</v>
      </c>
      <c r="K855">
        <v>13.2</v>
      </c>
      <c r="L855">
        <v>13.59</v>
      </c>
      <c r="M855">
        <v>10.45</v>
      </c>
      <c r="N855">
        <v>11.14</v>
      </c>
      <c r="O855">
        <v>7.5686140000000002</v>
      </c>
      <c r="P855">
        <v>43339500</v>
      </c>
      <c r="R855" s="273">
        <f>(O855/O854)*('16. câmbio USD-BRL'!O651/'16. câmbio USD-BRL'!O650)^-1-1</f>
        <v>-0.17627475222781097</v>
      </c>
    </row>
    <row r="856" spans="10:18" x14ac:dyDescent="0.2">
      <c r="J856" s="354">
        <v>42499</v>
      </c>
      <c r="K856">
        <v>10.9</v>
      </c>
      <c r="L856">
        <v>10.9</v>
      </c>
      <c r="M856">
        <v>8.39</v>
      </c>
      <c r="N856">
        <v>8.4</v>
      </c>
      <c r="O856">
        <v>5.7070340000000002</v>
      </c>
      <c r="P856">
        <v>52777200</v>
      </c>
      <c r="R856" s="273">
        <f>(O856/O855)*('16. câmbio USD-BRL'!O652/'16. câmbio USD-BRL'!O651)^-1-1</f>
        <v>-0.23381639971703871</v>
      </c>
    </row>
    <row r="857" spans="10:18" x14ac:dyDescent="0.2">
      <c r="J857" s="354">
        <v>42506</v>
      </c>
      <c r="K857">
        <v>8.35</v>
      </c>
      <c r="L857">
        <v>8.84</v>
      </c>
      <c r="M857">
        <v>7.27</v>
      </c>
      <c r="N857">
        <v>7.28</v>
      </c>
      <c r="O857">
        <v>4.9460949999999997</v>
      </c>
      <c r="P857">
        <v>46846500</v>
      </c>
      <c r="R857" s="273">
        <f>(O857/O856)*('16. câmbio USD-BRL'!O653/'16. câmbio USD-BRL'!O652)^-1-1</f>
        <v>-0.15287269103939705</v>
      </c>
    </row>
    <row r="858" spans="10:18" x14ac:dyDescent="0.2">
      <c r="J858" s="354">
        <v>42513</v>
      </c>
      <c r="K858">
        <v>7.11</v>
      </c>
      <c r="L858">
        <v>7.49</v>
      </c>
      <c r="M858">
        <v>6.41</v>
      </c>
      <c r="N858">
        <v>6.43</v>
      </c>
      <c r="O858">
        <v>4.3685980000000004</v>
      </c>
      <c r="P858">
        <v>32415000</v>
      </c>
      <c r="R858" s="273">
        <f>(O858/O857)*('16. câmbio USD-BRL'!O654/'16. câmbio USD-BRL'!O653)^-1-1</f>
        <v>-0.12938674874128864</v>
      </c>
    </row>
    <row r="859" spans="10:18" x14ac:dyDescent="0.2">
      <c r="J859" s="354">
        <v>42520</v>
      </c>
      <c r="K859">
        <v>6.47</v>
      </c>
      <c r="L859">
        <v>7.45</v>
      </c>
      <c r="M859">
        <v>6.25</v>
      </c>
      <c r="N859">
        <v>7.34</v>
      </c>
      <c r="O859">
        <v>4.9868600000000001</v>
      </c>
      <c r="P859">
        <v>45587100</v>
      </c>
      <c r="R859" s="273">
        <f>(O859/O858)*('16. câmbio USD-BRL'!O655/'16. câmbio USD-BRL'!O654)^-1-1</f>
        <v>0.15070707715568266</v>
      </c>
    </row>
    <row r="860" spans="10:18" x14ac:dyDescent="0.2">
      <c r="J860" s="354">
        <v>42527</v>
      </c>
      <c r="K860">
        <v>7.6</v>
      </c>
      <c r="L860">
        <v>8.17</v>
      </c>
      <c r="M860">
        <v>6.95</v>
      </c>
      <c r="N860">
        <v>6.95</v>
      </c>
      <c r="O860">
        <v>4.7218900000000001</v>
      </c>
      <c r="P860">
        <v>53845900</v>
      </c>
      <c r="R860" s="273">
        <f>(O860/O859)*('16. câmbio USD-BRL'!O656/'16. câmbio USD-BRL'!O655)^-1-1</f>
        <v>-1.7738235388234935E-3</v>
      </c>
    </row>
    <row r="861" spans="10:18" x14ac:dyDescent="0.2">
      <c r="J861" s="354">
        <v>42534</v>
      </c>
      <c r="K861">
        <v>6.83</v>
      </c>
      <c r="L861">
        <v>7.62</v>
      </c>
      <c r="M861">
        <v>6.62</v>
      </c>
      <c r="N861">
        <v>7.33</v>
      </c>
      <c r="O861">
        <v>4.980067</v>
      </c>
      <c r="P861">
        <v>48546100</v>
      </c>
      <c r="R861" s="273">
        <f>(O861/O860)*('16. câmbio USD-BRL'!O657/'16. câmbio USD-BRL'!O656)^-1-1</f>
        <v>4.9453921851093874E-2</v>
      </c>
    </row>
    <row r="862" spans="10:18" x14ac:dyDescent="0.2">
      <c r="J862" s="354">
        <v>42541</v>
      </c>
      <c r="K862">
        <v>7.69</v>
      </c>
      <c r="L862">
        <v>8.08</v>
      </c>
      <c r="M862">
        <v>7.15</v>
      </c>
      <c r="N862">
        <v>7.37</v>
      </c>
      <c r="O862">
        <v>5.0072419999999997</v>
      </c>
      <c r="P862">
        <v>43887900</v>
      </c>
      <c r="R862" s="273">
        <f>(O862/O861)*('16. câmbio USD-BRL'!O658/'16. câmbio USD-BRL'!O657)^-1-1</f>
        <v>2.8295717618556093E-2</v>
      </c>
    </row>
    <row r="863" spans="10:18" x14ac:dyDescent="0.2">
      <c r="J863" s="354">
        <v>42548</v>
      </c>
      <c r="K863">
        <v>7.5</v>
      </c>
      <c r="L863">
        <v>8.76</v>
      </c>
      <c r="M863">
        <v>7.07</v>
      </c>
      <c r="N863">
        <v>8.76</v>
      </c>
      <c r="O863">
        <v>5.9516210000000003</v>
      </c>
      <c r="P863">
        <v>43302000</v>
      </c>
      <c r="R863" s="273">
        <f>(O863/O862)*('16. câmbio USD-BRL'!O659/'16. câmbio USD-BRL'!O658)^-1-1</f>
        <v>0.22774932504222267</v>
      </c>
    </row>
    <row r="864" spans="10:18" x14ac:dyDescent="0.2">
      <c r="J864" s="354">
        <v>42555</v>
      </c>
      <c r="K864">
        <v>9.15</v>
      </c>
      <c r="L864">
        <v>9.5399999999999991</v>
      </c>
      <c r="M864">
        <v>8.06</v>
      </c>
      <c r="N864">
        <v>9.06</v>
      </c>
      <c r="O864">
        <v>6.1554440000000001</v>
      </c>
      <c r="P864">
        <v>57360800</v>
      </c>
      <c r="R864" s="273">
        <f>(O864/O863)*('16. câmbio USD-BRL'!O660/'16. câmbio USD-BRL'!O659)^-1-1</f>
        <v>1.3202287457583228E-2</v>
      </c>
    </row>
    <row r="865" spans="10:18" x14ac:dyDescent="0.2">
      <c r="J865" s="354">
        <v>42562</v>
      </c>
      <c r="K865">
        <v>9.2899999999999991</v>
      </c>
      <c r="L865">
        <v>10.25</v>
      </c>
      <c r="M865">
        <v>8.9499999999999993</v>
      </c>
      <c r="N865">
        <v>10.25</v>
      </c>
      <c r="O865">
        <v>6.96394</v>
      </c>
      <c r="P865">
        <v>59120500</v>
      </c>
      <c r="R865" s="273">
        <f>(O865/O864)*('16. câmbio USD-BRL'!O661/'16. câmbio USD-BRL'!O660)^-1-1</f>
        <v>0.13863191706989109</v>
      </c>
    </row>
    <row r="866" spans="10:18" x14ac:dyDescent="0.2">
      <c r="J866" s="354">
        <v>42569</v>
      </c>
      <c r="K866">
        <v>10.15</v>
      </c>
      <c r="L866">
        <v>11.01</v>
      </c>
      <c r="M866">
        <v>9.9700000000000006</v>
      </c>
      <c r="N866">
        <v>10.88</v>
      </c>
      <c r="O866">
        <v>7.3919680000000003</v>
      </c>
      <c r="P866">
        <v>45213000</v>
      </c>
      <c r="R866" s="273">
        <f>(O866/O865)*('16. câmbio USD-BRL'!O662/'16. câmbio USD-BRL'!O661)^-1-1</f>
        <v>6.4061446713089776E-2</v>
      </c>
    </row>
    <row r="867" spans="10:18" x14ac:dyDescent="0.2">
      <c r="J867" s="354">
        <v>42576</v>
      </c>
      <c r="K867">
        <v>11</v>
      </c>
      <c r="L867">
        <v>11.75</v>
      </c>
      <c r="M867">
        <v>10.75</v>
      </c>
      <c r="N867">
        <v>11.07</v>
      </c>
      <c r="O867">
        <v>7.5210549999999996</v>
      </c>
      <c r="P867">
        <v>33886600</v>
      </c>
      <c r="R867" s="273">
        <f>(O867/O866)*('16. câmbio USD-BRL'!O663/'16. câmbio USD-BRL'!O662)^-1-1</f>
        <v>2.4484021859033867E-2</v>
      </c>
    </row>
    <row r="868" spans="10:18" x14ac:dyDescent="0.2">
      <c r="J868" s="354">
        <v>42583</v>
      </c>
      <c r="K868">
        <v>11.15</v>
      </c>
      <c r="L868">
        <v>11.35</v>
      </c>
      <c r="M868">
        <v>9.81</v>
      </c>
      <c r="N868">
        <v>11.02</v>
      </c>
      <c r="O868">
        <v>7.4870850000000004</v>
      </c>
      <c r="P868">
        <v>33782900</v>
      </c>
      <c r="R868" s="273">
        <f>(O868/O867)*('16. câmbio USD-BRL'!O664/'16. câmbio USD-BRL'!O663)^-1-1</f>
        <v>1.4006727272513952E-2</v>
      </c>
    </row>
    <row r="869" spans="10:18" x14ac:dyDescent="0.2">
      <c r="J869" s="354">
        <v>42590</v>
      </c>
      <c r="K869">
        <v>11.08</v>
      </c>
      <c r="L869">
        <v>11.22</v>
      </c>
      <c r="M869">
        <v>10.36</v>
      </c>
      <c r="N869">
        <v>10.78</v>
      </c>
      <c r="O869">
        <v>7.3240259999999999</v>
      </c>
      <c r="P869">
        <v>28330100</v>
      </c>
      <c r="R869" s="273">
        <f>(O869/O868)*('16. câmbio USD-BRL'!O665/'16. câmbio USD-BRL'!O664)^-1-1</f>
        <v>-2.2882478720034349E-2</v>
      </c>
    </row>
    <row r="870" spans="10:18" x14ac:dyDescent="0.2">
      <c r="J870" s="354">
        <v>42597</v>
      </c>
      <c r="K870">
        <v>10.97</v>
      </c>
      <c r="L870">
        <v>11.4</v>
      </c>
      <c r="M870">
        <v>9.84</v>
      </c>
      <c r="N870">
        <v>10.09</v>
      </c>
      <c r="O870">
        <v>6.8552350000000004</v>
      </c>
      <c r="P870">
        <v>39775900</v>
      </c>
      <c r="R870" s="273">
        <f>(O870/O869)*('16. câmbio USD-BRL'!O666/'16. câmbio USD-BRL'!O665)^-1-1</f>
        <v>-6.8096500010946248E-2</v>
      </c>
    </row>
    <row r="871" spans="10:18" x14ac:dyDescent="0.2">
      <c r="J871" s="354">
        <v>42604</v>
      </c>
      <c r="K871">
        <v>10</v>
      </c>
      <c r="L871">
        <v>10</v>
      </c>
      <c r="M871">
        <v>8.5500000000000007</v>
      </c>
      <c r="N871">
        <v>8.8000000000000007</v>
      </c>
      <c r="O871">
        <v>5.9787970000000001</v>
      </c>
      <c r="P871">
        <v>40072600</v>
      </c>
      <c r="R871" s="273">
        <f>(O871/O870)*('16. câmbio USD-BRL'!O667/'16. câmbio USD-BRL'!O666)^-1-1</f>
        <v>-0.14377425665047661</v>
      </c>
    </row>
    <row r="872" spans="10:18" x14ac:dyDescent="0.2">
      <c r="J872" s="354">
        <v>42611</v>
      </c>
      <c r="K872">
        <v>8.66</v>
      </c>
      <c r="L872">
        <v>9.73</v>
      </c>
      <c r="M872">
        <v>8.3699999999999992</v>
      </c>
      <c r="N872">
        <v>9.6999999999999993</v>
      </c>
      <c r="O872">
        <v>6.5902649999999996</v>
      </c>
      <c r="P872">
        <v>32557400</v>
      </c>
      <c r="R872" s="273">
        <f>(O872/O871)*('16. câmbio USD-BRL'!O668/'16. câmbio USD-BRL'!O667)^-1-1</f>
        <v>0.10498095185471956</v>
      </c>
    </row>
    <row r="873" spans="10:18" x14ac:dyDescent="0.2">
      <c r="J873" s="354">
        <v>42618</v>
      </c>
      <c r="K873">
        <v>9.7899999999999991</v>
      </c>
      <c r="L873">
        <v>9.8000000000000007</v>
      </c>
      <c r="M873">
        <v>8.56</v>
      </c>
      <c r="N873">
        <v>8.65</v>
      </c>
      <c r="O873">
        <v>5.8768849999999997</v>
      </c>
      <c r="P873">
        <v>25529200</v>
      </c>
      <c r="R873" s="273">
        <f>(O873/O872)*('16. câmbio USD-BRL'!O669/'16. câmbio USD-BRL'!O668)^-1-1</f>
        <v>-0.11249956528475469</v>
      </c>
    </row>
    <row r="874" spans="10:18" x14ac:dyDescent="0.2">
      <c r="J874" s="354">
        <v>42625</v>
      </c>
      <c r="K874">
        <v>8.59</v>
      </c>
      <c r="L874">
        <v>8.85</v>
      </c>
      <c r="M874">
        <v>7.82</v>
      </c>
      <c r="N874">
        <v>8.01</v>
      </c>
      <c r="O874">
        <v>5.4420650000000004</v>
      </c>
      <c r="P874">
        <v>38011700</v>
      </c>
      <c r="R874" s="273">
        <f>(O874/O873)*('16. câmbio USD-BRL'!O670/'16. câmbio USD-BRL'!O669)^-1-1</f>
        <v>-7.2230015148140203E-2</v>
      </c>
    </row>
    <row r="875" spans="10:18" x14ac:dyDescent="0.2">
      <c r="J875" s="354">
        <v>42632</v>
      </c>
      <c r="K875">
        <v>8.3000000000000007</v>
      </c>
      <c r="L875">
        <v>9.1300000000000008</v>
      </c>
      <c r="M875">
        <v>8.24</v>
      </c>
      <c r="N875">
        <v>8.7100000000000009</v>
      </c>
      <c r="O875">
        <v>5.9176500000000001</v>
      </c>
      <c r="P875">
        <v>37306400</v>
      </c>
      <c r="R875" s="273">
        <f>(O875/O874)*('16. câmbio USD-BRL'!O671/'16. câmbio USD-BRL'!O670)^-1-1</f>
        <v>9.4867355985133628E-2</v>
      </c>
    </row>
    <row r="876" spans="10:18" x14ac:dyDescent="0.2">
      <c r="J876" s="354">
        <v>42639</v>
      </c>
      <c r="K876">
        <v>8.6</v>
      </c>
      <c r="L876">
        <v>9.48</v>
      </c>
      <c r="M876">
        <v>8.41</v>
      </c>
      <c r="N876">
        <v>9.09</v>
      </c>
      <c r="O876">
        <v>6.1758259999999998</v>
      </c>
      <c r="P876">
        <v>34343100</v>
      </c>
      <c r="R876" s="273">
        <f>(O876/O875)*('16. câmbio USD-BRL'!O672/'16. câmbio USD-BRL'!O671)^-1-1</f>
        <v>3.8313623320700874E-2</v>
      </c>
    </row>
    <row r="877" spans="10:18" x14ac:dyDescent="0.2">
      <c r="J877" s="354">
        <v>42646</v>
      </c>
      <c r="K877">
        <v>9.09</v>
      </c>
      <c r="L877">
        <v>10.14</v>
      </c>
      <c r="M877">
        <v>9.09</v>
      </c>
      <c r="N877">
        <v>9.9499999999999993</v>
      </c>
      <c r="O877">
        <v>6.7601180000000003</v>
      </c>
      <c r="P877">
        <v>39269400</v>
      </c>
      <c r="R877" s="273">
        <f>(O877/O876)*('16. câmbio USD-BRL'!O673/'16. câmbio USD-BRL'!O672)^-1-1</f>
        <v>0.10838012872863612</v>
      </c>
    </row>
    <row r="878" spans="10:18" x14ac:dyDescent="0.2">
      <c r="J878" s="354">
        <v>42653</v>
      </c>
      <c r="K878">
        <v>10.039999999999999</v>
      </c>
      <c r="L878">
        <v>10.31</v>
      </c>
      <c r="M878">
        <v>9.73</v>
      </c>
      <c r="N878">
        <v>10.220000000000001</v>
      </c>
      <c r="O878">
        <v>6.9435580000000003</v>
      </c>
      <c r="P878">
        <v>25180700</v>
      </c>
      <c r="R878" s="273">
        <f>(O878/O877)*('16. câmbio USD-BRL'!O674/'16. câmbio USD-BRL'!O673)^-1-1</f>
        <v>3.2685104529290188E-2</v>
      </c>
    </row>
    <row r="879" spans="10:18" x14ac:dyDescent="0.2">
      <c r="J879" s="354">
        <v>42660</v>
      </c>
      <c r="K879">
        <v>10.29</v>
      </c>
      <c r="L879">
        <v>10.76</v>
      </c>
      <c r="M879">
        <v>9.9600000000000009</v>
      </c>
      <c r="N879">
        <v>10.199999999999999</v>
      </c>
      <c r="O879">
        <v>6.92997</v>
      </c>
      <c r="P879">
        <v>39884800</v>
      </c>
      <c r="R879" s="273">
        <f>(O879/O878)*('16. câmbio USD-BRL'!O675/'16. câmbio USD-BRL'!O674)^-1-1</f>
        <v>1.4873110103691634E-2</v>
      </c>
    </row>
    <row r="880" spans="10:18" x14ac:dyDescent="0.2">
      <c r="J880" s="354">
        <v>42667</v>
      </c>
      <c r="K880">
        <v>10.4</v>
      </c>
      <c r="L880">
        <v>11.12</v>
      </c>
      <c r="M880">
        <v>10.199999999999999</v>
      </c>
      <c r="N880">
        <v>10.84</v>
      </c>
      <c r="O880">
        <v>7.3647910000000003</v>
      </c>
      <c r="P880">
        <v>34631700</v>
      </c>
      <c r="R880" s="273">
        <f>(O880/O879)*('16. câmbio USD-BRL'!O676/'16. câmbio USD-BRL'!O675)^-1-1</f>
        <v>4.4762182011012452E-2</v>
      </c>
    </row>
    <row r="881" spans="10:18" x14ac:dyDescent="0.2">
      <c r="J881" s="354">
        <v>42674</v>
      </c>
      <c r="K881">
        <v>10.95</v>
      </c>
      <c r="L881">
        <v>11.07</v>
      </c>
      <c r="M881">
        <v>9.43</v>
      </c>
      <c r="N881">
        <v>9.66</v>
      </c>
      <c r="O881">
        <v>6.5630889999999997</v>
      </c>
      <c r="P881">
        <v>27696000</v>
      </c>
      <c r="R881" s="273">
        <f>(O881/O880)*('16. câmbio USD-BRL'!O677/'16. câmbio USD-BRL'!O676)^-1-1</f>
        <v>-0.11690647180601521</v>
      </c>
    </row>
    <row r="882" spans="10:18" x14ac:dyDescent="0.2">
      <c r="J882" s="354">
        <v>42681</v>
      </c>
      <c r="K882">
        <v>10.029999999999999</v>
      </c>
      <c r="L882">
        <v>11.66</v>
      </c>
      <c r="M882">
        <v>9.83</v>
      </c>
      <c r="N882">
        <v>10.42</v>
      </c>
      <c r="O882">
        <v>7.0794410000000001</v>
      </c>
      <c r="P882">
        <v>43594700</v>
      </c>
      <c r="R882" s="273">
        <f>(O882/O881)*('16. câmbio USD-BRL'!O678/'16. câmbio USD-BRL'!O677)^-1-1</f>
        <v>2.8496071286843394E-2</v>
      </c>
    </row>
    <row r="883" spans="10:18" x14ac:dyDescent="0.2">
      <c r="J883" s="354">
        <v>42688</v>
      </c>
      <c r="K883">
        <v>10.41</v>
      </c>
      <c r="L883">
        <v>11.05</v>
      </c>
      <c r="M883">
        <v>9.92</v>
      </c>
      <c r="N883">
        <v>10.86</v>
      </c>
      <c r="O883">
        <v>7.3783789999999998</v>
      </c>
      <c r="P883">
        <v>29944500</v>
      </c>
      <c r="R883" s="273">
        <f>(O883/O882)*('16. câmbio USD-BRL'!O679/'16. câmbio USD-BRL'!O678)^-1-1</f>
        <v>4.4598903092398556E-2</v>
      </c>
    </row>
    <row r="884" spans="10:18" x14ac:dyDescent="0.2">
      <c r="J884" s="354">
        <v>42695</v>
      </c>
      <c r="K884">
        <v>10.9</v>
      </c>
      <c r="L884">
        <v>12.94</v>
      </c>
      <c r="M884">
        <v>10.9</v>
      </c>
      <c r="N884">
        <v>12.89</v>
      </c>
      <c r="O884">
        <v>8.7575789999999998</v>
      </c>
      <c r="P884">
        <v>32929800</v>
      </c>
      <c r="R884" s="273">
        <f>(O884/O883)*('16. câmbio USD-BRL'!O680/'16. câmbio USD-BRL'!O679)^-1-1</f>
        <v>0.17349746435622171</v>
      </c>
    </row>
    <row r="885" spans="10:18" x14ac:dyDescent="0.2">
      <c r="J885" s="354">
        <v>42702</v>
      </c>
      <c r="K885">
        <v>12.93</v>
      </c>
      <c r="L885">
        <v>13.42</v>
      </c>
      <c r="M885">
        <v>10.91</v>
      </c>
      <c r="N885">
        <v>11.91</v>
      </c>
      <c r="O885">
        <v>8.0917589999999997</v>
      </c>
      <c r="P885">
        <v>35163000</v>
      </c>
      <c r="R885" s="273">
        <f>(O885/O884)*('16. câmbio USD-BRL'!O681/'16. câmbio USD-BRL'!O680)^-1-1</f>
        <v>-9.0307454717635793E-2</v>
      </c>
    </row>
    <row r="886" spans="10:18" x14ac:dyDescent="0.2">
      <c r="J886" s="354">
        <v>42709</v>
      </c>
      <c r="K886">
        <v>12.2</v>
      </c>
      <c r="L886">
        <v>12.3</v>
      </c>
      <c r="M886">
        <v>11.15</v>
      </c>
      <c r="N886">
        <v>11.3</v>
      </c>
      <c r="O886">
        <v>7.6773189999999998</v>
      </c>
      <c r="P886">
        <v>24111300</v>
      </c>
      <c r="R886" s="273">
        <f>(O886/O885)*('16. câmbio USD-BRL'!O682/'16. câmbio USD-BRL'!O681)^-1-1</f>
        <v>-2.3768312236760569E-2</v>
      </c>
    </row>
    <row r="887" spans="10:18" x14ac:dyDescent="0.2">
      <c r="J887" s="354">
        <v>42716</v>
      </c>
      <c r="K887">
        <v>11.14</v>
      </c>
      <c r="L887">
        <v>11.27</v>
      </c>
      <c r="M887">
        <v>10.51</v>
      </c>
      <c r="N887">
        <v>10.72</v>
      </c>
      <c r="O887">
        <v>7.2832610000000004</v>
      </c>
      <c r="P887">
        <v>28823600</v>
      </c>
      <c r="R887" s="273">
        <f>(O887/O886)*('16. câmbio USD-BRL'!O683/'16. câmbio USD-BRL'!O682)^-1-1</f>
        <v>-5.5077025547940583E-2</v>
      </c>
    </row>
    <row r="888" spans="10:18" x14ac:dyDescent="0.2">
      <c r="J888" s="354">
        <v>42723</v>
      </c>
      <c r="K888">
        <v>10.75</v>
      </c>
      <c r="L888">
        <v>10.84</v>
      </c>
      <c r="M888">
        <v>9.41</v>
      </c>
      <c r="N888">
        <v>9.9499999999999993</v>
      </c>
      <c r="O888">
        <v>6.7601180000000003</v>
      </c>
      <c r="P888">
        <v>20730900</v>
      </c>
      <c r="R888" s="273">
        <f>(O888/O887)*('16. câmbio USD-BRL'!O684/'16. câmbio USD-BRL'!O683)^-1-1</f>
        <v>-3.7506066250063586E-2</v>
      </c>
    </row>
    <row r="889" spans="10:18" x14ac:dyDescent="0.2">
      <c r="J889" s="354">
        <v>42730</v>
      </c>
      <c r="K889">
        <v>9.9499999999999993</v>
      </c>
      <c r="L889">
        <v>11.06</v>
      </c>
      <c r="M889">
        <v>9.9499999999999993</v>
      </c>
      <c r="N889">
        <v>10.85</v>
      </c>
      <c r="O889">
        <v>7.3715859999999997</v>
      </c>
      <c r="P889">
        <v>12136900</v>
      </c>
      <c r="R889" s="273">
        <f>(O889/O888)*('16. câmbio USD-BRL'!O685/'16. câmbio USD-BRL'!O684)^-1-1</f>
        <v>9.5915925176668804E-2</v>
      </c>
    </row>
    <row r="890" spans="10:18" x14ac:dyDescent="0.2">
      <c r="J890" s="354">
        <v>42737</v>
      </c>
      <c r="K890">
        <v>10.7</v>
      </c>
      <c r="L890">
        <v>11.88</v>
      </c>
      <c r="M890">
        <v>10.61</v>
      </c>
      <c r="N890">
        <v>11.28</v>
      </c>
      <c r="O890">
        <v>7.6637310000000003</v>
      </c>
      <c r="P890">
        <v>21461500</v>
      </c>
      <c r="R890" s="273">
        <f>(O890/O889)*('16. câmbio USD-BRL'!O686/'16. câmbio USD-BRL'!O685)^-1-1</f>
        <v>4.9633265628399981E-2</v>
      </c>
    </row>
    <row r="891" spans="10:18" x14ac:dyDescent="0.2">
      <c r="J891" s="354">
        <v>42744</v>
      </c>
      <c r="K891">
        <v>11.43</v>
      </c>
      <c r="L891">
        <v>12.5</v>
      </c>
      <c r="M891">
        <v>11.4</v>
      </c>
      <c r="N891">
        <v>12.22</v>
      </c>
      <c r="O891">
        <v>8.3023749999999996</v>
      </c>
      <c r="P891">
        <v>23005600</v>
      </c>
      <c r="R891" s="273">
        <f>(O891/O890)*('16. câmbio USD-BRL'!O687/'16. câmbio USD-BRL'!O686)^-1-1</f>
        <v>9.536731566294665E-2</v>
      </c>
    </row>
    <row r="892" spans="10:18" x14ac:dyDescent="0.2">
      <c r="J892" s="354">
        <v>42751</v>
      </c>
      <c r="K892">
        <v>12.23</v>
      </c>
      <c r="L892">
        <v>12.67</v>
      </c>
      <c r="M892">
        <v>11.49</v>
      </c>
      <c r="N892">
        <v>11.96</v>
      </c>
      <c r="O892">
        <v>8.125731</v>
      </c>
      <c r="P892">
        <v>20248500</v>
      </c>
      <c r="R892" s="273">
        <f>(O892/O891)*('16. câmbio USD-BRL'!O688/'16. câmbio USD-BRL'!O687)^-1-1</f>
        <v>-7.4160269440048943E-3</v>
      </c>
    </row>
    <row r="893" spans="10:18" x14ac:dyDescent="0.2">
      <c r="J893" s="354">
        <v>42758</v>
      </c>
      <c r="K893">
        <v>12.11</v>
      </c>
      <c r="L893">
        <v>12.92</v>
      </c>
      <c r="M893">
        <v>11.85</v>
      </c>
      <c r="N893">
        <v>12.1</v>
      </c>
      <c r="O893">
        <v>8.2208450000000006</v>
      </c>
      <c r="P893">
        <v>15660300</v>
      </c>
      <c r="R893" s="273">
        <f>(O893/O892)*('16. câmbio USD-BRL'!O689/'16. câmbio USD-BRL'!O688)^-1-1</f>
        <v>2.2344198013506178E-2</v>
      </c>
    </row>
    <row r="894" spans="10:18" x14ac:dyDescent="0.2">
      <c r="J894" s="354">
        <v>42765</v>
      </c>
      <c r="K894">
        <v>12</v>
      </c>
      <c r="L894">
        <v>12.28</v>
      </c>
      <c r="M894">
        <v>11.36</v>
      </c>
      <c r="N894">
        <v>11.58</v>
      </c>
      <c r="O894">
        <v>7.8675540000000002</v>
      </c>
      <c r="P894">
        <v>23262100</v>
      </c>
      <c r="R894" s="273">
        <f>(O894/O893)*('16. câmbio USD-BRL'!O690/'16. câmbio USD-BRL'!O689)^-1-1</f>
        <v>-4.6012223241949757E-2</v>
      </c>
    </row>
    <row r="895" spans="10:18" x14ac:dyDescent="0.2">
      <c r="J895" s="354">
        <v>42772</v>
      </c>
      <c r="K895">
        <v>11.58</v>
      </c>
      <c r="L895">
        <v>12.33</v>
      </c>
      <c r="M895">
        <v>11.02</v>
      </c>
      <c r="N895">
        <v>12.29</v>
      </c>
      <c r="O895">
        <v>8.3499339999999993</v>
      </c>
      <c r="P895">
        <v>24293100</v>
      </c>
      <c r="R895" s="273">
        <f>(O895/O894)*('16. câmbio USD-BRL'!O691/'16. câmbio USD-BRL'!O690)^-1-1</f>
        <v>6.5548125202700369E-2</v>
      </c>
    </row>
    <row r="896" spans="10:18" x14ac:dyDescent="0.2">
      <c r="J896" s="354">
        <v>42779</v>
      </c>
      <c r="K896">
        <v>12.81</v>
      </c>
      <c r="L896">
        <v>12.97</v>
      </c>
      <c r="M896">
        <v>12.18</v>
      </c>
      <c r="N896">
        <v>12.51</v>
      </c>
      <c r="O896">
        <v>8.4994029999999992</v>
      </c>
      <c r="P896">
        <v>20887900</v>
      </c>
      <c r="R896" s="273">
        <f>(O896/O895)*('16. câmbio USD-BRL'!O692/'16. câmbio USD-BRL'!O691)^-1-1</f>
        <v>2.171507609578871E-2</v>
      </c>
    </row>
    <row r="897" spans="10:18" x14ac:dyDescent="0.2">
      <c r="J897" s="354">
        <v>42786</v>
      </c>
      <c r="K897">
        <v>12.72</v>
      </c>
      <c r="L897">
        <v>12.93</v>
      </c>
      <c r="M897">
        <v>11.6</v>
      </c>
      <c r="N897">
        <v>11.98</v>
      </c>
      <c r="O897">
        <v>8.1393160000000009</v>
      </c>
      <c r="P897">
        <v>17206600</v>
      </c>
      <c r="R897" s="273">
        <f>(O897/O896)*('16. câmbio USD-BRL'!O693/'16. câmbio USD-BRL'!O692)^-1-1</f>
        <v>-4.208764419694877E-2</v>
      </c>
    </row>
    <row r="898" spans="10:18" x14ac:dyDescent="0.2">
      <c r="J898" s="354">
        <v>42793</v>
      </c>
      <c r="K898">
        <v>11.98</v>
      </c>
      <c r="L898">
        <v>12.23</v>
      </c>
      <c r="M898">
        <v>11.6</v>
      </c>
      <c r="N898">
        <v>11.98</v>
      </c>
      <c r="O898">
        <v>8.1393160000000009</v>
      </c>
      <c r="P898">
        <v>10492500</v>
      </c>
      <c r="R898" s="273">
        <f>(O898/O897)*('16. câmbio USD-BRL'!O694/'16. câmbio USD-BRL'!O693)^-1-1</f>
        <v>-8.1410256410257009E-3</v>
      </c>
    </row>
    <row r="899" spans="10:18" x14ac:dyDescent="0.2">
      <c r="J899" s="354">
        <v>42800</v>
      </c>
      <c r="K899">
        <v>12</v>
      </c>
      <c r="L899">
        <v>12.1</v>
      </c>
      <c r="M899">
        <v>10.24</v>
      </c>
      <c r="N899">
        <v>10.77</v>
      </c>
      <c r="O899">
        <v>7.3172329999999999</v>
      </c>
      <c r="P899">
        <v>26952300</v>
      </c>
      <c r="R899" s="273">
        <f>(O899/O898)*('16. câmbio USD-BRL'!O695/'16. câmbio USD-BRL'!O694)^-1-1</f>
        <v>-0.10885611821902852</v>
      </c>
    </row>
    <row r="900" spans="10:18" x14ac:dyDescent="0.2">
      <c r="J900" s="354">
        <v>42807</v>
      </c>
      <c r="K900">
        <v>10.99</v>
      </c>
      <c r="L900">
        <v>11.62</v>
      </c>
      <c r="M900">
        <v>10.48</v>
      </c>
      <c r="N900">
        <v>10.63</v>
      </c>
      <c r="O900">
        <v>7.2221159999999998</v>
      </c>
      <c r="P900">
        <v>24806500</v>
      </c>
      <c r="R900" s="273">
        <f>(O900/O899)*('16. câmbio USD-BRL'!O696/'16. câmbio USD-BRL'!O695)^-1-1</f>
        <v>6.4749314834708915E-3</v>
      </c>
    </row>
    <row r="901" spans="10:18" x14ac:dyDescent="0.2">
      <c r="J901" s="354">
        <v>42814</v>
      </c>
      <c r="K901">
        <v>10.6</v>
      </c>
      <c r="L901">
        <v>10.97</v>
      </c>
      <c r="M901">
        <v>9.5299999999999994</v>
      </c>
      <c r="N901">
        <v>9.7899999999999991</v>
      </c>
      <c r="O901">
        <v>6.6514119999999997</v>
      </c>
      <c r="P901">
        <v>25556100</v>
      </c>
      <c r="R901" s="273">
        <f>(O901/O900)*('16. câmbio USD-BRL'!O697/'16. câmbio USD-BRL'!O696)^-1-1</f>
        <v>-8.5863082879911734E-2</v>
      </c>
    </row>
    <row r="902" spans="10:18" x14ac:dyDescent="0.2">
      <c r="J902" s="354">
        <v>42821</v>
      </c>
      <c r="K902">
        <v>9.52</v>
      </c>
      <c r="L902">
        <v>10.19</v>
      </c>
      <c r="M902">
        <v>9.01</v>
      </c>
      <c r="N902">
        <v>9.11</v>
      </c>
      <c r="O902">
        <v>6.1894140000000002</v>
      </c>
      <c r="P902">
        <v>28550400</v>
      </c>
      <c r="R902" s="273">
        <f>(O902/O901)*('16. câmbio USD-BRL'!O698/'16. câmbio USD-BRL'!O697)^-1-1</f>
        <v>-7.3065384724955496E-2</v>
      </c>
    </row>
    <row r="903" spans="10:18" x14ac:dyDescent="0.2">
      <c r="J903" s="354">
        <v>42828</v>
      </c>
      <c r="K903">
        <v>9.14</v>
      </c>
      <c r="L903">
        <v>9.52</v>
      </c>
      <c r="M903">
        <v>8.36</v>
      </c>
      <c r="N903">
        <v>8.74</v>
      </c>
      <c r="O903">
        <v>5.9380329999999999</v>
      </c>
      <c r="P903">
        <v>27576600</v>
      </c>
      <c r="R903" s="273">
        <f>(O903/O902)*('16. câmbio USD-BRL'!O699/'16. câmbio USD-BRL'!O698)^-1-1</f>
        <v>-4.7601002710343288E-2</v>
      </c>
    </row>
    <row r="904" spans="10:18" x14ac:dyDescent="0.2">
      <c r="J904" s="354">
        <v>42835</v>
      </c>
      <c r="K904">
        <v>8.8699999999999992</v>
      </c>
      <c r="L904">
        <v>8.8699999999999992</v>
      </c>
      <c r="M904">
        <v>7.28</v>
      </c>
      <c r="N904">
        <v>7.4</v>
      </c>
      <c r="O904">
        <v>5.0276249999999996</v>
      </c>
      <c r="P904">
        <v>32926000</v>
      </c>
      <c r="R904" s="273">
        <f>(O904/O903)*('16. câmbio USD-BRL'!O700/'16. câmbio USD-BRL'!O699)^-1-1</f>
        <v>-0.15304878400498823</v>
      </c>
    </row>
    <row r="905" spans="10:18" x14ac:dyDescent="0.2">
      <c r="J905" s="354">
        <v>42842</v>
      </c>
      <c r="K905">
        <v>7.45</v>
      </c>
      <c r="L905">
        <v>7.65</v>
      </c>
      <c r="M905">
        <v>7.05</v>
      </c>
      <c r="N905">
        <v>7.46</v>
      </c>
      <c r="O905">
        <v>5.0683889999999998</v>
      </c>
      <c r="P905">
        <v>28464100</v>
      </c>
      <c r="R905" s="273">
        <f>(O905/O904)*('16. câmbio USD-BRL'!O701/'16. câmbio USD-BRL'!O700)^-1-1</f>
        <v>7.1148881140230547E-3</v>
      </c>
    </row>
    <row r="906" spans="10:18" x14ac:dyDescent="0.2">
      <c r="J906" s="354">
        <v>42849</v>
      </c>
      <c r="K906">
        <v>7.66</v>
      </c>
      <c r="L906">
        <v>8.1300000000000008</v>
      </c>
      <c r="M906">
        <v>7.27</v>
      </c>
      <c r="N906">
        <v>7.75</v>
      </c>
      <c r="O906">
        <v>5.2654180000000004</v>
      </c>
      <c r="P906">
        <v>33214000</v>
      </c>
      <c r="R906" s="273">
        <f>(O906/O905)*('16. câmbio USD-BRL'!O702/'16. câmbio USD-BRL'!O701)^-1-1</f>
        <v>2.9290318351365752E-2</v>
      </c>
    </row>
    <row r="907" spans="10:18" x14ac:dyDescent="0.2">
      <c r="J907" s="354">
        <v>42856</v>
      </c>
      <c r="K907">
        <v>7.75</v>
      </c>
      <c r="L907">
        <v>8.0500000000000007</v>
      </c>
      <c r="M907">
        <v>7.01</v>
      </c>
      <c r="N907">
        <v>7.4</v>
      </c>
      <c r="O907">
        <v>5.0276249999999996</v>
      </c>
      <c r="P907">
        <v>29540100</v>
      </c>
      <c r="R907" s="273">
        <f>(O907/O906)*('16. câmbio USD-BRL'!O703/'16. câmbio USD-BRL'!O702)^-1-1</f>
        <v>-4.5642046570100736E-2</v>
      </c>
    </row>
    <row r="908" spans="10:18" x14ac:dyDescent="0.2">
      <c r="J908" s="354">
        <v>42863</v>
      </c>
      <c r="K908">
        <v>7.32</v>
      </c>
      <c r="L908">
        <v>7.68</v>
      </c>
      <c r="M908">
        <v>7.14</v>
      </c>
      <c r="N908">
        <v>7.26</v>
      </c>
      <c r="O908">
        <v>4.9325080000000003</v>
      </c>
      <c r="P908">
        <v>25821300</v>
      </c>
      <c r="R908" s="273">
        <f>(O908/O907)*('16. câmbio USD-BRL'!O704/'16. câmbio USD-BRL'!O703)^-1-1</f>
        <v>-1.89188732254294E-2</v>
      </c>
    </row>
    <row r="909" spans="10:18" x14ac:dyDescent="0.2">
      <c r="J909" s="354">
        <v>42870</v>
      </c>
      <c r="K909">
        <v>7.39</v>
      </c>
      <c r="L909">
        <v>7.84</v>
      </c>
      <c r="M909">
        <v>6.37</v>
      </c>
      <c r="N909">
        <v>6.9</v>
      </c>
      <c r="O909">
        <v>4.6879200000000001</v>
      </c>
      <c r="P909">
        <v>47085100</v>
      </c>
      <c r="R909" s="273">
        <f>(O909/O908)*('16. câmbio USD-BRL'!O705/'16. câmbio USD-BRL'!O704)^-1-1</f>
        <v>-7.1672588833806339E-2</v>
      </c>
    </row>
    <row r="910" spans="10:18" x14ac:dyDescent="0.2">
      <c r="J910" s="354">
        <v>42877</v>
      </c>
      <c r="K910">
        <v>6.8</v>
      </c>
      <c r="L910">
        <v>7.18</v>
      </c>
      <c r="M910">
        <v>6.51</v>
      </c>
      <c r="N910">
        <v>6.97</v>
      </c>
      <c r="O910">
        <v>4.7354789999999998</v>
      </c>
      <c r="P910">
        <v>35024400</v>
      </c>
      <c r="R910" s="273">
        <f>(O910/O909)*('16. câmbio USD-BRL'!O706/'16. câmbio USD-BRL'!O705)^-1-1</f>
        <v>3.4177160936877948E-2</v>
      </c>
    </row>
    <row r="911" spans="10:18" x14ac:dyDescent="0.2">
      <c r="J911" s="354">
        <v>42884</v>
      </c>
      <c r="K911">
        <v>6.97</v>
      </c>
      <c r="L911">
        <v>7.26</v>
      </c>
      <c r="M911">
        <v>6.65</v>
      </c>
      <c r="N911">
        <v>6.75</v>
      </c>
      <c r="O911">
        <v>4.5860089999999998</v>
      </c>
      <c r="P911">
        <v>25995300</v>
      </c>
      <c r="R911" s="273">
        <f>(O911/O910)*('16. câmbio USD-BRL'!O707/'16. câmbio USD-BRL'!O706)^-1-1</f>
        <v>-5.2874701612512731E-2</v>
      </c>
    </row>
    <row r="912" spans="10:18" x14ac:dyDescent="0.2">
      <c r="J912" s="354">
        <v>42891</v>
      </c>
      <c r="K912">
        <v>6.7</v>
      </c>
      <c r="L912">
        <v>6.87</v>
      </c>
      <c r="M912">
        <v>6.24</v>
      </c>
      <c r="N912">
        <v>6.71</v>
      </c>
      <c r="O912">
        <v>4.5588329999999999</v>
      </c>
      <c r="P912">
        <v>35065600</v>
      </c>
      <c r="R912" s="273">
        <f>(O912/O911)*('16. câmbio USD-BRL'!O708/'16. câmbio USD-BRL'!O707)^-1-1</f>
        <v>1.6441366143763236E-2</v>
      </c>
    </row>
    <row r="913" spans="10:18" x14ac:dyDescent="0.2">
      <c r="J913" s="354">
        <v>42898</v>
      </c>
      <c r="K913">
        <v>6.73</v>
      </c>
      <c r="L913">
        <v>6.82</v>
      </c>
      <c r="M913">
        <v>6.24</v>
      </c>
      <c r="N913">
        <v>6.24</v>
      </c>
      <c r="O913">
        <v>4.2395100000000001</v>
      </c>
      <c r="P913">
        <v>26176400</v>
      </c>
      <c r="R913" s="273">
        <f>(O913/O912)*('16. câmbio USD-BRL'!O709/'16. câmbio USD-BRL'!O708)^-1-1</f>
        <v>-0.10140536325899985</v>
      </c>
    </row>
    <row r="914" spans="10:18" x14ac:dyDescent="0.2">
      <c r="J914" s="354">
        <v>42905</v>
      </c>
      <c r="K914">
        <v>6.3</v>
      </c>
      <c r="L914">
        <v>6.53</v>
      </c>
      <c r="M914">
        <v>5.97</v>
      </c>
      <c r="N914">
        <v>6.38</v>
      </c>
      <c r="O914">
        <v>4.3346280000000004</v>
      </c>
      <c r="P914">
        <v>38968500</v>
      </c>
      <c r="R914" s="273">
        <f>(O914/O913)*('16. câmbio USD-BRL'!O710/'16. câmbio USD-BRL'!O709)^-1-1</f>
        <v>6.249679461187263E-3</v>
      </c>
    </row>
    <row r="915" spans="10:18" x14ac:dyDescent="0.2">
      <c r="J915" s="354">
        <v>42912</v>
      </c>
      <c r="K915">
        <v>6.45</v>
      </c>
      <c r="L915">
        <v>7.35</v>
      </c>
      <c r="M915">
        <v>6.43</v>
      </c>
      <c r="N915">
        <v>7.18</v>
      </c>
      <c r="O915">
        <v>4.8781540000000003</v>
      </c>
      <c r="P915">
        <v>47751000</v>
      </c>
      <c r="R915" s="273">
        <f>(O915/O914)*('16. câmbio USD-BRL'!O711/'16. câmbio USD-BRL'!O710)^-1-1</f>
        <v>0.18340185587145408</v>
      </c>
    </row>
    <row r="916" spans="10:18" x14ac:dyDescent="0.2">
      <c r="J916" s="354">
        <v>42919</v>
      </c>
      <c r="K916">
        <v>7.3</v>
      </c>
      <c r="L916">
        <v>7.35</v>
      </c>
      <c r="M916">
        <v>6.92</v>
      </c>
      <c r="N916">
        <v>7.19</v>
      </c>
      <c r="O916">
        <v>4.8849489999999998</v>
      </c>
      <c r="P916">
        <v>27743800</v>
      </c>
      <c r="R916" s="273">
        <f>(O916/O915)*('16. câmbio USD-BRL'!O712/'16. câmbio USD-BRL'!O711)^-1-1</f>
        <v>1.3929449541771888E-3</v>
      </c>
    </row>
    <row r="917" spans="10:18" x14ac:dyDescent="0.2">
      <c r="J917" s="354">
        <v>42926</v>
      </c>
      <c r="K917">
        <v>7.22</v>
      </c>
      <c r="L917">
        <v>8.02</v>
      </c>
      <c r="M917">
        <v>7.16</v>
      </c>
      <c r="N917">
        <v>7.77</v>
      </c>
      <c r="O917">
        <v>5.2790059999999999</v>
      </c>
      <c r="P917">
        <v>41083200</v>
      </c>
      <c r="R917" s="273">
        <f>(O917/O916)*('16. câmbio USD-BRL'!O713/'16. câmbio USD-BRL'!O712)^-1-1</f>
        <v>8.0667577082176312E-2</v>
      </c>
    </row>
    <row r="918" spans="10:18" x14ac:dyDescent="0.2">
      <c r="J918" s="354">
        <v>42933</v>
      </c>
      <c r="K918">
        <v>7.8</v>
      </c>
      <c r="L918">
        <v>7.96</v>
      </c>
      <c r="M918">
        <v>7.36</v>
      </c>
      <c r="N918">
        <v>7.37</v>
      </c>
      <c r="O918">
        <v>5.0072419999999997</v>
      </c>
      <c r="P918">
        <v>28386100</v>
      </c>
      <c r="R918" s="273">
        <f>(O918/O917)*('16. câmbio USD-BRL'!O714/'16. câmbio USD-BRL'!O713)^-1-1</f>
        <v>-5.1480146072953925E-2</v>
      </c>
    </row>
    <row r="919" spans="10:18" x14ac:dyDescent="0.2">
      <c r="J919" s="354">
        <v>42940</v>
      </c>
      <c r="K919">
        <v>7.4</v>
      </c>
      <c r="L919">
        <v>7.89</v>
      </c>
      <c r="M919">
        <v>7.26</v>
      </c>
      <c r="N919">
        <v>7.48</v>
      </c>
      <c r="O919">
        <v>5.0819770000000002</v>
      </c>
      <c r="P919">
        <v>30740300</v>
      </c>
      <c r="R919" s="273">
        <f>(O919/O918)*('16. câmbio USD-BRL'!O715/'16. câmbio USD-BRL'!O714)^-1-1</f>
        <v>1.4925382076600435E-2</v>
      </c>
    </row>
    <row r="920" spans="10:18" x14ac:dyDescent="0.2">
      <c r="J920" s="354">
        <v>42947</v>
      </c>
      <c r="K920">
        <v>7.74</v>
      </c>
      <c r="L920">
        <v>7.9</v>
      </c>
      <c r="M920">
        <v>7.43</v>
      </c>
      <c r="N920">
        <v>7.84</v>
      </c>
      <c r="O920">
        <v>5.3265650000000004</v>
      </c>
      <c r="P920">
        <v>31289100</v>
      </c>
      <c r="R920" s="273">
        <f>(O920/O919)*('16. câmbio USD-BRL'!O716/'16. câmbio USD-BRL'!O715)^-1-1</f>
        <v>6.4339621702088623E-2</v>
      </c>
    </row>
    <row r="921" spans="10:18" x14ac:dyDescent="0.2">
      <c r="J921" s="354">
        <v>42954</v>
      </c>
      <c r="K921">
        <v>7.99</v>
      </c>
      <c r="L921">
        <v>8.73</v>
      </c>
      <c r="M921">
        <v>7.97</v>
      </c>
      <c r="N921">
        <v>8.4700000000000006</v>
      </c>
      <c r="O921">
        <v>5.7545919999999997</v>
      </c>
      <c r="P921">
        <v>57628500</v>
      </c>
      <c r="R921" s="273">
        <f>(O921/O920)*('16. câmbio USD-BRL'!O717/'16. câmbio USD-BRL'!O716)^-1-1</f>
        <v>6.3901969088019595E-2</v>
      </c>
    </row>
    <row r="922" spans="10:18" x14ac:dyDescent="0.2">
      <c r="J922" s="354">
        <v>42961</v>
      </c>
      <c r="K922">
        <v>8.49</v>
      </c>
      <c r="L922">
        <v>8.68</v>
      </c>
      <c r="M922">
        <v>8.01</v>
      </c>
      <c r="N922">
        <v>8.14</v>
      </c>
      <c r="O922">
        <v>5.5303870000000002</v>
      </c>
      <c r="P922">
        <v>43068100</v>
      </c>
      <c r="R922" s="273">
        <f>(O922/O921)*('16. câmbio USD-BRL'!O718/'16. câmbio USD-BRL'!O717)^-1-1</f>
        <v>-3.8961059272316745E-2</v>
      </c>
    </row>
    <row r="923" spans="10:18" x14ac:dyDescent="0.2">
      <c r="J923" s="354">
        <v>42968</v>
      </c>
      <c r="K923">
        <v>8.23</v>
      </c>
      <c r="L923">
        <v>8.81</v>
      </c>
      <c r="M923">
        <v>7.87</v>
      </c>
      <c r="N923">
        <v>8.56</v>
      </c>
      <c r="O923">
        <v>5.8157389999999998</v>
      </c>
      <c r="P923">
        <v>47224700</v>
      </c>
      <c r="R923" s="273">
        <f>(O923/O922)*('16. câmbio USD-BRL'!O719/'16. câmbio USD-BRL'!O718)^-1-1</f>
        <v>5.7922608754234828E-2</v>
      </c>
    </row>
    <row r="924" spans="10:18" x14ac:dyDescent="0.2">
      <c r="J924" s="354">
        <v>42975</v>
      </c>
      <c r="K924">
        <v>8.6300000000000008</v>
      </c>
      <c r="L924">
        <v>9.3800000000000008</v>
      </c>
      <c r="M924">
        <v>8.36</v>
      </c>
      <c r="N924">
        <v>9.27</v>
      </c>
      <c r="O924">
        <v>6.2981199999999999</v>
      </c>
      <c r="P924">
        <v>36725900</v>
      </c>
      <c r="R924" s="273">
        <f>(O924/O923)*('16. câmbio USD-BRL'!O720/'16. câmbio USD-BRL'!O719)^-1-1</f>
        <v>7.6468955485144763E-2</v>
      </c>
    </row>
    <row r="925" spans="10:18" x14ac:dyDescent="0.2">
      <c r="J925" s="354">
        <v>42982</v>
      </c>
      <c r="K925">
        <v>9.1999999999999993</v>
      </c>
      <c r="L925">
        <v>10.17</v>
      </c>
      <c r="M925">
        <v>9.16</v>
      </c>
      <c r="N925">
        <v>10</v>
      </c>
      <c r="O925">
        <v>6.7940870000000002</v>
      </c>
      <c r="P925">
        <v>46351900</v>
      </c>
      <c r="R925" s="273">
        <f>(O925/O924)*('16. câmbio USD-BRL'!O721/'16. câmbio USD-BRL'!O720)^-1-1</f>
        <v>7.8748420163477384E-2</v>
      </c>
    </row>
    <row r="926" spans="10:18" x14ac:dyDescent="0.2">
      <c r="J926" s="354">
        <v>42989</v>
      </c>
      <c r="K926">
        <v>10.16</v>
      </c>
      <c r="L926">
        <v>11.05</v>
      </c>
      <c r="M926">
        <v>10.07</v>
      </c>
      <c r="N926">
        <v>10.85</v>
      </c>
      <c r="O926">
        <v>7.3715859999999997</v>
      </c>
      <c r="P926">
        <v>49246500</v>
      </c>
      <c r="R926" s="273">
        <f>(O926/O925)*('16. câmbio USD-BRL'!O722/'16. câmbio USD-BRL'!O721)^-1-1</f>
        <v>0.10872600272805277</v>
      </c>
    </row>
    <row r="927" spans="10:18" x14ac:dyDescent="0.2">
      <c r="J927" s="354">
        <v>42996</v>
      </c>
      <c r="K927">
        <v>10.89</v>
      </c>
      <c r="L927">
        <v>11.35</v>
      </c>
      <c r="M927">
        <v>9.6999999999999993</v>
      </c>
      <c r="N927">
        <v>9.7200000000000006</v>
      </c>
      <c r="O927">
        <v>6.6038540000000001</v>
      </c>
      <c r="P927">
        <v>45777900</v>
      </c>
      <c r="R927" s="273">
        <f>(O927/O926)*('16. câmbio USD-BRL'!O723/'16. câmbio USD-BRL'!O722)^-1-1</f>
        <v>-0.10810545031198726</v>
      </c>
    </row>
    <row r="928" spans="10:18" x14ac:dyDescent="0.2">
      <c r="J928" s="354">
        <v>43003</v>
      </c>
      <c r="K928">
        <v>9.67</v>
      </c>
      <c r="L928">
        <v>9.9499999999999993</v>
      </c>
      <c r="M928">
        <v>8.92</v>
      </c>
      <c r="N928">
        <v>9.61</v>
      </c>
      <c r="O928">
        <v>6.5291180000000004</v>
      </c>
      <c r="P928">
        <v>46647700</v>
      </c>
      <c r="R928" s="273">
        <f>(O928/O927)*('16. câmbio USD-BRL'!O724/'16. câmbio USD-BRL'!O723)^-1-1</f>
        <v>-2.3787297421115072E-2</v>
      </c>
    </row>
    <row r="929" spans="10:18" x14ac:dyDescent="0.2">
      <c r="J929" s="354">
        <v>43010</v>
      </c>
      <c r="K929">
        <v>9.81</v>
      </c>
      <c r="L929">
        <v>11.18</v>
      </c>
      <c r="M929">
        <v>9.64</v>
      </c>
      <c r="N929">
        <v>10.25</v>
      </c>
      <c r="O929">
        <v>6.96394</v>
      </c>
      <c r="P929">
        <v>55456300</v>
      </c>
      <c r="R929" s="273">
        <f>(O929/O928)*('16. câmbio USD-BRL'!O725/'16. câmbio USD-BRL'!O724)^-1-1</f>
        <v>6.9267652669785962E-2</v>
      </c>
    </row>
    <row r="930" spans="10:18" x14ac:dyDescent="0.2">
      <c r="J930" s="354">
        <v>43017</v>
      </c>
      <c r="K930">
        <v>10.3</v>
      </c>
      <c r="L930">
        <v>10.37</v>
      </c>
      <c r="M930">
        <v>9.6</v>
      </c>
      <c r="N930">
        <v>10.220000000000001</v>
      </c>
      <c r="O930">
        <v>6.9435580000000003</v>
      </c>
      <c r="P930">
        <v>41691100</v>
      </c>
      <c r="R930" s="273">
        <f>(O930/O929)*('16. câmbio USD-BRL'!O726/'16. câmbio USD-BRL'!O725)^-1-1</f>
        <v>8.7943680684698933E-4</v>
      </c>
    </row>
    <row r="931" spans="10:18" x14ac:dyDescent="0.2">
      <c r="J931" s="354">
        <v>43024</v>
      </c>
      <c r="K931">
        <v>10.44</v>
      </c>
      <c r="L931">
        <v>10.56</v>
      </c>
      <c r="M931">
        <v>9.56</v>
      </c>
      <c r="N931">
        <v>10.16</v>
      </c>
      <c r="O931">
        <v>6.902793</v>
      </c>
      <c r="P931">
        <v>43552200</v>
      </c>
      <c r="R931" s="273">
        <f>(O931/O930)*('16. câmbio USD-BRL'!O727/'16. câmbio USD-BRL'!O726)^-1-1</f>
        <v>-2.1037279534441899E-2</v>
      </c>
    </row>
    <row r="932" spans="10:18" x14ac:dyDescent="0.2">
      <c r="J932" s="354">
        <v>43031</v>
      </c>
      <c r="K932">
        <v>10.25</v>
      </c>
      <c r="L932">
        <v>10.3</v>
      </c>
      <c r="M932">
        <v>9.02</v>
      </c>
      <c r="N932">
        <v>9.06</v>
      </c>
      <c r="O932">
        <v>6.1554440000000001</v>
      </c>
      <c r="P932">
        <v>49892900</v>
      </c>
      <c r="R932" s="273">
        <f>(O932/O931)*('16. câmbio USD-BRL'!O728/'16. câmbio USD-BRL'!O727)^-1-1</f>
        <v>-0.11905793664655318</v>
      </c>
    </row>
    <row r="933" spans="10:18" x14ac:dyDescent="0.2">
      <c r="J933" s="354">
        <v>43038</v>
      </c>
      <c r="K933">
        <v>9.1</v>
      </c>
      <c r="L933">
        <v>9.11</v>
      </c>
      <c r="M933">
        <v>7.68</v>
      </c>
      <c r="N933">
        <v>7.98</v>
      </c>
      <c r="O933">
        <v>5.4216819999999997</v>
      </c>
      <c r="P933">
        <v>57001800</v>
      </c>
      <c r="R933" s="273">
        <f>(O933/O932)*('16. câmbio USD-BRL'!O729/'16. câmbio USD-BRL'!O728)^-1-1</f>
        <v>-0.14090021516631324</v>
      </c>
    </row>
    <row r="934" spans="10:18" x14ac:dyDescent="0.2">
      <c r="J934" s="354">
        <v>43045</v>
      </c>
      <c r="K934">
        <v>8.15</v>
      </c>
      <c r="L934">
        <v>8.4499999999999993</v>
      </c>
      <c r="M934">
        <v>7.51</v>
      </c>
      <c r="N934">
        <v>7.68</v>
      </c>
      <c r="O934">
        <v>5.2178599999999999</v>
      </c>
      <c r="P934">
        <v>55632400</v>
      </c>
      <c r="R934" s="273">
        <f>(O934/O933)*('16. câmbio USD-BRL'!O730/'16. câmbio USD-BRL'!O729)^-1-1</f>
        <v>-2.5831747642099612E-2</v>
      </c>
    </row>
    <row r="935" spans="10:18" x14ac:dyDescent="0.2">
      <c r="J935" s="354">
        <v>43052</v>
      </c>
      <c r="K935">
        <v>7.68</v>
      </c>
      <c r="L935">
        <v>8.0399999999999991</v>
      </c>
      <c r="M935">
        <v>7.25</v>
      </c>
      <c r="N935">
        <v>7.72</v>
      </c>
      <c r="O935">
        <v>5.2450359999999998</v>
      </c>
      <c r="P935">
        <v>40973500</v>
      </c>
      <c r="R935" s="273">
        <f>(O935/O934)*('16. câmbio USD-BRL'!O731/'16. câmbio USD-BRL'!O730)^-1-1</f>
        <v>1.1544131108045308E-2</v>
      </c>
    </row>
    <row r="936" spans="10:18" x14ac:dyDescent="0.2">
      <c r="J936" s="354">
        <v>43059</v>
      </c>
      <c r="K936">
        <v>7.72</v>
      </c>
      <c r="L936">
        <v>8.23</v>
      </c>
      <c r="M936">
        <v>7.64</v>
      </c>
      <c r="N936">
        <v>7.93</v>
      </c>
      <c r="O936">
        <v>5.3877119999999996</v>
      </c>
      <c r="P936">
        <v>41668800</v>
      </c>
      <c r="R936" s="273">
        <f>(O936/O935)*('16. câmbio USD-BRL'!O732/'16. câmbio USD-BRL'!O731)^-1-1</f>
        <v>3.3845617793499816E-2</v>
      </c>
    </row>
    <row r="937" spans="10:18" x14ac:dyDescent="0.2">
      <c r="J937" s="354">
        <v>43066</v>
      </c>
      <c r="K937">
        <v>7.89</v>
      </c>
      <c r="L937">
        <v>8.18</v>
      </c>
      <c r="M937">
        <v>7.18</v>
      </c>
      <c r="N937">
        <v>7.43</v>
      </c>
      <c r="O937">
        <v>5.0480070000000001</v>
      </c>
      <c r="P937">
        <v>52711000</v>
      </c>
      <c r="R937" s="273">
        <f>(O937/O936)*('16. câmbio USD-BRL'!O733/'16. câmbio USD-BRL'!O732)^-1-1</f>
        <v>-6.924436766012243E-2</v>
      </c>
    </row>
    <row r="938" spans="10:18" x14ac:dyDescent="0.2">
      <c r="J938" s="354">
        <v>43073</v>
      </c>
      <c r="K938">
        <v>7.55</v>
      </c>
      <c r="L938">
        <v>7.67</v>
      </c>
      <c r="M938">
        <v>7.16</v>
      </c>
      <c r="N938">
        <v>7.37</v>
      </c>
      <c r="O938">
        <v>5.0072419999999997</v>
      </c>
      <c r="P938">
        <v>42668100</v>
      </c>
      <c r="R938" s="273">
        <f>(O938/O937)*('16. câmbio USD-BRL'!O734/'16. câmbio USD-BRL'!O733)^-1-1</f>
        <v>-1.8574574233571006E-2</v>
      </c>
    </row>
    <row r="939" spans="10:18" x14ac:dyDescent="0.2">
      <c r="J939" s="354">
        <v>43080</v>
      </c>
      <c r="K939">
        <v>7.5</v>
      </c>
      <c r="L939">
        <v>7.9</v>
      </c>
      <c r="M939">
        <v>7.35</v>
      </c>
      <c r="N939">
        <v>7.77</v>
      </c>
      <c r="O939">
        <v>5.2790059999999999</v>
      </c>
      <c r="P939">
        <v>52842200</v>
      </c>
      <c r="R939" s="273">
        <f>(O939/O938)*('16. câmbio USD-BRL'!O735/'16. câmbio USD-BRL'!O734)^-1-1</f>
        <v>5.3665282385344071E-2</v>
      </c>
    </row>
    <row r="940" spans="10:18" x14ac:dyDescent="0.2">
      <c r="J940" s="354">
        <v>43087</v>
      </c>
      <c r="K940">
        <v>7.92</v>
      </c>
      <c r="L940">
        <v>8.07</v>
      </c>
      <c r="M940">
        <v>7.32</v>
      </c>
      <c r="N940">
        <v>8.0500000000000007</v>
      </c>
      <c r="O940">
        <v>5.4692410000000002</v>
      </c>
      <c r="P940">
        <v>48174200</v>
      </c>
      <c r="R940" s="273">
        <f>(O940/O939)*('16. câmbio USD-BRL'!O736/'16. câmbio USD-BRL'!O735)^-1-1</f>
        <v>2.1810250399834752E-2</v>
      </c>
    </row>
    <row r="941" spans="10:18" x14ac:dyDescent="0.2">
      <c r="J941" s="354">
        <v>43094</v>
      </c>
      <c r="K941">
        <v>8.0500000000000007</v>
      </c>
      <c r="L941">
        <v>8.5</v>
      </c>
      <c r="M941">
        <v>7.94</v>
      </c>
      <c r="N941">
        <v>8.3800000000000008</v>
      </c>
      <c r="O941">
        <v>5.6934459999999998</v>
      </c>
      <c r="P941">
        <v>21167300</v>
      </c>
      <c r="R941" s="273">
        <f>(O941/O940)*('16. câmbio USD-BRL'!O737/'16. câmbio USD-BRL'!O736)^-1-1</f>
        <v>4.8696719165100877E-2</v>
      </c>
    </row>
    <row r="942" spans="10:18" x14ac:dyDescent="0.2">
      <c r="J942" s="354">
        <v>43101</v>
      </c>
      <c r="K942">
        <v>8.3800000000000008</v>
      </c>
      <c r="L942">
        <v>9.49</v>
      </c>
      <c r="M942">
        <v>8.3800000000000008</v>
      </c>
      <c r="N942">
        <v>9.49</v>
      </c>
      <c r="O942">
        <v>6.4475879999999997</v>
      </c>
      <c r="P942">
        <v>53111100</v>
      </c>
      <c r="R942" s="273">
        <f>(O942/O941)*('16. câmbio USD-BRL'!O738/'16. câmbio USD-BRL'!O737)^-1-1</f>
        <v>0.16233242336017439</v>
      </c>
    </row>
    <row r="943" spans="10:18" x14ac:dyDescent="0.2">
      <c r="J943" s="354">
        <v>43108</v>
      </c>
      <c r="K943">
        <v>9.4700000000000006</v>
      </c>
      <c r="L943">
        <v>11.23</v>
      </c>
      <c r="M943">
        <v>9.43</v>
      </c>
      <c r="N943">
        <v>10.51</v>
      </c>
      <c r="O943">
        <v>7.140587</v>
      </c>
      <c r="P943">
        <v>80919200</v>
      </c>
      <c r="R943" s="273">
        <f>(O943/O942)*('16. câmbio USD-BRL'!O739/'16. câmbio USD-BRL'!O738)^-1-1</f>
        <v>0.11620141121585026</v>
      </c>
    </row>
    <row r="944" spans="10:18" x14ac:dyDescent="0.2">
      <c r="J944" s="354">
        <v>43115</v>
      </c>
      <c r="K944">
        <v>10.66</v>
      </c>
      <c r="L944">
        <v>11.08</v>
      </c>
      <c r="M944">
        <v>10.23</v>
      </c>
      <c r="N944">
        <v>10.68</v>
      </c>
      <c r="O944">
        <v>7.2560849999999997</v>
      </c>
      <c r="P944">
        <v>54801100</v>
      </c>
      <c r="R944" s="273">
        <f>(O944/O943)*('16. câmbio USD-BRL'!O740/'16. câmbio USD-BRL'!O739)^-1-1</f>
        <v>1.9199948804214273E-2</v>
      </c>
    </row>
    <row r="945" spans="10:18" x14ac:dyDescent="0.2">
      <c r="J945" s="354">
        <v>43122</v>
      </c>
      <c r="K945">
        <v>10.68</v>
      </c>
      <c r="L945">
        <v>10.94</v>
      </c>
      <c r="M945">
        <v>10.26</v>
      </c>
      <c r="N945">
        <v>10.88</v>
      </c>
      <c r="O945">
        <v>7.3919680000000003</v>
      </c>
      <c r="P945">
        <v>33785000</v>
      </c>
      <c r="R945" s="273">
        <f>(O945/O944)*('16. câmbio USD-BRL'!O741/'16. câmbio USD-BRL'!O740)^-1-1</f>
        <v>3.3067734302681062E-2</v>
      </c>
    </row>
    <row r="946" spans="10:18" x14ac:dyDescent="0.2">
      <c r="J946" s="354">
        <v>43129</v>
      </c>
      <c r="K946">
        <v>10.7</v>
      </c>
      <c r="L946">
        <v>11.33</v>
      </c>
      <c r="M946">
        <v>10.52</v>
      </c>
      <c r="N946">
        <v>10.77</v>
      </c>
      <c r="O946">
        <v>7.3172329999999999</v>
      </c>
      <c r="P946">
        <v>61492900</v>
      </c>
      <c r="R946" s="273">
        <f>(O946/O945)*('16. câmbio USD-BRL'!O742/'16. câmbio USD-BRL'!O741)^-1-1</f>
        <v>-3.1650376785092971E-2</v>
      </c>
    </row>
    <row r="947" spans="10:18" x14ac:dyDescent="0.2">
      <c r="J947" s="354">
        <v>43136</v>
      </c>
      <c r="K947">
        <v>10.6</v>
      </c>
      <c r="L947">
        <v>10.66</v>
      </c>
      <c r="M947">
        <v>9.56</v>
      </c>
      <c r="N947">
        <v>9.89</v>
      </c>
      <c r="O947">
        <v>6.7193519999999998</v>
      </c>
      <c r="P947">
        <v>42510500</v>
      </c>
      <c r="R947" s="273">
        <f>(O947/O946)*('16. câmbio USD-BRL'!O743/'16. câmbio USD-BRL'!O742)^-1-1</f>
        <v>-0.10287550261072098</v>
      </c>
    </row>
    <row r="948" spans="10:18" x14ac:dyDescent="0.2">
      <c r="J948" s="354">
        <v>43143</v>
      </c>
      <c r="K948">
        <v>9.89</v>
      </c>
      <c r="L948">
        <v>11</v>
      </c>
      <c r="M948">
        <v>9.89</v>
      </c>
      <c r="N948">
        <v>10.63</v>
      </c>
      <c r="O948">
        <v>7.2221159999999998</v>
      </c>
      <c r="P948">
        <v>28765100</v>
      </c>
      <c r="R948" s="273">
        <f>(O948/O947)*('16. câmbio USD-BRL'!O744/'16. câmbio USD-BRL'!O743)^-1-1</f>
        <v>9.5788630221666837E-2</v>
      </c>
    </row>
    <row r="949" spans="10:18" x14ac:dyDescent="0.2">
      <c r="J949" s="354">
        <v>43150</v>
      </c>
      <c r="K949">
        <v>10.6</v>
      </c>
      <c r="L949">
        <v>10.85</v>
      </c>
      <c r="M949">
        <v>10.050000000000001</v>
      </c>
      <c r="N949">
        <v>10.26</v>
      </c>
      <c r="O949">
        <v>6.9707350000000003</v>
      </c>
      <c r="P949">
        <v>37908300</v>
      </c>
      <c r="R949" s="273">
        <f>(O949/O948)*('16. câmbio USD-BRL'!O745/'16. câmbio USD-BRL'!O744)^-1-1</f>
        <v>-3.5732627089893776E-2</v>
      </c>
    </row>
    <row r="950" spans="10:18" x14ac:dyDescent="0.2">
      <c r="J950" s="354">
        <v>43157</v>
      </c>
      <c r="K950">
        <v>10.31</v>
      </c>
      <c r="L950">
        <v>10.97</v>
      </c>
      <c r="M950">
        <v>8.77</v>
      </c>
      <c r="N950">
        <v>9.2100000000000009</v>
      </c>
      <c r="O950">
        <v>6.2573550000000004</v>
      </c>
      <c r="P950">
        <v>69658900</v>
      </c>
      <c r="R950" s="273">
        <f>(O950/O949)*('16. câmbio USD-BRL'!O746/'16. câmbio USD-BRL'!O745)^-1-1</f>
        <v>-0.10719971015590235</v>
      </c>
    </row>
    <row r="951" spans="10:18" x14ac:dyDescent="0.2">
      <c r="J951" s="354">
        <v>43164</v>
      </c>
      <c r="K951">
        <v>9.02</v>
      </c>
      <c r="L951">
        <v>9.4600000000000009</v>
      </c>
      <c r="M951">
        <v>8.31</v>
      </c>
      <c r="N951">
        <v>8.93</v>
      </c>
      <c r="O951">
        <v>6.0671200000000001</v>
      </c>
      <c r="P951">
        <v>53547600</v>
      </c>
      <c r="R951" s="273">
        <f>(O951/O950)*('16. câmbio USD-BRL'!O747/'16. câmbio USD-BRL'!O746)^-1-1</f>
        <v>-3.503295248118754E-2</v>
      </c>
    </row>
    <row r="952" spans="10:18" x14ac:dyDescent="0.2">
      <c r="J952" s="354">
        <v>43171</v>
      </c>
      <c r="K952">
        <v>8.99</v>
      </c>
      <c r="L952">
        <v>9.14</v>
      </c>
      <c r="M952">
        <v>8.42</v>
      </c>
      <c r="N952">
        <v>8.51</v>
      </c>
      <c r="O952">
        <v>5.7817689999999997</v>
      </c>
      <c r="P952">
        <v>30259200</v>
      </c>
      <c r="R952" s="273">
        <f>(O952/O951)*('16. câmbio USD-BRL'!O748/'16. câmbio USD-BRL'!O747)^-1-1</f>
        <v>-5.1678012878175195E-2</v>
      </c>
    </row>
    <row r="953" spans="10:18" x14ac:dyDescent="0.2">
      <c r="J953" s="354">
        <v>43178</v>
      </c>
      <c r="K953">
        <v>8.34</v>
      </c>
      <c r="L953">
        <v>9.24</v>
      </c>
      <c r="M953">
        <v>8.23</v>
      </c>
      <c r="N953">
        <v>8.57</v>
      </c>
      <c r="O953">
        <v>5.822533</v>
      </c>
      <c r="P953">
        <v>46936700</v>
      </c>
      <c r="R953" s="273">
        <f>(O953/O952)*('16. câmbio USD-BRL'!O749/'16. câmbio USD-BRL'!O748)^-1-1</f>
        <v>-1.58881124727972E-3</v>
      </c>
    </row>
    <row r="954" spans="10:18" x14ac:dyDescent="0.2">
      <c r="J954" s="354">
        <v>43185</v>
      </c>
      <c r="K954">
        <v>8.68</v>
      </c>
      <c r="L954">
        <v>8.89</v>
      </c>
      <c r="M954">
        <v>8.1</v>
      </c>
      <c r="N954">
        <v>8.8000000000000007</v>
      </c>
      <c r="O954">
        <v>5.9787970000000001</v>
      </c>
      <c r="P954">
        <v>38074300</v>
      </c>
      <c r="R954" s="273">
        <f>(O954/O953)*('16. câmbio USD-BRL'!O750/'16. câmbio USD-BRL'!O749)^-1-1</f>
        <v>2.8982488939884199E-2</v>
      </c>
    </row>
    <row r="955" spans="10:18" x14ac:dyDescent="0.2">
      <c r="J955" s="354">
        <v>43192</v>
      </c>
      <c r="K955">
        <v>8.82</v>
      </c>
      <c r="L955">
        <v>9.08</v>
      </c>
      <c r="M955">
        <v>8.44</v>
      </c>
      <c r="N955">
        <v>8.6199999999999992</v>
      </c>
      <c r="O955">
        <v>5.856503</v>
      </c>
      <c r="P955">
        <v>31594300</v>
      </c>
      <c r="R955" s="273">
        <f>(O955/O954)*('16. câmbio USD-BRL'!O751/'16. câmbio USD-BRL'!O750)^-1-1</f>
        <v>-3.8756533847765673E-2</v>
      </c>
    </row>
    <row r="956" spans="10:18" x14ac:dyDescent="0.2">
      <c r="J956" s="354">
        <v>43199</v>
      </c>
      <c r="K956">
        <v>8.68</v>
      </c>
      <c r="L956">
        <v>8.9600000000000009</v>
      </c>
      <c r="M956">
        <v>8.39</v>
      </c>
      <c r="N956">
        <v>8.76</v>
      </c>
      <c r="O956">
        <v>5.9516210000000003</v>
      </c>
      <c r="P956">
        <v>26811000</v>
      </c>
      <c r="R956" s="273">
        <f>(O956/O955)*('16. câmbio USD-BRL'!O752/'16. câmbio USD-BRL'!O751)^-1-1</f>
        <v>-6.7860491569371462E-6</v>
      </c>
    </row>
    <row r="957" spans="10:18" x14ac:dyDescent="0.2">
      <c r="J957" s="354">
        <v>43206</v>
      </c>
      <c r="K957">
        <v>8.74</v>
      </c>
      <c r="L957">
        <v>9.4499999999999993</v>
      </c>
      <c r="M957">
        <v>8.5</v>
      </c>
      <c r="N957">
        <v>9.09</v>
      </c>
      <c r="O957">
        <v>6.1758259999999998</v>
      </c>
      <c r="P957">
        <v>63437100</v>
      </c>
      <c r="R957" s="273">
        <f>(O957/O956)*('16. câmbio USD-BRL'!O753/'16. câmbio USD-BRL'!O752)^-1-1</f>
        <v>4.0987854149952874E-2</v>
      </c>
    </row>
    <row r="958" spans="10:18" x14ac:dyDescent="0.2">
      <c r="J958" s="354">
        <v>43213</v>
      </c>
      <c r="K958">
        <v>9.1199999999999992</v>
      </c>
      <c r="L958">
        <v>9.3800000000000008</v>
      </c>
      <c r="M958">
        <v>8.8800000000000008</v>
      </c>
      <c r="N958">
        <v>8.9</v>
      </c>
      <c r="O958">
        <v>6.0467380000000004</v>
      </c>
      <c r="P958">
        <v>36655600</v>
      </c>
      <c r="R958" s="273">
        <f>(O958/O957)*('16. câmbio USD-BRL'!O754/'16. câmbio USD-BRL'!O753)^-1-1</f>
        <v>-3.3821169382666771E-2</v>
      </c>
    </row>
    <row r="959" spans="10:18" x14ac:dyDescent="0.2">
      <c r="J959" s="354">
        <v>43220</v>
      </c>
      <c r="K959">
        <v>8.9700000000000006</v>
      </c>
      <c r="L959">
        <v>9.16</v>
      </c>
      <c r="M959">
        <v>8.56</v>
      </c>
      <c r="N959">
        <v>8.6999999999999993</v>
      </c>
      <c r="O959">
        <v>5.910857</v>
      </c>
      <c r="P959">
        <v>32508200</v>
      </c>
      <c r="R959" s="273">
        <f>(O959/O958)*('16. câmbio USD-BRL'!O755/'16. câmbio USD-BRL'!O754)^-1-1</f>
        <v>-4.2557602285287044E-2</v>
      </c>
    </row>
    <row r="960" spans="10:18" x14ac:dyDescent="0.2">
      <c r="J960" s="354">
        <v>43227</v>
      </c>
      <c r="K960">
        <v>8.75</v>
      </c>
      <c r="L960">
        <v>9.4</v>
      </c>
      <c r="M960">
        <v>8.32</v>
      </c>
      <c r="N960">
        <v>9.2799999999999994</v>
      </c>
      <c r="O960">
        <v>6.3049140000000001</v>
      </c>
      <c r="P960">
        <v>45836200</v>
      </c>
      <c r="R960" s="273">
        <f>(O960/O959)*('16. câmbio USD-BRL'!O756/'16. câmbio USD-BRL'!O755)^-1-1</f>
        <v>4.5597051555847923E-2</v>
      </c>
    </row>
    <row r="961" spans="10:18" x14ac:dyDescent="0.2">
      <c r="J961" s="354">
        <v>43234</v>
      </c>
      <c r="K961">
        <v>9.41</v>
      </c>
      <c r="L961">
        <v>9.8000000000000007</v>
      </c>
      <c r="M961">
        <v>9.0399999999999991</v>
      </c>
      <c r="N961">
        <v>9.27</v>
      </c>
      <c r="O961">
        <v>6.2981199999999999</v>
      </c>
      <c r="P961">
        <v>56865100</v>
      </c>
      <c r="R961" s="273">
        <f>(O961/O960)*('16. câmbio USD-BRL'!O757/'16. câmbio USD-BRL'!O756)^-1-1</f>
        <v>-3.7574604150287683E-2</v>
      </c>
    </row>
    <row r="962" spans="10:18" x14ac:dyDescent="0.2">
      <c r="J962" s="354">
        <v>43241</v>
      </c>
      <c r="K962">
        <v>9.33</v>
      </c>
      <c r="L962">
        <v>9.5299999999999994</v>
      </c>
      <c r="M962">
        <v>8.11</v>
      </c>
      <c r="N962">
        <v>8.17</v>
      </c>
      <c r="O962">
        <v>5.55077</v>
      </c>
      <c r="P962">
        <v>47001100</v>
      </c>
      <c r="R962" s="273">
        <f>(O962/O961)*('16. câmbio USD-BRL'!O758/'16. câmbio USD-BRL'!O757)^-1-1</f>
        <v>-0.10356992889475503</v>
      </c>
    </row>
    <row r="963" spans="10:18" x14ac:dyDescent="0.2">
      <c r="J963" s="354">
        <v>43248</v>
      </c>
      <c r="K963">
        <v>8.1</v>
      </c>
      <c r="L963">
        <v>8.1</v>
      </c>
      <c r="M963">
        <v>7.35</v>
      </c>
      <c r="N963">
        <v>7.77</v>
      </c>
      <c r="O963">
        <v>5.2790059999999999</v>
      </c>
      <c r="P963">
        <v>42777500</v>
      </c>
      <c r="R963" s="273">
        <f>(O963/O962)*('16. câmbio USD-BRL'!O759/'16. câmbio USD-BRL'!O758)^-1-1</f>
        <v>-7.0618525445436231E-2</v>
      </c>
    </row>
    <row r="964" spans="10:18" x14ac:dyDescent="0.2">
      <c r="J964" s="354">
        <v>43255</v>
      </c>
      <c r="K964">
        <v>8.09</v>
      </c>
      <c r="L964">
        <v>9.4499999999999993</v>
      </c>
      <c r="M964">
        <v>7.94</v>
      </c>
      <c r="N964">
        <v>8.1300000000000008</v>
      </c>
      <c r="O964">
        <v>5.523593</v>
      </c>
      <c r="P964">
        <v>70876100</v>
      </c>
      <c r="R964" s="273">
        <f>(O964/O963)*('16. câmbio USD-BRL'!O760/'16. câmbio USD-BRL'!O759)^-1-1</f>
        <v>6.1927407947764523E-2</v>
      </c>
    </row>
    <row r="965" spans="10:18" x14ac:dyDescent="0.2">
      <c r="J965" s="354">
        <v>43262</v>
      </c>
      <c r="K965">
        <v>8.3000000000000007</v>
      </c>
      <c r="L965">
        <v>8.66</v>
      </c>
      <c r="M965">
        <v>7.5</v>
      </c>
      <c r="N965">
        <v>7.86</v>
      </c>
      <c r="O965">
        <v>5.3401519999999998</v>
      </c>
      <c r="P965">
        <v>59805800</v>
      </c>
      <c r="R965" s="273">
        <f>(O965/O964)*('16. câmbio USD-BRL'!O761/'16. câmbio USD-BRL'!O760)^-1-1</f>
        <v>-3.9667121403859973E-2</v>
      </c>
    </row>
    <row r="966" spans="10:18" x14ac:dyDescent="0.2">
      <c r="J966" s="354">
        <v>43269</v>
      </c>
      <c r="K966">
        <v>7.73</v>
      </c>
      <c r="L966">
        <v>8.26</v>
      </c>
      <c r="M966">
        <v>7.55</v>
      </c>
      <c r="N966">
        <v>7.72</v>
      </c>
      <c r="O966">
        <v>5.2450359999999998</v>
      </c>
      <c r="P966">
        <v>44882500</v>
      </c>
      <c r="R966" s="273">
        <f>(O966/O965)*('16. câmbio USD-BRL'!O762/'16. câmbio USD-BRL'!O761)^-1-1</f>
        <v>-2.7385279187722711E-2</v>
      </c>
    </row>
    <row r="967" spans="10:18" x14ac:dyDescent="0.2">
      <c r="J967" s="354">
        <v>43276</v>
      </c>
      <c r="K967">
        <v>7.8</v>
      </c>
      <c r="L967">
        <v>7.91</v>
      </c>
      <c r="M967">
        <v>7.42</v>
      </c>
      <c r="N967">
        <v>7.86</v>
      </c>
      <c r="O967">
        <v>5.3401519999999998</v>
      </c>
      <c r="P967">
        <v>34550100</v>
      </c>
      <c r="R967" s="273">
        <f>(O967/O966)*('16. câmbio USD-BRL'!O763/'16. câmbio USD-BRL'!O762)^-1-1</f>
        <v>-1.0868757494199244E-2</v>
      </c>
    </row>
    <row r="968" spans="10:18" x14ac:dyDescent="0.2">
      <c r="J968" s="354">
        <v>43283</v>
      </c>
      <c r="K968">
        <v>7.8</v>
      </c>
      <c r="L968">
        <v>8.19</v>
      </c>
      <c r="M968">
        <v>7.54</v>
      </c>
      <c r="N968">
        <v>7.97</v>
      </c>
      <c r="O968">
        <v>5.4148880000000004</v>
      </c>
      <c r="P968">
        <v>34933800</v>
      </c>
      <c r="R968" s="273">
        <f>(O968/O967)*('16. câmbio USD-BRL'!O764/'16. câmbio USD-BRL'!O763)^-1-1</f>
        <v>1.7671381113091522E-2</v>
      </c>
    </row>
    <row r="969" spans="10:18" x14ac:dyDescent="0.2">
      <c r="J969" s="354">
        <v>43290</v>
      </c>
      <c r="K969">
        <v>7.97</v>
      </c>
      <c r="L969">
        <v>8.15</v>
      </c>
      <c r="M969">
        <v>7.53</v>
      </c>
      <c r="N969">
        <v>8.02</v>
      </c>
      <c r="O969">
        <v>5.4488580000000004</v>
      </c>
      <c r="P969">
        <v>40905300</v>
      </c>
      <c r="R969" s="273">
        <f>(O969/O968)*('16. câmbio USD-BRL'!O765/'16. câmbio USD-BRL'!O764)^-1-1</f>
        <v>9.5676443675309919E-3</v>
      </c>
    </row>
    <row r="970" spans="10:18" x14ac:dyDescent="0.2">
      <c r="J970" s="354">
        <v>43297</v>
      </c>
      <c r="K970">
        <v>8.07</v>
      </c>
      <c r="L970">
        <v>8.41</v>
      </c>
      <c r="M970">
        <v>7.81</v>
      </c>
      <c r="N970">
        <v>8.1999999999999993</v>
      </c>
      <c r="O970">
        <v>5.5711519999999997</v>
      </c>
      <c r="P970">
        <v>39104100</v>
      </c>
      <c r="R970" s="273">
        <f>(O970/O969)*('16. câmbio USD-BRL'!O766/'16. câmbio USD-BRL'!O765)^-1-1</f>
        <v>4.6006217707107444E-2</v>
      </c>
    </row>
    <row r="971" spans="10:18" x14ac:dyDescent="0.2">
      <c r="J971" s="354">
        <v>43304</v>
      </c>
      <c r="K971">
        <v>8.19</v>
      </c>
      <c r="L971">
        <v>9.32</v>
      </c>
      <c r="M971">
        <v>8.07</v>
      </c>
      <c r="N971">
        <v>9.3000000000000007</v>
      </c>
      <c r="O971">
        <v>6.3185010000000004</v>
      </c>
      <c r="P971">
        <v>60142500</v>
      </c>
      <c r="R971" s="273">
        <f>(O971/O970)*('16. câmbio USD-BRL'!O767/'16. câmbio USD-BRL'!O766)^-1-1</f>
        <v>0.14954602110668103</v>
      </c>
    </row>
    <row r="972" spans="10:18" x14ac:dyDescent="0.2">
      <c r="J972" s="354">
        <v>43311</v>
      </c>
      <c r="K972">
        <v>9.2899999999999991</v>
      </c>
      <c r="L972">
        <v>9.75</v>
      </c>
      <c r="M972">
        <v>8.9499999999999993</v>
      </c>
      <c r="N972">
        <v>9.65</v>
      </c>
      <c r="O972">
        <v>6.5562950000000004</v>
      </c>
      <c r="P972">
        <v>46447900</v>
      </c>
      <c r="R972" s="273">
        <f>(O972/O971)*('16. câmbio USD-BRL'!O768/'16. câmbio USD-BRL'!O767)^-1-1</f>
        <v>3.9398719976777352E-2</v>
      </c>
    </row>
    <row r="973" spans="10:18" x14ac:dyDescent="0.2">
      <c r="J973" s="354">
        <v>43318</v>
      </c>
      <c r="K973">
        <v>9.6999999999999993</v>
      </c>
      <c r="L973">
        <v>10.039999999999999</v>
      </c>
      <c r="M973">
        <v>8.9</v>
      </c>
      <c r="N973">
        <v>9.16</v>
      </c>
      <c r="O973">
        <v>6.2233840000000002</v>
      </c>
      <c r="P973">
        <v>59581500</v>
      </c>
      <c r="R973" s="273">
        <f>(O973/O972)*('16. câmbio USD-BRL'!O769/'16. câmbio USD-BRL'!O768)^-1-1</f>
        <v>-8.8676367714050297E-2</v>
      </c>
    </row>
    <row r="974" spans="10:18" x14ac:dyDescent="0.2">
      <c r="J974" s="354">
        <v>43325</v>
      </c>
      <c r="K974">
        <v>9.26</v>
      </c>
      <c r="L974">
        <v>9.74</v>
      </c>
      <c r="M974">
        <v>8.81</v>
      </c>
      <c r="N974">
        <v>9.01</v>
      </c>
      <c r="O974">
        <v>6.1214729999999999</v>
      </c>
      <c r="P974">
        <v>43587600</v>
      </c>
      <c r="R974" s="273">
        <f>(O974/O973)*('16. câmbio USD-BRL'!O770/'16. câmbio USD-BRL'!O769)^-1-1</f>
        <v>-2.8830898285177708E-2</v>
      </c>
    </row>
    <row r="975" spans="10:18" x14ac:dyDescent="0.2">
      <c r="J975" s="354">
        <v>43332</v>
      </c>
      <c r="K975">
        <v>9.15</v>
      </c>
      <c r="L975">
        <v>9.4600000000000009</v>
      </c>
      <c r="M975">
        <v>8.3699999999999992</v>
      </c>
      <c r="N975">
        <v>8.6199999999999992</v>
      </c>
      <c r="O975">
        <v>5.856503</v>
      </c>
      <c r="P975">
        <v>45928700</v>
      </c>
      <c r="R975" s="273">
        <f>(O975/O974)*('16. câmbio USD-BRL'!O771/'16. câmbio USD-BRL'!O770)^-1-1</f>
        <v>-9.0559224031052987E-2</v>
      </c>
    </row>
    <row r="976" spans="10:18" x14ac:dyDescent="0.2">
      <c r="J976" s="354">
        <v>43339</v>
      </c>
      <c r="K976">
        <v>8.69</v>
      </c>
      <c r="L976">
        <v>8.91</v>
      </c>
      <c r="M976">
        <v>8.24</v>
      </c>
      <c r="N976">
        <v>8.7799999999999994</v>
      </c>
      <c r="O976">
        <v>6.4020910000000004</v>
      </c>
      <c r="P976">
        <v>41117300</v>
      </c>
      <c r="R976" s="273">
        <f>(O976/O975)*('16. câmbio USD-BRL'!O772/'16. câmbio USD-BRL'!O771)^-1-1</f>
        <v>0.10893462579557611</v>
      </c>
    </row>
    <row r="977" spans="10:18" x14ac:dyDescent="0.2">
      <c r="J977" s="354">
        <v>43346</v>
      </c>
      <c r="K977">
        <v>8.7799999999999994</v>
      </c>
      <c r="L977">
        <v>8.89</v>
      </c>
      <c r="M977">
        <v>8.2200000000000006</v>
      </c>
      <c r="N977">
        <v>8.35</v>
      </c>
      <c r="O977">
        <v>6.0885499999999997</v>
      </c>
      <c r="P977">
        <v>23012100</v>
      </c>
      <c r="R977" s="273">
        <f>(O977/O976)*('16. câmbio USD-BRL'!O773/'16. câmbio USD-BRL'!O772)^-1-1</f>
        <v>-4.9982495321114206E-2</v>
      </c>
    </row>
    <row r="978" spans="10:18" x14ac:dyDescent="0.2">
      <c r="J978" s="354">
        <v>43353</v>
      </c>
      <c r="K978">
        <v>8.5</v>
      </c>
      <c r="L978">
        <v>8.56</v>
      </c>
      <c r="M978">
        <v>8.1300000000000008</v>
      </c>
      <c r="N978">
        <v>8.5</v>
      </c>
      <c r="O978">
        <v>6.1979240000000004</v>
      </c>
      <c r="P978">
        <v>29326700</v>
      </c>
      <c r="R978" s="273">
        <f>(O978/O977)*('16. câmbio USD-BRL'!O774/'16. câmbio USD-BRL'!O773)^-1-1</f>
        <v>-1.7598279736224631E-2</v>
      </c>
    </row>
    <row r="979" spans="10:18" x14ac:dyDescent="0.2">
      <c r="J979" s="354">
        <v>43360</v>
      </c>
      <c r="K979">
        <v>8.42</v>
      </c>
      <c r="L979">
        <v>9.14</v>
      </c>
      <c r="M979">
        <v>8.41</v>
      </c>
      <c r="N979">
        <v>9.1</v>
      </c>
      <c r="O979">
        <v>6.6354259999999998</v>
      </c>
      <c r="P979">
        <v>34135000</v>
      </c>
      <c r="R979" s="273">
        <f>(O979/O978)*('16. câmbio USD-BRL'!O775/'16. câmbio USD-BRL'!O774)^-1-1</f>
        <v>0.1117537685818617</v>
      </c>
    </row>
    <row r="980" spans="10:18" x14ac:dyDescent="0.2">
      <c r="J980" s="354">
        <v>43367</v>
      </c>
      <c r="K980">
        <v>9.08</v>
      </c>
      <c r="L980">
        <v>9.56</v>
      </c>
      <c r="M980">
        <v>8.61</v>
      </c>
      <c r="N980">
        <v>9.34</v>
      </c>
      <c r="O980">
        <v>6.8104269999999998</v>
      </c>
      <c r="P980">
        <v>37469200</v>
      </c>
      <c r="R980" s="273">
        <f>(O980/O979)*('16. câmbio USD-BRL'!O776/'16. câmbio USD-BRL'!O775)^-1-1</f>
        <v>2.6703356055556959E-2</v>
      </c>
    </row>
    <row r="981" spans="10:18" x14ac:dyDescent="0.2">
      <c r="J981" s="354">
        <v>43374</v>
      </c>
      <c r="K981">
        <v>9.34</v>
      </c>
      <c r="L981">
        <v>10.18</v>
      </c>
      <c r="M981">
        <v>9.1199999999999992</v>
      </c>
      <c r="N981">
        <v>9.3800000000000008</v>
      </c>
      <c r="O981">
        <v>6.8395919999999997</v>
      </c>
      <c r="P981">
        <v>41936500</v>
      </c>
      <c r="R981" s="273">
        <f>(O981/O980)*('16. câmbio USD-BRL'!O777/'16. câmbio USD-BRL'!O776)^-1-1</f>
        <v>6.0254850036544294E-2</v>
      </c>
    </row>
    <row r="982" spans="10:18" x14ac:dyDescent="0.2">
      <c r="J982" s="354">
        <v>43381</v>
      </c>
      <c r="K982">
        <v>9.7200000000000006</v>
      </c>
      <c r="L982">
        <v>9.93</v>
      </c>
      <c r="M982">
        <v>9.0500000000000007</v>
      </c>
      <c r="N982">
        <v>9.14</v>
      </c>
      <c r="O982">
        <v>6.6645909999999997</v>
      </c>
      <c r="P982">
        <v>34618100</v>
      </c>
      <c r="R982" s="273">
        <f>(O982/O981)*('16. câmbio USD-BRL'!O778/'16. câmbio USD-BRL'!O777)^-1-1</f>
        <v>-1.1981011032737632E-2</v>
      </c>
    </row>
    <row r="983" spans="10:18" x14ac:dyDescent="0.2">
      <c r="J983" s="354">
        <v>43388</v>
      </c>
      <c r="K983">
        <v>9.3000000000000007</v>
      </c>
      <c r="L983">
        <v>10.3</v>
      </c>
      <c r="M983">
        <v>9.1999999999999993</v>
      </c>
      <c r="N983">
        <v>9.8000000000000007</v>
      </c>
      <c r="O983">
        <v>7.145842</v>
      </c>
      <c r="P983">
        <v>47637500</v>
      </c>
      <c r="R983" s="273">
        <f>(O983/O982)*('16. câmbio USD-BRL'!O779/'16. câmbio USD-BRL'!O778)^-1-1</f>
        <v>8.9848296245102155E-2</v>
      </c>
    </row>
    <row r="984" spans="10:18" x14ac:dyDescent="0.2">
      <c r="J984" s="354">
        <v>43395</v>
      </c>
      <c r="K984">
        <v>9.98</v>
      </c>
      <c r="L984">
        <v>10.050000000000001</v>
      </c>
      <c r="M984">
        <v>9.1</v>
      </c>
      <c r="N984">
        <v>9.3000000000000007</v>
      </c>
      <c r="O984">
        <v>6.7812590000000004</v>
      </c>
      <c r="P984">
        <v>45382200</v>
      </c>
      <c r="R984" s="273">
        <f>(O984/O983)*('16. câmbio USD-BRL'!O780/'16. câmbio USD-BRL'!O779)^-1-1</f>
        <v>-3.0484915760051967E-2</v>
      </c>
    </row>
    <row r="985" spans="10:18" x14ac:dyDescent="0.2">
      <c r="J985" s="354">
        <v>43402</v>
      </c>
      <c r="K985">
        <v>9.18</v>
      </c>
      <c r="L985">
        <v>9.75</v>
      </c>
      <c r="M985">
        <v>8.7799999999999994</v>
      </c>
      <c r="N985">
        <v>9.67</v>
      </c>
      <c r="O985">
        <v>7.05105</v>
      </c>
      <c r="P985">
        <v>37455800</v>
      </c>
      <c r="R985" s="273">
        <f>(O985/O984)*('16. câmbio USD-BRL'!O781/'16. câmbio USD-BRL'!O780)^-1-1</f>
        <v>2.506262695469097E-2</v>
      </c>
    </row>
    <row r="986" spans="10:18" x14ac:dyDescent="0.2">
      <c r="J986" s="354">
        <v>43409</v>
      </c>
      <c r="K986">
        <v>9.7100000000000009</v>
      </c>
      <c r="L986">
        <v>10.32</v>
      </c>
      <c r="M986">
        <v>9.41</v>
      </c>
      <c r="N986">
        <v>9.58</v>
      </c>
      <c r="O986">
        <v>6.9854250000000002</v>
      </c>
      <c r="P986">
        <v>41765500</v>
      </c>
      <c r="R986" s="273">
        <f>(O986/O985)*('16. câmbio USD-BRL'!O782/'16. câmbio USD-BRL'!O781)^-1-1</f>
        <v>-1.9526473319488868E-2</v>
      </c>
    </row>
    <row r="987" spans="10:18" x14ac:dyDescent="0.2">
      <c r="J987" s="354">
        <v>43416</v>
      </c>
      <c r="K987">
        <v>9.57</v>
      </c>
      <c r="L987">
        <v>9.65</v>
      </c>
      <c r="M987">
        <v>8.91</v>
      </c>
      <c r="N987">
        <v>9.65</v>
      </c>
      <c r="O987">
        <v>7.0364680000000002</v>
      </c>
      <c r="P987">
        <v>26625000</v>
      </c>
      <c r="R987" s="273">
        <f>(O987/O986)*('16. câmbio USD-BRL'!O783/'16. câmbio USD-BRL'!O782)^-1-1</f>
        <v>5.6365341702040439E-3</v>
      </c>
    </row>
    <row r="988" spans="10:18" x14ac:dyDescent="0.2">
      <c r="J988" s="354">
        <v>43423</v>
      </c>
      <c r="K988">
        <v>9.61</v>
      </c>
      <c r="L988">
        <v>9.61</v>
      </c>
      <c r="M988">
        <v>8.52</v>
      </c>
      <c r="N988">
        <v>8.6300000000000008</v>
      </c>
      <c r="O988">
        <v>6.2927169999999997</v>
      </c>
      <c r="P988">
        <v>24056100</v>
      </c>
      <c r="R988" s="273">
        <f>(O988/O987)*('16. câmbio USD-BRL'!O784/'16. câmbio USD-BRL'!O783)^-1-1</f>
        <v>-0.12553487861044721</v>
      </c>
    </row>
    <row r="989" spans="10:18" x14ac:dyDescent="0.2">
      <c r="J989" s="354">
        <v>43430</v>
      </c>
      <c r="K989">
        <v>8.68</v>
      </c>
      <c r="L989">
        <v>9.02</v>
      </c>
      <c r="M989">
        <v>8.32</v>
      </c>
      <c r="N989">
        <v>8.8699999999999992</v>
      </c>
      <c r="O989">
        <v>6.4677170000000004</v>
      </c>
      <c r="P989">
        <v>36610800</v>
      </c>
      <c r="R989" s="273">
        <f>(O989/O988)*('16. câmbio USD-BRL'!O785/'16. câmbio USD-BRL'!O784)^-1-1</f>
        <v>1.7536884345804582E-2</v>
      </c>
    </row>
    <row r="990" spans="10:18" x14ac:dyDescent="0.2">
      <c r="J990" s="354">
        <v>43437</v>
      </c>
      <c r="K990">
        <v>9.19</v>
      </c>
      <c r="L990">
        <v>9.2899999999999991</v>
      </c>
      <c r="M990">
        <v>8.69</v>
      </c>
      <c r="N990">
        <v>8.69</v>
      </c>
      <c r="O990">
        <v>6.3364669999999998</v>
      </c>
      <c r="P990">
        <v>29024500</v>
      </c>
      <c r="R990" s="273">
        <f>(O990/O989)*('16. câmbio USD-BRL'!O786/'16. câmbio USD-BRL'!O785)^-1-1</f>
        <v>-2.4310151699169835E-2</v>
      </c>
    </row>
    <row r="991" spans="10:18" x14ac:dyDescent="0.2">
      <c r="J991" s="354">
        <v>43444</v>
      </c>
      <c r="K991">
        <v>8.69</v>
      </c>
      <c r="L991">
        <v>9.2799999999999994</v>
      </c>
      <c r="M991">
        <v>8.4</v>
      </c>
      <c r="N991">
        <v>9.08</v>
      </c>
      <c r="O991">
        <v>6.6208419999999997</v>
      </c>
      <c r="P991">
        <v>36073900</v>
      </c>
      <c r="R991" s="273">
        <f>(O991/O990)*('16. câmbio USD-BRL'!O787/'16. câmbio USD-BRL'!O786)^-1-1</f>
        <v>4.1414710222149598E-2</v>
      </c>
    </row>
    <row r="992" spans="10:18" x14ac:dyDescent="0.2">
      <c r="J992" s="354">
        <v>43451</v>
      </c>
      <c r="K992">
        <v>9.11</v>
      </c>
      <c r="L992">
        <v>9.6</v>
      </c>
      <c r="M992">
        <v>8.7899999999999991</v>
      </c>
      <c r="N992">
        <v>8.81</v>
      </c>
      <c r="O992">
        <v>6.4239670000000002</v>
      </c>
      <c r="P992">
        <v>54160500</v>
      </c>
      <c r="R992" s="273">
        <f>(O992/O991)*('16. câmbio USD-BRL'!O788/'16. câmbio USD-BRL'!O787)^-1-1</f>
        <v>-3.2719007278039225E-2</v>
      </c>
    </row>
    <row r="993" spans="10:18" x14ac:dyDescent="0.2">
      <c r="J993" s="354">
        <v>43458</v>
      </c>
      <c r="K993">
        <v>8.81</v>
      </c>
      <c r="L993">
        <v>8.84</v>
      </c>
      <c r="M993">
        <v>8.5</v>
      </c>
      <c r="N993">
        <v>8.84</v>
      </c>
      <c r="O993">
        <v>6.445843</v>
      </c>
      <c r="P993">
        <v>19181800</v>
      </c>
      <c r="R993" s="273">
        <f>(O993/O992)*('16. câmbio USD-BRL'!O789/'16. câmbio USD-BRL'!O788)^-1-1</f>
        <v>9.3018239938895686E-3</v>
      </c>
    </row>
    <row r="994" spans="10:18" x14ac:dyDescent="0.2">
      <c r="J994" s="354">
        <v>43465</v>
      </c>
      <c r="K994">
        <v>8.84</v>
      </c>
      <c r="L994">
        <v>9.8800000000000008</v>
      </c>
      <c r="M994">
        <v>8.6999999999999993</v>
      </c>
      <c r="N994">
        <v>9.75</v>
      </c>
      <c r="O994">
        <v>7.1093849999999996</v>
      </c>
      <c r="P994">
        <v>33687800</v>
      </c>
      <c r="R994" s="273">
        <f>(O994/O993)*('16. câmbio USD-BRL'!O790/'16. câmbio USD-BRL'!O789)^-1-1</f>
        <v>0.15227020094161148</v>
      </c>
    </row>
    <row r="995" spans="10:18" x14ac:dyDescent="0.2">
      <c r="J995" s="354">
        <v>43472</v>
      </c>
      <c r="K995">
        <v>9.75</v>
      </c>
      <c r="L995">
        <v>10.039999999999999</v>
      </c>
      <c r="M995">
        <v>9.7100000000000009</v>
      </c>
      <c r="N995">
        <v>9.86</v>
      </c>
      <c r="O995">
        <v>7.1895930000000003</v>
      </c>
      <c r="P995">
        <v>32549900</v>
      </c>
      <c r="R995" s="273">
        <f>(O995/O994)*('16. câmbio USD-BRL'!O791/'16. câmbio USD-BRL'!O790)^-1-1</f>
        <v>1.234508989176808E-2</v>
      </c>
    </row>
    <row r="996" spans="10:18" x14ac:dyDescent="0.2">
      <c r="J996" s="354">
        <v>43479</v>
      </c>
      <c r="K996">
        <v>9.75</v>
      </c>
      <c r="L996">
        <v>10.14</v>
      </c>
      <c r="M996">
        <v>9.5500000000000007</v>
      </c>
      <c r="N996">
        <v>9.84</v>
      </c>
      <c r="O996">
        <v>7.1750090000000002</v>
      </c>
      <c r="P996">
        <v>31753800</v>
      </c>
      <c r="R996" s="273">
        <f>(O996/O995)*('16. câmbio USD-BRL'!O792/'16. câmbio USD-BRL'!O791)^-1-1</f>
        <v>-1.241043666634789E-2</v>
      </c>
    </row>
    <row r="997" spans="10:18" x14ac:dyDescent="0.2">
      <c r="J997" s="354">
        <v>43486</v>
      </c>
      <c r="K997">
        <v>9.84</v>
      </c>
      <c r="L997">
        <v>10.49</v>
      </c>
      <c r="M997">
        <v>9.6999999999999993</v>
      </c>
      <c r="N997">
        <v>10.37</v>
      </c>
      <c r="O997">
        <v>7.5614689999999998</v>
      </c>
      <c r="P997">
        <v>33339100</v>
      </c>
      <c r="R997" s="273">
        <f>(O997/O996)*('16. câmbio USD-BRL'!O793/'16. câmbio USD-BRL'!O792)^-1-1</f>
        <v>4.8074882451961454E-2</v>
      </c>
    </row>
    <row r="998" spans="10:18" x14ac:dyDescent="0.2">
      <c r="J998" s="354">
        <v>43493</v>
      </c>
      <c r="K998">
        <v>10</v>
      </c>
      <c r="L998">
        <v>11.11</v>
      </c>
      <c r="M998">
        <v>9.7200000000000006</v>
      </c>
      <c r="N998">
        <v>10.1</v>
      </c>
      <c r="O998">
        <v>7.3645940000000003</v>
      </c>
      <c r="P998">
        <v>109171200</v>
      </c>
      <c r="R998" s="273">
        <f>(O998/O997)*('16. câmbio USD-BRL'!O794/'16. câmbio USD-BRL'!O793)^-1-1</f>
        <v>3.5952230832647647E-3</v>
      </c>
    </row>
    <row r="999" spans="10:18" x14ac:dyDescent="0.2">
      <c r="J999" s="354">
        <v>43500</v>
      </c>
      <c r="K999">
        <v>10.1</v>
      </c>
      <c r="L999">
        <v>10.1</v>
      </c>
      <c r="M999">
        <v>9.26</v>
      </c>
      <c r="N999">
        <v>9.85</v>
      </c>
      <c r="O999">
        <v>7.1823009999999998</v>
      </c>
      <c r="P999">
        <v>59703800</v>
      </c>
      <c r="R999" s="273">
        <f>(O999/O998)*('16. câmbio USD-BRL'!O795/'16. câmbio USD-BRL'!O794)^-1-1</f>
        <v>-4.3140189713894106E-2</v>
      </c>
    </row>
    <row r="1000" spans="10:18" x14ac:dyDescent="0.2">
      <c r="J1000" s="354">
        <v>43507</v>
      </c>
      <c r="K1000">
        <v>10</v>
      </c>
      <c r="L1000">
        <v>10.19</v>
      </c>
      <c r="M1000">
        <v>9.5299999999999994</v>
      </c>
      <c r="N1000">
        <v>10.14</v>
      </c>
      <c r="O1000">
        <v>7.3937609999999996</v>
      </c>
      <c r="P1000">
        <v>39843400</v>
      </c>
      <c r="R1000" s="273">
        <f>(O1000/O999)*('16. câmbio USD-BRL'!O796/'16. câmbio USD-BRL'!O795)^-1-1</f>
        <v>3.7679579125424745E-2</v>
      </c>
    </row>
    <row r="1001" spans="10:18" x14ac:dyDescent="0.2">
      <c r="J1001" s="354">
        <v>43514</v>
      </c>
      <c r="K1001">
        <v>10.050000000000001</v>
      </c>
      <c r="L1001">
        <v>12.64</v>
      </c>
      <c r="M1001">
        <v>10.039999999999999</v>
      </c>
      <c r="N1001">
        <v>12.4</v>
      </c>
      <c r="O1001">
        <v>9.0416779999999992</v>
      </c>
      <c r="P1001">
        <v>93310900</v>
      </c>
      <c r="R1001" s="273">
        <f>(O1001/O1000)*('16. câmbio USD-BRL'!O797/'16. câmbio USD-BRL'!O796)^-1-1</f>
        <v>0.20834269878025347</v>
      </c>
    </row>
    <row r="1002" spans="10:18" x14ac:dyDescent="0.2">
      <c r="J1002" s="354">
        <v>43521</v>
      </c>
      <c r="K1002">
        <v>12.53</v>
      </c>
      <c r="L1002">
        <v>14</v>
      </c>
      <c r="M1002">
        <v>12.47</v>
      </c>
      <c r="N1002">
        <v>13.85</v>
      </c>
      <c r="O1002">
        <v>10.098972</v>
      </c>
      <c r="P1002">
        <v>118723900</v>
      </c>
      <c r="R1002" s="273">
        <f>(O1002/O1001)*('16. câmbio USD-BRL'!O798/'16. câmbio USD-BRL'!O797)^-1-1</f>
        <v>0.10829072050177002</v>
      </c>
    </row>
    <row r="1003" spans="10:18" x14ac:dyDescent="0.2">
      <c r="J1003" s="354">
        <v>43528</v>
      </c>
      <c r="K1003">
        <v>13.85</v>
      </c>
      <c r="L1003">
        <v>15.55</v>
      </c>
      <c r="M1003">
        <v>13.75</v>
      </c>
      <c r="N1003">
        <v>13.76</v>
      </c>
      <c r="O1003">
        <v>10.033346999999999</v>
      </c>
      <c r="P1003">
        <v>70086400</v>
      </c>
      <c r="R1003" s="273">
        <f>(O1003/O1002)*('16. câmbio USD-BRL'!O799/'16. câmbio USD-BRL'!O798)^-1-1</f>
        <v>-3.1001190997056005E-2</v>
      </c>
    </row>
    <row r="1004" spans="10:18" x14ac:dyDescent="0.2">
      <c r="J1004" s="354">
        <v>43535</v>
      </c>
      <c r="K1004">
        <v>13.93</v>
      </c>
      <c r="L1004">
        <v>15.78</v>
      </c>
      <c r="M1004">
        <v>13.89</v>
      </c>
      <c r="N1004">
        <v>15.61</v>
      </c>
      <c r="O1004">
        <v>11.382305000000001</v>
      </c>
      <c r="P1004">
        <v>94909200</v>
      </c>
      <c r="R1004" s="273">
        <f>(O1004/O1003)*('16. câmbio USD-BRL'!O800/'16. câmbio USD-BRL'!O799)^-1-1</f>
        <v>0.14260023760658336</v>
      </c>
    </row>
    <row r="1005" spans="10:18" x14ac:dyDescent="0.2">
      <c r="J1005" s="354">
        <v>43542</v>
      </c>
      <c r="K1005">
        <v>15.7</v>
      </c>
      <c r="L1005">
        <v>17.420000000000002</v>
      </c>
      <c r="M1005">
        <v>14.92</v>
      </c>
      <c r="N1005">
        <v>14.96</v>
      </c>
      <c r="O1005">
        <v>10.908348</v>
      </c>
      <c r="P1005">
        <v>115873600</v>
      </c>
      <c r="R1005" s="273">
        <f>(O1005/O1004)*('16. câmbio USD-BRL'!O801/'16. câmbio USD-BRL'!O800)^-1-1</f>
        <v>-5.7710620680848534E-2</v>
      </c>
    </row>
    <row r="1006" spans="10:18" x14ac:dyDescent="0.2">
      <c r="J1006" s="354">
        <v>43549</v>
      </c>
      <c r="K1006">
        <v>14.9</v>
      </c>
      <c r="L1006">
        <v>16.77</v>
      </c>
      <c r="M1006">
        <v>14.73</v>
      </c>
      <c r="N1006">
        <v>16.25</v>
      </c>
      <c r="O1006">
        <v>11.848974</v>
      </c>
      <c r="P1006">
        <v>78072700</v>
      </c>
      <c r="R1006" s="273">
        <f>(O1006/O1005)*('16. câmbio USD-BRL'!O802/'16. câmbio USD-BRL'!O801)^-1-1</f>
        <v>8.1908934194868888E-2</v>
      </c>
    </row>
    <row r="1007" spans="10:18" x14ac:dyDescent="0.2">
      <c r="J1007" s="354">
        <v>43556</v>
      </c>
      <c r="K1007">
        <v>16.899999999999999</v>
      </c>
      <c r="L1007">
        <v>17.489999999999998</v>
      </c>
      <c r="M1007">
        <v>16.440000999999999</v>
      </c>
      <c r="N1007">
        <v>16.809999000000001</v>
      </c>
      <c r="O1007">
        <v>12.257305000000001</v>
      </c>
      <c r="P1007">
        <v>78527900</v>
      </c>
      <c r="R1007" s="273">
        <f>(O1007/O1006)*('16. câmbio USD-BRL'!O803/'16. câmbio USD-BRL'!O802)^-1-1</f>
        <v>5.2087299538603249E-2</v>
      </c>
    </row>
    <row r="1008" spans="10:18" x14ac:dyDescent="0.2">
      <c r="J1008" s="354">
        <v>43563</v>
      </c>
      <c r="K1008">
        <v>16.860001</v>
      </c>
      <c r="L1008">
        <v>17.290001</v>
      </c>
      <c r="M1008">
        <v>15.23</v>
      </c>
      <c r="N1008">
        <v>16.149999999999999</v>
      </c>
      <c r="O1008">
        <v>11.776058000000001</v>
      </c>
      <c r="P1008">
        <v>72482300</v>
      </c>
      <c r="R1008" s="273">
        <f>(O1008/O1007)*('16. câmbio USD-BRL'!O804/'16. câmbio USD-BRL'!O803)^-1-1</f>
        <v>-4.3330982414307329E-2</v>
      </c>
    </row>
    <row r="1009" spans="10:18" x14ac:dyDescent="0.2">
      <c r="J1009" s="354">
        <v>43570</v>
      </c>
      <c r="K1009">
        <v>16.32</v>
      </c>
      <c r="L1009">
        <v>16.790001</v>
      </c>
      <c r="M1009">
        <v>15.1</v>
      </c>
      <c r="N1009">
        <v>15.27</v>
      </c>
      <c r="O1009">
        <v>11.134391000000001</v>
      </c>
      <c r="P1009">
        <v>70221700</v>
      </c>
      <c r="R1009" s="273">
        <f>(O1009/O1008)*('16. câmbio USD-BRL'!O805/'16. câmbio USD-BRL'!O804)^-1-1</f>
        <v>-6.758810376361124E-2</v>
      </c>
    </row>
    <row r="1010" spans="10:18" x14ac:dyDescent="0.2">
      <c r="J1010" s="354">
        <v>43577</v>
      </c>
      <c r="K1010">
        <v>15.18</v>
      </c>
      <c r="L1010">
        <v>15.28</v>
      </c>
      <c r="M1010">
        <v>14.28</v>
      </c>
      <c r="N1010">
        <v>14.83</v>
      </c>
      <c r="O1010">
        <v>10.813556999999999</v>
      </c>
      <c r="P1010">
        <v>53996800</v>
      </c>
      <c r="R1010" s="273">
        <f>(O1010/O1009)*('16. câmbio USD-BRL'!O806/'16. câmbio USD-BRL'!O805)^-1-1</f>
        <v>-2.9234964465192248E-2</v>
      </c>
    </row>
    <row r="1011" spans="10:18" x14ac:dyDescent="0.2">
      <c r="J1011" s="354">
        <v>43584</v>
      </c>
      <c r="K1011">
        <v>15</v>
      </c>
      <c r="L1011">
        <v>15.08</v>
      </c>
      <c r="M1011">
        <v>13.48</v>
      </c>
      <c r="N1011">
        <v>14.3</v>
      </c>
      <c r="O1011">
        <v>10.427096000000001</v>
      </c>
      <c r="P1011">
        <v>52764500</v>
      </c>
      <c r="R1011" s="273">
        <f>(O1011/O1010)*('16. câmbio USD-BRL'!O807/'16. câmbio USD-BRL'!O806)^-1-1</f>
        <v>-4.4928489539811434E-2</v>
      </c>
    </row>
    <row r="1012" spans="10:18" x14ac:dyDescent="0.2">
      <c r="J1012" s="354">
        <v>43591</v>
      </c>
      <c r="K1012">
        <v>13.93</v>
      </c>
      <c r="L1012">
        <v>14.63</v>
      </c>
      <c r="M1012">
        <v>13.6</v>
      </c>
      <c r="N1012">
        <v>14.39</v>
      </c>
      <c r="O1012">
        <v>11.513968999999999</v>
      </c>
      <c r="P1012">
        <v>58256900</v>
      </c>
      <c r="R1012" s="273">
        <f>(O1012/O1011)*('16. câmbio USD-BRL'!O808/'16. câmbio USD-BRL'!O807)^-1-1</f>
        <v>0.11005693342814515</v>
      </c>
    </row>
    <row r="1013" spans="10:18" x14ac:dyDescent="0.2">
      <c r="J1013" s="354">
        <v>43598</v>
      </c>
      <c r="K1013">
        <v>14</v>
      </c>
      <c r="L1013">
        <v>15.64</v>
      </c>
      <c r="M1013">
        <v>13.71</v>
      </c>
      <c r="N1013">
        <v>15.39</v>
      </c>
      <c r="O1013">
        <v>12.314106000000001</v>
      </c>
      <c r="P1013">
        <v>67666500</v>
      </c>
      <c r="R1013" s="273">
        <f>(O1013/O1012)*('16. câmbio USD-BRL'!O809/'16. câmbio USD-BRL'!O808)^-1-1</f>
        <v>4.2849233683628585E-2</v>
      </c>
    </row>
    <row r="1014" spans="10:18" x14ac:dyDescent="0.2">
      <c r="J1014" s="354">
        <v>43605</v>
      </c>
      <c r="K1014">
        <v>15.34</v>
      </c>
      <c r="L1014">
        <v>17.450001</v>
      </c>
      <c r="M1014">
        <v>15.23</v>
      </c>
      <c r="N1014">
        <v>17.23</v>
      </c>
      <c r="O1014">
        <v>13.786358999999999</v>
      </c>
      <c r="P1014">
        <v>65546800</v>
      </c>
      <c r="R1014" s="273">
        <f>(O1014/O1013)*('16. câmbio USD-BRL'!O810/'16. câmbio USD-BRL'!O809)^-1-1</f>
        <v>0.12721940007612487</v>
      </c>
    </row>
    <row r="1015" spans="10:18" x14ac:dyDescent="0.2">
      <c r="J1015" s="354">
        <v>43612</v>
      </c>
      <c r="K1015">
        <v>17.700001</v>
      </c>
      <c r="L1015">
        <v>18.27</v>
      </c>
      <c r="M1015">
        <v>16.510000000000002</v>
      </c>
      <c r="N1015">
        <v>16.540001</v>
      </c>
      <c r="O1015">
        <v>13.234265000000001</v>
      </c>
      <c r="P1015">
        <v>71776600</v>
      </c>
      <c r="R1015" s="273">
        <f>(O1015/O1014)*('16. câmbio USD-BRL'!O811/'16. câmbio USD-BRL'!O810)^-1-1</f>
        <v>-3.0712174362509947E-2</v>
      </c>
    </row>
    <row r="1016" spans="10:18" x14ac:dyDescent="0.2">
      <c r="J1016" s="354">
        <v>43619</v>
      </c>
      <c r="K1016">
        <v>16.530000999999999</v>
      </c>
      <c r="L1016">
        <v>17.129999000000002</v>
      </c>
      <c r="M1016">
        <v>15.89</v>
      </c>
      <c r="N1016">
        <v>16.59</v>
      </c>
      <c r="O1016">
        <v>13.274272</v>
      </c>
      <c r="P1016">
        <v>47735500</v>
      </c>
      <c r="R1016" s="273">
        <f>(O1016/O1015)*('16. câmbio USD-BRL'!O812/'16. câmbio USD-BRL'!O811)^-1-1</f>
        <v>2.92985470650311E-2</v>
      </c>
    </row>
    <row r="1017" spans="10:18" x14ac:dyDescent="0.2">
      <c r="J1017" s="354">
        <v>43626</v>
      </c>
      <c r="K1017">
        <v>16.649999999999999</v>
      </c>
      <c r="L1017">
        <v>18.239999999999998</v>
      </c>
      <c r="M1017">
        <v>16.52</v>
      </c>
      <c r="N1017">
        <v>16.77</v>
      </c>
      <c r="O1017">
        <v>13.418296</v>
      </c>
      <c r="P1017">
        <v>66016300</v>
      </c>
      <c r="R1017" s="273">
        <f>(O1017/O1016)*('16. câmbio USD-BRL'!O813/'16. câmbio USD-BRL'!O812)^-1-1</f>
        <v>6.5417456038752153E-3</v>
      </c>
    </row>
    <row r="1018" spans="10:18" x14ac:dyDescent="0.2">
      <c r="J1018" s="354">
        <v>43633</v>
      </c>
      <c r="K1018">
        <v>16.549999</v>
      </c>
      <c r="L1018">
        <v>17.299999</v>
      </c>
      <c r="M1018">
        <v>16.309999000000001</v>
      </c>
      <c r="N1018">
        <v>16.5</v>
      </c>
      <c r="O1018">
        <v>13.202258</v>
      </c>
      <c r="P1018">
        <v>45525800</v>
      </c>
      <c r="R1018" s="273">
        <f>(O1018/O1017)*('16. câmbio USD-BRL'!O814/'16. câmbio USD-BRL'!O813)^-1-1</f>
        <v>-1.4098280015417686E-3</v>
      </c>
    </row>
    <row r="1019" spans="10:18" x14ac:dyDescent="0.2">
      <c r="J1019" s="354">
        <v>43640</v>
      </c>
      <c r="K1019">
        <v>16.600000000000001</v>
      </c>
      <c r="L1019">
        <v>16.799999</v>
      </c>
      <c r="M1019">
        <v>16</v>
      </c>
      <c r="N1019">
        <v>16.709999</v>
      </c>
      <c r="O1019">
        <v>13.370285000000001</v>
      </c>
      <c r="P1019">
        <v>41363600</v>
      </c>
      <c r="R1019" s="273">
        <f>(O1019/O1018)*('16. câmbio USD-BRL'!O815/'16. câmbio USD-BRL'!O814)^-1-1</f>
        <v>1.8486097820193281E-2</v>
      </c>
    </row>
    <row r="1020" spans="10:18" x14ac:dyDescent="0.2">
      <c r="J1020" s="354">
        <v>43647</v>
      </c>
      <c r="K1020">
        <v>17.149999999999999</v>
      </c>
      <c r="L1020">
        <v>17.25</v>
      </c>
      <c r="M1020">
        <v>16.170000000000002</v>
      </c>
      <c r="N1020">
        <v>16.700001</v>
      </c>
      <c r="O1020">
        <v>13.362285999999999</v>
      </c>
      <c r="P1020">
        <v>45388700</v>
      </c>
      <c r="R1020" s="273">
        <f>(O1020/O1019)*('16. câmbio USD-BRL'!O816/'16. câmbio USD-BRL'!O815)^-1-1</f>
        <v>-1.7754186068557054E-3</v>
      </c>
    </row>
    <row r="1021" spans="10:18" x14ac:dyDescent="0.2">
      <c r="J1021" s="354">
        <v>43654</v>
      </c>
      <c r="K1021">
        <v>16.700001</v>
      </c>
      <c r="L1021">
        <v>17.57</v>
      </c>
      <c r="M1021">
        <v>16.700001</v>
      </c>
      <c r="N1021">
        <v>17.07</v>
      </c>
      <c r="O1021">
        <v>13.658334999999999</v>
      </c>
      <c r="P1021">
        <v>33103700</v>
      </c>
      <c r="R1021" s="273">
        <f>(O1021/O1020)*('16. câmbio USD-BRL'!O817/'16. câmbio USD-BRL'!O816)^-1-1</f>
        <v>4.5022702566296591E-2</v>
      </c>
    </row>
    <row r="1022" spans="10:18" x14ac:dyDescent="0.2">
      <c r="J1022" s="354">
        <v>43661</v>
      </c>
      <c r="K1022">
        <v>17.25</v>
      </c>
      <c r="L1022">
        <v>17.799999</v>
      </c>
      <c r="M1022">
        <v>17.120000999999998</v>
      </c>
      <c r="N1022">
        <v>17.57</v>
      </c>
      <c r="O1022">
        <v>14.058403</v>
      </c>
      <c r="P1022">
        <v>32415800</v>
      </c>
      <c r="R1022" s="273">
        <f>(O1022/O1021)*('16. câmbio USD-BRL'!O818/'16. câmbio USD-BRL'!O817)^-1-1</f>
        <v>2.6598875175686265E-2</v>
      </c>
    </row>
    <row r="1023" spans="10:18" x14ac:dyDescent="0.2">
      <c r="J1023" s="354">
        <v>43668</v>
      </c>
      <c r="K1023">
        <v>17.5</v>
      </c>
      <c r="L1023">
        <v>17.600000000000001</v>
      </c>
      <c r="M1023">
        <v>16.120000999999998</v>
      </c>
      <c r="N1023">
        <v>16.450001</v>
      </c>
      <c r="O1023">
        <v>13.162250999999999</v>
      </c>
      <c r="P1023">
        <v>40627000</v>
      </c>
      <c r="R1023" s="273">
        <f>(O1023/O1022)*('16. câmbio USD-BRL'!O819/'16. câmbio USD-BRL'!O818)^-1-1</f>
        <v>-7.0812977284699818E-2</v>
      </c>
    </row>
    <row r="1024" spans="10:18" x14ac:dyDescent="0.2">
      <c r="J1024" s="354">
        <v>43675</v>
      </c>
      <c r="K1024">
        <v>16.5</v>
      </c>
      <c r="L1024">
        <v>17.149999999999999</v>
      </c>
      <c r="M1024">
        <v>15.76</v>
      </c>
      <c r="N1024">
        <v>15.86</v>
      </c>
      <c r="O1024">
        <v>12.690170999999999</v>
      </c>
      <c r="P1024">
        <v>52064800</v>
      </c>
      <c r="R1024" s="273">
        <f>(O1024/O1023)*('16. câmbio USD-BRL'!O820/'16. câmbio USD-BRL'!O819)^-1-1</f>
        <v>-5.1469027501262699E-2</v>
      </c>
    </row>
    <row r="1025" spans="10:18" x14ac:dyDescent="0.2">
      <c r="J1025" s="354">
        <v>43682</v>
      </c>
      <c r="K1025">
        <v>15.18</v>
      </c>
      <c r="L1025">
        <v>15.35</v>
      </c>
      <c r="M1025">
        <v>14.39</v>
      </c>
      <c r="N1025">
        <v>14.65</v>
      </c>
      <c r="O1025">
        <v>11.722004</v>
      </c>
      <c r="P1025">
        <v>62648000</v>
      </c>
      <c r="R1025" s="273">
        <f>(O1025/O1024)*('16. câmbio USD-BRL'!O821/'16. câmbio USD-BRL'!O820)^-1-1</f>
        <v>-9.5226121610031966E-2</v>
      </c>
    </row>
    <row r="1026" spans="10:18" x14ac:dyDescent="0.2">
      <c r="J1026" s="354">
        <v>43689</v>
      </c>
      <c r="K1026">
        <v>14.39</v>
      </c>
      <c r="L1026">
        <v>15.09</v>
      </c>
      <c r="M1026">
        <v>13.67</v>
      </c>
      <c r="N1026">
        <v>14.11</v>
      </c>
      <c r="O1026">
        <v>11.28993</v>
      </c>
      <c r="P1026">
        <v>46041500</v>
      </c>
      <c r="R1026" s="273">
        <f>(O1026/O1025)*('16. câmbio USD-BRL'!O822/'16. câmbio USD-BRL'!O821)^-1-1</f>
        <v>-5.4360303669082288E-2</v>
      </c>
    </row>
    <row r="1027" spans="10:18" x14ac:dyDescent="0.2">
      <c r="J1027" s="354">
        <v>43696</v>
      </c>
      <c r="K1027">
        <v>14.2</v>
      </c>
      <c r="L1027">
        <v>14.5</v>
      </c>
      <c r="M1027">
        <v>13.38</v>
      </c>
      <c r="N1027">
        <v>13.62</v>
      </c>
      <c r="O1027">
        <v>10.897864</v>
      </c>
      <c r="P1027">
        <v>48261400</v>
      </c>
      <c r="R1027" s="273">
        <f>(O1027/O1026)*('16. câmbio USD-BRL'!O823/'16. câmbio USD-BRL'!O822)^-1-1</f>
        <v>-6.4866199302506033E-2</v>
      </c>
    </row>
    <row r="1028" spans="10:18" x14ac:dyDescent="0.2">
      <c r="J1028" s="354">
        <v>43703</v>
      </c>
      <c r="K1028">
        <v>13.75</v>
      </c>
      <c r="L1028">
        <v>14.64</v>
      </c>
      <c r="M1028">
        <v>13.19</v>
      </c>
      <c r="N1028">
        <v>14.36</v>
      </c>
      <c r="O1028">
        <v>11.489964000000001</v>
      </c>
      <c r="P1028">
        <v>48555800</v>
      </c>
      <c r="R1028" s="273">
        <f>(O1028/O1027)*('16. câmbio USD-BRL'!O824/'16. câmbio USD-BRL'!O823)^-1-1</f>
        <v>4.1835889317920927E-2</v>
      </c>
    </row>
    <row r="1029" spans="10:18" x14ac:dyDescent="0.2">
      <c r="J1029" s="354">
        <v>43710</v>
      </c>
      <c r="K1029">
        <v>14.65</v>
      </c>
      <c r="L1029">
        <v>14.74</v>
      </c>
      <c r="M1029">
        <v>13.88</v>
      </c>
      <c r="N1029">
        <v>14.07</v>
      </c>
      <c r="O1029">
        <v>11.257925999999999</v>
      </c>
      <c r="P1029">
        <v>43492900</v>
      </c>
      <c r="R1029" s="273">
        <f>(O1029/O1028)*('16. câmbio USD-BRL'!O825/'16. câmbio USD-BRL'!O824)^-1-1</f>
        <v>5.7939813329546119E-3</v>
      </c>
    </row>
    <row r="1030" spans="10:18" x14ac:dyDescent="0.2">
      <c r="J1030" s="354">
        <v>43717</v>
      </c>
      <c r="K1030">
        <v>14.13</v>
      </c>
      <c r="L1030">
        <v>15.15</v>
      </c>
      <c r="M1030">
        <v>14.13</v>
      </c>
      <c r="N1030">
        <v>14.59</v>
      </c>
      <c r="O1030">
        <v>11.673997</v>
      </c>
      <c r="P1030">
        <v>39749200</v>
      </c>
      <c r="R1030" s="273">
        <f>(O1030/O1029)*('16. câmbio USD-BRL'!O826/'16. câmbio USD-BRL'!O825)^-1-1</f>
        <v>3.1066820722845279E-2</v>
      </c>
    </row>
    <row r="1031" spans="10:18" x14ac:dyDescent="0.2">
      <c r="J1031" s="354">
        <v>43724</v>
      </c>
      <c r="K1031">
        <v>14.46</v>
      </c>
      <c r="L1031">
        <v>14.8</v>
      </c>
      <c r="M1031">
        <v>14.15</v>
      </c>
      <c r="N1031">
        <v>14.29</v>
      </c>
      <c r="O1031">
        <v>11.433956</v>
      </c>
      <c r="P1031">
        <v>31637200</v>
      </c>
      <c r="R1031" s="273">
        <f>(O1031/O1030)*('16. câmbio USD-BRL'!O827/'16. câmbio USD-BRL'!O826)^-1-1</f>
        <v>-4.0072740108530458E-2</v>
      </c>
    </row>
    <row r="1032" spans="10:18" x14ac:dyDescent="0.2">
      <c r="J1032" s="354">
        <v>43731</v>
      </c>
      <c r="K1032">
        <v>14.33</v>
      </c>
      <c r="L1032">
        <v>14.49</v>
      </c>
      <c r="M1032">
        <v>13.3</v>
      </c>
      <c r="N1032">
        <v>13.38</v>
      </c>
      <c r="O1032">
        <v>10.705831</v>
      </c>
      <c r="P1032">
        <v>42766100</v>
      </c>
      <c r="R1032" s="273">
        <f>(O1032/O1031)*('16. câmbio USD-BRL'!O828/'16. câmbio USD-BRL'!O827)^-1-1</f>
        <v>-6.1654074599219011E-2</v>
      </c>
    </row>
    <row r="1033" spans="10:18" x14ac:dyDescent="0.2">
      <c r="J1033" s="354">
        <v>43738</v>
      </c>
      <c r="K1033">
        <v>13.3</v>
      </c>
      <c r="L1033">
        <v>13.45</v>
      </c>
      <c r="M1033">
        <v>12.61</v>
      </c>
      <c r="N1033">
        <v>13.3</v>
      </c>
      <c r="O1033">
        <v>10.866358</v>
      </c>
      <c r="P1033">
        <v>46330800</v>
      </c>
      <c r="R1033" s="273">
        <f>(O1033/O1032)*('16. câmbio USD-BRL'!O829/'16. câmbio USD-BRL'!O828)^-1-1</f>
        <v>4.0521875547570918E-2</v>
      </c>
    </row>
    <row r="1034" spans="10:18" x14ac:dyDescent="0.2">
      <c r="J1034" s="354">
        <v>43745</v>
      </c>
      <c r="K1034">
        <v>13.1</v>
      </c>
      <c r="L1034">
        <v>13.72</v>
      </c>
      <c r="M1034">
        <v>12.28</v>
      </c>
      <c r="N1034">
        <v>13.32</v>
      </c>
      <c r="O1034">
        <v>10.882698</v>
      </c>
      <c r="P1034">
        <v>49709100</v>
      </c>
      <c r="R1034" s="273">
        <f>(O1034/O1033)*('16. câmbio USD-BRL'!O830/'16. câmbio USD-BRL'!O829)^-1-1</f>
        <v>-1.1680049196695741E-2</v>
      </c>
    </row>
    <row r="1035" spans="10:18" x14ac:dyDescent="0.2">
      <c r="J1035" s="354">
        <v>43752</v>
      </c>
      <c r="K1035">
        <v>13.15</v>
      </c>
      <c r="L1035">
        <v>13.7</v>
      </c>
      <c r="M1035">
        <v>13.05</v>
      </c>
      <c r="N1035">
        <v>13.05</v>
      </c>
      <c r="O1035">
        <v>10.662103999999999</v>
      </c>
      <c r="P1035">
        <v>46156600</v>
      </c>
      <c r="R1035" s="273">
        <f>(O1035/O1034)*('16. câmbio USD-BRL'!O831/'16. câmbio USD-BRL'!O830)^-1-1</f>
        <v>-3.2372273038222876E-2</v>
      </c>
    </row>
    <row r="1036" spans="10:18" x14ac:dyDescent="0.2">
      <c r="J1036" s="354">
        <v>43759</v>
      </c>
      <c r="K1036">
        <v>13.18</v>
      </c>
      <c r="L1036">
        <v>13.86</v>
      </c>
      <c r="M1036">
        <v>12.05</v>
      </c>
      <c r="N1036">
        <v>12.12</v>
      </c>
      <c r="O1036">
        <v>9.9022749999999995</v>
      </c>
      <c r="P1036">
        <v>74334700</v>
      </c>
      <c r="R1036" s="273">
        <f>(O1036/O1035)*('16. câmbio USD-BRL'!O832/'16. câmbio USD-BRL'!O831)^-1-1</f>
        <v>-3.4583690160881919E-2</v>
      </c>
    </row>
    <row r="1037" spans="10:18" x14ac:dyDescent="0.2">
      <c r="J1037" s="354">
        <v>43766</v>
      </c>
      <c r="K1037">
        <v>12.15</v>
      </c>
      <c r="L1037">
        <v>12.38</v>
      </c>
      <c r="M1037">
        <v>11.65</v>
      </c>
      <c r="N1037">
        <v>11.93</v>
      </c>
      <c r="O1037">
        <v>9.7470429999999997</v>
      </c>
      <c r="P1037">
        <v>51306200</v>
      </c>
      <c r="R1037" s="273">
        <f>(O1037/O1036)*('16. câmbio USD-BRL'!O833/'16. câmbio USD-BRL'!O832)^-1-1</f>
        <v>-1.1998851476842209E-2</v>
      </c>
    </row>
    <row r="1038" spans="10:18" x14ac:dyDescent="0.2">
      <c r="J1038" s="354">
        <v>43773</v>
      </c>
      <c r="K1038">
        <v>12.04</v>
      </c>
      <c r="L1038">
        <v>12.73</v>
      </c>
      <c r="M1038">
        <v>11.9</v>
      </c>
      <c r="N1038">
        <v>12.3</v>
      </c>
      <c r="O1038">
        <v>10.049340000000001</v>
      </c>
      <c r="P1038">
        <v>53165600</v>
      </c>
      <c r="R1038" s="273">
        <f>(O1038/O1037)*('16. câmbio USD-BRL'!O834/'16. câmbio USD-BRL'!O833)^-1-1</f>
        <v>2.9973989481888452E-3</v>
      </c>
    </row>
    <row r="1039" spans="10:18" x14ac:dyDescent="0.2">
      <c r="J1039" s="354">
        <v>43780</v>
      </c>
      <c r="K1039">
        <v>12.15</v>
      </c>
      <c r="L1039">
        <v>12.33</v>
      </c>
      <c r="M1039">
        <v>11.23</v>
      </c>
      <c r="N1039">
        <v>11.44</v>
      </c>
      <c r="O1039">
        <v>9.3467029999999998</v>
      </c>
      <c r="P1039">
        <v>32006900</v>
      </c>
      <c r="R1039" s="273">
        <f>(O1039/O1038)*('16. câmbio USD-BRL'!O835/'16. câmbio USD-BRL'!O834)^-1-1</f>
        <v>-9.0654547889502002E-2</v>
      </c>
    </row>
    <row r="1040" spans="10:18" x14ac:dyDescent="0.2">
      <c r="J1040" s="354">
        <v>43787</v>
      </c>
      <c r="K1040">
        <v>11.63</v>
      </c>
      <c r="L1040">
        <v>12.27</v>
      </c>
      <c r="M1040">
        <v>11.34</v>
      </c>
      <c r="N1040">
        <v>12.1</v>
      </c>
      <c r="O1040">
        <v>9.8859349999999999</v>
      </c>
      <c r="P1040">
        <v>40850300</v>
      </c>
      <c r="R1040" s="273">
        <f>(O1040/O1039)*('16. câmbio USD-BRL'!O836/'16. câmbio USD-BRL'!O835)^-1-1</f>
        <v>5.7208362960697201E-2</v>
      </c>
    </row>
    <row r="1041" spans="10:18" x14ac:dyDescent="0.2">
      <c r="J1041" s="354">
        <v>43794</v>
      </c>
      <c r="K1041">
        <v>12.23</v>
      </c>
      <c r="L1041">
        <v>13.04</v>
      </c>
      <c r="M1041">
        <v>12.22</v>
      </c>
      <c r="N1041">
        <v>12.56</v>
      </c>
      <c r="O1041">
        <v>10.261765</v>
      </c>
      <c r="P1041">
        <v>52297300</v>
      </c>
      <c r="R1041" s="273">
        <f>(O1041/O1040)*('16. câmbio USD-BRL'!O837/'16. câmbio USD-BRL'!O836)^-1-1</f>
        <v>2.8287748722505945E-2</v>
      </c>
    </row>
    <row r="1042" spans="10:18" x14ac:dyDescent="0.2">
      <c r="J1042" s="354">
        <v>43801</v>
      </c>
      <c r="K1042">
        <v>12.38</v>
      </c>
      <c r="L1042">
        <v>13.37</v>
      </c>
      <c r="M1042">
        <v>12.35</v>
      </c>
      <c r="N1042">
        <v>13.33</v>
      </c>
      <c r="O1042">
        <v>10.890869</v>
      </c>
      <c r="P1042">
        <v>54254200</v>
      </c>
      <c r="R1042" s="273">
        <f>(O1042/O1041)*('16. câmbio USD-BRL'!O838/'16. câmbio USD-BRL'!O837)^-1-1</f>
        <v>8.5580125013482E-2</v>
      </c>
    </row>
    <row r="1043" spans="10:18" x14ac:dyDescent="0.2">
      <c r="J1043" s="354">
        <v>43808</v>
      </c>
      <c r="K1043">
        <v>13.49</v>
      </c>
      <c r="L1043">
        <v>14.4</v>
      </c>
      <c r="M1043">
        <v>12.94</v>
      </c>
      <c r="N1043">
        <v>14.18</v>
      </c>
      <c r="O1043">
        <v>11.585336</v>
      </c>
      <c r="P1043">
        <v>57306400</v>
      </c>
      <c r="R1043" s="273">
        <f>(O1043/O1042)*('16. câmbio USD-BRL'!O839/'16. câmbio USD-BRL'!O838)^-1-1</f>
        <v>7.2313619852511613E-2</v>
      </c>
    </row>
    <row r="1044" spans="10:18" x14ac:dyDescent="0.2">
      <c r="J1044" s="354">
        <v>43815</v>
      </c>
      <c r="K1044">
        <v>14.42</v>
      </c>
      <c r="L1044">
        <v>14.63</v>
      </c>
      <c r="M1044">
        <v>13.61</v>
      </c>
      <c r="N1044">
        <v>13.81</v>
      </c>
      <c r="O1044">
        <v>11.283039</v>
      </c>
      <c r="P1044">
        <v>56817200</v>
      </c>
      <c r="R1044" s="273">
        <f>(O1044/O1043)*('16. câmbio USD-BRL'!O840/'16. câmbio USD-BRL'!O839)^-1-1</f>
        <v>-2.3989381073824312E-2</v>
      </c>
    </row>
    <row r="1045" spans="10:18" x14ac:dyDescent="0.2">
      <c r="J1045" s="354">
        <v>43822</v>
      </c>
      <c r="K1045">
        <v>14.07</v>
      </c>
      <c r="L1045">
        <v>14.71</v>
      </c>
      <c r="M1045">
        <v>13.92</v>
      </c>
      <c r="N1045">
        <v>13.96</v>
      </c>
      <c r="O1045">
        <v>11.405592</v>
      </c>
      <c r="P1045">
        <v>36155000</v>
      </c>
      <c r="R1045" s="273">
        <f>(O1045/O1044)*('16. câmbio USD-BRL'!O841/'16. câmbio USD-BRL'!O840)^-1-1</f>
        <v>2.4382998607387796E-2</v>
      </c>
    </row>
    <row r="1046" spans="10:18" x14ac:dyDescent="0.2">
      <c r="J1046" s="354">
        <v>43829</v>
      </c>
      <c r="K1046">
        <v>13.97</v>
      </c>
      <c r="L1046">
        <v>14.8</v>
      </c>
      <c r="M1046">
        <v>13.93</v>
      </c>
      <c r="N1046">
        <v>14.58</v>
      </c>
      <c r="O1046">
        <v>11.912144</v>
      </c>
      <c r="P1046">
        <v>39309700</v>
      </c>
      <c r="R1046" s="273">
        <f>(O1046/O1045)*('16. câmbio USD-BRL'!O842/'16. câmbio USD-BRL'!O841)^-1-1</f>
        <v>3.8929132395270516E-2</v>
      </c>
    </row>
    <row r="1047" spans="10:18" x14ac:dyDescent="0.2">
      <c r="J1047" s="354">
        <v>43836</v>
      </c>
      <c r="K1047">
        <v>14.5</v>
      </c>
      <c r="L1047">
        <v>14.5</v>
      </c>
      <c r="M1047">
        <v>13.9</v>
      </c>
      <c r="N1047">
        <v>14.21</v>
      </c>
      <c r="O1047">
        <v>11.609845999999999</v>
      </c>
      <c r="P1047">
        <v>39079400</v>
      </c>
      <c r="R1047" s="273">
        <f>(O1047/O1046)*('16. câmbio USD-BRL'!O843/'16. câmbio USD-BRL'!O842)^-1-1</f>
        <v>-2.3668300887109472E-2</v>
      </c>
    </row>
    <row r="1048" spans="10:18" x14ac:dyDescent="0.2">
      <c r="J1048" s="354">
        <v>43843</v>
      </c>
      <c r="K1048">
        <v>14.31</v>
      </c>
      <c r="L1048">
        <v>15.36</v>
      </c>
      <c r="M1048">
        <v>14.31</v>
      </c>
      <c r="N1048">
        <v>14.78</v>
      </c>
      <c r="O1048">
        <v>12.075548</v>
      </c>
      <c r="P1048">
        <v>56472000</v>
      </c>
      <c r="R1048" s="273">
        <f>(O1048/O1047)*('16. câmbio USD-BRL'!O844/'16. câmbio USD-BRL'!O843)^-1-1</f>
        <v>1.4680310364081794E-2</v>
      </c>
    </row>
    <row r="1049" spans="10:18" x14ac:dyDescent="0.2">
      <c r="J1049" s="354">
        <v>43850</v>
      </c>
      <c r="K1049">
        <v>14.74</v>
      </c>
      <c r="L1049">
        <v>15.95</v>
      </c>
      <c r="M1049">
        <v>14.66</v>
      </c>
      <c r="N1049">
        <v>14.91</v>
      </c>
      <c r="O1049">
        <v>12.181760000000001</v>
      </c>
      <c r="P1049">
        <v>70773700</v>
      </c>
      <c r="R1049" s="273">
        <f>(O1049/O1048)*('16. câmbio USD-BRL'!O845/'16. câmbio USD-BRL'!O844)^-1-1</f>
        <v>3.992756408349063E-3</v>
      </c>
    </row>
    <row r="1050" spans="10:18" x14ac:dyDescent="0.2">
      <c r="J1050" s="354">
        <v>43857</v>
      </c>
      <c r="K1050">
        <v>14.22</v>
      </c>
      <c r="L1050">
        <v>14.32</v>
      </c>
      <c r="M1050">
        <v>12.74</v>
      </c>
      <c r="N1050">
        <v>12.9</v>
      </c>
      <c r="O1050">
        <v>10.539550999999999</v>
      </c>
      <c r="P1050">
        <v>62568200</v>
      </c>
      <c r="R1050" s="273">
        <f>(O1050/O1049)*('16. câmbio USD-BRL'!O846/'16. câmbio USD-BRL'!O845)^-1-1</f>
        <v>-0.15526139028677144</v>
      </c>
    </row>
    <row r="1051" spans="10:18" x14ac:dyDescent="0.2">
      <c r="J1051" s="354">
        <v>43864</v>
      </c>
      <c r="K1051">
        <v>12.9</v>
      </c>
      <c r="L1051">
        <v>13.75</v>
      </c>
      <c r="M1051">
        <v>12.56</v>
      </c>
      <c r="N1051">
        <v>12.72</v>
      </c>
      <c r="O1051">
        <v>10.392488</v>
      </c>
      <c r="P1051">
        <v>44634100</v>
      </c>
      <c r="R1051" s="273">
        <f>(O1051/O1050)*('16. câmbio USD-BRL'!O847/'16. câmbio USD-BRL'!O846)^-1-1</f>
        <v>-2.2629006641392002E-2</v>
      </c>
    </row>
    <row r="1052" spans="10:18" x14ac:dyDescent="0.2">
      <c r="J1052" s="354">
        <v>43871</v>
      </c>
      <c r="K1052">
        <v>12.61</v>
      </c>
      <c r="L1052">
        <v>13.35</v>
      </c>
      <c r="M1052">
        <v>12.14</v>
      </c>
      <c r="N1052">
        <v>12.66</v>
      </c>
      <c r="O1052">
        <v>10.343467</v>
      </c>
      <c r="P1052">
        <v>60816700</v>
      </c>
      <c r="R1052" s="273">
        <f>(O1052/O1051)*('16. câmbio USD-BRL'!O848/'16. câmbio USD-BRL'!O847)^-1-1</f>
        <v>6.1159894372031509E-4</v>
      </c>
    </row>
    <row r="1053" spans="10:18" x14ac:dyDescent="0.2">
      <c r="J1053" s="354">
        <v>43878</v>
      </c>
      <c r="K1053">
        <v>12.88</v>
      </c>
      <c r="L1053">
        <v>13.68</v>
      </c>
      <c r="M1053">
        <v>12.73</v>
      </c>
      <c r="N1053">
        <v>13.13</v>
      </c>
      <c r="O1053">
        <v>10.727466</v>
      </c>
      <c r="P1053">
        <v>47234700</v>
      </c>
      <c r="R1053" s="273">
        <f>(O1053/O1052)*('16. câmbio USD-BRL'!O849/'16. câmbio USD-BRL'!O848)^-1-1</f>
        <v>1.5357006705420728E-2</v>
      </c>
    </row>
    <row r="1054" spans="10:18" x14ac:dyDescent="0.2">
      <c r="J1054" s="354">
        <v>43885</v>
      </c>
      <c r="K1054">
        <v>13.13</v>
      </c>
      <c r="L1054">
        <v>13.13</v>
      </c>
      <c r="M1054">
        <v>10.71</v>
      </c>
      <c r="N1054">
        <v>11.18</v>
      </c>
      <c r="O1054">
        <v>9.1342770000000009</v>
      </c>
      <c r="P1054">
        <v>54774200</v>
      </c>
      <c r="R1054" s="273">
        <f>(O1054/O1053)*('16. câmbio USD-BRL'!O850/'16. câmbio USD-BRL'!O849)^-1-1</f>
        <v>-0.16421096232345933</v>
      </c>
    </row>
    <row r="1055" spans="10:18" x14ac:dyDescent="0.2">
      <c r="J1055" s="354">
        <v>43892</v>
      </c>
      <c r="K1055">
        <v>11.4</v>
      </c>
      <c r="L1055">
        <v>12.69</v>
      </c>
      <c r="M1055">
        <v>10.86</v>
      </c>
      <c r="N1055">
        <v>11.11</v>
      </c>
      <c r="O1055">
        <v>9.0770859999999995</v>
      </c>
      <c r="P1055">
        <v>73125500</v>
      </c>
      <c r="R1055" s="273">
        <f>(O1055/O1054)*('16. câmbio USD-BRL'!O851/'16. câmbio USD-BRL'!O850)^-1-1</f>
        <v>-3.9621791425206054E-2</v>
      </c>
    </row>
    <row r="1056" spans="10:18" x14ac:dyDescent="0.2">
      <c r="J1056" s="354">
        <v>43899</v>
      </c>
      <c r="K1056">
        <v>9.9</v>
      </c>
      <c r="L1056">
        <v>10.039999999999999</v>
      </c>
      <c r="M1056">
        <v>5.56</v>
      </c>
      <c r="N1056">
        <v>7.95</v>
      </c>
      <c r="O1056">
        <v>6.495304</v>
      </c>
      <c r="P1056">
        <v>129343600</v>
      </c>
      <c r="R1056" s="273">
        <f>(O1056/O1055)*('16. câmbio USD-BRL'!O852/'16. câmbio USD-BRL'!O851)^-1-1</f>
        <v>-0.31864502131568018</v>
      </c>
    </row>
    <row r="1057" spans="10:18" x14ac:dyDescent="0.2">
      <c r="J1057" s="354">
        <v>43906</v>
      </c>
      <c r="K1057">
        <v>6.8</v>
      </c>
      <c r="L1057">
        <v>7.94</v>
      </c>
      <c r="M1057">
        <v>6.06</v>
      </c>
      <c r="N1057">
        <v>6.16</v>
      </c>
      <c r="O1057">
        <v>5.0328400000000002</v>
      </c>
      <c r="P1057">
        <v>98404900</v>
      </c>
      <c r="R1057" s="273">
        <f>(O1057/O1056)*('16. câmbio USD-BRL'!O853/'16. câmbio USD-BRL'!O852)^-1-1</f>
        <v>-0.26106863647472012</v>
      </c>
    </row>
    <row r="1058" spans="10:18" x14ac:dyDescent="0.2">
      <c r="J1058" s="354">
        <v>43913</v>
      </c>
      <c r="K1058">
        <v>6.13</v>
      </c>
      <c r="L1058">
        <v>7.39</v>
      </c>
      <c r="M1058">
        <v>5.48</v>
      </c>
      <c r="N1058">
        <v>6.77</v>
      </c>
      <c r="O1058">
        <v>5.5312219999999996</v>
      </c>
      <c r="P1058">
        <v>99458200</v>
      </c>
      <c r="R1058" s="273">
        <f>(O1058/O1057)*('16. câmbio USD-BRL'!O854/'16. câmbio USD-BRL'!O853)^-1-1</f>
        <v>9.7991416982008861E-2</v>
      </c>
    </row>
    <row r="1059" spans="10:18" x14ac:dyDescent="0.2">
      <c r="J1059" s="354">
        <v>43920</v>
      </c>
      <c r="K1059">
        <v>6.84</v>
      </c>
      <c r="L1059">
        <v>7.45</v>
      </c>
      <c r="M1059">
        <v>6.13</v>
      </c>
      <c r="N1059">
        <v>6.25</v>
      </c>
      <c r="O1059">
        <v>5.1063720000000004</v>
      </c>
      <c r="P1059">
        <v>67455300</v>
      </c>
      <c r="R1059" s="273">
        <f>(O1059/O1058)*('16. câmbio USD-BRL'!O855/'16. câmbio USD-BRL'!O854)^-1-1</f>
        <v>-0.10426641205100606</v>
      </c>
    </row>
    <row r="1060" spans="10:18" x14ac:dyDescent="0.2">
      <c r="J1060" s="354">
        <v>43927</v>
      </c>
      <c r="K1060">
        <v>6.68</v>
      </c>
      <c r="L1060">
        <v>7.75</v>
      </c>
      <c r="M1060">
        <v>6.45</v>
      </c>
      <c r="N1060">
        <v>7.17</v>
      </c>
      <c r="O1060">
        <v>5.8580290000000002</v>
      </c>
      <c r="P1060">
        <v>49963000</v>
      </c>
      <c r="R1060" s="273">
        <f>(O1060/O1059)*('16. câmbio USD-BRL'!O856/'16. câmbio USD-BRL'!O855)^-1-1</f>
        <v>0.18085969516171585</v>
      </c>
    </row>
    <row r="1061" spans="10:18" x14ac:dyDescent="0.2">
      <c r="J1061" s="354">
        <v>43934</v>
      </c>
      <c r="K1061">
        <v>7.1</v>
      </c>
      <c r="L1061">
        <v>7.7</v>
      </c>
      <c r="M1061">
        <v>6.95</v>
      </c>
      <c r="N1061">
        <v>7.59</v>
      </c>
      <c r="O1061">
        <v>6.2011779999999996</v>
      </c>
      <c r="P1061">
        <v>56303700</v>
      </c>
      <c r="R1061" s="273">
        <f>(O1061/O1060)*('16. câmbio USD-BRL'!O857/'16. câmbio USD-BRL'!O856)^-1-1</f>
        <v>3.2312276647621596E-2</v>
      </c>
    </row>
    <row r="1062" spans="10:18" x14ac:dyDescent="0.2">
      <c r="J1062" s="354">
        <v>43941</v>
      </c>
      <c r="K1062">
        <v>7.37</v>
      </c>
      <c r="L1062">
        <v>8.06</v>
      </c>
      <c r="M1062">
        <v>6.66</v>
      </c>
      <c r="N1062">
        <v>7.08</v>
      </c>
      <c r="O1062">
        <v>5.784497</v>
      </c>
      <c r="P1062">
        <v>54813900</v>
      </c>
      <c r="R1062" s="273">
        <f>(O1062/O1061)*('16. câmbio USD-BRL'!O858/'16. câmbio USD-BRL'!O857)^-1-1</f>
        <v>-0.12664735178794317</v>
      </c>
    </row>
    <row r="1063" spans="10:18" x14ac:dyDescent="0.2">
      <c r="J1063" s="354">
        <v>43948</v>
      </c>
      <c r="K1063">
        <v>7.26</v>
      </c>
      <c r="L1063">
        <v>9.27</v>
      </c>
      <c r="M1063">
        <v>6.95</v>
      </c>
      <c r="N1063">
        <v>8.9600000000000009</v>
      </c>
      <c r="O1063">
        <v>7.3204950000000002</v>
      </c>
      <c r="P1063">
        <v>92746400</v>
      </c>
      <c r="R1063" s="273">
        <f>(O1063/O1062)*('16. câmbio USD-BRL'!O859/'16. câmbio USD-BRL'!O858)^-1-1</f>
        <v>0.28996697279225825</v>
      </c>
    </row>
    <row r="1064" spans="10:18" x14ac:dyDescent="0.2">
      <c r="J1064" s="354">
        <v>43955</v>
      </c>
      <c r="K1064">
        <v>8.58</v>
      </c>
      <c r="L1064">
        <v>8.86</v>
      </c>
      <c r="M1064">
        <v>7.83</v>
      </c>
      <c r="N1064">
        <v>8.51</v>
      </c>
      <c r="O1064">
        <v>6.9528359999999996</v>
      </c>
      <c r="P1064">
        <v>80346900</v>
      </c>
      <c r="R1064" s="273">
        <f>(O1064/O1063)*('16. câmbio USD-BRL'!O860/'16. câmbio USD-BRL'!O859)^-1-1</f>
        <v>-9.0811001836443195E-2</v>
      </c>
    </row>
    <row r="1065" spans="10:18" x14ac:dyDescent="0.2">
      <c r="J1065" s="354">
        <v>43962</v>
      </c>
      <c r="K1065">
        <v>8.4</v>
      </c>
      <c r="L1065">
        <v>8.4700000000000006</v>
      </c>
      <c r="M1065">
        <v>7.32</v>
      </c>
      <c r="N1065">
        <v>7.88</v>
      </c>
      <c r="O1065">
        <v>6.4515599999999997</v>
      </c>
      <c r="P1065">
        <v>86483500</v>
      </c>
      <c r="R1065" s="273">
        <f>(O1065/O1064)*('16. câmbio USD-BRL'!O861/'16. câmbio USD-BRL'!O860)^-1-1</f>
        <v>-9.1476078676725248E-2</v>
      </c>
    </row>
    <row r="1066" spans="10:18" x14ac:dyDescent="0.2">
      <c r="J1066" s="354">
        <v>43969</v>
      </c>
      <c r="K1066">
        <v>8.32</v>
      </c>
      <c r="L1066">
        <v>8.9499999999999993</v>
      </c>
      <c r="M1066">
        <v>8.15</v>
      </c>
      <c r="N1066">
        <v>8.5</v>
      </c>
      <c r="O1066">
        <v>6.9591690000000002</v>
      </c>
      <c r="P1066">
        <v>66249600</v>
      </c>
      <c r="R1066" s="273">
        <f>(O1066/O1065)*('16. câmbio USD-BRL'!O862/'16. câmbio USD-BRL'!O861)^-1-1</f>
        <v>0.14216755245649071</v>
      </c>
    </row>
    <row r="1067" spans="10:18" x14ac:dyDescent="0.2">
      <c r="J1067" s="354">
        <v>43976</v>
      </c>
      <c r="K1067">
        <v>8.76</v>
      </c>
      <c r="L1067">
        <v>10.69</v>
      </c>
      <c r="M1067">
        <v>8.4600000000000009</v>
      </c>
      <c r="N1067">
        <v>10.32</v>
      </c>
      <c r="O1067">
        <v>8.449249</v>
      </c>
      <c r="P1067">
        <v>96760500</v>
      </c>
      <c r="R1067" s="273">
        <f>(O1067/O1066)*('16. câmbio USD-BRL'!O863/'16. câmbio USD-BRL'!O862)^-1-1</f>
        <v>0.25860836961803435</v>
      </c>
    </row>
    <row r="1068" spans="10:18" x14ac:dyDescent="0.2">
      <c r="J1068" s="354">
        <v>43983</v>
      </c>
      <c r="K1068">
        <v>10.55</v>
      </c>
      <c r="L1068">
        <v>11.26</v>
      </c>
      <c r="M1068">
        <v>10.199999999999999</v>
      </c>
      <c r="N1068">
        <v>10.63</v>
      </c>
      <c r="O1068">
        <v>8.7030560000000001</v>
      </c>
      <c r="P1068">
        <v>72522700</v>
      </c>
      <c r="R1068" s="273">
        <f>(O1068/O1067)*('16. câmbio USD-BRL'!O864/'16. câmbio USD-BRL'!O863)^-1-1</f>
        <v>0.10705157331226856</v>
      </c>
    </row>
    <row r="1069" spans="10:18" x14ac:dyDescent="0.2">
      <c r="J1069" s="354">
        <v>43990</v>
      </c>
      <c r="K1069">
        <v>11.04</v>
      </c>
      <c r="L1069">
        <v>12.46</v>
      </c>
      <c r="M1069">
        <v>10.66</v>
      </c>
      <c r="N1069">
        <v>10.87</v>
      </c>
      <c r="O1069">
        <v>8.8995490000000004</v>
      </c>
      <c r="P1069">
        <v>76401500</v>
      </c>
      <c r="R1069" s="273">
        <f>(O1069/O1068)*('16. câmbio USD-BRL'!O865/'16. câmbio USD-BRL'!O864)^-1-1</f>
        <v>5.1453965157870485E-3</v>
      </c>
    </row>
    <row r="1070" spans="10:18" x14ac:dyDescent="0.2">
      <c r="J1070" s="354">
        <v>43997</v>
      </c>
      <c r="K1070">
        <v>10.34</v>
      </c>
      <c r="L1070">
        <v>11.9</v>
      </c>
      <c r="M1070">
        <v>10.24</v>
      </c>
      <c r="N1070">
        <v>11.21</v>
      </c>
      <c r="O1070">
        <v>9.1779170000000008</v>
      </c>
      <c r="P1070">
        <v>63836500</v>
      </c>
      <c r="R1070" s="273">
        <f>(O1070/O1069)*('16. câmbio USD-BRL'!O866/'16. câmbio USD-BRL'!O865)^-1-1</f>
        <v>-1.9415101160504711E-2</v>
      </c>
    </row>
    <row r="1071" spans="10:18" x14ac:dyDescent="0.2">
      <c r="J1071" s="354">
        <v>44004</v>
      </c>
      <c r="K1071">
        <v>11.15</v>
      </c>
      <c r="L1071">
        <v>11.64</v>
      </c>
      <c r="M1071">
        <v>10.63</v>
      </c>
      <c r="N1071">
        <v>10.71</v>
      </c>
      <c r="O1071">
        <v>8.7685530000000007</v>
      </c>
      <c r="P1071">
        <v>40466500</v>
      </c>
      <c r="R1071" s="273">
        <f>(O1071/O1070)*('16. câmbio USD-BRL'!O867/'16. câmbio USD-BRL'!O866)^-1-1</f>
        <v>-7.3922583388991048E-2</v>
      </c>
    </row>
    <row r="1072" spans="10:18" x14ac:dyDescent="0.2">
      <c r="J1072" s="354">
        <v>44011</v>
      </c>
      <c r="K1072">
        <v>10.73</v>
      </c>
      <c r="L1072">
        <v>11.07</v>
      </c>
      <c r="M1072">
        <v>10.38</v>
      </c>
      <c r="N1072">
        <v>10.71</v>
      </c>
      <c r="O1072">
        <v>8.7685530000000007</v>
      </c>
      <c r="P1072">
        <v>50112000</v>
      </c>
      <c r="R1072" s="273">
        <f>(O1072/O1071)*('16. câmbio USD-BRL'!O868/'16. câmbio USD-BRL'!O867)^-1-1</f>
        <v>3.1201159922420674E-2</v>
      </c>
    </row>
    <row r="1073" spans="10:18" x14ac:dyDescent="0.2">
      <c r="J1073" s="354">
        <v>44018</v>
      </c>
      <c r="K1073">
        <v>10.92</v>
      </c>
      <c r="L1073">
        <v>11.51</v>
      </c>
      <c r="M1073">
        <v>10.85</v>
      </c>
      <c r="N1073">
        <v>11.23</v>
      </c>
      <c r="O1073">
        <v>9.1942909999999998</v>
      </c>
      <c r="P1073">
        <v>43336700</v>
      </c>
      <c r="R1073" s="273">
        <f>(O1073/O1072)*('16. câmbio USD-BRL'!O869/'16. câmbio USD-BRL'!O868)^-1-1</f>
        <v>4.7441418953281467E-2</v>
      </c>
    </row>
    <row r="1074" spans="10:18" x14ac:dyDescent="0.2">
      <c r="J1074" s="354">
        <v>44025</v>
      </c>
      <c r="K1074">
        <v>11.5</v>
      </c>
      <c r="L1074">
        <v>12.36</v>
      </c>
      <c r="M1074">
        <v>11.43</v>
      </c>
      <c r="N1074">
        <v>11.9</v>
      </c>
      <c r="O1074">
        <v>9.7428369999999997</v>
      </c>
      <c r="P1074">
        <v>78923700</v>
      </c>
      <c r="R1074" s="273">
        <f>(O1074/O1073)*('16. câmbio USD-BRL'!O870/'16. câmbio USD-BRL'!O869)^-1-1</f>
        <v>4.6203877140195804E-2</v>
      </c>
    </row>
    <row r="1075" spans="10:18" x14ac:dyDescent="0.2">
      <c r="J1075" s="354">
        <v>44032</v>
      </c>
      <c r="K1075">
        <v>11.9</v>
      </c>
      <c r="L1075">
        <v>12.01</v>
      </c>
      <c r="M1075">
        <v>11.32</v>
      </c>
      <c r="N1075">
        <v>11.61</v>
      </c>
      <c r="O1075">
        <v>9.5054060000000007</v>
      </c>
      <c r="P1075">
        <v>38423100</v>
      </c>
      <c r="R1075" s="273">
        <f>(O1075/O1074)*('16. câmbio USD-BRL'!O871/'16. câmbio USD-BRL'!O870)^-1-1</f>
        <v>4.9345639884508241E-3</v>
      </c>
    </row>
    <row r="1076" spans="10:18" x14ac:dyDescent="0.2">
      <c r="J1076" s="354">
        <v>44039</v>
      </c>
      <c r="K1076">
        <v>11.65</v>
      </c>
      <c r="L1076">
        <v>13.57</v>
      </c>
      <c r="M1076">
        <v>11.56</v>
      </c>
      <c r="N1076">
        <v>12.25</v>
      </c>
      <c r="O1076">
        <v>10.029391</v>
      </c>
      <c r="P1076">
        <v>90433000</v>
      </c>
      <c r="R1076" s="273">
        <f>(O1076/O1075)*('16. câmbio USD-BRL'!O872/'16. câmbio USD-BRL'!O871)^-1-1</f>
        <v>5.6499202120714909E-2</v>
      </c>
    </row>
    <row r="1077" spans="10:18" x14ac:dyDescent="0.2">
      <c r="J1077" s="354">
        <v>44046</v>
      </c>
      <c r="K1077">
        <v>12.53</v>
      </c>
      <c r="L1077">
        <v>13.48</v>
      </c>
      <c r="M1077">
        <v>12.36</v>
      </c>
      <c r="N1077">
        <v>12.95</v>
      </c>
      <c r="O1077">
        <v>10.602499</v>
      </c>
      <c r="P1077">
        <v>75710000</v>
      </c>
      <c r="R1077" s="273">
        <f>(O1077/O1076)*('16. câmbio USD-BRL'!O873/'16. câmbio USD-BRL'!O872)^-1-1</f>
        <v>1.5521243815799446E-2</v>
      </c>
    </row>
    <row r="1078" spans="10:18" x14ac:dyDescent="0.2">
      <c r="J1078" s="354">
        <v>44053</v>
      </c>
      <c r="K1078">
        <v>13.13</v>
      </c>
      <c r="L1078">
        <v>14.15</v>
      </c>
      <c r="M1078">
        <v>13.06</v>
      </c>
      <c r="N1078">
        <v>13.68</v>
      </c>
      <c r="O1078">
        <v>11.200169000000001</v>
      </c>
      <c r="P1078">
        <v>66019200</v>
      </c>
      <c r="R1078" s="273">
        <f>(O1078/O1077)*('16. câmbio USD-BRL'!O874/'16. câmbio USD-BRL'!O873)^-1-1</f>
        <v>5.9290558411995598E-2</v>
      </c>
    </row>
    <row r="1079" spans="10:18" x14ac:dyDescent="0.2">
      <c r="J1079" s="354">
        <v>44060</v>
      </c>
      <c r="K1079">
        <v>13.63</v>
      </c>
      <c r="L1079">
        <v>15.27</v>
      </c>
      <c r="M1079">
        <v>13.62</v>
      </c>
      <c r="N1079">
        <v>14.48</v>
      </c>
      <c r="O1079">
        <v>11.855149000000001</v>
      </c>
      <c r="P1079">
        <v>74544100</v>
      </c>
      <c r="R1079" s="273">
        <f>(O1079/O1078)*('16. câmbio USD-BRL'!O875/'16. câmbio USD-BRL'!O874)^-1-1</f>
        <v>2.1210264892327357E-2</v>
      </c>
    </row>
    <row r="1080" spans="10:18" x14ac:dyDescent="0.2">
      <c r="J1080" s="354">
        <v>44067</v>
      </c>
      <c r="K1080">
        <v>14.56</v>
      </c>
      <c r="L1080">
        <v>15.36</v>
      </c>
      <c r="M1080">
        <v>14.21</v>
      </c>
      <c r="N1080">
        <v>15.25</v>
      </c>
      <c r="O1080">
        <v>12.485568000000001</v>
      </c>
      <c r="P1080">
        <v>56774500</v>
      </c>
      <c r="R1080" s="273">
        <f>(O1080/O1079)*('16. câmbio USD-BRL'!O876/'16. câmbio USD-BRL'!O875)^-1-1</f>
        <v>9.7810729175167976E-2</v>
      </c>
    </row>
    <row r="1081" spans="10:18" x14ac:dyDescent="0.2">
      <c r="J1081" s="354">
        <v>44074</v>
      </c>
      <c r="K1081">
        <v>14.99</v>
      </c>
      <c r="L1081">
        <v>15.83</v>
      </c>
      <c r="M1081">
        <v>14.57</v>
      </c>
      <c r="N1081">
        <v>14.97</v>
      </c>
      <c r="O1081">
        <v>12.256326</v>
      </c>
      <c r="P1081">
        <v>85783700</v>
      </c>
      <c r="R1081" s="273">
        <f>(O1081/O1080)*('16. câmbio USD-BRL'!O877/'16. câmbio USD-BRL'!O876)^-1-1</f>
        <v>-1.8020259256449345E-3</v>
      </c>
    </row>
    <row r="1082" spans="10:18" x14ac:dyDescent="0.2">
      <c r="J1082" s="354">
        <v>44081</v>
      </c>
      <c r="K1082">
        <v>14.97</v>
      </c>
      <c r="L1082">
        <v>16.32</v>
      </c>
      <c r="M1082">
        <v>14.44</v>
      </c>
      <c r="N1082">
        <v>16</v>
      </c>
      <c r="O1082">
        <v>13.099614000000001</v>
      </c>
      <c r="P1082">
        <v>56110000</v>
      </c>
      <c r="R1082" s="273">
        <f>(O1082/O1081)*('16. câmbio USD-BRL'!O878/'16. câmbio USD-BRL'!O877)^-1-1</f>
        <v>6.5547288314048435E-2</v>
      </c>
    </row>
    <row r="1083" spans="10:18" x14ac:dyDescent="0.2">
      <c r="J1083" s="354">
        <v>44088</v>
      </c>
      <c r="K1083">
        <v>16.100000000000001</v>
      </c>
      <c r="L1083">
        <v>16.879999000000002</v>
      </c>
      <c r="M1083">
        <v>15.95</v>
      </c>
      <c r="N1083">
        <v>16.399999999999999</v>
      </c>
      <c r="O1083">
        <v>13.427103000000001</v>
      </c>
      <c r="P1083">
        <v>50342600</v>
      </c>
      <c r="R1083" s="273">
        <f>(O1083/O1082)*('16. câmbio USD-BRL'!O879/'16. câmbio USD-BRL'!O878)^-1-1</f>
        <v>1.1059107162483928E-2</v>
      </c>
    </row>
    <row r="1084" spans="10:18" x14ac:dyDescent="0.2">
      <c r="J1084" s="354">
        <v>44095</v>
      </c>
      <c r="K1084">
        <v>16.200001</v>
      </c>
      <c r="L1084">
        <v>17.260000000000002</v>
      </c>
      <c r="M1084">
        <v>15.39</v>
      </c>
      <c r="N1084">
        <v>15.91</v>
      </c>
      <c r="O1084">
        <v>13.025928</v>
      </c>
      <c r="P1084">
        <v>76154900</v>
      </c>
      <c r="R1084" s="273">
        <f>(O1084/O1083)*('16. câmbio USD-BRL'!O880/'16. câmbio USD-BRL'!O879)^-1-1</f>
        <v>-5.9543206074270216E-2</v>
      </c>
    </row>
    <row r="1085" spans="10:18" x14ac:dyDescent="0.2">
      <c r="J1085" s="354">
        <v>44102</v>
      </c>
      <c r="K1085">
        <v>16.059999000000001</v>
      </c>
      <c r="L1085">
        <v>16.989999999999998</v>
      </c>
      <c r="M1085">
        <v>15.23</v>
      </c>
      <c r="N1085">
        <v>16.780000999999999</v>
      </c>
      <c r="O1085">
        <v>13.738219000000001</v>
      </c>
      <c r="P1085">
        <v>88810400</v>
      </c>
      <c r="R1085" s="273">
        <f>(O1085/O1084)*('16. câmbio USD-BRL'!O881/'16. câmbio USD-BRL'!O880)^-1-1</f>
        <v>3.2343642428621422E-2</v>
      </c>
    </row>
    <row r="1086" spans="10:18" x14ac:dyDescent="0.2">
      <c r="J1086" s="354">
        <v>44109</v>
      </c>
      <c r="K1086">
        <v>16.940000999999999</v>
      </c>
      <c r="L1086">
        <v>18.350000000000001</v>
      </c>
      <c r="M1086">
        <v>16.860001</v>
      </c>
      <c r="N1086">
        <v>17.760000000000002</v>
      </c>
      <c r="O1086">
        <v>14.540570000000001</v>
      </c>
      <c r="P1086">
        <v>69078300</v>
      </c>
      <c r="R1086" s="273">
        <f>(O1086/O1085)*('16. câmbio USD-BRL'!O882/'16. câmbio USD-BRL'!O881)^-1-1</f>
        <v>8.7565692334329093E-2</v>
      </c>
    </row>
    <row r="1087" spans="10:18" x14ac:dyDescent="0.2">
      <c r="J1087" s="354">
        <v>44116</v>
      </c>
      <c r="K1087">
        <v>17.760000000000002</v>
      </c>
      <c r="L1087">
        <v>20.219999000000001</v>
      </c>
      <c r="M1087">
        <v>17.469999000000001</v>
      </c>
      <c r="N1087">
        <v>19.530000999999999</v>
      </c>
      <c r="O1087">
        <v>15.989716</v>
      </c>
      <c r="P1087">
        <v>78237400</v>
      </c>
      <c r="R1087" s="273">
        <f>(O1087/O1086)*('16. câmbio USD-BRL'!O883/'16. câmbio USD-BRL'!O882)^-1-1</f>
        <v>7.7039629683214761E-2</v>
      </c>
    </row>
    <row r="1088" spans="10:18" x14ac:dyDescent="0.2">
      <c r="J1088" s="354">
        <v>44123</v>
      </c>
      <c r="K1088">
        <v>19.57</v>
      </c>
      <c r="L1088">
        <v>21.549999</v>
      </c>
      <c r="M1088">
        <v>19.530000999999999</v>
      </c>
      <c r="N1088">
        <v>21.469999000000001</v>
      </c>
      <c r="O1088">
        <v>17.578043000000001</v>
      </c>
      <c r="P1088">
        <v>81209900</v>
      </c>
      <c r="R1088" s="273">
        <f>(O1088/O1087)*('16. câmbio USD-BRL'!O884/'16. câmbio USD-BRL'!O883)^-1-1</f>
        <v>0.10467808041106585</v>
      </c>
    </row>
    <row r="1089" spans="10:18" x14ac:dyDescent="0.2">
      <c r="J1089" s="354">
        <v>44130</v>
      </c>
      <c r="K1089">
        <v>21.41</v>
      </c>
      <c r="L1089">
        <v>21.940000999999999</v>
      </c>
      <c r="M1089">
        <v>20.309999000000001</v>
      </c>
      <c r="N1089">
        <v>20.540001</v>
      </c>
      <c r="O1089">
        <v>16.816628000000001</v>
      </c>
      <c r="P1089">
        <v>58376600</v>
      </c>
      <c r="R1089" s="273">
        <f>(O1089/O1088)*('16. câmbio USD-BRL'!O885/'16. câmbio USD-BRL'!O884)^-1-1</f>
        <v>-7.0073860910905728E-2</v>
      </c>
    </row>
    <row r="1090" spans="10:18" x14ac:dyDescent="0.2">
      <c r="J1090" s="354">
        <v>44137</v>
      </c>
      <c r="K1090">
        <v>20.540001</v>
      </c>
      <c r="L1090">
        <v>22.639999</v>
      </c>
      <c r="M1090">
        <v>20.309999000000001</v>
      </c>
      <c r="N1090">
        <v>20.77</v>
      </c>
      <c r="O1090">
        <v>17.004936000000001</v>
      </c>
      <c r="P1090">
        <v>71731000</v>
      </c>
      <c r="R1090" s="273">
        <f>(O1090/O1089)*('16. câmbio USD-BRL'!O886/'16. câmbio USD-BRL'!O885)^-1-1</f>
        <v>8.9469525393815585E-2</v>
      </c>
    </row>
    <row r="1091" spans="10:18" x14ac:dyDescent="0.2">
      <c r="J1091" s="354">
        <v>44144</v>
      </c>
      <c r="K1091">
        <v>21.4</v>
      </c>
      <c r="L1091">
        <v>21.4</v>
      </c>
      <c r="M1091">
        <v>19.290001</v>
      </c>
      <c r="N1091">
        <v>19.290001</v>
      </c>
      <c r="O1091">
        <v>15.793221000000001</v>
      </c>
      <c r="P1091">
        <v>65586800</v>
      </c>
      <c r="R1091" s="273">
        <f>(O1091/O1090)*('16. câmbio USD-BRL'!O887/'16. câmbio USD-BRL'!O886)^-1-1</f>
        <v>-8.7305865603336863E-2</v>
      </c>
    </row>
    <row r="1092" spans="10:18" x14ac:dyDescent="0.2">
      <c r="J1092" s="354">
        <v>44151</v>
      </c>
      <c r="K1092">
        <v>19.5</v>
      </c>
      <c r="L1092">
        <v>20.940000999999999</v>
      </c>
      <c r="M1092">
        <v>19.219999000000001</v>
      </c>
      <c r="N1092">
        <v>19.989999999999998</v>
      </c>
      <c r="O1092">
        <v>16.366329</v>
      </c>
      <c r="P1092">
        <v>53460300</v>
      </c>
      <c r="R1092" s="273">
        <f>(O1092/O1091)*('16. câmbio USD-BRL'!O888/'16. câmbio USD-BRL'!O887)^-1-1</f>
        <v>5.1491206678994317E-2</v>
      </c>
    </row>
    <row r="1093" spans="10:18" x14ac:dyDescent="0.2">
      <c r="J1093" s="354">
        <v>44158</v>
      </c>
      <c r="K1093">
        <v>20.100000000000001</v>
      </c>
      <c r="L1093">
        <v>24.77</v>
      </c>
      <c r="M1093">
        <v>20.09</v>
      </c>
      <c r="N1093">
        <v>24.01</v>
      </c>
      <c r="O1093">
        <v>19.657608</v>
      </c>
      <c r="P1093">
        <v>60696700</v>
      </c>
      <c r="R1093" s="273">
        <f>(O1093/O1092)*('16. câmbio USD-BRL'!O889/'16. câmbio USD-BRL'!O888)^-1-1</f>
        <v>0.20910421606315577</v>
      </c>
    </row>
    <row r="1094" spans="10:18" x14ac:dyDescent="0.2">
      <c r="J1094" s="354">
        <v>44165</v>
      </c>
      <c r="K1094">
        <v>23.870000999999998</v>
      </c>
      <c r="L1094">
        <v>26.110001</v>
      </c>
      <c r="M1094">
        <v>23.059999000000001</v>
      </c>
      <c r="N1094">
        <v>26.110001</v>
      </c>
      <c r="O1094">
        <v>21.376930000000002</v>
      </c>
      <c r="P1094">
        <v>68095400</v>
      </c>
      <c r="R1094" s="273">
        <f>(O1094/O1093)*('16. câmbio USD-BRL'!O890/'16. câmbio USD-BRL'!O889)^-1-1</f>
        <v>0.12714834381273388</v>
      </c>
    </row>
    <row r="1095" spans="10:18" x14ac:dyDescent="0.2">
      <c r="J1095" s="354">
        <v>44172</v>
      </c>
      <c r="K1095">
        <v>26.059999000000001</v>
      </c>
      <c r="L1095">
        <v>28.610001</v>
      </c>
      <c r="M1095">
        <v>25.4</v>
      </c>
      <c r="N1095">
        <v>28.25</v>
      </c>
      <c r="O1095">
        <v>23.129003999999998</v>
      </c>
      <c r="P1095">
        <v>74525300</v>
      </c>
      <c r="R1095" s="273">
        <f>(O1095/O1094)*('16. câmbio USD-BRL'!O891/'16. câmbio USD-BRL'!O890)^-1-1</f>
        <v>0.10123210841555275</v>
      </c>
    </row>
    <row r="1096" spans="10:18" x14ac:dyDescent="0.2">
      <c r="J1096" s="354">
        <v>44179</v>
      </c>
      <c r="K1096">
        <v>28.15</v>
      </c>
      <c r="L1096">
        <v>30.690000999999999</v>
      </c>
      <c r="M1096">
        <v>26.85</v>
      </c>
      <c r="N1096">
        <v>30.4</v>
      </c>
      <c r="O1096">
        <v>24.889263</v>
      </c>
      <c r="P1096">
        <v>74914200</v>
      </c>
      <c r="R1096" s="273">
        <f>(O1096/O1095)*('16. câmbio USD-BRL'!O892/'16. câmbio USD-BRL'!O891)^-1-1</f>
        <v>6.8426590359511819E-2</v>
      </c>
    </row>
    <row r="1097" spans="10:18" x14ac:dyDescent="0.2">
      <c r="J1097" s="354">
        <v>44186</v>
      </c>
      <c r="K1097">
        <v>30.030000999999999</v>
      </c>
      <c r="L1097">
        <v>31.6</v>
      </c>
      <c r="M1097">
        <v>29.75</v>
      </c>
      <c r="N1097">
        <v>30.860001</v>
      </c>
      <c r="O1097">
        <v>25.265881</v>
      </c>
      <c r="P1097">
        <v>37667700</v>
      </c>
      <c r="R1097" s="273">
        <f>(O1097/O1096)*('16. câmbio USD-BRL'!O893/'16. câmbio USD-BRL'!O892)^-1-1</f>
        <v>-7.1940286368676887E-3</v>
      </c>
    </row>
    <row r="1098" spans="10:18" x14ac:dyDescent="0.2">
      <c r="J1098" s="354">
        <v>44193</v>
      </c>
      <c r="K1098">
        <v>31.190000999999999</v>
      </c>
      <c r="L1098">
        <v>32.779998999999997</v>
      </c>
      <c r="M1098">
        <v>30.75</v>
      </c>
      <c r="N1098">
        <v>31.85</v>
      </c>
      <c r="O1098">
        <v>26.076418</v>
      </c>
      <c r="P1098">
        <v>28878600</v>
      </c>
      <c r="R1098" s="273">
        <f>(O1098/O1097)*('16. câmbio USD-BRL'!O894/'16. câmbio USD-BRL'!O893)^-1-1</f>
        <v>3.6731905443107449E-2</v>
      </c>
    </row>
    <row r="1099" spans="10:18" x14ac:dyDescent="0.2">
      <c r="J1099" s="354">
        <v>44200</v>
      </c>
      <c r="K1099">
        <v>32.799999</v>
      </c>
      <c r="L1099">
        <v>39.369999</v>
      </c>
      <c r="M1099">
        <v>32.799999</v>
      </c>
      <c r="N1099">
        <v>38.759998000000003</v>
      </c>
      <c r="O1099">
        <v>31.733813999999999</v>
      </c>
      <c r="P1099">
        <v>80470000</v>
      </c>
      <c r="R1099" s="273">
        <f>(O1099/O1098)*('16. câmbio USD-BRL'!O895/'16. câmbio USD-BRL'!O894)^-1-1</f>
        <v>0.167421756775473</v>
      </c>
    </row>
    <row r="1100" spans="10:18" x14ac:dyDescent="0.2">
      <c r="J1100" s="354">
        <v>44207</v>
      </c>
      <c r="K1100">
        <v>37.75</v>
      </c>
      <c r="L1100">
        <v>39.630001</v>
      </c>
      <c r="M1100">
        <v>34.209999000000003</v>
      </c>
      <c r="N1100">
        <v>34.360000999999997</v>
      </c>
      <c r="O1100">
        <v>28.131422000000001</v>
      </c>
      <c r="P1100">
        <v>73185100</v>
      </c>
      <c r="R1100" s="273">
        <f>(O1100/O1099)*('16. câmbio USD-BRL'!O896/'16. câmbio USD-BRL'!O895)^-1-1</f>
        <v>-9.3265996799455353E-2</v>
      </c>
    </row>
    <row r="1101" spans="10:18" x14ac:dyDescent="0.2">
      <c r="J1101" s="354">
        <v>44214</v>
      </c>
      <c r="K1101">
        <v>34.740001999999997</v>
      </c>
      <c r="L1101">
        <v>35.619999</v>
      </c>
      <c r="M1101">
        <v>32.349997999999999</v>
      </c>
      <c r="N1101">
        <v>33.979999999999997</v>
      </c>
      <c r="O1101">
        <v>27.820302999999999</v>
      </c>
      <c r="P1101">
        <v>75563400</v>
      </c>
      <c r="R1101" s="273">
        <f>(O1101/O1100)*('16. câmbio USD-BRL'!O897/'16. câmbio USD-BRL'!O896)^-1-1</f>
        <v>-2.1818683152624474E-2</v>
      </c>
    </row>
    <row r="1102" spans="10:18" x14ac:dyDescent="0.2">
      <c r="J1102" s="354">
        <v>44221</v>
      </c>
      <c r="K1102">
        <v>33.979999999999997</v>
      </c>
      <c r="L1102">
        <v>34.860000999999997</v>
      </c>
      <c r="M1102">
        <v>30.360001</v>
      </c>
      <c r="N1102">
        <v>30.4</v>
      </c>
      <c r="O1102">
        <v>24.889263</v>
      </c>
      <c r="P1102">
        <v>58876100</v>
      </c>
      <c r="R1102" s="273">
        <f>(O1102/O1101)*('16. câmbio USD-BRL'!O898/'16. câmbio USD-BRL'!O897)^-1-1</f>
        <v>-0.12359044853593615</v>
      </c>
    </row>
    <row r="1103" spans="10:18" x14ac:dyDescent="0.2">
      <c r="J1103" s="354">
        <v>44228</v>
      </c>
      <c r="K1103">
        <v>31</v>
      </c>
      <c r="L1103">
        <v>33.720001000000003</v>
      </c>
      <c r="M1103">
        <v>30.370000999999998</v>
      </c>
      <c r="N1103">
        <v>33.389999000000003</v>
      </c>
      <c r="O1103">
        <v>27.337251999999999</v>
      </c>
      <c r="P1103">
        <v>73079000</v>
      </c>
      <c r="R1103" s="273">
        <f>(O1103/O1102)*('16. câmbio USD-BRL'!O899/'16. câmbio USD-BRL'!O898)^-1-1</f>
        <v>0.11709345879803501</v>
      </c>
    </row>
    <row r="1104" spans="10:18" x14ac:dyDescent="0.2">
      <c r="J1104" s="354">
        <v>44235</v>
      </c>
      <c r="K1104">
        <v>34.779998999999997</v>
      </c>
      <c r="L1104">
        <v>36.150002000000001</v>
      </c>
      <c r="M1104">
        <v>32.610000999999997</v>
      </c>
      <c r="N1104">
        <v>32.830002</v>
      </c>
      <c r="O1104">
        <v>26.878771</v>
      </c>
      <c r="P1104">
        <v>107254400</v>
      </c>
      <c r="R1104" s="273">
        <f>(O1104/O1103)*('16. câmbio USD-BRL'!O900/'16. câmbio USD-BRL'!O899)^-1-1</f>
        <v>-1.6643087264792689E-2</v>
      </c>
    </row>
    <row r="1105" spans="10:18" x14ac:dyDescent="0.2">
      <c r="J1105" s="354">
        <v>44242</v>
      </c>
      <c r="K1105">
        <v>32.830002</v>
      </c>
      <c r="L1105">
        <v>36.659999999999997</v>
      </c>
      <c r="M1105">
        <v>32.830002</v>
      </c>
      <c r="N1105">
        <v>35.259998000000003</v>
      </c>
      <c r="O1105">
        <v>28.868271</v>
      </c>
      <c r="P1105">
        <v>58469800</v>
      </c>
      <c r="R1105" s="273">
        <f>(O1105/O1104)*('16. câmbio USD-BRL'!O901/'16. câmbio USD-BRL'!O900)^-1-1</f>
        <v>7.1807025186825024E-2</v>
      </c>
    </row>
    <row r="1106" spans="10:18" x14ac:dyDescent="0.2">
      <c r="J1106" s="354">
        <v>44249</v>
      </c>
      <c r="K1106">
        <v>34.700001</v>
      </c>
      <c r="L1106">
        <v>38.049999</v>
      </c>
      <c r="M1106">
        <v>32.470001000000003</v>
      </c>
      <c r="N1106">
        <v>32.869999</v>
      </c>
      <c r="O1106">
        <v>26.911518000000001</v>
      </c>
      <c r="P1106">
        <v>112081100</v>
      </c>
      <c r="R1106" s="273">
        <f>(O1106/O1105)*('16. câmbio USD-BRL'!O902/'16. câmbio USD-BRL'!O901)^-1-1</f>
        <v>-0.10409226591641763</v>
      </c>
    </row>
    <row r="1107" spans="10:18" x14ac:dyDescent="0.2">
      <c r="J1107" s="354">
        <v>44256</v>
      </c>
      <c r="K1107">
        <v>33.490001999999997</v>
      </c>
      <c r="L1107">
        <v>37.150002000000001</v>
      </c>
      <c r="M1107">
        <v>32.970001000000003</v>
      </c>
      <c r="N1107">
        <v>37</v>
      </c>
      <c r="O1107">
        <v>30.292852</v>
      </c>
      <c r="P1107">
        <v>96910400</v>
      </c>
      <c r="R1107" s="273">
        <f>(O1107/O1106)*('16. câmbio USD-BRL'!O903/'16. câmbio USD-BRL'!O902)^-1-1</f>
        <v>0.10746427748499232</v>
      </c>
    </row>
    <row r="1108" spans="10:18" x14ac:dyDescent="0.2">
      <c r="J1108" s="354">
        <v>44263</v>
      </c>
      <c r="K1108">
        <v>36.619999</v>
      </c>
      <c r="L1108">
        <v>37.860000999999997</v>
      </c>
      <c r="M1108">
        <v>33.479999999999997</v>
      </c>
      <c r="N1108">
        <v>37.619999</v>
      </c>
      <c r="O1108">
        <v>30.800464999999999</v>
      </c>
      <c r="P1108">
        <v>98780400</v>
      </c>
      <c r="R1108" s="273">
        <f>(O1108/O1107)*('16. câmbio USD-BRL'!O904/'16. câmbio USD-BRL'!O903)^-1-1</f>
        <v>4.2087862075101068E-2</v>
      </c>
    </row>
    <row r="1109" spans="10:18" x14ac:dyDescent="0.2">
      <c r="J1109" s="354">
        <v>44270</v>
      </c>
      <c r="K1109">
        <v>37.369999</v>
      </c>
      <c r="L1109">
        <v>38.700001</v>
      </c>
      <c r="M1109">
        <v>35.419998</v>
      </c>
      <c r="N1109">
        <v>35.610000999999997</v>
      </c>
      <c r="O1109">
        <v>29.154831000000001</v>
      </c>
      <c r="P1109">
        <v>76522400</v>
      </c>
      <c r="R1109" s="273">
        <f>(O1109/O1108)*('16. câmbio USD-BRL'!O905/'16. câmbio USD-BRL'!O904)^-1-1</f>
        <v>-4.2789750588986375E-2</v>
      </c>
    </row>
    <row r="1110" spans="10:18" x14ac:dyDescent="0.2">
      <c r="J1110" s="354">
        <v>44277</v>
      </c>
      <c r="K1110">
        <v>34.950001</v>
      </c>
      <c r="L1110">
        <v>35.419998</v>
      </c>
      <c r="M1110">
        <v>32.849997999999999</v>
      </c>
      <c r="N1110">
        <v>35.139999000000003</v>
      </c>
      <c r="O1110">
        <v>28.770021</v>
      </c>
      <c r="P1110">
        <v>79490000</v>
      </c>
      <c r="R1110" s="273">
        <f>(O1110/O1109)*('16. câmbio USD-BRL'!O906/'16. câmbio USD-BRL'!O905)^-1-1</f>
        <v>-5.8674655789259789E-2</v>
      </c>
    </row>
    <row r="1111" spans="10:18" x14ac:dyDescent="0.2">
      <c r="J1111" s="354">
        <v>44284</v>
      </c>
      <c r="K1111">
        <v>35.299999</v>
      </c>
      <c r="L1111">
        <v>38.369999</v>
      </c>
      <c r="M1111">
        <v>35.299999</v>
      </c>
      <c r="N1111">
        <v>36.799999</v>
      </c>
      <c r="O1111">
        <v>30.129107999999999</v>
      </c>
      <c r="P1111">
        <v>50000100</v>
      </c>
      <c r="R1111" s="273">
        <f>(O1111/O1110)*('16. câmbio USD-BRL'!O907/'16. câmbio USD-BRL'!O906)^-1-1</f>
        <v>5.6085213244434273E-2</v>
      </c>
    </row>
    <row r="1112" spans="10:18" x14ac:dyDescent="0.2">
      <c r="J1112" s="354">
        <v>44291</v>
      </c>
      <c r="K1112">
        <v>37.330002</v>
      </c>
      <c r="L1112">
        <v>43.439999</v>
      </c>
      <c r="M1112">
        <v>37.25</v>
      </c>
      <c r="N1112">
        <v>43.09</v>
      </c>
      <c r="O1112">
        <v>35.278892999999997</v>
      </c>
      <c r="P1112">
        <v>67842500</v>
      </c>
      <c r="R1112" s="273">
        <f>(O1112/O1111)*('16. câmbio USD-BRL'!O908/'16. câmbio USD-BRL'!O907)^-1-1</f>
        <v>0.17442258598978055</v>
      </c>
    </row>
    <row r="1113" spans="10:18" x14ac:dyDescent="0.2">
      <c r="J1113" s="354">
        <v>44298</v>
      </c>
      <c r="K1113">
        <v>43.549999</v>
      </c>
      <c r="L1113">
        <v>48.16</v>
      </c>
      <c r="M1113">
        <v>42.91</v>
      </c>
      <c r="N1113">
        <v>48</v>
      </c>
      <c r="O1113">
        <v>39.298836000000001</v>
      </c>
      <c r="P1113">
        <v>70875000</v>
      </c>
      <c r="R1113" s="273">
        <f>(O1113/O1112)*('16. câmbio USD-BRL'!O909/'16. câmbio USD-BRL'!O908)^-1-1</f>
        <v>0.13200247507448015</v>
      </c>
    </row>
    <row r="1114" spans="10:18" x14ac:dyDescent="0.2">
      <c r="J1114" s="354">
        <v>44305</v>
      </c>
      <c r="K1114">
        <v>48.080002</v>
      </c>
      <c r="L1114">
        <v>50.09</v>
      </c>
      <c r="M1114">
        <v>46.060001</v>
      </c>
      <c r="N1114">
        <v>49.029998999999997</v>
      </c>
      <c r="O1114">
        <v>40.142124000000003</v>
      </c>
      <c r="P1114">
        <v>51930600</v>
      </c>
      <c r="R1114" s="273">
        <f>(O1114/O1113)*('16. câmbio USD-BRL'!O910/'16. câmbio USD-BRL'!O909)^-1-1</f>
        <v>4.4908316075177535E-2</v>
      </c>
    </row>
    <row r="1115" spans="10:18" x14ac:dyDescent="0.2">
      <c r="J1115" s="354">
        <v>44312</v>
      </c>
      <c r="K1115">
        <v>49.849997999999999</v>
      </c>
      <c r="L1115">
        <v>52.549999</v>
      </c>
      <c r="M1115">
        <v>48.779998999999997</v>
      </c>
      <c r="N1115">
        <v>49.189999</v>
      </c>
      <c r="O1115">
        <v>40.273121000000003</v>
      </c>
      <c r="P1115">
        <v>54856900</v>
      </c>
      <c r="R1115" s="273">
        <f>(O1115/O1114)*('16. câmbio USD-BRL'!O911/'16. câmbio USD-BRL'!O910)^-1-1</f>
        <v>1.0074602591038984E-2</v>
      </c>
    </row>
    <row r="1116" spans="10:18" x14ac:dyDescent="0.2">
      <c r="J1116" s="354">
        <v>44319</v>
      </c>
      <c r="K1116">
        <v>49</v>
      </c>
      <c r="L1116">
        <v>51.419998</v>
      </c>
      <c r="M1116">
        <v>46.810001</v>
      </c>
      <c r="N1116">
        <v>50.630001</v>
      </c>
      <c r="O1116">
        <v>41.452086999999999</v>
      </c>
      <c r="P1116">
        <v>55912600</v>
      </c>
      <c r="R1116" s="273">
        <f>(O1116/O1115)*('16. câmbio USD-BRL'!O912/'16. câmbio USD-BRL'!O911)^-1-1</f>
        <v>6.9195934734977538E-2</v>
      </c>
    </row>
    <row r="1117" spans="10:18" x14ac:dyDescent="0.2">
      <c r="J1117" s="354">
        <v>44326</v>
      </c>
      <c r="K1117">
        <v>52.209999000000003</v>
      </c>
      <c r="L1117">
        <v>53.900002000000001</v>
      </c>
      <c r="M1117">
        <v>45.849997999999999</v>
      </c>
      <c r="N1117">
        <v>47</v>
      </c>
      <c r="O1117">
        <v>38.997771999999998</v>
      </c>
      <c r="P1117">
        <v>67050000</v>
      </c>
      <c r="R1117" s="273">
        <f>(O1117/O1116)*('16. câmbio USD-BRL'!O913/'16. câmbio USD-BRL'!O912)^-1-1</f>
        <v>-6.5685201867133114E-2</v>
      </c>
    </row>
    <row r="1118" spans="10:18" x14ac:dyDescent="0.2">
      <c r="J1118" s="354">
        <v>44333</v>
      </c>
      <c r="K1118">
        <v>47.560001</v>
      </c>
      <c r="L1118">
        <v>49.77</v>
      </c>
      <c r="M1118">
        <v>45.41</v>
      </c>
      <c r="N1118">
        <v>45.700001</v>
      </c>
      <c r="O1118">
        <v>37.919105999999999</v>
      </c>
      <c r="P1118">
        <v>55151100</v>
      </c>
      <c r="R1118" s="273">
        <f>(O1118/O1117)*('16. câmbio USD-BRL'!O914/'16. câmbio USD-BRL'!O913)^-1-1</f>
        <v>-4.4825453572120977E-2</v>
      </c>
    </row>
    <row r="1119" spans="10:18" x14ac:dyDescent="0.2">
      <c r="J1119" s="354">
        <v>44340</v>
      </c>
      <c r="K1119">
        <v>45.189999</v>
      </c>
      <c r="L1119">
        <v>45.900002000000001</v>
      </c>
      <c r="M1119">
        <v>43.389999000000003</v>
      </c>
      <c r="N1119">
        <v>44.639999000000003</v>
      </c>
      <c r="O1119">
        <v>37.039580999999998</v>
      </c>
      <c r="P1119">
        <v>55852000</v>
      </c>
      <c r="R1119" s="273">
        <f>(O1119/O1118)*('16. câmbio USD-BRL'!O915/'16. câmbio USD-BRL'!O914)^-1-1</f>
        <v>3.0204070827068996E-3</v>
      </c>
    </row>
    <row r="1120" spans="10:18" x14ac:dyDescent="0.2">
      <c r="J1120" s="354">
        <v>44347</v>
      </c>
      <c r="K1120">
        <v>45.200001</v>
      </c>
      <c r="L1120">
        <v>47.98</v>
      </c>
      <c r="M1120">
        <v>44.400002000000001</v>
      </c>
      <c r="N1120">
        <v>45.619999</v>
      </c>
      <c r="O1120">
        <v>37.852725999999997</v>
      </c>
      <c r="P1120">
        <v>41144500</v>
      </c>
      <c r="R1120" s="273">
        <f>(O1120/O1119)*('16. câmbio USD-BRL'!O916/'16. câmbio USD-BRL'!O915)^-1-1</f>
        <v>5.7877501410647847E-2</v>
      </c>
    </row>
    <row r="1121" spans="10:18" x14ac:dyDescent="0.2">
      <c r="J1121" s="354">
        <v>44354</v>
      </c>
      <c r="K1121">
        <v>45.41</v>
      </c>
      <c r="L1121">
        <v>46</v>
      </c>
      <c r="M1121">
        <v>43.150002000000001</v>
      </c>
      <c r="N1121">
        <v>45.5</v>
      </c>
      <c r="O1121">
        <v>37.753158999999997</v>
      </c>
      <c r="P1121">
        <v>42840100</v>
      </c>
      <c r="R1121" s="273">
        <f>(O1121/O1120)*('16. câmbio USD-BRL'!O917/'16. câmbio USD-BRL'!O916)^-1-1</f>
        <v>-1.5604287288541685E-2</v>
      </c>
    </row>
    <row r="1122" spans="10:18" x14ac:dyDescent="0.2">
      <c r="J1122" s="354">
        <v>44361</v>
      </c>
      <c r="K1122">
        <v>45.900002000000001</v>
      </c>
      <c r="L1122">
        <v>46.18</v>
      </c>
      <c r="M1122">
        <v>40</v>
      </c>
      <c r="N1122">
        <v>41.400002000000001</v>
      </c>
      <c r="O1122">
        <v>34.351230999999999</v>
      </c>
      <c r="P1122">
        <v>62773500</v>
      </c>
      <c r="R1122" s="273">
        <f>(O1122/O1121)*('16. câmbio USD-BRL'!O918/'16. câmbio USD-BRL'!O917)^-1-1</f>
        <v>-8.5744744644449367E-2</v>
      </c>
    </row>
    <row r="1123" spans="10:18" x14ac:dyDescent="0.2">
      <c r="J1123" s="354">
        <v>44368</v>
      </c>
      <c r="K1123">
        <v>40.5</v>
      </c>
      <c r="L1123">
        <v>45.540000999999997</v>
      </c>
      <c r="M1123">
        <v>40.169998</v>
      </c>
      <c r="N1123">
        <v>43.549999</v>
      </c>
      <c r="O1123">
        <v>36.135165999999998</v>
      </c>
      <c r="P1123">
        <v>44399800</v>
      </c>
      <c r="R1123" s="273">
        <f>(O1123/O1122)*('16. câmbio USD-BRL'!O919/'16. câmbio USD-BRL'!O918)^-1-1</f>
        <v>8.5332289766336444E-2</v>
      </c>
    </row>
    <row r="1124" spans="10:18" x14ac:dyDescent="0.2">
      <c r="J1124" s="354">
        <v>44375</v>
      </c>
      <c r="K1124">
        <v>43.75</v>
      </c>
      <c r="L1124">
        <v>45.23</v>
      </c>
      <c r="M1124">
        <v>42.310001</v>
      </c>
      <c r="N1124">
        <v>45.07</v>
      </c>
      <c r="O1124">
        <v>37.396377999999999</v>
      </c>
      <c r="P1124">
        <v>41554100</v>
      </c>
      <c r="R1124" s="273">
        <f>(O1124/O1123)*('16. câmbio USD-BRL'!O920/'16. câmbio USD-BRL'!O919)^-1-1</f>
        <v>9.7297017766100335E-3</v>
      </c>
    </row>
    <row r="1125" spans="10:18" x14ac:dyDescent="0.2">
      <c r="J1125" s="354">
        <v>44382</v>
      </c>
      <c r="K1125">
        <v>45.549999</v>
      </c>
      <c r="L1125">
        <v>46.279998999999997</v>
      </c>
      <c r="M1125">
        <v>43.709999000000003</v>
      </c>
      <c r="N1125">
        <v>44.09</v>
      </c>
      <c r="O1125">
        <v>36.583224999999999</v>
      </c>
      <c r="P1125">
        <v>43657500</v>
      </c>
      <c r="R1125" s="273">
        <f>(O1125/O1124)*('16. câmbio USD-BRL'!O921/'16. câmbio USD-BRL'!O920)^-1-1</f>
        <v>-5.9030506548296335E-2</v>
      </c>
    </row>
    <row r="1126" spans="10:18" x14ac:dyDescent="0.2">
      <c r="J1126" s="354">
        <v>44389</v>
      </c>
      <c r="K1126">
        <v>44.790000999999997</v>
      </c>
      <c r="L1126">
        <v>47.689999</v>
      </c>
      <c r="M1126">
        <v>44.529998999999997</v>
      </c>
      <c r="N1126">
        <v>44.700001</v>
      </c>
      <c r="O1126">
        <v>37.089367000000003</v>
      </c>
      <c r="P1126">
        <v>66692000</v>
      </c>
      <c r="R1126" s="273">
        <f>(O1126/O1125)*('16. câmbio USD-BRL'!O922/'16. câmbio USD-BRL'!O921)^-1-1</f>
        <v>4.2223701908502775E-2</v>
      </c>
    </row>
    <row r="1127" spans="10:18" x14ac:dyDescent="0.2">
      <c r="J1127" s="354">
        <v>44396</v>
      </c>
      <c r="K1127">
        <v>43.860000999999997</v>
      </c>
      <c r="L1127">
        <v>46.459999000000003</v>
      </c>
      <c r="M1127">
        <v>42.41</v>
      </c>
      <c r="N1127">
        <v>45.740001999999997</v>
      </c>
      <c r="O1127">
        <v>37.952300999999999</v>
      </c>
      <c r="P1127">
        <v>49726000</v>
      </c>
      <c r="R1127" s="273">
        <f>(O1127/O1126)*('16. câmbio USD-BRL'!O923/'16. câmbio USD-BRL'!O922)^-1-1</f>
        <v>5.6031539189878021E-3</v>
      </c>
    </row>
    <row r="1128" spans="10:18" x14ac:dyDescent="0.2">
      <c r="J1128" s="354">
        <v>44403</v>
      </c>
      <c r="K1128">
        <v>46.02</v>
      </c>
      <c r="L1128">
        <v>48.540000999999997</v>
      </c>
      <c r="M1128">
        <v>45.380001</v>
      </c>
      <c r="N1128">
        <v>46.75</v>
      </c>
      <c r="O1128">
        <v>38.790337000000001</v>
      </c>
      <c r="P1128">
        <v>80534800</v>
      </c>
      <c r="R1128" s="273">
        <f>(O1128/O1127)*('16. câmbio USD-BRL'!O924/'16. câmbio USD-BRL'!O923)^-1-1</f>
        <v>2.196656597727098E-2</v>
      </c>
    </row>
    <row r="1129" spans="10:18" x14ac:dyDescent="0.2">
      <c r="J1129" s="354">
        <v>44410</v>
      </c>
      <c r="K1129">
        <v>46.689999</v>
      </c>
      <c r="L1129">
        <v>46.689999</v>
      </c>
      <c r="M1129">
        <v>43.189999</v>
      </c>
      <c r="N1129">
        <v>43.419998</v>
      </c>
      <c r="O1129">
        <v>36.027301999999999</v>
      </c>
      <c r="P1129">
        <v>62684600</v>
      </c>
      <c r="R1129" s="273">
        <f>(O1129/O1128)*('16. câmbio USD-BRL'!O925/'16. câmbio USD-BRL'!O924)^-1-1</f>
        <v>-7.7229074792161234E-2</v>
      </c>
    </row>
    <row r="1130" spans="10:18" x14ac:dyDescent="0.2">
      <c r="J1130" s="354">
        <v>44417</v>
      </c>
      <c r="K1130">
        <v>42.799999</v>
      </c>
      <c r="L1130">
        <v>44.93</v>
      </c>
      <c r="M1130">
        <v>42.150002000000001</v>
      </c>
      <c r="N1130">
        <v>42.610000999999997</v>
      </c>
      <c r="O1130">
        <v>36.340896999999998</v>
      </c>
      <c r="P1130">
        <v>55232200</v>
      </c>
      <c r="R1130" s="273">
        <f>(O1130/O1129)*('16. câmbio USD-BRL'!O926/'16. câmbio USD-BRL'!O925)^-1-1</f>
        <v>6.6710059285526313E-3</v>
      </c>
    </row>
    <row r="1131" spans="10:18" x14ac:dyDescent="0.2">
      <c r="J1131" s="354">
        <v>44424</v>
      </c>
      <c r="K1131">
        <v>42.18</v>
      </c>
      <c r="L1131">
        <v>42.18</v>
      </c>
      <c r="M1131">
        <v>36.599997999999999</v>
      </c>
      <c r="N1131">
        <v>36.939999</v>
      </c>
      <c r="O1131">
        <v>31.505108</v>
      </c>
      <c r="P1131">
        <v>67409500</v>
      </c>
      <c r="R1131" s="273">
        <f>(O1131/O1130)*('16. câmbio USD-BRL'!O927/'16. câmbio USD-BRL'!O926)^-1-1</f>
        <v>-0.15391367305960391</v>
      </c>
    </row>
    <row r="1132" spans="10:18" x14ac:dyDescent="0.2">
      <c r="J1132" s="354">
        <v>44431</v>
      </c>
      <c r="K1132">
        <v>37.200001</v>
      </c>
      <c r="L1132">
        <v>38.959999000000003</v>
      </c>
      <c r="M1132">
        <v>36.5</v>
      </c>
      <c r="N1132">
        <v>37.450001</v>
      </c>
      <c r="O1132">
        <v>31.940071</v>
      </c>
      <c r="P1132">
        <v>47462000</v>
      </c>
      <c r="R1132" s="273">
        <f>(O1132/O1131)*('16. câmbio USD-BRL'!O928/'16. câmbio USD-BRL'!O927)^-1-1</f>
        <v>4.7589515028844565E-2</v>
      </c>
    </row>
    <row r="1133" spans="10:18" x14ac:dyDescent="0.2">
      <c r="J1133" s="354">
        <v>44438</v>
      </c>
      <c r="K1133">
        <v>37.479999999999997</v>
      </c>
      <c r="L1133">
        <v>37.669998</v>
      </c>
      <c r="M1133">
        <v>33.470001000000003</v>
      </c>
      <c r="N1133">
        <v>34.810001</v>
      </c>
      <c r="O1133">
        <v>29.688492</v>
      </c>
      <c r="P1133">
        <v>63584200</v>
      </c>
      <c r="R1133" s="273">
        <f>(O1133/O1132)*('16. câmbio USD-BRL'!O929/'16. câmbio USD-BRL'!O928)^-1-1</f>
        <v>-6.7985993476121553E-2</v>
      </c>
    </row>
    <row r="1134" spans="10:18" x14ac:dyDescent="0.2">
      <c r="J1134" s="354">
        <v>44445</v>
      </c>
      <c r="K1134">
        <v>34.099997999999999</v>
      </c>
      <c r="L1134">
        <v>35.400002000000001</v>
      </c>
      <c r="M1134">
        <v>32.939999</v>
      </c>
      <c r="N1134">
        <v>33.75</v>
      </c>
      <c r="O1134">
        <v>28.784445000000002</v>
      </c>
      <c r="P1134">
        <v>41995500</v>
      </c>
      <c r="R1134" s="273">
        <f>(O1134/O1133)*('16. câmbio USD-BRL'!O930/'16. câmbio USD-BRL'!O929)^-1-1</f>
        <v>-4.0583494681856624E-2</v>
      </c>
    </row>
    <row r="1135" spans="10:18" x14ac:dyDescent="0.2">
      <c r="J1135" s="354">
        <v>44452</v>
      </c>
      <c r="K1135">
        <v>34.07</v>
      </c>
      <c r="L1135">
        <v>34.369999</v>
      </c>
      <c r="M1135">
        <v>29.59</v>
      </c>
      <c r="N1135">
        <v>29.799999</v>
      </c>
      <c r="O1135">
        <v>25.415597999999999</v>
      </c>
      <c r="P1135">
        <v>58866400</v>
      </c>
      <c r="R1135" s="273">
        <f>(O1135/O1134)*('16. câmbio USD-BRL'!O931/'16. câmbio USD-BRL'!O930)^-1-1</f>
        <v>-0.12435125578149619</v>
      </c>
    </row>
    <row r="1136" spans="10:18" x14ac:dyDescent="0.2">
      <c r="J1136" s="354">
        <v>44459</v>
      </c>
      <c r="K1136">
        <v>28</v>
      </c>
      <c r="L1136">
        <v>31.27</v>
      </c>
      <c r="M1136">
        <v>27.73</v>
      </c>
      <c r="N1136">
        <v>29.030000999999999</v>
      </c>
      <c r="O1136">
        <v>24.758887999999999</v>
      </c>
      <c r="P1136">
        <v>82416100</v>
      </c>
      <c r="R1136" s="273">
        <f>(O1136/O1135)*('16. câmbio USD-BRL'!O932/'16. câmbio USD-BRL'!O931)^-1-1</f>
        <v>-2.8484685850502012E-2</v>
      </c>
    </row>
    <row r="1137" spans="10:18" x14ac:dyDescent="0.2">
      <c r="J1137" s="354">
        <v>44466</v>
      </c>
      <c r="K1137">
        <v>29.49</v>
      </c>
      <c r="L1137">
        <v>30.360001</v>
      </c>
      <c r="M1137">
        <v>27.469999000000001</v>
      </c>
      <c r="N1137">
        <v>29.219999000000001</v>
      </c>
      <c r="O1137">
        <v>24.920933000000002</v>
      </c>
      <c r="P1137">
        <v>75653700</v>
      </c>
      <c r="R1137" s="273">
        <f>(O1137/O1136)*('16. câmbio USD-BRL'!O933/'16. câmbio USD-BRL'!O932)^-1-1</f>
        <v>-5.2193035959768874E-3</v>
      </c>
    </row>
    <row r="1138" spans="10:18" x14ac:dyDescent="0.2">
      <c r="J1138" s="354">
        <v>44473</v>
      </c>
      <c r="K1138">
        <v>29.129999000000002</v>
      </c>
      <c r="L1138">
        <v>29.15</v>
      </c>
      <c r="M1138">
        <v>26.76</v>
      </c>
      <c r="N1138">
        <v>28.32</v>
      </c>
      <c r="O1138">
        <v>24.153347</v>
      </c>
      <c r="P1138">
        <v>62784100</v>
      </c>
      <c r="R1138" s="273">
        <f>(O1138/O1137)*('16. câmbio USD-BRL'!O934/'16. câmbio USD-BRL'!O933)^-1-1</f>
        <v>-5.6080257726043747E-2</v>
      </c>
    </row>
    <row r="1139" spans="10:18" x14ac:dyDescent="0.2">
      <c r="J1139" s="354">
        <v>44480</v>
      </c>
      <c r="K1139">
        <v>29.059999000000001</v>
      </c>
      <c r="L1139">
        <v>29.440000999999999</v>
      </c>
      <c r="M1139">
        <v>26.940000999999999</v>
      </c>
      <c r="N1139">
        <v>27.59</v>
      </c>
      <c r="O1139">
        <v>23.530750000000001</v>
      </c>
      <c r="P1139">
        <v>43708000</v>
      </c>
      <c r="R1139" s="273">
        <f>(O1139/O1138)*('16. câmbio USD-BRL'!O935/'16. câmbio USD-BRL'!O934)^-1-1</f>
        <v>-1.6551484279352269E-2</v>
      </c>
    </row>
    <row r="1140" spans="10:18" x14ac:dyDescent="0.2">
      <c r="J1140" s="354">
        <v>44487</v>
      </c>
      <c r="K1140">
        <v>27.030000999999999</v>
      </c>
      <c r="L1140">
        <v>27.139999</v>
      </c>
      <c r="M1140">
        <v>24.08</v>
      </c>
      <c r="N1140">
        <v>25.09</v>
      </c>
      <c r="O1140">
        <v>21.398568999999998</v>
      </c>
      <c r="P1140">
        <v>68128500</v>
      </c>
      <c r="R1140" s="273">
        <f>(O1140/O1139)*('16. câmbio USD-BRL'!O936/'16. câmbio USD-BRL'!O935)^-1-1</f>
        <v>-0.12156433219606588</v>
      </c>
    </row>
    <row r="1141" spans="10:18" x14ac:dyDescent="0.2">
      <c r="J1141" s="354">
        <v>44494</v>
      </c>
      <c r="K1141">
        <v>25.35</v>
      </c>
      <c r="L1141">
        <v>26.24</v>
      </c>
      <c r="M1141">
        <v>22.74</v>
      </c>
      <c r="N1141">
        <v>22.780000999999999</v>
      </c>
      <c r="O1141">
        <v>19.428433999999999</v>
      </c>
      <c r="P1141">
        <v>60676600</v>
      </c>
      <c r="R1141" s="273">
        <f>(O1141/O1140)*('16. câmbio USD-BRL'!O937/'16. câmbio USD-BRL'!O936)^-1-1</f>
        <v>-8.9624697725469105E-2</v>
      </c>
    </row>
    <row r="1142" spans="10:18" x14ac:dyDescent="0.2">
      <c r="J1142" s="354">
        <v>44501</v>
      </c>
      <c r="K1142">
        <v>22.700001</v>
      </c>
      <c r="L1142">
        <v>23.469999000000001</v>
      </c>
      <c r="M1142">
        <v>20.57</v>
      </c>
      <c r="N1142">
        <v>21.24</v>
      </c>
      <c r="O1142">
        <v>18.115010999999999</v>
      </c>
      <c r="P1142">
        <v>69229400</v>
      </c>
      <c r="R1142" s="273">
        <f>(O1142/O1141)*('16. câmbio USD-BRL'!O938/'16. câmbio USD-BRL'!O937)^-1-1</f>
        <v>-5.2021397945180015E-2</v>
      </c>
    </row>
    <row r="1143" spans="10:18" x14ac:dyDescent="0.2">
      <c r="J1143" s="354">
        <v>44508</v>
      </c>
      <c r="K1143">
        <v>21.1</v>
      </c>
      <c r="L1143">
        <v>23.209999</v>
      </c>
      <c r="M1143">
        <v>20.82</v>
      </c>
      <c r="N1143">
        <v>22.440000999999999</v>
      </c>
      <c r="O1143">
        <v>19.138458</v>
      </c>
      <c r="P1143">
        <v>73853200</v>
      </c>
      <c r="R1143" s="273">
        <f>(O1143/O1142)*('16. câmbio USD-BRL'!O939/'16. câmbio USD-BRL'!O938)^-1-1</f>
        <v>7.266133698486299E-2</v>
      </c>
    </row>
    <row r="1144" spans="10:18" x14ac:dyDescent="0.2">
      <c r="J1144" s="354">
        <v>44515</v>
      </c>
      <c r="K1144">
        <v>22.440000999999999</v>
      </c>
      <c r="L1144">
        <v>22.559999000000001</v>
      </c>
      <c r="M1144">
        <v>19.709999</v>
      </c>
      <c r="N1144">
        <v>21.389999</v>
      </c>
      <c r="O1144">
        <v>18.242943</v>
      </c>
      <c r="P1144">
        <v>68018300</v>
      </c>
      <c r="R1144" s="273">
        <f>(O1144/O1143)*('16. câmbio USD-BRL'!O940/'16. câmbio USD-BRL'!O939)^-1-1</f>
        <v>-6.3740672945897914E-2</v>
      </c>
    </row>
    <row r="1145" spans="10:18" x14ac:dyDescent="0.2">
      <c r="J1145" s="354">
        <v>44522</v>
      </c>
      <c r="K1145">
        <v>22.15</v>
      </c>
      <c r="L1145">
        <v>23.559999000000001</v>
      </c>
      <c r="M1145">
        <v>21.4</v>
      </c>
      <c r="N1145">
        <v>22.280000999999999</v>
      </c>
      <c r="O1145">
        <v>19.001996999999999</v>
      </c>
      <c r="P1145">
        <v>70863500</v>
      </c>
      <c r="R1145" s="273">
        <f>(O1145/O1144)*('16. câmbio USD-BRL'!O941/'16. câmbio USD-BRL'!O940)^-1-1</f>
        <v>3.2060912826471943E-2</v>
      </c>
    </row>
    <row r="1146" spans="10:18" x14ac:dyDescent="0.2">
      <c r="J1146" s="354">
        <v>44529</v>
      </c>
      <c r="K1146">
        <v>23.129999000000002</v>
      </c>
      <c r="L1146">
        <v>23.83</v>
      </c>
      <c r="M1146">
        <v>21.51</v>
      </c>
      <c r="N1146">
        <v>23.280000999999999</v>
      </c>
      <c r="O1146">
        <v>19.854869999999998</v>
      </c>
      <c r="P1146">
        <v>67710200</v>
      </c>
      <c r="R1146" s="273">
        <f>(O1146/O1145)*('16. câmbio USD-BRL'!O942/'16. câmbio USD-BRL'!O941)^-1-1</f>
        <v>3.7060902276658814E-2</v>
      </c>
    </row>
    <row r="1147" spans="10:18" x14ac:dyDescent="0.2">
      <c r="J1147" s="354">
        <v>44536</v>
      </c>
      <c r="K1147">
        <v>23.690000999999999</v>
      </c>
      <c r="L1147">
        <v>25.440000999999999</v>
      </c>
      <c r="M1147">
        <v>23.15</v>
      </c>
      <c r="N1147">
        <v>24.379999000000002</v>
      </c>
      <c r="O1147">
        <v>20.793030000000002</v>
      </c>
      <c r="P1147">
        <v>64229800</v>
      </c>
      <c r="R1147" s="273">
        <f>(O1147/O1146)*('16. câmbio USD-BRL'!O943/'16. câmbio USD-BRL'!O942)^-1-1</f>
        <v>5.4648216955220263E-2</v>
      </c>
    </row>
    <row r="1148" spans="10:18" x14ac:dyDescent="0.2">
      <c r="J1148" s="354">
        <v>44543</v>
      </c>
      <c r="K1148">
        <v>24.84</v>
      </c>
      <c r="L1148">
        <v>25.860001</v>
      </c>
      <c r="M1148">
        <v>23.83</v>
      </c>
      <c r="N1148">
        <v>25.469999000000001</v>
      </c>
      <c r="O1148">
        <v>21.722660000000001</v>
      </c>
      <c r="P1148">
        <v>65352300</v>
      </c>
      <c r="R1148" s="273">
        <f>(O1148/O1147)*('16. câmbio USD-BRL'!O944/'16. câmbio USD-BRL'!O943)^-1-1</f>
        <v>2.9552815773426833E-2</v>
      </c>
    </row>
    <row r="1149" spans="10:18" x14ac:dyDescent="0.2">
      <c r="J1149" s="354">
        <v>44550</v>
      </c>
      <c r="K1149">
        <v>25.049999</v>
      </c>
      <c r="L1149">
        <v>25.08</v>
      </c>
      <c r="M1149">
        <v>23.639999</v>
      </c>
      <c r="N1149">
        <v>24.65</v>
      </c>
      <c r="O1149">
        <v>21.023306000000002</v>
      </c>
      <c r="P1149">
        <v>42989900</v>
      </c>
      <c r="R1149" s="273">
        <f>(O1149/O1148)*('16. câmbio USD-BRL'!O945/'16. câmbio USD-BRL'!O944)^-1-1</f>
        <v>-2.8447077639660368E-2</v>
      </c>
    </row>
    <row r="1150" spans="10:18" x14ac:dyDescent="0.2">
      <c r="J1150" s="354">
        <v>44557</v>
      </c>
      <c r="K1150">
        <v>24.559999000000001</v>
      </c>
      <c r="L1150">
        <v>25.469999000000001</v>
      </c>
      <c r="M1150">
        <v>24.26</v>
      </c>
      <c r="N1150">
        <v>25.15</v>
      </c>
      <c r="O1150">
        <v>21.449739000000001</v>
      </c>
      <c r="P1150">
        <v>27028100</v>
      </c>
      <c r="R1150" s="273">
        <f>(O1150/O1149)*('16. câmbio USD-BRL'!O946/'16. câmbio USD-BRL'!O945)^-1-1</f>
        <v>3.8933363945092614E-2</v>
      </c>
    </row>
    <row r="1151" spans="10:18" x14ac:dyDescent="0.2">
      <c r="J1151" s="354">
        <v>44564</v>
      </c>
      <c r="K1151">
        <v>25.389999</v>
      </c>
      <c r="L1151">
        <v>25.74</v>
      </c>
      <c r="M1151">
        <v>22.92</v>
      </c>
      <c r="N1151">
        <v>24.120000999999998</v>
      </c>
      <c r="O1151">
        <v>20.571285</v>
      </c>
      <c r="P1151">
        <v>44353900</v>
      </c>
      <c r="R1151" s="273">
        <f>(O1151/O1150)*('16. câmbio USD-BRL'!O947/'16. câmbio USD-BRL'!O946)^-1-1</f>
        <v>-5.1664620014242324E-2</v>
      </c>
    </row>
    <row r="1152" spans="10:18" x14ac:dyDescent="0.2">
      <c r="J1152" s="354">
        <v>44571</v>
      </c>
      <c r="K1152">
        <v>23.82</v>
      </c>
      <c r="L1152">
        <v>26.549999</v>
      </c>
      <c r="M1152">
        <v>22.84</v>
      </c>
      <c r="N1152">
        <v>25.719999000000001</v>
      </c>
      <c r="O1152">
        <v>22.111291999999999</v>
      </c>
      <c r="P1152">
        <v>73536800</v>
      </c>
      <c r="R1152" s="273">
        <f>(O1152/O1151)*('16. câmbio USD-BRL'!O948/'16. câmbio USD-BRL'!O947)^-1-1</f>
        <v>9.4073628610711113E-2</v>
      </c>
    </row>
    <row r="1153" spans="10:18" x14ac:dyDescent="0.2">
      <c r="J1153" s="354">
        <v>44578</v>
      </c>
      <c r="K1153">
        <v>25.5</v>
      </c>
      <c r="L1153">
        <v>27.09</v>
      </c>
      <c r="M1153">
        <v>24.83</v>
      </c>
      <c r="N1153">
        <v>25.75</v>
      </c>
      <c r="O1153">
        <v>22.137083000000001</v>
      </c>
      <c r="P1153">
        <v>61206200</v>
      </c>
      <c r="R1153" s="273">
        <f>(O1153/O1152)*('16. câmbio USD-BRL'!O949/'16. câmbio USD-BRL'!O948)^-1-1</f>
        <v>1.5146165265279787E-2</v>
      </c>
    </row>
    <row r="1154" spans="10:18" x14ac:dyDescent="0.2">
      <c r="J1154" s="354">
        <v>44585</v>
      </c>
      <c r="K1154">
        <v>25.469999000000001</v>
      </c>
      <c r="L1154">
        <v>26.98</v>
      </c>
      <c r="M1154">
        <v>24.73</v>
      </c>
      <c r="N1154">
        <v>25.67</v>
      </c>
      <c r="O1154">
        <v>22.068307999999998</v>
      </c>
      <c r="P1154">
        <v>70968400</v>
      </c>
      <c r="R1154" s="273">
        <f>(O1154/O1153)*('16. câmbio USD-BRL'!O950/'16. câmbio USD-BRL'!O949)^-1-1</f>
        <v>1.4025611358982726E-2</v>
      </c>
    </row>
    <row r="1155" spans="10:18" x14ac:dyDescent="0.2">
      <c r="J1155" s="354">
        <v>44592</v>
      </c>
      <c r="K1155">
        <v>25.35</v>
      </c>
      <c r="L1155">
        <v>27.24</v>
      </c>
      <c r="M1155">
        <v>24.48</v>
      </c>
      <c r="N1155">
        <v>26.629999000000002</v>
      </c>
      <c r="O1155">
        <v>22.893609999999999</v>
      </c>
      <c r="P1155">
        <v>46173300</v>
      </c>
      <c r="R1155" s="273">
        <f>(O1155/O1154)*('16. câmbio USD-BRL'!O951/'16. câmbio USD-BRL'!O950)^-1-1</f>
        <v>4.4797995783128153E-2</v>
      </c>
    </row>
    <row r="1156" spans="10:18" x14ac:dyDescent="0.2">
      <c r="J1156" s="354">
        <v>44599</v>
      </c>
      <c r="K1156">
        <v>26.700001</v>
      </c>
      <c r="L1156">
        <v>29.33</v>
      </c>
      <c r="M1156">
        <v>26.67</v>
      </c>
      <c r="N1156">
        <v>27.809999000000001</v>
      </c>
      <c r="O1156">
        <v>23.908048999999998</v>
      </c>
      <c r="P1156">
        <v>51229600</v>
      </c>
      <c r="R1156" s="273">
        <f>(O1156/O1155)*('16. câmbio USD-BRL'!O952/'16. câmbio USD-BRL'!O951)^-1-1</f>
        <v>5.961656125110304E-2</v>
      </c>
    </row>
    <row r="1157" spans="10:18" x14ac:dyDescent="0.2">
      <c r="J1157" s="354">
        <v>44606</v>
      </c>
      <c r="K1157">
        <v>27.6</v>
      </c>
      <c r="L1157">
        <v>28.23</v>
      </c>
      <c r="M1157">
        <v>24.559999000000001</v>
      </c>
      <c r="N1157">
        <v>24.639999</v>
      </c>
      <c r="O1157">
        <v>21.182822999999999</v>
      </c>
      <c r="P1157">
        <v>60043200</v>
      </c>
      <c r="R1157" s="273">
        <f>(O1157/O1156)*('16. câmbio USD-BRL'!O953/'16. câmbio USD-BRL'!O952)^-1-1</f>
        <v>-9.459366516447032E-2</v>
      </c>
    </row>
    <row r="1158" spans="10:18" x14ac:dyDescent="0.2">
      <c r="J1158" s="354">
        <v>44613</v>
      </c>
      <c r="K1158">
        <v>24.85</v>
      </c>
      <c r="L1158">
        <v>25.379999000000002</v>
      </c>
      <c r="M1158">
        <v>22.549999</v>
      </c>
      <c r="N1158">
        <v>25.1</v>
      </c>
      <c r="O1158">
        <v>21.578285000000001</v>
      </c>
      <c r="P1158">
        <v>53668700</v>
      </c>
      <c r="R1158" s="273">
        <f>(O1158/O1157)*('16. câmbio USD-BRL'!O954/'16. câmbio USD-BRL'!O953)^-1-1</f>
        <v>1.4277444340029755E-2</v>
      </c>
    </row>
    <row r="1159" spans="10:18" x14ac:dyDescent="0.2">
      <c r="J1159" s="354">
        <v>44620</v>
      </c>
      <c r="K1159">
        <v>25.1</v>
      </c>
      <c r="L1159">
        <v>29.049999</v>
      </c>
      <c r="M1159">
        <v>25.1</v>
      </c>
      <c r="N1159">
        <v>29</v>
      </c>
      <c r="O1159">
        <v>24.931086000000001</v>
      </c>
      <c r="P1159">
        <v>42174600</v>
      </c>
      <c r="R1159" s="273">
        <f>(O1159/O1158)*('16. câmbio USD-BRL'!O955/'16. câmbio USD-BRL'!O954)^-1-1</f>
        <v>0.18430071624439526</v>
      </c>
    </row>
    <row r="1160" spans="10:18" x14ac:dyDescent="0.2">
      <c r="J1160" s="354">
        <v>44627</v>
      </c>
      <c r="K1160">
        <v>29.610001</v>
      </c>
      <c r="L1160">
        <v>30.540001</v>
      </c>
      <c r="M1160">
        <v>25.85</v>
      </c>
      <c r="N1160">
        <v>25.879999000000002</v>
      </c>
      <c r="O1160">
        <v>22.248843999999998</v>
      </c>
      <c r="P1160">
        <v>75444100</v>
      </c>
      <c r="R1160" s="273">
        <f>(O1160/O1159)*('16. câmbio USD-BRL'!O956/'16. câmbio USD-BRL'!O955)^-1-1</f>
        <v>-0.11458061878367498</v>
      </c>
    </row>
    <row r="1161" spans="10:18" x14ac:dyDescent="0.2">
      <c r="J1161" s="354">
        <v>44634</v>
      </c>
      <c r="K1161">
        <v>25.309999000000001</v>
      </c>
      <c r="L1161">
        <v>26.219999000000001</v>
      </c>
      <c r="M1161">
        <v>23.25</v>
      </c>
      <c r="N1161">
        <v>25.68</v>
      </c>
      <c r="O1161">
        <v>22.076903999999999</v>
      </c>
      <c r="P1161">
        <v>66507700</v>
      </c>
      <c r="R1161" s="273">
        <f>(O1161/O1160)*('16. câmbio USD-BRL'!O957/'16. câmbio USD-BRL'!O956)^-1-1</f>
        <v>2.3877066512267842E-3</v>
      </c>
    </row>
    <row r="1162" spans="10:18" x14ac:dyDescent="0.2">
      <c r="J1162" s="354">
        <v>44641</v>
      </c>
      <c r="K1162">
        <v>26.049999</v>
      </c>
      <c r="L1162">
        <v>27.200001</v>
      </c>
      <c r="M1162">
        <v>25.620000999999998</v>
      </c>
      <c r="N1162">
        <v>26.58</v>
      </c>
      <c r="O1162">
        <v>22.850625999999998</v>
      </c>
      <c r="P1162">
        <v>52445000</v>
      </c>
      <c r="R1162" s="273">
        <f>(O1162/O1161)*('16. câmbio USD-BRL'!O958/'16. câmbio USD-BRL'!O957)^-1-1</f>
        <v>9.6297719756263556E-2</v>
      </c>
    </row>
    <row r="1163" spans="10:18" x14ac:dyDescent="0.2">
      <c r="J1163" s="354">
        <v>44648</v>
      </c>
      <c r="K1163">
        <v>26.870000999999998</v>
      </c>
      <c r="L1163">
        <v>27.190000999999999</v>
      </c>
      <c r="M1163">
        <v>25.65</v>
      </c>
      <c r="N1163">
        <v>26.15</v>
      </c>
      <c r="O1163">
        <v>22.480961000000001</v>
      </c>
      <c r="P1163">
        <v>41483700</v>
      </c>
      <c r="R1163" s="273">
        <f>(O1163/O1162)*('16. câmbio USD-BRL'!O959/'16. câmbio USD-BRL'!O958)^-1-1</f>
        <v>1.9149941092915235E-3</v>
      </c>
    </row>
    <row r="1164" spans="10:18" x14ac:dyDescent="0.2">
      <c r="J1164" s="354">
        <v>44655</v>
      </c>
      <c r="K1164">
        <v>26.219999000000001</v>
      </c>
      <c r="L1164">
        <v>26.93</v>
      </c>
      <c r="M1164">
        <v>24.610001</v>
      </c>
      <c r="N1164">
        <v>25.73</v>
      </c>
      <c r="O1164">
        <v>22.119890000000002</v>
      </c>
      <c r="P1164">
        <v>36644700</v>
      </c>
      <c r="R1164" s="273">
        <f>(O1164/O1163)*('16. câmbio USD-BRL'!O960/'16. câmbio USD-BRL'!O959)^-1-1</f>
        <v>-2.4738075173618479E-2</v>
      </c>
    </row>
    <row r="1165" spans="10:18" x14ac:dyDescent="0.2">
      <c r="J1165" s="354">
        <v>44662</v>
      </c>
      <c r="K1165">
        <v>25.209999</v>
      </c>
      <c r="L1165">
        <v>26.549999</v>
      </c>
      <c r="M1165">
        <v>25.18</v>
      </c>
      <c r="N1165">
        <v>25.440000999999999</v>
      </c>
      <c r="O1165">
        <v>21.870578999999999</v>
      </c>
      <c r="P1165">
        <v>30644800</v>
      </c>
      <c r="R1165" s="273">
        <f>(O1165/O1164)*('16. câmbio USD-BRL'!O961/'16. câmbio USD-BRL'!O960)^-1-1</f>
        <v>-1.1922954147654541E-2</v>
      </c>
    </row>
    <row r="1166" spans="10:18" x14ac:dyDescent="0.2">
      <c r="J1166" s="354">
        <v>44669</v>
      </c>
      <c r="K1166">
        <v>25.33</v>
      </c>
      <c r="L1166">
        <v>25.389999</v>
      </c>
      <c r="M1166">
        <v>21.83</v>
      </c>
      <c r="N1166">
        <v>22.01</v>
      </c>
      <c r="O1166">
        <v>18.921835000000002</v>
      </c>
      <c r="P1166">
        <v>38088500</v>
      </c>
      <c r="R1166" s="273">
        <f>(O1166/O1165)*('16. câmbio USD-BRL'!O962/'16. câmbio USD-BRL'!O961)^-1-1</f>
        <v>-0.15183962182851651</v>
      </c>
    </row>
    <row r="1167" spans="10:18" x14ac:dyDescent="0.2">
      <c r="J1167" s="354">
        <v>44676</v>
      </c>
      <c r="K1167">
        <v>21.25</v>
      </c>
      <c r="L1167">
        <v>22.469999000000001</v>
      </c>
      <c r="M1167">
        <v>20.079999999999998</v>
      </c>
      <c r="N1167">
        <v>21.07</v>
      </c>
      <c r="O1167">
        <v>18.113721999999999</v>
      </c>
      <c r="P1167">
        <v>63522100</v>
      </c>
      <c r="R1167" s="273">
        <f>(O1167/O1166)*('16. câmbio USD-BRL'!O963/'16. câmbio USD-BRL'!O962)^-1-1</f>
        <v>-7.6493130497194195E-2</v>
      </c>
    </row>
    <row r="1168" spans="10:18" x14ac:dyDescent="0.2">
      <c r="J1168" s="354">
        <v>44683</v>
      </c>
      <c r="K1168">
        <v>20.290001</v>
      </c>
      <c r="L1168">
        <v>21.469999000000001</v>
      </c>
      <c r="M1168">
        <v>19.450001</v>
      </c>
      <c r="N1168">
        <v>19.969999000000001</v>
      </c>
      <c r="O1168">
        <v>17.168057999999998</v>
      </c>
      <c r="P1168">
        <v>58483200</v>
      </c>
      <c r="R1168" s="273">
        <f>(O1168/O1167)*('16. câmbio USD-BRL'!O964/'16. câmbio USD-BRL'!O963)^-1-1</f>
        <v>-7.2655899391818823E-2</v>
      </c>
    </row>
    <row r="1169" spans="10:18" x14ac:dyDescent="0.2">
      <c r="J1169" s="354">
        <v>44690</v>
      </c>
      <c r="K1169">
        <v>19.329999999999998</v>
      </c>
      <c r="L1169">
        <v>19.510000000000002</v>
      </c>
      <c r="M1169">
        <v>16.959999</v>
      </c>
      <c r="N1169">
        <v>17.920000000000002</v>
      </c>
      <c r="O1169">
        <v>15.92071</v>
      </c>
      <c r="P1169">
        <v>75112300</v>
      </c>
      <c r="R1169" s="273">
        <f>(O1169/O1168)*('16. câmbio USD-BRL'!O965/'16. câmbio USD-BRL'!O964)^-1-1</f>
        <v>-6.8566305564660368E-2</v>
      </c>
    </row>
    <row r="1170" spans="10:18" x14ac:dyDescent="0.2">
      <c r="J1170" s="354">
        <v>44697</v>
      </c>
      <c r="K1170">
        <v>18.110001</v>
      </c>
      <c r="L1170">
        <v>19.879999000000002</v>
      </c>
      <c r="M1170">
        <v>17.450001</v>
      </c>
      <c r="N1170">
        <v>19.84</v>
      </c>
      <c r="O1170">
        <v>17.626498999999999</v>
      </c>
      <c r="P1170">
        <v>62366400</v>
      </c>
      <c r="R1170" s="273">
        <f>(O1170/O1169)*('16. câmbio USD-BRL'!O966/'16. câmbio USD-BRL'!O965)^-1-1</f>
        <v>0.14755308600396377</v>
      </c>
    </row>
    <row r="1171" spans="10:18" x14ac:dyDescent="0.2">
      <c r="J1171" s="354">
        <v>44704</v>
      </c>
      <c r="K1171">
        <v>20.260000000000002</v>
      </c>
      <c r="L1171">
        <v>22.5</v>
      </c>
      <c r="M1171">
        <v>19.93</v>
      </c>
      <c r="N1171">
        <v>22.299999</v>
      </c>
      <c r="O1171">
        <v>19.812042000000002</v>
      </c>
      <c r="P1171">
        <v>60519700</v>
      </c>
      <c r="R1171" s="273">
        <f>(O1171/O1170)*('16. câmbio USD-BRL'!O967/'16. câmbio USD-BRL'!O966)^-1-1</f>
        <v>0.15966474563185362</v>
      </c>
    </row>
    <row r="1172" spans="10:18" x14ac:dyDescent="0.2">
      <c r="J1172" s="354">
        <v>44711</v>
      </c>
      <c r="K1172">
        <v>22.51</v>
      </c>
      <c r="L1172">
        <v>23.26</v>
      </c>
      <c r="M1172">
        <v>21.530000999999999</v>
      </c>
      <c r="N1172">
        <v>22.799999</v>
      </c>
      <c r="O1172">
        <v>20.256262</v>
      </c>
      <c r="P1172">
        <v>47965000</v>
      </c>
      <c r="R1172" s="273">
        <f>(O1172/O1171)*('16. câmbio USD-BRL'!O968/'16. câmbio USD-BRL'!O967)^-1-1</f>
        <v>2.4089050265484468E-2</v>
      </c>
    </row>
    <row r="1173" spans="10:18" x14ac:dyDescent="0.2">
      <c r="J1173" s="354">
        <v>44718</v>
      </c>
      <c r="K1173">
        <v>22.99</v>
      </c>
      <c r="L1173">
        <v>22.99</v>
      </c>
      <c r="M1173">
        <v>18.879999000000002</v>
      </c>
      <c r="N1173">
        <v>19.629999000000002</v>
      </c>
      <c r="O1173">
        <v>17.43993</v>
      </c>
      <c r="P1173">
        <v>55025400</v>
      </c>
      <c r="R1173" s="273">
        <f>(O1173/O1172)*('16. câmbio USD-BRL'!O969/'16. câmbio USD-BRL'!O968)^-1-1</f>
        <v>-0.18421539744465409</v>
      </c>
    </row>
    <row r="1174" spans="10:18" x14ac:dyDescent="0.2">
      <c r="J1174" s="354">
        <v>44725</v>
      </c>
      <c r="K1174">
        <v>18.809999000000001</v>
      </c>
      <c r="L1174">
        <v>19.110001</v>
      </c>
      <c r="M1174">
        <v>16.34</v>
      </c>
      <c r="N1174">
        <v>17.02</v>
      </c>
      <c r="O1174">
        <v>15.121122</v>
      </c>
      <c r="P1174">
        <v>60610500</v>
      </c>
      <c r="R1174" s="273">
        <f>(O1174/O1173)*('16. câmbio USD-BRL'!O970/'16. câmbio USD-BRL'!O969)^-1-1</f>
        <v>-0.16136739456683324</v>
      </c>
    </row>
    <row r="1175" spans="10:18" x14ac:dyDescent="0.2">
      <c r="J1175" s="354">
        <v>44732</v>
      </c>
      <c r="K1175">
        <v>16.649999999999999</v>
      </c>
      <c r="L1175">
        <v>17.309999000000001</v>
      </c>
      <c r="M1175">
        <v>15.38</v>
      </c>
      <c r="N1175">
        <v>16.459999</v>
      </c>
      <c r="O1175">
        <v>14.623597999999999</v>
      </c>
      <c r="P1175">
        <v>66163500</v>
      </c>
      <c r="R1175" s="273">
        <f>(O1175/O1174)*('16. câmbio USD-BRL'!O971/'16. câmbio USD-BRL'!O970)^-1-1</f>
        <v>-4.9397893172151375E-2</v>
      </c>
    </row>
    <row r="1176" spans="10:18" x14ac:dyDescent="0.2">
      <c r="J1176" s="354">
        <v>44739</v>
      </c>
      <c r="K1176">
        <v>16.889999</v>
      </c>
      <c r="L1176">
        <v>17.450001</v>
      </c>
      <c r="M1176">
        <v>14.72</v>
      </c>
      <c r="N1176">
        <v>15.08</v>
      </c>
      <c r="O1176">
        <v>13.397562000000001</v>
      </c>
      <c r="P1176">
        <v>71434600</v>
      </c>
      <c r="R1176" s="273">
        <f>(O1176/O1175)*('16. câmbio USD-BRL'!O972/'16. câmbio USD-BRL'!O971)^-1-1</f>
        <v>-9.9237790643663226E-2</v>
      </c>
    </row>
    <row r="1177" spans="10:18" x14ac:dyDescent="0.2">
      <c r="J1177" s="354">
        <v>44746</v>
      </c>
      <c r="K1177">
        <v>14.9</v>
      </c>
      <c r="L1177">
        <v>15.78</v>
      </c>
      <c r="M1177">
        <v>14.28</v>
      </c>
      <c r="N1177">
        <v>15.05</v>
      </c>
      <c r="O1177">
        <v>13.37091</v>
      </c>
      <c r="P1177">
        <v>65162800</v>
      </c>
      <c r="R1177" s="273">
        <f>(O1177/O1176)*('16. câmbio USD-BRL'!O973/'16. câmbio USD-BRL'!O972)^-1-1</f>
        <v>1.31769786364202E-2</v>
      </c>
    </row>
    <row r="1178" spans="10:18" x14ac:dyDescent="0.2">
      <c r="J1178" s="354">
        <v>44753</v>
      </c>
      <c r="K1178">
        <v>14.61</v>
      </c>
      <c r="L1178">
        <v>14.74</v>
      </c>
      <c r="M1178">
        <v>13.24</v>
      </c>
      <c r="N1178">
        <v>13.84</v>
      </c>
      <c r="O1178">
        <v>12.295906</v>
      </c>
      <c r="P1178">
        <v>63916700</v>
      </c>
      <c r="R1178" s="273">
        <f>(O1178/O1177)*('16. câmbio USD-BRL'!O974/'16. câmbio USD-BRL'!O973)^-1-1</f>
        <v>-0.10788652117637232</v>
      </c>
    </row>
    <row r="1179" spans="10:18" x14ac:dyDescent="0.2">
      <c r="J1179" s="354">
        <v>44760</v>
      </c>
      <c r="K1179">
        <v>14.3</v>
      </c>
      <c r="L1179">
        <v>15.15</v>
      </c>
      <c r="M1179">
        <v>13.78</v>
      </c>
      <c r="N1179">
        <v>14.41</v>
      </c>
      <c r="O1179">
        <v>12.802313</v>
      </c>
      <c r="P1179">
        <v>47740800</v>
      </c>
      <c r="R1179" s="273">
        <f>(O1179/O1178)*('16. câmbio USD-BRL'!O975/'16. câmbio USD-BRL'!O974)^-1-1</f>
        <v>2.6095920700028641E-2</v>
      </c>
    </row>
    <row r="1180" spans="10:18" x14ac:dyDescent="0.2">
      <c r="J1180" s="354">
        <v>44767</v>
      </c>
      <c r="K1180">
        <v>14.89</v>
      </c>
      <c r="L1180">
        <v>15.23</v>
      </c>
      <c r="M1180">
        <v>14.13</v>
      </c>
      <c r="N1180">
        <v>14.71</v>
      </c>
      <c r="O1180">
        <v>13.068842</v>
      </c>
      <c r="P1180">
        <v>47463200</v>
      </c>
      <c r="R1180" s="273">
        <f>(O1180/O1179)*('16. câmbio USD-BRL'!O976/'16. câmbio USD-BRL'!O975)^-1-1</f>
        <v>8.4348539744363737E-2</v>
      </c>
    </row>
    <row r="1181" spans="10:18" x14ac:dyDescent="0.2">
      <c r="J1181" s="354">
        <v>44774</v>
      </c>
      <c r="K1181">
        <v>14.65</v>
      </c>
      <c r="L1181">
        <v>15.73</v>
      </c>
      <c r="M1181">
        <v>13.91</v>
      </c>
      <c r="N1181">
        <v>15.39</v>
      </c>
      <c r="O1181">
        <v>13.672976</v>
      </c>
      <c r="P1181">
        <v>61021700</v>
      </c>
      <c r="R1181" s="273">
        <f>(O1181/O1180)*('16. câmbio USD-BRL'!O977/'16. câmbio USD-BRL'!O976)^-1-1</f>
        <v>4.8376191846083216E-2</v>
      </c>
    </row>
    <row r="1182" spans="10:18" x14ac:dyDescent="0.2">
      <c r="J1182" s="354">
        <v>44781</v>
      </c>
      <c r="K1182">
        <v>15.71</v>
      </c>
      <c r="L1182">
        <v>16.739999999999998</v>
      </c>
      <c r="M1182">
        <v>15.12</v>
      </c>
      <c r="N1182">
        <v>16.690000999999999</v>
      </c>
      <c r="O1182">
        <v>14.827939000000001</v>
      </c>
      <c r="P1182">
        <v>48475900</v>
      </c>
      <c r="R1182" s="273">
        <f>(O1182/O1181)*('16. câmbio USD-BRL'!O978/'16. câmbio USD-BRL'!O977)^-1-1</f>
        <v>0.10280715535053142</v>
      </c>
    </row>
    <row r="1183" spans="10:18" x14ac:dyDescent="0.2">
      <c r="J1183" s="354">
        <v>44788</v>
      </c>
      <c r="K1183">
        <v>16.27</v>
      </c>
      <c r="L1183">
        <v>16.450001</v>
      </c>
      <c r="M1183">
        <v>15.28</v>
      </c>
      <c r="N1183">
        <v>15.37</v>
      </c>
      <c r="O1183">
        <v>13.655208</v>
      </c>
      <c r="P1183">
        <v>57223200</v>
      </c>
      <c r="R1183" s="273">
        <f>(O1183/O1182)*('16. câmbio USD-BRL'!O979/'16. câmbio USD-BRL'!O978)^-1-1</f>
        <v>-9.499779917015938E-2</v>
      </c>
    </row>
    <row r="1184" spans="10:18" x14ac:dyDescent="0.2">
      <c r="J1184" s="354">
        <v>44795</v>
      </c>
      <c r="K1184">
        <v>15.28</v>
      </c>
      <c r="L1184">
        <v>16.459999</v>
      </c>
      <c r="M1184">
        <v>14.71</v>
      </c>
      <c r="N1184">
        <v>15.01</v>
      </c>
      <c r="O1184">
        <v>13.335372</v>
      </c>
      <c r="P1184">
        <v>60897600</v>
      </c>
      <c r="R1184" s="273">
        <f>(O1184/O1183)*('16. câmbio USD-BRL'!O980/'16. câmbio USD-BRL'!O979)^-1-1</f>
        <v>-3.1122974091756239E-3</v>
      </c>
    </row>
    <row r="1185" spans="10:18" x14ac:dyDescent="0.2">
      <c r="J1185" s="354">
        <v>44802</v>
      </c>
      <c r="K1185">
        <v>14.73</v>
      </c>
      <c r="L1185">
        <v>15.02</v>
      </c>
      <c r="M1185">
        <v>13.18</v>
      </c>
      <c r="N1185">
        <v>13.42</v>
      </c>
      <c r="O1185">
        <v>11.922765</v>
      </c>
      <c r="P1185">
        <v>49951100</v>
      </c>
      <c r="R1185" s="273">
        <f>(O1185/O1184)*('16. câmbio USD-BRL'!O981/'16. câmbio USD-BRL'!O980)^-1-1</f>
        <v>-0.12533031269240058</v>
      </c>
    </row>
    <row r="1186" spans="10:18" x14ac:dyDescent="0.2">
      <c r="J1186" s="354">
        <v>44809</v>
      </c>
      <c r="K1186">
        <v>13.7</v>
      </c>
      <c r="L1186">
        <v>14.15</v>
      </c>
      <c r="M1186">
        <v>12.82</v>
      </c>
      <c r="N1186">
        <v>14.11</v>
      </c>
      <c r="O1186">
        <v>12.535783</v>
      </c>
      <c r="P1186">
        <v>49753700</v>
      </c>
      <c r="R1186" s="273">
        <f>(O1186/O1185)*('16. câmbio USD-BRL'!O982/'16. câmbio USD-BRL'!O981)^-1-1</f>
        <v>5.6462488261485921E-2</v>
      </c>
    </row>
    <row r="1187" spans="10:18" x14ac:dyDescent="0.2">
      <c r="J1187" s="354">
        <v>44816</v>
      </c>
      <c r="K1187">
        <v>14.22</v>
      </c>
      <c r="L1187">
        <v>14.42</v>
      </c>
      <c r="M1187">
        <v>12.68</v>
      </c>
      <c r="N1187">
        <v>13.1</v>
      </c>
      <c r="O1187">
        <v>11.638465999999999</v>
      </c>
      <c r="P1187">
        <v>56856000</v>
      </c>
      <c r="R1187" s="273">
        <f>(O1187/O1186)*('16. câmbio USD-BRL'!O983/'16. câmbio USD-BRL'!O982)^-1-1</f>
        <v>-8.9590838363755476E-2</v>
      </c>
    </row>
    <row r="1188" spans="10:18" x14ac:dyDescent="0.2">
      <c r="J1188" s="354">
        <v>44823</v>
      </c>
      <c r="K1188">
        <v>12.96</v>
      </c>
      <c r="L1188">
        <v>13.81</v>
      </c>
      <c r="M1188">
        <v>12.48</v>
      </c>
      <c r="N1188">
        <v>12.83</v>
      </c>
      <c r="O1188">
        <v>11.398588999999999</v>
      </c>
      <c r="P1188">
        <v>92556600</v>
      </c>
      <c r="R1188" s="273">
        <f>(O1188/O1187)*('16. câmbio USD-BRL'!O984/'16. câmbio USD-BRL'!O983)^-1-1</f>
        <v>-2.3086637790846631E-2</v>
      </c>
    </row>
    <row r="1189" spans="10:18" x14ac:dyDescent="0.2">
      <c r="J1189" s="354">
        <v>44830</v>
      </c>
      <c r="K1189">
        <v>12.67</v>
      </c>
      <c r="L1189">
        <v>13</v>
      </c>
      <c r="M1189">
        <v>11.8</v>
      </c>
      <c r="N1189">
        <v>12.72</v>
      </c>
      <c r="O1189">
        <v>11.300860999999999</v>
      </c>
      <c r="P1189">
        <v>55967600</v>
      </c>
      <c r="R1189" s="273">
        <f>(O1189/O1188)*('16. câmbio USD-BRL'!O985/'16. câmbio USD-BRL'!O984)^-1-1</f>
        <v>-3.5451253350463729E-2</v>
      </c>
    </row>
    <row r="1190" spans="10:18" x14ac:dyDescent="0.2">
      <c r="J1190" s="354">
        <v>44837</v>
      </c>
      <c r="K1190">
        <v>13.01</v>
      </c>
      <c r="L1190">
        <v>14.68</v>
      </c>
      <c r="M1190">
        <v>12.87</v>
      </c>
      <c r="N1190">
        <v>14.3</v>
      </c>
      <c r="O1190">
        <v>12.704584000000001</v>
      </c>
      <c r="P1190">
        <v>57575500</v>
      </c>
      <c r="R1190" s="273">
        <f>(O1190/O1189)*('16. câmbio USD-BRL'!O986/'16. câmbio USD-BRL'!O985)^-1-1</f>
        <v>0.16851162850002432</v>
      </c>
    </row>
    <row r="1191" spans="10:18" x14ac:dyDescent="0.2">
      <c r="J1191" s="354">
        <v>44844</v>
      </c>
      <c r="K1191">
        <v>14.38</v>
      </c>
      <c r="L1191">
        <v>14.54</v>
      </c>
      <c r="M1191">
        <v>12.83</v>
      </c>
      <c r="N1191">
        <v>12.87</v>
      </c>
      <c r="O1191">
        <v>11.434125999999999</v>
      </c>
      <c r="P1191">
        <v>37883700</v>
      </c>
      <c r="R1191" s="273">
        <f>(O1191/O1190)*('16. câmbio USD-BRL'!O987/'16. câmbio USD-BRL'!O986)^-1-1</f>
        <v>-0.1203403851655499</v>
      </c>
    </row>
    <row r="1192" spans="10:18" x14ac:dyDescent="0.2">
      <c r="J1192" s="354">
        <v>44851</v>
      </c>
      <c r="K1192">
        <v>12.92</v>
      </c>
      <c r="L1192">
        <v>14.19</v>
      </c>
      <c r="M1192">
        <v>12.64</v>
      </c>
      <c r="N1192">
        <v>14.19</v>
      </c>
      <c r="O1192">
        <v>12.606856000000001</v>
      </c>
      <c r="P1192">
        <v>61105100</v>
      </c>
      <c r="R1192" s="273">
        <f>(O1192/O1191)*('16. câmbio USD-BRL'!O988/'16. câmbio USD-BRL'!O987)^-1-1</f>
        <v>0.13783478851741626</v>
      </c>
    </row>
    <row r="1193" spans="10:18" x14ac:dyDescent="0.2">
      <c r="J1193" s="354">
        <v>44858</v>
      </c>
      <c r="K1193">
        <v>13.86</v>
      </c>
      <c r="L1193">
        <v>13.95</v>
      </c>
      <c r="M1193">
        <v>11.82</v>
      </c>
      <c r="N1193">
        <v>12.31</v>
      </c>
      <c r="O1193">
        <v>10.936604000000001</v>
      </c>
      <c r="P1193">
        <v>91980700</v>
      </c>
      <c r="R1193" s="273">
        <f>(O1193/O1192)*('16. câmbio USD-BRL'!O989/'16. câmbio USD-BRL'!O988)^-1-1</f>
        <v>-0.15391089215809994</v>
      </c>
    </row>
    <row r="1194" spans="10:18" x14ac:dyDescent="0.2">
      <c r="J1194" s="354">
        <v>44865</v>
      </c>
      <c r="K1194">
        <v>12.04</v>
      </c>
      <c r="L1194">
        <v>14</v>
      </c>
      <c r="M1194">
        <v>11.92</v>
      </c>
      <c r="N1194">
        <v>13.59</v>
      </c>
      <c r="O1194">
        <v>12.073798</v>
      </c>
      <c r="P1194">
        <v>64973500</v>
      </c>
      <c r="R1194" s="273">
        <f>(O1194/O1193)*('16. câmbio USD-BRL'!O990/'16. câmbio USD-BRL'!O989)^-1-1</f>
        <v>0.1577926687642246</v>
      </c>
    </row>
    <row r="1195" spans="10:18" x14ac:dyDescent="0.2">
      <c r="J1195" s="354">
        <v>44872</v>
      </c>
      <c r="K1195">
        <v>13.61</v>
      </c>
      <c r="L1195">
        <v>15.47</v>
      </c>
      <c r="M1195">
        <v>12.79</v>
      </c>
      <c r="N1195">
        <v>15.43</v>
      </c>
      <c r="O1195">
        <v>13.708513</v>
      </c>
      <c r="P1195">
        <v>83111700</v>
      </c>
      <c r="R1195" s="273">
        <f>(O1195/O1194)*('16. câmbio USD-BRL'!O991/'16. câmbio USD-BRL'!O990)^-1-1</f>
        <v>8.4550267350660402E-2</v>
      </c>
    </row>
    <row r="1196" spans="10:18" x14ac:dyDescent="0.2">
      <c r="J1196" s="354">
        <v>44879</v>
      </c>
      <c r="K1196">
        <v>15.55</v>
      </c>
      <c r="L1196">
        <v>15.58</v>
      </c>
      <c r="M1196">
        <v>13.94</v>
      </c>
      <c r="N1196">
        <v>14.09</v>
      </c>
      <c r="O1196">
        <v>12.518014000000001</v>
      </c>
      <c r="P1196">
        <v>54360000</v>
      </c>
      <c r="R1196" s="273">
        <f>(O1196/O1195)*('16. câmbio USD-BRL'!O992/'16. câmbio USD-BRL'!O991)^-1-1</f>
        <v>-0.10418615677557996</v>
      </c>
    </row>
    <row r="1197" spans="10:18" x14ac:dyDescent="0.2">
      <c r="J1197" s="354">
        <v>44886</v>
      </c>
      <c r="K1197">
        <v>14.15</v>
      </c>
      <c r="L1197">
        <v>15.4</v>
      </c>
      <c r="M1197">
        <v>13.36</v>
      </c>
      <c r="N1197">
        <v>14.99</v>
      </c>
      <c r="O1197">
        <v>13.317602000000001</v>
      </c>
      <c r="P1197">
        <v>71178500</v>
      </c>
      <c r="R1197" s="273">
        <f>(O1197/O1196)*('16. câmbio USD-BRL'!O993/'16. câmbio USD-BRL'!O992)^-1-1</f>
        <v>5.8524632613323968E-2</v>
      </c>
    </row>
    <row r="1198" spans="10:18" x14ac:dyDescent="0.2">
      <c r="J1198" s="354">
        <v>44893</v>
      </c>
      <c r="K1198">
        <v>13.72</v>
      </c>
      <c r="L1198">
        <v>14.75</v>
      </c>
      <c r="M1198">
        <v>13.05</v>
      </c>
      <c r="N1198">
        <v>14.51</v>
      </c>
      <c r="O1198">
        <v>12.891156000000001</v>
      </c>
      <c r="P1198">
        <v>76342300</v>
      </c>
      <c r="R1198" s="273">
        <f>(O1198/O1197)*('16. câmbio USD-BRL'!O994/'16. câmbio USD-BRL'!O993)^-1-1</f>
        <v>3.4141209776596959E-3</v>
      </c>
    </row>
    <row r="1199" spans="10:18" x14ac:dyDescent="0.2">
      <c r="J1199" s="354">
        <v>44900</v>
      </c>
      <c r="K1199">
        <v>14.79</v>
      </c>
      <c r="L1199">
        <v>15.18</v>
      </c>
      <c r="M1199">
        <v>14.02</v>
      </c>
      <c r="N1199">
        <v>14.81</v>
      </c>
      <c r="O1199">
        <v>14.281421</v>
      </c>
      <c r="P1199">
        <v>55719300</v>
      </c>
      <c r="R1199" s="273">
        <f>(O1199/O1198)*('16. câmbio USD-BRL'!O995/'16. câmbio USD-BRL'!O994)^-1-1</f>
        <v>0.10414301557411987</v>
      </c>
    </row>
    <row r="1200" spans="10:18" x14ac:dyDescent="0.2">
      <c r="J1200" s="354">
        <v>44907</v>
      </c>
      <c r="K1200">
        <v>14.65</v>
      </c>
      <c r="L1200">
        <v>14.87</v>
      </c>
      <c r="M1200">
        <v>13.72</v>
      </c>
      <c r="N1200">
        <v>13.91</v>
      </c>
      <c r="O1200">
        <v>13.413542</v>
      </c>
      <c r="P1200">
        <v>71306000</v>
      </c>
      <c r="R1200" s="273">
        <f>(O1200/O1199)*('16. câmbio USD-BRL'!O996/'16. câmbio USD-BRL'!O995)^-1-1</f>
        <v>-7.3425019715248285E-2</v>
      </c>
    </row>
    <row r="1201" spans="10:18" x14ac:dyDescent="0.2">
      <c r="J1201" s="354">
        <v>44914</v>
      </c>
      <c r="K1201">
        <v>13.83</v>
      </c>
      <c r="L1201">
        <v>14.59</v>
      </c>
      <c r="M1201">
        <v>13.33</v>
      </c>
      <c r="N1201">
        <v>13.91</v>
      </c>
      <c r="O1201">
        <v>13.413542</v>
      </c>
      <c r="P1201">
        <v>45906800</v>
      </c>
      <c r="R1201" s="273">
        <f>(O1201/O1200)*('16. câmbio USD-BRL'!O997/'16. câmbio USD-BRL'!O996)^-1-1</f>
        <v>2.7535193540266789E-2</v>
      </c>
    </row>
    <row r="1202" spans="10:18" x14ac:dyDescent="0.2">
      <c r="J1202" s="354">
        <v>44921</v>
      </c>
      <c r="K1202">
        <v>14.1</v>
      </c>
      <c r="L1202">
        <v>15.05</v>
      </c>
      <c r="M1202">
        <v>13.95</v>
      </c>
      <c r="N1202">
        <v>14.55</v>
      </c>
      <c r="O1202">
        <v>14.0307</v>
      </c>
      <c r="P1202">
        <v>44104800</v>
      </c>
      <c r="R1202" s="273">
        <f>(O1202/O1201)*('16. câmbio USD-BRL'!O998/'16. câmbio USD-BRL'!O997)^-1-1</f>
        <v>2.2024368943203365E-2</v>
      </c>
    </row>
    <row r="1203" spans="10:18" x14ac:dyDescent="0.2">
      <c r="J1203" s="354">
        <v>44928</v>
      </c>
      <c r="K1203">
        <v>14.55</v>
      </c>
      <c r="L1203">
        <v>16.73</v>
      </c>
      <c r="M1203">
        <v>14.25</v>
      </c>
      <c r="N1203">
        <v>16.27</v>
      </c>
      <c r="O1203">
        <v>16.27</v>
      </c>
      <c r="P1203">
        <v>59015500</v>
      </c>
      <c r="R1203" s="273">
        <f>(O1203/O1202)*('16. câmbio USD-BRL'!O999/'16. câmbio USD-BRL'!O998)^-1-1</f>
        <v>0.17316168468698789</v>
      </c>
    </row>
    <row r="1204" spans="10:18" x14ac:dyDescent="0.2">
      <c r="J1204" s="354">
        <v>44935</v>
      </c>
      <c r="K1204">
        <v>16.149999999999999</v>
      </c>
      <c r="L1204">
        <v>17.52</v>
      </c>
      <c r="M1204">
        <v>15.96</v>
      </c>
      <c r="N1204">
        <v>16.889999</v>
      </c>
      <c r="O1204">
        <v>16.889999</v>
      </c>
      <c r="P1204">
        <v>49113100</v>
      </c>
      <c r="R1204" s="273">
        <f>(O1204/O1203)*('16. câmbio USD-BRL'!O1000/'16. câmbio USD-BRL'!O999)^-1-1</f>
        <v>6.7468184287408084E-2</v>
      </c>
    </row>
    <row r="1205" spans="10:18" x14ac:dyDescent="0.2">
      <c r="J1205" s="354">
        <v>44942</v>
      </c>
      <c r="K1205">
        <v>16.629999000000002</v>
      </c>
      <c r="L1205">
        <v>18.149999999999999</v>
      </c>
      <c r="M1205">
        <v>16.139999</v>
      </c>
      <c r="N1205">
        <v>17.829999999999998</v>
      </c>
      <c r="O1205">
        <v>17.829999999999998</v>
      </c>
      <c r="P1205">
        <v>44491800</v>
      </c>
      <c r="R1205" s="273">
        <f>(O1205/O1204)*('16. câmbio USD-BRL'!O1001/'16. câmbio USD-BRL'!O1000)^-1-1</f>
        <v>3.0187038885277184E-2</v>
      </c>
    </row>
    <row r="1206" spans="10:18" x14ac:dyDescent="0.2">
      <c r="J1206" s="354">
        <v>44949</v>
      </c>
      <c r="K1206">
        <v>17.84</v>
      </c>
      <c r="L1206">
        <v>18.5</v>
      </c>
      <c r="M1206">
        <v>17.32</v>
      </c>
      <c r="N1206">
        <v>18.200001</v>
      </c>
      <c r="O1206">
        <v>18.200001</v>
      </c>
      <c r="P1206">
        <v>46818700</v>
      </c>
      <c r="R1206" s="273">
        <f>(O1206/O1205)*('16. câmbio USD-BRL'!O1002/'16. câmbio USD-BRL'!O1001)^-1-1</f>
        <v>4.0558240700206749E-2</v>
      </c>
    </row>
    <row r="1207" spans="10:18" x14ac:dyDescent="0.2">
      <c r="J1207" s="354">
        <v>44956</v>
      </c>
      <c r="K1207">
        <v>18.350000000000001</v>
      </c>
      <c r="L1207">
        <v>18.639999</v>
      </c>
      <c r="M1207">
        <v>17.379999000000002</v>
      </c>
      <c r="N1207">
        <v>17.629999000000002</v>
      </c>
      <c r="O1207">
        <v>17.629999000000002</v>
      </c>
      <c r="P1207">
        <v>34386000</v>
      </c>
      <c r="R1207" s="273">
        <f>(O1207/O1206)*('16. câmbio USD-BRL'!O1003/'16. câmbio USD-BRL'!O1002)^-1-1</f>
        <v>-3.9331881174609507E-2</v>
      </c>
    </row>
    <row r="1208" spans="10:18" x14ac:dyDescent="0.2">
      <c r="J1208" s="354">
        <v>44963</v>
      </c>
      <c r="K1208">
        <v>17.700001</v>
      </c>
      <c r="L1208">
        <v>17.700001</v>
      </c>
      <c r="M1208">
        <v>16.860001</v>
      </c>
      <c r="N1208">
        <v>17.059999000000001</v>
      </c>
      <c r="O1208">
        <v>17.059999000000001</v>
      </c>
      <c r="P1208">
        <v>25130500</v>
      </c>
      <c r="R1208" s="273">
        <f>(O1208/O1207)*('16. câmbio USD-BRL'!O1004/'16. câmbio USD-BRL'!O1003)^-1-1</f>
        <v>-4.4154502532008033E-2</v>
      </c>
    </row>
    <row r="1209" spans="10:18" x14ac:dyDescent="0.2">
      <c r="J1209" s="354">
        <v>44970</v>
      </c>
      <c r="K1209">
        <v>16.91</v>
      </c>
      <c r="L1209">
        <v>18.200001</v>
      </c>
      <c r="M1209">
        <v>16.530000999999999</v>
      </c>
      <c r="N1209">
        <v>17.399999999999999</v>
      </c>
      <c r="O1209">
        <v>17.399999999999999</v>
      </c>
      <c r="P1209">
        <v>33346400</v>
      </c>
      <c r="R1209" s="273">
        <f>(O1209/O1208)*('16. câmbio USD-BRL'!O1005/'16. câmbio USD-BRL'!O1004)^-1-1</f>
        <v>2.9965637015633151E-2</v>
      </c>
    </row>
    <row r="1210" spans="10:18" x14ac:dyDescent="0.2">
      <c r="J1210" s="354">
        <v>44977</v>
      </c>
      <c r="K1210">
        <v>17.399999999999999</v>
      </c>
      <c r="L1210">
        <v>17.75</v>
      </c>
      <c r="M1210">
        <v>16.440000999999999</v>
      </c>
      <c r="N1210">
        <v>16.52</v>
      </c>
      <c r="O1210">
        <v>16.52</v>
      </c>
      <c r="P1210">
        <v>19417100</v>
      </c>
      <c r="R1210" s="273">
        <f>(O1210/O1209)*('16. câmbio USD-BRL'!O1006/'16. câmbio USD-BRL'!O1005)^-1-1</f>
        <v>-5.8796818035545928E-2</v>
      </c>
    </row>
    <row r="1211" spans="10:18" x14ac:dyDescent="0.2">
      <c r="J1211" s="354">
        <v>44984</v>
      </c>
      <c r="K1211">
        <v>16.43</v>
      </c>
      <c r="L1211">
        <v>18.52</v>
      </c>
      <c r="M1211">
        <v>16.389999</v>
      </c>
      <c r="N1211">
        <v>18.239999999999998</v>
      </c>
      <c r="O1211">
        <v>18.239999999999998</v>
      </c>
      <c r="P1211">
        <v>45381900</v>
      </c>
      <c r="R1211" s="273">
        <f>(O1211/O1210)*('16. câmbio USD-BRL'!O1007/'16. câmbio USD-BRL'!O1006)^-1-1</f>
        <v>0.1069645127235177</v>
      </c>
    </row>
    <row r="1212" spans="10:18" x14ac:dyDescent="0.2">
      <c r="J1212" s="354">
        <v>44991</v>
      </c>
      <c r="K1212">
        <v>17.889999</v>
      </c>
      <c r="L1212">
        <v>18.049999</v>
      </c>
      <c r="M1212">
        <v>17.120000999999998</v>
      </c>
      <c r="N1212">
        <v>17.989999999999998</v>
      </c>
      <c r="O1212">
        <v>17.989999999999998</v>
      </c>
      <c r="P1212">
        <v>27479100</v>
      </c>
      <c r="R1212" s="273">
        <f>(O1212/O1211)*('16. câmbio USD-BRL'!O1008/'16. câmbio USD-BRL'!O1007)^-1-1</f>
        <v>-1.7715157496471567E-2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1B0B72EC-05F3-4365-9347-1BABFD6016B9}"/>
  </hyperlink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D572-956C-4EC3-A736-D7AC78DA30F7}">
  <sheetPr>
    <tabColor theme="7" tint="0.79998168889431442"/>
  </sheetPr>
  <dimension ref="A1:X1563"/>
  <sheetViews>
    <sheetView topLeftCell="A67" workbookViewId="0">
      <selection activeCell="I15" sqref="I15"/>
    </sheetView>
  </sheetViews>
  <sheetFormatPr baseColWidth="10" defaultColWidth="9.1640625" defaultRowHeight="15" x14ac:dyDescent="0.2"/>
  <cols>
    <col min="1" max="1" width="10.6640625" style="29" bestFit="1" customWidth="1"/>
    <col min="2" max="6" width="12" style="29" bestFit="1" customWidth="1"/>
    <col min="7" max="7" width="11.1640625" style="29" bestFit="1" customWidth="1"/>
    <col min="8" max="8" width="15.5" style="50" bestFit="1" customWidth="1"/>
    <col min="9" max="12" width="36.33203125" style="50" customWidth="1"/>
    <col min="13" max="13" width="9.1640625" style="29"/>
    <col min="14" max="14" width="17.5" style="29" bestFit="1" customWidth="1"/>
    <col min="15" max="19" width="12" style="29" bestFit="1" customWidth="1"/>
    <col min="20" max="20" width="11.1640625" style="29" bestFit="1" customWidth="1"/>
    <col min="21" max="21" width="16.6640625" style="50" bestFit="1" customWidth="1"/>
    <col min="22" max="16384" width="9.1640625" style="29"/>
  </cols>
  <sheetData>
    <row r="1" spans="1:24" ht="15" customHeight="1" x14ac:dyDescent="0.2">
      <c r="A1" s="529" t="s">
        <v>102</v>
      </c>
      <c r="B1" s="529"/>
      <c r="C1" s="529"/>
      <c r="D1" s="529"/>
      <c r="E1" s="529"/>
      <c r="F1" s="529"/>
      <c r="G1" s="529"/>
      <c r="I1" s="531" t="s">
        <v>3097</v>
      </c>
      <c r="J1" s="533" t="s">
        <v>615</v>
      </c>
      <c r="K1" s="533" t="s">
        <v>616</v>
      </c>
      <c r="L1" s="533" t="s">
        <v>617</v>
      </c>
      <c r="M1"/>
      <c r="N1" s="529" t="s">
        <v>103</v>
      </c>
      <c r="O1" s="529"/>
      <c r="P1" s="529"/>
      <c r="Q1" s="529"/>
      <c r="R1" s="529"/>
      <c r="S1" s="529"/>
      <c r="T1" s="529"/>
      <c r="W1" s="47" t="s">
        <v>61</v>
      </c>
      <c r="X1" s="154" t="s">
        <v>113</v>
      </c>
    </row>
    <row r="2" spans="1:24" x14ac:dyDescent="0.2">
      <c r="A2" s="51" t="s">
        <v>104</v>
      </c>
      <c r="B2" s="51" t="s">
        <v>105</v>
      </c>
      <c r="C2" s="51" t="s">
        <v>106</v>
      </c>
      <c r="D2" s="51" t="s">
        <v>107</v>
      </c>
      <c r="E2" s="51" t="s">
        <v>108</v>
      </c>
      <c r="F2" s="51" t="s">
        <v>109</v>
      </c>
      <c r="G2" s="51" t="s">
        <v>75</v>
      </c>
      <c r="H2" s="48" t="s">
        <v>598</v>
      </c>
      <c r="I2" s="532"/>
      <c r="J2" s="532"/>
      <c r="K2" s="532"/>
      <c r="L2" s="532"/>
      <c r="N2" s="51" t="s">
        <v>104</v>
      </c>
      <c r="O2" s="51" t="s">
        <v>105</v>
      </c>
      <c r="P2" s="51" t="s">
        <v>106</v>
      </c>
      <c r="Q2" s="51" t="s">
        <v>107</v>
      </c>
      <c r="R2" s="51" t="s">
        <v>108</v>
      </c>
      <c r="S2" s="51" t="s">
        <v>109</v>
      </c>
      <c r="T2" s="51" t="s">
        <v>75</v>
      </c>
      <c r="U2" s="48" t="s">
        <v>599</v>
      </c>
      <c r="V2" s="155" t="s">
        <v>114</v>
      </c>
    </row>
    <row r="3" spans="1:24" x14ac:dyDescent="0.2">
      <c r="A3" s="56">
        <v>34090</v>
      </c>
      <c r="B3" s="51">
        <v>24.1</v>
      </c>
      <c r="C3" s="51">
        <v>35.599997999999999</v>
      </c>
      <c r="D3" s="51">
        <v>23.799999</v>
      </c>
      <c r="E3" s="51">
        <v>34.900002000000001</v>
      </c>
      <c r="F3" s="51">
        <v>34.900002000000001</v>
      </c>
      <c r="G3" s="51">
        <v>0</v>
      </c>
      <c r="I3" s="53"/>
      <c r="J3" s="53"/>
      <c r="K3" s="53"/>
      <c r="N3" s="52">
        <v>34085</v>
      </c>
      <c r="O3" s="51">
        <v>24.799999</v>
      </c>
      <c r="P3" s="51">
        <v>25.4</v>
      </c>
      <c r="Q3" s="51">
        <v>23.700001</v>
      </c>
      <c r="R3" s="51">
        <v>24.1</v>
      </c>
      <c r="S3" s="51">
        <v>24.1</v>
      </c>
      <c r="T3" s="51">
        <v>0</v>
      </c>
    </row>
    <row r="4" spans="1:24" x14ac:dyDescent="0.2">
      <c r="A4" s="56">
        <v>34121</v>
      </c>
      <c r="B4" s="51">
        <v>35.400002000000001</v>
      </c>
      <c r="C4" s="51">
        <v>54.799999</v>
      </c>
      <c r="D4" s="51">
        <v>35.400002000000001</v>
      </c>
      <c r="E4" s="51">
        <v>53.700001</v>
      </c>
      <c r="F4" s="51">
        <v>53.700001</v>
      </c>
      <c r="G4" s="51">
        <v>0</v>
      </c>
      <c r="H4" s="53">
        <f>F4/F3-1</f>
        <v>0.53868188890075142</v>
      </c>
      <c r="I4" s="53"/>
      <c r="J4" s="435"/>
      <c r="K4" s="53"/>
      <c r="L4" s="53"/>
      <c r="N4" s="52">
        <v>34092</v>
      </c>
      <c r="O4" s="51">
        <v>24.1</v>
      </c>
      <c r="P4" s="51">
        <v>26.1</v>
      </c>
      <c r="Q4" s="51">
        <v>23.799999</v>
      </c>
      <c r="R4" s="51">
        <v>25.799999</v>
      </c>
      <c r="S4" s="51">
        <v>25.799999</v>
      </c>
      <c r="T4" s="51">
        <v>0</v>
      </c>
      <c r="U4" s="53">
        <f>S4/S3-1</f>
        <v>7.053937759336093E-2</v>
      </c>
    </row>
    <row r="5" spans="1:24" x14ac:dyDescent="0.2">
      <c r="A5" s="56">
        <v>34151</v>
      </c>
      <c r="B5" s="51">
        <v>53.700001</v>
      </c>
      <c r="C5" s="51">
        <v>67.400002000000001</v>
      </c>
      <c r="D5" s="51">
        <v>51.700001</v>
      </c>
      <c r="E5" s="51">
        <v>65.599997999999999</v>
      </c>
      <c r="F5" s="51">
        <v>65.599997999999999</v>
      </c>
      <c r="G5" s="51">
        <v>0</v>
      </c>
      <c r="H5" s="53">
        <f t="shared" ref="H5:H68" si="0">F5/F4-1</f>
        <v>0.22160142976533659</v>
      </c>
      <c r="I5" s="53"/>
      <c r="J5" s="436"/>
      <c r="K5" s="53"/>
      <c r="L5" s="53"/>
      <c r="N5" s="52">
        <v>34099</v>
      </c>
      <c r="O5" s="51">
        <v>25.799999</v>
      </c>
      <c r="P5" s="51">
        <v>27.9</v>
      </c>
      <c r="Q5" s="51">
        <v>25.1</v>
      </c>
      <c r="R5" s="51">
        <v>27.799999</v>
      </c>
      <c r="S5" s="51">
        <v>27.799999</v>
      </c>
      <c r="T5" s="51">
        <v>0</v>
      </c>
      <c r="U5" s="53">
        <f t="shared" ref="U5:U68" si="1">S5/S4-1</f>
        <v>7.7519382849588592E-2</v>
      </c>
    </row>
    <row r="6" spans="1:24" x14ac:dyDescent="0.2">
      <c r="A6" s="56">
        <v>34182</v>
      </c>
      <c r="B6" s="51">
        <v>65.599997999999999</v>
      </c>
      <c r="C6" s="51">
        <v>100.099998</v>
      </c>
      <c r="D6" s="51">
        <v>60.599997999999999</v>
      </c>
      <c r="E6" s="51">
        <v>96.400002000000001</v>
      </c>
      <c r="F6" s="51">
        <v>96.400002000000001</v>
      </c>
      <c r="G6" s="51">
        <v>0</v>
      </c>
      <c r="H6" s="53">
        <f t="shared" si="0"/>
        <v>0.46951227041195942</v>
      </c>
      <c r="I6" s="53"/>
      <c r="J6" s="53"/>
      <c r="K6" s="53"/>
      <c r="L6" s="53"/>
      <c r="N6" s="52">
        <v>34106</v>
      </c>
      <c r="O6" s="51">
        <v>27.799999</v>
      </c>
      <c r="P6" s="51">
        <v>33.5</v>
      </c>
      <c r="Q6" s="51">
        <v>27.700001</v>
      </c>
      <c r="R6" s="51">
        <v>33.200001</v>
      </c>
      <c r="S6" s="51">
        <v>33.200001</v>
      </c>
      <c r="T6" s="51">
        <v>0</v>
      </c>
      <c r="U6" s="53">
        <f t="shared" si="1"/>
        <v>0.19424468324621169</v>
      </c>
    </row>
    <row r="7" spans="1:24" x14ac:dyDescent="0.2">
      <c r="A7" s="56">
        <v>34213</v>
      </c>
      <c r="B7" s="51">
        <v>96.400002000000001</v>
      </c>
      <c r="C7" s="51">
        <v>150.300003</v>
      </c>
      <c r="D7" s="51">
        <v>96.400002000000001</v>
      </c>
      <c r="E7" s="51">
        <v>146.60000600000001</v>
      </c>
      <c r="F7" s="51">
        <v>146.60000600000001</v>
      </c>
      <c r="G7" s="51">
        <v>0</v>
      </c>
      <c r="H7" s="53">
        <f t="shared" si="0"/>
        <v>0.52074691865670308</v>
      </c>
      <c r="I7" s="53"/>
      <c r="J7" s="53"/>
      <c r="K7" s="53"/>
      <c r="L7" s="53"/>
      <c r="N7" s="52">
        <v>34113</v>
      </c>
      <c r="O7" s="51">
        <v>33.200001</v>
      </c>
      <c r="P7" s="51">
        <v>35.599997999999999</v>
      </c>
      <c r="Q7" s="51">
        <v>33.200001</v>
      </c>
      <c r="R7" s="51">
        <v>34.900002000000001</v>
      </c>
      <c r="S7" s="51">
        <v>34.900002000000001</v>
      </c>
      <c r="T7" s="51">
        <v>0</v>
      </c>
      <c r="U7" s="53">
        <f t="shared" si="1"/>
        <v>5.120484785527557E-2</v>
      </c>
    </row>
    <row r="8" spans="1:24" x14ac:dyDescent="0.2">
      <c r="A8" s="56">
        <v>34243</v>
      </c>
      <c r="B8" s="51">
        <v>146.60000600000001</v>
      </c>
      <c r="C8" s="51">
        <v>207</v>
      </c>
      <c r="D8" s="51">
        <v>146.60000600000001</v>
      </c>
      <c r="E8" s="51">
        <v>184.39999399999999</v>
      </c>
      <c r="F8" s="51">
        <v>184.39999399999999</v>
      </c>
      <c r="G8" s="51">
        <v>0</v>
      </c>
      <c r="H8" s="53">
        <f t="shared" si="0"/>
        <v>0.2578443823528902</v>
      </c>
      <c r="I8" s="53"/>
      <c r="J8" s="53"/>
      <c r="K8" s="53"/>
      <c r="L8" s="53"/>
      <c r="N8" s="52">
        <v>34120</v>
      </c>
      <c r="O8" s="51">
        <v>34.900002000000001</v>
      </c>
      <c r="P8" s="51">
        <v>42</v>
      </c>
      <c r="Q8" s="51">
        <v>34.900002000000001</v>
      </c>
      <c r="R8" s="51">
        <v>41.200001</v>
      </c>
      <c r="S8" s="51">
        <v>41.200001</v>
      </c>
      <c r="T8" s="51">
        <v>0</v>
      </c>
      <c r="U8" s="53">
        <f t="shared" si="1"/>
        <v>0.18051572031428531</v>
      </c>
    </row>
    <row r="9" spans="1:24" x14ac:dyDescent="0.2">
      <c r="A9" s="56">
        <v>34274</v>
      </c>
      <c r="B9" s="51">
        <v>184.39999399999999</v>
      </c>
      <c r="C9" s="51">
        <v>287</v>
      </c>
      <c r="D9" s="51">
        <v>184.39999399999999</v>
      </c>
      <c r="E9" s="51">
        <v>274</v>
      </c>
      <c r="F9" s="51">
        <v>274</v>
      </c>
      <c r="G9" s="51">
        <v>0</v>
      </c>
      <c r="H9" s="53">
        <f t="shared" si="0"/>
        <v>0.48590026526790453</v>
      </c>
      <c r="I9" s="53"/>
      <c r="J9" s="53"/>
      <c r="K9" s="53"/>
      <c r="L9" s="53"/>
      <c r="N9" s="52">
        <v>34127</v>
      </c>
      <c r="O9" s="51">
        <v>41</v>
      </c>
      <c r="P9" s="51">
        <v>44.900002000000001</v>
      </c>
      <c r="Q9" s="51">
        <v>41</v>
      </c>
      <c r="R9" s="51">
        <v>44.900002000000001</v>
      </c>
      <c r="S9" s="51">
        <v>44.900002000000001</v>
      </c>
      <c r="T9" s="51">
        <v>0</v>
      </c>
      <c r="U9" s="53">
        <f t="shared" si="1"/>
        <v>8.9805847334809563E-2</v>
      </c>
    </row>
    <row r="10" spans="1:24" x14ac:dyDescent="0.2">
      <c r="A10" s="56">
        <v>34304</v>
      </c>
      <c r="B10" s="51">
        <v>274</v>
      </c>
      <c r="C10" s="51">
        <v>378.60000600000001</v>
      </c>
      <c r="D10" s="51">
        <v>266.79998799999998</v>
      </c>
      <c r="E10" s="51">
        <v>375.5</v>
      </c>
      <c r="F10" s="51">
        <v>375.5</v>
      </c>
      <c r="G10" s="51">
        <v>0</v>
      </c>
      <c r="H10" s="53">
        <f t="shared" si="0"/>
        <v>0.37043795620437958</v>
      </c>
      <c r="I10" s="53"/>
      <c r="J10" s="53"/>
      <c r="K10" s="53"/>
      <c r="L10" s="53"/>
      <c r="N10" s="52">
        <v>34134</v>
      </c>
      <c r="O10" s="51">
        <v>44.900002000000001</v>
      </c>
      <c r="P10" s="51">
        <v>53.099997999999999</v>
      </c>
      <c r="Q10" s="51">
        <v>44.400002000000001</v>
      </c>
      <c r="R10" s="51">
        <v>47.400002000000001</v>
      </c>
      <c r="S10" s="51">
        <v>47.400002000000001</v>
      </c>
      <c r="T10" s="51">
        <v>0</v>
      </c>
      <c r="U10" s="53">
        <f t="shared" si="1"/>
        <v>5.5679284824976083E-2</v>
      </c>
    </row>
    <row r="11" spans="1:24" x14ac:dyDescent="0.2">
      <c r="A11" s="56">
        <v>34335</v>
      </c>
      <c r="B11" s="51">
        <v>375.5</v>
      </c>
      <c r="C11" s="51">
        <v>741.70001200000002</v>
      </c>
      <c r="D11" s="51">
        <v>373.39999399999999</v>
      </c>
      <c r="E11" s="51">
        <v>740.59997599999997</v>
      </c>
      <c r="F11" s="51">
        <v>740.59997599999997</v>
      </c>
      <c r="G11" s="51">
        <v>0</v>
      </c>
      <c r="H11" s="53">
        <f t="shared" si="0"/>
        <v>0.97230353129161107</v>
      </c>
      <c r="I11" s="53"/>
      <c r="J11" s="53"/>
      <c r="K11" s="53"/>
      <c r="L11" s="53"/>
      <c r="N11" s="52">
        <v>34141</v>
      </c>
      <c r="O11" s="51">
        <v>47.400002000000001</v>
      </c>
      <c r="P11" s="51">
        <v>52.200001</v>
      </c>
      <c r="Q11" s="51">
        <v>47.099997999999999</v>
      </c>
      <c r="R11" s="51">
        <v>52.200001</v>
      </c>
      <c r="S11" s="51">
        <v>52.200001</v>
      </c>
      <c r="T11" s="51">
        <v>0</v>
      </c>
      <c r="U11" s="53">
        <f t="shared" si="1"/>
        <v>0.10126579741494535</v>
      </c>
    </row>
    <row r="12" spans="1:24" x14ac:dyDescent="0.2">
      <c r="A12" s="56">
        <v>34366</v>
      </c>
      <c r="B12" s="51">
        <v>740.59997599999997</v>
      </c>
      <c r="C12" s="51">
        <v>1116</v>
      </c>
      <c r="D12" s="51">
        <v>740.59997599999997</v>
      </c>
      <c r="E12" s="51">
        <v>1053.900024</v>
      </c>
      <c r="F12" s="51">
        <v>1053.900024</v>
      </c>
      <c r="G12" s="51">
        <v>0</v>
      </c>
      <c r="H12" s="53">
        <f t="shared" si="0"/>
        <v>0.42303545524284503</v>
      </c>
      <c r="I12" s="53"/>
      <c r="J12" s="53"/>
      <c r="K12" s="53"/>
      <c r="L12" s="53"/>
      <c r="N12" s="52">
        <v>34148</v>
      </c>
      <c r="O12" s="51">
        <v>52.200001</v>
      </c>
      <c r="P12" s="51">
        <v>55.099997999999999</v>
      </c>
      <c r="Q12" s="51">
        <v>51</v>
      </c>
      <c r="R12" s="51">
        <v>52.299999</v>
      </c>
      <c r="S12" s="51">
        <v>52.299999</v>
      </c>
      <c r="T12" s="51">
        <v>0</v>
      </c>
      <c r="U12" s="53">
        <f t="shared" si="1"/>
        <v>1.9156704613856324E-3</v>
      </c>
    </row>
    <row r="13" spans="1:24" x14ac:dyDescent="0.2">
      <c r="A13" s="56">
        <v>34394</v>
      </c>
      <c r="B13" s="51">
        <v>1053.900024</v>
      </c>
      <c r="C13" s="51">
        <v>1542.1999510000001</v>
      </c>
      <c r="D13" s="51">
        <v>1013.799988</v>
      </c>
      <c r="E13" s="51">
        <v>1515.599976</v>
      </c>
      <c r="F13" s="51">
        <v>1515.599976</v>
      </c>
      <c r="G13" s="51">
        <v>0</v>
      </c>
      <c r="H13" s="53">
        <f t="shared" si="0"/>
        <v>0.43808704951694732</v>
      </c>
      <c r="I13" s="53"/>
      <c r="J13" s="53"/>
      <c r="K13" s="53"/>
      <c r="L13" s="53"/>
      <c r="N13" s="52">
        <v>34155</v>
      </c>
      <c r="O13" s="51">
        <v>53.900002000000001</v>
      </c>
      <c r="P13" s="51">
        <v>58.799999</v>
      </c>
      <c r="Q13" s="51">
        <v>53.799999</v>
      </c>
      <c r="R13" s="51">
        <v>58.799999</v>
      </c>
      <c r="S13" s="51">
        <v>58.799999</v>
      </c>
      <c r="T13" s="51">
        <v>0</v>
      </c>
      <c r="U13" s="53">
        <f t="shared" si="1"/>
        <v>0.12428298516793479</v>
      </c>
    </row>
    <row r="14" spans="1:24" x14ac:dyDescent="0.2">
      <c r="A14" s="56">
        <v>34425</v>
      </c>
      <c r="B14" s="51">
        <v>1515.599976</v>
      </c>
      <c r="C14" s="51">
        <v>1732.599976</v>
      </c>
      <c r="D14" s="51">
        <v>1280.1999510000001</v>
      </c>
      <c r="E14" s="51">
        <v>1708.400024</v>
      </c>
      <c r="F14" s="51">
        <v>1708.400024</v>
      </c>
      <c r="G14" s="51">
        <v>0</v>
      </c>
      <c r="H14" s="53">
        <f t="shared" si="0"/>
        <v>0.1272103794227033</v>
      </c>
      <c r="I14" s="53"/>
      <c r="J14" s="53"/>
      <c r="K14" s="53"/>
      <c r="L14" s="53"/>
      <c r="N14" s="52">
        <v>34162</v>
      </c>
      <c r="O14" s="51">
        <v>58.799999</v>
      </c>
      <c r="P14" s="51">
        <v>60.599997999999999</v>
      </c>
      <c r="Q14" s="51">
        <v>56.5</v>
      </c>
      <c r="R14" s="51">
        <v>58.299999</v>
      </c>
      <c r="S14" s="51">
        <v>58.299999</v>
      </c>
      <c r="T14" s="51">
        <v>0</v>
      </c>
      <c r="U14" s="53">
        <f t="shared" si="1"/>
        <v>-8.5034015051599354E-3</v>
      </c>
    </row>
    <row r="15" spans="1:24" x14ac:dyDescent="0.2">
      <c r="A15" s="56">
        <v>34455</v>
      </c>
      <c r="B15" s="51">
        <v>1708.400024</v>
      </c>
      <c r="C15" s="51">
        <v>2516.8999020000001</v>
      </c>
      <c r="D15" s="51">
        <v>1325.5</v>
      </c>
      <c r="E15" s="51">
        <v>2467.1999510000001</v>
      </c>
      <c r="F15" s="51">
        <v>2467.1999510000001</v>
      </c>
      <c r="G15" s="51">
        <v>0</v>
      </c>
      <c r="H15" s="53">
        <f t="shared" si="0"/>
        <v>0.44415822778049785</v>
      </c>
      <c r="I15" s="53">
        <f t="shared" ref="I15:I76" si="2">F15/F3-1</f>
        <v>69.693404286910933</v>
      </c>
      <c r="J15" s="53"/>
      <c r="K15" s="53"/>
      <c r="L15" s="53"/>
      <c r="N15" s="52">
        <v>34169</v>
      </c>
      <c r="O15" s="51">
        <v>58.299999</v>
      </c>
      <c r="P15" s="51">
        <v>64.300003000000004</v>
      </c>
      <c r="Q15" s="51">
        <v>58.299999</v>
      </c>
      <c r="R15" s="51">
        <v>63.5</v>
      </c>
      <c r="S15" s="51">
        <v>63.5</v>
      </c>
      <c r="T15" s="51">
        <v>0</v>
      </c>
      <c r="U15" s="53">
        <f t="shared" si="1"/>
        <v>8.9193843725451805E-2</v>
      </c>
    </row>
    <row r="16" spans="1:24" x14ac:dyDescent="0.2">
      <c r="A16" s="56">
        <v>34486</v>
      </c>
      <c r="B16" s="51">
        <v>2467.1999510000001</v>
      </c>
      <c r="C16" s="51">
        <v>3885.6999510000001</v>
      </c>
      <c r="D16" s="51">
        <v>2437.1000979999999</v>
      </c>
      <c r="E16" s="51">
        <v>3623.1999510000001</v>
      </c>
      <c r="F16" s="51">
        <v>3623.1999510000001</v>
      </c>
      <c r="G16" s="51">
        <v>0</v>
      </c>
      <c r="H16" s="53">
        <f t="shared" si="0"/>
        <v>0.46854735042105222</v>
      </c>
      <c r="I16" s="53">
        <f t="shared" si="2"/>
        <v>66.471133771487274</v>
      </c>
      <c r="J16" s="53"/>
      <c r="K16" s="53"/>
      <c r="L16" s="53"/>
      <c r="N16" s="52">
        <v>34176</v>
      </c>
      <c r="O16" s="51">
        <v>63.5</v>
      </c>
      <c r="P16" s="51">
        <v>67.400002000000001</v>
      </c>
      <c r="Q16" s="51">
        <v>61.099997999999999</v>
      </c>
      <c r="R16" s="51">
        <v>65.599997999999999</v>
      </c>
      <c r="S16" s="51">
        <v>65.599997999999999</v>
      </c>
      <c r="T16" s="51">
        <v>0</v>
      </c>
      <c r="U16" s="53">
        <f t="shared" si="1"/>
        <v>3.3070834645669178E-2</v>
      </c>
    </row>
    <row r="17" spans="1:21" x14ac:dyDescent="0.2">
      <c r="A17" s="56">
        <v>34516</v>
      </c>
      <c r="B17" s="51">
        <v>3623.1999510000001</v>
      </c>
      <c r="C17" s="51">
        <v>4272.7998049999997</v>
      </c>
      <c r="D17" s="51">
        <v>3486</v>
      </c>
      <c r="E17" s="51">
        <v>4201.2998049999997</v>
      </c>
      <c r="F17" s="51">
        <v>4201.2998049999997</v>
      </c>
      <c r="G17" s="51">
        <v>0</v>
      </c>
      <c r="H17" s="53">
        <f t="shared" si="0"/>
        <v>0.15955505128565828</v>
      </c>
      <c r="I17" s="53">
        <f t="shared" si="2"/>
        <v>63.044206297079455</v>
      </c>
      <c r="J17" s="53"/>
      <c r="K17" s="53"/>
      <c r="L17" s="53"/>
      <c r="N17" s="52">
        <v>34183</v>
      </c>
      <c r="O17" s="51">
        <v>65.599997999999999</v>
      </c>
      <c r="P17" s="51">
        <v>65.699996999999996</v>
      </c>
      <c r="Q17" s="51">
        <v>60.599997999999999</v>
      </c>
      <c r="R17" s="51">
        <v>64.199996999999996</v>
      </c>
      <c r="S17" s="51">
        <v>64.199996999999996</v>
      </c>
      <c r="T17" s="51">
        <v>0</v>
      </c>
      <c r="U17" s="53">
        <f t="shared" si="1"/>
        <v>-2.1341479309191502E-2</v>
      </c>
    </row>
    <row r="18" spans="1:21" x14ac:dyDescent="0.2">
      <c r="A18" s="56">
        <v>34547</v>
      </c>
      <c r="B18" s="51">
        <v>4201.2998049999997</v>
      </c>
      <c r="C18" s="51">
        <v>5443.2998049999997</v>
      </c>
      <c r="D18" s="51">
        <v>4091.1000979999999</v>
      </c>
      <c r="E18" s="51">
        <v>5329.5</v>
      </c>
      <c r="F18" s="51">
        <v>5329.5</v>
      </c>
      <c r="G18" s="51">
        <v>0</v>
      </c>
      <c r="H18" s="53">
        <f t="shared" si="0"/>
        <v>0.26853598823328917</v>
      </c>
      <c r="I18" s="53">
        <f t="shared" si="2"/>
        <v>54.285268562546293</v>
      </c>
      <c r="J18" s="53"/>
      <c r="K18" s="53"/>
      <c r="L18" s="53"/>
      <c r="N18" s="52">
        <v>34190</v>
      </c>
      <c r="O18" s="51">
        <v>64.199996999999996</v>
      </c>
      <c r="P18" s="51">
        <v>75.099997999999999</v>
      </c>
      <c r="Q18" s="51">
        <v>63.700001</v>
      </c>
      <c r="R18" s="51">
        <v>72.699996999999996</v>
      </c>
      <c r="S18" s="51">
        <v>72.699996999999996</v>
      </c>
      <c r="T18" s="51">
        <v>0</v>
      </c>
      <c r="U18" s="53">
        <f t="shared" si="1"/>
        <v>0.13239876008093887</v>
      </c>
    </row>
    <row r="19" spans="1:21" x14ac:dyDescent="0.2">
      <c r="A19" s="56">
        <v>34578</v>
      </c>
      <c r="B19" s="51">
        <v>5329.5</v>
      </c>
      <c r="C19" s="51">
        <v>5637.7001950000003</v>
      </c>
      <c r="D19" s="51">
        <v>4792.5</v>
      </c>
      <c r="E19" s="51">
        <v>5484</v>
      </c>
      <c r="F19" s="51">
        <v>5484</v>
      </c>
      <c r="G19" s="51">
        <v>0</v>
      </c>
      <c r="H19" s="53">
        <f t="shared" si="0"/>
        <v>2.8989586265128153E-2</v>
      </c>
      <c r="I19" s="53">
        <f t="shared" si="2"/>
        <v>36.40791115656571</v>
      </c>
      <c r="J19" s="53"/>
      <c r="K19" s="53"/>
      <c r="L19" s="53"/>
      <c r="N19" s="52">
        <v>34197</v>
      </c>
      <c r="O19" s="51">
        <v>72.699996999999996</v>
      </c>
      <c r="P19" s="51">
        <v>89.199996999999996</v>
      </c>
      <c r="Q19" s="51">
        <v>72.699996999999996</v>
      </c>
      <c r="R19" s="51">
        <v>88.300003000000004</v>
      </c>
      <c r="S19" s="51">
        <v>88.300003000000004</v>
      </c>
      <c r="T19" s="51">
        <v>0</v>
      </c>
      <c r="U19" s="53">
        <f t="shared" si="1"/>
        <v>0.21458055906109608</v>
      </c>
    </row>
    <row r="20" spans="1:21" x14ac:dyDescent="0.2">
      <c r="A20" s="56">
        <v>34608</v>
      </c>
      <c r="B20" s="51">
        <v>5484</v>
      </c>
      <c r="C20" s="51">
        <v>5528.2998049999997</v>
      </c>
      <c r="D20" s="51">
        <v>4283.7001950000003</v>
      </c>
      <c r="E20" s="51">
        <v>4797.8999020000001</v>
      </c>
      <c r="F20" s="51">
        <v>4797.8999020000001</v>
      </c>
      <c r="G20" s="51">
        <v>0</v>
      </c>
      <c r="H20" s="53">
        <f t="shared" si="0"/>
        <v>-0.12510942706053974</v>
      </c>
      <c r="I20" s="53">
        <f t="shared" si="2"/>
        <v>25.018980792374649</v>
      </c>
      <c r="J20" s="53"/>
      <c r="K20" s="53"/>
      <c r="L20" s="53"/>
      <c r="N20" s="52">
        <v>34204</v>
      </c>
      <c r="O20" s="51">
        <v>88.300003000000004</v>
      </c>
      <c r="P20" s="51">
        <v>99.800003000000004</v>
      </c>
      <c r="Q20" s="51">
        <v>87.300003000000004</v>
      </c>
      <c r="R20" s="51">
        <v>97.300003000000004</v>
      </c>
      <c r="S20" s="51">
        <v>97.300003000000004</v>
      </c>
      <c r="T20" s="51">
        <v>0</v>
      </c>
      <c r="U20" s="53">
        <f t="shared" si="1"/>
        <v>0.10192525135021802</v>
      </c>
    </row>
    <row r="21" spans="1:21" x14ac:dyDescent="0.2">
      <c r="A21" s="56">
        <v>34639</v>
      </c>
      <c r="B21" s="51">
        <v>4744.8999020000001</v>
      </c>
      <c r="C21" s="51">
        <v>5086.2001950000003</v>
      </c>
      <c r="D21" s="51">
        <v>4219.2001950000003</v>
      </c>
      <c r="E21" s="51">
        <v>4656</v>
      </c>
      <c r="F21" s="51">
        <v>4656</v>
      </c>
      <c r="G21" s="51">
        <v>0</v>
      </c>
      <c r="H21" s="53">
        <f t="shared" si="0"/>
        <v>-2.9575419433166883E-2</v>
      </c>
      <c r="I21" s="53">
        <f t="shared" si="2"/>
        <v>15.992700729927009</v>
      </c>
      <c r="J21" s="53"/>
      <c r="K21" s="53"/>
      <c r="L21" s="53"/>
      <c r="N21" s="52">
        <v>34211</v>
      </c>
      <c r="O21" s="51">
        <v>97.300003000000004</v>
      </c>
      <c r="P21" s="51">
        <v>111.900002</v>
      </c>
      <c r="Q21" s="51">
        <v>95.300003000000004</v>
      </c>
      <c r="R21" s="51">
        <v>111.800003</v>
      </c>
      <c r="S21" s="51">
        <v>111.800003</v>
      </c>
      <c r="T21" s="51">
        <v>0</v>
      </c>
      <c r="U21" s="53">
        <f t="shared" si="1"/>
        <v>0.14902363363750348</v>
      </c>
    </row>
    <row r="22" spans="1:21" x14ac:dyDescent="0.2">
      <c r="A22" s="56">
        <v>34669</v>
      </c>
      <c r="B22" s="51">
        <v>4656</v>
      </c>
      <c r="C22" s="51">
        <v>5023.3999020000001</v>
      </c>
      <c r="D22" s="51">
        <v>3990.8000489999999</v>
      </c>
      <c r="E22" s="51">
        <v>4353.8999020000001</v>
      </c>
      <c r="F22" s="51">
        <v>4353.8999020000001</v>
      </c>
      <c r="G22" s="51">
        <v>0</v>
      </c>
      <c r="H22" s="53">
        <f t="shared" si="0"/>
        <v>-6.4884041666666614E-2</v>
      </c>
      <c r="I22" s="53">
        <f t="shared" si="2"/>
        <v>10.594939818908124</v>
      </c>
      <c r="J22" s="53"/>
      <c r="K22" s="53"/>
      <c r="L22" s="53"/>
      <c r="N22" s="52">
        <v>34218</v>
      </c>
      <c r="O22" s="51">
        <v>111.800003</v>
      </c>
      <c r="P22" s="51">
        <v>123.699997</v>
      </c>
      <c r="Q22" s="51">
        <v>111.800003</v>
      </c>
      <c r="R22" s="51">
        <v>123.099998</v>
      </c>
      <c r="S22" s="51">
        <v>123.099998</v>
      </c>
      <c r="T22" s="51">
        <v>0</v>
      </c>
      <c r="U22" s="53">
        <f t="shared" si="1"/>
        <v>0.10107329782450902</v>
      </c>
    </row>
    <row r="23" spans="1:21" x14ac:dyDescent="0.2">
      <c r="A23" s="56">
        <v>34700</v>
      </c>
      <c r="B23" s="51">
        <v>4353.8999020000001</v>
      </c>
      <c r="C23" s="51">
        <v>4397.6000979999999</v>
      </c>
      <c r="D23" s="51">
        <v>3108.6000979999999</v>
      </c>
      <c r="E23" s="51">
        <v>3885</v>
      </c>
      <c r="F23" s="51">
        <v>3885</v>
      </c>
      <c r="G23" s="51">
        <v>0</v>
      </c>
      <c r="H23" s="53">
        <f t="shared" si="0"/>
        <v>-0.10769652783808992</v>
      </c>
      <c r="I23" s="53">
        <f t="shared" si="2"/>
        <v>4.2457468618659533</v>
      </c>
      <c r="J23" s="53"/>
      <c r="K23" s="53"/>
      <c r="L23" s="53"/>
      <c r="N23" s="52">
        <v>34225</v>
      </c>
      <c r="O23" s="51">
        <v>123.099998</v>
      </c>
      <c r="P23" s="51">
        <v>139.199997</v>
      </c>
      <c r="Q23" s="51">
        <v>118.5</v>
      </c>
      <c r="R23" s="51">
        <v>138.89999399999999</v>
      </c>
      <c r="S23" s="51">
        <v>138.89999399999999</v>
      </c>
      <c r="T23" s="51">
        <v>0</v>
      </c>
      <c r="U23" s="53">
        <f t="shared" si="1"/>
        <v>0.12835090379124137</v>
      </c>
    </row>
    <row r="24" spans="1:21" x14ac:dyDescent="0.2">
      <c r="A24" s="56">
        <v>34731</v>
      </c>
      <c r="B24" s="51">
        <v>3885</v>
      </c>
      <c r="C24" s="51">
        <v>4067.1999510000001</v>
      </c>
      <c r="D24" s="51">
        <v>2762</v>
      </c>
      <c r="E24" s="51">
        <v>3270.8999020000001</v>
      </c>
      <c r="F24" s="51">
        <v>3270.8999020000001</v>
      </c>
      <c r="G24" s="51">
        <v>0</v>
      </c>
      <c r="H24" s="53">
        <f t="shared" si="0"/>
        <v>-0.15806952329472324</v>
      </c>
      <c r="I24" s="53">
        <f t="shared" si="2"/>
        <v>2.103614980086574</v>
      </c>
      <c r="J24" s="53"/>
      <c r="K24" s="53"/>
      <c r="L24" s="53"/>
      <c r="N24" s="52">
        <v>34232</v>
      </c>
      <c r="O24" s="51">
        <v>138.89999399999999</v>
      </c>
      <c r="P24" s="51">
        <v>149.39999399999999</v>
      </c>
      <c r="Q24" s="51">
        <v>133</v>
      </c>
      <c r="R24" s="51">
        <v>142.699997</v>
      </c>
      <c r="S24" s="51">
        <v>142.699997</v>
      </c>
      <c r="T24" s="51">
        <v>0</v>
      </c>
      <c r="U24" s="53">
        <f t="shared" si="1"/>
        <v>2.7357834155126159E-2</v>
      </c>
    </row>
    <row r="25" spans="1:21" x14ac:dyDescent="0.2">
      <c r="A25" s="56">
        <v>34759</v>
      </c>
      <c r="B25" s="51">
        <v>3270.8999020000001</v>
      </c>
      <c r="C25" s="51">
        <v>3494.8999020000001</v>
      </c>
      <c r="D25" s="51">
        <v>2110</v>
      </c>
      <c r="E25" s="51">
        <v>2979</v>
      </c>
      <c r="F25" s="51">
        <v>2979</v>
      </c>
      <c r="G25" s="51">
        <v>0</v>
      </c>
      <c r="H25" s="53">
        <f t="shared" si="0"/>
        <v>-8.9241465879624449E-2</v>
      </c>
      <c r="I25" s="53">
        <f t="shared" si="2"/>
        <v>0.96555822589957607</v>
      </c>
      <c r="J25" s="53"/>
      <c r="K25" s="53"/>
      <c r="L25" s="53"/>
      <c r="N25" s="52">
        <v>34239</v>
      </c>
      <c r="O25" s="51">
        <v>142.699997</v>
      </c>
      <c r="P25" s="51">
        <v>150.300003</v>
      </c>
      <c r="Q25" s="51">
        <v>139.10000600000001</v>
      </c>
      <c r="R25" s="51">
        <v>148.300003</v>
      </c>
      <c r="S25" s="51">
        <v>148.300003</v>
      </c>
      <c r="T25" s="51">
        <v>0</v>
      </c>
      <c r="U25" s="53">
        <f t="shared" si="1"/>
        <v>3.9243210355498492E-2</v>
      </c>
    </row>
    <row r="26" spans="1:21" x14ac:dyDescent="0.2">
      <c r="A26" s="56">
        <v>34790</v>
      </c>
      <c r="B26" s="51">
        <v>2979</v>
      </c>
      <c r="C26" s="51">
        <v>3923.6000979999999</v>
      </c>
      <c r="D26" s="51">
        <v>2867.1000979999999</v>
      </c>
      <c r="E26" s="51">
        <v>3813.6999510000001</v>
      </c>
      <c r="F26" s="51">
        <v>3813.6999510000001</v>
      </c>
      <c r="G26" s="51">
        <v>0</v>
      </c>
      <c r="H26" s="53">
        <f t="shared" si="0"/>
        <v>0.28019467975830814</v>
      </c>
      <c r="I26" s="53">
        <f t="shared" si="2"/>
        <v>1.2323225810256719</v>
      </c>
      <c r="J26" s="53"/>
      <c r="K26" s="53"/>
      <c r="L26" s="53"/>
      <c r="N26" s="52">
        <v>34246</v>
      </c>
      <c r="O26" s="51">
        <v>148.300003</v>
      </c>
      <c r="P26" s="51">
        <v>173.5</v>
      </c>
      <c r="Q26" s="51">
        <v>147.199997</v>
      </c>
      <c r="R26" s="51">
        <v>172.89999399999999</v>
      </c>
      <c r="S26" s="51">
        <v>172.89999399999999</v>
      </c>
      <c r="T26" s="51">
        <v>0</v>
      </c>
      <c r="U26" s="53">
        <f t="shared" si="1"/>
        <v>0.16587990898422289</v>
      </c>
    </row>
    <row r="27" spans="1:21" x14ac:dyDescent="0.2">
      <c r="A27" s="56">
        <v>34820</v>
      </c>
      <c r="B27" s="51">
        <v>3813.6999510000001</v>
      </c>
      <c r="C27" s="51">
        <v>4185.1000979999999</v>
      </c>
      <c r="D27" s="51">
        <v>3688.8999020000001</v>
      </c>
      <c r="E27" s="51">
        <v>3720.6000979999999</v>
      </c>
      <c r="F27" s="51">
        <v>3720.6000979999999</v>
      </c>
      <c r="G27" s="51">
        <v>0</v>
      </c>
      <c r="H27" s="53">
        <f t="shared" si="0"/>
        <v>-2.4411950126172921E-2</v>
      </c>
      <c r="I27" s="53">
        <f t="shared" si="2"/>
        <v>0.5080253615001793</v>
      </c>
      <c r="J27" s="53"/>
      <c r="K27" s="53"/>
      <c r="L27" s="53"/>
      <c r="N27" s="52">
        <v>34253</v>
      </c>
      <c r="O27" s="51">
        <v>172.89999399999999</v>
      </c>
      <c r="P27" s="51">
        <v>207</v>
      </c>
      <c r="Q27" s="51">
        <v>172.89999399999999</v>
      </c>
      <c r="R27" s="51">
        <v>189.39999399999999</v>
      </c>
      <c r="S27" s="51">
        <v>189.39999399999999</v>
      </c>
      <c r="T27" s="51">
        <v>0</v>
      </c>
      <c r="U27" s="53">
        <f t="shared" si="1"/>
        <v>9.543088821622514E-2</v>
      </c>
    </row>
    <row r="28" spans="1:21" x14ac:dyDescent="0.2">
      <c r="A28" s="56">
        <v>34851</v>
      </c>
      <c r="B28" s="51">
        <v>3720.6000979999999</v>
      </c>
      <c r="C28" s="51">
        <v>4067.3000489999999</v>
      </c>
      <c r="D28" s="51">
        <v>3516</v>
      </c>
      <c r="E28" s="51">
        <v>3603.3999020000001</v>
      </c>
      <c r="F28" s="51">
        <v>3603.3999020000001</v>
      </c>
      <c r="G28" s="51">
        <v>0</v>
      </c>
      <c r="H28" s="53">
        <f t="shared" si="0"/>
        <v>-3.1500347501200232E-2</v>
      </c>
      <c r="I28" s="53">
        <f t="shared" si="2"/>
        <v>-5.4647961105582787E-3</v>
      </c>
      <c r="J28" s="53"/>
      <c r="K28" s="53"/>
      <c r="L28" s="53"/>
      <c r="N28" s="52">
        <v>34260</v>
      </c>
      <c r="O28" s="51">
        <v>189.39999399999999</v>
      </c>
      <c r="P28" s="51">
        <v>190.39999399999999</v>
      </c>
      <c r="Q28" s="51">
        <v>149.800003</v>
      </c>
      <c r="R28" s="51">
        <v>166.89999399999999</v>
      </c>
      <c r="S28" s="51">
        <v>166.89999399999999</v>
      </c>
      <c r="T28" s="51">
        <v>0</v>
      </c>
      <c r="U28" s="53">
        <f t="shared" si="1"/>
        <v>-0.11879620228499055</v>
      </c>
    </row>
    <row r="29" spans="1:21" x14ac:dyDescent="0.2">
      <c r="A29" s="56">
        <v>34881</v>
      </c>
      <c r="B29" s="51">
        <v>3603.3999020000001</v>
      </c>
      <c r="C29" s="51">
        <v>4079.5</v>
      </c>
      <c r="D29" s="51">
        <v>3574.3999020000001</v>
      </c>
      <c r="E29" s="51">
        <v>3877.5</v>
      </c>
      <c r="F29" s="51">
        <v>3877.5</v>
      </c>
      <c r="G29" s="51">
        <v>0</v>
      </c>
      <c r="H29" s="53">
        <f t="shared" si="0"/>
        <v>7.6067077053497689E-2</v>
      </c>
      <c r="I29" s="53">
        <f t="shared" si="2"/>
        <v>-7.7071339830269481E-2</v>
      </c>
      <c r="J29" s="53"/>
      <c r="K29" s="53"/>
      <c r="L29" s="53"/>
      <c r="N29" s="52">
        <v>34267</v>
      </c>
      <c r="O29" s="51">
        <v>166.89999399999999</v>
      </c>
      <c r="P29" s="51">
        <v>185.199997</v>
      </c>
      <c r="Q29" s="51">
        <v>155.60000600000001</v>
      </c>
      <c r="R29" s="51">
        <v>184.39999399999999</v>
      </c>
      <c r="S29" s="51">
        <v>184.39999399999999</v>
      </c>
      <c r="T29" s="51">
        <v>0</v>
      </c>
      <c r="U29" s="53">
        <f t="shared" si="1"/>
        <v>0.10485320928172115</v>
      </c>
    </row>
    <row r="30" spans="1:21" x14ac:dyDescent="0.2">
      <c r="A30" s="56">
        <v>34912</v>
      </c>
      <c r="B30" s="51">
        <v>3877.5</v>
      </c>
      <c r="C30" s="51">
        <v>4554.6000979999999</v>
      </c>
      <c r="D30" s="51">
        <v>3817.6999510000001</v>
      </c>
      <c r="E30" s="51">
        <v>4310.5</v>
      </c>
      <c r="F30" s="51">
        <v>4310.5</v>
      </c>
      <c r="G30" s="51">
        <v>0</v>
      </c>
      <c r="H30" s="53">
        <f t="shared" si="0"/>
        <v>0.11166989039329467</v>
      </c>
      <c r="I30" s="53">
        <f t="shared" si="2"/>
        <v>-0.19119992494605498</v>
      </c>
      <c r="J30" s="53"/>
      <c r="K30" s="53"/>
      <c r="L30" s="53"/>
      <c r="N30" s="52">
        <v>34274</v>
      </c>
      <c r="O30" s="51">
        <v>184.39999399999999</v>
      </c>
      <c r="P30" s="51">
        <v>206.5</v>
      </c>
      <c r="Q30" s="51">
        <v>184.39999399999999</v>
      </c>
      <c r="R30" s="51">
        <v>201.5</v>
      </c>
      <c r="S30" s="51">
        <v>201.5</v>
      </c>
      <c r="T30" s="51">
        <v>0</v>
      </c>
      <c r="U30" s="53">
        <f t="shared" si="1"/>
        <v>9.2733224275484583E-2</v>
      </c>
    </row>
    <row r="31" spans="1:21" x14ac:dyDescent="0.2">
      <c r="A31" s="56">
        <v>34943</v>
      </c>
      <c r="B31" s="51">
        <v>4310.5</v>
      </c>
      <c r="C31" s="51">
        <v>4885.1000979999999</v>
      </c>
      <c r="D31" s="51">
        <v>4310.5</v>
      </c>
      <c r="E31" s="51">
        <v>4670.1000979999999</v>
      </c>
      <c r="F31" s="51">
        <v>4670.1000979999999</v>
      </c>
      <c r="G31" s="51">
        <v>0</v>
      </c>
      <c r="H31" s="53">
        <f t="shared" si="0"/>
        <v>8.3424219464099281E-2</v>
      </c>
      <c r="I31" s="53">
        <f t="shared" si="2"/>
        <v>-0.14841354886943836</v>
      </c>
      <c r="J31" s="53"/>
      <c r="K31" s="53"/>
      <c r="L31" s="53"/>
      <c r="N31" s="52">
        <v>34281</v>
      </c>
      <c r="O31" s="51">
        <v>201.5</v>
      </c>
      <c r="P31" s="51">
        <v>241.5</v>
      </c>
      <c r="Q31" s="51">
        <v>199.89999399999999</v>
      </c>
      <c r="R31" s="51">
        <v>235.89999399999999</v>
      </c>
      <c r="S31" s="51">
        <v>235.89999399999999</v>
      </c>
      <c r="T31" s="51">
        <v>0</v>
      </c>
      <c r="U31" s="53">
        <f t="shared" si="1"/>
        <v>0.17071957320099251</v>
      </c>
    </row>
    <row r="32" spans="1:21" x14ac:dyDescent="0.2">
      <c r="A32" s="56">
        <v>34973</v>
      </c>
      <c r="B32" s="51">
        <v>4670.1000979999999</v>
      </c>
      <c r="C32" s="51">
        <v>4684.8999020000001</v>
      </c>
      <c r="D32" s="51">
        <v>3922.6999510000001</v>
      </c>
      <c r="E32" s="51">
        <v>4128.3999020000001</v>
      </c>
      <c r="F32" s="51">
        <v>4128.3999020000001</v>
      </c>
      <c r="G32" s="51">
        <v>0</v>
      </c>
      <c r="H32" s="53">
        <f t="shared" si="0"/>
        <v>-0.11599327308465746</v>
      </c>
      <c r="I32" s="53">
        <f t="shared" si="2"/>
        <v>-0.13954021836114583</v>
      </c>
      <c r="J32" s="53"/>
      <c r="K32" s="53"/>
      <c r="L32" s="53"/>
      <c r="N32" s="52">
        <v>34288</v>
      </c>
      <c r="O32" s="51">
        <v>235.89999399999999</v>
      </c>
      <c r="P32" s="51">
        <v>258.20001200000002</v>
      </c>
      <c r="Q32" s="51">
        <v>234.800003</v>
      </c>
      <c r="R32" s="51">
        <v>249.800003</v>
      </c>
      <c r="S32" s="51">
        <v>249.800003</v>
      </c>
      <c r="T32" s="51">
        <v>0</v>
      </c>
      <c r="U32" s="53">
        <f t="shared" si="1"/>
        <v>5.8923312223568836E-2</v>
      </c>
    </row>
    <row r="33" spans="1:21" x14ac:dyDescent="0.2">
      <c r="A33" s="56">
        <v>35004</v>
      </c>
      <c r="B33" s="51">
        <v>4128.3999020000001</v>
      </c>
      <c r="C33" s="51">
        <v>4390.7001950000003</v>
      </c>
      <c r="D33" s="51">
        <v>3713.6999510000001</v>
      </c>
      <c r="E33" s="51">
        <v>4378.6000979999999</v>
      </c>
      <c r="F33" s="51">
        <v>4378.6000979999999</v>
      </c>
      <c r="G33" s="51">
        <v>0</v>
      </c>
      <c r="H33" s="53">
        <f t="shared" si="0"/>
        <v>6.0604641492891798E-2</v>
      </c>
      <c r="I33" s="53">
        <f t="shared" si="2"/>
        <v>-5.9579016752577374E-2</v>
      </c>
      <c r="J33" s="53"/>
      <c r="K33" s="53"/>
      <c r="L33" s="53"/>
      <c r="N33" s="52">
        <v>34295</v>
      </c>
      <c r="O33" s="51">
        <v>249.800003</v>
      </c>
      <c r="P33" s="51">
        <v>287</v>
      </c>
      <c r="Q33" s="51">
        <v>247</v>
      </c>
      <c r="R33" s="51">
        <v>282.20001200000002</v>
      </c>
      <c r="S33" s="51">
        <v>282.20001200000002</v>
      </c>
      <c r="T33" s="51">
        <v>0</v>
      </c>
      <c r="U33" s="53">
        <f t="shared" si="1"/>
        <v>0.1297037974815396</v>
      </c>
    </row>
    <row r="34" spans="1:21" x14ac:dyDescent="0.2">
      <c r="A34" s="56">
        <v>35034</v>
      </c>
      <c r="B34" s="51">
        <v>4378.6000979999999</v>
      </c>
      <c r="C34" s="51">
        <v>4397.2998049999997</v>
      </c>
      <c r="D34" s="51">
        <v>3957.6000979999999</v>
      </c>
      <c r="E34" s="51">
        <v>4299</v>
      </c>
      <c r="F34" s="51">
        <v>4299</v>
      </c>
      <c r="G34" s="51">
        <v>0</v>
      </c>
      <c r="H34" s="53">
        <f t="shared" si="0"/>
        <v>-1.8179348700137932E-2</v>
      </c>
      <c r="I34" s="53">
        <f t="shared" si="2"/>
        <v>-1.260936246485167E-2</v>
      </c>
      <c r="J34" s="53"/>
      <c r="K34" s="53"/>
      <c r="L34" s="53"/>
      <c r="N34" s="52">
        <v>34302</v>
      </c>
      <c r="O34" s="51">
        <v>282.20001200000002</v>
      </c>
      <c r="P34" s="51">
        <v>289.79998799999998</v>
      </c>
      <c r="Q34" s="51">
        <v>266.79998799999998</v>
      </c>
      <c r="R34" s="51">
        <v>288.70001200000002</v>
      </c>
      <c r="S34" s="51">
        <v>288.70001200000002</v>
      </c>
      <c r="T34" s="51">
        <v>0</v>
      </c>
      <c r="U34" s="53">
        <f t="shared" si="1"/>
        <v>2.3033308729979884E-2</v>
      </c>
    </row>
    <row r="35" spans="1:21" x14ac:dyDescent="0.2">
      <c r="A35" s="56">
        <v>35065</v>
      </c>
      <c r="B35" s="51">
        <v>4299</v>
      </c>
      <c r="C35" s="51">
        <v>5171.6000979999999</v>
      </c>
      <c r="D35" s="51">
        <v>4299</v>
      </c>
      <c r="E35" s="51">
        <v>5151.5</v>
      </c>
      <c r="F35" s="51">
        <v>5151.5</v>
      </c>
      <c r="G35" s="51">
        <v>0</v>
      </c>
      <c r="H35" s="53">
        <f t="shared" si="0"/>
        <v>0.19830193068155388</v>
      </c>
      <c r="I35" s="53">
        <f t="shared" si="2"/>
        <v>0.32599742599742609</v>
      </c>
      <c r="J35" s="53"/>
      <c r="K35" s="53"/>
      <c r="L35" s="53"/>
      <c r="N35" s="52">
        <v>34309</v>
      </c>
      <c r="O35" s="51">
        <v>288.70001200000002</v>
      </c>
      <c r="P35" s="51">
        <v>298</v>
      </c>
      <c r="Q35" s="51">
        <v>283.60000600000001</v>
      </c>
      <c r="R35" s="51">
        <v>290.60000600000001</v>
      </c>
      <c r="S35" s="51">
        <v>290.60000600000001</v>
      </c>
      <c r="T35" s="51">
        <v>0</v>
      </c>
      <c r="U35" s="53">
        <f t="shared" si="1"/>
        <v>6.5812051299809493E-3</v>
      </c>
    </row>
    <row r="36" spans="1:21" x14ac:dyDescent="0.2">
      <c r="A36" s="56">
        <v>35096</v>
      </c>
      <c r="B36" s="51">
        <v>5151.5</v>
      </c>
      <c r="C36" s="51">
        <v>5410.8999020000001</v>
      </c>
      <c r="D36" s="51">
        <v>4939.6000979999999</v>
      </c>
      <c r="E36" s="51">
        <v>4957.7001950000003</v>
      </c>
      <c r="F36" s="51">
        <v>4957.7001950000003</v>
      </c>
      <c r="G36" s="51">
        <v>0</v>
      </c>
      <c r="H36" s="53">
        <f t="shared" si="0"/>
        <v>-3.762007279433166E-2</v>
      </c>
      <c r="I36" s="53">
        <f t="shared" si="2"/>
        <v>0.51569914810557238</v>
      </c>
      <c r="J36" s="53"/>
      <c r="K36" s="53"/>
      <c r="L36" s="53"/>
      <c r="N36" s="52">
        <v>34316</v>
      </c>
      <c r="O36" s="51">
        <v>290.60000600000001</v>
      </c>
      <c r="P36" s="51">
        <v>312.20001200000002</v>
      </c>
      <c r="Q36" s="51">
        <v>287</v>
      </c>
      <c r="R36" s="51">
        <v>309.39999399999999</v>
      </c>
      <c r="S36" s="51">
        <v>309.39999399999999</v>
      </c>
      <c r="T36" s="51">
        <v>0</v>
      </c>
      <c r="U36" s="53">
        <f t="shared" si="1"/>
        <v>6.4693694466062768E-2</v>
      </c>
    </row>
    <row r="37" spans="1:21" x14ac:dyDescent="0.2">
      <c r="A37" s="56">
        <v>35125</v>
      </c>
      <c r="B37" s="51">
        <v>5120.7998049999997</v>
      </c>
      <c r="C37" s="51">
        <v>5224.3999020000001</v>
      </c>
      <c r="D37" s="51">
        <v>4595.6000979999999</v>
      </c>
      <c r="E37" s="51">
        <v>4954.8999020000001</v>
      </c>
      <c r="F37" s="51">
        <v>4954.8999020000001</v>
      </c>
      <c r="G37" s="51">
        <v>0</v>
      </c>
      <c r="H37" s="53">
        <f t="shared" si="0"/>
        <v>-5.6483709983601305E-4</v>
      </c>
      <c r="I37" s="53">
        <f t="shared" si="2"/>
        <v>0.66327623430681437</v>
      </c>
      <c r="J37" s="53"/>
      <c r="K37" s="53"/>
      <c r="L37" s="53"/>
      <c r="N37" s="52">
        <v>34323</v>
      </c>
      <c r="O37" s="51">
        <v>309.39999399999999</v>
      </c>
      <c r="P37" s="51">
        <v>350.89999399999999</v>
      </c>
      <c r="Q37" s="51">
        <v>308.79998799999998</v>
      </c>
      <c r="R37" s="51">
        <v>349.20001200000002</v>
      </c>
      <c r="S37" s="51">
        <v>349.20001200000002</v>
      </c>
      <c r="T37" s="51">
        <v>0</v>
      </c>
      <c r="U37" s="53">
        <f t="shared" si="1"/>
        <v>0.12863613048421718</v>
      </c>
    </row>
    <row r="38" spans="1:21" x14ac:dyDescent="0.2">
      <c r="A38" s="56">
        <v>35156</v>
      </c>
      <c r="B38" s="51">
        <v>5022.3999020000001</v>
      </c>
      <c r="C38" s="51">
        <v>5175.2001950000003</v>
      </c>
      <c r="D38" s="51">
        <v>4831.2001950000003</v>
      </c>
      <c r="E38" s="51">
        <v>5164.1000979999999</v>
      </c>
      <c r="F38" s="51">
        <v>5164.1000979999999</v>
      </c>
      <c r="G38" s="51">
        <v>0</v>
      </c>
      <c r="H38" s="53">
        <f t="shared" si="0"/>
        <v>4.2220872295635647E-2</v>
      </c>
      <c r="I38" s="53">
        <f t="shared" si="2"/>
        <v>0.35409186992959629</v>
      </c>
      <c r="J38" s="53"/>
      <c r="K38" s="53"/>
      <c r="L38" s="53"/>
      <c r="N38" s="52">
        <v>34330</v>
      </c>
      <c r="O38" s="51">
        <v>349.20001200000002</v>
      </c>
      <c r="P38" s="51">
        <v>378.60000600000001</v>
      </c>
      <c r="Q38" s="51">
        <v>349.20001200000002</v>
      </c>
      <c r="R38" s="51">
        <v>375.5</v>
      </c>
      <c r="S38" s="51">
        <v>375.5</v>
      </c>
      <c r="T38" s="51">
        <v>0</v>
      </c>
      <c r="U38" s="53">
        <f t="shared" si="1"/>
        <v>7.5314968774972346E-2</v>
      </c>
    </row>
    <row r="39" spans="1:21" x14ac:dyDescent="0.2">
      <c r="A39" s="56">
        <v>35186</v>
      </c>
      <c r="B39" s="51">
        <v>5191.5</v>
      </c>
      <c r="C39" s="51">
        <v>5764.2001950000003</v>
      </c>
      <c r="D39" s="51">
        <v>5097.2998049999997</v>
      </c>
      <c r="E39" s="51">
        <v>5728</v>
      </c>
      <c r="F39" s="51">
        <v>5728</v>
      </c>
      <c r="G39" s="51">
        <v>0</v>
      </c>
      <c r="H39" s="53">
        <f t="shared" si="0"/>
        <v>0.10919616027938583</v>
      </c>
      <c r="I39" s="53">
        <f t="shared" si="2"/>
        <v>0.53953659332511261</v>
      </c>
      <c r="J39" s="53"/>
      <c r="K39" s="53"/>
      <c r="L39" s="53"/>
      <c r="N39" s="52">
        <v>34337</v>
      </c>
      <c r="O39" s="51">
        <v>375.5</v>
      </c>
      <c r="P39" s="51">
        <v>476.60000600000001</v>
      </c>
      <c r="Q39" s="51">
        <v>373.39999399999999</v>
      </c>
      <c r="R39" s="51">
        <v>476.39999399999999</v>
      </c>
      <c r="S39" s="51">
        <v>476.39999399999999</v>
      </c>
      <c r="T39" s="51">
        <v>0</v>
      </c>
      <c r="U39" s="53">
        <f t="shared" si="1"/>
        <v>0.26870837283621829</v>
      </c>
    </row>
    <row r="40" spans="1:21" x14ac:dyDescent="0.2">
      <c r="A40" s="56">
        <v>35217</v>
      </c>
      <c r="B40" s="51">
        <v>5725.7998049999997</v>
      </c>
      <c r="C40" s="51">
        <v>6278.8999020000001</v>
      </c>
      <c r="D40" s="51">
        <v>5397.7998049999997</v>
      </c>
      <c r="E40" s="51">
        <v>6043.8999020000001</v>
      </c>
      <c r="F40" s="51">
        <v>6043.8999020000001</v>
      </c>
      <c r="G40" s="51">
        <v>0</v>
      </c>
      <c r="H40" s="53">
        <f t="shared" si="0"/>
        <v>5.5150122555865932E-2</v>
      </c>
      <c r="I40" s="53">
        <f t="shared" si="2"/>
        <v>0.67727703457100219</v>
      </c>
      <c r="J40" s="53"/>
      <c r="K40" s="53"/>
      <c r="L40" s="53"/>
      <c r="N40" s="52">
        <v>34344</v>
      </c>
      <c r="O40" s="51">
        <v>476.39999399999999</v>
      </c>
      <c r="P40" s="51">
        <v>574.29998799999998</v>
      </c>
      <c r="Q40" s="51">
        <v>476.39999399999999</v>
      </c>
      <c r="R40" s="51">
        <v>551.09997599999997</v>
      </c>
      <c r="S40" s="51">
        <v>551.09997599999997</v>
      </c>
      <c r="T40" s="51">
        <v>0</v>
      </c>
      <c r="U40" s="53">
        <f t="shared" si="1"/>
        <v>0.15680097174812313</v>
      </c>
    </row>
    <row r="41" spans="1:21" x14ac:dyDescent="0.2">
      <c r="A41" s="56">
        <v>35247</v>
      </c>
      <c r="B41" s="51">
        <v>6043.8999020000001</v>
      </c>
      <c r="C41" s="51">
        <v>6713.2001950000003</v>
      </c>
      <c r="D41" s="51">
        <v>5879.3999020000001</v>
      </c>
      <c r="E41" s="51">
        <v>6123.2998049999997</v>
      </c>
      <c r="F41" s="51">
        <v>6123.2998049999997</v>
      </c>
      <c r="G41" s="51">
        <v>0</v>
      </c>
      <c r="H41" s="53">
        <f t="shared" si="0"/>
        <v>1.313719689065751E-2</v>
      </c>
      <c r="I41" s="53">
        <f t="shared" si="2"/>
        <v>0.57918757059961301</v>
      </c>
      <c r="J41" s="53"/>
      <c r="K41" s="53"/>
      <c r="L41" s="53"/>
      <c r="N41" s="52">
        <v>34351</v>
      </c>
      <c r="O41" s="51">
        <v>551.09997599999997</v>
      </c>
      <c r="P41" s="51">
        <v>713.29998799999998</v>
      </c>
      <c r="Q41" s="51">
        <v>551.09997599999997</v>
      </c>
      <c r="R41" s="51">
        <v>689.20001200000002</v>
      </c>
      <c r="S41" s="51">
        <v>689.20001200000002</v>
      </c>
      <c r="T41" s="51">
        <v>0</v>
      </c>
      <c r="U41" s="53">
        <f t="shared" si="1"/>
        <v>0.2505898058685454</v>
      </c>
    </row>
    <row r="42" spans="1:21" x14ac:dyDescent="0.2">
      <c r="A42" s="56">
        <v>35278</v>
      </c>
      <c r="B42" s="51">
        <v>6308.2998049999997</v>
      </c>
      <c r="C42" s="51">
        <v>6400.7998049999997</v>
      </c>
      <c r="D42" s="51">
        <v>6016</v>
      </c>
      <c r="E42" s="51">
        <v>6259.3999020000001</v>
      </c>
      <c r="F42" s="51">
        <v>6259.3999020000001</v>
      </c>
      <c r="G42" s="51">
        <v>0</v>
      </c>
      <c r="H42" s="53">
        <f t="shared" si="0"/>
        <v>2.2226593721389909E-2</v>
      </c>
      <c r="I42" s="53">
        <f t="shared" si="2"/>
        <v>0.45212850063797716</v>
      </c>
      <c r="J42" s="53"/>
      <c r="K42" s="53"/>
      <c r="L42" s="53"/>
      <c r="N42" s="52">
        <v>34358</v>
      </c>
      <c r="O42" s="51">
        <v>689.20001200000002</v>
      </c>
      <c r="P42" s="51">
        <v>739.90002400000003</v>
      </c>
      <c r="Q42" s="51">
        <v>659.59997599999997</v>
      </c>
      <c r="R42" s="51">
        <v>689.20001200000002</v>
      </c>
      <c r="S42" s="51">
        <v>689.20001200000002</v>
      </c>
      <c r="T42" s="51">
        <v>0</v>
      </c>
      <c r="U42" s="53">
        <f t="shared" si="1"/>
        <v>0</v>
      </c>
    </row>
    <row r="43" spans="1:21" x14ac:dyDescent="0.2">
      <c r="A43" s="56">
        <v>35309</v>
      </c>
      <c r="B43" s="51">
        <v>6269.1000979999999</v>
      </c>
      <c r="C43" s="51">
        <v>6631.5</v>
      </c>
      <c r="D43" s="51">
        <v>6132.2998049999997</v>
      </c>
      <c r="E43" s="51">
        <v>6446.8999020000001</v>
      </c>
      <c r="F43" s="51">
        <v>6446.8999020000001</v>
      </c>
      <c r="G43" s="51">
        <v>0</v>
      </c>
      <c r="H43" s="53">
        <f t="shared" si="0"/>
        <v>2.9954948227559397E-2</v>
      </c>
      <c r="I43" s="53">
        <f t="shared" si="2"/>
        <v>0.38046289516597853</v>
      </c>
      <c r="J43" s="53"/>
      <c r="K43" s="53"/>
      <c r="L43" s="53"/>
      <c r="N43" s="52">
        <v>34365</v>
      </c>
      <c r="O43" s="51">
        <v>689.20001200000002</v>
      </c>
      <c r="P43" s="51">
        <v>866.59997599999997</v>
      </c>
      <c r="Q43" s="51">
        <v>689.20001200000002</v>
      </c>
      <c r="R43" s="51">
        <v>821.29998799999998</v>
      </c>
      <c r="S43" s="51">
        <v>821.29998799999998</v>
      </c>
      <c r="T43" s="51">
        <v>0</v>
      </c>
      <c r="U43" s="53">
        <f t="shared" si="1"/>
        <v>0.19167146503183741</v>
      </c>
    </row>
    <row r="44" spans="1:21" x14ac:dyDescent="0.2">
      <c r="A44" s="56">
        <v>35339</v>
      </c>
      <c r="B44" s="51">
        <v>6446.8999020000001</v>
      </c>
      <c r="C44" s="51">
        <v>6851.5</v>
      </c>
      <c r="D44" s="51">
        <v>6316.8999020000001</v>
      </c>
      <c r="E44" s="51">
        <v>6533.2001950000003</v>
      </c>
      <c r="F44" s="51">
        <v>6533.2001950000003</v>
      </c>
      <c r="G44" s="51">
        <v>0</v>
      </c>
      <c r="H44" s="53">
        <f t="shared" si="0"/>
        <v>1.3386324328260146E-2</v>
      </c>
      <c r="I44" s="53">
        <f t="shared" si="2"/>
        <v>0.58250178037137257</v>
      </c>
      <c r="J44" s="53"/>
      <c r="K44" s="53"/>
      <c r="L44" s="53"/>
      <c r="N44" s="52">
        <v>34372</v>
      </c>
      <c r="O44" s="51">
        <v>821.29998799999998</v>
      </c>
      <c r="P44" s="51">
        <v>1047.6999510000001</v>
      </c>
      <c r="Q44" s="51">
        <v>820.29998799999998</v>
      </c>
      <c r="R44" s="51">
        <v>1035.400024</v>
      </c>
      <c r="S44" s="51">
        <v>1035.400024</v>
      </c>
      <c r="T44" s="51">
        <v>0</v>
      </c>
      <c r="U44" s="53">
        <f t="shared" si="1"/>
        <v>0.26068432865970048</v>
      </c>
    </row>
    <row r="45" spans="1:21" x14ac:dyDescent="0.2">
      <c r="A45" s="56">
        <v>35370</v>
      </c>
      <c r="B45" s="51">
        <v>6533.2001950000003</v>
      </c>
      <c r="C45" s="51">
        <v>6757.7998049999997</v>
      </c>
      <c r="D45" s="51">
        <v>6478.8999020000001</v>
      </c>
      <c r="E45" s="51">
        <v>6666.1000979999999</v>
      </c>
      <c r="F45" s="51">
        <v>6666.1000979999999</v>
      </c>
      <c r="G45" s="51">
        <v>0</v>
      </c>
      <c r="H45" s="53">
        <f t="shared" si="0"/>
        <v>2.03422364282837E-2</v>
      </c>
      <c r="I45" s="53">
        <f t="shared" si="2"/>
        <v>0.52242724816199915</v>
      </c>
      <c r="J45" s="53"/>
      <c r="K45" s="53"/>
      <c r="L45" s="53"/>
      <c r="N45" s="52">
        <v>34379</v>
      </c>
      <c r="O45" s="51">
        <v>1035.400024</v>
      </c>
      <c r="P45" s="51">
        <v>1078.599976</v>
      </c>
      <c r="Q45" s="51">
        <v>944.20001200000002</v>
      </c>
      <c r="R45" s="51">
        <v>944.90002400000003</v>
      </c>
      <c r="S45" s="51">
        <v>944.90002400000003</v>
      </c>
      <c r="T45" s="51">
        <v>0</v>
      </c>
      <c r="U45" s="53">
        <f t="shared" si="1"/>
        <v>-8.7405831468282846E-2</v>
      </c>
    </row>
    <row r="46" spans="1:21" x14ac:dyDescent="0.2">
      <c r="A46" s="56">
        <v>35400</v>
      </c>
      <c r="B46" s="51">
        <v>6739.2998049999997</v>
      </c>
      <c r="C46" s="51">
        <v>7052.5</v>
      </c>
      <c r="D46" s="51">
        <v>6445.1000979999999</v>
      </c>
      <c r="E46" s="51">
        <v>7039.8999020000001</v>
      </c>
      <c r="F46" s="51">
        <v>7039.8999020000001</v>
      </c>
      <c r="G46" s="51">
        <v>0</v>
      </c>
      <c r="H46" s="53">
        <f t="shared" si="0"/>
        <v>5.6074736128272296E-2</v>
      </c>
      <c r="I46" s="53">
        <f t="shared" si="2"/>
        <v>0.63756685322167939</v>
      </c>
      <c r="J46" s="53"/>
      <c r="K46" s="53"/>
      <c r="L46" s="53"/>
      <c r="N46" s="52">
        <v>34386</v>
      </c>
      <c r="O46" s="51">
        <v>944.90002400000003</v>
      </c>
      <c r="P46" s="51">
        <v>1116</v>
      </c>
      <c r="Q46" s="51">
        <v>920</v>
      </c>
      <c r="R46" s="51">
        <v>1008.299988</v>
      </c>
      <c r="S46" s="51">
        <v>1008.299988</v>
      </c>
      <c r="T46" s="51">
        <v>0</v>
      </c>
      <c r="U46" s="53">
        <f t="shared" si="1"/>
        <v>6.709700750309211E-2</v>
      </c>
    </row>
    <row r="47" spans="1:21" x14ac:dyDescent="0.2">
      <c r="A47" s="56">
        <v>35431</v>
      </c>
      <c r="B47" s="51">
        <v>7040</v>
      </c>
      <c r="C47" s="51">
        <v>7991.7998049999997</v>
      </c>
      <c r="D47" s="51">
        <v>6952.5</v>
      </c>
      <c r="E47" s="51">
        <v>7964.7001950000003</v>
      </c>
      <c r="F47" s="51">
        <v>7964.7001950000003</v>
      </c>
      <c r="G47" s="51">
        <v>0</v>
      </c>
      <c r="H47" s="53">
        <f t="shared" si="0"/>
        <v>0.13136554579948911</v>
      </c>
      <c r="I47" s="53">
        <f t="shared" si="2"/>
        <v>0.54609340871590795</v>
      </c>
      <c r="J47" s="53"/>
      <c r="K47" s="53"/>
      <c r="L47" s="53"/>
      <c r="N47" s="52">
        <v>34393</v>
      </c>
      <c r="O47" s="51">
        <v>1008.299988</v>
      </c>
      <c r="P47" s="51">
        <v>1123.599976</v>
      </c>
      <c r="Q47" s="51">
        <v>1008.299988</v>
      </c>
      <c r="R47" s="51">
        <v>1114</v>
      </c>
      <c r="S47" s="51">
        <v>1114</v>
      </c>
      <c r="T47" s="51">
        <v>0</v>
      </c>
      <c r="U47" s="53">
        <f t="shared" si="1"/>
        <v>0.10482992488144305</v>
      </c>
    </row>
    <row r="48" spans="1:21" x14ac:dyDescent="0.2">
      <c r="A48" s="56">
        <v>35462</v>
      </c>
      <c r="B48" s="51">
        <v>8104.1000979999999</v>
      </c>
      <c r="C48" s="51">
        <v>9181.0996090000008</v>
      </c>
      <c r="D48" s="51">
        <v>7963.2998049999997</v>
      </c>
      <c r="E48" s="51">
        <v>8828.7001949999994</v>
      </c>
      <c r="F48" s="51">
        <v>8828.7001949999994</v>
      </c>
      <c r="G48" s="51">
        <v>0</v>
      </c>
      <c r="H48" s="53">
        <f t="shared" si="0"/>
        <v>0.10847865944061419</v>
      </c>
      <c r="I48" s="53">
        <f t="shared" si="2"/>
        <v>0.78080558479595563</v>
      </c>
      <c r="J48" s="53"/>
      <c r="K48" s="53"/>
      <c r="L48" s="53"/>
      <c r="N48" s="52">
        <v>34400</v>
      </c>
      <c r="O48" s="51">
        <v>1114</v>
      </c>
      <c r="P48" s="51">
        <v>1322.6999510000001</v>
      </c>
      <c r="Q48" s="51">
        <v>1113.099976</v>
      </c>
      <c r="R48" s="51">
        <v>1268.6999510000001</v>
      </c>
      <c r="S48" s="51">
        <v>1268.6999510000001</v>
      </c>
      <c r="T48" s="51">
        <v>0</v>
      </c>
      <c r="U48" s="53">
        <f t="shared" si="1"/>
        <v>0.13886889676840219</v>
      </c>
    </row>
    <row r="49" spans="1:21" x14ac:dyDescent="0.2">
      <c r="A49" s="56">
        <v>35490</v>
      </c>
      <c r="B49" s="51">
        <v>8982</v>
      </c>
      <c r="C49" s="51">
        <v>9568</v>
      </c>
      <c r="D49" s="51">
        <v>8707</v>
      </c>
      <c r="E49" s="51">
        <v>9044</v>
      </c>
      <c r="F49" s="51">
        <v>9044</v>
      </c>
      <c r="G49" s="51">
        <v>0</v>
      </c>
      <c r="H49" s="53">
        <f t="shared" si="0"/>
        <v>2.4386353624504364E-2</v>
      </c>
      <c r="I49" s="53">
        <f t="shared" si="2"/>
        <v>0.82526391630020046</v>
      </c>
      <c r="J49" s="53"/>
      <c r="K49" s="53"/>
      <c r="L49" s="53"/>
      <c r="N49" s="52">
        <v>34407</v>
      </c>
      <c r="O49" s="51">
        <v>1268.6999510000001</v>
      </c>
      <c r="P49" s="51">
        <v>1439.6999510000001</v>
      </c>
      <c r="Q49" s="51">
        <v>1268.6999510000001</v>
      </c>
      <c r="R49" s="51">
        <v>1331.8000489999999</v>
      </c>
      <c r="S49" s="51">
        <v>1331.8000489999999</v>
      </c>
      <c r="T49" s="51">
        <v>0</v>
      </c>
      <c r="U49" s="53">
        <f t="shared" si="1"/>
        <v>4.9736029350567756E-2</v>
      </c>
    </row>
    <row r="50" spans="1:21" x14ac:dyDescent="0.2">
      <c r="A50" s="56">
        <v>35521</v>
      </c>
      <c r="B50" s="51">
        <v>9140</v>
      </c>
      <c r="C50" s="51">
        <v>10000</v>
      </c>
      <c r="D50" s="51">
        <v>8982</v>
      </c>
      <c r="E50" s="51">
        <v>9982</v>
      </c>
      <c r="F50" s="51">
        <v>9982</v>
      </c>
      <c r="G50" s="51">
        <v>0</v>
      </c>
      <c r="H50" s="53">
        <f t="shared" si="0"/>
        <v>0.10371517027863786</v>
      </c>
      <c r="I50" s="53">
        <f t="shared" si="2"/>
        <v>0.93296020808464197</v>
      </c>
      <c r="J50" s="53"/>
      <c r="K50" s="53"/>
      <c r="L50" s="53"/>
      <c r="N50" s="52">
        <v>34414</v>
      </c>
      <c r="O50" s="51">
        <v>1331.8000489999999</v>
      </c>
      <c r="P50" s="51">
        <v>1464.3000489999999</v>
      </c>
      <c r="Q50" s="51">
        <v>1250.1999510000001</v>
      </c>
      <c r="R50" s="51">
        <v>1459.099976</v>
      </c>
      <c r="S50" s="51">
        <v>1459.099976</v>
      </c>
      <c r="T50" s="51">
        <v>0</v>
      </c>
      <c r="U50" s="53">
        <f t="shared" si="1"/>
        <v>9.558486433123714E-2</v>
      </c>
    </row>
    <row r="51" spans="1:21" x14ac:dyDescent="0.2">
      <c r="A51" s="56">
        <v>35551</v>
      </c>
      <c r="B51" s="51">
        <v>10116</v>
      </c>
      <c r="C51" s="51">
        <v>11458</v>
      </c>
      <c r="D51" s="51">
        <v>9982</v>
      </c>
      <c r="E51" s="51">
        <v>11345</v>
      </c>
      <c r="F51" s="51">
        <v>11345</v>
      </c>
      <c r="G51" s="51">
        <v>0</v>
      </c>
      <c r="H51" s="53">
        <f t="shared" si="0"/>
        <v>0.13654578240833493</v>
      </c>
      <c r="I51" s="53">
        <f t="shared" si="2"/>
        <v>0.98062150837988837</v>
      </c>
      <c r="J51" s="53"/>
      <c r="K51" s="53"/>
      <c r="L51" s="53"/>
      <c r="N51" s="52">
        <v>34421</v>
      </c>
      <c r="O51" s="51">
        <v>1459.099976</v>
      </c>
      <c r="P51" s="51">
        <v>1542.1999510000001</v>
      </c>
      <c r="Q51" s="51">
        <v>1417.099976</v>
      </c>
      <c r="R51" s="51">
        <v>1515.599976</v>
      </c>
      <c r="S51" s="51">
        <v>1515.599976</v>
      </c>
      <c r="T51" s="51">
        <v>0</v>
      </c>
      <c r="U51" s="53">
        <f t="shared" si="1"/>
        <v>3.8722500808265448E-2</v>
      </c>
    </row>
    <row r="52" spans="1:21" x14ac:dyDescent="0.2">
      <c r="A52" s="56">
        <v>35582</v>
      </c>
      <c r="B52" s="51">
        <v>11398</v>
      </c>
      <c r="C52" s="51">
        <v>13223</v>
      </c>
      <c r="D52" s="51">
        <v>10988</v>
      </c>
      <c r="E52" s="51">
        <v>12568</v>
      </c>
      <c r="F52" s="51">
        <v>12568</v>
      </c>
      <c r="G52" s="51">
        <v>0</v>
      </c>
      <c r="H52" s="53">
        <f t="shared" si="0"/>
        <v>0.10780079330101366</v>
      </c>
      <c r="I52" s="53">
        <f t="shared" si="2"/>
        <v>1.07945204318177</v>
      </c>
      <c r="J52" s="53"/>
      <c r="K52" s="53"/>
      <c r="L52" s="53"/>
      <c r="N52" s="52">
        <v>34428</v>
      </c>
      <c r="O52" s="51">
        <v>1515.599976</v>
      </c>
      <c r="P52" s="51">
        <v>1566.8000489999999</v>
      </c>
      <c r="Q52" s="51">
        <v>1354.8000489999999</v>
      </c>
      <c r="R52" s="51">
        <v>1537.400024</v>
      </c>
      <c r="S52" s="51">
        <v>1537.400024</v>
      </c>
      <c r="T52" s="51">
        <v>0</v>
      </c>
      <c r="U52" s="53">
        <f t="shared" si="1"/>
        <v>1.4383774310642972E-2</v>
      </c>
    </row>
    <row r="53" spans="1:21" x14ac:dyDescent="0.2">
      <c r="A53" s="56">
        <v>35612</v>
      </c>
      <c r="B53" s="51">
        <v>13013</v>
      </c>
      <c r="C53" s="51">
        <v>14005</v>
      </c>
      <c r="D53" s="51">
        <v>10765</v>
      </c>
      <c r="E53" s="51">
        <v>12872</v>
      </c>
      <c r="F53" s="51">
        <v>12872</v>
      </c>
      <c r="G53" s="51">
        <v>0</v>
      </c>
      <c r="H53" s="53">
        <f t="shared" si="0"/>
        <v>2.4188415022278864E-2</v>
      </c>
      <c r="I53" s="53">
        <f t="shared" si="2"/>
        <v>1.1021345369190199</v>
      </c>
      <c r="J53" s="53"/>
      <c r="K53" s="53"/>
      <c r="L53" s="53"/>
      <c r="N53" s="52">
        <v>34435</v>
      </c>
      <c r="O53" s="51">
        <v>1537.400024</v>
      </c>
      <c r="P53" s="51">
        <v>1686</v>
      </c>
      <c r="Q53" s="51">
        <v>1437.900024</v>
      </c>
      <c r="R53" s="51">
        <v>1443.400024</v>
      </c>
      <c r="S53" s="51">
        <v>1443.400024</v>
      </c>
      <c r="T53" s="51">
        <v>0</v>
      </c>
      <c r="U53" s="53">
        <f t="shared" si="1"/>
        <v>-6.114218715531905E-2</v>
      </c>
    </row>
    <row r="54" spans="1:21" x14ac:dyDescent="0.2">
      <c r="A54" s="56">
        <v>35643</v>
      </c>
      <c r="B54" s="51">
        <v>12846</v>
      </c>
      <c r="C54" s="51">
        <v>12846</v>
      </c>
      <c r="D54" s="51">
        <v>10518</v>
      </c>
      <c r="E54" s="51">
        <v>10609</v>
      </c>
      <c r="F54" s="51">
        <v>10609</v>
      </c>
      <c r="G54" s="51">
        <v>0</v>
      </c>
      <c r="H54" s="53">
        <f t="shared" si="0"/>
        <v>-0.17580795525170911</v>
      </c>
      <c r="I54" s="53">
        <f t="shared" si="2"/>
        <v>0.6948909106462775</v>
      </c>
      <c r="J54" s="53"/>
      <c r="K54" s="53"/>
      <c r="L54" s="53"/>
      <c r="N54" s="52">
        <v>34442</v>
      </c>
      <c r="O54" s="51">
        <v>1443.400024</v>
      </c>
      <c r="P54" s="51">
        <v>1503.599976</v>
      </c>
      <c r="Q54" s="51">
        <v>1280.1999510000001</v>
      </c>
      <c r="R54" s="51">
        <v>1420.3000489999999</v>
      </c>
      <c r="S54" s="51">
        <v>1420.3000489999999</v>
      </c>
      <c r="T54" s="51">
        <v>0</v>
      </c>
      <c r="U54" s="53">
        <f t="shared" si="1"/>
        <v>-1.6003862142100145E-2</v>
      </c>
    </row>
    <row r="55" spans="1:21" x14ac:dyDescent="0.2">
      <c r="A55" s="56">
        <v>35674</v>
      </c>
      <c r="B55" s="51">
        <v>10643</v>
      </c>
      <c r="C55" s="51">
        <v>12020</v>
      </c>
      <c r="D55" s="51">
        <v>9921</v>
      </c>
      <c r="E55" s="51">
        <v>11797</v>
      </c>
      <c r="F55" s="51">
        <v>11797</v>
      </c>
      <c r="G55" s="51">
        <v>0</v>
      </c>
      <c r="H55" s="53">
        <f t="shared" si="0"/>
        <v>0.11198039400509008</v>
      </c>
      <c r="I55" s="53">
        <f t="shared" si="2"/>
        <v>0.8298717491084755</v>
      </c>
      <c r="J55" s="53"/>
      <c r="K55" s="53"/>
      <c r="L55" s="53"/>
      <c r="N55" s="52">
        <v>34449</v>
      </c>
      <c r="O55" s="51">
        <v>1420.3000489999999</v>
      </c>
      <c r="P55" s="51">
        <v>1732.599976</v>
      </c>
      <c r="Q55" s="51">
        <v>1419</v>
      </c>
      <c r="R55" s="51">
        <v>1708.400024</v>
      </c>
      <c r="S55" s="51">
        <v>1708.400024</v>
      </c>
      <c r="T55" s="51">
        <v>0</v>
      </c>
      <c r="U55" s="53">
        <f t="shared" si="1"/>
        <v>0.20284444487828091</v>
      </c>
    </row>
    <row r="56" spans="1:21" x14ac:dyDescent="0.2">
      <c r="A56" s="56">
        <v>35704</v>
      </c>
      <c r="B56" s="51">
        <v>11799</v>
      </c>
      <c r="C56" s="51">
        <v>13037</v>
      </c>
      <c r="D56" s="51">
        <v>8456</v>
      </c>
      <c r="E56" s="51">
        <v>8986</v>
      </c>
      <c r="F56" s="51">
        <v>8986</v>
      </c>
      <c r="G56" s="51">
        <v>0</v>
      </c>
      <c r="H56" s="53">
        <f t="shared" si="0"/>
        <v>-0.23828091887768077</v>
      </c>
      <c r="I56" s="53">
        <f t="shared" si="2"/>
        <v>0.37543619233912051</v>
      </c>
      <c r="J56" s="53"/>
      <c r="K56" s="53"/>
      <c r="L56" s="53"/>
      <c r="N56" s="52">
        <v>34456</v>
      </c>
      <c r="O56" s="51">
        <v>1708.400024</v>
      </c>
      <c r="P56" s="51">
        <v>1750.900024</v>
      </c>
      <c r="Q56" s="51">
        <v>1325.5</v>
      </c>
      <c r="R56" s="51">
        <v>1510.3000489999999</v>
      </c>
      <c r="S56" s="51">
        <v>1510.3000489999999</v>
      </c>
      <c r="T56" s="51">
        <v>0</v>
      </c>
      <c r="U56" s="53">
        <f t="shared" si="1"/>
        <v>-0.11595643421742308</v>
      </c>
    </row>
    <row r="57" spans="1:21" x14ac:dyDescent="0.2">
      <c r="A57" s="56">
        <v>35735</v>
      </c>
      <c r="B57" s="51">
        <v>8986</v>
      </c>
      <c r="C57" s="51">
        <v>10334</v>
      </c>
      <c r="D57" s="51">
        <v>7522</v>
      </c>
      <c r="E57" s="51">
        <v>9395</v>
      </c>
      <c r="F57" s="51">
        <v>9395</v>
      </c>
      <c r="G57" s="51">
        <v>0</v>
      </c>
      <c r="H57" s="53">
        <f t="shared" si="0"/>
        <v>4.5515245938126059E-2</v>
      </c>
      <c r="I57" s="53">
        <f t="shared" si="2"/>
        <v>0.40936977571319999</v>
      </c>
      <c r="J57" s="53"/>
      <c r="K57" s="53"/>
      <c r="L57" s="53"/>
      <c r="N57" s="52">
        <v>34463</v>
      </c>
      <c r="O57" s="51">
        <v>1510.3000489999999</v>
      </c>
      <c r="P57" s="51">
        <v>1670.599976</v>
      </c>
      <c r="Q57" s="51">
        <v>1414.900024</v>
      </c>
      <c r="R57" s="51">
        <v>1585.900024</v>
      </c>
      <c r="S57" s="51">
        <v>1585.900024</v>
      </c>
      <c r="T57" s="51">
        <v>0</v>
      </c>
      <c r="U57" s="53">
        <f t="shared" si="1"/>
        <v>5.0056262032207588E-2</v>
      </c>
    </row>
    <row r="58" spans="1:21" x14ac:dyDescent="0.2">
      <c r="A58" s="56">
        <v>35765</v>
      </c>
      <c r="B58" s="51">
        <v>9396</v>
      </c>
      <c r="C58" s="51">
        <v>10212</v>
      </c>
      <c r="D58" s="51">
        <v>8853</v>
      </c>
      <c r="E58" s="51">
        <v>10197</v>
      </c>
      <c r="F58" s="51">
        <v>10197</v>
      </c>
      <c r="G58" s="51">
        <v>0</v>
      </c>
      <c r="H58" s="53">
        <f t="shared" si="0"/>
        <v>8.5364555614688697E-2</v>
      </c>
      <c r="I58" s="53">
        <f t="shared" si="2"/>
        <v>0.44845809485204247</v>
      </c>
      <c r="J58" s="53"/>
      <c r="K58" s="53"/>
      <c r="L58" s="53"/>
      <c r="N58" s="52">
        <v>34470</v>
      </c>
      <c r="O58" s="51">
        <v>1585.900024</v>
      </c>
      <c r="P58" s="51">
        <v>2091.1999510000001</v>
      </c>
      <c r="Q58" s="51">
        <v>1531.900024</v>
      </c>
      <c r="R58" s="51">
        <v>2031.6999510000001</v>
      </c>
      <c r="S58" s="51">
        <v>2031.6999510000001</v>
      </c>
      <c r="T58" s="51">
        <v>0</v>
      </c>
      <c r="U58" s="53">
        <f t="shared" si="1"/>
        <v>0.28110216296963753</v>
      </c>
    </row>
    <row r="59" spans="1:21" x14ac:dyDescent="0.2">
      <c r="A59" s="56">
        <v>35796</v>
      </c>
      <c r="B59" s="51">
        <v>10197</v>
      </c>
      <c r="C59" s="51">
        <v>10655</v>
      </c>
      <c r="D59" s="51">
        <v>8441</v>
      </c>
      <c r="E59" s="51">
        <v>9720</v>
      </c>
      <c r="F59" s="51">
        <v>9720</v>
      </c>
      <c r="G59" s="51">
        <v>0</v>
      </c>
      <c r="H59" s="53">
        <f t="shared" si="0"/>
        <v>-4.6778464254192409E-2</v>
      </c>
      <c r="I59" s="53">
        <f t="shared" si="2"/>
        <v>0.22038491870691179</v>
      </c>
      <c r="J59" s="53"/>
      <c r="K59" s="53"/>
      <c r="L59" s="53"/>
      <c r="N59" s="52">
        <v>34477</v>
      </c>
      <c r="O59" s="51">
        <v>2031.6999510000001</v>
      </c>
      <c r="P59" s="51">
        <v>2394.6999510000001</v>
      </c>
      <c r="Q59" s="51">
        <v>2031.6999510000001</v>
      </c>
      <c r="R59" s="51">
        <v>2349.5</v>
      </c>
      <c r="S59" s="51">
        <v>2349.5</v>
      </c>
      <c r="T59" s="51">
        <v>0</v>
      </c>
      <c r="U59" s="53">
        <f t="shared" si="1"/>
        <v>0.15642075929744403</v>
      </c>
    </row>
    <row r="60" spans="1:21" x14ac:dyDescent="0.2">
      <c r="A60" s="56">
        <v>35827</v>
      </c>
      <c r="B60" s="51">
        <v>9716</v>
      </c>
      <c r="C60" s="51">
        <v>10626</v>
      </c>
      <c r="D60" s="51">
        <v>9716</v>
      </c>
      <c r="E60" s="51">
        <v>10571</v>
      </c>
      <c r="F60" s="51">
        <v>10571</v>
      </c>
      <c r="G60" s="51">
        <v>0</v>
      </c>
      <c r="H60" s="53">
        <f t="shared" si="0"/>
        <v>8.7551440329218133E-2</v>
      </c>
      <c r="I60" s="53">
        <f t="shared" si="2"/>
        <v>0.19734499603766431</v>
      </c>
      <c r="J60" s="53"/>
      <c r="K60" s="53"/>
      <c r="L60" s="53"/>
      <c r="N60" s="52">
        <v>34484</v>
      </c>
      <c r="O60" s="51">
        <v>2349.5</v>
      </c>
      <c r="P60" s="51">
        <v>2714</v>
      </c>
      <c r="Q60" s="51">
        <v>2349.5</v>
      </c>
      <c r="R60" s="51">
        <v>2696</v>
      </c>
      <c r="S60" s="51">
        <v>2696</v>
      </c>
      <c r="T60" s="51">
        <v>0</v>
      </c>
      <c r="U60" s="53">
        <f t="shared" si="1"/>
        <v>0.14747818684826552</v>
      </c>
    </row>
    <row r="61" spans="1:21" x14ac:dyDescent="0.2">
      <c r="A61" s="56">
        <v>35855</v>
      </c>
      <c r="B61" s="51">
        <v>10572</v>
      </c>
      <c r="C61" s="51">
        <v>12112</v>
      </c>
      <c r="D61" s="51">
        <v>10572</v>
      </c>
      <c r="E61" s="51">
        <v>11947</v>
      </c>
      <c r="F61" s="51">
        <v>11947</v>
      </c>
      <c r="G61" s="51">
        <v>0</v>
      </c>
      <c r="H61" s="53">
        <f t="shared" si="0"/>
        <v>0.130167439220509</v>
      </c>
      <c r="I61" s="53">
        <f t="shared" si="2"/>
        <v>0.32098628925254302</v>
      </c>
      <c r="J61" s="53"/>
      <c r="K61" s="53"/>
      <c r="L61" s="53"/>
      <c r="N61" s="52">
        <v>34491</v>
      </c>
      <c r="O61" s="51">
        <v>2696</v>
      </c>
      <c r="P61" s="51">
        <v>3056.1000979999999</v>
      </c>
      <c r="Q61" s="51">
        <v>2695.8000489999999</v>
      </c>
      <c r="R61" s="51">
        <v>3020.3999020000001</v>
      </c>
      <c r="S61" s="51">
        <v>3020.3999020000001</v>
      </c>
      <c r="T61" s="51">
        <v>0</v>
      </c>
      <c r="U61" s="53">
        <f t="shared" si="1"/>
        <v>0.12032637314540073</v>
      </c>
    </row>
    <row r="62" spans="1:21" x14ac:dyDescent="0.2">
      <c r="A62" s="56">
        <v>35886</v>
      </c>
      <c r="B62" s="51">
        <v>11950</v>
      </c>
      <c r="C62" s="51">
        <v>12339</v>
      </c>
      <c r="D62" s="51">
        <v>11051</v>
      </c>
      <c r="E62" s="51">
        <v>11677</v>
      </c>
      <c r="F62" s="51">
        <v>11677</v>
      </c>
      <c r="G62" s="51">
        <v>0</v>
      </c>
      <c r="H62" s="53">
        <f t="shared" si="0"/>
        <v>-2.2599815853352356E-2</v>
      </c>
      <c r="I62" s="53">
        <f t="shared" si="2"/>
        <v>0.16980565017030647</v>
      </c>
      <c r="J62" s="53"/>
      <c r="K62" s="53"/>
      <c r="L62" s="53"/>
      <c r="N62" s="52">
        <v>34498</v>
      </c>
      <c r="O62" s="51">
        <v>3020.3999020000001</v>
      </c>
      <c r="P62" s="51">
        <v>3237.6000979999999</v>
      </c>
      <c r="Q62" s="51">
        <v>2946.8999020000001</v>
      </c>
      <c r="R62" s="51">
        <v>3237.6000979999999</v>
      </c>
      <c r="S62" s="51">
        <v>3237.6000979999999</v>
      </c>
      <c r="T62" s="51">
        <v>0</v>
      </c>
      <c r="U62" s="53">
        <f t="shared" si="1"/>
        <v>7.1911072390175024E-2</v>
      </c>
    </row>
    <row r="63" spans="1:21" x14ac:dyDescent="0.2">
      <c r="A63" s="56">
        <v>35916</v>
      </c>
      <c r="B63" s="51">
        <v>11719</v>
      </c>
      <c r="C63" s="51">
        <v>11789</v>
      </c>
      <c r="D63" s="51">
        <v>8971</v>
      </c>
      <c r="E63" s="51">
        <v>9847</v>
      </c>
      <c r="F63" s="51">
        <v>9847</v>
      </c>
      <c r="G63" s="51">
        <v>0</v>
      </c>
      <c r="H63" s="53">
        <f t="shared" si="0"/>
        <v>-0.15671833518883271</v>
      </c>
      <c r="I63" s="53">
        <f t="shared" si="2"/>
        <v>-0.13204054649625385</v>
      </c>
      <c r="J63" s="53"/>
      <c r="K63" s="53"/>
      <c r="L63" s="53"/>
      <c r="N63" s="52">
        <v>34505</v>
      </c>
      <c r="O63" s="51">
        <v>3237.6000979999999</v>
      </c>
      <c r="P63" s="51">
        <v>3307.3999020000001</v>
      </c>
      <c r="Q63" s="51">
        <v>3083.3000489999999</v>
      </c>
      <c r="R63" s="51">
        <v>3109.6000979999999</v>
      </c>
      <c r="S63" s="51">
        <v>3109.6000979999999</v>
      </c>
      <c r="T63" s="51">
        <v>0</v>
      </c>
      <c r="U63" s="53">
        <f t="shared" si="1"/>
        <v>-3.9535457167508392E-2</v>
      </c>
    </row>
    <row r="64" spans="1:21" x14ac:dyDescent="0.2">
      <c r="A64" s="56">
        <v>35947</v>
      </c>
      <c r="B64" s="51">
        <v>9750</v>
      </c>
      <c r="C64" s="51">
        <v>10563</v>
      </c>
      <c r="D64" s="51">
        <v>9062</v>
      </c>
      <c r="E64" s="51">
        <v>9678</v>
      </c>
      <c r="F64" s="51">
        <v>9678</v>
      </c>
      <c r="G64" s="51">
        <v>0</v>
      </c>
      <c r="H64" s="53">
        <f t="shared" si="0"/>
        <v>-1.7162587590129008E-2</v>
      </c>
      <c r="I64" s="53">
        <f t="shared" si="2"/>
        <v>-0.22994907702100575</v>
      </c>
      <c r="J64" s="53"/>
      <c r="K64" s="53"/>
      <c r="L64" s="53"/>
      <c r="N64" s="52">
        <v>34512</v>
      </c>
      <c r="O64" s="51">
        <v>3109.6000979999999</v>
      </c>
      <c r="P64" s="51">
        <v>3885.6999510000001</v>
      </c>
      <c r="Q64" s="51">
        <v>3100.8000489999999</v>
      </c>
      <c r="R64" s="51">
        <v>3623.1999510000001</v>
      </c>
      <c r="S64" s="51">
        <v>3623.1999510000001</v>
      </c>
      <c r="T64" s="51">
        <v>0</v>
      </c>
      <c r="U64" s="53">
        <f t="shared" si="1"/>
        <v>0.16516588526297382</v>
      </c>
    </row>
    <row r="65" spans="1:21" x14ac:dyDescent="0.2">
      <c r="A65" s="56">
        <v>35977</v>
      </c>
      <c r="B65" s="51">
        <v>9678</v>
      </c>
      <c r="C65" s="51">
        <v>11156</v>
      </c>
      <c r="D65" s="51">
        <v>9678</v>
      </c>
      <c r="E65" s="51">
        <v>10707</v>
      </c>
      <c r="F65" s="51">
        <v>10707</v>
      </c>
      <c r="G65" s="51">
        <v>0</v>
      </c>
      <c r="H65" s="53">
        <f t="shared" si="0"/>
        <v>0.10632362058276512</v>
      </c>
      <c r="I65" s="53">
        <f t="shared" si="2"/>
        <v>-0.16819453076445001</v>
      </c>
      <c r="J65" s="53"/>
      <c r="K65" s="53"/>
      <c r="L65" s="53"/>
      <c r="N65" s="52">
        <v>34519</v>
      </c>
      <c r="O65" s="51">
        <v>3623.1999510000001</v>
      </c>
      <c r="P65" s="51">
        <v>4051.8999020000001</v>
      </c>
      <c r="Q65" s="51">
        <v>3486</v>
      </c>
      <c r="R65" s="51">
        <v>4051.8999020000001</v>
      </c>
      <c r="S65" s="51">
        <v>4051.8999020000001</v>
      </c>
      <c r="T65" s="51">
        <v>0</v>
      </c>
      <c r="U65" s="53">
        <f t="shared" si="1"/>
        <v>0.11832080944958046</v>
      </c>
    </row>
    <row r="66" spans="1:21" x14ac:dyDescent="0.2">
      <c r="A66" s="56">
        <v>36008</v>
      </c>
      <c r="B66" s="51">
        <v>10705</v>
      </c>
      <c r="C66" s="51">
        <v>10705</v>
      </c>
      <c r="D66" s="51">
        <v>6454</v>
      </c>
      <c r="E66" s="51">
        <v>6472</v>
      </c>
      <c r="F66" s="51">
        <v>6472</v>
      </c>
      <c r="G66" s="51">
        <v>0</v>
      </c>
      <c r="H66" s="53">
        <f t="shared" si="0"/>
        <v>-0.39553563089567567</v>
      </c>
      <c r="I66" s="53">
        <f t="shared" si="2"/>
        <v>-0.38995192760863417</v>
      </c>
      <c r="J66" s="53"/>
      <c r="K66" s="53"/>
      <c r="L66" s="53"/>
      <c r="N66" s="52">
        <v>34526</v>
      </c>
      <c r="O66" s="51">
        <v>4051.8999020000001</v>
      </c>
      <c r="P66" s="51">
        <v>4142.5</v>
      </c>
      <c r="Q66" s="51">
        <v>3808.8000489999999</v>
      </c>
      <c r="R66" s="51">
        <v>4079.8999020000001</v>
      </c>
      <c r="S66" s="51">
        <v>4079.8999020000001</v>
      </c>
      <c r="T66" s="51">
        <v>0</v>
      </c>
      <c r="U66" s="53">
        <f t="shared" si="1"/>
        <v>6.9103385269164708E-3</v>
      </c>
    </row>
    <row r="67" spans="1:21" x14ac:dyDescent="0.2">
      <c r="A67" s="56">
        <v>36039</v>
      </c>
      <c r="B67" s="51">
        <v>6472</v>
      </c>
      <c r="C67" s="51">
        <v>7453</v>
      </c>
      <c r="D67" s="51">
        <v>4576</v>
      </c>
      <c r="E67" s="51">
        <v>6593</v>
      </c>
      <c r="F67" s="51">
        <v>6593</v>
      </c>
      <c r="G67" s="51">
        <v>0</v>
      </c>
      <c r="H67" s="53">
        <f t="shared" si="0"/>
        <v>1.8695920889987727E-2</v>
      </c>
      <c r="I67" s="53">
        <f t="shared" si="2"/>
        <v>-0.4411291006188014</v>
      </c>
      <c r="J67" s="53"/>
      <c r="K67" s="53"/>
      <c r="L67" s="53"/>
      <c r="N67" s="52">
        <v>34533</v>
      </c>
      <c r="O67" s="51">
        <v>4079.8999020000001</v>
      </c>
      <c r="P67" s="51">
        <v>4116.7001950000003</v>
      </c>
      <c r="Q67" s="51">
        <v>3868</v>
      </c>
      <c r="R67" s="51">
        <v>3986.6000979999999</v>
      </c>
      <c r="S67" s="51">
        <v>3986.6000979999999</v>
      </c>
      <c r="T67" s="51">
        <v>0</v>
      </c>
      <c r="U67" s="53">
        <f t="shared" si="1"/>
        <v>-2.2868160063011289E-2</v>
      </c>
    </row>
    <row r="68" spans="1:21" x14ac:dyDescent="0.2">
      <c r="A68" s="56">
        <v>36069</v>
      </c>
      <c r="B68" s="51">
        <v>6593</v>
      </c>
      <c r="C68" s="51">
        <v>7630</v>
      </c>
      <c r="D68" s="51">
        <v>5878</v>
      </c>
      <c r="E68" s="51">
        <v>7047</v>
      </c>
      <c r="F68" s="51">
        <v>7047</v>
      </c>
      <c r="G68" s="51">
        <v>0</v>
      </c>
      <c r="H68" s="53">
        <f t="shared" si="0"/>
        <v>6.8860913089640485E-2</v>
      </c>
      <c r="I68" s="53">
        <f t="shared" si="2"/>
        <v>-0.21578010238148226</v>
      </c>
      <c r="J68" s="53"/>
      <c r="K68" s="53"/>
      <c r="L68" s="53"/>
      <c r="N68" s="52">
        <v>34540</v>
      </c>
      <c r="O68" s="51">
        <v>3986.6000979999999</v>
      </c>
      <c r="P68" s="51">
        <v>4272.7998049999997</v>
      </c>
      <c r="Q68" s="51">
        <v>3937.6000979999999</v>
      </c>
      <c r="R68" s="51">
        <v>4201.2998049999997</v>
      </c>
      <c r="S68" s="51">
        <v>4201.2998049999997</v>
      </c>
      <c r="T68" s="51">
        <v>0</v>
      </c>
      <c r="U68" s="53">
        <f t="shared" si="1"/>
        <v>5.3855340822298814E-2</v>
      </c>
    </row>
    <row r="69" spans="1:21" x14ac:dyDescent="0.2">
      <c r="A69" s="56">
        <v>36100</v>
      </c>
      <c r="B69" s="51">
        <v>7047</v>
      </c>
      <c r="C69" s="51">
        <v>9128</v>
      </c>
      <c r="D69" s="51">
        <v>7047</v>
      </c>
      <c r="E69" s="51">
        <v>8631</v>
      </c>
      <c r="F69" s="51">
        <v>8631</v>
      </c>
      <c r="G69" s="51">
        <v>0</v>
      </c>
      <c r="H69" s="53">
        <f t="shared" ref="H69:H132" si="3">F69/F68-1</f>
        <v>0.22477650063856958</v>
      </c>
      <c r="I69" s="53">
        <f t="shared" si="2"/>
        <v>-8.1319850984566289E-2</v>
      </c>
      <c r="J69" s="53"/>
      <c r="K69" s="53"/>
      <c r="L69" s="53"/>
      <c r="N69" s="52">
        <v>34547</v>
      </c>
      <c r="O69" s="51">
        <v>4201.2998049999997</v>
      </c>
      <c r="P69" s="51">
        <v>4476.2001950000003</v>
      </c>
      <c r="Q69" s="51">
        <v>4091.1000979999999</v>
      </c>
      <c r="R69" s="51">
        <v>4469.5</v>
      </c>
      <c r="S69" s="51">
        <v>4469.5</v>
      </c>
      <c r="T69" s="51">
        <v>0</v>
      </c>
      <c r="U69" s="53">
        <f t="shared" ref="U69:U132" si="4">S69/S68-1</f>
        <v>6.3837433044129144E-2</v>
      </c>
    </row>
    <row r="70" spans="1:21" x14ac:dyDescent="0.2">
      <c r="A70" s="56">
        <v>36130</v>
      </c>
      <c r="B70" s="51">
        <v>8631</v>
      </c>
      <c r="C70" s="51">
        <v>8738</v>
      </c>
      <c r="D70" s="51">
        <v>6378</v>
      </c>
      <c r="E70" s="51">
        <v>6784</v>
      </c>
      <c r="F70" s="51">
        <v>6784</v>
      </c>
      <c r="G70" s="51">
        <v>0</v>
      </c>
      <c r="H70" s="53">
        <f t="shared" si="3"/>
        <v>-0.21399606071138921</v>
      </c>
      <c r="I70" s="53">
        <f t="shared" si="2"/>
        <v>-0.33470628616259679</v>
      </c>
      <c r="J70" s="53"/>
      <c r="K70" s="53"/>
      <c r="L70" s="53"/>
      <c r="N70" s="52">
        <v>34554</v>
      </c>
      <c r="O70" s="51">
        <v>4469.5</v>
      </c>
      <c r="P70" s="51">
        <v>4650</v>
      </c>
      <c r="Q70" s="51">
        <v>4405.1000979999999</v>
      </c>
      <c r="R70" s="51">
        <v>4547.1000979999999</v>
      </c>
      <c r="S70" s="51">
        <v>4547.1000979999999</v>
      </c>
      <c r="T70" s="51">
        <v>0</v>
      </c>
      <c r="U70" s="53">
        <f t="shared" si="4"/>
        <v>1.7362142969012062E-2</v>
      </c>
    </row>
    <row r="71" spans="1:21" x14ac:dyDescent="0.2">
      <c r="A71" s="56">
        <v>36161</v>
      </c>
      <c r="B71" s="51">
        <v>6787</v>
      </c>
      <c r="C71" s="51">
        <v>8540</v>
      </c>
      <c r="D71" s="51">
        <v>4797</v>
      </c>
      <c r="E71" s="51">
        <v>8172</v>
      </c>
      <c r="F71" s="51">
        <v>8172</v>
      </c>
      <c r="G71" s="51">
        <v>0</v>
      </c>
      <c r="H71" s="53">
        <f t="shared" si="3"/>
        <v>0.20459905660377364</v>
      </c>
      <c r="I71" s="53">
        <f t="shared" si="2"/>
        <v>-0.15925925925925921</v>
      </c>
      <c r="J71" s="53"/>
      <c r="K71" s="53"/>
      <c r="L71" s="53"/>
      <c r="N71" s="52">
        <v>34561</v>
      </c>
      <c r="O71" s="51">
        <v>4547.1000979999999</v>
      </c>
      <c r="P71" s="51">
        <v>5142.3999020000001</v>
      </c>
      <c r="Q71" s="51">
        <v>4540.6000979999999</v>
      </c>
      <c r="R71" s="51">
        <v>5138.2998049999997</v>
      </c>
      <c r="S71" s="51">
        <v>5138.2998049999997</v>
      </c>
      <c r="T71" s="51">
        <v>0</v>
      </c>
      <c r="U71" s="53">
        <f t="shared" si="4"/>
        <v>0.13001686663111589</v>
      </c>
    </row>
    <row r="72" spans="1:21" x14ac:dyDescent="0.2">
      <c r="A72" s="56">
        <v>36192</v>
      </c>
      <c r="B72" s="51">
        <v>8187</v>
      </c>
      <c r="C72" s="51">
        <v>9267</v>
      </c>
      <c r="D72" s="51">
        <v>8160</v>
      </c>
      <c r="E72" s="51">
        <v>8911</v>
      </c>
      <c r="F72" s="51">
        <v>8911</v>
      </c>
      <c r="G72" s="51">
        <v>0</v>
      </c>
      <c r="H72" s="53">
        <f t="shared" si="3"/>
        <v>9.0430739109153224E-2</v>
      </c>
      <c r="I72" s="53">
        <f t="shared" si="2"/>
        <v>-0.15703339324567211</v>
      </c>
      <c r="J72" s="53"/>
      <c r="K72" s="53"/>
      <c r="L72" s="53"/>
      <c r="N72" s="52">
        <v>34568</v>
      </c>
      <c r="O72" s="51">
        <v>5138.2998049999997</v>
      </c>
      <c r="P72" s="51">
        <v>5443.2001950000003</v>
      </c>
      <c r="Q72" s="51">
        <v>5138.2998049999997</v>
      </c>
      <c r="R72" s="51">
        <v>5214.2998049999997</v>
      </c>
      <c r="S72" s="51">
        <v>5214.2998049999997</v>
      </c>
      <c r="T72" s="51">
        <v>0</v>
      </c>
      <c r="U72" s="53">
        <f t="shared" si="4"/>
        <v>1.479088470587997E-2</v>
      </c>
    </row>
    <row r="73" spans="1:21" x14ac:dyDescent="0.2">
      <c r="A73" s="56">
        <v>36220</v>
      </c>
      <c r="B73" s="51">
        <v>8912</v>
      </c>
      <c r="C73" s="51">
        <v>11101</v>
      </c>
      <c r="D73" s="51">
        <v>8912</v>
      </c>
      <c r="E73" s="51">
        <v>10696</v>
      </c>
      <c r="F73" s="51">
        <v>10696</v>
      </c>
      <c r="G73" s="51">
        <v>0</v>
      </c>
      <c r="H73" s="53">
        <f t="shared" si="3"/>
        <v>0.20031421838177543</v>
      </c>
      <c r="I73" s="53">
        <f t="shared" si="2"/>
        <v>-0.10471248012053236</v>
      </c>
      <c r="J73" s="53"/>
      <c r="K73" s="53"/>
      <c r="L73" s="53"/>
      <c r="N73" s="52">
        <v>34575</v>
      </c>
      <c r="O73" s="51">
        <v>5214.2998049999997</v>
      </c>
      <c r="P73" s="51">
        <v>5537.1000979999999</v>
      </c>
      <c r="Q73" s="51">
        <v>5108.2998049999997</v>
      </c>
      <c r="R73" s="51">
        <v>5367.5</v>
      </c>
      <c r="S73" s="51">
        <v>5367.5</v>
      </c>
      <c r="T73" s="51">
        <v>0</v>
      </c>
      <c r="U73" s="53">
        <f t="shared" si="4"/>
        <v>2.9380779918541711E-2</v>
      </c>
    </row>
    <row r="74" spans="1:21" x14ac:dyDescent="0.2">
      <c r="A74" s="56">
        <v>36251</v>
      </c>
      <c r="B74" s="51">
        <v>10697</v>
      </c>
      <c r="C74" s="51">
        <v>11827</v>
      </c>
      <c r="D74" s="51">
        <v>10676</v>
      </c>
      <c r="E74" s="51">
        <v>11351</v>
      </c>
      <c r="F74" s="51">
        <v>11351</v>
      </c>
      <c r="G74" s="51">
        <v>0</v>
      </c>
      <c r="H74" s="53">
        <f t="shared" si="3"/>
        <v>6.1237845923709733E-2</v>
      </c>
      <c r="I74" s="53">
        <f t="shared" si="2"/>
        <v>-2.7918129656589907E-2</v>
      </c>
      <c r="J74" s="53"/>
      <c r="K74" s="53"/>
      <c r="L74" s="53"/>
      <c r="N74" s="52">
        <v>34582</v>
      </c>
      <c r="O74" s="51">
        <v>5317.7001950000003</v>
      </c>
      <c r="P74" s="51">
        <v>5400.6000979999999</v>
      </c>
      <c r="Q74" s="51">
        <v>4792.5</v>
      </c>
      <c r="R74" s="51">
        <v>5351.1000979999999</v>
      </c>
      <c r="S74" s="51">
        <v>5351.1000979999999</v>
      </c>
      <c r="T74" s="51">
        <v>0</v>
      </c>
      <c r="U74" s="53">
        <f t="shared" si="4"/>
        <v>-3.0554079180251659E-3</v>
      </c>
    </row>
    <row r="75" spans="1:21" x14ac:dyDescent="0.2">
      <c r="A75" s="56">
        <v>36281</v>
      </c>
      <c r="B75" s="51">
        <v>11351</v>
      </c>
      <c r="C75" s="51">
        <v>12589</v>
      </c>
      <c r="D75" s="51">
        <v>10563</v>
      </c>
      <c r="E75" s="51">
        <v>11090</v>
      </c>
      <c r="F75" s="51">
        <v>11090</v>
      </c>
      <c r="G75" s="51">
        <v>0</v>
      </c>
      <c r="H75" s="53">
        <f t="shared" si="3"/>
        <v>-2.2993568848559631E-2</v>
      </c>
      <c r="I75" s="53">
        <f t="shared" si="2"/>
        <v>0.12623133949426224</v>
      </c>
      <c r="J75" s="53"/>
      <c r="K75" s="53"/>
      <c r="L75" s="53"/>
      <c r="N75" s="52">
        <v>34589</v>
      </c>
      <c r="O75" s="51">
        <v>5351.1000979999999</v>
      </c>
      <c r="P75" s="51">
        <v>5637.7001950000003</v>
      </c>
      <c r="Q75" s="51">
        <v>5225</v>
      </c>
      <c r="R75" s="51">
        <v>5293.7001950000003</v>
      </c>
      <c r="S75" s="51">
        <v>5293.7001950000003</v>
      </c>
      <c r="T75" s="51">
        <v>0</v>
      </c>
      <c r="U75" s="53">
        <f t="shared" si="4"/>
        <v>-1.0726748135668984E-2</v>
      </c>
    </row>
    <row r="76" spans="1:21" x14ac:dyDescent="0.2">
      <c r="A76" s="56">
        <v>36312</v>
      </c>
      <c r="B76" s="51">
        <v>11090</v>
      </c>
      <c r="C76" s="51">
        <v>12118</v>
      </c>
      <c r="D76" s="51">
        <v>10666</v>
      </c>
      <c r="E76" s="51">
        <v>11627</v>
      </c>
      <c r="F76" s="51">
        <v>11627</v>
      </c>
      <c r="G76" s="51">
        <v>0</v>
      </c>
      <c r="H76" s="53">
        <f t="shared" si="3"/>
        <v>4.8422001803426484E-2</v>
      </c>
      <c r="I76" s="53">
        <f t="shared" si="2"/>
        <v>0.20138458359165123</v>
      </c>
      <c r="J76" s="53"/>
      <c r="K76" s="53"/>
      <c r="L76" s="53"/>
      <c r="N76" s="52">
        <v>34596</v>
      </c>
      <c r="O76" s="51">
        <v>5293.7001950000003</v>
      </c>
      <c r="P76" s="51">
        <v>5512.1000979999999</v>
      </c>
      <c r="Q76" s="51">
        <v>5162.7998049999997</v>
      </c>
      <c r="R76" s="51">
        <v>5453.2001950000003</v>
      </c>
      <c r="S76" s="51">
        <v>5453.2001950000003</v>
      </c>
      <c r="T76" s="51">
        <v>0</v>
      </c>
      <c r="U76" s="53">
        <f t="shared" si="4"/>
        <v>3.0130153602323517E-2</v>
      </c>
    </row>
    <row r="77" spans="1:21" x14ac:dyDescent="0.2">
      <c r="A77" s="56">
        <v>36342</v>
      </c>
      <c r="B77" s="51">
        <v>11634</v>
      </c>
      <c r="C77" s="51">
        <v>11996</v>
      </c>
      <c r="D77" s="51">
        <v>10345</v>
      </c>
      <c r="E77" s="51">
        <v>10442</v>
      </c>
      <c r="F77" s="51">
        <v>10442</v>
      </c>
      <c r="G77" s="51">
        <v>0</v>
      </c>
      <c r="H77" s="53">
        <f t="shared" si="3"/>
        <v>-0.10191794960006884</v>
      </c>
      <c r="I77" s="53">
        <f t="shared" ref="I77:I124" si="5">F77/F65-1</f>
        <v>-2.4750163444475559E-2</v>
      </c>
      <c r="J77" s="53"/>
      <c r="K77" s="53"/>
      <c r="L77" s="53"/>
      <c r="N77" s="52">
        <v>34603</v>
      </c>
      <c r="O77" s="51">
        <v>5453.2001950000003</v>
      </c>
      <c r="P77" s="51">
        <v>5597</v>
      </c>
      <c r="Q77" s="51">
        <v>5180.6000979999999</v>
      </c>
      <c r="R77" s="51">
        <v>5484</v>
      </c>
      <c r="S77" s="51">
        <v>5484</v>
      </c>
      <c r="T77" s="51">
        <v>0</v>
      </c>
      <c r="U77" s="53">
        <f t="shared" si="4"/>
        <v>5.6480238939768945E-3</v>
      </c>
    </row>
    <row r="78" spans="1:21" x14ac:dyDescent="0.2">
      <c r="A78" s="56">
        <v>36373</v>
      </c>
      <c r="B78" s="51">
        <v>10441</v>
      </c>
      <c r="C78" s="51">
        <v>10726</v>
      </c>
      <c r="D78" s="51">
        <v>9579</v>
      </c>
      <c r="E78" s="51">
        <v>10565</v>
      </c>
      <c r="F78" s="51">
        <v>10565</v>
      </c>
      <c r="G78" s="51">
        <v>0</v>
      </c>
      <c r="H78" s="53">
        <f t="shared" si="3"/>
        <v>1.1779352614441629E-2</v>
      </c>
      <c r="I78" s="53">
        <f t="shared" si="5"/>
        <v>0.63241656365883814</v>
      </c>
      <c r="J78" s="53"/>
      <c r="K78" s="53"/>
      <c r="L78" s="53"/>
      <c r="N78" s="52">
        <v>34610</v>
      </c>
      <c r="O78" s="51">
        <v>5484</v>
      </c>
      <c r="P78" s="51">
        <v>5528.2998049999997</v>
      </c>
      <c r="Q78" s="51">
        <v>4587.3999020000001</v>
      </c>
      <c r="R78" s="51">
        <v>4876.7001950000003</v>
      </c>
      <c r="S78" s="51">
        <v>4876.7001950000003</v>
      </c>
      <c r="T78" s="51">
        <v>0</v>
      </c>
      <c r="U78" s="53">
        <f t="shared" si="4"/>
        <v>-0.11074029996353019</v>
      </c>
    </row>
    <row r="79" spans="1:21" x14ac:dyDescent="0.2">
      <c r="A79" s="56">
        <v>36404</v>
      </c>
      <c r="B79" s="51">
        <v>10583</v>
      </c>
      <c r="C79" s="51">
        <v>11735</v>
      </c>
      <c r="D79" s="51">
        <v>10583</v>
      </c>
      <c r="E79" s="51">
        <v>11106</v>
      </c>
      <c r="F79" s="51">
        <v>11106</v>
      </c>
      <c r="G79" s="51">
        <v>0</v>
      </c>
      <c r="H79" s="53">
        <f t="shared" si="3"/>
        <v>5.1206814955040203E-2</v>
      </c>
      <c r="I79" s="53">
        <f t="shared" si="5"/>
        <v>0.684513878355832</v>
      </c>
      <c r="J79" s="53"/>
      <c r="K79" s="53"/>
      <c r="L79" s="53"/>
      <c r="N79" s="52">
        <v>34617</v>
      </c>
      <c r="O79" s="51">
        <v>4876.7001950000003</v>
      </c>
      <c r="P79" s="51">
        <v>5096.2001950000003</v>
      </c>
      <c r="Q79" s="51">
        <v>4824.1000979999999</v>
      </c>
      <c r="R79" s="51">
        <v>4833.7998049999997</v>
      </c>
      <c r="S79" s="51">
        <v>4833.7998049999997</v>
      </c>
      <c r="T79" s="51">
        <v>0</v>
      </c>
      <c r="U79" s="53">
        <f t="shared" si="4"/>
        <v>-8.7970119721498818E-3</v>
      </c>
    </row>
    <row r="80" spans="1:21" x14ac:dyDescent="0.2">
      <c r="A80" s="56">
        <v>36434</v>
      </c>
      <c r="B80" s="51">
        <v>11105</v>
      </c>
      <c r="C80" s="51">
        <v>11826</v>
      </c>
      <c r="D80" s="51">
        <v>10796</v>
      </c>
      <c r="E80" s="51">
        <v>11700</v>
      </c>
      <c r="F80" s="51">
        <v>11700</v>
      </c>
      <c r="G80" s="51">
        <v>0</v>
      </c>
      <c r="H80" s="53">
        <f t="shared" si="3"/>
        <v>5.3484602917341917E-2</v>
      </c>
      <c r="I80" s="53">
        <f t="shared" si="5"/>
        <v>0.66028097062579816</v>
      </c>
      <c r="J80" s="53"/>
      <c r="K80" s="53"/>
      <c r="L80" s="53"/>
      <c r="N80" s="52">
        <v>34624</v>
      </c>
      <c r="O80" s="51">
        <v>4833.7998049999997</v>
      </c>
      <c r="P80" s="51">
        <v>4919</v>
      </c>
      <c r="Q80" s="51">
        <v>4546.1000979999999</v>
      </c>
      <c r="R80" s="51">
        <v>4561.8999020000001</v>
      </c>
      <c r="S80" s="51">
        <v>4561.8999020000001</v>
      </c>
      <c r="T80" s="51">
        <v>0</v>
      </c>
      <c r="U80" s="53">
        <f t="shared" si="4"/>
        <v>-5.6249723606416446E-2</v>
      </c>
    </row>
    <row r="81" spans="1:21" x14ac:dyDescent="0.2">
      <c r="A81" s="56">
        <v>36465</v>
      </c>
      <c r="B81" s="51">
        <v>11701</v>
      </c>
      <c r="C81" s="51">
        <v>14054</v>
      </c>
      <c r="D81" s="51">
        <v>11685</v>
      </c>
      <c r="E81" s="51">
        <v>13779</v>
      </c>
      <c r="F81" s="51">
        <v>13779</v>
      </c>
      <c r="G81" s="51">
        <v>0</v>
      </c>
      <c r="H81" s="53">
        <f t="shared" si="3"/>
        <v>0.17769230769230759</v>
      </c>
      <c r="I81" s="53">
        <f t="shared" si="5"/>
        <v>0.59645464025026063</v>
      </c>
      <c r="J81" s="53"/>
      <c r="K81" s="53"/>
      <c r="L81" s="53"/>
      <c r="N81" s="52">
        <v>34631</v>
      </c>
      <c r="O81" s="51">
        <v>4561.8999020000001</v>
      </c>
      <c r="P81" s="51">
        <v>4954.6000979999999</v>
      </c>
      <c r="Q81" s="51">
        <v>4283.7001950000003</v>
      </c>
      <c r="R81" s="51">
        <v>4927.6000979999999</v>
      </c>
      <c r="S81" s="51">
        <v>4927.6000979999999</v>
      </c>
      <c r="T81" s="51">
        <v>0</v>
      </c>
      <c r="U81" s="53">
        <f t="shared" si="4"/>
        <v>8.016401145489227E-2</v>
      </c>
    </row>
    <row r="82" spans="1:21" x14ac:dyDescent="0.2">
      <c r="A82" s="56">
        <v>36495</v>
      </c>
      <c r="B82" s="51">
        <v>13784</v>
      </c>
      <c r="C82" s="51">
        <v>17105</v>
      </c>
      <c r="D82" s="51">
        <v>13556</v>
      </c>
      <c r="E82" s="51">
        <v>17092</v>
      </c>
      <c r="F82" s="51">
        <v>17092</v>
      </c>
      <c r="G82" s="51">
        <v>0</v>
      </c>
      <c r="H82" s="53">
        <f t="shared" si="3"/>
        <v>0.2404383482110457</v>
      </c>
      <c r="I82" s="53">
        <f t="shared" si="5"/>
        <v>1.5194575471698113</v>
      </c>
      <c r="J82" s="53"/>
      <c r="K82" s="53"/>
      <c r="L82" s="53"/>
      <c r="N82" s="52">
        <v>34638</v>
      </c>
      <c r="O82" s="51">
        <v>4927.6000979999999</v>
      </c>
      <c r="P82" s="51">
        <v>4962.1000979999999</v>
      </c>
      <c r="Q82" s="51">
        <v>4493.6000979999999</v>
      </c>
      <c r="R82" s="51">
        <v>4666.7001950000003</v>
      </c>
      <c r="S82" s="51">
        <v>4666.7001950000003</v>
      </c>
      <c r="T82" s="51">
        <v>0</v>
      </c>
      <c r="U82" s="53">
        <f t="shared" si="4"/>
        <v>-5.2946647010964409E-2</v>
      </c>
    </row>
    <row r="83" spans="1:21" x14ac:dyDescent="0.2">
      <c r="A83" s="56">
        <v>36526</v>
      </c>
      <c r="B83" s="51">
        <v>17098</v>
      </c>
      <c r="C83" s="51">
        <v>18099</v>
      </c>
      <c r="D83" s="51">
        <v>15350</v>
      </c>
      <c r="E83" s="51">
        <v>16388</v>
      </c>
      <c r="F83" s="51">
        <v>16388</v>
      </c>
      <c r="G83" s="51">
        <v>0</v>
      </c>
      <c r="H83" s="53">
        <f t="shared" si="3"/>
        <v>-4.1188860285513718E-2</v>
      </c>
      <c r="I83" s="53">
        <f t="shared" si="5"/>
        <v>1.0053842388644152</v>
      </c>
      <c r="J83" s="53"/>
      <c r="K83" s="53"/>
      <c r="L83" s="53"/>
      <c r="N83" s="52">
        <v>34645</v>
      </c>
      <c r="O83" s="51">
        <v>4666.7001950000003</v>
      </c>
      <c r="P83" s="51">
        <v>5064.1000979999999</v>
      </c>
      <c r="Q83" s="51">
        <v>4666.7001950000003</v>
      </c>
      <c r="R83" s="51">
        <v>4952</v>
      </c>
      <c r="S83" s="51">
        <v>4952</v>
      </c>
      <c r="T83" s="51">
        <v>0</v>
      </c>
      <c r="U83" s="53">
        <f t="shared" si="4"/>
        <v>6.1135233265182887E-2</v>
      </c>
    </row>
    <row r="84" spans="1:21" x14ac:dyDescent="0.2">
      <c r="A84" s="56">
        <v>36557</v>
      </c>
      <c r="B84" s="51">
        <v>16389</v>
      </c>
      <c r="C84" s="51">
        <v>18886</v>
      </c>
      <c r="D84" s="51">
        <v>16389</v>
      </c>
      <c r="E84" s="51">
        <v>17660</v>
      </c>
      <c r="F84" s="51">
        <v>17660</v>
      </c>
      <c r="G84" s="51">
        <v>0</v>
      </c>
      <c r="H84" s="53">
        <f t="shared" si="3"/>
        <v>7.7617769099340927E-2</v>
      </c>
      <c r="I84" s="53">
        <f t="shared" si="5"/>
        <v>0.98182022219728426</v>
      </c>
      <c r="J84" s="53"/>
      <c r="K84" s="53"/>
      <c r="L84" s="53"/>
      <c r="N84" s="52">
        <v>34652</v>
      </c>
      <c r="O84" s="51">
        <v>4952</v>
      </c>
      <c r="P84" s="51">
        <v>5086.2001950000003</v>
      </c>
      <c r="Q84" s="51">
        <v>4656.2001950000003</v>
      </c>
      <c r="R84" s="51">
        <v>4712.5</v>
      </c>
      <c r="S84" s="51">
        <v>4712.5</v>
      </c>
      <c r="T84" s="51">
        <v>0</v>
      </c>
      <c r="U84" s="53">
        <f t="shared" si="4"/>
        <v>-4.8364297253634891E-2</v>
      </c>
    </row>
    <row r="85" spans="1:21" x14ac:dyDescent="0.2">
      <c r="A85" s="56">
        <v>36586</v>
      </c>
      <c r="B85" s="51">
        <v>17668</v>
      </c>
      <c r="C85" s="51">
        <v>19047</v>
      </c>
      <c r="D85" s="51">
        <v>16922</v>
      </c>
      <c r="E85" s="51">
        <v>17820</v>
      </c>
      <c r="F85" s="51">
        <v>17820</v>
      </c>
      <c r="G85" s="51">
        <v>0</v>
      </c>
      <c r="H85" s="53">
        <f t="shared" si="3"/>
        <v>9.060022650056565E-3</v>
      </c>
      <c r="I85" s="53">
        <f t="shared" si="5"/>
        <v>0.66604338070306657</v>
      </c>
      <c r="J85" s="53"/>
      <c r="K85" s="53"/>
      <c r="L85" s="53"/>
      <c r="N85" s="52">
        <v>34659</v>
      </c>
      <c r="O85" s="51">
        <v>4713.2001950000003</v>
      </c>
      <c r="P85" s="51">
        <v>4713.2001950000003</v>
      </c>
      <c r="Q85" s="51">
        <v>4219.2001950000003</v>
      </c>
      <c r="R85" s="51">
        <v>4398.7001950000003</v>
      </c>
      <c r="S85" s="51">
        <v>4398.7001950000003</v>
      </c>
      <c r="T85" s="51">
        <v>0</v>
      </c>
      <c r="U85" s="53">
        <f t="shared" si="4"/>
        <v>-6.6588818037135233E-2</v>
      </c>
    </row>
    <row r="86" spans="1:21" x14ac:dyDescent="0.2">
      <c r="A86" s="56">
        <v>36617</v>
      </c>
      <c r="B86" s="51">
        <v>17826</v>
      </c>
      <c r="C86" s="51">
        <v>17826</v>
      </c>
      <c r="D86" s="51">
        <v>14029</v>
      </c>
      <c r="E86" s="51">
        <v>15538</v>
      </c>
      <c r="F86" s="51">
        <v>15538</v>
      </c>
      <c r="G86" s="51">
        <v>0</v>
      </c>
      <c r="H86" s="53">
        <f t="shared" si="3"/>
        <v>-0.12805836139169469</v>
      </c>
      <c r="I86" s="53">
        <f t="shared" si="5"/>
        <v>0.36886617919126063</v>
      </c>
      <c r="J86" s="53"/>
      <c r="K86" s="53"/>
      <c r="L86" s="53"/>
      <c r="N86" s="52">
        <v>34666</v>
      </c>
      <c r="O86" s="51">
        <v>4398.7001950000003</v>
      </c>
      <c r="P86" s="51">
        <v>4840.6000979999999</v>
      </c>
      <c r="Q86" s="51">
        <v>4315.2001950000003</v>
      </c>
      <c r="R86" s="51">
        <v>4525.3999020000001</v>
      </c>
      <c r="S86" s="51">
        <v>4525.3999020000001</v>
      </c>
      <c r="T86" s="51">
        <v>0</v>
      </c>
      <c r="U86" s="53">
        <f t="shared" si="4"/>
        <v>2.8803896920281069E-2</v>
      </c>
    </row>
    <row r="87" spans="1:21" x14ac:dyDescent="0.2">
      <c r="A87" s="56">
        <v>36647</v>
      </c>
      <c r="B87" s="51">
        <v>15596</v>
      </c>
      <c r="C87" s="51">
        <v>15944</v>
      </c>
      <c r="D87" s="51">
        <v>13556</v>
      </c>
      <c r="E87" s="51">
        <v>14957</v>
      </c>
      <c r="F87" s="51">
        <v>14957</v>
      </c>
      <c r="G87" s="51">
        <v>0</v>
      </c>
      <c r="H87" s="53">
        <f t="shared" si="3"/>
        <v>-3.7392199768309986E-2</v>
      </c>
      <c r="I87" s="53">
        <f t="shared" si="5"/>
        <v>0.34869251577998206</v>
      </c>
      <c r="J87" s="53"/>
      <c r="K87" s="53"/>
      <c r="L87" s="53"/>
      <c r="N87" s="52">
        <v>34673</v>
      </c>
      <c r="O87" s="51">
        <v>4525.3999020000001</v>
      </c>
      <c r="P87" s="51">
        <v>4880.8999020000001</v>
      </c>
      <c r="Q87" s="51">
        <v>4408.1000979999999</v>
      </c>
      <c r="R87" s="51">
        <v>4731.2998049999997</v>
      </c>
      <c r="S87" s="51">
        <v>4731.2998049999997</v>
      </c>
      <c r="T87" s="51">
        <v>0</v>
      </c>
      <c r="U87" s="53">
        <f t="shared" si="4"/>
        <v>4.5498719993563919E-2</v>
      </c>
    </row>
    <row r="88" spans="1:21" x14ac:dyDescent="0.2">
      <c r="A88" s="56">
        <v>36678</v>
      </c>
      <c r="B88" s="51">
        <v>14967</v>
      </c>
      <c r="C88" s="51">
        <v>17396</v>
      </c>
      <c r="D88" s="51">
        <v>14967</v>
      </c>
      <c r="E88" s="51">
        <v>16728</v>
      </c>
      <c r="F88" s="51">
        <v>16728</v>
      </c>
      <c r="G88" s="51">
        <v>0</v>
      </c>
      <c r="H88" s="53">
        <f t="shared" si="3"/>
        <v>0.11840609747944097</v>
      </c>
      <c r="I88" s="53">
        <f t="shared" si="5"/>
        <v>0.43872022017717383</v>
      </c>
      <c r="J88" s="53"/>
      <c r="K88" s="53"/>
      <c r="L88" s="53"/>
      <c r="N88" s="52">
        <v>34680</v>
      </c>
      <c r="O88" s="51">
        <v>4731.2998049999997</v>
      </c>
      <c r="P88" s="51">
        <v>5009.7001950000003</v>
      </c>
      <c r="Q88" s="51">
        <v>4731.2998049999997</v>
      </c>
      <c r="R88" s="51">
        <v>4917.7001950000003</v>
      </c>
      <c r="S88" s="51">
        <v>4917.7001950000003</v>
      </c>
      <c r="T88" s="51">
        <v>0</v>
      </c>
      <c r="U88" s="53">
        <f t="shared" si="4"/>
        <v>3.9397289895477305E-2</v>
      </c>
    </row>
    <row r="89" spans="1:21" x14ac:dyDescent="0.2">
      <c r="A89" s="56">
        <v>36708</v>
      </c>
      <c r="B89" s="51">
        <v>16747</v>
      </c>
      <c r="C89" s="51">
        <v>17795</v>
      </c>
      <c r="D89" s="51">
        <v>16390</v>
      </c>
      <c r="E89" s="51">
        <v>16455</v>
      </c>
      <c r="F89" s="51">
        <v>16455</v>
      </c>
      <c r="G89" s="51">
        <v>0</v>
      </c>
      <c r="H89" s="53">
        <f t="shared" si="3"/>
        <v>-1.6319942611190852E-2</v>
      </c>
      <c r="I89" s="53">
        <f t="shared" si="5"/>
        <v>0.57584753878567319</v>
      </c>
      <c r="J89" s="53"/>
      <c r="K89" s="53"/>
      <c r="L89" s="53"/>
      <c r="N89" s="52">
        <v>34687</v>
      </c>
      <c r="O89" s="51">
        <v>4917.7001950000003</v>
      </c>
      <c r="P89" s="51">
        <v>5023.3999020000001</v>
      </c>
      <c r="Q89" s="51">
        <v>3990.8000489999999</v>
      </c>
      <c r="R89" s="51">
        <v>4351.3999020000001</v>
      </c>
      <c r="S89" s="51">
        <v>4351.3999020000001</v>
      </c>
      <c r="T89" s="51">
        <v>0</v>
      </c>
      <c r="U89" s="53">
        <f t="shared" si="4"/>
        <v>-0.11515551386718892</v>
      </c>
    </row>
    <row r="90" spans="1:21" x14ac:dyDescent="0.2">
      <c r="A90" s="56">
        <v>36739</v>
      </c>
      <c r="B90" s="51">
        <v>16475</v>
      </c>
      <c r="C90" s="51">
        <v>17926</v>
      </c>
      <c r="D90" s="51">
        <v>16073</v>
      </c>
      <c r="E90" s="51">
        <v>17347</v>
      </c>
      <c r="F90" s="51">
        <v>17347</v>
      </c>
      <c r="G90" s="51">
        <v>0</v>
      </c>
      <c r="H90" s="53">
        <f t="shared" si="3"/>
        <v>5.4208447280461813E-2</v>
      </c>
      <c r="I90" s="53">
        <f t="shared" si="5"/>
        <v>0.64193090392806429</v>
      </c>
      <c r="J90" s="53"/>
      <c r="K90" s="53"/>
      <c r="L90" s="53"/>
      <c r="N90" s="52">
        <v>34694</v>
      </c>
      <c r="O90" s="51">
        <v>4351.3999020000001</v>
      </c>
      <c r="P90" s="51">
        <v>4476.8999020000001</v>
      </c>
      <c r="Q90" s="51">
        <v>4035.6999510000001</v>
      </c>
      <c r="R90" s="51">
        <v>4353.8999020000001</v>
      </c>
      <c r="S90" s="51">
        <v>4353.8999020000001</v>
      </c>
      <c r="T90" s="51">
        <v>0</v>
      </c>
      <c r="U90" s="53">
        <f t="shared" si="4"/>
        <v>5.7452775113842058E-4</v>
      </c>
    </row>
    <row r="91" spans="1:21" x14ac:dyDescent="0.2">
      <c r="A91" s="56">
        <v>36770</v>
      </c>
      <c r="B91" s="51">
        <v>17360</v>
      </c>
      <c r="C91" s="51">
        <v>17716</v>
      </c>
      <c r="D91" s="51">
        <v>15657</v>
      </c>
      <c r="E91" s="51">
        <v>15928</v>
      </c>
      <c r="F91" s="51">
        <v>15928</v>
      </c>
      <c r="G91" s="51">
        <v>0</v>
      </c>
      <c r="H91" s="53">
        <f t="shared" si="3"/>
        <v>-8.1800887761572572E-2</v>
      </c>
      <c r="I91" s="53">
        <f t="shared" si="5"/>
        <v>0.43417972267242932</v>
      </c>
      <c r="J91" s="53"/>
      <c r="K91" s="53"/>
      <c r="L91" s="53"/>
      <c r="N91" s="52">
        <v>34701</v>
      </c>
      <c r="O91" s="51">
        <v>4353.8999020000001</v>
      </c>
      <c r="P91" s="51">
        <v>4397.6000979999999</v>
      </c>
      <c r="Q91" s="51">
        <v>3813</v>
      </c>
      <c r="R91" s="51">
        <v>3827.3999020000001</v>
      </c>
      <c r="S91" s="51">
        <v>3827.3999020000001</v>
      </c>
      <c r="T91" s="51">
        <v>0</v>
      </c>
      <c r="U91" s="53">
        <f t="shared" si="4"/>
        <v>-0.12092606900727043</v>
      </c>
    </row>
    <row r="92" spans="1:21" x14ac:dyDescent="0.2">
      <c r="A92" s="56">
        <v>36800</v>
      </c>
      <c r="B92" s="51">
        <v>15950</v>
      </c>
      <c r="C92" s="51">
        <v>16404</v>
      </c>
      <c r="D92" s="51">
        <v>13571</v>
      </c>
      <c r="E92" s="51">
        <v>14867</v>
      </c>
      <c r="F92" s="51">
        <v>14867</v>
      </c>
      <c r="G92" s="51">
        <v>0</v>
      </c>
      <c r="H92" s="53">
        <f t="shared" si="3"/>
        <v>-6.661225514816671E-2</v>
      </c>
      <c r="I92" s="53">
        <f t="shared" si="5"/>
        <v>0.27068376068376065</v>
      </c>
      <c r="J92" s="53"/>
      <c r="K92" s="53"/>
      <c r="L92" s="53"/>
      <c r="N92" s="52">
        <v>34708</v>
      </c>
      <c r="O92" s="51">
        <v>3827.3999020000001</v>
      </c>
      <c r="P92" s="51">
        <v>4107.6000979999999</v>
      </c>
      <c r="Q92" s="51">
        <v>3108.6000979999999</v>
      </c>
      <c r="R92" s="51">
        <v>4103.7998049999997</v>
      </c>
      <c r="S92" s="51">
        <v>4103.7998049999997</v>
      </c>
      <c r="T92" s="51">
        <v>0</v>
      </c>
      <c r="U92" s="53">
        <f t="shared" si="4"/>
        <v>7.2216102335051824E-2</v>
      </c>
    </row>
    <row r="93" spans="1:21" x14ac:dyDescent="0.2">
      <c r="A93" s="56">
        <v>36831</v>
      </c>
      <c r="B93" s="51">
        <v>14858</v>
      </c>
      <c r="C93" s="51">
        <v>15191</v>
      </c>
      <c r="D93" s="51">
        <v>12969</v>
      </c>
      <c r="E93" s="51">
        <v>13287</v>
      </c>
      <c r="F93" s="51">
        <v>13287</v>
      </c>
      <c r="G93" s="51">
        <v>0</v>
      </c>
      <c r="H93" s="53">
        <f t="shared" si="3"/>
        <v>-0.10627564404385548</v>
      </c>
      <c r="I93" s="53">
        <f t="shared" si="5"/>
        <v>-3.5706509906379247E-2</v>
      </c>
      <c r="J93" s="53"/>
      <c r="K93" s="53"/>
      <c r="L93" s="53"/>
      <c r="N93" s="52">
        <v>34715</v>
      </c>
      <c r="O93" s="51">
        <v>4103.7998049999997</v>
      </c>
      <c r="P93" s="51">
        <v>4255.8999020000001</v>
      </c>
      <c r="Q93" s="51">
        <v>3776</v>
      </c>
      <c r="R93" s="51">
        <v>3862.3000489999999</v>
      </c>
      <c r="S93" s="51">
        <v>3862.3000489999999</v>
      </c>
      <c r="T93" s="51">
        <v>0</v>
      </c>
      <c r="U93" s="53">
        <f t="shared" si="4"/>
        <v>-5.8847840410187757E-2</v>
      </c>
    </row>
    <row r="94" spans="1:21" x14ac:dyDescent="0.2">
      <c r="A94" s="56">
        <v>36861</v>
      </c>
      <c r="B94" s="51">
        <v>13303</v>
      </c>
      <c r="C94" s="51">
        <v>15415</v>
      </c>
      <c r="D94" s="51">
        <v>13242</v>
      </c>
      <c r="E94" s="51">
        <v>15259</v>
      </c>
      <c r="F94" s="51">
        <v>15259</v>
      </c>
      <c r="G94" s="51">
        <v>0</v>
      </c>
      <c r="H94" s="53">
        <f t="shared" si="3"/>
        <v>0.14841574471287733</v>
      </c>
      <c r="I94" s="53">
        <f t="shared" si="5"/>
        <v>-0.10724315469225365</v>
      </c>
      <c r="J94" s="53"/>
      <c r="K94" s="53"/>
      <c r="L94" s="53"/>
      <c r="N94" s="52">
        <v>34722</v>
      </c>
      <c r="O94" s="51">
        <v>3862.3000489999999</v>
      </c>
      <c r="P94" s="51">
        <v>3973</v>
      </c>
      <c r="Q94" s="51">
        <v>3679.8000489999999</v>
      </c>
      <c r="R94" s="51">
        <v>3784.3000489999999</v>
      </c>
      <c r="S94" s="51">
        <v>3784.3000489999999</v>
      </c>
      <c r="T94" s="51">
        <v>0</v>
      </c>
      <c r="U94" s="53">
        <f t="shared" si="4"/>
        <v>-2.0195220208278575E-2</v>
      </c>
    </row>
    <row r="95" spans="1:21" x14ac:dyDescent="0.2">
      <c r="A95" s="56">
        <v>36892</v>
      </c>
      <c r="B95" s="51">
        <v>15242</v>
      </c>
      <c r="C95" s="51">
        <v>18023</v>
      </c>
      <c r="D95" s="51">
        <v>15174</v>
      </c>
      <c r="E95" s="51">
        <v>17673</v>
      </c>
      <c r="F95" s="51">
        <v>17673</v>
      </c>
      <c r="G95" s="51">
        <v>0</v>
      </c>
      <c r="H95" s="53">
        <f t="shared" si="3"/>
        <v>0.15820171701946384</v>
      </c>
      <c r="I95" s="53">
        <f t="shared" si="5"/>
        <v>7.8411032462777586E-2</v>
      </c>
      <c r="J95" s="53"/>
      <c r="K95" s="53"/>
      <c r="L95" s="53"/>
      <c r="N95" s="52">
        <v>34729</v>
      </c>
      <c r="O95" s="51">
        <v>3784.3000489999999</v>
      </c>
      <c r="P95" s="51">
        <v>4067.1999510000001</v>
      </c>
      <c r="Q95" s="51">
        <v>3546.8000489999999</v>
      </c>
      <c r="R95" s="51">
        <v>3944.3999020000001</v>
      </c>
      <c r="S95" s="51">
        <v>3944.3999020000001</v>
      </c>
      <c r="T95" s="51">
        <v>0</v>
      </c>
      <c r="U95" s="53">
        <f t="shared" si="4"/>
        <v>4.2306331666884134E-2</v>
      </c>
    </row>
    <row r="96" spans="1:21" x14ac:dyDescent="0.2">
      <c r="A96" s="56">
        <v>36923</v>
      </c>
      <c r="B96" s="51">
        <v>17670</v>
      </c>
      <c r="C96" s="51">
        <v>17673</v>
      </c>
      <c r="D96" s="51">
        <v>15558</v>
      </c>
      <c r="E96" s="51">
        <v>15891</v>
      </c>
      <c r="F96" s="51">
        <v>15891</v>
      </c>
      <c r="G96" s="51">
        <v>0</v>
      </c>
      <c r="H96" s="53">
        <f t="shared" si="3"/>
        <v>-0.10083177728738757</v>
      </c>
      <c r="I96" s="53">
        <f t="shared" si="5"/>
        <v>-0.10016987542468858</v>
      </c>
      <c r="J96" s="53"/>
      <c r="K96" s="53"/>
      <c r="L96" s="53"/>
      <c r="N96" s="52">
        <v>34736</v>
      </c>
      <c r="O96" s="51">
        <v>3944.3999020000001</v>
      </c>
      <c r="P96" s="51">
        <v>3987.1000979999999</v>
      </c>
      <c r="Q96" s="51">
        <v>3256.5</v>
      </c>
      <c r="R96" s="51">
        <v>3307.6999510000001</v>
      </c>
      <c r="S96" s="51">
        <v>3307.6999510000001</v>
      </c>
      <c r="T96" s="51">
        <v>0</v>
      </c>
      <c r="U96" s="53">
        <f t="shared" si="4"/>
        <v>-0.16141871179876122</v>
      </c>
    </row>
    <row r="97" spans="1:21" x14ac:dyDescent="0.2">
      <c r="A97" s="56">
        <v>36951</v>
      </c>
      <c r="B97" s="51">
        <v>15891</v>
      </c>
      <c r="C97" s="51">
        <v>16813</v>
      </c>
      <c r="D97" s="51">
        <v>13761</v>
      </c>
      <c r="E97" s="51">
        <v>14438</v>
      </c>
      <c r="F97" s="51">
        <v>14438</v>
      </c>
      <c r="G97" s="51">
        <v>0</v>
      </c>
      <c r="H97" s="53">
        <f t="shared" si="3"/>
        <v>-9.143540368762193E-2</v>
      </c>
      <c r="I97" s="53">
        <f t="shared" si="5"/>
        <v>-0.18978675645342313</v>
      </c>
      <c r="J97" s="53"/>
      <c r="K97" s="53"/>
      <c r="L97" s="53"/>
      <c r="N97" s="52">
        <v>34743</v>
      </c>
      <c r="O97" s="51">
        <v>3307.6999510000001</v>
      </c>
      <c r="P97" s="51">
        <v>3433</v>
      </c>
      <c r="Q97" s="51">
        <v>2809.6999510000001</v>
      </c>
      <c r="R97" s="51">
        <v>3023.3000489999999</v>
      </c>
      <c r="S97" s="51">
        <v>3023.3000489999999</v>
      </c>
      <c r="T97" s="51">
        <v>0</v>
      </c>
      <c r="U97" s="53">
        <f t="shared" si="4"/>
        <v>-8.5981167038448825E-2</v>
      </c>
    </row>
    <row r="98" spans="1:21" x14ac:dyDescent="0.2">
      <c r="A98" s="56">
        <v>36982</v>
      </c>
      <c r="B98" s="51">
        <v>14441</v>
      </c>
      <c r="C98" s="51">
        <v>15267</v>
      </c>
      <c r="D98" s="51">
        <v>13325</v>
      </c>
      <c r="E98" s="51">
        <v>14918</v>
      </c>
      <c r="F98" s="51">
        <v>14918</v>
      </c>
      <c r="G98" s="51">
        <v>0</v>
      </c>
      <c r="H98" s="53">
        <f t="shared" si="3"/>
        <v>3.3245601883917342E-2</v>
      </c>
      <c r="I98" s="53">
        <f t="shared" si="5"/>
        <v>-3.9902175312138022E-2</v>
      </c>
      <c r="J98" s="53"/>
      <c r="K98" s="53"/>
      <c r="L98" s="53"/>
      <c r="N98" s="52">
        <v>34750</v>
      </c>
      <c r="O98" s="51">
        <v>3023.3000489999999</v>
      </c>
      <c r="P98" s="51">
        <v>3345.8000489999999</v>
      </c>
      <c r="Q98" s="51">
        <v>2762</v>
      </c>
      <c r="R98" s="51">
        <v>3270.8999020000001</v>
      </c>
      <c r="S98" s="51">
        <v>3270.8999020000001</v>
      </c>
      <c r="T98" s="51">
        <v>0</v>
      </c>
      <c r="U98" s="53">
        <f t="shared" si="4"/>
        <v>8.189721462872912E-2</v>
      </c>
    </row>
    <row r="99" spans="1:21" x14ac:dyDescent="0.2">
      <c r="A99" s="56">
        <v>37012</v>
      </c>
      <c r="B99" s="51">
        <v>14877</v>
      </c>
      <c r="C99" s="51">
        <v>15304</v>
      </c>
      <c r="D99" s="51">
        <v>14056</v>
      </c>
      <c r="E99" s="51">
        <v>14650</v>
      </c>
      <c r="F99" s="51">
        <v>14650</v>
      </c>
      <c r="G99" s="51">
        <v>0</v>
      </c>
      <c r="H99" s="53">
        <f t="shared" si="3"/>
        <v>-1.7964874648076168E-2</v>
      </c>
      <c r="I99" s="53">
        <f t="shared" si="5"/>
        <v>-2.0525506451828601E-2</v>
      </c>
      <c r="J99" s="53"/>
      <c r="K99" s="53"/>
      <c r="L99" s="53"/>
      <c r="N99" s="52">
        <v>34757</v>
      </c>
      <c r="O99" s="51">
        <v>3270.8999020000001</v>
      </c>
      <c r="P99" s="51">
        <v>3270.8999020000001</v>
      </c>
      <c r="Q99" s="51">
        <v>2841.6999510000001</v>
      </c>
      <c r="R99" s="51">
        <v>2988</v>
      </c>
      <c r="S99" s="51">
        <v>2988</v>
      </c>
      <c r="T99" s="51">
        <v>0</v>
      </c>
      <c r="U99" s="53">
        <f t="shared" si="4"/>
        <v>-8.6489929522765352E-2</v>
      </c>
    </row>
    <row r="100" spans="1:21" x14ac:dyDescent="0.2">
      <c r="A100" s="56">
        <v>37043</v>
      </c>
      <c r="B100" s="51">
        <v>14654</v>
      </c>
      <c r="C100" s="51">
        <v>15644</v>
      </c>
      <c r="D100" s="51">
        <v>14164</v>
      </c>
      <c r="E100" s="51">
        <v>14560</v>
      </c>
      <c r="F100" s="51">
        <v>14560</v>
      </c>
      <c r="G100" s="51">
        <v>0</v>
      </c>
      <c r="H100" s="53">
        <f t="shared" si="3"/>
        <v>-6.1433447098976357E-3</v>
      </c>
      <c r="I100" s="53">
        <f t="shared" si="5"/>
        <v>-0.12960306073648975</v>
      </c>
      <c r="J100" s="53"/>
      <c r="K100" s="53"/>
      <c r="L100" s="53"/>
      <c r="N100" s="52">
        <v>34764</v>
      </c>
      <c r="O100" s="51">
        <v>2988</v>
      </c>
      <c r="P100" s="51">
        <v>3035.6999510000001</v>
      </c>
      <c r="Q100" s="51">
        <v>2110</v>
      </c>
      <c r="R100" s="51">
        <v>2686.1999510000001</v>
      </c>
      <c r="S100" s="51">
        <v>2686.1999510000001</v>
      </c>
      <c r="T100" s="51">
        <v>0</v>
      </c>
      <c r="U100" s="53">
        <f t="shared" si="4"/>
        <v>-0.10100403246318601</v>
      </c>
    </row>
    <row r="101" spans="1:21" x14ac:dyDescent="0.2">
      <c r="A101" s="56">
        <v>37073</v>
      </c>
      <c r="B101" s="51">
        <v>14579</v>
      </c>
      <c r="C101" s="51">
        <v>14771</v>
      </c>
      <c r="D101" s="51">
        <v>13361</v>
      </c>
      <c r="E101" s="51">
        <v>13754</v>
      </c>
      <c r="F101" s="51">
        <v>13754</v>
      </c>
      <c r="G101" s="51">
        <v>0</v>
      </c>
      <c r="H101" s="53">
        <f t="shared" si="3"/>
        <v>-5.5357142857142883E-2</v>
      </c>
      <c r="I101" s="53">
        <f t="shared" si="5"/>
        <v>-0.1641446368884838</v>
      </c>
      <c r="J101" s="53"/>
      <c r="K101" s="53"/>
      <c r="L101" s="53"/>
      <c r="N101" s="52">
        <v>34771</v>
      </c>
      <c r="O101" s="51">
        <v>2686.1999510000001</v>
      </c>
      <c r="P101" s="51">
        <v>3164.6999510000001</v>
      </c>
      <c r="Q101" s="51">
        <v>2542.3999020000001</v>
      </c>
      <c r="R101" s="51">
        <v>2981.1000979999999</v>
      </c>
      <c r="S101" s="51">
        <v>2981.1000979999999</v>
      </c>
      <c r="T101" s="51">
        <v>0</v>
      </c>
      <c r="U101" s="53">
        <f t="shared" si="4"/>
        <v>0.10978339378281077</v>
      </c>
    </row>
    <row r="102" spans="1:21" x14ac:dyDescent="0.2">
      <c r="A102" s="56">
        <v>37104</v>
      </c>
      <c r="B102" s="51">
        <v>13757</v>
      </c>
      <c r="C102" s="51">
        <v>14143</v>
      </c>
      <c r="D102" s="51">
        <v>12681</v>
      </c>
      <c r="E102" s="51">
        <v>12841</v>
      </c>
      <c r="F102" s="51">
        <v>12841</v>
      </c>
      <c r="G102" s="51">
        <v>0</v>
      </c>
      <c r="H102" s="53">
        <f t="shared" si="3"/>
        <v>-6.6380689254035175E-2</v>
      </c>
      <c r="I102" s="53">
        <f t="shared" si="5"/>
        <v>-0.25975673027036372</v>
      </c>
      <c r="J102" s="53"/>
      <c r="K102" s="53"/>
      <c r="L102" s="53"/>
      <c r="N102" s="52">
        <v>34778</v>
      </c>
      <c r="O102" s="51">
        <v>2981.1000979999999</v>
      </c>
      <c r="P102" s="51">
        <v>3388</v>
      </c>
      <c r="Q102" s="51">
        <v>2844.1000979999999</v>
      </c>
      <c r="R102" s="51">
        <v>3361.1999510000001</v>
      </c>
      <c r="S102" s="51">
        <v>3361.1999510000001</v>
      </c>
      <c r="T102" s="51">
        <v>0</v>
      </c>
      <c r="U102" s="53">
        <f t="shared" si="4"/>
        <v>0.12750321710264156</v>
      </c>
    </row>
    <row r="103" spans="1:21" x14ac:dyDescent="0.2">
      <c r="A103" s="56">
        <v>37135</v>
      </c>
      <c r="B103" s="51">
        <v>12849</v>
      </c>
      <c r="C103" s="51">
        <v>12947</v>
      </c>
      <c r="D103" s="51">
        <v>9533</v>
      </c>
      <c r="E103" s="51">
        <v>10636</v>
      </c>
      <c r="F103" s="51">
        <v>10636</v>
      </c>
      <c r="G103" s="51">
        <v>0</v>
      </c>
      <c r="H103" s="53">
        <f t="shared" si="3"/>
        <v>-0.17171559847363915</v>
      </c>
      <c r="I103" s="53">
        <f t="shared" si="5"/>
        <v>-0.33224510296333498</v>
      </c>
      <c r="J103" s="53"/>
      <c r="K103" s="53"/>
      <c r="L103" s="53"/>
      <c r="N103" s="52">
        <v>34785</v>
      </c>
      <c r="O103" s="51">
        <v>3361.1999510000001</v>
      </c>
      <c r="P103" s="51">
        <v>3494.8999020000001</v>
      </c>
      <c r="Q103" s="51">
        <v>2947</v>
      </c>
      <c r="R103" s="51">
        <v>2979</v>
      </c>
      <c r="S103" s="51">
        <v>2979</v>
      </c>
      <c r="T103" s="51">
        <v>0</v>
      </c>
      <c r="U103" s="53">
        <f t="shared" si="4"/>
        <v>-0.1137093765832915</v>
      </c>
    </row>
    <row r="104" spans="1:21" x14ac:dyDescent="0.2">
      <c r="A104" s="56">
        <v>37165</v>
      </c>
      <c r="B104" s="51">
        <v>10633</v>
      </c>
      <c r="C104" s="51">
        <v>11924</v>
      </c>
      <c r="D104" s="51">
        <v>9985</v>
      </c>
      <c r="E104" s="51">
        <v>11365</v>
      </c>
      <c r="F104" s="51">
        <v>11365</v>
      </c>
      <c r="G104" s="51">
        <v>0</v>
      </c>
      <c r="H104" s="53">
        <f t="shared" si="3"/>
        <v>6.854080481383984E-2</v>
      </c>
      <c r="I104" s="53">
        <f t="shared" si="5"/>
        <v>-0.23555525660859622</v>
      </c>
      <c r="J104" s="53"/>
      <c r="K104" s="53"/>
      <c r="L104" s="53"/>
      <c r="N104" s="52">
        <v>34792</v>
      </c>
      <c r="O104" s="51">
        <v>2979</v>
      </c>
      <c r="P104" s="51">
        <v>3302</v>
      </c>
      <c r="Q104" s="51">
        <v>2867.1000979999999</v>
      </c>
      <c r="R104" s="51">
        <v>3203</v>
      </c>
      <c r="S104" s="51">
        <v>3203</v>
      </c>
      <c r="T104" s="51">
        <v>0</v>
      </c>
      <c r="U104" s="53">
        <f t="shared" si="4"/>
        <v>7.5193017791205019E-2</v>
      </c>
    </row>
    <row r="105" spans="1:21" x14ac:dyDescent="0.2">
      <c r="A105" s="56">
        <v>37196</v>
      </c>
      <c r="B105" s="51">
        <v>11362</v>
      </c>
      <c r="C105" s="51">
        <v>13791</v>
      </c>
      <c r="D105" s="51">
        <v>11177</v>
      </c>
      <c r="E105" s="51">
        <v>12932</v>
      </c>
      <c r="F105" s="51">
        <v>12932</v>
      </c>
      <c r="G105" s="51">
        <v>0</v>
      </c>
      <c r="H105" s="53">
        <f t="shared" si="3"/>
        <v>0.13787945446546424</v>
      </c>
      <c r="I105" s="53">
        <f t="shared" si="5"/>
        <v>-2.6717844509671074E-2</v>
      </c>
      <c r="J105" s="53"/>
      <c r="K105" s="53"/>
      <c r="L105" s="53"/>
      <c r="N105" s="52">
        <v>34799</v>
      </c>
      <c r="O105" s="51">
        <v>3192.6000979999999</v>
      </c>
      <c r="P105" s="51">
        <v>3192.6000979999999</v>
      </c>
      <c r="Q105" s="51">
        <v>2897.3999020000001</v>
      </c>
      <c r="R105" s="51">
        <v>3020.8000489999999</v>
      </c>
      <c r="S105" s="51">
        <v>3020.8000489999999</v>
      </c>
      <c r="T105" s="51">
        <v>0</v>
      </c>
      <c r="U105" s="53">
        <f t="shared" si="4"/>
        <v>-5.6884155791445568E-2</v>
      </c>
    </row>
    <row r="106" spans="1:21" x14ac:dyDescent="0.2">
      <c r="A106" s="56">
        <v>37226</v>
      </c>
      <c r="B106" s="51">
        <v>12914</v>
      </c>
      <c r="C106" s="51">
        <v>13969</v>
      </c>
      <c r="D106" s="51">
        <v>12809</v>
      </c>
      <c r="E106" s="51">
        <v>13578</v>
      </c>
      <c r="F106" s="51">
        <v>13578</v>
      </c>
      <c r="G106" s="51">
        <v>0</v>
      </c>
      <c r="H106" s="53">
        <f t="shared" si="3"/>
        <v>4.9953603464274687E-2</v>
      </c>
      <c r="I106" s="53">
        <f t="shared" si="5"/>
        <v>-0.11016449308604759</v>
      </c>
      <c r="J106" s="53"/>
      <c r="K106" s="53"/>
      <c r="L106" s="53"/>
      <c r="N106" s="52">
        <v>34806</v>
      </c>
      <c r="O106" s="51">
        <v>3020.8000489999999</v>
      </c>
      <c r="P106" s="51">
        <v>3402.3999020000001</v>
      </c>
      <c r="Q106" s="51">
        <v>3013.6000979999999</v>
      </c>
      <c r="R106" s="51">
        <v>3384.3000489999999</v>
      </c>
      <c r="S106" s="51">
        <v>3384.3000489999999</v>
      </c>
      <c r="T106" s="51">
        <v>0</v>
      </c>
      <c r="U106" s="53">
        <f t="shared" si="4"/>
        <v>0.12033236033624028</v>
      </c>
    </row>
    <row r="107" spans="1:21" x14ac:dyDescent="0.2">
      <c r="A107" s="56">
        <v>37257</v>
      </c>
      <c r="B107" s="51">
        <v>13586</v>
      </c>
      <c r="C107" s="51">
        <v>14413</v>
      </c>
      <c r="D107" s="51">
        <v>12301</v>
      </c>
      <c r="E107" s="51">
        <v>12721</v>
      </c>
      <c r="F107" s="51">
        <v>12721</v>
      </c>
      <c r="G107" s="51">
        <v>0</v>
      </c>
      <c r="H107" s="53">
        <f t="shared" si="3"/>
        <v>-6.3116806598909947E-2</v>
      </c>
      <c r="I107" s="53">
        <f t="shared" si="5"/>
        <v>-0.28020143722061908</v>
      </c>
      <c r="J107" s="53"/>
      <c r="K107" s="53"/>
      <c r="L107" s="53"/>
      <c r="N107" s="52">
        <v>34813</v>
      </c>
      <c r="O107" s="51">
        <v>3384.3000489999999</v>
      </c>
      <c r="P107" s="51">
        <v>3923.6000979999999</v>
      </c>
      <c r="Q107" s="51">
        <v>3377.1000979999999</v>
      </c>
      <c r="R107" s="51">
        <v>3813.6999510000001</v>
      </c>
      <c r="S107" s="51">
        <v>3813.6999510000001</v>
      </c>
      <c r="T107" s="51">
        <v>0</v>
      </c>
      <c r="U107" s="53">
        <f t="shared" si="4"/>
        <v>0.12687997393342232</v>
      </c>
    </row>
    <row r="108" spans="1:21" x14ac:dyDescent="0.2">
      <c r="A108" s="56">
        <v>37288</v>
      </c>
      <c r="B108" s="51">
        <v>12723</v>
      </c>
      <c r="C108" s="51">
        <v>14251</v>
      </c>
      <c r="D108" s="51">
        <v>12415</v>
      </c>
      <c r="E108" s="51">
        <v>14033</v>
      </c>
      <c r="F108" s="51">
        <v>14033</v>
      </c>
      <c r="G108" s="51">
        <v>0</v>
      </c>
      <c r="H108" s="53">
        <f t="shared" si="3"/>
        <v>0.10313654586903542</v>
      </c>
      <c r="I108" s="53">
        <f t="shared" si="5"/>
        <v>-0.11692152790887922</v>
      </c>
      <c r="J108" s="53"/>
      <c r="K108" s="53"/>
      <c r="L108" s="53"/>
      <c r="N108" s="52">
        <v>34820</v>
      </c>
      <c r="O108" s="51">
        <v>3813.6999510000001</v>
      </c>
      <c r="P108" s="51">
        <v>4080.6000979999999</v>
      </c>
      <c r="Q108" s="51">
        <v>3727</v>
      </c>
      <c r="R108" s="51">
        <v>4008.1999510000001</v>
      </c>
      <c r="S108" s="51">
        <v>4008.1999510000001</v>
      </c>
      <c r="T108" s="51">
        <v>0</v>
      </c>
      <c r="U108" s="53">
        <f t="shared" si="4"/>
        <v>5.1000341531587834E-2</v>
      </c>
    </row>
    <row r="109" spans="1:21" x14ac:dyDescent="0.2">
      <c r="A109" s="56">
        <v>37316</v>
      </c>
      <c r="B109" s="51">
        <v>14047</v>
      </c>
      <c r="C109" s="51">
        <v>14495</v>
      </c>
      <c r="D109" s="51">
        <v>13183</v>
      </c>
      <c r="E109" s="51">
        <v>13255</v>
      </c>
      <c r="F109" s="51">
        <v>13255</v>
      </c>
      <c r="G109" s="51">
        <v>0</v>
      </c>
      <c r="H109" s="53">
        <f t="shared" si="3"/>
        <v>-5.5440746811088126E-2</v>
      </c>
      <c r="I109" s="53">
        <f t="shared" si="5"/>
        <v>-8.1936556309738173E-2</v>
      </c>
      <c r="J109" s="53"/>
      <c r="K109" s="53"/>
      <c r="L109" s="53"/>
      <c r="N109" s="52">
        <v>34827</v>
      </c>
      <c r="O109" s="51">
        <v>4008.1999510000001</v>
      </c>
      <c r="P109" s="51">
        <v>4151.1000979999999</v>
      </c>
      <c r="Q109" s="51">
        <v>3900.6999510000001</v>
      </c>
      <c r="R109" s="51">
        <v>3998.3000489999999</v>
      </c>
      <c r="S109" s="51">
        <v>3998.3000489999999</v>
      </c>
      <c r="T109" s="51">
        <v>0</v>
      </c>
      <c r="U109" s="53">
        <f t="shared" si="4"/>
        <v>-2.4699122102255222E-3</v>
      </c>
    </row>
    <row r="110" spans="1:21" x14ac:dyDescent="0.2">
      <c r="A110" s="56">
        <v>37347</v>
      </c>
      <c r="B110" s="51">
        <v>13256</v>
      </c>
      <c r="C110" s="51">
        <v>13872</v>
      </c>
      <c r="D110" s="51">
        <v>13032</v>
      </c>
      <c r="E110" s="51">
        <v>13085</v>
      </c>
      <c r="F110" s="51">
        <v>13085</v>
      </c>
      <c r="G110" s="51">
        <v>0</v>
      </c>
      <c r="H110" s="53">
        <f t="shared" si="3"/>
        <v>-1.2825348924934032E-2</v>
      </c>
      <c r="I110" s="53">
        <f t="shared" si="5"/>
        <v>-0.12287169861911784</v>
      </c>
      <c r="J110" s="53"/>
      <c r="K110" s="53"/>
      <c r="L110" s="53"/>
      <c r="N110" s="52">
        <v>34834</v>
      </c>
      <c r="O110" s="51">
        <v>3998.3000489999999</v>
      </c>
      <c r="P110" s="51">
        <v>4044.3000489999999</v>
      </c>
      <c r="Q110" s="51">
        <v>3787</v>
      </c>
      <c r="R110" s="51">
        <v>3950</v>
      </c>
      <c r="S110" s="51">
        <v>3950</v>
      </c>
      <c r="T110" s="51">
        <v>0</v>
      </c>
      <c r="U110" s="53">
        <f t="shared" si="4"/>
        <v>-1.2080146164137995E-2</v>
      </c>
    </row>
    <row r="111" spans="1:21" x14ac:dyDescent="0.2">
      <c r="A111" s="56">
        <v>37377</v>
      </c>
      <c r="B111" s="51">
        <v>13088</v>
      </c>
      <c r="C111" s="51">
        <v>13090</v>
      </c>
      <c r="D111" s="51">
        <v>11943</v>
      </c>
      <c r="E111" s="51">
        <v>12861</v>
      </c>
      <c r="F111" s="51">
        <v>12861</v>
      </c>
      <c r="G111" s="51">
        <v>0</v>
      </c>
      <c r="H111" s="53">
        <f t="shared" si="3"/>
        <v>-1.7118838364539535E-2</v>
      </c>
      <c r="I111" s="53">
        <f t="shared" si="5"/>
        <v>-0.12211604095563144</v>
      </c>
      <c r="J111" s="53"/>
      <c r="K111" s="53"/>
      <c r="L111" s="53"/>
      <c r="N111" s="52">
        <v>34841</v>
      </c>
      <c r="O111" s="51">
        <v>3950</v>
      </c>
      <c r="P111" s="51">
        <v>4185.1000979999999</v>
      </c>
      <c r="Q111" s="51">
        <v>3905</v>
      </c>
      <c r="R111" s="51">
        <v>3905</v>
      </c>
      <c r="S111" s="51">
        <v>3905</v>
      </c>
      <c r="T111" s="51">
        <v>0</v>
      </c>
      <c r="U111" s="53">
        <f t="shared" si="4"/>
        <v>-1.1392405063291089E-2</v>
      </c>
    </row>
    <row r="112" spans="1:21" x14ac:dyDescent="0.2">
      <c r="A112" s="56">
        <v>37408</v>
      </c>
      <c r="B112" s="51">
        <v>12859</v>
      </c>
      <c r="C112" s="51">
        <v>12919</v>
      </c>
      <c r="D112" s="51">
        <v>10247</v>
      </c>
      <c r="E112" s="51">
        <v>11139</v>
      </c>
      <c r="F112" s="51">
        <v>11139</v>
      </c>
      <c r="G112" s="51">
        <v>0</v>
      </c>
      <c r="H112" s="53">
        <f t="shared" si="3"/>
        <v>-0.1338931653837182</v>
      </c>
      <c r="I112" s="53">
        <f t="shared" si="5"/>
        <v>-0.23495879120879126</v>
      </c>
      <c r="J112" s="53"/>
      <c r="K112" s="53"/>
      <c r="L112" s="53"/>
      <c r="N112" s="52">
        <v>34848</v>
      </c>
      <c r="O112" s="51">
        <v>3905</v>
      </c>
      <c r="P112" s="51">
        <v>3982.1000979999999</v>
      </c>
      <c r="Q112" s="51">
        <v>3661.6000979999999</v>
      </c>
      <c r="R112" s="51">
        <v>3966.5</v>
      </c>
      <c r="S112" s="51">
        <v>3966.5</v>
      </c>
      <c r="T112" s="51">
        <v>0</v>
      </c>
      <c r="U112" s="53">
        <f t="shared" si="4"/>
        <v>1.5749039692701583E-2</v>
      </c>
    </row>
    <row r="113" spans="1:24" x14ac:dyDescent="0.2">
      <c r="A113" s="56">
        <v>37438</v>
      </c>
      <c r="B113" s="51">
        <v>11138</v>
      </c>
      <c r="C113" s="51">
        <v>11173</v>
      </c>
      <c r="D113" s="51">
        <v>9155</v>
      </c>
      <c r="E113" s="51">
        <v>9763</v>
      </c>
      <c r="F113" s="51">
        <v>9763</v>
      </c>
      <c r="G113" s="51">
        <v>294019200</v>
      </c>
      <c r="H113" s="53">
        <f t="shared" si="3"/>
        <v>-0.12352993985097405</v>
      </c>
      <c r="I113" s="53">
        <f t="shared" si="5"/>
        <v>-0.29017013232514177</v>
      </c>
      <c r="J113" s="53"/>
      <c r="K113" s="53"/>
      <c r="L113" s="53"/>
      <c r="N113" s="52">
        <v>34855</v>
      </c>
      <c r="O113" s="51">
        <v>3966.5</v>
      </c>
      <c r="P113" s="51">
        <v>4067.3000489999999</v>
      </c>
      <c r="Q113" s="51">
        <v>3637.1999510000001</v>
      </c>
      <c r="R113" s="51">
        <v>3670.6999510000001</v>
      </c>
      <c r="S113" s="51">
        <v>3670.6999510000001</v>
      </c>
      <c r="T113" s="51">
        <v>0</v>
      </c>
      <c r="U113" s="53">
        <f t="shared" si="4"/>
        <v>-7.4574574309844932E-2</v>
      </c>
    </row>
    <row r="114" spans="1:24" x14ac:dyDescent="0.2">
      <c r="A114" s="56">
        <v>37469</v>
      </c>
      <c r="B114" s="51">
        <v>9782</v>
      </c>
      <c r="C114" s="51">
        <v>10763</v>
      </c>
      <c r="D114" s="51">
        <v>9017</v>
      </c>
      <c r="E114" s="51">
        <v>10382</v>
      </c>
      <c r="F114" s="51">
        <v>10382</v>
      </c>
      <c r="G114" s="51">
        <v>0</v>
      </c>
      <c r="H114" s="53">
        <f t="shared" si="3"/>
        <v>6.3402642630339123E-2</v>
      </c>
      <c r="I114" s="53">
        <f t="shared" si="5"/>
        <v>-0.19149598940892454</v>
      </c>
      <c r="J114" s="53"/>
      <c r="K114" s="53"/>
      <c r="L114" s="53"/>
      <c r="N114" s="52">
        <v>34862</v>
      </c>
      <c r="O114" s="51">
        <v>3670.6999510000001</v>
      </c>
      <c r="P114" s="51">
        <v>3790.5</v>
      </c>
      <c r="Q114" s="51">
        <v>3589.8000489999999</v>
      </c>
      <c r="R114" s="51">
        <v>3717.8999020000001</v>
      </c>
      <c r="S114" s="51">
        <v>3717.8999020000001</v>
      </c>
      <c r="T114" s="51">
        <v>0</v>
      </c>
      <c r="U114" s="53">
        <f t="shared" si="4"/>
        <v>1.2858569654308427E-2</v>
      </c>
    </row>
    <row r="115" spans="1:24" x14ac:dyDescent="0.2">
      <c r="A115" s="56">
        <v>37500</v>
      </c>
      <c r="B115" s="51">
        <v>10383</v>
      </c>
      <c r="C115" s="51">
        <v>10477</v>
      </c>
      <c r="D115" s="51">
        <v>8352</v>
      </c>
      <c r="E115" s="51">
        <v>8623</v>
      </c>
      <c r="F115" s="51">
        <v>8623</v>
      </c>
      <c r="G115" s="51">
        <v>0</v>
      </c>
      <c r="H115" s="53">
        <f t="shared" si="3"/>
        <v>-0.16942785590444998</v>
      </c>
      <c r="I115" s="53">
        <f t="shared" si="5"/>
        <v>-0.18926288078224895</v>
      </c>
      <c r="J115" s="53"/>
      <c r="K115" s="53"/>
      <c r="L115" s="53"/>
      <c r="N115" s="52">
        <v>34869</v>
      </c>
      <c r="O115" s="51">
        <v>3717.8999020000001</v>
      </c>
      <c r="P115" s="51">
        <v>3764.6999510000001</v>
      </c>
      <c r="Q115" s="51">
        <v>3517.6000979999999</v>
      </c>
      <c r="R115" s="51">
        <v>3585.6000979999999</v>
      </c>
      <c r="S115" s="51">
        <v>3585.6000979999999</v>
      </c>
      <c r="T115" s="51">
        <v>0</v>
      </c>
      <c r="U115" s="53">
        <f t="shared" si="4"/>
        <v>-3.5584552432095129E-2</v>
      </c>
    </row>
    <row r="116" spans="1:24" x14ac:dyDescent="0.2">
      <c r="A116" s="56">
        <v>37530</v>
      </c>
      <c r="B116" s="51">
        <v>8642</v>
      </c>
      <c r="C116" s="51">
        <v>10598</v>
      </c>
      <c r="D116" s="51">
        <v>8225</v>
      </c>
      <c r="E116" s="51">
        <v>10168</v>
      </c>
      <c r="F116" s="51">
        <v>10168</v>
      </c>
      <c r="G116" s="51">
        <v>0</v>
      </c>
      <c r="H116" s="53">
        <f t="shared" si="3"/>
        <v>0.17917198190884842</v>
      </c>
      <c r="I116" s="53">
        <f t="shared" si="5"/>
        <v>-0.10532336119665642</v>
      </c>
      <c r="J116" s="53"/>
      <c r="K116" s="53"/>
      <c r="L116" s="53"/>
      <c r="N116" s="52">
        <v>34876</v>
      </c>
      <c r="O116" s="51">
        <v>3585.6000979999999</v>
      </c>
      <c r="P116" s="51">
        <v>3715.3999020000001</v>
      </c>
      <c r="Q116" s="51">
        <v>3516</v>
      </c>
      <c r="R116" s="51">
        <v>3603.3999020000001</v>
      </c>
      <c r="S116" s="51">
        <v>3603.3999020000001</v>
      </c>
      <c r="T116" s="51">
        <v>0</v>
      </c>
      <c r="U116" s="53">
        <f t="shared" si="4"/>
        <v>4.9642468522712591E-3</v>
      </c>
    </row>
    <row r="117" spans="1:24" x14ac:dyDescent="0.2">
      <c r="A117" s="56">
        <v>37561</v>
      </c>
      <c r="B117" s="51">
        <v>10172</v>
      </c>
      <c r="C117" s="51">
        <v>10519</v>
      </c>
      <c r="D117" s="51">
        <v>9569</v>
      </c>
      <c r="E117" s="51">
        <v>10509</v>
      </c>
      <c r="F117" s="51">
        <v>10509</v>
      </c>
      <c r="G117" s="51">
        <v>0</v>
      </c>
      <c r="H117" s="53">
        <f t="shared" si="3"/>
        <v>3.3536585365853577E-2</v>
      </c>
      <c r="I117" s="53">
        <f t="shared" si="5"/>
        <v>-0.18736467677080115</v>
      </c>
      <c r="J117" s="53"/>
      <c r="K117" s="53"/>
      <c r="L117" s="53"/>
      <c r="N117" s="52">
        <v>34883</v>
      </c>
      <c r="O117" s="51">
        <v>3603.3999020000001</v>
      </c>
      <c r="P117" s="51">
        <v>3968.6999510000001</v>
      </c>
      <c r="Q117" s="51">
        <v>3574.3999020000001</v>
      </c>
      <c r="R117" s="51">
        <v>3961.6999510000001</v>
      </c>
      <c r="S117" s="51">
        <v>3961.6999510000001</v>
      </c>
      <c r="T117" s="51">
        <v>0</v>
      </c>
      <c r="U117" s="53">
        <f t="shared" si="4"/>
        <v>9.9433884316068255E-2</v>
      </c>
    </row>
    <row r="118" spans="1:24" x14ac:dyDescent="0.2">
      <c r="A118" s="56">
        <v>37591</v>
      </c>
      <c r="B118" s="51">
        <v>10517</v>
      </c>
      <c r="C118" s="51">
        <v>11648</v>
      </c>
      <c r="D118" s="51">
        <v>10307</v>
      </c>
      <c r="E118" s="51">
        <v>11268</v>
      </c>
      <c r="F118" s="51">
        <v>11268</v>
      </c>
      <c r="G118" s="51">
        <v>0</v>
      </c>
      <c r="H118" s="53">
        <f t="shared" si="3"/>
        <v>7.2223808164430414E-2</v>
      </c>
      <c r="I118" s="53">
        <f t="shared" si="5"/>
        <v>-0.17012814847547508</v>
      </c>
      <c r="J118" s="53"/>
      <c r="K118" s="53"/>
      <c r="L118" s="53"/>
      <c r="N118" s="52">
        <v>34890</v>
      </c>
      <c r="O118" s="51">
        <v>3961.6999510000001</v>
      </c>
      <c r="P118" s="51">
        <v>4079.5</v>
      </c>
      <c r="Q118" s="51">
        <v>3861.6000979999999</v>
      </c>
      <c r="R118" s="51">
        <v>4026.8000489999999</v>
      </c>
      <c r="S118" s="51">
        <v>4026.8000489999999</v>
      </c>
      <c r="T118" s="51">
        <v>0</v>
      </c>
      <c r="U118" s="53">
        <f t="shared" si="4"/>
        <v>1.643236459226749E-2</v>
      </c>
    </row>
    <row r="119" spans="1:24" x14ac:dyDescent="0.2">
      <c r="A119" s="56">
        <v>37622</v>
      </c>
      <c r="B119" s="51">
        <v>11291</v>
      </c>
      <c r="C119" s="51">
        <v>12350</v>
      </c>
      <c r="D119" s="51">
        <v>10457</v>
      </c>
      <c r="E119" s="51">
        <v>10941</v>
      </c>
      <c r="F119" s="51">
        <v>10941</v>
      </c>
      <c r="G119" s="51">
        <v>0</v>
      </c>
      <c r="H119" s="53">
        <f t="shared" si="3"/>
        <v>-2.9020234291799785E-2</v>
      </c>
      <c r="I119" s="53">
        <f t="shared" si="5"/>
        <v>-0.13992610643817305</v>
      </c>
      <c r="J119" s="53"/>
      <c r="K119" s="53"/>
      <c r="L119" s="53"/>
      <c r="N119" s="52">
        <v>34897</v>
      </c>
      <c r="O119" s="51">
        <v>4026.8000489999999</v>
      </c>
      <c r="P119" s="51">
        <v>4051.1999510000001</v>
      </c>
      <c r="Q119" s="51">
        <v>3818.8000489999999</v>
      </c>
      <c r="R119" s="51">
        <v>3862.3999020000001</v>
      </c>
      <c r="S119" s="51">
        <v>3862.3999020000001</v>
      </c>
      <c r="T119" s="51">
        <v>0</v>
      </c>
      <c r="U119" s="53">
        <f t="shared" si="4"/>
        <v>-4.0826498708528169E-2</v>
      </c>
    </row>
    <row r="120" spans="1:24" x14ac:dyDescent="0.2">
      <c r="A120" s="56">
        <v>37653</v>
      </c>
      <c r="B120" s="51">
        <v>10943</v>
      </c>
      <c r="C120" s="51">
        <v>11067</v>
      </c>
      <c r="D120" s="51">
        <v>9968</v>
      </c>
      <c r="E120" s="51">
        <v>10281</v>
      </c>
      <c r="F120" s="51">
        <v>10281</v>
      </c>
      <c r="G120" s="51">
        <v>0</v>
      </c>
      <c r="H120" s="53">
        <f t="shared" si="3"/>
        <v>-6.0323553605703295E-2</v>
      </c>
      <c r="I120" s="53">
        <f t="shared" si="5"/>
        <v>-0.26736977125347394</v>
      </c>
      <c r="J120" s="53"/>
      <c r="K120" s="53"/>
      <c r="L120" s="53"/>
      <c r="N120" s="52">
        <v>34904</v>
      </c>
      <c r="O120" s="51">
        <v>3862.3999020000001</v>
      </c>
      <c r="P120" s="51">
        <v>3952.1000979999999</v>
      </c>
      <c r="Q120" s="51">
        <v>3815.6999510000001</v>
      </c>
      <c r="R120" s="51">
        <v>3888.3999020000001</v>
      </c>
      <c r="S120" s="51">
        <v>3888.3999020000001</v>
      </c>
      <c r="T120" s="51">
        <v>0</v>
      </c>
      <c r="U120" s="53">
        <f t="shared" si="4"/>
        <v>6.7315660365818708E-3</v>
      </c>
    </row>
    <row r="121" spans="1:24" x14ac:dyDescent="0.2">
      <c r="A121" s="56">
        <v>37681</v>
      </c>
      <c r="B121" s="51">
        <v>10263</v>
      </c>
      <c r="C121" s="51">
        <v>11421</v>
      </c>
      <c r="D121" s="51">
        <v>10104</v>
      </c>
      <c r="E121" s="51">
        <v>11274</v>
      </c>
      <c r="F121" s="51">
        <v>11274</v>
      </c>
      <c r="G121" s="51">
        <v>0</v>
      </c>
      <c r="H121" s="53">
        <f t="shared" si="3"/>
        <v>9.6585935220309338E-2</v>
      </c>
      <c r="I121" s="53">
        <f t="shared" si="5"/>
        <v>-0.149453036589966</v>
      </c>
      <c r="J121" s="53"/>
      <c r="K121" s="53"/>
      <c r="L121" s="53"/>
      <c r="N121" s="52">
        <v>34911</v>
      </c>
      <c r="O121" s="51">
        <v>3888.3999020000001</v>
      </c>
      <c r="P121" s="51">
        <v>4200.6000979999999</v>
      </c>
      <c r="Q121" s="51">
        <v>3817.6999510000001</v>
      </c>
      <c r="R121" s="51">
        <v>4200.3999020000001</v>
      </c>
      <c r="S121" s="51">
        <v>4200.3999020000001</v>
      </c>
      <c r="T121" s="51">
        <v>0</v>
      </c>
      <c r="U121" s="53">
        <f t="shared" si="4"/>
        <v>8.023866059648932E-2</v>
      </c>
      <c r="X121" s="29">
        <f>VLOOKUP(DATE(YEAR(A3),MONTH(A3),1),'16. câmbio USD-BRL'!$A$3:$G$2250,2,)</f>
        <v>1.52E-2</v>
      </c>
    </row>
    <row r="122" spans="1:24" x14ac:dyDescent="0.2">
      <c r="A122" s="56">
        <v>37712</v>
      </c>
      <c r="B122" s="51">
        <v>11283</v>
      </c>
      <c r="C122" s="51">
        <v>12820</v>
      </c>
      <c r="D122" s="51">
        <v>11283</v>
      </c>
      <c r="E122" s="51">
        <v>12557</v>
      </c>
      <c r="F122" s="51">
        <v>12557</v>
      </c>
      <c r="G122" s="51">
        <v>0</v>
      </c>
      <c r="H122" s="53">
        <f t="shared" si="3"/>
        <v>0.11380166755366328</v>
      </c>
      <c r="I122" s="53">
        <f t="shared" si="5"/>
        <v>-4.0351547573557522E-2</v>
      </c>
      <c r="J122" s="53"/>
      <c r="K122" s="53"/>
      <c r="L122" s="53"/>
      <c r="N122" s="52">
        <v>34918</v>
      </c>
      <c r="O122" s="51">
        <v>4200.3999020000001</v>
      </c>
      <c r="P122" s="51">
        <v>4393.8999020000001</v>
      </c>
      <c r="Q122" s="51">
        <v>4147.7001950000003</v>
      </c>
      <c r="R122" s="51">
        <v>4193</v>
      </c>
      <c r="S122" s="51">
        <v>4193</v>
      </c>
      <c r="T122" s="51">
        <v>0</v>
      </c>
      <c r="U122" s="53">
        <f t="shared" si="4"/>
        <v>-1.7617136874221728E-3</v>
      </c>
      <c r="X122" s="29">
        <f>VLOOKUP(DATE(YEAR(A123),MONTH(A123),1),'16. câmbio USD-BRL'!$A$3:$G$2250,2,)</f>
        <v>2.9735</v>
      </c>
    </row>
    <row r="123" spans="1:24" x14ac:dyDescent="0.2">
      <c r="A123" s="56">
        <v>37742</v>
      </c>
      <c r="B123" s="51">
        <v>12565</v>
      </c>
      <c r="C123" s="51">
        <v>13565</v>
      </c>
      <c r="D123" s="51">
        <v>12542</v>
      </c>
      <c r="E123" s="51">
        <v>13422</v>
      </c>
      <c r="F123" s="51">
        <v>13422</v>
      </c>
      <c r="G123" s="51">
        <v>0</v>
      </c>
      <c r="H123" s="53">
        <f t="shared" si="3"/>
        <v>6.8885880385442411E-2</v>
      </c>
      <c r="I123" s="53">
        <f t="shared" si="5"/>
        <v>4.3620247259155587E-2</v>
      </c>
      <c r="J123" s="53"/>
      <c r="K123" s="53"/>
      <c r="L123" s="53"/>
      <c r="N123" s="52">
        <v>34925</v>
      </c>
      <c r="O123" s="51">
        <v>4193</v>
      </c>
      <c r="P123" s="51">
        <v>4298.1000979999999</v>
      </c>
      <c r="Q123" s="51">
        <v>4043</v>
      </c>
      <c r="R123" s="51">
        <v>4235.3999020000001</v>
      </c>
      <c r="S123" s="51">
        <v>4235.3999020000001</v>
      </c>
      <c r="T123" s="51">
        <v>0</v>
      </c>
      <c r="U123" s="53">
        <f t="shared" si="4"/>
        <v>1.0112068208919744E-2</v>
      </c>
    </row>
    <row r="124" spans="1:24" x14ac:dyDescent="0.2">
      <c r="A124" s="56">
        <v>37773</v>
      </c>
      <c r="B124" s="51">
        <v>13441</v>
      </c>
      <c r="C124" s="51">
        <v>14072</v>
      </c>
      <c r="D124" s="51">
        <v>12895</v>
      </c>
      <c r="E124" s="51">
        <v>12973</v>
      </c>
      <c r="F124" s="51">
        <v>12973</v>
      </c>
      <c r="G124" s="51">
        <v>0</v>
      </c>
      <c r="H124" s="53">
        <f t="shared" si="3"/>
        <v>-3.3452540604976932E-2</v>
      </c>
      <c r="I124" s="53">
        <f t="shared" si="5"/>
        <v>0.1646467366909059</v>
      </c>
      <c r="J124" s="53"/>
      <c r="K124" s="53"/>
      <c r="L124" s="53"/>
      <c r="N124" s="52">
        <v>34932</v>
      </c>
      <c r="O124" s="51">
        <v>4235.3999020000001</v>
      </c>
      <c r="P124" s="51">
        <v>4538.5</v>
      </c>
      <c r="Q124" s="51">
        <v>4231</v>
      </c>
      <c r="R124" s="51">
        <v>4459.2001950000003</v>
      </c>
      <c r="S124" s="51">
        <v>4459.2001950000003</v>
      </c>
      <c r="T124" s="51">
        <v>0</v>
      </c>
      <c r="U124" s="53">
        <f t="shared" si="4"/>
        <v>5.2840416059489304E-2</v>
      </c>
    </row>
    <row r="125" spans="1:24" x14ac:dyDescent="0.2">
      <c r="A125" s="56">
        <v>37803</v>
      </c>
      <c r="B125" s="51">
        <v>12967</v>
      </c>
      <c r="C125" s="51">
        <v>13947</v>
      </c>
      <c r="D125" s="51">
        <v>12893</v>
      </c>
      <c r="E125" s="51">
        <v>13572</v>
      </c>
      <c r="F125" s="51">
        <v>13572</v>
      </c>
      <c r="G125" s="51">
        <v>0</v>
      </c>
      <c r="H125" s="53">
        <f t="shared" si="3"/>
        <v>4.6172820473290743E-2</v>
      </c>
      <c r="I125" s="53">
        <f>F125/F113-1</f>
        <v>0.3901464713715046</v>
      </c>
      <c r="J125" s="53">
        <f>(VLOOKUP(DATE(YEAR(A125),MONTH(A125),1),'16. câmbio USD-BRL'!$A$3:$G$2250,2,)/VLOOKUP(DATE(YEAR(A65),MONTH(A65),1),'16. câmbio USD-BRL'!$A$3:$G$2250,2,))^(1/5)-1</f>
        <v>0.20606210352212728</v>
      </c>
      <c r="K125" s="53">
        <f t="shared" ref="K125:K188" si="6">I125-J125</f>
        <v>0.18408436784937732</v>
      </c>
      <c r="L125" s="53"/>
      <c r="N125" s="52">
        <v>34939</v>
      </c>
      <c r="O125" s="51">
        <v>4459.2001950000003</v>
      </c>
      <c r="P125" s="51">
        <v>4554.6000979999999</v>
      </c>
      <c r="Q125" s="51">
        <v>4185.7001950000003</v>
      </c>
      <c r="R125" s="51">
        <v>4450</v>
      </c>
      <c r="S125" s="51">
        <v>4450</v>
      </c>
      <c r="T125" s="51">
        <v>0</v>
      </c>
      <c r="U125" s="53">
        <f t="shared" si="4"/>
        <v>-2.0631939804622856E-3</v>
      </c>
    </row>
    <row r="126" spans="1:24" x14ac:dyDescent="0.2">
      <c r="A126" s="56">
        <v>37834</v>
      </c>
      <c r="B126" s="51">
        <v>13579</v>
      </c>
      <c r="C126" s="51">
        <v>15252</v>
      </c>
      <c r="D126" s="51">
        <v>12757</v>
      </c>
      <c r="E126" s="51">
        <v>15174</v>
      </c>
      <c r="F126" s="51">
        <v>15174</v>
      </c>
      <c r="G126" s="51">
        <v>0</v>
      </c>
      <c r="H126" s="53">
        <f t="shared" si="3"/>
        <v>0.11803713527851456</v>
      </c>
      <c r="I126" s="53">
        <f t="shared" ref="I126:I189" si="7">F126/F114-1</f>
        <v>0.46156809863224812</v>
      </c>
      <c r="J126" s="53">
        <f>(VLOOKUP(DATE(YEAR(A126),MONTH(A126),1),'16. câmbio USD-BRL'!$A$3:$G$2250,2,)/VLOOKUP(DATE(YEAR(A66),MONTH(A66),1),'16. câmbio USD-BRL'!$A$3:$G$2250,2,))^(1/5)-1</f>
        <v>0.20409010913006864</v>
      </c>
      <c r="K126" s="53">
        <f t="shared" si="6"/>
        <v>0.25747798950217948</v>
      </c>
      <c r="L126" s="53"/>
      <c r="N126" s="52">
        <v>34946</v>
      </c>
      <c r="O126" s="51">
        <v>4450</v>
      </c>
      <c r="P126" s="51">
        <v>4582.5</v>
      </c>
      <c r="Q126" s="51">
        <v>4445</v>
      </c>
      <c r="R126" s="51">
        <v>4531.6000979999999</v>
      </c>
      <c r="S126" s="51">
        <v>4531.6000979999999</v>
      </c>
      <c r="T126" s="51">
        <v>0</v>
      </c>
      <c r="U126" s="53">
        <f t="shared" si="4"/>
        <v>1.8337100674157281E-2</v>
      </c>
    </row>
    <row r="127" spans="1:24" x14ac:dyDescent="0.2">
      <c r="A127" s="56">
        <v>37865</v>
      </c>
      <c r="B127" s="51">
        <v>15174</v>
      </c>
      <c r="C127" s="51">
        <v>17104</v>
      </c>
      <c r="D127" s="51">
        <v>15075</v>
      </c>
      <c r="E127" s="51">
        <v>16011</v>
      </c>
      <c r="F127" s="51">
        <v>16011</v>
      </c>
      <c r="G127" s="51">
        <v>0</v>
      </c>
      <c r="H127" s="53">
        <f t="shared" si="3"/>
        <v>5.5160142348754437E-2</v>
      </c>
      <c r="I127" s="53">
        <f t="shared" si="7"/>
        <v>0.85677838339325052</v>
      </c>
      <c r="J127" s="53">
        <f>(VLOOKUP(DATE(YEAR(A127),MONTH(A127),1),'16. câmbio USD-BRL'!$A$3:$G$2250,2,)/VLOOKUP(DATE(YEAR(A67),MONTH(A67),1),'16. câmbio USD-BRL'!$A$3:$G$2250,2,))^(1/5)-1</f>
        <v>0.19553509029519245</v>
      </c>
      <c r="K127" s="53">
        <f t="shared" si="6"/>
        <v>0.66124329309805807</v>
      </c>
      <c r="L127" s="53"/>
      <c r="N127" s="52">
        <v>34953</v>
      </c>
      <c r="O127" s="51">
        <v>4531.6000979999999</v>
      </c>
      <c r="P127" s="51">
        <v>4870.1000979999999</v>
      </c>
      <c r="Q127" s="51">
        <v>4517.2001950000003</v>
      </c>
      <c r="R127" s="51">
        <v>4801.7998049999997</v>
      </c>
      <c r="S127" s="51">
        <v>4801.7998049999997</v>
      </c>
      <c r="T127" s="51">
        <v>0</v>
      </c>
      <c r="U127" s="53">
        <f t="shared" si="4"/>
        <v>5.9625673306709315E-2</v>
      </c>
    </row>
    <row r="128" spans="1:24" x14ac:dyDescent="0.2">
      <c r="A128" s="56">
        <v>37895</v>
      </c>
      <c r="B128" s="51">
        <v>16010</v>
      </c>
      <c r="C128" s="51">
        <v>18660</v>
      </c>
      <c r="D128" s="51">
        <v>16010</v>
      </c>
      <c r="E128" s="51">
        <v>17982</v>
      </c>
      <c r="F128" s="51">
        <v>17982</v>
      </c>
      <c r="G128" s="51">
        <v>0</v>
      </c>
      <c r="H128" s="53">
        <f t="shared" si="3"/>
        <v>0.12310286677908944</v>
      </c>
      <c r="I128" s="53">
        <f t="shared" si="7"/>
        <v>0.76848937844217158</v>
      </c>
      <c r="J128" s="53">
        <f>(VLOOKUP(DATE(YEAR(A128),MONTH(A128),1),'16. câmbio USD-BRL'!$A$3:$G$2250,2,)/VLOOKUP(DATE(YEAR(A68),MONTH(A68),1),'16. câmbio USD-BRL'!$A$3:$G$2250,2,))^(1/5)-1</f>
        <v>0.19163239312480318</v>
      </c>
      <c r="K128" s="53">
        <f t="shared" si="6"/>
        <v>0.5768569853173684</v>
      </c>
      <c r="L128" s="53"/>
      <c r="N128" s="52">
        <v>34960</v>
      </c>
      <c r="O128" s="51">
        <v>4801.7998049999997</v>
      </c>
      <c r="P128" s="51">
        <v>4885.1000979999999</v>
      </c>
      <c r="Q128" s="51">
        <v>4607.5</v>
      </c>
      <c r="R128" s="51">
        <v>4673.7998049999997</v>
      </c>
      <c r="S128" s="51">
        <v>4673.7998049999997</v>
      </c>
      <c r="T128" s="51">
        <v>0</v>
      </c>
      <c r="U128" s="53">
        <f t="shared" si="4"/>
        <v>-2.6656671497782281E-2</v>
      </c>
    </row>
    <row r="129" spans="1:21" x14ac:dyDescent="0.2">
      <c r="A129" s="56">
        <v>37926</v>
      </c>
      <c r="B129" s="51">
        <v>17983</v>
      </c>
      <c r="C129" s="51">
        <v>20188</v>
      </c>
      <c r="D129" s="51">
        <v>17983</v>
      </c>
      <c r="E129" s="51">
        <v>20184</v>
      </c>
      <c r="F129" s="51">
        <v>20184</v>
      </c>
      <c r="G129" s="51">
        <v>0</v>
      </c>
      <c r="H129" s="53">
        <f t="shared" si="3"/>
        <v>0.1224557891224558</v>
      </c>
      <c r="I129" s="53">
        <f t="shared" si="7"/>
        <v>0.92063945189837293</v>
      </c>
      <c r="J129" s="53">
        <f>(VLOOKUP(DATE(YEAR(A129),MONTH(A129),1),'16. câmbio USD-BRL'!$A$3:$G$2250,2,)/VLOOKUP(DATE(YEAR(A69),MONTH(A69),1),'16. câmbio USD-BRL'!$A$3:$G$2250,2,))^(1/5)-1</f>
        <v>0.19651055491626335</v>
      </c>
      <c r="K129" s="53">
        <f t="shared" si="6"/>
        <v>0.72412889698210958</v>
      </c>
      <c r="L129" s="53"/>
      <c r="N129" s="52">
        <v>34967</v>
      </c>
      <c r="O129" s="51">
        <v>4673.7998049999997</v>
      </c>
      <c r="P129" s="51">
        <v>4673.7998049999997</v>
      </c>
      <c r="Q129" s="51">
        <v>4483.5</v>
      </c>
      <c r="R129" s="51">
        <v>4670.1000979999999</v>
      </c>
      <c r="S129" s="51">
        <v>4670.1000979999999</v>
      </c>
      <c r="T129" s="51">
        <v>0</v>
      </c>
      <c r="U129" s="53">
        <f t="shared" si="4"/>
        <v>-7.9158439692728066E-4</v>
      </c>
    </row>
    <row r="130" spans="1:21" x14ac:dyDescent="0.2">
      <c r="A130" s="56">
        <v>37956</v>
      </c>
      <c r="B130" s="51">
        <v>20184</v>
      </c>
      <c r="C130" s="51">
        <v>22310</v>
      </c>
      <c r="D130" s="51">
        <v>20184</v>
      </c>
      <c r="E130" s="51">
        <v>22236</v>
      </c>
      <c r="F130" s="51">
        <v>22236</v>
      </c>
      <c r="G130" s="51">
        <v>0</v>
      </c>
      <c r="H130" s="53">
        <f t="shared" si="3"/>
        <v>0.10166468489892977</v>
      </c>
      <c r="I130" s="53">
        <f t="shared" si="7"/>
        <v>0.97337593184238558</v>
      </c>
      <c r="J130" s="53">
        <f>(VLOOKUP(DATE(YEAR(A130),MONTH(A130),1),'16. câmbio USD-BRL'!$A$3:$G$2250,2,)/VLOOKUP(DATE(YEAR(A70),MONTH(A70),1),'16. câmbio USD-BRL'!$A$3:$G$2250,2,))^(1/5)-1</f>
        <v>0.19066526497523206</v>
      </c>
      <c r="K130" s="53">
        <f t="shared" si="6"/>
        <v>0.78271066686715352</v>
      </c>
      <c r="L130" s="53"/>
      <c r="N130" s="52">
        <v>34974</v>
      </c>
      <c r="O130" s="51">
        <v>4670.1000979999999</v>
      </c>
      <c r="P130" s="51">
        <v>4684.8999020000001</v>
      </c>
      <c r="Q130" s="51">
        <v>4411.6000979999999</v>
      </c>
      <c r="R130" s="51">
        <v>4514.6000979999999</v>
      </c>
      <c r="S130" s="51">
        <v>4514.6000979999999</v>
      </c>
      <c r="T130" s="51">
        <v>0</v>
      </c>
      <c r="U130" s="53">
        <f t="shared" si="4"/>
        <v>-3.329693084450025E-2</v>
      </c>
    </row>
    <row r="131" spans="1:21" x14ac:dyDescent="0.2">
      <c r="A131" s="56">
        <v>37987</v>
      </c>
      <c r="B131" s="51">
        <v>22233</v>
      </c>
      <c r="C131" s="51">
        <v>24518</v>
      </c>
      <c r="D131" s="51">
        <v>21649</v>
      </c>
      <c r="E131" s="51">
        <v>21851</v>
      </c>
      <c r="F131" s="51">
        <v>21851</v>
      </c>
      <c r="G131" s="51">
        <v>0</v>
      </c>
      <c r="H131" s="53">
        <f t="shared" si="3"/>
        <v>-1.7314265155603525E-2</v>
      </c>
      <c r="I131" s="53">
        <f t="shared" si="7"/>
        <v>0.99716662096700492</v>
      </c>
      <c r="J131" s="53">
        <f>(VLOOKUP(DATE(YEAR(A131),MONTH(A131),1),'16. câmbio USD-BRL'!$A$3:$G$2250,2,)/VLOOKUP(DATE(YEAR(A71),MONTH(A71),1),'16. câmbio USD-BRL'!$A$3:$G$2250,2,))^(1/5)-1</f>
        <v>7.0743904922614398E-2</v>
      </c>
      <c r="K131" s="53">
        <f t="shared" si="6"/>
        <v>0.92642271604439053</v>
      </c>
      <c r="L131" s="53"/>
      <c r="N131" s="52">
        <v>34981</v>
      </c>
      <c r="O131" s="51">
        <v>4514.6000979999999</v>
      </c>
      <c r="P131" s="51">
        <v>4537.5</v>
      </c>
      <c r="Q131" s="51">
        <v>4345.3999020000001</v>
      </c>
      <c r="R131" s="51">
        <v>4513.6000979999999</v>
      </c>
      <c r="S131" s="51">
        <v>4513.6000979999999</v>
      </c>
      <c r="T131" s="51">
        <v>0</v>
      </c>
      <c r="U131" s="53">
        <f t="shared" si="4"/>
        <v>-2.2150356139916116E-4</v>
      </c>
    </row>
    <row r="132" spans="1:21" x14ac:dyDescent="0.2">
      <c r="A132" s="56">
        <v>38018</v>
      </c>
      <c r="B132" s="51">
        <v>21842</v>
      </c>
      <c r="C132" s="51">
        <v>23374</v>
      </c>
      <c r="D132" s="51">
        <v>20092</v>
      </c>
      <c r="E132" s="51">
        <v>21755</v>
      </c>
      <c r="F132" s="51">
        <v>21755</v>
      </c>
      <c r="G132" s="51">
        <v>0</v>
      </c>
      <c r="H132" s="53">
        <f t="shared" si="3"/>
        <v>-4.3933916067914192E-3</v>
      </c>
      <c r="I132" s="53">
        <f t="shared" si="7"/>
        <v>1.1160392957883474</v>
      </c>
      <c r="J132" s="53">
        <f>(VLOOKUP(DATE(YEAR(A132),MONTH(A132),1),'16. câmbio USD-BRL'!$A$3:$G$2250,2,)/VLOOKUP(DATE(YEAR(A72),MONTH(A72),1),'16. câmbio USD-BRL'!$A$3:$G$2250,2,))^(1/5)-1</f>
        <v>7.3856472889357816E-2</v>
      </c>
      <c r="K132" s="53">
        <f t="shared" si="6"/>
        <v>1.0421828228989896</v>
      </c>
      <c r="L132" s="53"/>
      <c r="N132" s="52">
        <v>34988</v>
      </c>
      <c r="O132" s="51">
        <v>4513.6000979999999</v>
      </c>
      <c r="P132" s="51">
        <v>4672.5</v>
      </c>
      <c r="Q132" s="51">
        <v>4483.8999020000001</v>
      </c>
      <c r="R132" s="51">
        <v>4668.7998049999997</v>
      </c>
      <c r="S132" s="51">
        <v>4668.7998049999997</v>
      </c>
      <c r="T132" s="51">
        <v>0</v>
      </c>
      <c r="U132" s="53">
        <f t="shared" si="4"/>
        <v>3.4384904207346523E-2</v>
      </c>
    </row>
    <row r="133" spans="1:21" x14ac:dyDescent="0.2">
      <c r="A133" s="56">
        <v>38047</v>
      </c>
      <c r="B133" s="51">
        <v>21761</v>
      </c>
      <c r="C133" s="51">
        <v>23373</v>
      </c>
      <c r="D133" s="51">
        <v>20756</v>
      </c>
      <c r="E133" s="51">
        <v>22142</v>
      </c>
      <c r="F133" s="51">
        <v>22142</v>
      </c>
      <c r="G133" s="51">
        <v>0</v>
      </c>
      <c r="H133" s="53">
        <f t="shared" ref="H133:H196" si="8">F133/F132-1</f>
        <v>1.7789014019765625E-2</v>
      </c>
      <c r="I133" s="53">
        <f t="shared" si="7"/>
        <v>0.96398793684583994</v>
      </c>
      <c r="J133" s="53">
        <f>(VLOOKUP(DATE(YEAR(A133),MONTH(A133),1),'16. câmbio USD-BRL'!$A$3:$G$2250,2,)/VLOOKUP(DATE(YEAR(A73),MONTH(A73),1),'16. câmbio USD-BRL'!$A$3:$G$2250,2,))^(1/5)-1</f>
        <v>0.1101466746087969</v>
      </c>
      <c r="K133" s="53">
        <f t="shared" si="6"/>
        <v>0.85384126223704304</v>
      </c>
      <c r="L133" s="53"/>
      <c r="N133" s="52">
        <v>34995</v>
      </c>
      <c r="O133" s="51">
        <v>4668.7998049999997</v>
      </c>
      <c r="P133" s="51">
        <v>4668.7998049999997</v>
      </c>
      <c r="Q133" s="51">
        <v>3922.6999510000001</v>
      </c>
      <c r="R133" s="51">
        <v>4140.6000979999999</v>
      </c>
      <c r="S133" s="51">
        <v>4140.6000979999999</v>
      </c>
      <c r="T133" s="51">
        <v>0</v>
      </c>
      <c r="U133" s="53">
        <f t="shared" ref="U133:U196" si="9">S133/S132-1</f>
        <v>-0.11313393785579118</v>
      </c>
    </row>
    <row r="134" spans="1:21" x14ac:dyDescent="0.2">
      <c r="A134" s="56">
        <v>38078</v>
      </c>
      <c r="B134" s="51">
        <v>22142</v>
      </c>
      <c r="C134" s="51">
        <v>23260</v>
      </c>
      <c r="D134" s="51">
        <v>19508</v>
      </c>
      <c r="E134" s="51">
        <v>19607</v>
      </c>
      <c r="F134" s="51">
        <v>19607</v>
      </c>
      <c r="G134" s="51">
        <v>0</v>
      </c>
      <c r="H134" s="53">
        <f t="shared" si="8"/>
        <v>-0.11448830277301059</v>
      </c>
      <c r="I134" s="53">
        <f t="shared" si="7"/>
        <v>0.56143983435533973</v>
      </c>
      <c r="J134" s="53">
        <f>(VLOOKUP(DATE(YEAR(A134),MONTH(A134),1),'16. câmbio USD-BRL'!$A$3:$G$2250,2,)/VLOOKUP(DATE(YEAR(A74),MONTH(A74),1),'16. câmbio USD-BRL'!$A$3:$G$2250,2,))^(1/5)-1</f>
        <v>0.11968081335627656</v>
      </c>
      <c r="K134" s="53">
        <f t="shared" si="6"/>
        <v>0.44175902099906317</v>
      </c>
      <c r="L134" s="53"/>
      <c r="N134" s="52">
        <v>35002</v>
      </c>
      <c r="O134" s="51">
        <v>4140.6000979999999</v>
      </c>
      <c r="P134" s="51">
        <v>4180.2998049999997</v>
      </c>
      <c r="Q134" s="51">
        <v>4053.6000979999999</v>
      </c>
      <c r="R134" s="51">
        <v>4158.7998049999997</v>
      </c>
      <c r="S134" s="51">
        <v>4158.7998049999997</v>
      </c>
      <c r="T134" s="51">
        <v>0</v>
      </c>
      <c r="U134" s="53">
        <f t="shared" si="9"/>
        <v>4.3954273702477842E-3</v>
      </c>
    </row>
    <row r="135" spans="1:21" x14ac:dyDescent="0.2">
      <c r="A135" s="56">
        <v>38108</v>
      </c>
      <c r="B135" s="51">
        <v>19622</v>
      </c>
      <c r="C135" s="51">
        <v>20342</v>
      </c>
      <c r="D135" s="51">
        <v>17601</v>
      </c>
      <c r="E135" s="51">
        <v>19545</v>
      </c>
      <c r="F135" s="51">
        <v>19545</v>
      </c>
      <c r="G135" s="51">
        <v>0</v>
      </c>
      <c r="H135" s="53">
        <f t="shared" si="8"/>
        <v>-3.1621359718467801E-3</v>
      </c>
      <c r="I135" s="53">
        <f t="shared" si="7"/>
        <v>0.45619132767098791</v>
      </c>
      <c r="J135" s="53">
        <f>(VLOOKUP(DATE(YEAR(A135),MONTH(A135),1),'16. câmbio USD-BRL'!$A$3:$G$2250,2,)/VLOOKUP(DATE(YEAR(A75),MONTH(A75),1),'16. câmbio USD-BRL'!$A$3:$G$2250,2,))^(1/5)-1</f>
        <v>0.13142355091719105</v>
      </c>
      <c r="K135" s="53">
        <f t="shared" si="6"/>
        <v>0.32476777675379687</v>
      </c>
      <c r="L135" s="53"/>
      <c r="N135" s="52">
        <v>35009</v>
      </c>
      <c r="O135" s="51">
        <v>4158.7998049999997</v>
      </c>
      <c r="P135" s="51">
        <v>4172.7998049999997</v>
      </c>
      <c r="Q135" s="51">
        <v>3930.6000979999999</v>
      </c>
      <c r="R135" s="51">
        <v>3958</v>
      </c>
      <c r="S135" s="51">
        <v>3958</v>
      </c>
      <c r="T135" s="51">
        <v>0</v>
      </c>
      <c r="U135" s="53">
        <f t="shared" si="9"/>
        <v>-4.8283113978841663E-2</v>
      </c>
    </row>
    <row r="136" spans="1:21" x14ac:dyDescent="0.2">
      <c r="A136" s="56">
        <v>38139</v>
      </c>
      <c r="B136" s="51">
        <v>19545</v>
      </c>
      <c r="C136" s="51">
        <v>21183</v>
      </c>
      <c r="D136" s="51">
        <v>19177</v>
      </c>
      <c r="E136" s="51">
        <v>21149</v>
      </c>
      <c r="F136" s="51">
        <v>21149</v>
      </c>
      <c r="G136" s="51">
        <v>0</v>
      </c>
      <c r="H136" s="53">
        <f t="shared" si="8"/>
        <v>8.2067024814530543E-2</v>
      </c>
      <c r="I136" s="53">
        <f t="shared" si="7"/>
        <v>0.63023202034995762</v>
      </c>
      <c r="J136" s="53">
        <f>(VLOOKUP(DATE(YEAR(A136),MONTH(A136),1),'16. câmbio USD-BRL'!$A$3:$G$2250,2,)/VLOOKUP(DATE(YEAR(A76),MONTH(A76),1),'16. câmbio USD-BRL'!$A$3:$G$2250,2,))^(1/5)-1</f>
        <v>0.1197544605275247</v>
      </c>
      <c r="K136" s="53">
        <f t="shared" si="6"/>
        <v>0.51047755982243292</v>
      </c>
      <c r="L136" s="53"/>
      <c r="N136" s="52">
        <v>35016</v>
      </c>
      <c r="O136" s="51">
        <v>3953.3000489999999</v>
      </c>
      <c r="P136" s="51">
        <v>4106.2001950000003</v>
      </c>
      <c r="Q136" s="51">
        <v>3713.6999510000001</v>
      </c>
      <c r="R136" s="51">
        <v>4063.6000979999999</v>
      </c>
      <c r="S136" s="51">
        <v>4063.6000979999999</v>
      </c>
      <c r="T136" s="51">
        <v>0</v>
      </c>
      <c r="U136" s="53">
        <f t="shared" si="9"/>
        <v>2.6680166245578452E-2</v>
      </c>
    </row>
    <row r="137" spans="1:21" x14ac:dyDescent="0.2">
      <c r="A137" s="56">
        <v>38169</v>
      </c>
      <c r="B137" s="51">
        <v>21152</v>
      </c>
      <c r="C137" s="51">
        <v>22676</v>
      </c>
      <c r="D137" s="51">
        <v>20821</v>
      </c>
      <c r="E137" s="51">
        <v>22337</v>
      </c>
      <c r="F137" s="51">
        <v>22337</v>
      </c>
      <c r="G137" s="51">
        <v>0</v>
      </c>
      <c r="H137" s="53">
        <f t="shared" si="8"/>
        <v>5.61728686935552E-2</v>
      </c>
      <c r="I137" s="53">
        <f t="shared" si="7"/>
        <v>0.64581491305629246</v>
      </c>
      <c r="J137" s="53">
        <f>(VLOOKUP(DATE(YEAR(A137),MONTH(A137),1),'16. câmbio USD-BRL'!$A$3:$G$2250,2,)/VLOOKUP(DATE(YEAR(A77),MONTH(A77),1),'16. câmbio USD-BRL'!$A$3:$G$2250,2,))^(1/5)-1</f>
        <v>0.10995177994439453</v>
      </c>
      <c r="K137" s="53">
        <f t="shared" si="6"/>
        <v>0.53586313311189793</v>
      </c>
      <c r="L137" s="53"/>
      <c r="N137" s="52">
        <v>35023</v>
      </c>
      <c r="O137" s="51">
        <v>4063.6000979999999</v>
      </c>
      <c r="P137" s="51">
        <v>4209.1000979999999</v>
      </c>
      <c r="Q137" s="51">
        <v>3897.1999510000001</v>
      </c>
      <c r="R137" s="51">
        <v>4081.6000979999999</v>
      </c>
      <c r="S137" s="51">
        <v>4081.6000979999999</v>
      </c>
      <c r="T137" s="51">
        <v>0</v>
      </c>
      <c r="U137" s="53">
        <f t="shared" si="9"/>
        <v>4.4295697327252359E-3</v>
      </c>
    </row>
    <row r="138" spans="1:21" x14ac:dyDescent="0.2">
      <c r="A138" s="56">
        <v>38200</v>
      </c>
      <c r="B138" s="51">
        <v>22342</v>
      </c>
      <c r="C138" s="51">
        <v>23381</v>
      </c>
      <c r="D138" s="51">
        <v>21178</v>
      </c>
      <c r="E138" s="51">
        <v>22803</v>
      </c>
      <c r="F138" s="51">
        <v>22803</v>
      </c>
      <c r="G138" s="51">
        <v>0</v>
      </c>
      <c r="H138" s="53">
        <f t="shared" si="8"/>
        <v>2.0862246496843762E-2</v>
      </c>
      <c r="I138" s="53">
        <f t="shared" si="7"/>
        <v>0.50276789244760778</v>
      </c>
      <c r="J138" s="53">
        <f>(VLOOKUP(DATE(YEAR(A138),MONTH(A138),1),'16. câmbio USD-BRL'!$A$3:$G$2250,2,)/VLOOKUP(DATE(YEAR(A78),MONTH(A78),1),'16. câmbio USD-BRL'!$A$3:$G$2250,2,))^(1/5)-1</f>
        <v>8.8215290601515006E-2</v>
      </c>
      <c r="K138" s="53">
        <f t="shared" si="6"/>
        <v>0.41455260184609277</v>
      </c>
      <c r="L138" s="53"/>
      <c r="N138" s="52">
        <v>35030</v>
      </c>
      <c r="O138" s="51">
        <v>4081.6000979999999</v>
      </c>
      <c r="P138" s="51">
        <v>4390.7001950000003</v>
      </c>
      <c r="Q138" s="51">
        <v>3982.6999510000001</v>
      </c>
      <c r="R138" s="51">
        <v>4346</v>
      </c>
      <c r="S138" s="51">
        <v>4346</v>
      </c>
      <c r="T138" s="51">
        <v>0</v>
      </c>
      <c r="U138" s="53">
        <f t="shared" si="9"/>
        <v>6.4778492662609821E-2</v>
      </c>
    </row>
    <row r="139" spans="1:21" x14ac:dyDescent="0.2">
      <c r="A139" s="56">
        <v>38231</v>
      </c>
      <c r="B139" s="51">
        <v>22803</v>
      </c>
      <c r="C139" s="51">
        <v>23485</v>
      </c>
      <c r="D139" s="51">
        <v>21739</v>
      </c>
      <c r="E139" s="51">
        <v>23245</v>
      </c>
      <c r="F139" s="51">
        <v>23245</v>
      </c>
      <c r="G139" s="51">
        <v>0</v>
      </c>
      <c r="H139" s="53">
        <f t="shared" si="8"/>
        <v>1.9383414463009174E-2</v>
      </c>
      <c r="I139" s="53">
        <f t="shared" si="7"/>
        <v>0.45181437761538934</v>
      </c>
      <c r="J139" s="53">
        <f>(VLOOKUP(DATE(YEAR(A139),MONTH(A139),1),'16. câmbio USD-BRL'!$A$3:$G$2250,2,)/VLOOKUP(DATE(YEAR(A79),MONTH(A79),1),'16. câmbio USD-BRL'!$A$3:$G$2250,2,))^(1/5)-1</f>
        <v>8.1015935497999569E-2</v>
      </c>
      <c r="K139" s="53">
        <f t="shared" si="6"/>
        <v>0.37079844211738977</v>
      </c>
      <c r="L139" s="53"/>
      <c r="N139" s="52">
        <v>35037</v>
      </c>
      <c r="O139" s="51">
        <v>4346</v>
      </c>
      <c r="P139" s="51">
        <v>4392.7998049999997</v>
      </c>
      <c r="Q139" s="51">
        <v>4263.6000979999999</v>
      </c>
      <c r="R139" s="51">
        <v>4299.2998049999997</v>
      </c>
      <c r="S139" s="51">
        <v>4299.2998049999997</v>
      </c>
      <c r="T139" s="51">
        <v>0</v>
      </c>
      <c r="U139" s="53">
        <f t="shared" si="9"/>
        <v>-1.0745557984353504E-2</v>
      </c>
    </row>
    <row r="140" spans="1:21" x14ac:dyDescent="0.2">
      <c r="A140" s="56">
        <v>38261</v>
      </c>
      <c r="B140" s="51">
        <v>23246</v>
      </c>
      <c r="C140" s="51">
        <v>24362</v>
      </c>
      <c r="D140" s="51">
        <v>22390</v>
      </c>
      <c r="E140" s="51">
        <v>23052</v>
      </c>
      <c r="F140" s="51">
        <v>23052</v>
      </c>
      <c r="G140" s="51">
        <v>0</v>
      </c>
      <c r="H140" s="53">
        <f t="shared" si="8"/>
        <v>-8.3028608302860851E-3</v>
      </c>
      <c r="I140" s="53">
        <f t="shared" si="7"/>
        <v>0.28194861528194859</v>
      </c>
      <c r="J140" s="53">
        <f>(VLOOKUP(DATE(YEAR(A140),MONTH(A140),1),'16. câmbio USD-BRL'!$A$3:$G$2250,2,)/VLOOKUP(DATE(YEAR(A80),MONTH(A80),1),'16. câmbio USD-BRL'!$A$3:$G$2250,2,))^(1/5)-1</f>
        <v>7.9769650745429965E-2</v>
      </c>
      <c r="K140" s="53">
        <f t="shared" si="6"/>
        <v>0.20217896453651862</v>
      </c>
      <c r="L140" s="53"/>
      <c r="N140" s="52">
        <v>35044</v>
      </c>
      <c r="O140" s="51">
        <v>4299.2998049999997</v>
      </c>
      <c r="P140" s="51">
        <v>4392.2998049999997</v>
      </c>
      <c r="Q140" s="51">
        <v>4110.1000979999999</v>
      </c>
      <c r="R140" s="51">
        <v>4158.7001950000003</v>
      </c>
      <c r="S140" s="51">
        <v>4158.7001950000003</v>
      </c>
      <c r="T140" s="51">
        <v>0</v>
      </c>
      <c r="U140" s="53">
        <f t="shared" si="9"/>
        <v>-3.2702908933330166E-2</v>
      </c>
    </row>
    <row r="141" spans="1:21" x14ac:dyDescent="0.2">
      <c r="A141" s="56">
        <v>38292</v>
      </c>
      <c r="B141" s="51">
        <v>23050</v>
      </c>
      <c r="C141" s="51">
        <v>25160</v>
      </c>
      <c r="D141" s="51">
        <v>22941</v>
      </c>
      <c r="E141" s="51">
        <v>25128</v>
      </c>
      <c r="F141" s="51">
        <v>25128</v>
      </c>
      <c r="G141" s="51">
        <v>0</v>
      </c>
      <c r="H141" s="53">
        <f t="shared" si="8"/>
        <v>9.0057261842790171E-2</v>
      </c>
      <c r="I141" s="53">
        <f t="shared" si="7"/>
        <v>0.24494649227110576</v>
      </c>
      <c r="J141" s="53">
        <f>(VLOOKUP(DATE(YEAR(A141),MONTH(A141),1),'16. câmbio USD-BRL'!$A$3:$G$2250,2,)/VLOOKUP(DATE(YEAR(A81),MONTH(A81),1),'16. câmbio USD-BRL'!$A$3:$G$2250,2,))^(1/5)-1</f>
        <v>7.1810294325782342E-2</v>
      </c>
      <c r="K141" s="53">
        <f t="shared" si="6"/>
        <v>0.17313619794532342</v>
      </c>
      <c r="L141" s="53"/>
      <c r="N141" s="52">
        <v>35051</v>
      </c>
      <c r="O141" s="51">
        <v>4151.6000979999999</v>
      </c>
      <c r="P141" s="51">
        <v>4373.2001950000003</v>
      </c>
      <c r="Q141" s="51">
        <v>3957.6000979999999</v>
      </c>
      <c r="R141" s="51">
        <v>4343.2001950000003</v>
      </c>
      <c r="S141" s="51">
        <v>4343.2001950000003</v>
      </c>
      <c r="T141" s="51">
        <v>0</v>
      </c>
      <c r="U141" s="53">
        <f t="shared" si="9"/>
        <v>4.4364823466193526E-2</v>
      </c>
    </row>
    <row r="142" spans="1:21" x14ac:dyDescent="0.2">
      <c r="A142" s="56">
        <v>38322</v>
      </c>
      <c r="B142" s="51">
        <v>25129</v>
      </c>
      <c r="C142" s="51">
        <v>26270</v>
      </c>
      <c r="D142" s="51">
        <v>24452</v>
      </c>
      <c r="E142" s="51">
        <v>26196</v>
      </c>
      <c r="F142" s="51">
        <v>26196</v>
      </c>
      <c r="G142" s="51">
        <v>0</v>
      </c>
      <c r="H142" s="53">
        <f t="shared" si="8"/>
        <v>4.250238777459403E-2</v>
      </c>
      <c r="I142" s="53">
        <f t="shared" si="7"/>
        <v>0.17808958445763623</v>
      </c>
      <c r="J142" s="53">
        <f>(VLOOKUP(DATE(YEAR(A142),MONTH(A142),1),'16. câmbio USD-BRL'!$A$3:$G$2250,2,)/VLOOKUP(DATE(YEAR(A82),MONTH(A82),1),'16. câmbio USD-BRL'!$A$3:$G$2250,2,))^(1/5)-1</f>
        <v>8.0254578266763632E-2</v>
      </c>
      <c r="K142" s="53">
        <f t="shared" si="6"/>
        <v>9.7835006190872598E-2</v>
      </c>
      <c r="L142" s="53"/>
      <c r="N142" s="52">
        <v>35058</v>
      </c>
      <c r="O142" s="51">
        <v>4382.7001950000003</v>
      </c>
      <c r="P142" s="51">
        <v>4397.2998049999997</v>
      </c>
      <c r="Q142" s="51">
        <v>4272.2998049999997</v>
      </c>
      <c r="R142" s="51">
        <v>4299</v>
      </c>
      <c r="S142" s="51">
        <v>4299</v>
      </c>
      <c r="T142" s="51">
        <v>0</v>
      </c>
      <c r="U142" s="53">
        <f t="shared" si="9"/>
        <v>-1.0176872585998864E-2</v>
      </c>
    </row>
    <row r="143" spans="1:21" x14ac:dyDescent="0.2">
      <c r="A143" s="56">
        <v>38353</v>
      </c>
      <c r="B143" s="51">
        <v>26193</v>
      </c>
      <c r="C143" s="51">
        <v>26492</v>
      </c>
      <c r="D143" s="51">
        <v>23534</v>
      </c>
      <c r="E143" s="51">
        <v>24351</v>
      </c>
      <c r="F143" s="51">
        <v>24351</v>
      </c>
      <c r="G143" s="51">
        <v>0</v>
      </c>
      <c r="H143" s="53">
        <f t="shared" si="8"/>
        <v>-7.0430600091617057E-2</v>
      </c>
      <c r="I143" s="53">
        <f t="shared" si="7"/>
        <v>0.11441123976019396</v>
      </c>
      <c r="J143" s="53">
        <f>(VLOOKUP(DATE(YEAR(A143),MONTH(A143),1),'16. câmbio USD-BRL'!$A$3:$G$2250,2,)/VLOOKUP(DATE(YEAR(A83),MONTH(A83),1),'16. câmbio USD-BRL'!$A$3:$G$2250,2,))^(1/5)-1</f>
        <v>7.896954672408385E-2</v>
      </c>
      <c r="K143" s="53">
        <f t="shared" si="6"/>
        <v>3.5441693036110111E-2</v>
      </c>
      <c r="L143" s="53"/>
      <c r="N143" s="52">
        <v>35065</v>
      </c>
      <c r="O143" s="51">
        <v>4299</v>
      </c>
      <c r="P143" s="51">
        <v>4746.2998049999997</v>
      </c>
      <c r="Q143" s="51">
        <v>4299</v>
      </c>
      <c r="R143" s="51">
        <v>4694.2998049999997</v>
      </c>
      <c r="S143" s="51">
        <v>4694.2998049999997</v>
      </c>
      <c r="T143" s="51">
        <v>0</v>
      </c>
      <c r="U143" s="53">
        <f t="shared" si="9"/>
        <v>9.1951571295650014E-2</v>
      </c>
    </row>
    <row r="144" spans="1:21" x14ac:dyDescent="0.2">
      <c r="A144" s="56">
        <v>38384</v>
      </c>
      <c r="B144" s="51">
        <v>24392</v>
      </c>
      <c r="C144" s="51">
        <v>28778</v>
      </c>
      <c r="D144" s="51">
        <v>24073</v>
      </c>
      <c r="E144" s="51">
        <v>28139</v>
      </c>
      <c r="F144" s="51">
        <v>28139</v>
      </c>
      <c r="G144" s="51">
        <v>0</v>
      </c>
      <c r="H144" s="53">
        <f t="shared" si="8"/>
        <v>0.15555829329390991</v>
      </c>
      <c r="I144" s="53">
        <f t="shared" si="7"/>
        <v>0.29344978165938862</v>
      </c>
      <c r="J144" s="53">
        <f>(VLOOKUP(DATE(YEAR(A144),MONTH(A144),1),'16. câmbio USD-BRL'!$A$3:$G$2250,2,)/VLOOKUP(DATE(YEAR(A84),MONTH(A84),1),'16. câmbio USD-BRL'!$A$3:$G$2250,2,))^(1/5)-1</f>
        <v>7.9311317258192293E-2</v>
      </c>
      <c r="K144" s="53">
        <f t="shared" si="6"/>
        <v>0.21413846440119633</v>
      </c>
      <c r="L144" s="53"/>
      <c r="N144" s="52">
        <v>35072</v>
      </c>
      <c r="O144" s="51">
        <v>4796.7998049999997</v>
      </c>
      <c r="P144" s="51">
        <v>4852.8999020000001</v>
      </c>
      <c r="Q144" s="51">
        <v>4562.3999020000001</v>
      </c>
      <c r="R144" s="51">
        <v>4846.6000979999999</v>
      </c>
      <c r="S144" s="51">
        <v>4846.6000979999999</v>
      </c>
      <c r="T144" s="51">
        <v>0</v>
      </c>
      <c r="U144" s="53">
        <f t="shared" si="9"/>
        <v>3.2443665578790304E-2</v>
      </c>
    </row>
    <row r="145" spans="1:21" x14ac:dyDescent="0.2">
      <c r="A145" s="56">
        <v>38412</v>
      </c>
      <c r="B145" s="51">
        <v>28135</v>
      </c>
      <c r="C145" s="51">
        <v>29584</v>
      </c>
      <c r="D145" s="51">
        <v>25761</v>
      </c>
      <c r="E145" s="51">
        <v>26611</v>
      </c>
      <c r="F145" s="51">
        <v>26611</v>
      </c>
      <c r="G145" s="51">
        <v>0</v>
      </c>
      <c r="H145" s="53">
        <f t="shared" si="8"/>
        <v>-5.4301858630370625E-2</v>
      </c>
      <c r="I145" s="53">
        <f t="shared" si="7"/>
        <v>0.20183361936591093</v>
      </c>
      <c r="J145" s="53">
        <f>(VLOOKUP(DATE(YEAR(A145),MONTH(A145),1),'16. câmbio USD-BRL'!$A$3:$G$2250,2,)/VLOOKUP(DATE(YEAR(A85),MONTH(A85),1),'16. câmbio USD-BRL'!$A$3:$G$2250,2,))^(1/5)-1</f>
        <v>9.029010890037803E-2</v>
      </c>
      <c r="K145" s="53">
        <f t="shared" si="6"/>
        <v>0.1115435104655329</v>
      </c>
      <c r="L145" s="53"/>
      <c r="N145" s="52">
        <v>35079</v>
      </c>
      <c r="O145" s="51">
        <v>4846.6000979999999</v>
      </c>
      <c r="P145" s="51">
        <v>4964.1000979999999</v>
      </c>
      <c r="Q145" s="51">
        <v>4753.3999020000001</v>
      </c>
      <c r="R145" s="51">
        <v>4909</v>
      </c>
      <c r="S145" s="51">
        <v>4909</v>
      </c>
      <c r="T145" s="51">
        <v>0</v>
      </c>
      <c r="U145" s="53">
        <f t="shared" si="9"/>
        <v>1.2874984677557766E-2</v>
      </c>
    </row>
    <row r="146" spans="1:21" x14ac:dyDescent="0.2">
      <c r="A146" s="56">
        <v>38443</v>
      </c>
      <c r="B146" s="51">
        <v>26612</v>
      </c>
      <c r="C146" s="51">
        <v>27178</v>
      </c>
      <c r="D146" s="51">
        <v>24154</v>
      </c>
      <c r="E146" s="51">
        <v>24844</v>
      </c>
      <c r="F146" s="51">
        <v>24844</v>
      </c>
      <c r="G146" s="51">
        <v>0</v>
      </c>
      <c r="H146" s="53">
        <f t="shared" si="8"/>
        <v>-6.64011123219721E-2</v>
      </c>
      <c r="I146" s="53">
        <f t="shared" si="7"/>
        <v>0.26709848523486501</v>
      </c>
      <c r="J146" s="53">
        <f>(VLOOKUP(DATE(YEAR(A146),MONTH(A146),1),'16. câmbio USD-BRL'!$A$3:$G$2250,2,)/VLOOKUP(DATE(YEAR(A86),MONTH(A86),1),'16. câmbio USD-BRL'!$A$3:$G$2250,2,))^(1/5)-1</f>
        <v>6.9711941907512731E-2</v>
      </c>
      <c r="K146" s="53">
        <f t="shared" si="6"/>
        <v>0.19738654332735228</v>
      </c>
      <c r="L146" s="53"/>
      <c r="N146" s="52">
        <v>35086</v>
      </c>
      <c r="O146" s="51">
        <v>4909</v>
      </c>
      <c r="P146" s="51">
        <v>5020</v>
      </c>
      <c r="Q146" s="51">
        <v>4831.8999020000001</v>
      </c>
      <c r="R146" s="51">
        <v>4907.7001950000003</v>
      </c>
      <c r="S146" s="51">
        <v>4907.7001950000003</v>
      </c>
      <c r="T146" s="51">
        <v>0</v>
      </c>
      <c r="U146" s="53">
        <f t="shared" si="9"/>
        <v>-2.6477999592577905E-4</v>
      </c>
    </row>
    <row r="147" spans="1:21" x14ac:dyDescent="0.2">
      <c r="A147" s="56">
        <v>38473</v>
      </c>
      <c r="B147" s="51">
        <v>24847</v>
      </c>
      <c r="C147" s="51">
        <v>25808</v>
      </c>
      <c r="D147" s="51">
        <v>23680</v>
      </c>
      <c r="E147" s="51">
        <v>25207</v>
      </c>
      <c r="F147" s="51">
        <v>25207</v>
      </c>
      <c r="G147" s="51">
        <v>0</v>
      </c>
      <c r="H147" s="53">
        <f t="shared" si="8"/>
        <v>1.4611173724037974E-2</v>
      </c>
      <c r="I147" s="53">
        <f t="shared" si="7"/>
        <v>0.28969045791762604</v>
      </c>
      <c r="J147" s="53">
        <f>(VLOOKUP(DATE(YEAR(A147),MONTH(A147),1),'16. câmbio USD-BRL'!$A$3:$G$2250,2,)/VLOOKUP(DATE(YEAR(A87),MONTH(A87),1),'16. câmbio USD-BRL'!$A$3:$G$2250,2,))^(1/5)-1</f>
        <v>5.7256635024480085E-2</v>
      </c>
      <c r="K147" s="53">
        <f t="shared" si="6"/>
        <v>0.23243382289314596</v>
      </c>
      <c r="L147" s="53"/>
      <c r="N147" s="52">
        <v>35093</v>
      </c>
      <c r="O147" s="51">
        <v>4907.7001950000003</v>
      </c>
      <c r="P147" s="51">
        <v>5410.8999020000001</v>
      </c>
      <c r="Q147" s="51">
        <v>4875</v>
      </c>
      <c r="R147" s="51">
        <v>5410.8999020000001</v>
      </c>
      <c r="S147" s="51">
        <v>5410.8999020000001</v>
      </c>
      <c r="T147" s="51">
        <v>0</v>
      </c>
      <c r="U147" s="53">
        <f t="shared" si="9"/>
        <v>0.10253269087477324</v>
      </c>
    </row>
    <row r="148" spans="1:21" x14ac:dyDescent="0.2">
      <c r="A148" s="56">
        <v>38504</v>
      </c>
      <c r="B148" s="51">
        <v>25209</v>
      </c>
      <c r="C148" s="51">
        <v>26755</v>
      </c>
      <c r="D148" s="51">
        <v>24224</v>
      </c>
      <c r="E148" s="51">
        <v>25051</v>
      </c>
      <c r="F148" s="51">
        <v>25051</v>
      </c>
      <c r="G148" s="51">
        <v>0</v>
      </c>
      <c r="H148" s="53">
        <f t="shared" si="8"/>
        <v>-6.1887570912841916E-3</v>
      </c>
      <c r="I148" s="53">
        <f t="shared" si="7"/>
        <v>0.18450044919381536</v>
      </c>
      <c r="J148" s="53">
        <f>(VLOOKUP(DATE(YEAR(A148),MONTH(A148),1),'16. câmbio USD-BRL'!$A$3:$G$2250,2,)/VLOOKUP(DATE(YEAR(A88),MONTH(A88),1),'16. câmbio USD-BRL'!$A$3:$G$2250,2,))^(1/5)-1</f>
        <v>5.2731962604354754E-2</v>
      </c>
      <c r="K148" s="53">
        <f t="shared" si="6"/>
        <v>0.13176848658946061</v>
      </c>
      <c r="L148" s="53"/>
      <c r="N148" s="52">
        <v>35100</v>
      </c>
      <c r="O148" s="51">
        <v>5410.8999020000001</v>
      </c>
      <c r="P148" s="51">
        <v>5410.8999020000001</v>
      </c>
      <c r="Q148" s="51">
        <v>5193.1000979999999</v>
      </c>
      <c r="R148" s="51">
        <v>5305.3999020000001</v>
      </c>
      <c r="S148" s="51">
        <v>5305.3999020000001</v>
      </c>
      <c r="T148" s="51">
        <v>0</v>
      </c>
      <c r="U148" s="53">
        <f t="shared" si="9"/>
        <v>-1.9497680960796293E-2</v>
      </c>
    </row>
    <row r="149" spans="1:21" x14ac:dyDescent="0.2">
      <c r="A149" s="56">
        <v>38534</v>
      </c>
      <c r="B149" s="51">
        <v>25051</v>
      </c>
      <c r="C149" s="51">
        <v>26306</v>
      </c>
      <c r="D149" s="51">
        <v>24192</v>
      </c>
      <c r="E149" s="51">
        <v>26042</v>
      </c>
      <c r="F149" s="51">
        <v>26042</v>
      </c>
      <c r="G149" s="51">
        <v>0</v>
      </c>
      <c r="H149" s="53">
        <f t="shared" si="8"/>
        <v>3.95592990299789E-2</v>
      </c>
      <c r="I149" s="53">
        <f t="shared" si="7"/>
        <v>0.16586829028070027</v>
      </c>
      <c r="J149" s="53">
        <f>(VLOOKUP(DATE(YEAR(A149),MONTH(A149),1),'16. câmbio USD-BRL'!$A$3:$G$2250,2,)/VLOOKUP(DATE(YEAR(A89),MONTH(A89),1),'16. câmbio USD-BRL'!$A$3:$G$2250,2,))^(1/5)-1</f>
        <v>5.94019516761779E-2</v>
      </c>
      <c r="K149" s="53">
        <f t="shared" si="6"/>
        <v>0.10646633860452237</v>
      </c>
      <c r="L149" s="53"/>
      <c r="N149" s="52">
        <v>35107</v>
      </c>
      <c r="O149" s="51">
        <v>5305.3999020000001</v>
      </c>
      <c r="P149" s="51">
        <v>5398.1000979999999</v>
      </c>
      <c r="Q149" s="51">
        <v>5149.7998049999997</v>
      </c>
      <c r="R149" s="51">
        <v>5173</v>
      </c>
      <c r="S149" s="51">
        <v>5173</v>
      </c>
      <c r="T149" s="51">
        <v>0</v>
      </c>
      <c r="U149" s="53">
        <f t="shared" si="9"/>
        <v>-2.4955687496825418E-2</v>
      </c>
    </row>
    <row r="150" spans="1:21" x14ac:dyDescent="0.2">
      <c r="A150" s="56">
        <v>38565</v>
      </c>
      <c r="B150" s="51">
        <v>26042</v>
      </c>
      <c r="C150" s="51">
        <v>28072</v>
      </c>
      <c r="D150" s="51">
        <v>25734</v>
      </c>
      <c r="E150" s="51">
        <v>28045</v>
      </c>
      <c r="F150" s="51">
        <v>28045</v>
      </c>
      <c r="G150" s="51">
        <v>0</v>
      </c>
      <c r="H150" s="53">
        <f t="shared" si="8"/>
        <v>7.691421549804156E-2</v>
      </c>
      <c r="I150" s="53">
        <f t="shared" si="7"/>
        <v>0.22988203306582466</v>
      </c>
      <c r="J150" s="53">
        <f>(VLOOKUP(DATE(YEAR(A150),MONTH(A150),1),'16. câmbio USD-BRL'!$A$3:$G$2250,2,)/VLOOKUP(DATE(YEAR(A90),MONTH(A90),1),'16. câmbio USD-BRL'!$A$3:$G$2250,2,))^(1/5)-1</f>
        <v>5.253238697986351E-2</v>
      </c>
      <c r="K150" s="53">
        <f t="shared" si="6"/>
        <v>0.17734964608596115</v>
      </c>
      <c r="L150" s="53"/>
      <c r="N150" s="52">
        <v>35114</v>
      </c>
      <c r="O150" s="51">
        <v>5173</v>
      </c>
      <c r="P150" s="51">
        <v>5358.1000979999999</v>
      </c>
      <c r="Q150" s="51">
        <v>5117.1000979999999</v>
      </c>
      <c r="R150" s="51">
        <v>5267.3999020000001</v>
      </c>
      <c r="S150" s="51">
        <v>5267.3999020000001</v>
      </c>
      <c r="T150" s="51">
        <v>0</v>
      </c>
      <c r="U150" s="53">
        <f t="shared" si="9"/>
        <v>1.8248579547651245E-2</v>
      </c>
    </row>
    <row r="151" spans="1:21" x14ac:dyDescent="0.2">
      <c r="A151" s="56">
        <v>38596</v>
      </c>
      <c r="B151" s="51">
        <v>28044</v>
      </c>
      <c r="C151" s="51">
        <v>31584</v>
      </c>
      <c r="D151" s="51">
        <v>27799</v>
      </c>
      <c r="E151" s="51">
        <v>31584</v>
      </c>
      <c r="F151" s="51">
        <v>31584</v>
      </c>
      <c r="G151" s="51">
        <v>0</v>
      </c>
      <c r="H151" s="53">
        <f t="shared" si="8"/>
        <v>0.12619005170262088</v>
      </c>
      <c r="I151" s="53">
        <f t="shared" si="7"/>
        <v>0.35874381587438164</v>
      </c>
      <c r="J151" s="53">
        <f>(VLOOKUP(DATE(YEAR(A151),MONTH(A151),1),'16. câmbio USD-BRL'!$A$3:$G$2250,2,)/VLOOKUP(DATE(YEAR(A91),MONTH(A91),1),'16. câmbio USD-BRL'!$A$3:$G$2250,2,))^(1/5)-1</f>
        <v>3.8567945046722008E-2</v>
      </c>
      <c r="K151" s="53">
        <f t="shared" si="6"/>
        <v>0.32017587082765964</v>
      </c>
      <c r="L151" s="53"/>
      <c r="N151" s="52">
        <v>35121</v>
      </c>
      <c r="O151" s="51">
        <v>5274.3999020000001</v>
      </c>
      <c r="P151" s="51">
        <v>5287.7001950000003</v>
      </c>
      <c r="Q151" s="51">
        <v>4939.6000979999999</v>
      </c>
      <c r="R151" s="51">
        <v>5083.3999020000001</v>
      </c>
      <c r="S151" s="51">
        <v>5083.3999020000001</v>
      </c>
      <c r="T151" s="51">
        <v>0</v>
      </c>
      <c r="U151" s="53">
        <f t="shared" si="9"/>
        <v>-3.4931845582891197E-2</v>
      </c>
    </row>
    <row r="152" spans="1:21" x14ac:dyDescent="0.2">
      <c r="A152" s="56">
        <v>38626</v>
      </c>
      <c r="B152" s="51">
        <v>31582</v>
      </c>
      <c r="C152" s="51">
        <v>32052</v>
      </c>
      <c r="D152" s="51">
        <v>28161</v>
      </c>
      <c r="E152" s="51">
        <v>30194</v>
      </c>
      <c r="F152" s="51">
        <v>30194</v>
      </c>
      <c r="G152" s="51">
        <v>0</v>
      </c>
      <c r="H152" s="53">
        <f t="shared" si="8"/>
        <v>-4.4009625126646412E-2</v>
      </c>
      <c r="I152" s="53">
        <f t="shared" si="7"/>
        <v>0.30982127364220013</v>
      </c>
      <c r="J152" s="53">
        <f>(VLOOKUP(DATE(YEAR(A152),MONTH(A152),1),'16. câmbio USD-BRL'!$A$3:$G$2250,2,)/VLOOKUP(DATE(YEAR(A92),MONTH(A92),1),'16. câmbio USD-BRL'!$A$3:$G$2250,2,))^(1/5)-1</f>
        <v>3.4558951461523879E-2</v>
      </c>
      <c r="K152" s="53">
        <f t="shared" si="6"/>
        <v>0.27526232218067626</v>
      </c>
      <c r="L152" s="53"/>
      <c r="N152" s="52">
        <v>35128</v>
      </c>
      <c r="O152" s="51">
        <v>5083.3999020000001</v>
      </c>
      <c r="P152" s="51">
        <v>5224.3999020000001</v>
      </c>
      <c r="Q152" s="51">
        <v>4643.2001950000003</v>
      </c>
      <c r="R152" s="51">
        <v>4721.8999020000001</v>
      </c>
      <c r="S152" s="51">
        <v>4721.8999020000001</v>
      </c>
      <c r="T152" s="51">
        <v>0</v>
      </c>
      <c r="U152" s="53">
        <f t="shared" si="9"/>
        <v>-7.111382282904255E-2</v>
      </c>
    </row>
    <row r="153" spans="1:21" x14ac:dyDescent="0.2">
      <c r="A153" s="56">
        <v>38657</v>
      </c>
      <c r="B153" s="51">
        <v>30194</v>
      </c>
      <c r="C153" s="51">
        <v>32350</v>
      </c>
      <c r="D153" s="51">
        <v>29948</v>
      </c>
      <c r="E153" s="51">
        <v>31917</v>
      </c>
      <c r="F153" s="51">
        <v>31917</v>
      </c>
      <c r="G153" s="51">
        <v>0</v>
      </c>
      <c r="H153" s="53">
        <f t="shared" si="8"/>
        <v>5.706431741405571E-2</v>
      </c>
      <c r="I153" s="53">
        <f t="shared" si="7"/>
        <v>0.2701766953199618</v>
      </c>
      <c r="J153" s="53">
        <f>(VLOOKUP(DATE(YEAR(A153),MONTH(A153),1),'16. câmbio USD-BRL'!$A$3:$G$2250,2,)/VLOOKUP(DATE(YEAR(A93),MONTH(A93),1),'16. câmbio USD-BRL'!$A$3:$G$2250,2,))^(1/5)-1</f>
        <v>2.16720435358424E-2</v>
      </c>
      <c r="K153" s="53">
        <f t="shared" si="6"/>
        <v>0.2485046517841194</v>
      </c>
      <c r="L153" s="53"/>
      <c r="N153" s="52">
        <v>35135</v>
      </c>
      <c r="O153" s="51">
        <v>4721.8999020000001</v>
      </c>
      <c r="P153" s="51">
        <v>4870.2998049999997</v>
      </c>
      <c r="Q153" s="51">
        <v>4595.6000979999999</v>
      </c>
      <c r="R153" s="51">
        <v>4852.5</v>
      </c>
      <c r="S153" s="51">
        <v>4852.5</v>
      </c>
      <c r="T153" s="51">
        <v>0</v>
      </c>
      <c r="U153" s="53">
        <f t="shared" si="9"/>
        <v>2.7658379192808225E-2</v>
      </c>
    </row>
    <row r="154" spans="1:21" x14ac:dyDescent="0.2">
      <c r="A154" s="56">
        <v>38687</v>
      </c>
      <c r="B154" s="51">
        <v>31921</v>
      </c>
      <c r="C154" s="51">
        <v>33837</v>
      </c>
      <c r="D154" s="51">
        <v>31921</v>
      </c>
      <c r="E154" s="51">
        <v>33456</v>
      </c>
      <c r="F154" s="51">
        <v>33456</v>
      </c>
      <c r="G154" s="51">
        <v>0</v>
      </c>
      <c r="H154" s="53">
        <f t="shared" si="8"/>
        <v>4.8218817558041138E-2</v>
      </c>
      <c r="I154" s="53">
        <f t="shared" si="7"/>
        <v>0.2771415483279891</v>
      </c>
      <c r="J154" s="53">
        <f>(VLOOKUP(DATE(YEAR(A154),MONTH(A154),1),'16. câmbio USD-BRL'!$A$3:$G$2250,2,)/VLOOKUP(DATE(YEAR(A94),MONTH(A94),1),'16. câmbio USD-BRL'!$A$3:$G$2250,2,))^(1/5)-1</f>
        <v>3.6986550364094706E-2</v>
      </c>
      <c r="K154" s="53">
        <f t="shared" si="6"/>
        <v>0.24015499796389439</v>
      </c>
      <c r="L154" s="53"/>
      <c r="N154" s="52">
        <v>35142</v>
      </c>
      <c r="O154" s="51">
        <v>4923.2001950000003</v>
      </c>
      <c r="P154" s="51">
        <v>5062.1000979999999</v>
      </c>
      <c r="Q154" s="51">
        <v>4745.7998049999997</v>
      </c>
      <c r="R154" s="51">
        <v>5051.2001950000003</v>
      </c>
      <c r="S154" s="51">
        <v>5051.2001950000003</v>
      </c>
      <c r="T154" s="51">
        <v>0</v>
      </c>
      <c r="U154" s="53">
        <f t="shared" si="9"/>
        <v>4.0948005151983491E-2</v>
      </c>
    </row>
    <row r="155" spans="1:21" x14ac:dyDescent="0.2">
      <c r="A155" s="56">
        <v>38718</v>
      </c>
      <c r="B155" s="51">
        <v>33462</v>
      </c>
      <c r="C155" s="51">
        <v>38804</v>
      </c>
      <c r="D155" s="51">
        <v>32860</v>
      </c>
      <c r="E155" s="51">
        <v>38383</v>
      </c>
      <c r="F155" s="51">
        <v>38383</v>
      </c>
      <c r="G155" s="51">
        <v>0</v>
      </c>
      <c r="H155" s="53">
        <f t="shared" si="8"/>
        <v>0.14726805356288852</v>
      </c>
      <c r="I155" s="53">
        <f t="shared" si="7"/>
        <v>0.57623916882263559</v>
      </c>
      <c r="J155" s="53">
        <f>(VLOOKUP(DATE(YEAR(A155),MONTH(A155),1),'16. câmbio USD-BRL'!$A$3:$G$2250,2,)/VLOOKUP(DATE(YEAR(A95),MONTH(A95),1),'16. câmbio USD-BRL'!$A$3:$G$2250,2,))^(1/5)-1</f>
        <v>2.3339410075508438E-2</v>
      </c>
      <c r="K155" s="53">
        <f t="shared" si="6"/>
        <v>0.55289975874712716</v>
      </c>
      <c r="L155" s="53"/>
      <c r="N155" s="52">
        <v>35149</v>
      </c>
      <c r="O155" s="51">
        <v>5112.3999020000001</v>
      </c>
      <c r="P155" s="51">
        <v>5112.3999020000001</v>
      </c>
      <c r="Q155" s="51">
        <v>4923.2998049999997</v>
      </c>
      <c r="R155" s="51">
        <v>4954.8999020000001</v>
      </c>
      <c r="S155" s="51">
        <v>4954.8999020000001</v>
      </c>
      <c r="T155" s="51">
        <v>0</v>
      </c>
      <c r="U155" s="53">
        <f t="shared" si="9"/>
        <v>-1.9064833956754401E-2</v>
      </c>
    </row>
    <row r="156" spans="1:21" x14ac:dyDescent="0.2">
      <c r="A156" s="56">
        <v>38749</v>
      </c>
      <c r="B156" s="51">
        <v>38382</v>
      </c>
      <c r="C156" s="51">
        <v>38978</v>
      </c>
      <c r="D156" s="51">
        <v>35891</v>
      </c>
      <c r="E156" s="51">
        <v>38610</v>
      </c>
      <c r="F156" s="51">
        <v>38610</v>
      </c>
      <c r="G156" s="51">
        <v>0</v>
      </c>
      <c r="H156" s="53">
        <f t="shared" si="8"/>
        <v>5.914076544303537E-3</v>
      </c>
      <c r="I156" s="53">
        <f t="shared" si="7"/>
        <v>0.37211699065354131</v>
      </c>
      <c r="J156" s="53">
        <f>(VLOOKUP(DATE(YEAR(A156),MONTH(A156),1),'16. câmbio USD-BRL'!$A$3:$G$2250,2,)/VLOOKUP(DATE(YEAR(A96),MONTH(A96),1),'16. câmbio USD-BRL'!$A$3:$G$2250,2,))^(1/5)-1</f>
        <v>7.433973078199152E-3</v>
      </c>
      <c r="K156" s="53">
        <f t="shared" si="6"/>
        <v>0.36468301757534216</v>
      </c>
      <c r="L156" s="53"/>
      <c r="N156" s="52">
        <v>35156</v>
      </c>
      <c r="O156" s="51">
        <v>5022.3999020000001</v>
      </c>
      <c r="P156" s="51">
        <v>5032.2998049999997</v>
      </c>
      <c r="Q156" s="51">
        <v>4913.6000979999999</v>
      </c>
      <c r="R156" s="51">
        <v>4977.6000979999999</v>
      </c>
      <c r="S156" s="51">
        <v>4977.6000979999999</v>
      </c>
      <c r="T156" s="51">
        <v>0</v>
      </c>
      <c r="U156" s="53">
        <f t="shared" si="9"/>
        <v>4.5813631857298809E-3</v>
      </c>
    </row>
    <row r="157" spans="1:21" x14ac:dyDescent="0.2">
      <c r="A157" s="56">
        <v>38777</v>
      </c>
      <c r="B157" s="51">
        <v>38610</v>
      </c>
      <c r="C157" s="51">
        <v>39395</v>
      </c>
      <c r="D157" s="51">
        <v>36085</v>
      </c>
      <c r="E157" s="51">
        <v>37952</v>
      </c>
      <c r="F157" s="51">
        <v>37952</v>
      </c>
      <c r="G157" s="51">
        <v>0</v>
      </c>
      <c r="H157" s="53">
        <f t="shared" si="8"/>
        <v>-1.7042217042217089E-2</v>
      </c>
      <c r="I157" s="53">
        <f t="shared" si="7"/>
        <v>0.42617714478974866</v>
      </c>
      <c r="J157" s="53">
        <f>(VLOOKUP(DATE(YEAR(A157),MONTH(A157),1),'16. câmbio USD-BRL'!$A$3:$G$2250,2,)/VLOOKUP(DATE(YEAR(A97),MONTH(A97),1),'16. câmbio USD-BRL'!$A$3:$G$2250,2,))^(1/5)-1</f>
        <v>1.0197481103022543E-3</v>
      </c>
      <c r="K157" s="53">
        <f t="shared" si="6"/>
        <v>0.42515739667944641</v>
      </c>
      <c r="L157" s="53"/>
      <c r="N157" s="52">
        <v>35163</v>
      </c>
      <c r="O157" s="51">
        <v>4976.7998049999997</v>
      </c>
      <c r="P157" s="51">
        <v>5015.7001950000003</v>
      </c>
      <c r="Q157" s="51">
        <v>4831.2001950000003</v>
      </c>
      <c r="R157" s="51">
        <v>5015.6000979999999</v>
      </c>
      <c r="S157" s="51">
        <v>5015.6000979999999</v>
      </c>
      <c r="T157" s="51">
        <v>0</v>
      </c>
      <c r="U157" s="53">
        <f t="shared" si="9"/>
        <v>7.6342010711685226E-3</v>
      </c>
    </row>
    <row r="158" spans="1:21" x14ac:dyDescent="0.2">
      <c r="A158" s="56">
        <v>38808</v>
      </c>
      <c r="B158" s="51">
        <v>37952</v>
      </c>
      <c r="C158" s="51">
        <v>40425</v>
      </c>
      <c r="D158" s="51">
        <v>37816</v>
      </c>
      <c r="E158" s="51">
        <v>40363</v>
      </c>
      <c r="F158" s="51">
        <v>40363</v>
      </c>
      <c r="G158" s="51">
        <v>0</v>
      </c>
      <c r="H158" s="53">
        <f t="shared" si="8"/>
        <v>6.3527613827993212E-2</v>
      </c>
      <c r="I158" s="53">
        <f t="shared" si="7"/>
        <v>0.62465786507808718</v>
      </c>
      <c r="J158" s="53">
        <f>(VLOOKUP(DATE(YEAR(A158),MONTH(A158),1),'16. câmbio USD-BRL'!$A$3:$G$2250,2,)/VLOOKUP(DATE(YEAR(A98),MONTH(A98),1),'16. câmbio USD-BRL'!$A$3:$G$2250,2,))^(1/5)-1</f>
        <v>-1.0580463808615992E-2</v>
      </c>
      <c r="K158" s="53">
        <f t="shared" si="6"/>
        <v>0.63523832888670317</v>
      </c>
      <c r="L158" s="53"/>
      <c r="N158" s="52">
        <v>35170</v>
      </c>
      <c r="O158" s="51">
        <v>5023.1000979999999</v>
      </c>
      <c r="P158" s="51">
        <v>5080.8999020000001</v>
      </c>
      <c r="Q158" s="51">
        <v>4954.1000979999999</v>
      </c>
      <c r="R158" s="51">
        <v>5075.6000979999999</v>
      </c>
      <c r="S158" s="51">
        <v>5075.6000979999999</v>
      </c>
      <c r="T158" s="51">
        <v>0</v>
      </c>
      <c r="U158" s="53">
        <f t="shared" si="9"/>
        <v>1.1962676215738544E-2</v>
      </c>
    </row>
    <row r="159" spans="1:21" x14ac:dyDescent="0.2">
      <c r="A159" s="56">
        <v>38838</v>
      </c>
      <c r="B159" s="51">
        <v>40365</v>
      </c>
      <c r="C159" s="51">
        <v>42062</v>
      </c>
      <c r="D159" s="51">
        <v>34911</v>
      </c>
      <c r="E159" s="51">
        <v>36530</v>
      </c>
      <c r="F159" s="51">
        <v>36530</v>
      </c>
      <c r="G159" s="51">
        <v>0</v>
      </c>
      <c r="H159" s="53">
        <f t="shared" si="8"/>
        <v>-9.4963208879419225E-2</v>
      </c>
      <c r="I159" s="53">
        <f t="shared" si="7"/>
        <v>0.44920061887570917</v>
      </c>
      <c r="J159" s="53">
        <f>(VLOOKUP(DATE(YEAR(A159),MONTH(A159),1),'16. câmbio USD-BRL'!$A$3:$G$2250,2,)/VLOOKUP(DATE(YEAR(A99),MONTH(A99),1),'16. câmbio USD-BRL'!$A$3:$G$2250,2,))^(1/5)-1</f>
        <v>-6.4583561968015735E-3</v>
      </c>
      <c r="K159" s="53">
        <f t="shared" si="6"/>
        <v>0.45565897507251074</v>
      </c>
      <c r="L159" s="53"/>
      <c r="N159" s="52">
        <v>35177</v>
      </c>
      <c r="O159" s="51">
        <v>5136.8999020000001</v>
      </c>
      <c r="P159" s="51">
        <v>5161.2001950000003</v>
      </c>
      <c r="Q159" s="51">
        <v>5032.3999020000001</v>
      </c>
      <c r="R159" s="51">
        <v>5142.6000979999999</v>
      </c>
      <c r="S159" s="51">
        <v>5142.6000979999999</v>
      </c>
      <c r="T159" s="51">
        <v>0</v>
      </c>
      <c r="U159" s="53">
        <f t="shared" si="9"/>
        <v>1.3200409548892678E-2</v>
      </c>
    </row>
    <row r="160" spans="1:21" x14ac:dyDescent="0.2">
      <c r="A160" s="56">
        <v>38869</v>
      </c>
      <c r="B160" s="51">
        <v>36531</v>
      </c>
      <c r="C160" s="51">
        <v>38437</v>
      </c>
      <c r="D160" s="51">
        <v>32057</v>
      </c>
      <c r="E160" s="51">
        <v>36631</v>
      </c>
      <c r="F160" s="51">
        <v>36631</v>
      </c>
      <c r="G160" s="51">
        <v>0</v>
      </c>
      <c r="H160" s="53">
        <f t="shared" si="8"/>
        <v>2.7648508075555078E-3</v>
      </c>
      <c r="I160" s="53">
        <f t="shared" si="7"/>
        <v>0.46225699572871348</v>
      </c>
      <c r="J160" s="53">
        <f>(VLOOKUP(DATE(YEAR(A160),MONTH(A160),1),'16. câmbio USD-BRL'!$A$3:$G$2250,2,)/VLOOKUP(DATE(YEAR(A100),MONTH(A100),1),'16. câmbio USD-BRL'!$A$3:$G$2250,2,))^(1/5)-1</f>
        <v>-1.2842417633699754E-2</v>
      </c>
      <c r="K160" s="53">
        <f t="shared" si="6"/>
        <v>0.47509941336241324</v>
      </c>
      <c r="L160" s="53"/>
      <c r="N160" s="52">
        <v>35184</v>
      </c>
      <c r="O160" s="51">
        <v>5149.2998049999997</v>
      </c>
      <c r="P160" s="51">
        <v>5191.5</v>
      </c>
      <c r="Q160" s="51">
        <v>5097.5</v>
      </c>
      <c r="R160" s="51">
        <v>5101.5</v>
      </c>
      <c r="S160" s="51">
        <v>5101.5</v>
      </c>
      <c r="T160" s="51">
        <v>0</v>
      </c>
      <c r="U160" s="53">
        <f t="shared" si="9"/>
        <v>-7.9920851741872578E-3</v>
      </c>
    </row>
    <row r="161" spans="1:21" x14ac:dyDescent="0.2">
      <c r="A161" s="56">
        <v>38899</v>
      </c>
      <c r="B161" s="51">
        <v>36629</v>
      </c>
      <c r="C161" s="51">
        <v>37601</v>
      </c>
      <c r="D161" s="51">
        <v>34591</v>
      </c>
      <c r="E161" s="51">
        <v>37077</v>
      </c>
      <c r="F161" s="51">
        <v>37077</v>
      </c>
      <c r="G161" s="51">
        <v>0</v>
      </c>
      <c r="H161" s="53">
        <f t="shared" si="8"/>
        <v>1.2175479784881649E-2</v>
      </c>
      <c r="I161" s="53">
        <f t="shared" si="7"/>
        <v>0.42373857614622534</v>
      </c>
      <c r="J161" s="53">
        <f>(VLOOKUP(DATE(YEAR(A161),MONTH(A161),1),'16. câmbio USD-BRL'!$A$3:$G$2250,2,)/VLOOKUP(DATE(YEAR(A101),MONTH(A101),1),'16. câmbio USD-BRL'!$A$3:$G$2250,2,))^(1/5)-1</f>
        <v>-2.5129767543828674E-2</v>
      </c>
      <c r="K161" s="53">
        <f t="shared" si="6"/>
        <v>0.44886834369005402</v>
      </c>
      <c r="L161" s="53"/>
      <c r="N161" s="52">
        <v>35191</v>
      </c>
      <c r="O161" s="51">
        <v>5154</v>
      </c>
      <c r="P161" s="51">
        <v>5411.6000979999999</v>
      </c>
      <c r="Q161" s="51">
        <v>5097.2998049999997</v>
      </c>
      <c r="R161" s="51">
        <v>5345.5</v>
      </c>
      <c r="S161" s="51">
        <v>5345.5</v>
      </c>
      <c r="T161" s="51">
        <v>0</v>
      </c>
      <c r="U161" s="53">
        <f t="shared" si="9"/>
        <v>4.7829069881407449E-2</v>
      </c>
    </row>
    <row r="162" spans="1:21" x14ac:dyDescent="0.2">
      <c r="A162" s="56">
        <v>38930</v>
      </c>
      <c r="B162" s="51">
        <v>37077</v>
      </c>
      <c r="C162" s="51">
        <v>38172</v>
      </c>
      <c r="D162" s="51">
        <v>35123</v>
      </c>
      <c r="E162" s="51">
        <v>36232</v>
      </c>
      <c r="F162" s="51">
        <v>36232</v>
      </c>
      <c r="G162" s="51">
        <v>144235600</v>
      </c>
      <c r="H162" s="53">
        <f t="shared" si="8"/>
        <v>-2.2790409148528701E-2</v>
      </c>
      <c r="I162" s="53">
        <f t="shared" si="7"/>
        <v>0.29192369406311292</v>
      </c>
      <c r="J162" s="53">
        <f>(VLOOKUP(DATE(YEAR(A162),MONTH(A162),1),'16. câmbio USD-BRL'!$A$3:$G$2250,2,)/VLOOKUP(DATE(YEAR(A102),MONTH(A102),1),'16. câmbio USD-BRL'!$A$3:$G$2250,2,))^(1/5)-1</f>
        <v>-3.5200563581114452E-2</v>
      </c>
      <c r="K162" s="53">
        <f t="shared" si="6"/>
        <v>0.32712425764422737</v>
      </c>
      <c r="L162" s="53"/>
      <c r="N162" s="52">
        <v>35198</v>
      </c>
      <c r="O162" s="51">
        <v>5483.7998049999997</v>
      </c>
      <c r="P162" s="51">
        <v>5573.2998049999997</v>
      </c>
      <c r="Q162" s="51">
        <v>5345.6000979999999</v>
      </c>
      <c r="R162" s="51">
        <v>5560.3999020000001</v>
      </c>
      <c r="S162" s="51">
        <v>5560.3999020000001</v>
      </c>
      <c r="T162" s="51">
        <v>0</v>
      </c>
      <c r="U162" s="53">
        <f t="shared" si="9"/>
        <v>4.0202020765129465E-2</v>
      </c>
    </row>
    <row r="163" spans="1:21" x14ac:dyDescent="0.2">
      <c r="A163" s="56">
        <v>38961</v>
      </c>
      <c r="B163" s="51">
        <v>36232</v>
      </c>
      <c r="C163" s="51">
        <v>37739</v>
      </c>
      <c r="D163" s="51">
        <v>34127</v>
      </c>
      <c r="E163" s="51">
        <v>36449</v>
      </c>
      <c r="F163" s="51">
        <v>36449</v>
      </c>
      <c r="G163" s="51">
        <v>2391376300</v>
      </c>
      <c r="H163" s="53">
        <f t="shared" si="8"/>
        <v>5.9891808346212994E-3</v>
      </c>
      <c r="I163" s="53">
        <f t="shared" si="7"/>
        <v>0.15403368794326244</v>
      </c>
      <c r="J163" s="53">
        <f>(VLOOKUP(DATE(YEAR(A163),MONTH(A163),1),'16. câmbio USD-BRL'!$A$3:$G$2250,2,)/VLOOKUP(DATE(YEAR(A103),MONTH(A103),1),'16. câmbio USD-BRL'!$A$3:$G$2250,2,))^(1/5)-1</f>
        <v>-4.0242220858260791E-2</v>
      </c>
      <c r="K163" s="53">
        <f t="shared" si="6"/>
        <v>0.19427590880152323</v>
      </c>
      <c r="L163" s="53"/>
      <c r="N163" s="52">
        <v>35205</v>
      </c>
      <c r="O163" s="51">
        <v>5661.8999020000001</v>
      </c>
      <c r="P163" s="51">
        <v>5683.7998049999997</v>
      </c>
      <c r="Q163" s="51">
        <v>5519.1000979999999</v>
      </c>
      <c r="R163" s="51">
        <v>5600.7001950000003</v>
      </c>
      <c r="S163" s="51">
        <v>5600.7001950000003</v>
      </c>
      <c r="T163" s="51">
        <v>0</v>
      </c>
      <c r="U163" s="53">
        <f t="shared" si="9"/>
        <v>7.2477328448092848E-3</v>
      </c>
    </row>
    <row r="164" spans="1:21" x14ac:dyDescent="0.2">
      <c r="A164" s="56">
        <v>38991</v>
      </c>
      <c r="B164" s="51">
        <v>36450</v>
      </c>
      <c r="C164" s="51">
        <v>39843</v>
      </c>
      <c r="D164" s="51">
        <v>36438</v>
      </c>
      <c r="E164" s="51">
        <v>39263</v>
      </c>
      <c r="F164" s="51">
        <v>39263</v>
      </c>
      <c r="G164" s="51">
        <v>2392852500</v>
      </c>
      <c r="H164" s="53">
        <f t="shared" si="8"/>
        <v>7.7203764163625843E-2</v>
      </c>
      <c r="I164" s="53">
        <f t="shared" si="7"/>
        <v>0.30035768695767362</v>
      </c>
      <c r="J164" s="53">
        <f>(VLOOKUP(DATE(YEAR(A164),MONTH(A164),1),'16. câmbio USD-BRL'!$A$3:$G$2250,2,)/VLOOKUP(DATE(YEAR(A104),MONTH(A104),1),'16. câmbio USD-BRL'!$A$3:$G$2250,2,))^(1/5)-1</f>
        <v>-4.489229199063316E-2</v>
      </c>
      <c r="K164" s="53">
        <f t="shared" si="6"/>
        <v>0.34524997894830678</v>
      </c>
      <c r="L164" s="53"/>
      <c r="N164" s="52">
        <v>35212</v>
      </c>
      <c r="O164" s="51">
        <v>5632.5</v>
      </c>
      <c r="P164" s="51">
        <v>5764.2001950000003</v>
      </c>
      <c r="Q164" s="51">
        <v>5584.7998049999997</v>
      </c>
      <c r="R164" s="51">
        <v>5728</v>
      </c>
      <c r="S164" s="51">
        <v>5728</v>
      </c>
      <c r="T164" s="51">
        <v>0</v>
      </c>
      <c r="U164" s="53">
        <f t="shared" si="9"/>
        <v>2.2729266085987909E-2</v>
      </c>
    </row>
    <row r="165" spans="1:21" x14ac:dyDescent="0.2">
      <c r="A165" s="56">
        <v>39022</v>
      </c>
      <c r="B165" s="51">
        <v>39279</v>
      </c>
      <c r="C165" s="51">
        <v>42308</v>
      </c>
      <c r="D165" s="51">
        <v>39279</v>
      </c>
      <c r="E165" s="51">
        <v>41932</v>
      </c>
      <c r="F165" s="51">
        <v>41932</v>
      </c>
      <c r="G165" s="51">
        <v>2175094500</v>
      </c>
      <c r="H165" s="53">
        <f t="shared" si="8"/>
        <v>6.7977485164149476E-2</v>
      </c>
      <c r="I165" s="53">
        <f t="shared" si="7"/>
        <v>0.3137826236801704</v>
      </c>
      <c r="J165" s="53">
        <f>(VLOOKUP(DATE(YEAR(A165),MONTH(A165),1),'16. câmbio USD-BRL'!$A$3:$G$2250,2,)/VLOOKUP(DATE(YEAR(A105),MONTH(A105),1),'16. câmbio USD-BRL'!$A$3:$G$2250,2,))^(1/5)-1</f>
        <v>-2.7974921131792563E-2</v>
      </c>
      <c r="K165" s="53">
        <f t="shared" si="6"/>
        <v>0.34175754481196297</v>
      </c>
      <c r="L165" s="53"/>
      <c r="N165" s="52">
        <v>35219</v>
      </c>
      <c r="O165" s="51">
        <v>5725.7998049999997</v>
      </c>
      <c r="P165" s="51">
        <v>5725.7998049999997</v>
      </c>
      <c r="Q165" s="51">
        <v>5496.2001950000003</v>
      </c>
      <c r="R165" s="51">
        <v>5530.2001950000003</v>
      </c>
      <c r="S165" s="51">
        <v>5530.2001950000003</v>
      </c>
      <c r="T165" s="51">
        <v>0</v>
      </c>
      <c r="U165" s="53">
        <f t="shared" si="9"/>
        <v>-3.4532088861731758E-2</v>
      </c>
    </row>
    <row r="166" spans="1:21" x14ac:dyDescent="0.2">
      <c r="A166" s="56">
        <v>39052</v>
      </c>
      <c r="B166" s="51">
        <v>41930</v>
      </c>
      <c r="C166" s="51">
        <v>44675</v>
      </c>
      <c r="D166" s="51">
        <v>41192</v>
      </c>
      <c r="E166" s="51">
        <v>44474</v>
      </c>
      <c r="F166" s="51">
        <v>44474</v>
      </c>
      <c r="G166" s="51">
        <v>1845604000</v>
      </c>
      <c r="H166" s="53">
        <f t="shared" si="8"/>
        <v>6.0621959362777922E-2</v>
      </c>
      <c r="I166" s="53">
        <f t="shared" si="7"/>
        <v>0.32932807269249165</v>
      </c>
      <c r="J166" s="53">
        <f>(VLOOKUP(DATE(YEAR(A166),MONTH(A166),1),'16. câmbio USD-BRL'!$A$3:$G$2250,2,)/VLOOKUP(DATE(YEAR(A106),MONTH(A106),1),'16. câmbio USD-BRL'!$A$3:$G$2250,2,))^(1/5)-1</f>
        <v>-1.5579633117199121E-2</v>
      </c>
      <c r="K166" s="53">
        <f t="shared" si="6"/>
        <v>0.34490770580969077</v>
      </c>
      <c r="L166" s="53"/>
      <c r="N166" s="52">
        <v>35226</v>
      </c>
      <c r="O166" s="51">
        <v>5575.6000979999999</v>
      </c>
      <c r="P166" s="51">
        <v>5634.8999020000001</v>
      </c>
      <c r="Q166" s="51">
        <v>5397.7998049999997</v>
      </c>
      <c r="R166" s="51">
        <v>5634.8999020000001</v>
      </c>
      <c r="S166" s="51">
        <v>5634.8999020000001</v>
      </c>
      <c r="T166" s="51">
        <v>0</v>
      </c>
      <c r="U166" s="53">
        <f t="shared" si="9"/>
        <v>1.8932353858484463E-2</v>
      </c>
    </row>
    <row r="167" spans="1:21" x14ac:dyDescent="0.2">
      <c r="A167" s="56">
        <v>39083</v>
      </c>
      <c r="B167" s="51">
        <v>44476</v>
      </c>
      <c r="C167" s="51">
        <v>45388</v>
      </c>
      <c r="D167" s="51">
        <v>41266</v>
      </c>
      <c r="E167" s="51">
        <v>44642</v>
      </c>
      <c r="F167" s="51">
        <v>44642</v>
      </c>
      <c r="G167" s="51">
        <v>2010837900</v>
      </c>
      <c r="H167" s="53">
        <f t="shared" si="8"/>
        <v>3.7774879704997044E-3</v>
      </c>
      <c r="I167" s="53">
        <f t="shared" si="7"/>
        <v>0.16306698277883447</v>
      </c>
      <c r="J167" s="53">
        <f>(VLOOKUP(DATE(YEAR(A167),MONTH(A167),1),'16. câmbio USD-BRL'!$A$3:$G$2250,2,)/VLOOKUP(DATE(YEAR(A107),MONTH(A107),1),'16. câmbio USD-BRL'!$A$3:$G$2250,2,))^(1/5)-1</f>
        <v>-2.5191206700471147E-2</v>
      </c>
      <c r="K167" s="53">
        <f t="shared" si="6"/>
        <v>0.18825818947930562</v>
      </c>
      <c r="L167" s="53"/>
      <c r="N167" s="52">
        <v>35233</v>
      </c>
      <c r="O167" s="51">
        <v>5807.8999020000001</v>
      </c>
      <c r="P167" s="51">
        <v>6065.7998049999997</v>
      </c>
      <c r="Q167" s="51">
        <v>5648.7001950000003</v>
      </c>
      <c r="R167" s="51">
        <v>6053.1000979999999</v>
      </c>
      <c r="S167" s="51">
        <v>6053.1000979999999</v>
      </c>
      <c r="T167" s="51">
        <v>0</v>
      </c>
      <c r="U167" s="53">
        <f t="shared" si="9"/>
        <v>7.4216082498921976E-2</v>
      </c>
    </row>
    <row r="168" spans="1:21" x14ac:dyDescent="0.2">
      <c r="A168" s="56">
        <v>39114</v>
      </c>
      <c r="B168" s="51">
        <v>44642</v>
      </c>
      <c r="C168" s="51">
        <v>46752</v>
      </c>
      <c r="D168" s="51">
        <v>42571</v>
      </c>
      <c r="E168" s="51">
        <v>43892</v>
      </c>
      <c r="F168" s="51">
        <v>43892</v>
      </c>
      <c r="G168" s="51">
        <v>2210915100</v>
      </c>
      <c r="H168" s="53">
        <f t="shared" si="8"/>
        <v>-1.6800322566193238E-2</v>
      </c>
      <c r="I168" s="53">
        <f t="shared" si="7"/>
        <v>0.13680393680393688</v>
      </c>
      <c r="J168" s="53">
        <f>(VLOOKUP(DATE(YEAR(A168),MONTH(A168),1),'16. câmbio USD-BRL'!$A$3:$G$2250,2,)/VLOOKUP(DATE(YEAR(A108),MONTH(A108),1),'16. câmbio USD-BRL'!$A$3:$G$2250,2,))^(1/5)-1</f>
        <v>-2.1598003820594402E-2</v>
      </c>
      <c r="K168" s="53">
        <f t="shared" si="6"/>
        <v>0.15840194062453128</v>
      </c>
      <c r="L168" s="53"/>
      <c r="N168" s="52">
        <v>35240</v>
      </c>
      <c r="O168" s="51">
        <v>6215.7001950000003</v>
      </c>
      <c r="P168" s="51">
        <v>6278.8999020000001</v>
      </c>
      <c r="Q168" s="51">
        <v>6020.2001950000003</v>
      </c>
      <c r="R168" s="51">
        <v>6043.8999020000001</v>
      </c>
      <c r="S168" s="51">
        <v>6043.8999020000001</v>
      </c>
      <c r="T168" s="51">
        <v>0</v>
      </c>
      <c r="U168" s="53">
        <f t="shared" si="9"/>
        <v>-1.51991472981583E-3</v>
      </c>
    </row>
    <row r="169" spans="1:21" x14ac:dyDescent="0.2">
      <c r="A169" s="56">
        <v>39142</v>
      </c>
      <c r="B169" s="51">
        <v>43886</v>
      </c>
      <c r="C169" s="51">
        <v>45950</v>
      </c>
      <c r="D169" s="51">
        <v>41117</v>
      </c>
      <c r="E169" s="51">
        <v>45805</v>
      </c>
      <c r="F169" s="51">
        <v>45805</v>
      </c>
      <c r="G169" s="51">
        <v>2898315900</v>
      </c>
      <c r="H169" s="53">
        <f t="shared" si="8"/>
        <v>4.3584252255536304E-2</v>
      </c>
      <c r="I169" s="53">
        <f t="shared" si="7"/>
        <v>0.20691926644182135</v>
      </c>
      <c r="J169" s="53">
        <f>(VLOOKUP(DATE(YEAR(A169),MONTH(A169),1),'16. câmbio USD-BRL'!$A$3:$G$2250,2,)/VLOOKUP(DATE(YEAR(A109),MONTH(A109),1),'16. câmbio USD-BRL'!$A$3:$G$2250,2,))^(1/5)-1</f>
        <v>-2.4007056093069856E-2</v>
      </c>
      <c r="K169" s="53">
        <f t="shared" si="6"/>
        <v>0.2309263225348912</v>
      </c>
      <c r="L169" s="53"/>
      <c r="N169" s="52">
        <v>35247</v>
      </c>
      <c r="O169" s="51">
        <v>6043.8999020000001</v>
      </c>
      <c r="P169" s="51">
        <v>6473.2001950000003</v>
      </c>
      <c r="Q169" s="51">
        <v>6043.6000979999999</v>
      </c>
      <c r="R169" s="51">
        <v>6286.5</v>
      </c>
      <c r="S169" s="51">
        <v>6286.5</v>
      </c>
      <c r="T169" s="51">
        <v>0</v>
      </c>
      <c r="U169" s="53">
        <f t="shared" si="9"/>
        <v>4.0139661796801285E-2</v>
      </c>
    </row>
    <row r="170" spans="1:21" x14ac:dyDescent="0.2">
      <c r="A170" s="56">
        <v>39173</v>
      </c>
      <c r="B170" s="51">
        <v>45805</v>
      </c>
      <c r="C170" s="51">
        <v>49856</v>
      </c>
      <c r="D170" s="51">
        <v>45225</v>
      </c>
      <c r="E170" s="51">
        <v>48956</v>
      </c>
      <c r="F170" s="51">
        <v>48956</v>
      </c>
      <c r="G170" s="51">
        <v>2788661600</v>
      </c>
      <c r="H170" s="53">
        <f t="shared" si="8"/>
        <v>6.8791616635738517E-2</v>
      </c>
      <c r="I170" s="53">
        <f t="shared" si="7"/>
        <v>0.21289299606074863</v>
      </c>
      <c r="J170" s="53">
        <f>(VLOOKUP(DATE(YEAR(A170),MONTH(A170),1),'16. câmbio USD-BRL'!$A$3:$G$2250,2,)/VLOOKUP(DATE(YEAR(A110),MONTH(A110),1),'16. câmbio USD-BRL'!$A$3:$G$2250,2,))^(1/5)-1</f>
        <v>-2.9299734575079506E-2</v>
      </c>
      <c r="K170" s="53">
        <f t="shared" si="6"/>
        <v>0.24219273063582814</v>
      </c>
      <c r="L170" s="53"/>
      <c r="N170" s="52">
        <v>35254</v>
      </c>
      <c r="O170" s="51">
        <v>6381.8999020000001</v>
      </c>
      <c r="P170" s="51">
        <v>6713.2001950000003</v>
      </c>
      <c r="Q170" s="51">
        <v>6243.7998049999997</v>
      </c>
      <c r="R170" s="51">
        <v>6652.2001950000003</v>
      </c>
      <c r="S170" s="51">
        <v>6652.2001950000003</v>
      </c>
      <c r="T170" s="51">
        <v>0</v>
      </c>
      <c r="U170" s="53">
        <f t="shared" si="9"/>
        <v>5.8172304939155373E-2</v>
      </c>
    </row>
    <row r="171" spans="1:21" x14ac:dyDescent="0.2">
      <c r="A171" s="56">
        <v>39203</v>
      </c>
      <c r="B171" s="51">
        <v>48955</v>
      </c>
      <c r="C171" s="51">
        <v>52877</v>
      </c>
      <c r="D171" s="51">
        <v>48953</v>
      </c>
      <c r="E171" s="51">
        <v>52268</v>
      </c>
      <c r="F171" s="51">
        <v>52268</v>
      </c>
      <c r="G171" s="51">
        <v>2311245000</v>
      </c>
      <c r="H171" s="53">
        <f t="shared" si="8"/>
        <v>6.7652585995587877E-2</v>
      </c>
      <c r="I171" s="53">
        <f t="shared" si="7"/>
        <v>0.43082398029017255</v>
      </c>
      <c r="J171" s="53">
        <f>(VLOOKUP(DATE(YEAR(A171),MONTH(A171),1),'16. câmbio USD-BRL'!$A$3:$G$2250,2,)/VLOOKUP(DATE(YEAR(A111),MONTH(A111),1),'16. câmbio USD-BRL'!$A$3:$G$2250,2,))^(1/5)-1</f>
        <v>-5.2734506917757162E-2</v>
      </c>
      <c r="K171" s="53">
        <f t="shared" si="6"/>
        <v>0.48355848720792971</v>
      </c>
      <c r="L171" s="53"/>
      <c r="N171" s="52">
        <v>35261</v>
      </c>
      <c r="O171" s="51">
        <v>6675.8999020000001</v>
      </c>
      <c r="P171" s="51">
        <v>6675.8999020000001</v>
      </c>
      <c r="Q171" s="51">
        <v>6055.1000979999999</v>
      </c>
      <c r="R171" s="51">
        <v>6411.7001950000003</v>
      </c>
      <c r="S171" s="51">
        <v>6411.7001950000003</v>
      </c>
      <c r="T171" s="51">
        <v>0</v>
      </c>
      <c r="U171" s="53">
        <f t="shared" si="9"/>
        <v>-3.6153451933206626E-2</v>
      </c>
    </row>
    <row r="172" spans="1:21" x14ac:dyDescent="0.2">
      <c r="A172" s="56">
        <v>39234</v>
      </c>
      <c r="B172" s="51">
        <v>52271</v>
      </c>
      <c r="C172" s="51">
        <v>55003</v>
      </c>
      <c r="D172" s="51">
        <v>50885</v>
      </c>
      <c r="E172" s="51">
        <v>54392</v>
      </c>
      <c r="F172" s="51">
        <v>54392</v>
      </c>
      <c r="G172" s="51">
        <v>2008111300</v>
      </c>
      <c r="H172" s="53">
        <f t="shared" si="8"/>
        <v>4.0636718451059872E-2</v>
      </c>
      <c r="I172" s="53">
        <f t="shared" si="7"/>
        <v>0.48486254811498464</v>
      </c>
      <c r="J172" s="53">
        <f>(VLOOKUP(DATE(YEAR(A172),MONTH(A172),1),'16. câmbio USD-BRL'!$A$3:$G$2250,2,)/VLOOKUP(DATE(YEAR(A112),MONTH(A112),1),'16. câmbio USD-BRL'!$A$3:$G$2250,2,))^(1/5)-1</f>
        <v>-7.2970273586214218E-2</v>
      </c>
      <c r="K172" s="53">
        <f t="shared" si="6"/>
        <v>0.55783282170119886</v>
      </c>
      <c r="L172" s="53"/>
      <c r="N172" s="52">
        <v>35268</v>
      </c>
      <c r="O172" s="51">
        <v>6445.1000979999999</v>
      </c>
      <c r="P172" s="51">
        <v>6445.1000979999999</v>
      </c>
      <c r="Q172" s="51">
        <v>5898.2001950000003</v>
      </c>
      <c r="R172" s="51">
        <v>5968.5</v>
      </c>
      <c r="S172" s="51">
        <v>5968.5</v>
      </c>
      <c r="T172" s="51">
        <v>0</v>
      </c>
      <c r="U172" s="53">
        <f t="shared" si="9"/>
        <v>-6.9123661668650471E-2</v>
      </c>
    </row>
    <row r="173" spans="1:21" x14ac:dyDescent="0.2">
      <c r="A173" s="56">
        <v>39264</v>
      </c>
      <c r="B173" s="51">
        <v>54396</v>
      </c>
      <c r="C173" s="51">
        <v>58293</v>
      </c>
      <c r="D173" s="51">
        <v>52627</v>
      </c>
      <c r="E173" s="51">
        <v>54183</v>
      </c>
      <c r="F173" s="51">
        <v>54183</v>
      </c>
      <c r="G173" s="51">
        <v>926311000</v>
      </c>
      <c r="H173" s="53">
        <f t="shared" si="8"/>
        <v>-3.8424768348286342E-3</v>
      </c>
      <c r="I173" s="53">
        <f t="shared" si="7"/>
        <v>0.46136418804110368</v>
      </c>
      <c r="J173" s="53">
        <f>(VLOOKUP(DATE(YEAR(A173),MONTH(A173),1),'16. câmbio USD-BRL'!$A$3:$G$2250,2,)/VLOOKUP(DATE(YEAR(A113),MONTH(A113),1),'16. câmbio USD-BRL'!$A$3:$G$2250,2,))^(1/5)-1</f>
        <v>-0.11466281769586206</v>
      </c>
      <c r="K173" s="53">
        <f t="shared" si="6"/>
        <v>0.57602700573696575</v>
      </c>
      <c r="L173" s="53"/>
      <c r="N173" s="52">
        <v>35275</v>
      </c>
      <c r="O173" s="51">
        <v>6007.7001950000003</v>
      </c>
      <c r="P173" s="51">
        <v>6400.7998049999997</v>
      </c>
      <c r="Q173" s="51">
        <v>5879.3999020000001</v>
      </c>
      <c r="R173" s="51">
        <v>6363.6000979999999</v>
      </c>
      <c r="S173" s="51">
        <v>6363.6000979999999</v>
      </c>
      <c r="T173" s="51">
        <v>0</v>
      </c>
      <c r="U173" s="53">
        <f t="shared" si="9"/>
        <v>6.6197553489151462E-2</v>
      </c>
    </row>
    <row r="174" spans="1:21" x14ac:dyDescent="0.2">
      <c r="A174" s="56">
        <v>39295</v>
      </c>
      <c r="B174" s="51">
        <v>54170</v>
      </c>
      <c r="C174" s="51">
        <v>55616</v>
      </c>
      <c r="D174" s="51">
        <v>44938</v>
      </c>
      <c r="E174" s="51">
        <v>54637</v>
      </c>
      <c r="F174" s="51">
        <v>54637</v>
      </c>
      <c r="G174" s="51">
        <v>1151761800</v>
      </c>
      <c r="H174" s="53">
        <f t="shared" si="8"/>
        <v>8.3790118671909219E-3</v>
      </c>
      <c r="I174" s="53">
        <f t="shared" si="7"/>
        <v>0.50797637447560162</v>
      </c>
      <c r="J174" s="53">
        <f>(VLOOKUP(DATE(YEAR(A174),MONTH(A174),1),'16. câmbio USD-BRL'!$A$3:$G$2250,2,)/VLOOKUP(DATE(YEAR(A114),MONTH(A114),1),'16. câmbio USD-BRL'!$A$3:$G$2250,2,))^(1/5)-1</f>
        <v>-8.131144692992498E-2</v>
      </c>
      <c r="K174" s="53">
        <f t="shared" si="6"/>
        <v>0.5892878214055266</v>
      </c>
      <c r="L174" s="53"/>
      <c r="N174" s="52">
        <v>35282</v>
      </c>
      <c r="O174" s="51">
        <v>6365.6000979999999</v>
      </c>
      <c r="P174" s="51">
        <v>6365.6000979999999</v>
      </c>
      <c r="Q174" s="51">
        <v>6092</v>
      </c>
      <c r="R174" s="51">
        <v>6222.7998049999997</v>
      </c>
      <c r="S174" s="51">
        <v>6222.7998049999997</v>
      </c>
      <c r="T174" s="51">
        <v>0</v>
      </c>
      <c r="U174" s="53">
        <f t="shared" si="9"/>
        <v>-2.2125886421469509E-2</v>
      </c>
    </row>
    <row r="175" spans="1:21" x14ac:dyDescent="0.2">
      <c r="A175" s="56">
        <v>39326</v>
      </c>
      <c r="B175" s="51">
        <v>54641</v>
      </c>
      <c r="C175" s="51">
        <v>61054</v>
      </c>
      <c r="D175" s="51">
        <v>52321</v>
      </c>
      <c r="E175" s="51">
        <v>60465</v>
      </c>
      <c r="F175" s="51">
        <v>60465</v>
      </c>
      <c r="G175" s="51">
        <v>106332200</v>
      </c>
      <c r="H175" s="53">
        <f t="shared" si="8"/>
        <v>0.10666764280615704</v>
      </c>
      <c r="I175" s="53">
        <f t="shared" si="7"/>
        <v>0.65889324810008509</v>
      </c>
      <c r="J175" s="53">
        <f>(VLOOKUP(DATE(YEAR(A175),MONTH(A175),1),'16. câmbio USD-BRL'!$A$3:$G$2250,2,)/VLOOKUP(DATE(YEAR(A115),MONTH(A115),1),'16. câmbio USD-BRL'!$A$3:$G$2250,2,))^(1/5)-1</f>
        <v>-0.13384638160894724</v>
      </c>
      <c r="K175" s="53">
        <f t="shared" si="6"/>
        <v>0.79273962970903233</v>
      </c>
      <c r="L175" s="53"/>
      <c r="N175" s="52">
        <v>35289</v>
      </c>
      <c r="O175" s="51">
        <v>6315</v>
      </c>
      <c r="P175" s="51">
        <v>6395.1000979999999</v>
      </c>
      <c r="Q175" s="51">
        <v>6158.1000979999999</v>
      </c>
      <c r="R175" s="51">
        <v>6352.8999020000001</v>
      </c>
      <c r="S175" s="51">
        <v>6352.8999020000001</v>
      </c>
      <c r="T175" s="51">
        <v>0</v>
      </c>
      <c r="U175" s="53">
        <f t="shared" si="9"/>
        <v>2.0907003451318795E-2</v>
      </c>
    </row>
    <row r="176" spans="1:21" x14ac:dyDescent="0.2">
      <c r="A176" s="56">
        <v>39356</v>
      </c>
      <c r="B176" s="51">
        <v>60465</v>
      </c>
      <c r="C176" s="51">
        <v>65949</v>
      </c>
      <c r="D176" s="51">
        <v>59473</v>
      </c>
      <c r="E176" s="51">
        <v>65318</v>
      </c>
      <c r="F176" s="51">
        <v>65318</v>
      </c>
      <c r="G176" s="51">
        <v>146974800</v>
      </c>
      <c r="H176" s="53">
        <f t="shared" si="8"/>
        <v>8.0261308194823355E-2</v>
      </c>
      <c r="I176" s="53">
        <f t="shared" si="7"/>
        <v>0.66360186435066093</v>
      </c>
      <c r="J176" s="53">
        <f>(VLOOKUP(DATE(YEAR(A176),MONTH(A176),1),'16. câmbio USD-BRL'!$A$3:$G$2250,2,)/VLOOKUP(DATE(YEAR(A116),MONTH(A116),1),'16. câmbio USD-BRL'!$A$3:$G$2250,2,))^(1/5)-1</f>
        <v>-0.13803151180285211</v>
      </c>
      <c r="K176" s="53">
        <f t="shared" si="6"/>
        <v>0.80163337615351304</v>
      </c>
      <c r="L176" s="53"/>
      <c r="N176" s="52">
        <v>35296</v>
      </c>
      <c r="O176" s="51">
        <v>6356</v>
      </c>
      <c r="P176" s="51">
        <v>6380.6000979999999</v>
      </c>
      <c r="Q176" s="51">
        <v>6141.2998049999997</v>
      </c>
      <c r="R176" s="51">
        <v>6202.7001950000003</v>
      </c>
      <c r="S176" s="51">
        <v>6202.7001950000003</v>
      </c>
      <c r="T176" s="51">
        <v>0</v>
      </c>
      <c r="U176" s="53">
        <f t="shared" si="9"/>
        <v>-2.3642700076655476E-2</v>
      </c>
    </row>
    <row r="177" spans="1:21" x14ac:dyDescent="0.2">
      <c r="A177" s="56">
        <v>39387</v>
      </c>
      <c r="B177" s="51">
        <v>65317</v>
      </c>
      <c r="C177" s="51">
        <v>65317</v>
      </c>
      <c r="D177" s="51">
        <v>58096</v>
      </c>
      <c r="E177" s="51">
        <v>63006</v>
      </c>
      <c r="F177" s="51">
        <v>63006</v>
      </c>
      <c r="G177" s="51">
        <v>111714400</v>
      </c>
      <c r="H177" s="53">
        <f t="shared" si="8"/>
        <v>-3.539606234116166E-2</v>
      </c>
      <c r="I177" s="53">
        <f t="shared" si="7"/>
        <v>0.50257559858819034</v>
      </c>
      <c r="J177" s="53">
        <f>(VLOOKUP(DATE(YEAR(A177),MONTH(A177),1),'16. câmbio USD-BRL'!$A$3:$G$2250,2,)/VLOOKUP(DATE(YEAR(A117),MONTH(A117),1),'16. câmbio USD-BRL'!$A$3:$G$2250,2,))^(1/5)-1</f>
        <v>-0.13216399512583499</v>
      </c>
      <c r="K177" s="53">
        <f t="shared" si="6"/>
        <v>0.63473959371402533</v>
      </c>
      <c r="L177" s="53"/>
      <c r="N177" s="52">
        <v>35303</v>
      </c>
      <c r="O177" s="51">
        <v>6214.3999020000001</v>
      </c>
      <c r="P177" s="51">
        <v>6354.7001950000003</v>
      </c>
      <c r="Q177" s="51">
        <v>6016</v>
      </c>
      <c r="R177" s="51">
        <v>6259.3999020000001</v>
      </c>
      <c r="S177" s="51">
        <v>6259.3999020000001</v>
      </c>
      <c r="T177" s="51">
        <v>0</v>
      </c>
      <c r="U177" s="53">
        <f t="shared" si="9"/>
        <v>9.1411329288018095E-3</v>
      </c>
    </row>
    <row r="178" spans="1:21" x14ac:dyDescent="0.2">
      <c r="A178" s="56">
        <v>39417</v>
      </c>
      <c r="B178" s="51">
        <v>63018</v>
      </c>
      <c r="C178" s="51">
        <v>66529</v>
      </c>
      <c r="D178" s="51">
        <v>59414</v>
      </c>
      <c r="E178" s="51">
        <v>63886</v>
      </c>
      <c r="F178" s="51">
        <v>63886</v>
      </c>
      <c r="G178" s="51">
        <v>39270200</v>
      </c>
      <c r="H178" s="53">
        <f t="shared" si="8"/>
        <v>1.3966923785036389E-2</v>
      </c>
      <c r="I178" s="53">
        <f t="shared" si="7"/>
        <v>0.43647974097225339</v>
      </c>
      <c r="J178" s="53">
        <f>(VLOOKUP(DATE(YEAR(A178),MONTH(A178),1),'16. câmbio USD-BRL'!$A$3:$G$2250,2,)/VLOOKUP(DATE(YEAR(A118),MONTH(A118),1),'16. câmbio USD-BRL'!$A$3:$G$2250,2,))^(1/5)-1</f>
        <v>-0.12846797923483877</v>
      </c>
      <c r="K178" s="53">
        <f t="shared" si="6"/>
        <v>0.56494772020709216</v>
      </c>
      <c r="L178" s="53"/>
      <c r="N178" s="52">
        <v>35310</v>
      </c>
      <c r="O178" s="51">
        <v>6269.1000979999999</v>
      </c>
      <c r="P178" s="51">
        <v>6353.3999020000001</v>
      </c>
      <c r="Q178" s="51">
        <v>6132.2998049999997</v>
      </c>
      <c r="R178" s="51">
        <v>6334.6000979999999</v>
      </c>
      <c r="S178" s="51">
        <v>6334.6000979999999</v>
      </c>
      <c r="T178" s="51">
        <v>0</v>
      </c>
      <c r="U178" s="53">
        <f t="shared" si="9"/>
        <v>1.2013962548705681E-2</v>
      </c>
    </row>
    <row r="179" spans="1:21" x14ac:dyDescent="0.2">
      <c r="A179" s="56">
        <v>39448</v>
      </c>
      <c r="B179" s="51">
        <v>63885</v>
      </c>
      <c r="C179" s="51">
        <v>63906</v>
      </c>
      <c r="D179" s="51">
        <v>53011</v>
      </c>
      <c r="E179" s="51">
        <v>59490</v>
      </c>
      <c r="F179" s="51">
        <v>59490</v>
      </c>
      <c r="G179" s="51">
        <v>75006400</v>
      </c>
      <c r="H179" s="53">
        <f t="shared" si="8"/>
        <v>-6.8810067933506525E-2</v>
      </c>
      <c r="I179" s="53">
        <f t="shared" si="7"/>
        <v>0.33260158595045031</v>
      </c>
      <c r="J179" s="53">
        <f>(VLOOKUP(DATE(YEAR(A179),MONTH(A179),1),'16. câmbio USD-BRL'!$A$3:$G$2250,2,)/VLOOKUP(DATE(YEAR(A119),MONTH(A119),1),'16. câmbio USD-BRL'!$A$3:$G$2250,2,))^(1/5)-1</f>
        <v>-0.12877471356403269</v>
      </c>
      <c r="K179" s="53">
        <f t="shared" si="6"/>
        <v>0.461376299514483</v>
      </c>
      <c r="L179" s="53"/>
      <c r="N179" s="52">
        <v>35317</v>
      </c>
      <c r="O179" s="51">
        <v>6386.8999020000001</v>
      </c>
      <c r="P179" s="51">
        <v>6497.1000979999999</v>
      </c>
      <c r="Q179" s="51">
        <v>6330.8999020000001</v>
      </c>
      <c r="R179" s="51">
        <v>6464.2998049999997</v>
      </c>
      <c r="S179" s="51">
        <v>6464.2998049999997</v>
      </c>
      <c r="T179" s="51">
        <v>0</v>
      </c>
      <c r="U179" s="53">
        <f t="shared" si="9"/>
        <v>2.0474805827277009E-2</v>
      </c>
    </row>
    <row r="180" spans="1:21" x14ac:dyDescent="0.2">
      <c r="A180" s="56">
        <v>39479</v>
      </c>
      <c r="B180" s="51">
        <v>59491</v>
      </c>
      <c r="C180" s="51">
        <v>66005</v>
      </c>
      <c r="D180" s="51">
        <v>58030</v>
      </c>
      <c r="E180" s="51">
        <v>63489</v>
      </c>
      <c r="F180" s="51">
        <v>63489</v>
      </c>
      <c r="G180" s="51">
        <v>62925000</v>
      </c>
      <c r="H180" s="53">
        <f t="shared" si="8"/>
        <v>6.7221381744831055E-2</v>
      </c>
      <c r="I180" s="53">
        <f t="shared" si="7"/>
        <v>0.44648227467420032</v>
      </c>
      <c r="J180" s="53">
        <f>(VLOOKUP(DATE(YEAR(A180),MONTH(A180),1),'16. câmbio USD-BRL'!$A$3:$G$2250,2,)/VLOOKUP(DATE(YEAR(A120),MONTH(A120),1),'16. câmbio USD-BRL'!$A$3:$G$2250,2,))^(1/5)-1</f>
        <v>-0.13877699531248033</v>
      </c>
      <c r="K180" s="53">
        <f t="shared" si="6"/>
        <v>0.58525926998668065</v>
      </c>
      <c r="L180" s="53"/>
      <c r="N180" s="52">
        <v>35324</v>
      </c>
      <c r="O180" s="51">
        <v>6539.2998049999997</v>
      </c>
      <c r="P180" s="51">
        <v>6631.5</v>
      </c>
      <c r="Q180" s="51">
        <v>6457.7001950000003</v>
      </c>
      <c r="R180" s="51">
        <v>6588.2998049999997</v>
      </c>
      <c r="S180" s="51">
        <v>6588.2998049999997</v>
      </c>
      <c r="T180" s="51">
        <v>0</v>
      </c>
      <c r="U180" s="53">
        <f t="shared" si="9"/>
        <v>1.9182278628860683E-2</v>
      </c>
    </row>
    <row r="181" spans="1:21" x14ac:dyDescent="0.2">
      <c r="A181" s="56">
        <v>39508</v>
      </c>
      <c r="B181" s="51">
        <v>63496</v>
      </c>
      <c r="C181" s="51">
        <v>65045</v>
      </c>
      <c r="D181" s="51">
        <v>57824</v>
      </c>
      <c r="E181" s="51">
        <v>60968</v>
      </c>
      <c r="F181" s="51">
        <v>60968</v>
      </c>
      <c r="G181" s="51">
        <v>48383600</v>
      </c>
      <c r="H181" s="53">
        <f t="shared" si="8"/>
        <v>-3.9707665894879396E-2</v>
      </c>
      <c r="I181" s="53">
        <f t="shared" si="7"/>
        <v>0.33103372994214597</v>
      </c>
      <c r="J181" s="53">
        <f>(VLOOKUP(DATE(YEAR(A181),MONTH(A181),1),'16. câmbio USD-BRL'!$A$3:$G$2250,2,)/VLOOKUP(DATE(YEAR(A121),MONTH(A121),1),'16. câmbio USD-BRL'!$A$3:$G$2250,2,))^(1/5)-1</f>
        <v>-0.12188076928076375</v>
      </c>
      <c r="K181" s="53">
        <f t="shared" si="6"/>
        <v>0.45291449922290972</v>
      </c>
      <c r="L181" s="53"/>
      <c r="N181" s="52">
        <v>35331</v>
      </c>
      <c r="O181" s="51">
        <v>6588.2998049999997</v>
      </c>
      <c r="P181" s="51">
        <v>6621.2998049999997</v>
      </c>
      <c r="Q181" s="51">
        <v>6453.3999020000001</v>
      </c>
      <c r="R181" s="51">
        <v>6458.8999020000001</v>
      </c>
      <c r="S181" s="51">
        <v>6458.8999020000001</v>
      </c>
      <c r="T181" s="51">
        <v>0</v>
      </c>
      <c r="U181" s="53">
        <f t="shared" si="9"/>
        <v>-1.9640864385344958E-2</v>
      </c>
    </row>
    <row r="182" spans="1:21" x14ac:dyDescent="0.2">
      <c r="A182" s="56">
        <v>39539</v>
      </c>
      <c r="B182" s="51">
        <v>60965</v>
      </c>
      <c r="C182" s="51">
        <v>68038</v>
      </c>
      <c r="D182" s="51">
        <v>60965</v>
      </c>
      <c r="E182" s="51">
        <v>67868</v>
      </c>
      <c r="F182" s="51">
        <v>67868</v>
      </c>
      <c r="G182" s="51">
        <v>21483400</v>
      </c>
      <c r="H182" s="53">
        <f t="shared" si="8"/>
        <v>0.11317412413069161</v>
      </c>
      <c r="I182" s="53">
        <f t="shared" si="7"/>
        <v>0.38630607075741485</v>
      </c>
      <c r="J182" s="53">
        <f>(VLOOKUP(DATE(YEAR(A182),MONTH(A182),1),'16. câmbio USD-BRL'!$A$3:$G$2250,2,)/VLOOKUP(DATE(YEAR(A122),MONTH(A122),1),'16. câmbio USD-BRL'!$A$3:$G$2250,2,))^(1/5)-1</f>
        <v>-0.10601915277638008</v>
      </c>
      <c r="K182" s="53">
        <f t="shared" si="6"/>
        <v>0.49232522353379493</v>
      </c>
      <c r="L182" s="53"/>
      <c r="N182" s="52">
        <v>35338</v>
      </c>
      <c r="O182" s="51">
        <v>6476.6000979999999</v>
      </c>
      <c r="P182" s="51">
        <v>6659.2998049999997</v>
      </c>
      <c r="Q182" s="51">
        <v>6422.5</v>
      </c>
      <c r="R182" s="51">
        <v>6626.8999020000001</v>
      </c>
      <c r="S182" s="51">
        <v>6626.8999020000001</v>
      </c>
      <c r="T182" s="51">
        <v>0</v>
      </c>
      <c r="U182" s="53">
        <f t="shared" si="9"/>
        <v>2.601062139823207E-2</v>
      </c>
    </row>
    <row r="183" spans="1:21" x14ac:dyDescent="0.2">
      <c r="A183" s="56">
        <v>39569</v>
      </c>
      <c r="B183" s="51">
        <v>67869</v>
      </c>
      <c r="C183" s="51">
        <v>73920</v>
      </c>
      <c r="D183" s="51">
        <v>67865</v>
      </c>
      <c r="E183" s="51">
        <v>72593</v>
      </c>
      <c r="F183" s="51">
        <v>72593</v>
      </c>
      <c r="G183" s="51">
        <v>25864000</v>
      </c>
      <c r="H183" s="53">
        <f t="shared" si="8"/>
        <v>6.9620439677020141E-2</v>
      </c>
      <c r="I183" s="53">
        <f t="shared" si="7"/>
        <v>0.38886125353945045</v>
      </c>
      <c r="J183" s="53">
        <f>(VLOOKUP(DATE(YEAR(A183),MONTH(A183),1),'16. câmbio USD-BRL'!$A$3:$G$2250,2,)/VLOOKUP(DATE(YEAR(A123),MONTH(A123),1),'16. câmbio USD-BRL'!$A$3:$G$2250,2,))^(1/5)-1</f>
        <v>-0.113666376161493</v>
      </c>
      <c r="K183" s="53">
        <f t="shared" si="6"/>
        <v>0.50252762970094345</v>
      </c>
      <c r="L183" s="53"/>
      <c r="N183" s="52">
        <v>35345</v>
      </c>
      <c r="O183" s="51">
        <v>6627.2998049999997</v>
      </c>
      <c r="P183" s="51">
        <v>6678.2001950000003</v>
      </c>
      <c r="Q183" s="51">
        <v>6575.2998049999997</v>
      </c>
      <c r="R183" s="51">
        <v>6608.7001950000003</v>
      </c>
      <c r="S183" s="51">
        <v>6608.7001950000003</v>
      </c>
      <c r="T183" s="51">
        <v>0</v>
      </c>
      <c r="U183" s="53">
        <f t="shared" si="9"/>
        <v>-2.7463379965203538E-3</v>
      </c>
    </row>
    <row r="184" spans="1:21" x14ac:dyDescent="0.2">
      <c r="A184" s="56">
        <v>39600</v>
      </c>
      <c r="B184" s="51">
        <v>72593</v>
      </c>
      <c r="C184" s="51">
        <v>72593</v>
      </c>
      <c r="D184" s="51">
        <v>63689</v>
      </c>
      <c r="E184" s="51">
        <v>65018</v>
      </c>
      <c r="F184" s="51">
        <v>65018</v>
      </c>
      <c r="G184" s="51">
        <v>24527600</v>
      </c>
      <c r="H184" s="53">
        <f t="shared" si="8"/>
        <v>-0.10434890416431342</v>
      </c>
      <c r="I184" s="53">
        <f t="shared" si="7"/>
        <v>0.19535961170760396</v>
      </c>
      <c r="J184" s="53">
        <f>(VLOOKUP(DATE(YEAR(A184),MONTH(A184),1),'16. câmbio USD-BRL'!$A$3:$G$2250,2,)/VLOOKUP(DATE(YEAR(A124),MONTH(A124),1),'16. câmbio USD-BRL'!$A$3:$G$2250,2,))^(1/5)-1</f>
        <v>-0.10777493288669637</v>
      </c>
      <c r="K184" s="53">
        <f t="shared" si="6"/>
        <v>0.30313454459430034</v>
      </c>
      <c r="L184" s="53"/>
      <c r="N184" s="52">
        <v>35352</v>
      </c>
      <c r="O184" s="51">
        <v>6631.2998049999997</v>
      </c>
      <c r="P184" s="51">
        <v>6816.1000979999999</v>
      </c>
      <c r="Q184" s="51">
        <v>6578.8999020000001</v>
      </c>
      <c r="R184" s="51">
        <v>6798.1000979999999</v>
      </c>
      <c r="S184" s="51">
        <v>6798.1000979999999</v>
      </c>
      <c r="T184" s="51">
        <v>0</v>
      </c>
      <c r="U184" s="53">
        <f t="shared" si="9"/>
        <v>2.8659176148328802E-2</v>
      </c>
    </row>
    <row r="185" spans="1:21" x14ac:dyDescent="0.2">
      <c r="A185" s="56">
        <v>39630</v>
      </c>
      <c r="B185" s="51">
        <v>65018</v>
      </c>
      <c r="C185" s="51">
        <v>65018</v>
      </c>
      <c r="D185" s="51">
        <v>56418</v>
      </c>
      <c r="E185" s="51">
        <v>59505</v>
      </c>
      <c r="F185" s="51">
        <v>59505</v>
      </c>
      <c r="G185" s="51">
        <v>28042800</v>
      </c>
      <c r="H185" s="53">
        <f t="shared" si="8"/>
        <v>-8.4791903780491507E-2</v>
      </c>
      <c r="I185" s="53">
        <f t="shared" si="7"/>
        <v>9.8222689773545202E-2</v>
      </c>
      <c r="J185" s="53">
        <f>(VLOOKUP(DATE(YEAR(A185),MONTH(A185),1),'16. câmbio USD-BRL'!$A$3:$G$2250,2,)/VLOOKUP(DATE(YEAR(A125),MONTH(A125),1),'16. câmbio USD-BRL'!$A$3:$G$2250,2,))^(1/5)-1</f>
        <v>-0.11989263812913886</v>
      </c>
      <c r="K185" s="53">
        <f t="shared" si="6"/>
        <v>0.21811532790268406</v>
      </c>
      <c r="L185" s="53">
        <f t="shared" ref="L185:L195" si="10">_xlfn.STDEV.S(K125:K185)</f>
        <v>0.22466257485390961</v>
      </c>
      <c r="N185" s="52">
        <v>35359</v>
      </c>
      <c r="O185" s="51">
        <v>6851.5</v>
      </c>
      <c r="P185" s="51">
        <v>6851.5</v>
      </c>
      <c r="Q185" s="51">
        <v>6492.6000979999999</v>
      </c>
      <c r="R185" s="51">
        <v>6503.3999020000001</v>
      </c>
      <c r="S185" s="51">
        <v>6503.3999020000001</v>
      </c>
      <c r="T185" s="51">
        <v>0</v>
      </c>
      <c r="U185" s="53">
        <f t="shared" si="9"/>
        <v>-4.3350376097977761E-2</v>
      </c>
    </row>
    <row r="186" spans="1:21" x14ac:dyDescent="0.2">
      <c r="A186" s="56">
        <v>39661</v>
      </c>
      <c r="B186" s="51">
        <v>59505</v>
      </c>
      <c r="C186" s="51">
        <v>59505</v>
      </c>
      <c r="D186" s="51">
        <v>52345</v>
      </c>
      <c r="E186" s="51">
        <v>55680</v>
      </c>
      <c r="F186" s="51">
        <v>55680</v>
      </c>
      <c r="G186" s="51">
        <v>22831800</v>
      </c>
      <c r="H186" s="53">
        <f t="shared" si="8"/>
        <v>-6.4280312578774867E-2</v>
      </c>
      <c r="I186" s="53">
        <f t="shared" si="7"/>
        <v>1.9089627907828088E-2</v>
      </c>
      <c r="J186" s="53">
        <f>(VLOOKUP(DATE(YEAR(A186),MONTH(A186),1),'16. câmbio USD-BRL'!$A$3:$G$2250,2,)/VLOOKUP(DATE(YEAR(A126),MONTH(A126),1),'16. câmbio USD-BRL'!$A$3:$G$2250,2,))^(1/5)-1</f>
        <v>-0.1135831561697499</v>
      </c>
      <c r="K186" s="53">
        <f t="shared" si="6"/>
        <v>0.13267278407757799</v>
      </c>
      <c r="L186" s="53">
        <f t="shared" si="10"/>
        <v>0.22562534165670411</v>
      </c>
      <c r="N186" s="52">
        <v>35366</v>
      </c>
      <c r="O186" s="51">
        <v>6544.7001950000003</v>
      </c>
      <c r="P186" s="51">
        <v>6670.1000979999999</v>
      </c>
      <c r="Q186" s="51">
        <v>6316.8999020000001</v>
      </c>
      <c r="R186" s="51">
        <v>6641.2001950000003</v>
      </c>
      <c r="S186" s="51">
        <v>6641.2001950000003</v>
      </c>
      <c r="T186" s="51">
        <v>0</v>
      </c>
      <c r="U186" s="53">
        <f t="shared" si="9"/>
        <v>2.118896193937303E-2</v>
      </c>
    </row>
    <row r="187" spans="1:21" x14ac:dyDescent="0.2">
      <c r="A187" s="56">
        <v>39692</v>
      </c>
      <c r="B187" s="51">
        <v>55665</v>
      </c>
      <c r="C187" s="51">
        <v>55665</v>
      </c>
      <c r="D187" s="51">
        <v>43766</v>
      </c>
      <c r="E187" s="51">
        <v>49541</v>
      </c>
      <c r="F187" s="51">
        <v>49541</v>
      </c>
      <c r="G187" s="51">
        <v>35435000</v>
      </c>
      <c r="H187" s="53">
        <f t="shared" si="8"/>
        <v>-0.1102550287356322</v>
      </c>
      <c r="I187" s="53">
        <f t="shared" si="7"/>
        <v>-0.18066650128173323</v>
      </c>
      <c r="J187" s="53">
        <f>(VLOOKUP(DATE(YEAR(A187),MONTH(A187),1),'16. câmbio USD-BRL'!$A$3:$G$2250,2,)/VLOOKUP(DATE(YEAR(A127),MONTH(A127),1),'16. câmbio USD-BRL'!$A$3:$G$2250,2,))^(1/5)-1</f>
        <v>-7.9980051297335653E-2</v>
      </c>
      <c r="K187" s="53">
        <f t="shared" si="6"/>
        <v>-0.10068644998439757</v>
      </c>
      <c r="L187" s="53">
        <f t="shared" si="10"/>
        <v>0.23418324943688937</v>
      </c>
      <c r="N187" s="52">
        <v>35373</v>
      </c>
      <c r="O187" s="51">
        <v>6641.2001950000003</v>
      </c>
      <c r="P187" s="51">
        <v>6757.7998049999997</v>
      </c>
      <c r="Q187" s="51">
        <v>6558.7998049999997</v>
      </c>
      <c r="R187" s="51">
        <v>6559.6000979999999</v>
      </c>
      <c r="S187" s="51">
        <v>6559.6000979999999</v>
      </c>
      <c r="T187" s="51">
        <v>0</v>
      </c>
      <c r="U187" s="53">
        <f t="shared" si="9"/>
        <v>-1.2286950340909097E-2</v>
      </c>
    </row>
    <row r="188" spans="1:21" x14ac:dyDescent="0.2">
      <c r="A188" s="56">
        <v>39722</v>
      </c>
      <c r="B188" s="51">
        <v>49538</v>
      </c>
      <c r="C188" s="51">
        <v>49834</v>
      </c>
      <c r="D188" s="51">
        <v>29435</v>
      </c>
      <c r="E188" s="51">
        <v>37257</v>
      </c>
      <c r="F188" s="51">
        <v>37257</v>
      </c>
      <c r="G188" s="51">
        <v>46438000</v>
      </c>
      <c r="H188" s="53">
        <f t="shared" si="8"/>
        <v>-0.24795623826729374</v>
      </c>
      <c r="I188" s="53">
        <f t="shared" si="7"/>
        <v>-0.42960592792185925</v>
      </c>
      <c r="J188" s="53">
        <f>(VLOOKUP(DATE(YEAR(A188),MONTH(A188),1),'16. câmbio USD-BRL'!$A$3:$G$2250,2,)/VLOOKUP(DATE(YEAR(A128),MONTH(A128),1),'16. câmbio USD-BRL'!$A$3:$G$2250,2,))^(1/5)-1</f>
        <v>-5.465770396039249E-2</v>
      </c>
      <c r="K188" s="53">
        <f t="shared" si="6"/>
        <v>-0.37494822396146676</v>
      </c>
      <c r="L188" s="53">
        <f t="shared" si="10"/>
        <v>0.25217993616433843</v>
      </c>
      <c r="N188" s="52">
        <v>35380</v>
      </c>
      <c r="O188" s="51">
        <v>6595.5</v>
      </c>
      <c r="P188" s="51">
        <v>6624.2998049999997</v>
      </c>
      <c r="Q188" s="51">
        <v>6481.7001950000003</v>
      </c>
      <c r="R188" s="51">
        <v>6523</v>
      </c>
      <c r="S188" s="51">
        <v>6523</v>
      </c>
      <c r="T188" s="51">
        <v>0</v>
      </c>
      <c r="U188" s="53">
        <f t="shared" si="9"/>
        <v>-5.5796233692902986E-3</v>
      </c>
    </row>
    <row r="189" spans="1:21" x14ac:dyDescent="0.2">
      <c r="A189" s="56">
        <v>39753</v>
      </c>
      <c r="B189" s="51">
        <v>37261</v>
      </c>
      <c r="C189" s="51">
        <v>41003</v>
      </c>
      <c r="D189" s="51">
        <v>31081</v>
      </c>
      <c r="E189" s="51">
        <v>36596</v>
      </c>
      <c r="F189" s="51">
        <v>36596</v>
      </c>
      <c r="G189" s="51">
        <v>33453000</v>
      </c>
      <c r="H189" s="53">
        <f t="shared" si="8"/>
        <v>-1.7741632444909672E-2</v>
      </c>
      <c r="I189" s="53">
        <f t="shared" si="7"/>
        <v>-0.41916642859410214</v>
      </c>
      <c r="J189" s="53">
        <f>(VLOOKUP(DATE(YEAR(A189),MONTH(A189),1),'16. câmbio USD-BRL'!$A$3:$G$2250,2,)/VLOOKUP(DATE(YEAR(A129),MONTH(A129),1),'16. câmbio USD-BRL'!$A$3:$G$2250,2,))^(1/5)-1</f>
        <v>-4.8053408003630116E-2</v>
      </c>
      <c r="K189" s="53">
        <f t="shared" ref="K189:K252" si="11">I189-J189</f>
        <v>-0.37111302059047202</v>
      </c>
      <c r="L189" s="53">
        <f t="shared" si="10"/>
        <v>0.26900032279639025</v>
      </c>
      <c r="N189" s="52">
        <v>35387</v>
      </c>
      <c r="O189" s="51">
        <v>6559</v>
      </c>
      <c r="P189" s="51">
        <v>6692.2001950000003</v>
      </c>
      <c r="Q189" s="51">
        <v>6478.8999020000001</v>
      </c>
      <c r="R189" s="51">
        <v>6645.2998049999997</v>
      </c>
      <c r="S189" s="51">
        <v>6645.2998049999997</v>
      </c>
      <c r="T189" s="51">
        <v>0</v>
      </c>
      <c r="U189" s="53">
        <f t="shared" si="9"/>
        <v>1.8749011957688078E-2</v>
      </c>
    </row>
    <row r="190" spans="1:21" x14ac:dyDescent="0.2">
      <c r="A190" s="56">
        <v>39783</v>
      </c>
      <c r="B190" s="51">
        <v>36596</v>
      </c>
      <c r="C190" s="51">
        <v>40498</v>
      </c>
      <c r="D190" s="51">
        <v>33798</v>
      </c>
      <c r="E190" s="51">
        <v>37550</v>
      </c>
      <c r="F190" s="51">
        <v>37550</v>
      </c>
      <c r="G190" s="51">
        <v>32444400</v>
      </c>
      <c r="H190" s="53">
        <f t="shared" si="8"/>
        <v>2.6068422778445788E-2</v>
      </c>
      <c r="I190" s="53">
        <f t="shared" ref="I190:I253" si="12">F190/F178-1</f>
        <v>-0.41223429233321851</v>
      </c>
      <c r="J190" s="53">
        <f>(VLOOKUP(DATE(YEAR(A190),MONTH(A190),1),'16. câmbio USD-BRL'!$A$3:$G$2250,2,)/VLOOKUP(DATE(YEAR(A130),MONTH(A130),1),'16. câmbio USD-BRL'!$A$3:$G$2250,2,))^(1/5)-1</f>
        <v>-4.3540031866246109E-2</v>
      </c>
      <c r="K190" s="53">
        <f t="shared" si="11"/>
        <v>-0.3686942604669724</v>
      </c>
      <c r="L190" s="53">
        <f t="shared" si="10"/>
        <v>0.28130303375752819</v>
      </c>
      <c r="N190" s="52">
        <v>35394</v>
      </c>
      <c r="O190" s="51">
        <v>6689.6000979999999</v>
      </c>
      <c r="P190" s="51">
        <v>6691.7001950000003</v>
      </c>
      <c r="Q190" s="51">
        <v>6562.3999020000001</v>
      </c>
      <c r="R190" s="51">
        <v>6666.1000979999999</v>
      </c>
      <c r="S190" s="51">
        <v>6666.1000979999999</v>
      </c>
      <c r="T190" s="51">
        <v>0</v>
      </c>
      <c r="U190" s="53">
        <f t="shared" si="9"/>
        <v>3.130075934926202E-3</v>
      </c>
    </row>
    <row r="191" spans="1:21" x14ac:dyDescent="0.2">
      <c r="A191" s="56">
        <v>39814</v>
      </c>
      <c r="B191" s="51">
        <v>37550</v>
      </c>
      <c r="C191" s="51">
        <v>42525</v>
      </c>
      <c r="D191" s="51">
        <v>36744</v>
      </c>
      <c r="E191" s="51">
        <v>39301</v>
      </c>
      <c r="F191" s="51">
        <v>39301</v>
      </c>
      <c r="G191" s="51">
        <v>33499800</v>
      </c>
      <c r="H191" s="53">
        <f t="shared" si="8"/>
        <v>4.6631158455392896E-2</v>
      </c>
      <c r="I191" s="53">
        <f t="shared" si="12"/>
        <v>-0.33936796100184907</v>
      </c>
      <c r="J191" s="53">
        <f>(VLOOKUP(DATE(YEAR(A191),MONTH(A191),1),'16. câmbio USD-BRL'!$A$3:$G$2250,2,)/VLOOKUP(DATE(YEAR(A131),MONTH(A131),1),'16. câmbio USD-BRL'!$A$3:$G$2250,2,))^(1/5)-1</f>
        <v>-4.5906857896617081E-2</v>
      </c>
      <c r="K191" s="53">
        <f t="shared" si="11"/>
        <v>-0.29346110310523199</v>
      </c>
      <c r="L191" s="53">
        <f t="shared" si="10"/>
        <v>0.28768136611581602</v>
      </c>
      <c r="N191" s="52">
        <v>35401</v>
      </c>
      <c r="O191" s="51">
        <v>6739.2998049999997</v>
      </c>
      <c r="P191" s="51">
        <v>6964.3999020000001</v>
      </c>
      <c r="Q191" s="51">
        <v>6656.2998049999997</v>
      </c>
      <c r="R191" s="51">
        <v>6872.8999020000001</v>
      </c>
      <c r="S191" s="51">
        <v>6872.8999020000001</v>
      </c>
      <c r="T191" s="51">
        <v>0</v>
      </c>
      <c r="U191" s="53">
        <f t="shared" si="9"/>
        <v>3.1022607065568364E-2</v>
      </c>
    </row>
    <row r="192" spans="1:21" x14ac:dyDescent="0.2">
      <c r="A192" s="56">
        <v>39845</v>
      </c>
      <c r="B192" s="51">
        <v>39296</v>
      </c>
      <c r="C192" s="51">
        <v>43441</v>
      </c>
      <c r="D192" s="51">
        <v>37324</v>
      </c>
      <c r="E192" s="51">
        <v>38183</v>
      </c>
      <c r="F192" s="51">
        <v>38183</v>
      </c>
      <c r="G192" s="51">
        <v>30069600</v>
      </c>
      <c r="H192" s="53">
        <f t="shared" si="8"/>
        <v>-2.8447113305004934E-2</v>
      </c>
      <c r="I192" s="53">
        <f t="shared" si="12"/>
        <v>-0.3985887319063145</v>
      </c>
      <c r="J192" s="53">
        <f>(VLOOKUP(DATE(YEAR(A192),MONTH(A192),1),'16. câmbio USD-BRL'!$A$3:$G$2250,2,)/VLOOKUP(DATE(YEAR(A132),MONTH(A132),1),'16. câmbio USD-BRL'!$A$3:$G$2250,2,))^(1/5)-1</f>
        <v>-3.8229785706080599E-2</v>
      </c>
      <c r="K192" s="53">
        <f t="shared" si="11"/>
        <v>-0.3603589462002339</v>
      </c>
      <c r="L192" s="53">
        <f t="shared" si="10"/>
        <v>0.29089831152797646</v>
      </c>
      <c r="N192" s="52">
        <v>35408</v>
      </c>
      <c r="O192" s="51">
        <v>6912.7998049999997</v>
      </c>
      <c r="P192" s="51">
        <v>6912.7998049999997</v>
      </c>
      <c r="Q192" s="51">
        <v>6613.5</v>
      </c>
      <c r="R192" s="51">
        <v>6680.2001950000003</v>
      </c>
      <c r="S192" s="51">
        <v>6680.2001950000003</v>
      </c>
      <c r="T192" s="51">
        <v>0</v>
      </c>
      <c r="U192" s="53">
        <f t="shared" si="9"/>
        <v>-2.8037612906878562E-2</v>
      </c>
    </row>
    <row r="193" spans="1:21" x14ac:dyDescent="0.2">
      <c r="A193" s="56">
        <v>39873</v>
      </c>
      <c r="B193" s="51">
        <v>38180</v>
      </c>
      <c r="C193" s="51">
        <v>42680</v>
      </c>
      <c r="D193" s="51">
        <v>35722</v>
      </c>
      <c r="E193" s="51">
        <v>40926</v>
      </c>
      <c r="F193" s="51">
        <v>40926</v>
      </c>
      <c r="G193" s="51">
        <v>35335800</v>
      </c>
      <c r="H193" s="53">
        <f t="shared" si="8"/>
        <v>7.183825262551391E-2</v>
      </c>
      <c r="I193" s="53">
        <f t="shared" si="12"/>
        <v>-0.32872982548222018</v>
      </c>
      <c r="J193" s="53">
        <f>(VLOOKUP(DATE(YEAR(A193),MONTH(A193),1),'16. câmbio USD-BRL'!$A$3:$G$2250,2,)/VLOOKUP(DATE(YEAR(A133),MONTH(A133),1),'16. câmbio USD-BRL'!$A$3:$G$2250,2,))^(1/5)-1</f>
        <v>-4.3639244547077904E-2</v>
      </c>
      <c r="K193" s="53">
        <f t="shared" si="11"/>
        <v>-0.28509058093514228</v>
      </c>
      <c r="L193" s="53">
        <f t="shared" si="10"/>
        <v>0.28525059803943148</v>
      </c>
      <c r="N193" s="52">
        <v>35415</v>
      </c>
      <c r="O193" s="51">
        <v>6686.3999020000001</v>
      </c>
      <c r="P193" s="51">
        <v>6965.5</v>
      </c>
      <c r="Q193" s="51">
        <v>6445.1000979999999</v>
      </c>
      <c r="R193" s="51">
        <v>6942.2001950000003</v>
      </c>
      <c r="S193" s="51">
        <v>6942.2001950000003</v>
      </c>
      <c r="T193" s="51">
        <v>0</v>
      </c>
      <c r="U193" s="53">
        <f t="shared" si="9"/>
        <v>3.9220381478402677E-2</v>
      </c>
    </row>
    <row r="194" spans="1:21" x14ac:dyDescent="0.2">
      <c r="A194" s="56">
        <v>39904</v>
      </c>
      <c r="B194" s="51">
        <v>40918</v>
      </c>
      <c r="C194" s="51">
        <v>48126</v>
      </c>
      <c r="D194" s="51">
        <v>40256</v>
      </c>
      <c r="E194" s="51">
        <v>47290</v>
      </c>
      <c r="F194" s="51">
        <v>47290</v>
      </c>
      <c r="G194" s="51">
        <v>34551000</v>
      </c>
      <c r="H194" s="53">
        <f t="shared" si="8"/>
        <v>0.15550017104041447</v>
      </c>
      <c r="I194" s="53">
        <f t="shared" si="12"/>
        <v>-0.30320622384628981</v>
      </c>
      <c r="J194" s="53">
        <f>(VLOOKUP(DATE(YEAR(A194),MONTH(A194),1),'16. câmbio USD-BRL'!$A$3:$G$2250,2,)/VLOOKUP(DATE(YEAR(A134),MONTH(A134),1),'16. câmbio USD-BRL'!$A$3:$G$2250,2,))^(1/5)-1</f>
        <v>-5.663941548739615E-2</v>
      </c>
      <c r="K194" s="53">
        <f t="shared" si="11"/>
        <v>-0.24656680835889366</v>
      </c>
      <c r="L194" s="53">
        <f t="shared" si="10"/>
        <v>0.2840562199599001</v>
      </c>
      <c r="N194" s="52">
        <v>35422</v>
      </c>
      <c r="O194" s="51">
        <v>6931.7998049999997</v>
      </c>
      <c r="P194" s="51">
        <v>7010.2998049999997</v>
      </c>
      <c r="Q194" s="51">
        <v>6868.3999020000001</v>
      </c>
      <c r="R194" s="51">
        <v>7006.8999020000001</v>
      </c>
      <c r="S194" s="51">
        <v>7006.8999020000001</v>
      </c>
      <c r="T194" s="51">
        <v>0</v>
      </c>
      <c r="U194" s="53">
        <f t="shared" si="9"/>
        <v>9.3197696958664533E-3</v>
      </c>
    </row>
    <row r="195" spans="1:21" x14ac:dyDescent="0.2">
      <c r="A195" s="56">
        <v>39934</v>
      </c>
      <c r="B195" s="51">
        <v>47290</v>
      </c>
      <c r="C195" s="51">
        <v>53806</v>
      </c>
      <c r="D195" s="51">
        <v>47290</v>
      </c>
      <c r="E195" s="51">
        <v>53198</v>
      </c>
      <c r="F195" s="51">
        <v>53198</v>
      </c>
      <c r="G195" s="51">
        <v>35239600</v>
      </c>
      <c r="H195" s="53">
        <f t="shared" si="8"/>
        <v>0.1249312751110172</v>
      </c>
      <c r="I195" s="53">
        <f t="shared" si="12"/>
        <v>-0.26717452095932115</v>
      </c>
      <c r="J195" s="53">
        <f>(VLOOKUP(DATE(YEAR(A195),MONTH(A195),1),'16. câmbio USD-BRL'!$A$3:$G$2250,2,)/VLOOKUP(DATE(YEAR(A135),MONTH(A135),1),'16. câmbio USD-BRL'!$A$3:$G$2250,2,))^(1/5)-1</f>
        <v>-9.1701802305662605E-2</v>
      </c>
      <c r="K195" s="53">
        <f t="shared" si="11"/>
        <v>-0.17547271865365854</v>
      </c>
      <c r="L195" s="53">
        <f t="shared" si="10"/>
        <v>0.28900636499937171</v>
      </c>
      <c r="N195" s="52">
        <v>35429</v>
      </c>
      <c r="O195" s="51">
        <v>7052.5</v>
      </c>
      <c r="P195" s="51">
        <v>7052.5</v>
      </c>
      <c r="Q195" s="51">
        <v>6952.5</v>
      </c>
      <c r="R195" s="51">
        <v>6997.7998049999997</v>
      </c>
      <c r="S195" s="51">
        <v>6997.7998049999997</v>
      </c>
      <c r="T195" s="51">
        <v>0</v>
      </c>
      <c r="U195" s="53">
        <f t="shared" si="9"/>
        <v>-1.2987336949686901E-3</v>
      </c>
    </row>
    <row r="196" spans="1:21" x14ac:dyDescent="0.2">
      <c r="A196" s="56">
        <v>39965</v>
      </c>
      <c r="B196" s="51">
        <v>53202</v>
      </c>
      <c r="C196" s="51">
        <v>54955</v>
      </c>
      <c r="D196" s="51">
        <v>49130</v>
      </c>
      <c r="E196" s="51">
        <v>51465</v>
      </c>
      <c r="F196" s="51">
        <v>51465</v>
      </c>
      <c r="G196" s="51">
        <v>30445600</v>
      </c>
      <c r="H196" s="53">
        <f t="shared" si="8"/>
        <v>-3.257641264709199E-2</v>
      </c>
      <c r="I196" s="53">
        <f t="shared" si="12"/>
        <v>-0.20844996770125201</v>
      </c>
      <c r="J196" s="53">
        <f>(VLOOKUP(DATE(YEAR(A196),MONTH(A196),1),'16. câmbio USD-BRL'!$A$3:$G$2250,2,)/VLOOKUP(DATE(YEAR(A136),MONTH(A136),1),'16. câmbio USD-BRL'!$A$3:$G$2250,2,))^(1/5)-1</f>
        <v>-8.7487075912157319E-2</v>
      </c>
      <c r="K196" s="53">
        <f t="shared" si="11"/>
        <v>-0.1209628917890947</v>
      </c>
      <c r="L196" s="53">
        <f t="shared" ref="L196:L259" si="13">_xlfn.STDEV.S(K136:K196)</f>
        <v>0.29310054693009874</v>
      </c>
      <c r="N196" s="52">
        <v>35436</v>
      </c>
      <c r="O196" s="51">
        <v>7171.7001950000003</v>
      </c>
      <c r="P196" s="51">
        <v>7493.3999020000001</v>
      </c>
      <c r="Q196" s="51">
        <v>6993.6000979999999</v>
      </c>
      <c r="R196" s="51">
        <v>7478.2998049999997</v>
      </c>
      <c r="S196" s="51">
        <v>7478.2998049999997</v>
      </c>
      <c r="T196" s="51">
        <v>0</v>
      </c>
      <c r="U196" s="53">
        <f t="shared" si="9"/>
        <v>6.8664439308006253E-2</v>
      </c>
    </row>
    <row r="197" spans="1:21" x14ac:dyDescent="0.2">
      <c r="A197" s="56">
        <v>39995</v>
      </c>
      <c r="B197" s="51">
        <v>51464</v>
      </c>
      <c r="C197" s="51">
        <v>55083</v>
      </c>
      <c r="D197" s="51">
        <v>48262</v>
      </c>
      <c r="E197" s="51">
        <v>54766</v>
      </c>
      <c r="F197" s="51">
        <v>54766</v>
      </c>
      <c r="G197" s="51">
        <v>29458000</v>
      </c>
      <c r="H197" s="53">
        <f t="shared" ref="H197:H260" si="14">F197/F196-1</f>
        <v>6.4140678130768514E-2</v>
      </c>
      <c r="I197" s="53">
        <f t="shared" si="12"/>
        <v>-7.9640366355768433E-2</v>
      </c>
      <c r="J197" s="53">
        <f>(VLOOKUP(DATE(YEAR(A197),MONTH(A197),1),'16. câmbio USD-BRL'!$A$3:$G$2250,2,)/VLOOKUP(DATE(YEAR(A137),MONTH(A137),1),'16. câmbio USD-BRL'!$A$3:$G$2250,2,))^(1/5)-1</f>
        <v>-9.2947321948493089E-2</v>
      </c>
      <c r="K197" s="53">
        <f t="shared" si="11"/>
        <v>1.3306955592724656E-2</v>
      </c>
      <c r="L197" s="53">
        <f t="shared" si="13"/>
        <v>0.2928937229354599</v>
      </c>
      <c r="N197" s="52">
        <v>35443</v>
      </c>
      <c r="O197" s="51">
        <v>7478.2998049999997</v>
      </c>
      <c r="P197" s="51">
        <v>7827.2998049999997</v>
      </c>
      <c r="Q197" s="51">
        <v>7360.2998049999997</v>
      </c>
      <c r="R197" s="51">
        <v>7816.2998049999997</v>
      </c>
      <c r="S197" s="51">
        <v>7816.2998049999997</v>
      </c>
      <c r="T197" s="51">
        <v>0</v>
      </c>
      <c r="U197" s="53">
        <f t="shared" ref="U197:U260" si="15">S197/S196-1</f>
        <v>4.5197439098926262E-2</v>
      </c>
    </row>
    <row r="198" spans="1:21" x14ac:dyDescent="0.2">
      <c r="A198" s="56">
        <v>40026</v>
      </c>
      <c r="B198" s="51">
        <v>54766</v>
      </c>
      <c r="C198" s="51">
        <v>58634</v>
      </c>
      <c r="D198" s="51">
        <v>54766</v>
      </c>
      <c r="E198" s="51">
        <v>56489</v>
      </c>
      <c r="F198" s="51">
        <v>56489</v>
      </c>
      <c r="G198" s="51">
        <v>27932200</v>
      </c>
      <c r="H198" s="53">
        <f t="shared" si="14"/>
        <v>3.1461125515831023E-2</v>
      </c>
      <c r="I198" s="53">
        <f t="shared" si="12"/>
        <v>1.4529454022988553E-2</v>
      </c>
      <c r="J198" s="53">
        <f>(VLOOKUP(DATE(YEAR(A198),MONTH(A198),1),'16. câmbio USD-BRL'!$A$3:$G$2250,2,)/VLOOKUP(DATE(YEAR(A138),MONTH(A138),1),'16. câmbio USD-BRL'!$A$3:$G$2250,2,))^(1/5)-1</f>
        <v>-8.4715168333995949E-2</v>
      </c>
      <c r="K198" s="53">
        <f t="shared" si="11"/>
        <v>9.9244622356984502E-2</v>
      </c>
      <c r="L198" s="53">
        <f t="shared" si="13"/>
        <v>0.29113365283198572</v>
      </c>
      <c r="N198" s="52">
        <v>35450</v>
      </c>
      <c r="O198" s="51">
        <v>7836.2001950000003</v>
      </c>
      <c r="P198" s="51">
        <v>7931.6000979999999</v>
      </c>
      <c r="Q198" s="51">
        <v>7734.7001950000003</v>
      </c>
      <c r="R198" s="51">
        <v>7759.7998049999997</v>
      </c>
      <c r="S198" s="51">
        <v>7759.7998049999997</v>
      </c>
      <c r="T198" s="51">
        <v>0</v>
      </c>
      <c r="U198" s="53">
        <f t="shared" si="15"/>
        <v>-7.2284842456858955E-3</v>
      </c>
    </row>
    <row r="199" spans="1:21" x14ac:dyDescent="0.2">
      <c r="A199" s="56">
        <v>40057</v>
      </c>
      <c r="B199" s="51">
        <v>56489</v>
      </c>
      <c r="C199" s="51">
        <v>62017</v>
      </c>
      <c r="D199" s="51">
        <v>55339</v>
      </c>
      <c r="E199" s="51">
        <v>61518</v>
      </c>
      <c r="F199" s="51">
        <v>61518</v>
      </c>
      <c r="G199" s="51">
        <v>28071600</v>
      </c>
      <c r="H199" s="53">
        <f t="shared" si="14"/>
        <v>8.9026182088548289E-2</v>
      </c>
      <c r="I199" s="53">
        <f t="shared" si="12"/>
        <v>0.24175935084071787</v>
      </c>
      <c r="J199" s="53">
        <f>(VLOOKUP(DATE(YEAR(A199),MONTH(A199),1),'16. câmbio USD-BRL'!$A$3:$G$2250,2,)/VLOOKUP(DATE(YEAR(A139),MONTH(A139),1),'16. câmbio USD-BRL'!$A$3:$G$2250,2,))^(1/5)-1</f>
        <v>-9.1321586392924203E-2</v>
      </c>
      <c r="K199" s="53">
        <f t="shared" si="11"/>
        <v>0.33308093723364207</v>
      </c>
      <c r="L199" s="53">
        <f t="shared" si="13"/>
        <v>0.29052137328561928</v>
      </c>
      <c r="N199" s="52">
        <v>35457</v>
      </c>
      <c r="O199" s="51">
        <v>7832.7001950000003</v>
      </c>
      <c r="P199" s="51">
        <v>7991.7998049999997</v>
      </c>
      <c r="Q199" s="51">
        <v>7720.3999020000001</v>
      </c>
      <c r="R199" s="51">
        <v>7964.7001950000003</v>
      </c>
      <c r="S199" s="51">
        <v>7964.7001950000003</v>
      </c>
      <c r="T199" s="51">
        <v>0</v>
      </c>
      <c r="U199" s="53">
        <f t="shared" si="15"/>
        <v>2.6405370647316628E-2</v>
      </c>
    </row>
    <row r="200" spans="1:21" x14ac:dyDescent="0.2">
      <c r="A200" s="56">
        <v>40087</v>
      </c>
      <c r="B200" s="51">
        <v>61519</v>
      </c>
      <c r="C200" s="51">
        <v>67530</v>
      </c>
      <c r="D200" s="51">
        <v>59678</v>
      </c>
      <c r="E200" s="51">
        <v>61546</v>
      </c>
      <c r="F200" s="51">
        <v>61546</v>
      </c>
      <c r="G200" s="51">
        <v>33944200</v>
      </c>
      <c r="H200" s="53">
        <f t="shared" si="14"/>
        <v>4.5515133781992567E-4</v>
      </c>
      <c r="I200" s="53">
        <f t="shared" si="12"/>
        <v>0.6519311807177175</v>
      </c>
      <c r="J200" s="53">
        <f>(VLOOKUP(DATE(YEAR(A200),MONTH(A200),1),'16. câmbio USD-BRL'!$A$3:$G$2250,2,)/VLOOKUP(DATE(YEAR(A140),MONTH(A140),1),'16. câmbio USD-BRL'!$A$3:$G$2250,2,))^(1/5)-1</f>
        <v>-9.2124731169099916E-2</v>
      </c>
      <c r="K200" s="53">
        <f t="shared" si="11"/>
        <v>0.74405591188681741</v>
      </c>
      <c r="L200" s="53">
        <f t="shared" si="13"/>
        <v>0.29713463171576704</v>
      </c>
      <c r="N200" s="52">
        <v>35464</v>
      </c>
      <c r="O200" s="51">
        <v>8104.1000979999999</v>
      </c>
      <c r="P200" s="51">
        <v>8232.4003909999992</v>
      </c>
      <c r="Q200" s="51">
        <v>7963.2998049999997</v>
      </c>
      <c r="R200" s="51">
        <v>8147.8999020000001</v>
      </c>
      <c r="S200" s="51">
        <v>8147.8999020000001</v>
      </c>
      <c r="T200" s="51">
        <v>0</v>
      </c>
      <c r="U200" s="53">
        <f t="shared" si="15"/>
        <v>2.3001456742214543E-2</v>
      </c>
    </row>
    <row r="201" spans="1:21" x14ac:dyDescent="0.2">
      <c r="A201" s="56">
        <v>40118</v>
      </c>
      <c r="B201" s="51">
        <v>61539</v>
      </c>
      <c r="C201" s="51">
        <v>68060</v>
      </c>
      <c r="D201" s="51">
        <v>60724</v>
      </c>
      <c r="E201" s="51">
        <v>67044</v>
      </c>
      <c r="F201" s="51">
        <v>67044</v>
      </c>
      <c r="G201" s="51">
        <v>30950400</v>
      </c>
      <c r="H201" s="53">
        <f t="shared" si="14"/>
        <v>8.9331556884281627E-2</v>
      </c>
      <c r="I201" s="53">
        <f t="shared" si="12"/>
        <v>0.83200349765001635</v>
      </c>
      <c r="J201" s="53">
        <f>(VLOOKUP(DATE(YEAR(A201),MONTH(A201),1),'16. câmbio USD-BRL'!$A$3:$G$2250,2,)/VLOOKUP(DATE(YEAR(A141),MONTH(A141),1),'16. câmbio USD-BRL'!$A$3:$G$2250,2,))^(1/5)-1</f>
        <v>-8.385042186898306E-2</v>
      </c>
      <c r="K201" s="53">
        <f t="shared" si="11"/>
        <v>0.91585391951899942</v>
      </c>
      <c r="L201" s="53">
        <f t="shared" si="13"/>
        <v>0.30910446058253743</v>
      </c>
      <c r="N201" s="52">
        <v>35471</v>
      </c>
      <c r="O201" s="51">
        <v>8125.2001950000003</v>
      </c>
      <c r="P201" s="51">
        <v>8931.5</v>
      </c>
      <c r="Q201" s="51">
        <v>8051.6000979999999</v>
      </c>
      <c r="R201" s="51">
        <v>8700</v>
      </c>
      <c r="S201" s="51">
        <v>8700</v>
      </c>
      <c r="T201" s="51">
        <v>0</v>
      </c>
      <c r="U201" s="53">
        <f t="shared" si="15"/>
        <v>6.7759803708987709E-2</v>
      </c>
    </row>
    <row r="202" spans="1:21" x14ac:dyDescent="0.2">
      <c r="A202" s="56">
        <v>40148</v>
      </c>
      <c r="B202" s="51">
        <v>67051</v>
      </c>
      <c r="C202" s="51">
        <v>69785</v>
      </c>
      <c r="D202" s="51">
        <v>65925</v>
      </c>
      <c r="E202" s="51">
        <v>68588</v>
      </c>
      <c r="F202" s="51">
        <v>68588</v>
      </c>
      <c r="G202" s="51">
        <v>25856400</v>
      </c>
      <c r="H202" s="53">
        <f t="shared" si="14"/>
        <v>2.302965216872499E-2</v>
      </c>
      <c r="I202" s="53">
        <f t="shared" si="12"/>
        <v>0.82657789613848198</v>
      </c>
      <c r="J202" s="53">
        <f>(VLOOKUP(DATE(YEAR(A202),MONTH(A202),1),'16. câmbio USD-BRL'!$A$3:$G$2250,2,)/VLOOKUP(DATE(YEAR(A142),MONTH(A142),1),'16. câmbio USD-BRL'!$A$3:$G$2250,2,))^(1/5)-1</f>
        <v>-8.0791856373727988E-2</v>
      </c>
      <c r="K202" s="53">
        <f t="shared" si="11"/>
        <v>0.90736975251220997</v>
      </c>
      <c r="L202" s="53">
        <f t="shared" si="13"/>
        <v>0.31978350916094628</v>
      </c>
      <c r="N202" s="52">
        <v>35478</v>
      </c>
      <c r="O202" s="51">
        <v>8824</v>
      </c>
      <c r="P202" s="51">
        <v>9062.9003909999992</v>
      </c>
      <c r="Q202" s="51">
        <v>8635.0996090000008</v>
      </c>
      <c r="R202" s="51">
        <v>8719.5</v>
      </c>
      <c r="S202" s="51">
        <v>8719.5</v>
      </c>
      <c r="T202" s="51">
        <v>0</v>
      </c>
      <c r="U202" s="53">
        <f t="shared" si="15"/>
        <v>2.2413793103448487E-3</v>
      </c>
    </row>
    <row r="203" spans="1:21" x14ac:dyDescent="0.2">
      <c r="A203" s="56">
        <v>40179</v>
      </c>
      <c r="B203" s="51">
        <v>68587</v>
      </c>
      <c r="C203" s="51">
        <v>71068</v>
      </c>
      <c r="D203" s="51">
        <v>64541</v>
      </c>
      <c r="E203" s="51">
        <v>65402</v>
      </c>
      <c r="F203" s="51">
        <v>65402</v>
      </c>
      <c r="G203" s="51">
        <v>32866000</v>
      </c>
      <c r="H203" s="53">
        <f t="shared" si="14"/>
        <v>-4.6451274275383425E-2</v>
      </c>
      <c r="I203" s="53">
        <f t="shared" si="12"/>
        <v>0.66413068369761574</v>
      </c>
      <c r="J203" s="53">
        <f>(VLOOKUP(DATE(YEAR(A203),MONTH(A203),1),'16. câmbio USD-BRL'!$A$3:$G$2250,2,)/VLOOKUP(DATE(YEAR(A143),MONTH(A143),1),'16. câmbio USD-BRL'!$A$3:$G$2250,2,))^(1/5)-1</f>
        <v>-6.292551319936035E-2</v>
      </c>
      <c r="K203" s="53">
        <f t="shared" si="11"/>
        <v>0.72705619689697609</v>
      </c>
      <c r="L203" s="53">
        <f t="shared" si="13"/>
        <v>0.32419414800231494</v>
      </c>
      <c r="N203" s="52">
        <v>35485</v>
      </c>
      <c r="O203" s="51">
        <v>8964.9003909999992</v>
      </c>
      <c r="P203" s="51">
        <v>9181.0996090000008</v>
      </c>
      <c r="Q203" s="51">
        <v>8645.2998050000006</v>
      </c>
      <c r="R203" s="51">
        <v>8828.7001949999994</v>
      </c>
      <c r="S203" s="51">
        <v>8828.7001949999994</v>
      </c>
      <c r="T203" s="51">
        <v>0</v>
      </c>
      <c r="U203" s="53">
        <f t="shared" si="15"/>
        <v>1.2523676242903736E-2</v>
      </c>
    </row>
    <row r="204" spans="1:21" x14ac:dyDescent="0.2">
      <c r="A204" s="56">
        <v>40210</v>
      </c>
      <c r="B204" s="51">
        <v>65402</v>
      </c>
      <c r="C204" s="51">
        <v>68120</v>
      </c>
      <c r="D204" s="51">
        <v>61341</v>
      </c>
      <c r="E204" s="51">
        <v>66503</v>
      </c>
      <c r="F204" s="51">
        <v>66503</v>
      </c>
      <c r="G204" s="51">
        <v>27096400</v>
      </c>
      <c r="H204" s="53">
        <f t="shared" si="14"/>
        <v>1.6834347573468689E-2</v>
      </c>
      <c r="I204" s="53">
        <f t="shared" si="12"/>
        <v>0.7416913286017337</v>
      </c>
      <c r="J204" s="53">
        <f>(VLOOKUP(DATE(YEAR(A204),MONTH(A204),1),'16. câmbio USD-BRL'!$A$3:$G$2250,2,)/VLOOKUP(DATE(YEAR(A144),MONTH(A144),1),'16. câmbio USD-BRL'!$A$3:$G$2250,2,))^(1/5)-1</f>
        <v>-6.9410687479882327E-2</v>
      </c>
      <c r="K204" s="53">
        <f t="shared" si="11"/>
        <v>0.81110201608161603</v>
      </c>
      <c r="L204" s="53">
        <f t="shared" si="13"/>
        <v>0.32952301477981383</v>
      </c>
      <c r="N204" s="52">
        <v>35492</v>
      </c>
      <c r="O204" s="51">
        <v>8982</v>
      </c>
      <c r="P204" s="51">
        <v>9224</v>
      </c>
      <c r="Q204" s="51">
        <v>8707</v>
      </c>
      <c r="R204" s="51">
        <v>9181</v>
      </c>
      <c r="S204" s="51">
        <v>9181</v>
      </c>
      <c r="T204" s="51">
        <v>0</v>
      </c>
      <c r="U204" s="53">
        <f t="shared" si="15"/>
        <v>3.9903926650439514E-2</v>
      </c>
    </row>
    <row r="205" spans="1:21" x14ac:dyDescent="0.2">
      <c r="A205" s="56">
        <v>40238</v>
      </c>
      <c r="B205" s="51">
        <v>66511</v>
      </c>
      <c r="C205" s="51">
        <v>70486</v>
      </c>
      <c r="D205" s="51">
        <v>66511</v>
      </c>
      <c r="E205" s="51">
        <v>70372</v>
      </c>
      <c r="F205" s="51">
        <v>70372</v>
      </c>
      <c r="G205" s="51">
        <v>37817200</v>
      </c>
      <c r="H205" s="53">
        <f t="shared" si="14"/>
        <v>5.8177826564215218E-2</v>
      </c>
      <c r="I205" s="53">
        <f t="shared" si="12"/>
        <v>0.71949372037335668</v>
      </c>
      <c r="J205" s="53">
        <f>(VLOOKUP(DATE(YEAR(A205),MONTH(A205),1),'16. câmbio USD-BRL'!$A$3:$G$2250,2,)/VLOOKUP(DATE(YEAR(A145),MONTH(A145),1),'16. câmbio USD-BRL'!$A$3:$G$2250,2,))^(1/5)-1</f>
        <v>-7.8198514511097161E-2</v>
      </c>
      <c r="K205" s="53">
        <f t="shared" si="11"/>
        <v>0.79769223488445384</v>
      </c>
      <c r="L205" s="53">
        <f t="shared" si="13"/>
        <v>0.33555486596168072</v>
      </c>
      <c r="N205" s="52">
        <v>35499</v>
      </c>
      <c r="O205" s="51">
        <v>9423</v>
      </c>
      <c r="P205" s="51">
        <v>9568</v>
      </c>
      <c r="Q205" s="51">
        <v>9180</v>
      </c>
      <c r="R205" s="51">
        <v>9499</v>
      </c>
      <c r="S205" s="51">
        <v>9499</v>
      </c>
      <c r="T205" s="51">
        <v>0</v>
      </c>
      <c r="U205" s="53">
        <f t="shared" si="15"/>
        <v>3.4636749809388911E-2</v>
      </c>
    </row>
    <row r="206" spans="1:21" x14ac:dyDescent="0.2">
      <c r="A206" s="56">
        <v>40269</v>
      </c>
      <c r="B206" s="51">
        <v>70375</v>
      </c>
      <c r="C206" s="51">
        <v>71989</v>
      </c>
      <c r="D206" s="51">
        <v>65914</v>
      </c>
      <c r="E206" s="51">
        <v>67530</v>
      </c>
      <c r="F206" s="51">
        <v>67530</v>
      </c>
      <c r="G206" s="51">
        <v>34294000</v>
      </c>
      <c r="H206" s="53">
        <f t="shared" si="14"/>
        <v>-4.0385380549082028E-2</v>
      </c>
      <c r="I206" s="53">
        <f t="shared" si="12"/>
        <v>0.42799746246563752</v>
      </c>
      <c r="J206" s="53">
        <f>(VLOOKUP(DATE(YEAR(A206),MONTH(A206),1),'16. câmbio USD-BRL'!$A$3:$G$2250,2,)/VLOOKUP(DATE(YEAR(A146),MONTH(A146),1),'16. câmbio USD-BRL'!$A$3:$G$2250,2,))^(1/5)-1</f>
        <v>-7.2267700079372332E-2</v>
      </c>
      <c r="K206" s="53">
        <f t="shared" si="11"/>
        <v>0.50026516254500986</v>
      </c>
      <c r="L206" s="53">
        <f t="shared" si="13"/>
        <v>0.33552117383322394</v>
      </c>
      <c r="N206" s="52">
        <v>35506</v>
      </c>
      <c r="O206" s="51">
        <v>9507</v>
      </c>
      <c r="P206" s="51">
        <v>9507</v>
      </c>
      <c r="Q206" s="51">
        <v>9043</v>
      </c>
      <c r="R206" s="51">
        <v>9302</v>
      </c>
      <c r="S206" s="51">
        <v>9302</v>
      </c>
      <c r="T206" s="51">
        <v>0</v>
      </c>
      <c r="U206" s="53">
        <f t="shared" si="15"/>
        <v>-2.0739025160543267E-2</v>
      </c>
    </row>
    <row r="207" spans="1:21" x14ac:dyDescent="0.2">
      <c r="A207" s="56">
        <v>40299</v>
      </c>
      <c r="B207" s="51">
        <v>67534</v>
      </c>
      <c r="C207" s="51">
        <v>67969</v>
      </c>
      <c r="D207" s="51">
        <v>57634</v>
      </c>
      <c r="E207" s="51">
        <v>63047</v>
      </c>
      <c r="F207" s="51">
        <v>63047</v>
      </c>
      <c r="G207" s="51">
        <v>52407200</v>
      </c>
      <c r="H207" s="53">
        <f t="shared" si="14"/>
        <v>-6.6385310232489281E-2</v>
      </c>
      <c r="I207" s="53">
        <f t="shared" si="12"/>
        <v>0.18513853904282107</v>
      </c>
      <c r="J207" s="53">
        <f>(VLOOKUP(DATE(YEAR(A207),MONTH(A207),1),'16. câmbio USD-BRL'!$A$3:$G$2250,2,)/VLOOKUP(DATE(YEAR(A147),MONTH(A147),1),'16. câmbio USD-BRL'!$A$3:$G$2250,2,))^(1/5)-1</f>
        <v>-5.4560672309739267E-2</v>
      </c>
      <c r="K207" s="53">
        <f t="shared" si="11"/>
        <v>0.23969921135256034</v>
      </c>
      <c r="L207" s="53">
        <f t="shared" si="13"/>
        <v>0.33532640413529596</v>
      </c>
      <c r="N207" s="52">
        <v>35513</v>
      </c>
      <c r="O207" s="51">
        <v>9332</v>
      </c>
      <c r="P207" s="51">
        <v>9472</v>
      </c>
      <c r="Q207" s="51">
        <v>9190</v>
      </c>
      <c r="R207" s="51">
        <v>9272</v>
      </c>
      <c r="S207" s="51">
        <v>9272</v>
      </c>
      <c r="T207" s="51">
        <v>0</v>
      </c>
      <c r="U207" s="53">
        <f t="shared" si="15"/>
        <v>-3.2251128789507755E-3</v>
      </c>
    </row>
    <row r="208" spans="1:21" x14ac:dyDescent="0.2">
      <c r="A208" s="56">
        <v>40330</v>
      </c>
      <c r="B208" s="51">
        <v>63033</v>
      </c>
      <c r="C208" s="51">
        <v>65831</v>
      </c>
      <c r="D208" s="51">
        <v>60936</v>
      </c>
      <c r="E208" s="51">
        <v>60936</v>
      </c>
      <c r="F208" s="51">
        <v>60936</v>
      </c>
      <c r="G208" s="51">
        <v>36575200</v>
      </c>
      <c r="H208" s="53">
        <f t="shared" si="14"/>
        <v>-3.3482957158944893E-2</v>
      </c>
      <c r="I208" s="53">
        <f t="shared" si="12"/>
        <v>0.18402798018070543</v>
      </c>
      <c r="J208" s="53">
        <f>(VLOOKUP(DATE(YEAR(A208),MONTH(A208),1),'16. câmbio USD-BRL'!$A$3:$G$2250,2,)/VLOOKUP(DATE(YEAR(A148),MONTH(A148),1),'16. câmbio USD-BRL'!$A$3:$G$2250,2,))^(1/5)-1</f>
        <v>-5.0416735036808102E-2</v>
      </c>
      <c r="K208" s="53">
        <f t="shared" si="11"/>
        <v>0.23444471521751353</v>
      </c>
      <c r="L208" s="53">
        <f t="shared" si="13"/>
        <v>0.33531859754390364</v>
      </c>
      <c r="N208" s="52">
        <v>35520</v>
      </c>
      <c r="O208" s="51">
        <v>9272</v>
      </c>
      <c r="P208" s="51">
        <v>9705</v>
      </c>
      <c r="Q208" s="51">
        <v>8982</v>
      </c>
      <c r="R208" s="51">
        <v>9705</v>
      </c>
      <c r="S208" s="51">
        <v>9705</v>
      </c>
      <c r="T208" s="51">
        <v>0</v>
      </c>
      <c r="U208" s="53">
        <f t="shared" si="15"/>
        <v>4.669974115616915E-2</v>
      </c>
    </row>
    <row r="209" spans="1:21" x14ac:dyDescent="0.2">
      <c r="A209" s="56">
        <v>40360</v>
      </c>
      <c r="B209" s="51">
        <v>60935</v>
      </c>
      <c r="C209" s="51">
        <v>67608</v>
      </c>
      <c r="D209" s="51">
        <v>60056</v>
      </c>
      <c r="E209" s="51">
        <v>67515</v>
      </c>
      <c r="F209" s="51">
        <v>67515</v>
      </c>
      <c r="G209" s="51">
        <v>34777400</v>
      </c>
      <c r="H209" s="53">
        <f t="shared" si="14"/>
        <v>0.10796573454115799</v>
      </c>
      <c r="I209" s="53">
        <f t="shared" si="12"/>
        <v>0.23279041741226303</v>
      </c>
      <c r="J209" s="53">
        <f>(VLOOKUP(DATE(YEAR(A209),MONTH(A209),1),'16. câmbio USD-BRL'!$A$3:$G$2250,2,)/VLOOKUP(DATE(YEAR(A149),MONTH(A149),1),'16. câmbio USD-BRL'!$A$3:$G$2250,2,))^(1/5)-1</f>
        <v>-5.9214692273172442E-2</v>
      </c>
      <c r="K209" s="53">
        <f t="shared" si="11"/>
        <v>0.29200510968543547</v>
      </c>
      <c r="L209" s="53">
        <f t="shared" si="13"/>
        <v>0.33451331601480017</v>
      </c>
      <c r="N209" s="52">
        <v>35527</v>
      </c>
      <c r="O209" s="51">
        <v>9937</v>
      </c>
      <c r="P209" s="51">
        <v>9937</v>
      </c>
      <c r="Q209" s="51">
        <v>9502</v>
      </c>
      <c r="R209" s="51">
        <v>9518</v>
      </c>
      <c r="S209" s="51">
        <v>9518</v>
      </c>
      <c r="T209" s="51">
        <v>0</v>
      </c>
      <c r="U209" s="53">
        <f t="shared" si="15"/>
        <v>-1.92684183410613E-2</v>
      </c>
    </row>
    <row r="210" spans="1:21" x14ac:dyDescent="0.2">
      <c r="A210" s="56">
        <v>40391</v>
      </c>
      <c r="B210" s="51">
        <v>67524</v>
      </c>
      <c r="C210" s="51">
        <v>68754</v>
      </c>
      <c r="D210" s="51">
        <v>63804</v>
      </c>
      <c r="E210" s="51">
        <v>65145</v>
      </c>
      <c r="F210" s="51">
        <v>65145</v>
      </c>
      <c r="G210" s="51">
        <v>38356200</v>
      </c>
      <c r="H210" s="53">
        <f t="shared" si="14"/>
        <v>-3.5103310375472097E-2</v>
      </c>
      <c r="I210" s="53">
        <f t="shared" si="12"/>
        <v>0.15323337286905425</v>
      </c>
      <c r="J210" s="53">
        <f>(VLOOKUP(DATE(YEAR(A210),MONTH(A210),1),'16. câmbio USD-BRL'!$A$3:$G$2250,2,)/VLOOKUP(DATE(YEAR(A150),MONTH(A150),1),'16. câmbio USD-BRL'!$A$3:$G$2250,2,))^(1/5)-1</f>
        <v>-5.7158256160763754E-2</v>
      </c>
      <c r="K210" s="53">
        <f t="shared" si="11"/>
        <v>0.21039162902981801</v>
      </c>
      <c r="L210" s="53">
        <f t="shared" si="13"/>
        <v>0.3337014048070292</v>
      </c>
      <c r="N210" s="52">
        <v>35534</v>
      </c>
      <c r="O210" s="51">
        <v>9538</v>
      </c>
      <c r="P210" s="51">
        <v>9610</v>
      </c>
      <c r="Q210" s="51">
        <v>9360</v>
      </c>
      <c r="R210" s="51">
        <v>9422</v>
      </c>
      <c r="S210" s="51">
        <v>9422</v>
      </c>
      <c r="T210" s="51">
        <v>0</v>
      </c>
      <c r="U210" s="53">
        <f t="shared" si="15"/>
        <v>-1.0086152553057337E-2</v>
      </c>
    </row>
    <row r="211" spans="1:21" x14ac:dyDescent="0.2">
      <c r="A211" s="56">
        <v>40422</v>
      </c>
      <c r="B211" s="51">
        <v>65154</v>
      </c>
      <c r="C211" s="51">
        <v>69737</v>
      </c>
      <c r="D211" s="51">
        <v>65154</v>
      </c>
      <c r="E211" s="51">
        <v>69430</v>
      </c>
      <c r="F211" s="51">
        <v>69430</v>
      </c>
      <c r="G211" s="51">
        <v>43837400</v>
      </c>
      <c r="H211" s="53">
        <f t="shared" si="14"/>
        <v>6.5776345076368203E-2</v>
      </c>
      <c r="I211" s="53">
        <f t="shared" si="12"/>
        <v>0.12861276374394492</v>
      </c>
      <c r="J211" s="53">
        <f>(VLOOKUP(DATE(YEAR(A211),MONTH(A211),1),'16. câmbio USD-BRL'!$A$3:$G$2250,2,)/VLOOKUP(DATE(YEAR(A151),MONTH(A151),1),'16. câmbio USD-BRL'!$A$3:$G$2250,2,))^(1/5)-1</f>
        <v>-5.4001689449199142E-2</v>
      </c>
      <c r="K211" s="53">
        <f t="shared" si="11"/>
        <v>0.18261445319314407</v>
      </c>
      <c r="L211" s="53">
        <f t="shared" si="13"/>
        <v>0.33366565384734381</v>
      </c>
      <c r="N211" s="52">
        <v>35541</v>
      </c>
      <c r="O211" s="51">
        <v>9480</v>
      </c>
      <c r="P211" s="51">
        <v>9756</v>
      </c>
      <c r="Q211" s="51">
        <v>9419</v>
      </c>
      <c r="R211" s="51">
        <v>9732</v>
      </c>
      <c r="S211" s="51">
        <v>9732</v>
      </c>
      <c r="T211" s="51">
        <v>0</v>
      </c>
      <c r="U211" s="53">
        <f t="shared" si="15"/>
        <v>3.2901719380174166E-2</v>
      </c>
    </row>
    <row r="212" spans="1:21" x14ac:dyDescent="0.2">
      <c r="A212" s="56">
        <v>40452</v>
      </c>
      <c r="B212" s="51">
        <v>69438</v>
      </c>
      <c r="C212" s="51">
        <v>72140</v>
      </c>
      <c r="D212" s="51">
        <v>68847</v>
      </c>
      <c r="E212" s="51">
        <v>70673</v>
      </c>
      <c r="F212" s="51">
        <v>70673</v>
      </c>
      <c r="G212" s="51">
        <v>48426200</v>
      </c>
      <c r="H212" s="53">
        <f t="shared" si="14"/>
        <v>1.790292380815206E-2</v>
      </c>
      <c r="I212" s="53">
        <f t="shared" si="12"/>
        <v>0.14829558379098562</v>
      </c>
      <c r="J212" s="53">
        <f>(VLOOKUP(DATE(YEAR(A212),MONTH(A212),1),'16. câmbio USD-BRL'!$A$3:$G$2250,2,)/VLOOKUP(DATE(YEAR(A152),MONTH(A152),1),'16. câmbio USD-BRL'!$A$3:$G$2250,2,))^(1/5)-1</f>
        <v>-5.4535750110869752E-2</v>
      </c>
      <c r="K212" s="53">
        <f t="shared" si="11"/>
        <v>0.20283133390185537</v>
      </c>
      <c r="L212" s="53">
        <f t="shared" si="13"/>
        <v>0.3339791698818253</v>
      </c>
      <c r="N212" s="52">
        <v>35548</v>
      </c>
      <c r="O212" s="51">
        <v>9787</v>
      </c>
      <c r="P212" s="51">
        <v>10116</v>
      </c>
      <c r="Q212" s="51">
        <v>9702</v>
      </c>
      <c r="R212" s="51">
        <v>10074</v>
      </c>
      <c r="S212" s="51">
        <v>10074</v>
      </c>
      <c r="T212" s="51">
        <v>0</v>
      </c>
      <c r="U212" s="53">
        <f t="shared" si="15"/>
        <v>3.5141800246609067E-2</v>
      </c>
    </row>
    <row r="213" spans="1:21" x14ac:dyDescent="0.2">
      <c r="A213" s="56">
        <v>40483</v>
      </c>
      <c r="B213" s="51">
        <v>70686</v>
      </c>
      <c r="C213" s="51">
        <v>73103</v>
      </c>
      <c r="D213" s="51">
        <v>67103</v>
      </c>
      <c r="E213" s="51">
        <v>67705</v>
      </c>
      <c r="F213" s="51">
        <v>67705</v>
      </c>
      <c r="G213" s="51">
        <v>30655600</v>
      </c>
      <c r="H213" s="53">
        <f t="shared" si="14"/>
        <v>-4.1996236186379488E-2</v>
      </c>
      <c r="I213" s="53">
        <f t="shared" si="12"/>
        <v>9.8591969452896944E-3</v>
      </c>
      <c r="J213" s="53">
        <f>(VLOOKUP(DATE(YEAR(A213),MONTH(A213),1),'16. câmbio USD-BRL'!$A$3:$G$2250,2,)/VLOOKUP(DATE(YEAR(A153),MONTH(A153),1),'16. câmbio USD-BRL'!$A$3:$G$2250,2,))^(1/5)-1</f>
        <v>-4.8891169416465763E-2</v>
      </c>
      <c r="K213" s="53">
        <f t="shared" si="11"/>
        <v>5.8750366361755457E-2</v>
      </c>
      <c r="L213" s="53">
        <f t="shared" si="13"/>
        <v>0.33554513815107256</v>
      </c>
      <c r="N213" s="52">
        <v>35555</v>
      </c>
      <c r="O213" s="51">
        <v>10099</v>
      </c>
      <c r="P213" s="51">
        <v>10596</v>
      </c>
      <c r="Q213" s="51">
        <v>9994</v>
      </c>
      <c r="R213" s="51">
        <v>10492</v>
      </c>
      <c r="S213" s="51">
        <v>10492</v>
      </c>
      <c r="T213" s="51">
        <v>0</v>
      </c>
      <c r="U213" s="53">
        <f t="shared" si="15"/>
        <v>4.1492952154059903E-2</v>
      </c>
    </row>
    <row r="214" spans="1:21" x14ac:dyDescent="0.2">
      <c r="A214" s="56">
        <v>40513</v>
      </c>
      <c r="B214" s="51">
        <v>67731</v>
      </c>
      <c r="C214" s="51">
        <v>70589</v>
      </c>
      <c r="D214" s="51">
        <v>66948</v>
      </c>
      <c r="E214" s="51">
        <v>69305</v>
      </c>
      <c r="F214" s="51">
        <v>69305</v>
      </c>
      <c r="G214" s="51">
        <v>27004200</v>
      </c>
      <c r="H214" s="53">
        <f t="shared" si="14"/>
        <v>2.3631932648991993E-2</v>
      </c>
      <c r="I214" s="53">
        <f t="shared" si="12"/>
        <v>1.0453723683443217E-2</v>
      </c>
      <c r="J214" s="53">
        <f>(VLOOKUP(DATE(YEAR(A214),MONTH(A214),1),'16. câmbio USD-BRL'!$A$3:$G$2250,2,)/VLOOKUP(DATE(YEAR(A154),MONTH(A154),1),'16. câmbio USD-BRL'!$A$3:$G$2250,2,))^(1/5)-1</f>
        <v>-6.6282700242033532E-2</v>
      </c>
      <c r="K214" s="53">
        <f t="shared" si="11"/>
        <v>7.6736423925476749E-2</v>
      </c>
      <c r="L214" s="53">
        <f t="shared" si="13"/>
        <v>0.33679253570127315</v>
      </c>
      <c r="N214" s="52">
        <v>35562</v>
      </c>
      <c r="O214" s="51">
        <v>10699</v>
      </c>
      <c r="P214" s="51">
        <v>10725</v>
      </c>
      <c r="Q214" s="51">
        <v>10188</v>
      </c>
      <c r="R214" s="51">
        <v>10499</v>
      </c>
      <c r="S214" s="51">
        <v>10499</v>
      </c>
      <c r="T214" s="51">
        <v>0</v>
      </c>
      <c r="U214" s="53">
        <f t="shared" si="15"/>
        <v>6.6717499046897721E-4</v>
      </c>
    </row>
    <row r="215" spans="1:21" x14ac:dyDescent="0.2">
      <c r="A215" s="56">
        <v>40544</v>
      </c>
      <c r="B215" s="51">
        <v>69310</v>
      </c>
      <c r="C215" s="51">
        <v>71924</v>
      </c>
      <c r="D215" s="51">
        <v>65898</v>
      </c>
      <c r="E215" s="51">
        <v>66575</v>
      </c>
      <c r="F215" s="51">
        <v>66575</v>
      </c>
      <c r="G215" s="51">
        <v>41876200</v>
      </c>
      <c r="H215" s="53">
        <f t="shared" si="14"/>
        <v>-3.9391097323425384E-2</v>
      </c>
      <c r="I215" s="53">
        <f t="shared" si="12"/>
        <v>1.7935231338491286E-2</v>
      </c>
      <c r="J215" s="53">
        <f>(VLOOKUP(DATE(YEAR(A215),MONTH(A215),1),'16. câmbio USD-BRL'!$A$3:$G$2250,2,)/VLOOKUP(DATE(YEAR(A155),MONTH(A155),1),'16. câmbio USD-BRL'!$A$3:$G$2250,2,))^(1/5)-1</f>
        <v>-5.4947045896964863E-2</v>
      </c>
      <c r="K215" s="53">
        <f t="shared" si="11"/>
        <v>7.288227723545615E-2</v>
      </c>
      <c r="L215" s="53">
        <f t="shared" si="13"/>
        <v>0.33803026838186906</v>
      </c>
      <c r="N215" s="52">
        <v>35569</v>
      </c>
      <c r="O215" s="51">
        <v>10556</v>
      </c>
      <c r="P215" s="51">
        <v>10863</v>
      </c>
      <c r="Q215" s="51">
        <v>10374</v>
      </c>
      <c r="R215" s="51">
        <v>10764</v>
      </c>
      <c r="S215" s="51">
        <v>10764</v>
      </c>
      <c r="T215" s="51">
        <v>0</v>
      </c>
      <c r="U215" s="53">
        <f t="shared" si="15"/>
        <v>2.5240499095152025E-2</v>
      </c>
    </row>
    <row r="216" spans="1:21" x14ac:dyDescent="0.2">
      <c r="A216" s="56">
        <v>40575</v>
      </c>
      <c r="B216" s="51">
        <v>66575</v>
      </c>
      <c r="C216" s="51">
        <v>68226</v>
      </c>
      <c r="D216" s="51">
        <v>64016</v>
      </c>
      <c r="E216" s="51">
        <v>67383</v>
      </c>
      <c r="F216" s="51">
        <v>67383</v>
      </c>
      <c r="G216" s="51">
        <v>48663800</v>
      </c>
      <c r="H216" s="53">
        <f t="shared" si="14"/>
        <v>1.2136687945925706E-2</v>
      </c>
      <c r="I216" s="53">
        <f t="shared" si="12"/>
        <v>1.3232485752522338E-2</v>
      </c>
      <c r="J216" s="53">
        <f>(VLOOKUP(DATE(YEAR(A216),MONTH(A216),1),'16. câmbio USD-BRL'!$A$3:$G$2250,2,)/VLOOKUP(DATE(YEAR(A156),MONTH(A156),1),'16. câmbio USD-BRL'!$A$3:$G$2250,2,))^(1/5)-1</f>
        <v>-4.7621087056174183E-2</v>
      </c>
      <c r="K216" s="53">
        <f t="shared" si="11"/>
        <v>6.0853572808696521E-2</v>
      </c>
      <c r="L216" s="53">
        <f t="shared" si="13"/>
        <v>0.33788559750340402</v>
      </c>
      <c r="N216" s="52">
        <v>35576</v>
      </c>
      <c r="O216" s="51">
        <v>10961</v>
      </c>
      <c r="P216" s="51">
        <v>11458</v>
      </c>
      <c r="Q216" s="51">
        <v>10754</v>
      </c>
      <c r="R216" s="51">
        <v>11345</v>
      </c>
      <c r="S216" s="51">
        <v>11345</v>
      </c>
      <c r="T216" s="51">
        <v>0</v>
      </c>
      <c r="U216" s="53">
        <f t="shared" si="15"/>
        <v>5.3976217019695349E-2</v>
      </c>
    </row>
    <row r="217" spans="1:21" x14ac:dyDescent="0.2">
      <c r="A217" s="56">
        <v>40603</v>
      </c>
      <c r="B217" s="51">
        <v>67381</v>
      </c>
      <c r="C217" s="51">
        <v>68606</v>
      </c>
      <c r="D217" s="51">
        <v>65463</v>
      </c>
      <c r="E217" s="51">
        <v>68587</v>
      </c>
      <c r="F217" s="51">
        <v>68587</v>
      </c>
      <c r="G217" s="51">
        <v>45965400</v>
      </c>
      <c r="H217" s="53">
        <f t="shared" si="14"/>
        <v>1.7868008251339385E-2</v>
      </c>
      <c r="I217" s="53">
        <f t="shared" si="12"/>
        <v>-2.5365202069004722E-2</v>
      </c>
      <c r="J217" s="53">
        <f>(VLOOKUP(DATE(YEAR(A217),MONTH(A217),1),'16. câmbio USD-BRL'!$A$3:$G$2250,2,)/VLOOKUP(DATE(YEAR(A157),MONTH(A157),1),'16. câmbio USD-BRL'!$A$3:$G$2250,2,))^(1/5)-1</f>
        <v>-5.4867756330813644E-2</v>
      </c>
      <c r="K217" s="53">
        <f t="shared" si="11"/>
        <v>2.9502554261808922E-2</v>
      </c>
      <c r="L217" s="53">
        <f t="shared" si="13"/>
        <v>0.33948621386627048</v>
      </c>
      <c r="N217" s="52">
        <v>35583</v>
      </c>
      <c r="O217" s="51">
        <v>11398</v>
      </c>
      <c r="P217" s="51">
        <v>11414</v>
      </c>
      <c r="Q217" s="51">
        <v>10988</v>
      </c>
      <c r="R217" s="51">
        <v>11334</v>
      </c>
      <c r="S217" s="51">
        <v>11334</v>
      </c>
      <c r="T217" s="51">
        <v>0</v>
      </c>
      <c r="U217" s="53">
        <f t="shared" si="15"/>
        <v>-9.695901278096164E-4</v>
      </c>
    </row>
    <row r="218" spans="1:21" x14ac:dyDescent="0.2">
      <c r="A218" s="56">
        <v>40634</v>
      </c>
      <c r="B218" s="51">
        <v>68588</v>
      </c>
      <c r="C218" s="51">
        <v>70108</v>
      </c>
      <c r="D218" s="51">
        <v>65105</v>
      </c>
      <c r="E218" s="51">
        <v>66133</v>
      </c>
      <c r="F218" s="51">
        <v>66133</v>
      </c>
      <c r="G218" s="51">
        <v>34800400</v>
      </c>
      <c r="H218" s="53">
        <f t="shared" si="14"/>
        <v>-3.5779375100237654E-2</v>
      </c>
      <c r="I218" s="53">
        <f t="shared" si="12"/>
        <v>-2.0687102028727922E-2</v>
      </c>
      <c r="J218" s="53">
        <f>(VLOOKUP(DATE(YEAR(A218),MONTH(A218),1),'16. câmbio USD-BRL'!$A$3:$G$2250,2,)/VLOOKUP(DATE(YEAR(A158),MONTH(A158),1),'16. câmbio USD-BRL'!$A$3:$G$2250,2,))^(1/5)-1</f>
        <v>-5.4439364699685133E-2</v>
      </c>
      <c r="K218" s="53">
        <f t="shared" si="11"/>
        <v>3.3752262670957212E-2</v>
      </c>
      <c r="L218" s="53">
        <f t="shared" si="13"/>
        <v>0.34061275388789397</v>
      </c>
      <c r="N218" s="52">
        <v>35590</v>
      </c>
      <c r="O218" s="51">
        <v>11510</v>
      </c>
      <c r="P218" s="51">
        <v>11975</v>
      </c>
      <c r="Q218" s="51">
        <v>11319</v>
      </c>
      <c r="R218" s="51">
        <v>11828</v>
      </c>
      <c r="S218" s="51">
        <v>11828</v>
      </c>
      <c r="T218" s="51">
        <v>0</v>
      </c>
      <c r="U218" s="53">
        <f t="shared" si="15"/>
        <v>4.3585671431092265E-2</v>
      </c>
    </row>
    <row r="219" spans="1:21" x14ac:dyDescent="0.2">
      <c r="A219" s="56">
        <v>40664</v>
      </c>
      <c r="B219" s="51">
        <v>66119</v>
      </c>
      <c r="C219" s="51">
        <v>66500</v>
      </c>
      <c r="D219" s="51">
        <v>61659</v>
      </c>
      <c r="E219" s="51">
        <v>64620</v>
      </c>
      <c r="F219" s="51">
        <v>64620</v>
      </c>
      <c r="G219" s="51">
        <v>48359800</v>
      </c>
      <c r="H219" s="53">
        <f t="shared" si="14"/>
        <v>-2.2878139506751549E-2</v>
      </c>
      <c r="I219" s="53">
        <f t="shared" si="12"/>
        <v>2.4949640744206691E-2</v>
      </c>
      <c r="J219" s="53">
        <f>(VLOOKUP(DATE(YEAR(A219),MONTH(A219),1),'16. câmbio USD-BRL'!$A$3:$G$2250,2,)/VLOOKUP(DATE(YEAR(A159),MONTH(A159),1),'16. câmbio USD-BRL'!$A$3:$G$2250,2,))^(1/5)-1</f>
        <v>-7.2757213857218561E-2</v>
      </c>
      <c r="K219" s="53">
        <f t="shared" si="11"/>
        <v>9.7706854601425253E-2</v>
      </c>
      <c r="L219" s="53">
        <f t="shared" si="13"/>
        <v>0.33834563367679521</v>
      </c>
      <c r="N219" s="52">
        <v>35597</v>
      </c>
      <c r="O219" s="51">
        <v>11954</v>
      </c>
      <c r="P219" s="51">
        <v>12424</v>
      </c>
      <c r="Q219" s="51">
        <v>11760</v>
      </c>
      <c r="R219" s="51">
        <v>12121</v>
      </c>
      <c r="S219" s="51">
        <v>12121</v>
      </c>
      <c r="T219" s="51">
        <v>0</v>
      </c>
      <c r="U219" s="53">
        <f t="shared" si="15"/>
        <v>2.4771728102806811E-2</v>
      </c>
    </row>
    <row r="220" spans="1:21" x14ac:dyDescent="0.2">
      <c r="A220" s="56">
        <v>40695</v>
      </c>
      <c r="B220" s="51">
        <v>64616</v>
      </c>
      <c r="C220" s="51">
        <v>64979</v>
      </c>
      <c r="D220" s="51">
        <v>60489</v>
      </c>
      <c r="E220" s="51">
        <v>62404</v>
      </c>
      <c r="F220" s="51">
        <v>62404</v>
      </c>
      <c r="G220" s="51">
        <v>39742200</v>
      </c>
      <c r="H220" s="53">
        <f t="shared" si="14"/>
        <v>-3.4292788610337355E-2</v>
      </c>
      <c r="I220" s="53">
        <f t="shared" si="12"/>
        <v>2.4090849415780546E-2</v>
      </c>
      <c r="J220" s="53">
        <f>(VLOOKUP(DATE(YEAR(A220),MONTH(A220),1),'16. câmbio USD-BRL'!$A$3:$G$2250,2,)/VLOOKUP(DATE(YEAR(A160),MONTH(A160),1),'16. câmbio USD-BRL'!$A$3:$G$2250,2,))^(1/5)-1</f>
        <v>-6.3258747091893053E-2</v>
      </c>
      <c r="K220" s="53">
        <f t="shared" si="11"/>
        <v>8.7349596507673599E-2</v>
      </c>
      <c r="L220" s="53">
        <f t="shared" si="13"/>
        <v>0.33837529731803906</v>
      </c>
      <c r="N220" s="52">
        <v>35604</v>
      </c>
      <c r="O220" s="51">
        <v>12121</v>
      </c>
      <c r="P220" s="51">
        <v>13223</v>
      </c>
      <c r="Q220" s="51">
        <v>12109</v>
      </c>
      <c r="R220" s="51">
        <v>12758</v>
      </c>
      <c r="S220" s="51">
        <v>12758</v>
      </c>
      <c r="T220" s="51">
        <v>0</v>
      </c>
      <c r="U220" s="53">
        <f t="shared" si="15"/>
        <v>5.2553419684844505E-2</v>
      </c>
    </row>
    <row r="221" spans="1:21" x14ac:dyDescent="0.2">
      <c r="A221" s="56">
        <v>40725</v>
      </c>
      <c r="B221" s="51">
        <v>62404</v>
      </c>
      <c r="C221" s="51">
        <v>63891</v>
      </c>
      <c r="D221" s="51">
        <v>58009</v>
      </c>
      <c r="E221" s="51">
        <v>58823</v>
      </c>
      <c r="F221" s="51">
        <v>58823</v>
      </c>
      <c r="G221" s="51">
        <v>41716000</v>
      </c>
      <c r="H221" s="53">
        <f t="shared" si="14"/>
        <v>-5.7384142042176789E-2</v>
      </c>
      <c r="I221" s="53">
        <f t="shared" si="12"/>
        <v>-0.12874176109012814</v>
      </c>
      <c r="J221" s="53">
        <f>(VLOOKUP(DATE(YEAR(A221),MONTH(A221),1),'16. câmbio USD-BRL'!$A$3:$G$2250,2,)/VLOOKUP(DATE(YEAR(A161),MONTH(A161),1),'16. câmbio USD-BRL'!$A$3:$G$2250,2,))^(1/5)-1</f>
        <v>-6.5845627780719229E-2</v>
      </c>
      <c r="K221" s="53">
        <f t="shared" si="11"/>
        <v>-6.2896133309408908E-2</v>
      </c>
      <c r="L221" s="53">
        <f t="shared" si="13"/>
        <v>0.33995120419844982</v>
      </c>
      <c r="N221" s="52">
        <v>35611</v>
      </c>
      <c r="O221" s="51">
        <v>12773</v>
      </c>
      <c r="P221" s="51">
        <v>13500</v>
      </c>
      <c r="Q221" s="51">
        <v>12501</v>
      </c>
      <c r="R221" s="51">
        <v>13494</v>
      </c>
      <c r="S221" s="51">
        <v>13494</v>
      </c>
      <c r="T221" s="51">
        <v>0</v>
      </c>
      <c r="U221" s="53">
        <f t="shared" si="15"/>
        <v>5.7689292992632035E-2</v>
      </c>
    </row>
    <row r="222" spans="1:21" x14ac:dyDescent="0.2">
      <c r="A222" s="56">
        <v>40756</v>
      </c>
      <c r="B222" s="51">
        <v>58823</v>
      </c>
      <c r="C222" s="51">
        <v>59542</v>
      </c>
      <c r="D222" s="51">
        <v>47793</v>
      </c>
      <c r="E222" s="51">
        <v>56495</v>
      </c>
      <c r="F222" s="51">
        <v>56495</v>
      </c>
      <c r="G222" s="51">
        <v>72287600</v>
      </c>
      <c r="H222" s="53">
        <f t="shared" si="14"/>
        <v>-3.9576356187205675E-2</v>
      </c>
      <c r="I222" s="53">
        <f t="shared" si="12"/>
        <v>-0.13278071993245832</v>
      </c>
      <c r="J222" s="53">
        <f>(VLOOKUP(DATE(YEAR(A222),MONTH(A222),1),'16. câmbio USD-BRL'!$A$3:$G$2250,2,)/VLOOKUP(DATE(YEAR(A162),MONTH(A162),1),'16. câmbio USD-BRL'!$A$3:$G$2250,2,))^(1/5)-1</f>
        <v>-5.8077728053728239E-2</v>
      </c>
      <c r="K222" s="53">
        <f t="shared" si="11"/>
        <v>-7.4702991878730085E-2</v>
      </c>
      <c r="L222" s="53">
        <f t="shared" si="13"/>
        <v>0.34174143265533413</v>
      </c>
      <c r="N222" s="52">
        <v>35618</v>
      </c>
      <c r="O222" s="51">
        <v>13597</v>
      </c>
      <c r="P222" s="51">
        <v>14005</v>
      </c>
      <c r="Q222" s="51">
        <v>13114</v>
      </c>
      <c r="R222" s="51">
        <v>13153</v>
      </c>
      <c r="S222" s="51">
        <v>13153</v>
      </c>
      <c r="T222" s="51">
        <v>0</v>
      </c>
      <c r="U222" s="53">
        <f t="shared" si="15"/>
        <v>-2.5270490588409689E-2</v>
      </c>
    </row>
    <row r="223" spans="1:21" x14ac:dyDescent="0.2">
      <c r="A223" s="56">
        <v>40787</v>
      </c>
      <c r="B223" s="51">
        <v>56498</v>
      </c>
      <c r="C223" s="51">
        <v>58589</v>
      </c>
      <c r="D223" s="51">
        <v>51897</v>
      </c>
      <c r="E223" s="51">
        <v>52324</v>
      </c>
      <c r="F223" s="51">
        <v>52324</v>
      </c>
      <c r="G223" s="51">
        <v>54664800</v>
      </c>
      <c r="H223" s="53">
        <f t="shared" si="14"/>
        <v>-7.3829542437383822E-2</v>
      </c>
      <c r="I223" s="53">
        <f t="shared" si="12"/>
        <v>-0.24637764655048255</v>
      </c>
      <c r="J223" s="53">
        <f>(VLOOKUP(DATE(YEAR(A223),MONTH(A223),1),'16. câmbio USD-BRL'!$A$3:$G$2250,2,)/VLOOKUP(DATE(YEAR(A163),MONTH(A163),1),'16. câmbio USD-BRL'!$A$3:$G$2250,2,))^(1/5)-1</f>
        <v>-2.8771399650800555E-2</v>
      </c>
      <c r="K223" s="53">
        <f t="shared" si="11"/>
        <v>-0.217606246899682</v>
      </c>
      <c r="L223" s="53">
        <f t="shared" si="13"/>
        <v>0.34684377497079855</v>
      </c>
      <c r="N223" s="52">
        <v>35625</v>
      </c>
      <c r="O223" s="51">
        <v>13153</v>
      </c>
      <c r="P223" s="51">
        <v>13424</v>
      </c>
      <c r="Q223" s="51">
        <v>10765</v>
      </c>
      <c r="R223" s="51">
        <v>11182</v>
      </c>
      <c r="S223" s="51">
        <v>11182</v>
      </c>
      <c r="T223" s="51">
        <v>0</v>
      </c>
      <c r="U223" s="53">
        <f t="shared" si="15"/>
        <v>-0.14985174484908381</v>
      </c>
    </row>
    <row r="224" spans="1:21" x14ac:dyDescent="0.2">
      <c r="A224" s="56">
        <v>40817</v>
      </c>
      <c r="B224" s="51">
        <v>52319</v>
      </c>
      <c r="C224" s="51">
        <v>59901</v>
      </c>
      <c r="D224" s="51">
        <v>49433</v>
      </c>
      <c r="E224" s="51">
        <v>58338</v>
      </c>
      <c r="F224" s="51">
        <v>58338</v>
      </c>
      <c r="G224" s="51">
        <v>53851800</v>
      </c>
      <c r="H224" s="53">
        <f t="shared" si="14"/>
        <v>0.11493769589480918</v>
      </c>
      <c r="I224" s="53">
        <f t="shared" si="12"/>
        <v>-0.17453624439319115</v>
      </c>
      <c r="J224" s="53">
        <f>(VLOOKUP(DATE(YEAR(A224),MONTH(A224),1),'16. câmbio USD-BRL'!$A$3:$G$2250,2,)/VLOOKUP(DATE(YEAR(A164),MONTH(A164),1),'16. câmbio USD-BRL'!$A$3:$G$2250,2,))^(1/5)-1</f>
        <v>-4.33174588821581E-2</v>
      </c>
      <c r="K224" s="53">
        <f t="shared" si="11"/>
        <v>-0.13121878551103305</v>
      </c>
      <c r="L224" s="53">
        <f t="shared" si="13"/>
        <v>0.35010659976361214</v>
      </c>
      <c r="N224" s="52">
        <v>35632</v>
      </c>
      <c r="O224" s="51">
        <v>11318</v>
      </c>
      <c r="P224" s="51">
        <v>12705</v>
      </c>
      <c r="Q224" s="51">
        <v>10967</v>
      </c>
      <c r="R224" s="51">
        <v>12523</v>
      </c>
      <c r="S224" s="51">
        <v>12523</v>
      </c>
      <c r="T224" s="51">
        <v>0</v>
      </c>
      <c r="U224" s="53">
        <f t="shared" si="15"/>
        <v>0.11992487927025586</v>
      </c>
    </row>
    <row r="225" spans="1:21" x14ac:dyDescent="0.2">
      <c r="A225" s="56">
        <v>40848</v>
      </c>
      <c r="B225" s="51">
        <v>58300</v>
      </c>
      <c r="C225" s="51">
        <v>59616</v>
      </c>
      <c r="D225" s="51">
        <v>54537</v>
      </c>
      <c r="E225" s="51">
        <v>56875</v>
      </c>
      <c r="F225" s="51">
        <v>56875</v>
      </c>
      <c r="G225" s="51">
        <v>48805400</v>
      </c>
      <c r="H225" s="53">
        <f t="shared" si="14"/>
        <v>-2.5077993760499129E-2</v>
      </c>
      <c r="I225" s="53">
        <f t="shared" si="12"/>
        <v>-0.15995864411786431</v>
      </c>
      <c r="J225" s="53">
        <f>(VLOOKUP(DATE(YEAR(A225),MONTH(A225),1),'16. câmbio USD-BRL'!$A$3:$G$2250,2,)/VLOOKUP(DATE(YEAR(A165),MONTH(A165),1),'16. câmbio USD-BRL'!$A$3:$G$2250,2,))^(1/5)-1</f>
        <v>-3.5366108629140358E-2</v>
      </c>
      <c r="K225" s="53">
        <f t="shared" si="11"/>
        <v>-0.12459253548872395</v>
      </c>
      <c r="L225" s="53">
        <f t="shared" si="13"/>
        <v>0.35287519646634791</v>
      </c>
      <c r="N225" s="52">
        <v>35639</v>
      </c>
      <c r="O225" s="51">
        <v>13061</v>
      </c>
      <c r="P225" s="51">
        <v>13239</v>
      </c>
      <c r="Q225" s="51">
        <v>12178</v>
      </c>
      <c r="R225" s="51">
        <v>12259</v>
      </c>
      <c r="S225" s="51">
        <v>12259</v>
      </c>
      <c r="T225" s="51">
        <v>0</v>
      </c>
      <c r="U225" s="53">
        <f t="shared" si="15"/>
        <v>-2.1081210572546527E-2</v>
      </c>
    </row>
    <row r="226" spans="1:21" x14ac:dyDescent="0.2">
      <c r="A226" s="56">
        <v>40878</v>
      </c>
      <c r="B226" s="51">
        <v>56876</v>
      </c>
      <c r="C226" s="51">
        <v>59576</v>
      </c>
      <c r="D226" s="51">
        <v>55298</v>
      </c>
      <c r="E226" s="51">
        <v>56754</v>
      </c>
      <c r="F226" s="51">
        <v>56754</v>
      </c>
      <c r="G226" s="51">
        <v>50819200</v>
      </c>
      <c r="H226" s="53">
        <f t="shared" si="14"/>
        <v>-2.1274725274724737E-3</v>
      </c>
      <c r="I226" s="53">
        <f t="shared" si="12"/>
        <v>-0.18109804487410719</v>
      </c>
      <c r="J226" s="53">
        <f>(VLOOKUP(DATE(YEAR(A226),MONTH(A226),1),'16. câmbio USD-BRL'!$A$3:$G$2250,2,)/VLOOKUP(DATE(YEAR(A166),MONTH(A166),1),'16. câmbio USD-BRL'!$A$3:$G$2250,2,))^(1/5)-1</f>
        <v>-2.7003415716982504E-2</v>
      </c>
      <c r="K226" s="53">
        <f t="shared" si="11"/>
        <v>-0.15409462915712469</v>
      </c>
      <c r="L226" s="53">
        <f t="shared" si="13"/>
        <v>0.35597297933044464</v>
      </c>
      <c r="N226" s="52">
        <v>35646</v>
      </c>
      <c r="O226" s="51">
        <v>12259</v>
      </c>
      <c r="P226" s="51">
        <v>12620</v>
      </c>
      <c r="Q226" s="51">
        <v>11864</v>
      </c>
      <c r="R226" s="51">
        <v>12129</v>
      </c>
      <c r="S226" s="51">
        <v>12129</v>
      </c>
      <c r="T226" s="51">
        <v>0</v>
      </c>
      <c r="U226" s="53">
        <f t="shared" si="15"/>
        <v>-1.0604453870625696E-2</v>
      </c>
    </row>
    <row r="227" spans="1:21" x14ac:dyDescent="0.2">
      <c r="A227" s="56">
        <v>40909</v>
      </c>
      <c r="B227" s="51">
        <v>57836</v>
      </c>
      <c r="C227" s="51">
        <v>63805</v>
      </c>
      <c r="D227" s="51">
        <v>57836</v>
      </c>
      <c r="E227" s="51">
        <v>63072</v>
      </c>
      <c r="F227" s="51">
        <v>63072</v>
      </c>
      <c r="G227" s="51">
        <v>52505600</v>
      </c>
      <c r="H227" s="53">
        <f t="shared" si="14"/>
        <v>0.11132254995242619</v>
      </c>
      <c r="I227" s="53">
        <f t="shared" si="12"/>
        <v>-5.2617348854675172E-2</v>
      </c>
      <c r="J227" s="53">
        <f>(VLOOKUP(DATE(YEAR(A227),MONTH(A227),1),'16. câmbio USD-BRL'!$A$3:$G$2250,2,)/VLOOKUP(DATE(YEAR(A167),MONTH(A167),1),'16. câmbio USD-BRL'!$A$3:$G$2250,2,))^(1/5)-1</f>
        <v>-3.8304416211033532E-2</v>
      </c>
      <c r="K227" s="53">
        <f t="shared" si="11"/>
        <v>-1.431293264364164E-2</v>
      </c>
      <c r="L227" s="53">
        <f t="shared" si="13"/>
        <v>0.35688639019190327</v>
      </c>
      <c r="N227" s="52">
        <v>35653</v>
      </c>
      <c r="O227" s="51">
        <v>12239</v>
      </c>
      <c r="P227" s="51">
        <v>12239</v>
      </c>
      <c r="Q227" s="51">
        <v>11316</v>
      </c>
      <c r="R227" s="51">
        <v>11335</v>
      </c>
      <c r="S227" s="51">
        <v>11335</v>
      </c>
      <c r="T227" s="51">
        <v>0</v>
      </c>
      <c r="U227" s="53">
        <f t="shared" si="15"/>
        <v>-6.5462940061010833E-2</v>
      </c>
    </row>
    <row r="228" spans="1:21" x14ac:dyDescent="0.2">
      <c r="A228" s="56">
        <v>40940</v>
      </c>
      <c r="B228" s="51">
        <v>63085</v>
      </c>
      <c r="C228" s="51">
        <v>66662</v>
      </c>
      <c r="D228" s="51">
        <v>63085</v>
      </c>
      <c r="E228" s="51">
        <v>65812</v>
      </c>
      <c r="F228" s="51">
        <v>65812</v>
      </c>
      <c r="G228" s="51">
        <v>52916000</v>
      </c>
      <c r="H228" s="53">
        <f t="shared" si="14"/>
        <v>4.3442415017757474E-2</v>
      </c>
      <c r="I228" s="53">
        <f t="shared" si="12"/>
        <v>-2.3314485849546651E-2</v>
      </c>
      <c r="J228" s="53">
        <f>(VLOOKUP(DATE(YEAR(A228),MONTH(A228),1),'16. câmbio USD-BRL'!$A$3:$G$2250,2,)/VLOOKUP(DATE(YEAR(A168),MONTH(A168),1),'16. câmbio USD-BRL'!$A$3:$G$2250,2,))^(1/5)-1</f>
        <v>-4.1282328384506406E-2</v>
      </c>
      <c r="K228" s="53">
        <f t="shared" si="11"/>
        <v>1.7967842534959755E-2</v>
      </c>
      <c r="L228" s="53">
        <f t="shared" si="13"/>
        <v>0.3577777407278836</v>
      </c>
      <c r="N228" s="52">
        <v>35660</v>
      </c>
      <c r="O228" s="51">
        <v>10945</v>
      </c>
      <c r="P228" s="51">
        <v>11481</v>
      </c>
      <c r="Q228" s="51">
        <v>10764</v>
      </c>
      <c r="R228" s="51">
        <v>11158</v>
      </c>
      <c r="S228" s="51">
        <v>11158</v>
      </c>
      <c r="T228" s="51">
        <v>0</v>
      </c>
      <c r="U228" s="53">
        <f t="shared" si="15"/>
        <v>-1.5615350683722995E-2</v>
      </c>
    </row>
    <row r="229" spans="1:21" x14ac:dyDescent="0.2">
      <c r="A229" s="56">
        <v>40969</v>
      </c>
      <c r="B229" s="51">
        <v>65812</v>
      </c>
      <c r="C229" s="51">
        <v>68970</v>
      </c>
      <c r="D229" s="51">
        <v>64096</v>
      </c>
      <c r="E229" s="51">
        <v>64511</v>
      </c>
      <c r="F229" s="51">
        <v>64511</v>
      </c>
      <c r="G229" s="51">
        <v>55588800</v>
      </c>
      <c r="H229" s="53">
        <f t="shared" si="14"/>
        <v>-1.9768431289126642E-2</v>
      </c>
      <c r="I229" s="53">
        <f t="shared" si="12"/>
        <v>-5.9428171519384176E-2</v>
      </c>
      <c r="J229" s="53">
        <f>(VLOOKUP(DATE(YEAR(A229),MONTH(A229),1),'16. câmbio USD-BRL'!$A$3:$G$2250,2,)/VLOOKUP(DATE(YEAR(A169),MONTH(A169),1),'16. câmbio USD-BRL'!$A$3:$G$2250,2,))^(1/5)-1</f>
        <v>-2.3689611733859306E-2</v>
      </c>
      <c r="K229" s="53">
        <f t="shared" si="11"/>
        <v>-3.573855978552487E-2</v>
      </c>
      <c r="L229" s="53">
        <f t="shared" si="13"/>
        <v>0.35914091470299048</v>
      </c>
      <c r="N229" s="52">
        <v>35667</v>
      </c>
      <c r="O229" s="51">
        <v>11422</v>
      </c>
      <c r="P229" s="51">
        <v>11802</v>
      </c>
      <c r="Q229" s="51">
        <v>10518</v>
      </c>
      <c r="R229" s="51">
        <v>10609</v>
      </c>
      <c r="S229" s="51">
        <v>10609</v>
      </c>
      <c r="T229" s="51">
        <v>0</v>
      </c>
      <c r="U229" s="53">
        <f t="shared" si="15"/>
        <v>-4.9202366015414944E-2</v>
      </c>
    </row>
    <row r="230" spans="1:21" x14ac:dyDescent="0.2">
      <c r="A230" s="56">
        <v>41000</v>
      </c>
      <c r="B230" s="51">
        <v>64515</v>
      </c>
      <c r="C230" s="51">
        <v>65593</v>
      </c>
      <c r="D230" s="51">
        <v>60897</v>
      </c>
      <c r="E230" s="51">
        <v>61820</v>
      </c>
      <c r="F230" s="51">
        <v>61820</v>
      </c>
      <c r="G230" s="51">
        <v>54261600</v>
      </c>
      <c r="H230" s="53">
        <f t="shared" si="14"/>
        <v>-4.1713816248391766E-2</v>
      </c>
      <c r="I230" s="53">
        <f t="shared" si="12"/>
        <v>-6.5217062586000907E-2</v>
      </c>
      <c r="J230" s="53">
        <f>(VLOOKUP(DATE(YEAR(A230),MONTH(A230),1),'16. câmbio USD-BRL'!$A$3:$G$2250,2,)/VLOOKUP(DATE(YEAR(A170),MONTH(A170),1),'16. câmbio USD-BRL'!$A$3:$G$2250,2,))^(1/5)-1</f>
        <v>-1.2703177083102202E-2</v>
      </c>
      <c r="K230" s="53">
        <f t="shared" si="11"/>
        <v>-5.2513885502898705E-2</v>
      </c>
      <c r="L230" s="53">
        <f t="shared" si="13"/>
        <v>0.3607057857246776</v>
      </c>
      <c r="N230" s="52">
        <v>35674</v>
      </c>
      <c r="O230" s="51">
        <v>10643</v>
      </c>
      <c r="P230" s="51">
        <v>11928</v>
      </c>
      <c r="Q230" s="51">
        <v>9921</v>
      </c>
      <c r="R230" s="51">
        <v>11838</v>
      </c>
      <c r="S230" s="51">
        <v>11838</v>
      </c>
      <c r="T230" s="51">
        <v>0</v>
      </c>
      <c r="U230" s="53">
        <f t="shared" si="15"/>
        <v>0.11584503723253836</v>
      </c>
    </row>
    <row r="231" spans="1:21" x14ac:dyDescent="0.2">
      <c r="A231" s="56">
        <v>41030</v>
      </c>
      <c r="B231" s="51">
        <v>61820</v>
      </c>
      <c r="C231" s="51">
        <v>62783</v>
      </c>
      <c r="D231" s="51">
        <v>53028</v>
      </c>
      <c r="E231" s="51">
        <v>54490</v>
      </c>
      <c r="F231" s="51">
        <v>54490</v>
      </c>
      <c r="G231" s="51">
        <v>77092600</v>
      </c>
      <c r="H231" s="53">
        <f t="shared" si="14"/>
        <v>-0.11857004205758659</v>
      </c>
      <c r="I231" s="53">
        <f t="shared" si="12"/>
        <v>-0.15676261219436705</v>
      </c>
      <c r="J231" s="53">
        <f>(VLOOKUP(DATE(YEAR(A231),MONTH(A231),1),'16. câmbio USD-BRL'!$A$3:$G$2250,2,)/VLOOKUP(DATE(YEAR(A171),MONTH(A171),1),'16. câmbio USD-BRL'!$A$3:$G$2250,2,))^(1/5)-1</f>
        <v>1.0413495681901974E-2</v>
      </c>
      <c r="K231" s="53">
        <f t="shared" si="11"/>
        <v>-0.16717610787626902</v>
      </c>
      <c r="L231" s="53">
        <f t="shared" si="13"/>
        <v>0.36381803872193041</v>
      </c>
      <c r="N231" s="52">
        <v>35681</v>
      </c>
      <c r="O231" s="51">
        <v>12020</v>
      </c>
      <c r="P231" s="51">
        <v>12020</v>
      </c>
      <c r="Q231" s="51">
        <v>10809</v>
      </c>
      <c r="R231" s="51">
        <v>11292</v>
      </c>
      <c r="S231" s="51">
        <v>11292</v>
      </c>
      <c r="T231" s="51">
        <v>0</v>
      </c>
      <c r="U231" s="53">
        <f t="shared" si="15"/>
        <v>-4.6122655854029415E-2</v>
      </c>
    </row>
    <row r="232" spans="1:21" x14ac:dyDescent="0.2">
      <c r="A232" s="56">
        <v>41061</v>
      </c>
      <c r="B232" s="51">
        <v>54488</v>
      </c>
      <c r="C232" s="51">
        <v>57611</v>
      </c>
      <c r="D232" s="51">
        <v>52271</v>
      </c>
      <c r="E232" s="51">
        <v>54355</v>
      </c>
      <c r="F232" s="51">
        <v>54355</v>
      </c>
      <c r="G232" s="51">
        <v>62934200</v>
      </c>
      <c r="H232" s="53">
        <f t="shared" si="14"/>
        <v>-2.4775188107909463E-3</v>
      </c>
      <c r="I232" s="53">
        <f t="shared" si="12"/>
        <v>-0.12898211653099156</v>
      </c>
      <c r="J232" s="53">
        <f>(VLOOKUP(DATE(YEAR(A232),MONTH(A232),1),'16. câmbio USD-BRL'!$A$3:$G$2250,2,)/VLOOKUP(DATE(YEAR(A172),MONTH(A172),1),'16. câmbio USD-BRL'!$A$3:$G$2250,2,))^(1/5)-1</f>
        <v>8.2103618593074579E-3</v>
      </c>
      <c r="K232" s="53">
        <f t="shared" si="11"/>
        <v>-0.13719247839029902</v>
      </c>
      <c r="L232" s="53">
        <f t="shared" si="13"/>
        <v>0.36441838266051635</v>
      </c>
      <c r="N232" s="52">
        <v>35688</v>
      </c>
      <c r="O232" s="51">
        <v>11320</v>
      </c>
      <c r="P232" s="51">
        <v>11830</v>
      </c>
      <c r="Q232" s="51">
        <v>10791</v>
      </c>
      <c r="R232" s="51">
        <v>11650</v>
      </c>
      <c r="S232" s="51">
        <v>11650</v>
      </c>
      <c r="T232" s="51">
        <v>0</v>
      </c>
      <c r="U232" s="53">
        <f t="shared" si="15"/>
        <v>3.1703861140630618E-2</v>
      </c>
    </row>
    <row r="233" spans="1:21" x14ac:dyDescent="0.2">
      <c r="A233" s="56">
        <v>41091</v>
      </c>
      <c r="B233" s="51">
        <v>54355</v>
      </c>
      <c r="C233" s="51">
        <v>57466</v>
      </c>
      <c r="D233" s="51">
        <v>52213</v>
      </c>
      <c r="E233" s="51">
        <v>56097</v>
      </c>
      <c r="F233" s="51">
        <v>56097</v>
      </c>
      <c r="G233" s="51">
        <v>59275600</v>
      </c>
      <c r="H233" s="53">
        <f t="shared" si="14"/>
        <v>3.2048569588814191E-2</v>
      </c>
      <c r="I233" s="53">
        <f t="shared" si="12"/>
        <v>-4.6342417081753684E-2</v>
      </c>
      <c r="J233" s="53">
        <f>(VLOOKUP(DATE(YEAR(A233),MONTH(A233),1),'16. câmbio USD-BRL'!$A$3:$G$2250,2,)/VLOOKUP(DATE(YEAR(A173),MONTH(A173),1),'16. câmbio USD-BRL'!$A$3:$G$2250,2,))^(1/5)-1</f>
        <v>1.7912074000214107E-2</v>
      </c>
      <c r="K233" s="53">
        <f t="shared" si="11"/>
        <v>-6.4254491081967791E-2</v>
      </c>
      <c r="L233" s="53">
        <f t="shared" si="13"/>
        <v>0.3626311233053654</v>
      </c>
      <c r="N233" s="52">
        <v>35695</v>
      </c>
      <c r="O233" s="51">
        <v>11880</v>
      </c>
      <c r="P233" s="51">
        <v>11880</v>
      </c>
      <c r="Q233" s="51">
        <v>11309</v>
      </c>
      <c r="R233" s="51">
        <v>11534</v>
      </c>
      <c r="S233" s="51">
        <v>11534</v>
      </c>
      <c r="T233" s="51">
        <v>0</v>
      </c>
      <c r="U233" s="53">
        <f t="shared" si="15"/>
        <v>-9.9570815450643613E-3</v>
      </c>
    </row>
    <row r="234" spans="1:21" x14ac:dyDescent="0.2">
      <c r="A234" s="56">
        <v>41122</v>
      </c>
      <c r="B234" s="51">
        <v>56091</v>
      </c>
      <c r="C234" s="51">
        <v>60209</v>
      </c>
      <c r="D234" s="51">
        <v>55239</v>
      </c>
      <c r="E234" s="51">
        <v>57061</v>
      </c>
      <c r="F234" s="51">
        <v>57061</v>
      </c>
      <c r="G234" s="51">
        <v>75582200</v>
      </c>
      <c r="H234" s="53">
        <f t="shared" si="14"/>
        <v>1.7184519671283649E-2</v>
      </c>
      <c r="I234" s="53">
        <f t="shared" si="12"/>
        <v>1.0018585715550143E-2</v>
      </c>
      <c r="J234" s="53">
        <f>(VLOOKUP(DATE(YEAR(A234),MONTH(A234),1),'16. câmbio USD-BRL'!$A$3:$G$2250,2,)/VLOOKUP(DATE(YEAR(A174),MONTH(A174),1),'16. câmbio USD-BRL'!$A$3:$G$2250,2,))^(1/5)-1</f>
        <v>6.1432519762778526E-3</v>
      </c>
      <c r="K234" s="53">
        <f t="shared" si="11"/>
        <v>3.8753337392722909E-3</v>
      </c>
      <c r="L234" s="53">
        <f t="shared" si="13"/>
        <v>0.35957801385402016</v>
      </c>
      <c r="N234" s="52">
        <v>35702</v>
      </c>
      <c r="O234" s="51">
        <v>11534</v>
      </c>
      <c r="P234" s="51">
        <v>12814</v>
      </c>
      <c r="Q234" s="51">
        <v>11485</v>
      </c>
      <c r="R234" s="51">
        <v>12541</v>
      </c>
      <c r="S234" s="51">
        <v>12541</v>
      </c>
      <c r="T234" s="51">
        <v>0</v>
      </c>
      <c r="U234" s="53">
        <f t="shared" si="15"/>
        <v>8.7307092075602499E-2</v>
      </c>
    </row>
    <row r="235" spans="1:21" x14ac:dyDescent="0.2">
      <c r="A235" s="56">
        <v>41153</v>
      </c>
      <c r="B235" s="51">
        <v>57065</v>
      </c>
      <c r="C235" s="51">
        <v>63428</v>
      </c>
      <c r="D235" s="51">
        <v>56203</v>
      </c>
      <c r="E235" s="51">
        <v>59176</v>
      </c>
      <c r="F235" s="51">
        <v>59176</v>
      </c>
      <c r="G235" s="51">
        <v>70744000</v>
      </c>
      <c r="H235" s="53">
        <f t="shared" si="14"/>
        <v>3.7065596466938855E-2</v>
      </c>
      <c r="I235" s="53">
        <f t="shared" si="12"/>
        <v>0.13095329103279574</v>
      </c>
      <c r="J235" s="53">
        <f>(VLOOKUP(DATE(YEAR(A235),MONTH(A235),1),'16. câmbio USD-BRL'!$A$3:$G$2250,2,)/VLOOKUP(DATE(YEAR(A175),MONTH(A175),1),'16. câmbio USD-BRL'!$A$3:$G$2250,2,))^(1/5)-1</f>
        <v>2.0193454100846608E-2</v>
      </c>
      <c r="K235" s="53">
        <f t="shared" si="11"/>
        <v>0.11075983693194913</v>
      </c>
      <c r="L235" s="53">
        <f t="shared" si="13"/>
        <v>0.35546672023926851</v>
      </c>
      <c r="N235" s="52">
        <v>35709</v>
      </c>
      <c r="O235" s="51">
        <v>12770</v>
      </c>
      <c r="P235" s="51">
        <v>12778</v>
      </c>
      <c r="Q235" s="51">
        <v>12270</v>
      </c>
      <c r="R235" s="51">
        <v>12737</v>
      </c>
      <c r="S235" s="51">
        <v>12737</v>
      </c>
      <c r="T235" s="51">
        <v>0</v>
      </c>
      <c r="U235" s="53">
        <f t="shared" si="15"/>
        <v>1.5628737740212006E-2</v>
      </c>
    </row>
    <row r="236" spans="1:21" x14ac:dyDescent="0.2">
      <c r="A236" s="56">
        <v>41183</v>
      </c>
      <c r="B236" s="51">
        <v>59171</v>
      </c>
      <c r="C236" s="51">
        <v>60412</v>
      </c>
      <c r="D236" s="51">
        <v>56581</v>
      </c>
      <c r="E236" s="51">
        <v>57068</v>
      </c>
      <c r="F236" s="51">
        <v>57068</v>
      </c>
      <c r="G236" s="51">
        <v>62249200</v>
      </c>
      <c r="H236" s="53">
        <f t="shared" si="14"/>
        <v>-3.5622549682303606E-2</v>
      </c>
      <c r="I236" s="53">
        <f t="shared" si="12"/>
        <v>-2.1769686996468862E-2</v>
      </c>
      <c r="J236" s="53">
        <f>(VLOOKUP(DATE(YEAR(A236),MONTH(A236),1),'16. câmbio USD-BRL'!$A$3:$G$2250,2,)/VLOOKUP(DATE(YEAR(A176),MONTH(A176),1),'16. câmbio USD-BRL'!$A$3:$G$2250,2,))^(1/5)-1</f>
        <v>3.1781521831143023E-2</v>
      </c>
      <c r="K236" s="53">
        <f t="shared" si="11"/>
        <v>-5.3551208827611885E-2</v>
      </c>
      <c r="L236" s="53">
        <f t="shared" si="13"/>
        <v>0.34684165075085122</v>
      </c>
      <c r="N236" s="52">
        <v>35716</v>
      </c>
      <c r="O236" s="51">
        <v>12817</v>
      </c>
      <c r="P236" s="51">
        <v>12960</v>
      </c>
      <c r="Q236" s="51">
        <v>12385</v>
      </c>
      <c r="R236" s="51">
        <v>12488</v>
      </c>
      <c r="S236" s="51">
        <v>12488</v>
      </c>
      <c r="T236" s="51">
        <v>0</v>
      </c>
      <c r="U236" s="53">
        <f t="shared" si="15"/>
        <v>-1.9549344429614535E-2</v>
      </c>
    </row>
    <row r="237" spans="1:21" x14ac:dyDescent="0.2">
      <c r="A237" s="56">
        <v>41214</v>
      </c>
      <c r="B237" s="51">
        <v>57065</v>
      </c>
      <c r="C237" s="51">
        <v>59561</v>
      </c>
      <c r="D237" s="51">
        <v>55126</v>
      </c>
      <c r="E237" s="51">
        <v>57475</v>
      </c>
      <c r="F237" s="51">
        <v>57475</v>
      </c>
      <c r="G237" s="51">
        <v>62039600</v>
      </c>
      <c r="H237" s="53">
        <f t="shared" si="14"/>
        <v>7.1318427139552831E-3</v>
      </c>
      <c r="I237" s="53">
        <f t="shared" si="12"/>
        <v>1.0549450549450556E-2</v>
      </c>
      <c r="J237" s="53">
        <f>(VLOOKUP(DATE(YEAR(A237),MONTH(A237),1),'16. câmbio USD-BRL'!$A$3:$G$2250,2,)/VLOOKUP(DATE(YEAR(A177),MONTH(A177),1),'16. câmbio USD-BRL'!$A$3:$G$2250,2,))^(1/5)-1</f>
        <v>3.5039007468588457E-2</v>
      </c>
      <c r="K237" s="53">
        <f t="shared" si="11"/>
        <v>-2.44895569191379E-2</v>
      </c>
      <c r="L237" s="53">
        <f t="shared" si="13"/>
        <v>0.3368767406687187</v>
      </c>
      <c r="N237" s="52">
        <v>35723</v>
      </c>
      <c r="O237" s="51">
        <v>12718</v>
      </c>
      <c r="P237" s="51">
        <v>13037</v>
      </c>
      <c r="Q237" s="51">
        <v>11234</v>
      </c>
      <c r="R237" s="51">
        <v>11545</v>
      </c>
      <c r="S237" s="51">
        <v>11545</v>
      </c>
      <c r="T237" s="51">
        <v>0</v>
      </c>
      <c r="U237" s="53">
        <f t="shared" si="15"/>
        <v>-7.551249199231258E-2</v>
      </c>
    </row>
    <row r="238" spans="1:21" x14ac:dyDescent="0.2">
      <c r="A238" s="56">
        <v>41244</v>
      </c>
      <c r="B238" s="51">
        <v>57479</v>
      </c>
      <c r="C238" s="51">
        <v>61322</v>
      </c>
      <c r="D238" s="51">
        <v>57129</v>
      </c>
      <c r="E238" s="51">
        <v>60952</v>
      </c>
      <c r="F238" s="51">
        <v>60952</v>
      </c>
      <c r="G238" s="51">
        <v>62250400</v>
      </c>
      <c r="H238" s="53">
        <f t="shared" si="14"/>
        <v>6.0495867768594946E-2</v>
      </c>
      <c r="I238" s="53">
        <f t="shared" si="12"/>
        <v>7.3968354653416446E-2</v>
      </c>
      <c r="J238" s="53">
        <f>(VLOOKUP(DATE(YEAR(A238),MONTH(A238),1),'16. câmbio USD-BRL'!$A$3:$G$2250,2,)/VLOOKUP(DATE(YEAR(A178),MONTH(A178),1),'16. câmbio USD-BRL'!$A$3:$G$2250,2,))^(1/5)-1</f>
        <v>2.8497388260534828E-2</v>
      </c>
      <c r="K238" s="53">
        <f t="shared" si="11"/>
        <v>4.5470966392881618E-2</v>
      </c>
      <c r="L238" s="53">
        <f t="shared" si="13"/>
        <v>0.33068148198559155</v>
      </c>
      <c r="N238" s="52">
        <v>35730</v>
      </c>
      <c r="O238" s="51">
        <v>11545</v>
      </c>
      <c r="P238" s="51">
        <v>11545</v>
      </c>
      <c r="Q238" s="51">
        <v>8456</v>
      </c>
      <c r="R238" s="51">
        <v>8986</v>
      </c>
      <c r="S238" s="51">
        <v>8986</v>
      </c>
      <c r="T238" s="51">
        <v>0</v>
      </c>
      <c r="U238" s="53">
        <f t="shared" si="15"/>
        <v>-0.22165439584235602</v>
      </c>
    </row>
    <row r="239" spans="1:21" x14ac:dyDescent="0.2">
      <c r="A239" s="56">
        <v>41275</v>
      </c>
      <c r="B239" s="51">
        <v>60990</v>
      </c>
      <c r="C239" s="51">
        <v>63473</v>
      </c>
      <c r="D239" s="51">
        <v>59114</v>
      </c>
      <c r="E239" s="51">
        <v>59761</v>
      </c>
      <c r="F239" s="51">
        <v>59761</v>
      </c>
      <c r="G239" s="51">
        <v>77083400</v>
      </c>
      <c r="H239" s="53">
        <f t="shared" si="14"/>
        <v>-1.953996587478668E-2</v>
      </c>
      <c r="I239" s="53">
        <f t="shared" si="12"/>
        <v>-5.2495560629122306E-2</v>
      </c>
      <c r="J239" s="53">
        <f>(VLOOKUP(DATE(YEAR(A239),MONTH(A239),1),'16. câmbio USD-BRL'!$A$3:$G$2250,2,)/VLOOKUP(DATE(YEAR(A179),MONTH(A179),1),'16. câmbio USD-BRL'!$A$3:$G$2250,2,))^(1/5)-1</f>
        <v>2.5090562079298051E-2</v>
      </c>
      <c r="K239" s="53">
        <f t="shared" si="11"/>
        <v>-7.7586122708420358E-2</v>
      </c>
      <c r="L239" s="53">
        <f t="shared" si="13"/>
        <v>0.32663383523730627</v>
      </c>
      <c r="N239" s="52">
        <v>35737</v>
      </c>
      <c r="O239" s="51">
        <v>8986</v>
      </c>
      <c r="P239" s="51">
        <v>10334</v>
      </c>
      <c r="Q239" s="51">
        <v>8443</v>
      </c>
      <c r="R239" s="51">
        <v>8833</v>
      </c>
      <c r="S239" s="51">
        <v>8833</v>
      </c>
      <c r="T239" s="51">
        <v>0</v>
      </c>
      <c r="U239" s="53">
        <f t="shared" si="15"/>
        <v>-1.7026485644335621E-2</v>
      </c>
    </row>
    <row r="240" spans="1:21" x14ac:dyDescent="0.2">
      <c r="A240" s="56">
        <v>41306</v>
      </c>
      <c r="B240" s="51">
        <v>59764</v>
      </c>
      <c r="C240" s="51">
        <v>60496</v>
      </c>
      <c r="D240" s="51">
        <v>55430</v>
      </c>
      <c r="E240" s="51">
        <v>57424</v>
      </c>
      <c r="F240" s="51">
        <v>57424</v>
      </c>
      <c r="G240" s="51">
        <v>71082200</v>
      </c>
      <c r="H240" s="53">
        <f t="shared" si="14"/>
        <v>-3.9105771322434313E-2</v>
      </c>
      <c r="I240" s="53">
        <f t="shared" si="12"/>
        <v>-0.12745395976417673</v>
      </c>
      <c r="J240" s="53">
        <f>(VLOOKUP(DATE(YEAR(A240),MONTH(A240),1),'16. câmbio USD-BRL'!$A$3:$G$2250,2,)/VLOOKUP(DATE(YEAR(A180),MONTH(A180),1),'16. câmbio USD-BRL'!$A$3:$G$2250,2,))^(1/5)-1</f>
        <v>3.2040955674422333E-2</v>
      </c>
      <c r="K240" s="53">
        <f t="shared" si="11"/>
        <v>-0.15949491543859906</v>
      </c>
      <c r="L240" s="53">
        <f t="shared" si="13"/>
        <v>0.32530567753496631</v>
      </c>
      <c r="N240" s="52">
        <v>35744</v>
      </c>
      <c r="O240" s="51">
        <v>8823</v>
      </c>
      <c r="P240" s="51">
        <v>9266</v>
      </c>
      <c r="Q240" s="51">
        <v>7522</v>
      </c>
      <c r="R240" s="51">
        <v>8732</v>
      </c>
      <c r="S240" s="51">
        <v>8732</v>
      </c>
      <c r="T240" s="51">
        <v>0</v>
      </c>
      <c r="U240" s="53">
        <f t="shared" si="15"/>
        <v>-1.1434393750707539E-2</v>
      </c>
    </row>
    <row r="241" spans="1:21" x14ac:dyDescent="0.2">
      <c r="A241" s="56">
        <v>41334</v>
      </c>
      <c r="B241" s="51">
        <v>57422</v>
      </c>
      <c r="C241" s="51">
        <v>59472</v>
      </c>
      <c r="D241" s="51">
        <v>54648</v>
      </c>
      <c r="E241" s="51">
        <v>56352</v>
      </c>
      <c r="F241" s="51">
        <v>56352</v>
      </c>
      <c r="G241" s="51">
        <v>86585200</v>
      </c>
      <c r="H241" s="53">
        <f t="shared" si="14"/>
        <v>-1.86681526887712E-2</v>
      </c>
      <c r="I241" s="53">
        <f t="shared" si="12"/>
        <v>-0.12647455472710079</v>
      </c>
      <c r="J241" s="53">
        <f>(VLOOKUP(DATE(YEAR(A241),MONTH(A241),1),'16. câmbio USD-BRL'!$A$3:$G$2250,2,)/VLOOKUP(DATE(YEAR(A181),MONTH(A181),1),'16. câmbio USD-BRL'!$A$3:$G$2250,2,))^(1/5)-1</f>
        <v>2.878825704776089E-2</v>
      </c>
      <c r="K241" s="53">
        <f t="shared" si="11"/>
        <v>-0.15526281177486168</v>
      </c>
      <c r="L241" s="53">
        <f t="shared" si="13"/>
        <v>0.32083389591716355</v>
      </c>
      <c r="N241" s="52">
        <v>35751</v>
      </c>
      <c r="O241" s="51">
        <v>8735</v>
      </c>
      <c r="P241" s="51">
        <v>9671</v>
      </c>
      <c r="Q241" s="51">
        <v>8691</v>
      </c>
      <c r="R241" s="51">
        <v>9422</v>
      </c>
      <c r="S241" s="51">
        <v>9422</v>
      </c>
      <c r="T241" s="51">
        <v>0</v>
      </c>
      <c r="U241" s="53">
        <f t="shared" si="15"/>
        <v>7.9019697663765376E-2</v>
      </c>
    </row>
    <row r="242" spans="1:21" x14ac:dyDescent="0.2">
      <c r="A242" s="56">
        <v>41365</v>
      </c>
      <c r="B242" s="51">
        <v>56348</v>
      </c>
      <c r="C242" s="51">
        <v>56976</v>
      </c>
      <c r="D242" s="51">
        <v>52392</v>
      </c>
      <c r="E242" s="51">
        <v>55910</v>
      </c>
      <c r="F242" s="51">
        <v>55910</v>
      </c>
      <c r="G242" s="51">
        <v>106426600</v>
      </c>
      <c r="H242" s="53">
        <f t="shared" si="14"/>
        <v>-7.8435547984100351E-3</v>
      </c>
      <c r="I242" s="53">
        <f t="shared" si="12"/>
        <v>-9.5600129407958589E-2</v>
      </c>
      <c r="J242" s="53">
        <f>(VLOOKUP(DATE(YEAR(A242),MONTH(A242),1),'16. câmbio USD-BRL'!$A$3:$G$2250,2,)/VLOOKUP(DATE(YEAR(A182),MONTH(A182),1),'16. câmbio USD-BRL'!$A$3:$G$2250,2,))^(1/5)-1</f>
        <v>3.7870438627746861E-2</v>
      </c>
      <c r="K242" s="53">
        <f t="shared" si="11"/>
        <v>-0.13347056803570545</v>
      </c>
      <c r="L242" s="53">
        <f t="shared" si="13"/>
        <v>0.31861302600154762</v>
      </c>
      <c r="N242" s="52">
        <v>35758</v>
      </c>
      <c r="O242" s="51">
        <v>9420</v>
      </c>
      <c r="P242" s="51">
        <v>9623</v>
      </c>
      <c r="Q242" s="51">
        <v>8862</v>
      </c>
      <c r="R242" s="51">
        <v>9395</v>
      </c>
      <c r="S242" s="51">
        <v>9395</v>
      </c>
      <c r="T242" s="51">
        <v>0</v>
      </c>
      <c r="U242" s="53">
        <f t="shared" si="15"/>
        <v>-2.8656336234345048E-3</v>
      </c>
    </row>
    <row r="243" spans="1:21" x14ac:dyDescent="0.2">
      <c r="A243" s="56">
        <v>41395</v>
      </c>
      <c r="B243" s="51">
        <v>55919</v>
      </c>
      <c r="C243" s="51">
        <v>57099</v>
      </c>
      <c r="D243" s="51">
        <v>52942</v>
      </c>
      <c r="E243" s="51">
        <v>53506</v>
      </c>
      <c r="F243" s="51">
        <v>53506</v>
      </c>
      <c r="G243" s="51">
        <v>108599200</v>
      </c>
      <c r="H243" s="53">
        <f t="shared" si="14"/>
        <v>-4.2997674834555522E-2</v>
      </c>
      <c r="I243" s="53">
        <f t="shared" si="12"/>
        <v>-1.8058359331987517E-2</v>
      </c>
      <c r="J243" s="53">
        <f>(VLOOKUP(DATE(YEAR(A243),MONTH(A243),1),'16. câmbio USD-BRL'!$A$3:$G$2250,2,)/VLOOKUP(DATE(YEAR(A183),MONTH(A183),1),'16. câmbio USD-BRL'!$A$3:$G$2250,2,))^(1/5)-1</f>
        <v>5.6635612789512901E-2</v>
      </c>
      <c r="K243" s="53">
        <f t="shared" si="11"/>
        <v>-7.4693972121500418E-2</v>
      </c>
      <c r="L243" s="53">
        <f t="shared" si="13"/>
        <v>0.31469738180127255</v>
      </c>
      <c r="N243" s="52">
        <v>35765</v>
      </c>
      <c r="O243" s="51">
        <v>9396</v>
      </c>
      <c r="P243" s="51">
        <v>10212</v>
      </c>
      <c r="Q243" s="51">
        <v>9396</v>
      </c>
      <c r="R243" s="51">
        <v>10080</v>
      </c>
      <c r="S243" s="51">
        <v>10080</v>
      </c>
      <c r="T243" s="51">
        <v>0</v>
      </c>
      <c r="U243" s="53">
        <f t="shared" si="15"/>
        <v>7.2911122937732831E-2</v>
      </c>
    </row>
    <row r="244" spans="1:21" x14ac:dyDescent="0.2">
      <c r="A244" s="56">
        <v>41426</v>
      </c>
      <c r="B244" s="51">
        <v>53512</v>
      </c>
      <c r="C244" s="51">
        <v>54289</v>
      </c>
      <c r="D244" s="51">
        <v>45406</v>
      </c>
      <c r="E244" s="51">
        <v>47457</v>
      </c>
      <c r="F244" s="51">
        <v>47457</v>
      </c>
      <c r="G244" s="51">
        <v>114211000</v>
      </c>
      <c r="H244" s="53">
        <f t="shared" si="14"/>
        <v>-0.11305274174858893</v>
      </c>
      <c r="I244" s="53">
        <f t="shared" si="12"/>
        <v>-0.12690644834881792</v>
      </c>
      <c r="J244" s="53">
        <f>(VLOOKUP(DATE(YEAR(A244),MONTH(A244),1),'16. câmbio USD-BRL'!$A$3:$G$2250,2,)/VLOOKUP(DATE(YEAR(A184),MONTH(A184),1),'16. câmbio USD-BRL'!$A$3:$G$2250,2,))^(1/5)-1</f>
        <v>6.8307904358218874E-2</v>
      </c>
      <c r="K244" s="53">
        <f t="shared" si="11"/>
        <v>-0.1952143527070368</v>
      </c>
      <c r="L244" s="53">
        <f t="shared" si="13"/>
        <v>0.31148787214953233</v>
      </c>
      <c r="N244" s="52">
        <v>35772</v>
      </c>
      <c r="O244" s="51">
        <v>10210</v>
      </c>
      <c r="P244" s="51">
        <v>10210</v>
      </c>
      <c r="Q244" s="51">
        <v>8853</v>
      </c>
      <c r="R244" s="51">
        <v>9147</v>
      </c>
      <c r="S244" s="51">
        <v>9147</v>
      </c>
      <c r="T244" s="51">
        <v>0</v>
      </c>
      <c r="U244" s="53">
        <f t="shared" si="15"/>
        <v>-9.2559523809523814E-2</v>
      </c>
    </row>
    <row r="245" spans="1:21" x14ac:dyDescent="0.2">
      <c r="A245" s="56">
        <v>41456</v>
      </c>
      <c r="B245" s="51">
        <v>47458</v>
      </c>
      <c r="C245" s="51">
        <v>49669</v>
      </c>
      <c r="D245" s="51">
        <v>44107</v>
      </c>
      <c r="E245" s="51">
        <v>48234</v>
      </c>
      <c r="F245" s="51">
        <v>48234</v>
      </c>
      <c r="G245" s="51">
        <v>113296800</v>
      </c>
      <c r="H245" s="53">
        <f t="shared" si="14"/>
        <v>1.6372716353751926E-2</v>
      </c>
      <c r="I245" s="53">
        <f t="shared" si="12"/>
        <v>-0.14016792341836459</v>
      </c>
      <c r="J245" s="53">
        <f>(VLOOKUP(DATE(YEAR(A245),MONTH(A245),1),'16. câmbio USD-BRL'!$A$3:$G$2250,2,)/VLOOKUP(DATE(YEAR(A185),MONTH(A185),1),'16. câmbio USD-BRL'!$A$3:$G$2250,2,))^(1/5)-1</f>
        <v>7.7612502303351816E-2</v>
      </c>
      <c r="K245" s="53">
        <f t="shared" si="11"/>
        <v>-0.21778042572171641</v>
      </c>
      <c r="L245" s="53">
        <f t="shared" si="13"/>
        <v>0.31189398173571731</v>
      </c>
      <c r="N245" s="52">
        <v>35779</v>
      </c>
      <c r="O245" s="51">
        <v>9035</v>
      </c>
      <c r="P245" s="51">
        <v>9923</v>
      </c>
      <c r="Q245" s="51">
        <v>8910</v>
      </c>
      <c r="R245" s="51">
        <v>9139</v>
      </c>
      <c r="S245" s="51">
        <v>9139</v>
      </c>
      <c r="T245" s="51">
        <v>0</v>
      </c>
      <c r="U245" s="53">
        <f t="shared" si="15"/>
        <v>-8.7460369520064862E-4</v>
      </c>
    </row>
    <row r="246" spans="1:21" x14ac:dyDescent="0.2">
      <c r="A246" s="56">
        <v>41487</v>
      </c>
      <c r="B246" s="51">
        <v>48235</v>
      </c>
      <c r="C246" s="51">
        <v>52398</v>
      </c>
      <c r="D246" s="51">
        <v>47164</v>
      </c>
      <c r="E246" s="51">
        <v>50008</v>
      </c>
      <c r="F246" s="51">
        <v>50008</v>
      </c>
      <c r="G246" s="51">
        <v>145179900</v>
      </c>
      <c r="H246" s="53">
        <f t="shared" si="14"/>
        <v>3.6779035535099647E-2</v>
      </c>
      <c r="I246" s="53">
        <f t="shared" si="12"/>
        <v>-0.12360456353726712</v>
      </c>
      <c r="J246" s="53">
        <f>(VLOOKUP(DATE(YEAR(A246),MONTH(A246),1),'16. câmbio USD-BRL'!$A$3:$G$2250,2,)/VLOOKUP(DATE(YEAR(A186),MONTH(A186),1),'16. câmbio USD-BRL'!$A$3:$G$2250,2,))^(1/5)-1</f>
        <v>7.9204748076862286E-2</v>
      </c>
      <c r="K246" s="53">
        <f t="shared" si="11"/>
        <v>-0.20280931161412941</v>
      </c>
      <c r="L246" s="53">
        <f t="shared" si="13"/>
        <v>0.31283465415083617</v>
      </c>
      <c r="N246" s="52">
        <v>35786</v>
      </c>
      <c r="O246" s="51">
        <v>9139</v>
      </c>
      <c r="P246" s="51">
        <v>9713</v>
      </c>
      <c r="Q246" s="51">
        <v>9139</v>
      </c>
      <c r="R246" s="51">
        <v>9707</v>
      </c>
      <c r="S246" s="51">
        <v>9707</v>
      </c>
      <c r="T246" s="51">
        <v>0</v>
      </c>
      <c r="U246" s="53">
        <f t="shared" si="15"/>
        <v>6.2151220045956856E-2</v>
      </c>
    </row>
    <row r="247" spans="1:21" x14ac:dyDescent="0.2">
      <c r="A247" s="56">
        <v>41518</v>
      </c>
      <c r="B247" s="51">
        <v>50012</v>
      </c>
      <c r="C247" s="51">
        <v>55900</v>
      </c>
      <c r="D247" s="51">
        <v>50012</v>
      </c>
      <c r="E247" s="51">
        <v>52338</v>
      </c>
      <c r="F247" s="51">
        <v>52338</v>
      </c>
      <c r="G247" s="51">
        <v>125978800</v>
      </c>
      <c r="H247" s="53">
        <f t="shared" si="14"/>
        <v>4.6592545192769119E-2</v>
      </c>
      <c r="I247" s="53">
        <f t="shared" si="12"/>
        <v>-0.11555360281195082</v>
      </c>
      <c r="J247" s="53">
        <f>(VLOOKUP(DATE(YEAR(A247),MONTH(A247),1),'16. câmbio USD-BRL'!$A$3:$G$2250,2,)/VLOOKUP(DATE(YEAR(A187),MONTH(A187),1),'16. câmbio USD-BRL'!$A$3:$G$2250,2,))^(1/5)-1</f>
        <v>3.0551909591730597E-2</v>
      </c>
      <c r="K247" s="53">
        <f t="shared" si="11"/>
        <v>-0.14610551240368141</v>
      </c>
      <c r="L247" s="53">
        <f t="shared" si="13"/>
        <v>0.31358406301912772</v>
      </c>
      <c r="N247" s="52">
        <v>35793</v>
      </c>
      <c r="O247" s="51">
        <v>9794</v>
      </c>
      <c r="P247" s="51">
        <v>10498</v>
      </c>
      <c r="Q247" s="51">
        <v>9794</v>
      </c>
      <c r="R247" s="51">
        <v>10480</v>
      </c>
      <c r="S247" s="51">
        <v>10480</v>
      </c>
      <c r="T247" s="51">
        <v>0</v>
      </c>
      <c r="U247" s="53">
        <f t="shared" si="15"/>
        <v>7.9633254352529104E-2</v>
      </c>
    </row>
    <row r="248" spans="1:21" x14ac:dyDescent="0.2">
      <c r="A248" s="56">
        <v>41548</v>
      </c>
      <c r="B248" s="51">
        <v>52337</v>
      </c>
      <c r="C248" s="51">
        <v>56747</v>
      </c>
      <c r="D248" s="51">
        <v>51870</v>
      </c>
      <c r="E248" s="51">
        <v>54256</v>
      </c>
      <c r="F248" s="51">
        <v>54256</v>
      </c>
      <c r="G248" s="51">
        <v>129969800</v>
      </c>
      <c r="H248" s="53">
        <f t="shared" si="14"/>
        <v>3.664641369559396E-2</v>
      </c>
      <c r="I248" s="53">
        <f t="shared" si="12"/>
        <v>-4.9274549660054623E-2</v>
      </c>
      <c r="J248" s="53">
        <f>(VLOOKUP(DATE(YEAR(A248),MONTH(A248),1),'16. câmbio USD-BRL'!$A$3:$G$2250,2,)/VLOOKUP(DATE(YEAR(A188),MONTH(A188),1),'16. câmbio USD-BRL'!$A$3:$G$2250,2,))^(1/5)-1</f>
        <v>6.9177638613331371E-3</v>
      </c>
      <c r="K248" s="53">
        <f t="shared" si="11"/>
        <v>-5.619231352138776E-2</v>
      </c>
      <c r="L248" s="53">
        <f t="shared" si="13"/>
        <v>0.3132993975560216</v>
      </c>
      <c r="N248" s="52">
        <v>35800</v>
      </c>
      <c r="O248" s="51">
        <v>10427</v>
      </c>
      <c r="P248" s="51">
        <v>10655</v>
      </c>
      <c r="Q248" s="51">
        <v>9118</v>
      </c>
      <c r="R248" s="51">
        <v>9118</v>
      </c>
      <c r="S248" s="51">
        <v>9118</v>
      </c>
      <c r="T248" s="51">
        <v>0</v>
      </c>
      <c r="U248" s="53">
        <f t="shared" si="15"/>
        <v>-0.12996183206106871</v>
      </c>
    </row>
    <row r="249" spans="1:21" x14ac:dyDescent="0.2">
      <c r="A249" s="56">
        <v>41579</v>
      </c>
      <c r="B249" s="51">
        <v>54255</v>
      </c>
      <c r="C249" s="51">
        <v>54539</v>
      </c>
      <c r="D249" s="51">
        <v>51290</v>
      </c>
      <c r="E249" s="51">
        <v>52482</v>
      </c>
      <c r="F249" s="51">
        <v>52482</v>
      </c>
      <c r="G249" s="51">
        <v>65607500</v>
      </c>
      <c r="H249" s="53">
        <f t="shared" si="14"/>
        <v>-3.269684458861688E-2</v>
      </c>
      <c r="I249" s="53">
        <f t="shared" si="12"/>
        <v>-8.6872553284036536E-2</v>
      </c>
      <c r="J249" s="53">
        <f>(VLOOKUP(DATE(YEAR(A249),MONTH(A249),1),'16. câmbio USD-BRL'!$A$3:$G$2250,2,)/VLOOKUP(DATE(YEAR(A189),MONTH(A189),1),'16. câmbio USD-BRL'!$A$3:$G$2250,2,))^(1/5)-1</f>
        <v>2.7975363439725065E-3</v>
      </c>
      <c r="K249" s="53">
        <f t="shared" si="11"/>
        <v>-8.9670089628009042E-2</v>
      </c>
      <c r="L249" s="53">
        <f t="shared" si="13"/>
        <v>0.3090686940497005</v>
      </c>
      <c r="N249" s="52">
        <v>35807</v>
      </c>
      <c r="O249" s="51">
        <v>8441</v>
      </c>
      <c r="P249" s="51">
        <v>9744</v>
      </c>
      <c r="Q249" s="51">
        <v>8441</v>
      </c>
      <c r="R249" s="51">
        <v>9448</v>
      </c>
      <c r="S249" s="51">
        <v>9448</v>
      </c>
      <c r="T249" s="51">
        <v>0</v>
      </c>
      <c r="U249" s="53">
        <f t="shared" si="15"/>
        <v>3.6192147400745833E-2</v>
      </c>
    </row>
    <row r="250" spans="1:21" x14ac:dyDescent="0.2">
      <c r="A250" s="56">
        <v>41609</v>
      </c>
      <c r="B250" s="51">
        <v>52479</v>
      </c>
      <c r="C250" s="51">
        <v>52479</v>
      </c>
      <c r="D250" s="51">
        <v>49842</v>
      </c>
      <c r="E250" s="51">
        <v>51507</v>
      </c>
      <c r="F250" s="51">
        <v>51507</v>
      </c>
      <c r="G250" s="51">
        <v>54588400</v>
      </c>
      <c r="H250" s="53">
        <f t="shared" si="14"/>
        <v>-1.85777981022065E-2</v>
      </c>
      <c r="I250" s="53">
        <f t="shared" si="12"/>
        <v>-0.15495799973749835</v>
      </c>
      <c r="J250" s="53">
        <f>(VLOOKUP(DATE(YEAR(A250),MONTH(A250),1),'16. câmbio USD-BRL'!$A$3:$G$2250,2,)/VLOOKUP(DATE(YEAR(A190),MONTH(A190),1),'16. câmbio USD-BRL'!$A$3:$G$2250,2,))^(1/5)-1</f>
        <v>4.0797741908813467E-3</v>
      </c>
      <c r="K250" s="53">
        <f t="shared" si="11"/>
        <v>-0.1590377739283797</v>
      </c>
      <c r="L250" s="53">
        <f t="shared" si="13"/>
        <v>0.30545965442465067</v>
      </c>
      <c r="N250" s="52">
        <v>35814</v>
      </c>
      <c r="O250" s="51">
        <v>9451</v>
      </c>
      <c r="P250" s="51">
        <v>9817</v>
      </c>
      <c r="Q250" s="51">
        <v>9234</v>
      </c>
      <c r="R250" s="51">
        <v>9468</v>
      </c>
      <c r="S250" s="51">
        <v>9468</v>
      </c>
      <c r="T250" s="51">
        <v>0</v>
      </c>
      <c r="U250" s="53">
        <f t="shared" si="15"/>
        <v>2.1168501270110163E-3</v>
      </c>
    </row>
    <row r="251" spans="1:21" x14ac:dyDescent="0.2">
      <c r="A251" s="56">
        <v>41640</v>
      </c>
      <c r="B251" s="51">
        <v>51522</v>
      </c>
      <c r="C251" s="51">
        <v>51656</v>
      </c>
      <c r="D251" s="51">
        <v>46814</v>
      </c>
      <c r="E251" s="51">
        <v>47639</v>
      </c>
      <c r="F251" s="51">
        <v>47639</v>
      </c>
      <c r="G251" s="51">
        <v>73708400</v>
      </c>
      <c r="H251" s="53">
        <f t="shared" si="14"/>
        <v>-7.509658881317105E-2</v>
      </c>
      <c r="I251" s="53">
        <f t="shared" si="12"/>
        <v>-0.20284131791636684</v>
      </c>
      <c r="J251" s="53">
        <f>(VLOOKUP(DATE(YEAR(A251),MONTH(A251),1),'16. câmbio USD-BRL'!$A$3:$G$2250,2,)/VLOOKUP(DATE(YEAR(A191),MONTH(A191),1),'16. câmbio USD-BRL'!$A$3:$G$2250,2,))^(1/5)-1</f>
        <v>7.8666339779573935E-3</v>
      </c>
      <c r="K251" s="53">
        <f t="shared" si="11"/>
        <v>-0.21070795189432423</v>
      </c>
      <c r="L251" s="53">
        <f t="shared" si="13"/>
        <v>0.30250246404102304</v>
      </c>
      <c r="N251" s="52">
        <v>35821</v>
      </c>
      <c r="O251" s="51">
        <v>9667</v>
      </c>
      <c r="P251" s="51">
        <v>9910</v>
      </c>
      <c r="Q251" s="51">
        <v>9465</v>
      </c>
      <c r="R251" s="51">
        <v>9720</v>
      </c>
      <c r="S251" s="51">
        <v>9720</v>
      </c>
      <c r="T251" s="51">
        <v>0</v>
      </c>
      <c r="U251" s="53">
        <f t="shared" si="15"/>
        <v>2.6615969581748944E-2</v>
      </c>
    </row>
    <row r="252" spans="1:21" x14ac:dyDescent="0.2">
      <c r="A252" s="56">
        <v>41671</v>
      </c>
      <c r="B252" s="51">
        <v>47623</v>
      </c>
      <c r="C252" s="51">
        <v>48669</v>
      </c>
      <c r="D252" s="51">
        <v>46109</v>
      </c>
      <c r="E252" s="51">
        <v>47094</v>
      </c>
      <c r="F252" s="51">
        <v>47094</v>
      </c>
      <c r="G252" s="51">
        <v>64038100</v>
      </c>
      <c r="H252" s="53">
        <f t="shared" si="14"/>
        <v>-1.1440206553454124E-2</v>
      </c>
      <c r="I252" s="53">
        <f t="shared" si="12"/>
        <v>-0.17988994148787962</v>
      </c>
      <c r="J252" s="53">
        <f>(VLOOKUP(DATE(YEAR(A252),MONTH(A252),1),'16. câmbio USD-BRL'!$A$3:$G$2250,2,)/VLOOKUP(DATE(YEAR(A192),MONTH(A192),1),'16. câmbio USD-BRL'!$A$3:$G$2250,2,))^(1/5)-1</f>
        <v>-4.4723757458661195E-3</v>
      </c>
      <c r="K252" s="53">
        <f t="shared" si="11"/>
        <v>-0.1754175657420135</v>
      </c>
      <c r="L252" s="53">
        <f t="shared" si="13"/>
        <v>0.30062096422809631</v>
      </c>
      <c r="N252" s="52">
        <v>35828</v>
      </c>
      <c r="O252" s="51">
        <v>9716</v>
      </c>
      <c r="P252" s="51">
        <v>10159</v>
      </c>
      <c r="Q252" s="51">
        <v>9716</v>
      </c>
      <c r="R252" s="51">
        <v>10011</v>
      </c>
      <c r="S252" s="51">
        <v>10011</v>
      </c>
      <c r="T252" s="51">
        <v>0</v>
      </c>
      <c r="U252" s="53">
        <f t="shared" si="15"/>
        <v>2.9938271604938338E-2</v>
      </c>
    </row>
    <row r="253" spans="1:21" x14ac:dyDescent="0.2">
      <c r="A253" s="56">
        <v>41699</v>
      </c>
      <c r="B253" s="51">
        <v>47092</v>
      </c>
      <c r="C253" s="51">
        <v>50418</v>
      </c>
      <c r="D253" s="51">
        <v>44905</v>
      </c>
      <c r="E253" s="51">
        <v>50415</v>
      </c>
      <c r="F253" s="51">
        <v>50415</v>
      </c>
      <c r="G253" s="51">
        <v>67633000</v>
      </c>
      <c r="H253" s="53">
        <f t="shared" si="14"/>
        <v>7.0518537393298608E-2</v>
      </c>
      <c r="I253" s="53">
        <f t="shared" si="12"/>
        <v>-0.10535562180579217</v>
      </c>
      <c r="J253" s="53">
        <f>(VLOOKUP(DATE(YEAR(A253),MONTH(A253),1),'16. câmbio USD-BRL'!$A$3:$G$2250,2,)/VLOOKUP(DATE(YEAR(A193),MONTH(A193),1),'16. câmbio USD-BRL'!$A$3:$G$2250,2,))^(1/5)-1</f>
        <v>-3.8974992143553377E-3</v>
      </c>
      <c r="K253" s="53">
        <f t="shared" ref="K253:K316" si="16">I253-J253</f>
        <v>-0.10145812259143683</v>
      </c>
      <c r="L253" s="53">
        <f t="shared" si="13"/>
        <v>0.29645894203341355</v>
      </c>
      <c r="N253" s="52">
        <v>35835</v>
      </c>
      <c r="O253" s="51">
        <v>10007</v>
      </c>
      <c r="P253" s="51">
        <v>10495</v>
      </c>
      <c r="Q253" s="51">
        <v>10007</v>
      </c>
      <c r="R253" s="51">
        <v>10391</v>
      </c>
      <c r="S253" s="51">
        <v>10391</v>
      </c>
      <c r="T253" s="51">
        <v>0</v>
      </c>
      <c r="U253" s="53">
        <f t="shared" si="15"/>
        <v>3.7958245929477608E-2</v>
      </c>
    </row>
    <row r="254" spans="1:21" x14ac:dyDescent="0.2">
      <c r="A254" s="56">
        <v>41730</v>
      </c>
      <c r="B254" s="51">
        <v>50412</v>
      </c>
      <c r="C254" s="51">
        <v>53394</v>
      </c>
      <c r="D254" s="51">
        <v>49774</v>
      </c>
      <c r="E254" s="51">
        <v>51626</v>
      </c>
      <c r="F254" s="51">
        <v>51626</v>
      </c>
      <c r="G254" s="51">
        <v>72968400</v>
      </c>
      <c r="H254" s="53">
        <f t="shared" si="14"/>
        <v>2.402062878111666E-2</v>
      </c>
      <c r="I254" s="53">
        <f t="shared" ref="I254:I317" si="17">F254/F242-1</f>
        <v>-7.6623144339116434E-2</v>
      </c>
      <c r="J254" s="53">
        <f>(VLOOKUP(DATE(YEAR(A254),MONTH(A254),1),'16. câmbio USD-BRL'!$A$3:$G$2250,2,)/VLOOKUP(DATE(YEAR(A194),MONTH(A194),1),'16. câmbio USD-BRL'!$A$3:$G$2250,2,))^(1/5)-1</f>
        <v>3.9147943472157554E-3</v>
      </c>
      <c r="K254" s="53">
        <f t="shared" si="16"/>
        <v>-8.0537938686332189E-2</v>
      </c>
      <c r="L254" s="53">
        <f t="shared" si="13"/>
        <v>0.29364354374671137</v>
      </c>
      <c r="N254" s="52">
        <v>35842</v>
      </c>
      <c r="O254" s="51">
        <v>10365</v>
      </c>
      <c r="P254" s="51">
        <v>10445</v>
      </c>
      <c r="Q254" s="51">
        <v>10163</v>
      </c>
      <c r="R254" s="51">
        <v>10319</v>
      </c>
      <c r="S254" s="51">
        <v>10319</v>
      </c>
      <c r="T254" s="51">
        <v>0</v>
      </c>
      <c r="U254" s="53">
        <f t="shared" si="15"/>
        <v>-6.9290732364546415E-3</v>
      </c>
    </row>
    <row r="255" spans="1:21" x14ac:dyDescent="0.2">
      <c r="A255" s="56">
        <v>41760</v>
      </c>
      <c r="B255" s="51">
        <v>51630</v>
      </c>
      <c r="C255" s="51">
        <v>54459</v>
      </c>
      <c r="D255" s="51">
        <v>51239</v>
      </c>
      <c r="E255" s="51">
        <v>51239</v>
      </c>
      <c r="F255" s="51">
        <v>51239</v>
      </c>
      <c r="G255" s="51">
        <v>73703300</v>
      </c>
      <c r="H255" s="53">
        <f t="shared" si="14"/>
        <v>-7.4962228334559677E-3</v>
      </c>
      <c r="I255" s="53">
        <f t="shared" si="17"/>
        <v>-4.2369080103165979E-2</v>
      </c>
      <c r="J255" s="53">
        <f>(VLOOKUP(DATE(YEAR(A255),MONTH(A255),1),'16. câmbio USD-BRL'!$A$3:$G$2250,2,)/VLOOKUP(DATE(YEAR(A195),MONTH(A195),1),'16. câmbio USD-BRL'!$A$3:$G$2250,2,))^(1/5)-1</f>
        <v>2.5938346821338554E-2</v>
      </c>
      <c r="K255" s="53">
        <f t="shared" si="16"/>
        <v>-6.8307426924504533E-2</v>
      </c>
      <c r="L255" s="53">
        <f t="shared" si="13"/>
        <v>0.29139467466505065</v>
      </c>
      <c r="N255" s="52">
        <v>35849</v>
      </c>
      <c r="O255" s="51">
        <v>10198</v>
      </c>
      <c r="P255" s="51">
        <v>10626</v>
      </c>
      <c r="Q255" s="51">
        <v>10198</v>
      </c>
      <c r="R255" s="51">
        <v>10571</v>
      </c>
      <c r="S255" s="51">
        <v>10571</v>
      </c>
      <c r="T255" s="51">
        <v>0</v>
      </c>
      <c r="U255" s="53">
        <f t="shared" si="15"/>
        <v>2.4420971024324167E-2</v>
      </c>
    </row>
    <row r="256" spans="1:21" x14ac:dyDescent="0.2">
      <c r="A256" s="56">
        <v>41791</v>
      </c>
      <c r="B256" s="51">
        <v>51239</v>
      </c>
      <c r="C256" s="51">
        <v>55284</v>
      </c>
      <c r="D256" s="51">
        <v>51239</v>
      </c>
      <c r="E256" s="51">
        <v>53168</v>
      </c>
      <c r="F256" s="51">
        <v>53168</v>
      </c>
      <c r="G256" s="51">
        <v>53445000</v>
      </c>
      <c r="H256" s="53">
        <f t="shared" si="14"/>
        <v>3.7647104744432891E-2</v>
      </c>
      <c r="I256" s="53">
        <f t="shared" si="17"/>
        <v>0.12034051878542673</v>
      </c>
      <c r="J256" s="53">
        <f>(VLOOKUP(DATE(YEAR(A256),MONTH(A256),1),'16. câmbio USD-BRL'!$A$3:$G$2250,2,)/VLOOKUP(DATE(YEAR(A196),MONTH(A196),1),'16. câmbio USD-BRL'!$A$3:$G$2250,2,))^(1/5)-1</f>
        <v>2.5484459912004542E-2</v>
      </c>
      <c r="K256" s="53">
        <f t="shared" si="16"/>
        <v>9.4856058873422189E-2</v>
      </c>
      <c r="L256" s="53">
        <f t="shared" si="13"/>
        <v>0.28972048209056628</v>
      </c>
      <c r="N256" s="52">
        <v>35856</v>
      </c>
      <c r="O256" s="51">
        <v>10572</v>
      </c>
      <c r="P256" s="51">
        <v>11204</v>
      </c>
      <c r="Q256" s="51">
        <v>10572</v>
      </c>
      <c r="R256" s="51">
        <v>11159</v>
      </c>
      <c r="S256" s="51">
        <v>11159</v>
      </c>
      <c r="T256" s="51">
        <v>0</v>
      </c>
      <c r="U256" s="53">
        <f t="shared" si="15"/>
        <v>5.5623876643647652E-2</v>
      </c>
    </row>
    <row r="257" spans="1:21" x14ac:dyDescent="0.2">
      <c r="A257" s="56">
        <v>41821</v>
      </c>
      <c r="B257" s="51">
        <v>53170</v>
      </c>
      <c r="C257" s="51">
        <v>58138</v>
      </c>
      <c r="D257" s="51">
        <v>52735</v>
      </c>
      <c r="E257" s="51">
        <v>55829</v>
      </c>
      <c r="F257" s="51">
        <v>55829</v>
      </c>
      <c r="G257" s="51">
        <v>68057900</v>
      </c>
      <c r="H257" s="53">
        <f t="shared" si="14"/>
        <v>5.0048901594944351E-2</v>
      </c>
      <c r="I257" s="53">
        <f t="shared" si="17"/>
        <v>0.15746154165111736</v>
      </c>
      <c r="J257" s="53">
        <f>(VLOOKUP(DATE(YEAR(A257),MONTH(A257),1),'16. câmbio USD-BRL'!$A$3:$G$2250,2,)/VLOOKUP(DATE(YEAR(A197),MONTH(A197),1),'16. câmbio USD-BRL'!$A$3:$G$2250,2,))^(1/5)-1</f>
        <v>3.9526776841731115E-2</v>
      </c>
      <c r="K257" s="53">
        <f t="shared" si="16"/>
        <v>0.11793476480938625</v>
      </c>
      <c r="L257" s="53">
        <f t="shared" si="13"/>
        <v>0.28871069964518792</v>
      </c>
      <c r="N257" s="52">
        <v>35863</v>
      </c>
      <c r="O257" s="51">
        <v>11296</v>
      </c>
      <c r="P257" s="51">
        <v>11604</v>
      </c>
      <c r="Q257" s="51">
        <v>11121</v>
      </c>
      <c r="R257" s="51">
        <v>11566</v>
      </c>
      <c r="S257" s="51">
        <v>11566</v>
      </c>
      <c r="T257" s="51">
        <v>0</v>
      </c>
      <c r="U257" s="53">
        <f t="shared" si="15"/>
        <v>3.6472802222421441E-2</v>
      </c>
    </row>
    <row r="258" spans="1:21" x14ac:dyDescent="0.2">
      <c r="A258" s="56">
        <v>41852</v>
      </c>
      <c r="B258" s="51">
        <v>55827</v>
      </c>
      <c r="C258" s="51">
        <v>61442</v>
      </c>
      <c r="D258" s="51">
        <v>55239</v>
      </c>
      <c r="E258" s="51">
        <v>61288</v>
      </c>
      <c r="F258" s="51">
        <v>61288</v>
      </c>
      <c r="G258" s="51">
        <v>72747400</v>
      </c>
      <c r="H258" s="53">
        <f t="shared" si="14"/>
        <v>9.7780723280015858E-2</v>
      </c>
      <c r="I258" s="53">
        <f t="shared" si="17"/>
        <v>0.22556390977443619</v>
      </c>
      <c r="J258" s="53">
        <f>(VLOOKUP(DATE(YEAR(A258),MONTH(A258),1),'16. câmbio USD-BRL'!$A$3:$G$2250,2,)/VLOOKUP(DATE(YEAR(A198),MONTH(A198),1),'16. câmbio USD-BRL'!$A$3:$G$2250,2,))^(1/5)-1</f>
        <v>3.5269811543717777E-2</v>
      </c>
      <c r="K258" s="53">
        <f t="shared" si="16"/>
        <v>0.19029409823071841</v>
      </c>
      <c r="L258" s="53">
        <f t="shared" si="13"/>
        <v>0.28898191384538963</v>
      </c>
      <c r="N258" s="52">
        <v>35870</v>
      </c>
      <c r="O258" s="51">
        <v>11495</v>
      </c>
      <c r="P258" s="51">
        <v>11971</v>
      </c>
      <c r="Q258" s="51">
        <v>11495</v>
      </c>
      <c r="R258" s="51">
        <v>11919</v>
      </c>
      <c r="S258" s="51">
        <v>11919</v>
      </c>
      <c r="T258" s="51">
        <v>0</v>
      </c>
      <c r="U258" s="53">
        <f t="shared" si="15"/>
        <v>3.0520491094587543E-2</v>
      </c>
    </row>
    <row r="259" spans="1:21" x14ac:dyDescent="0.2">
      <c r="A259" s="56">
        <v>41883</v>
      </c>
      <c r="B259" s="51">
        <v>61294</v>
      </c>
      <c r="C259" s="51">
        <v>62305</v>
      </c>
      <c r="D259" s="51">
        <v>53536</v>
      </c>
      <c r="E259" s="51">
        <v>54116</v>
      </c>
      <c r="F259" s="51">
        <v>54116</v>
      </c>
      <c r="G259" s="51">
        <v>83748800</v>
      </c>
      <c r="H259" s="53">
        <f t="shared" si="14"/>
        <v>-0.11702127659574468</v>
      </c>
      <c r="I259" s="53">
        <f t="shared" si="17"/>
        <v>3.3971492987886487E-2</v>
      </c>
      <c r="J259" s="53">
        <f>(VLOOKUP(DATE(YEAR(A259),MONTH(A259),1),'16. câmbio USD-BRL'!$A$3:$G$2250,2,)/VLOOKUP(DATE(YEAR(A199),MONTH(A199),1),'16. câmbio USD-BRL'!$A$3:$G$2250,2,))^(1/5)-1</f>
        <v>6.6670197138616993E-2</v>
      </c>
      <c r="K259" s="53">
        <f t="shared" si="16"/>
        <v>-3.2698704150730507E-2</v>
      </c>
      <c r="L259" s="53">
        <f t="shared" si="13"/>
        <v>0.28930392141974492</v>
      </c>
      <c r="N259" s="52">
        <v>35877</v>
      </c>
      <c r="O259" s="51">
        <v>11804</v>
      </c>
      <c r="P259" s="51">
        <v>12112</v>
      </c>
      <c r="Q259" s="51">
        <v>11689</v>
      </c>
      <c r="R259" s="51">
        <v>11900</v>
      </c>
      <c r="S259" s="51">
        <v>11900</v>
      </c>
      <c r="T259" s="51">
        <v>0</v>
      </c>
      <c r="U259" s="53">
        <f t="shared" si="15"/>
        <v>-1.5940934642167948E-3</v>
      </c>
    </row>
    <row r="260" spans="1:21" x14ac:dyDescent="0.2">
      <c r="A260" s="56">
        <v>41913</v>
      </c>
      <c r="B260" s="51">
        <v>54115</v>
      </c>
      <c r="C260" s="51">
        <v>58897</v>
      </c>
      <c r="D260" s="51">
        <v>48722</v>
      </c>
      <c r="E260" s="51">
        <v>54629</v>
      </c>
      <c r="F260" s="51">
        <v>54629</v>
      </c>
      <c r="G260" s="51">
        <v>115826000</v>
      </c>
      <c r="H260" s="53">
        <f t="shared" si="14"/>
        <v>9.4796363367579684E-3</v>
      </c>
      <c r="I260" s="53">
        <f t="shared" si="17"/>
        <v>6.8748156885873879E-3</v>
      </c>
      <c r="J260" s="53">
        <f>(VLOOKUP(DATE(YEAR(A260),MONTH(A260),1),'16. câmbio USD-BRL'!$A$3:$G$2250,2,)/VLOOKUP(DATE(YEAR(A200),MONTH(A200),1),'16. câmbio USD-BRL'!$A$3:$G$2250,2,))^(1/5)-1</f>
        <v>7.0423617266713645E-2</v>
      </c>
      <c r="K260" s="53">
        <f t="shared" si="16"/>
        <v>-6.3548801578126257E-2</v>
      </c>
      <c r="L260" s="53">
        <f t="shared" ref="L260:L323" si="18">_xlfn.STDEV.S(K200:K260)</f>
        <v>0.28784962147908499</v>
      </c>
      <c r="N260" s="52">
        <v>35884</v>
      </c>
      <c r="O260" s="51">
        <v>11902</v>
      </c>
      <c r="P260" s="51">
        <v>11975</v>
      </c>
      <c r="Q260" s="51">
        <v>11494</v>
      </c>
      <c r="R260" s="51">
        <v>11634</v>
      </c>
      <c r="S260" s="51">
        <v>11634</v>
      </c>
      <c r="T260" s="51">
        <v>0</v>
      </c>
      <c r="U260" s="53">
        <f t="shared" si="15"/>
        <v>-2.2352941176470575E-2</v>
      </c>
    </row>
    <row r="261" spans="1:21" x14ac:dyDescent="0.2">
      <c r="A261" s="56">
        <v>41944</v>
      </c>
      <c r="B261" s="51">
        <v>54629</v>
      </c>
      <c r="C261" s="51">
        <v>57359</v>
      </c>
      <c r="D261" s="51">
        <v>50886</v>
      </c>
      <c r="E261" s="51">
        <v>54664</v>
      </c>
      <c r="F261" s="51">
        <v>54664</v>
      </c>
      <c r="G261" s="51">
        <v>67382100</v>
      </c>
      <c r="H261" s="53">
        <f t="shared" ref="H261:H324" si="19">F261/F260-1</f>
        <v>6.4068535027184126E-4</v>
      </c>
      <c r="I261" s="53">
        <f t="shared" si="17"/>
        <v>4.1576159445143146E-2</v>
      </c>
      <c r="J261" s="53">
        <f>(VLOOKUP(DATE(YEAR(A261),MONTH(A261),1),'16. câmbio USD-BRL'!$A$3:$G$2250,2,)/VLOOKUP(DATE(YEAR(A201),MONTH(A201),1),'16. câmbio USD-BRL'!$A$3:$G$2250,2,))^(1/5)-1</f>
        <v>7.8866675401962461E-2</v>
      </c>
      <c r="K261" s="53">
        <f t="shared" si="16"/>
        <v>-3.7290515956819315E-2</v>
      </c>
      <c r="L261" s="53">
        <f t="shared" si="18"/>
        <v>0.27433298179242582</v>
      </c>
      <c r="N261" s="52">
        <v>35891</v>
      </c>
      <c r="O261" s="51">
        <v>11637</v>
      </c>
      <c r="P261" s="51">
        <v>12008</v>
      </c>
      <c r="Q261" s="51">
        <v>11637</v>
      </c>
      <c r="R261" s="51">
        <v>11975</v>
      </c>
      <c r="S261" s="51">
        <v>11975</v>
      </c>
      <c r="T261" s="51">
        <v>0</v>
      </c>
      <c r="U261" s="53">
        <f t="shared" ref="U261:U324" si="20">S261/S260-1</f>
        <v>2.9310641223998735E-2</v>
      </c>
    </row>
    <row r="262" spans="1:21" x14ac:dyDescent="0.2">
      <c r="A262" s="56">
        <v>41974</v>
      </c>
      <c r="B262" s="51">
        <v>54719</v>
      </c>
      <c r="C262" s="51">
        <v>54719</v>
      </c>
      <c r="D262" s="51">
        <v>45853</v>
      </c>
      <c r="E262" s="51">
        <v>50007</v>
      </c>
      <c r="F262" s="51">
        <v>50007</v>
      </c>
      <c r="G262" s="51">
        <v>69815600</v>
      </c>
      <c r="H262" s="53">
        <f t="shared" si="19"/>
        <v>-8.5193180155129555E-2</v>
      </c>
      <c r="I262" s="53">
        <f t="shared" si="17"/>
        <v>-2.9122255227444827E-2</v>
      </c>
      <c r="J262" s="53">
        <f>(VLOOKUP(DATE(YEAR(A262),MONTH(A262),1),'16. câmbio USD-BRL'!$A$3:$G$2250,2,)/VLOOKUP(DATE(YEAR(A202),MONTH(A202),1),'16. câmbio USD-BRL'!$A$3:$G$2250,2,))^(1/5)-1</f>
        <v>8.8015737495763746E-2</v>
      </c>
      <c r="K262" s="53">
        <f t="shared" si="16"/>
        <v>-0.11713799272320857</v>
      </c>
      <c r="L262" s="53">
        <f t="shared" si="18"/>
        <v>0.25123155715805007</v>
      </c>
      <c r="N262" s="52">
        <v>35898</v>
      </c>
      <c r="O262" s="51">
        <v>11975</v>
      </c>
      <c r="P262" s="51">
        <v>12339</v>
      </c>
      <c r="Q262" s="51">
        <v>11965</v>
      </c>
      <c r="R262" s="51">
        <v>12109</v>
      </c>
      <c r="S262" s="51">
        <v>12109</v>
      </c>
      <c r="T262" s="51">
        <v>0</v>
      </c>
      <c r="U262" s="53">
        <f t="shared" si="20"/>
        <v>1.1189979123173321E-2</v>
      </c>
    </row>
    <row r="263" spans="1:21" x14ac:dyDescent="0.2">
      <c r="A263" s="56">
        <v>42005</v>
      </c>
      <c r="B263" s="51">
        <v>50005</v>
      </c>
      <c r="C263" s="51">
        <v>50281</v>
      </c>
      <c r="D263" s="51">
        <v>46484</v>
      </c>
      <c r="E263" s="51">
        <v>46908</v>
      </c>
      <c r="F263" s="51">
        <v>46908</v>
      </c>
      <c r="G263" s="51">
        <v>77719800</v>
      </c>
      <c r="H263" s="53">
        <f t="shared" si="19"/>
        <v>-6.1971324014637896E-2</v>
      </c>
      <c r="I263" s="53">
        <f t="shared" si="17"/>
        <v>-1.5344570624908127E-2</v>
      </c>
      <c r="J263" s="53">
        <f>(VLOOKUP(DATE(YEAR(A263),MONTH(A263),1),'16. câmbio USD-BRL'!$A$3:$G$2250,2,)/VLOOKUP(DATE(YEAR(A203),MONTH(A203),1),'16. câmbio USD-BRL'!$A$3:$G$2250,2,))^(1/5)-1</f>
        <v>7.3105540540171932E-2</v>
      </c>
      <c r="K263" s="53">
        <f t="shared" si="16"/>
        <v>-8.8450111165080059E-2</v>
      </c>
      <c r="L263" s="53">
        <f t="shared" si="18"/>
        <v>0.22477896711825707</v>
      </c>
      <c r="N263" s="52">
        <v>35905</v>
      </c>
      <c r="O263" s="51">
        <v>11988</v>
      </c>
      <c r="P263" s="51">
        <v>12202</v>
      </c>
      <c r="Q263" s="51">
        <v>11548</v>
      </c>
      <c r="R263" s="51">
        <v>11728</v>
      </c>
      <c r="S263" s="51">
        <v>11728</v>
      </c>
      <c r="T263" s="51">
        <v>0</v>
      </c>
      <c r="U263" s="53">
        <f t="shared" si="20"/>
        <v>-3.1464200181683055E-2</v>
      </c>
    </row>
    <row r="264" spans="1:21" x14ac:dyDescent="0.2">
      <c r="A264" s="56">
        <v>42036</v>
      </c>
      <c r="B264" s="51">
        <v>46933</v>
      </c>
      <c r="C264" s="51">
        <v>52457</v>
      </c>
      <c r="D264" s="51">
        <v>46760</v>
      </c>
      <c r="E264" s="51">
        <v>51583</v>
      </c>
      <c r="F264" s="51">
        <v>51583</v>
      </c>
      <c r="G264" s="51">
        <v>65310100</v>
      </c>
      <c r="H264" s="53">
        <f t="shared" si="19"/>
        <v>9.9663170461328665E-2</v>
      </c>
      <c r="I264" s="53">
        <f t="shared" si="17"/>
        <v>9.5319998301269804E-2</v>
      </c>
      <c r="J264" s="53">
        <f>(VLOOKUP(DATE(YEAR(A264),MONTH(A264),1),'16. câmbio USD-BRL'!$A$3:$G$2250,2,)/VLOOKUP(DATE(YEAR(A204),MONTH(A204),1),'16. câmbio USD-BRL'!$A$3:$G$2250,2,))^(1/5)-1</f>
        <v>9.4540497559009617E-2</v>
      </c>
      <c r="K264" s="53">
        <f t="shared" si="16"/>
        <v>7.7950074226018629E-4</v>
      </c>
      <c r="L264" s="53">
        <f t="shared" si="18"/>
        <v>0.20519000679191035</v>
      </c>
      <c r="N264" s="52">
        <v>35912</v>
      </c>
      <c r="O264" s="51">
        <v>11620</v>
      </c>
      <c r="P264" s="51">
        <v>11784</v>
      </c>
      <c r="Q264" s="51">
        <v>11051</v>
      </c>
      <c r="R264" s="51">
        <v>11677</v>
      </c>
      <c r="S264" s="51">
        <v>11677</v>
      </c>
      <c r="T264" s="51">
        <v>0</v>
      </c>
      <c r="U264" s="53">
        <f t="shared" si="20"/>
        <v>-4.3485675306957905E-3</v>
      </c>
    </row>
    <row r="265" spans="1:21" x14ac:dyDescent="0.2">
      <c r="A265" s="56">
        <v>42064</v>
      </c>
      <c r="B265" s="51">
        <v>51580</v>
      </c>
      <c r="C265" s="51">
        <v>52319</v>
      </c>
      <c r="D265" s="51">
        <v>47905</v>
      </c>
      <c r="E265" s="51">
        <v>51150</v>
      </c>
      <c r="F265" s="51">
        <v>51150</v>
      </c>
      <c r="G265" s="51">
        <v>79890000</v>
      </c>
      <c r="H265" s="53">
        <f t="shared" si="19"/>
        <v>-8.3942384118799174E-3</v>
      </c>
      <c r="I265" s="53">
        <f t="shared" si="17"/>
        <v>1.457899434692056E-2</v>
      </c>
      <c r="J265" s="53">
        <f>(VLOOKUP(DATE(YEAR(A265),MONTH(A265),1),'16. câmbio USD-BRL'!$A$3:$G$2250,2,)/VLOOKUP(DATE(YEAR(A205),MONTH(A205),1),'16. câmbio USD-BRL'!$A$3:$G$2250,2,))^(1/5)-1</f>
        <v>0.12370304061999571</v>
      </c>
      <c r="K265" s="53">
        <f t="shared" si="16"/>
        <v>-0.10912404627307515</v>
      </c>
      <c r="L265" s="53">
        <f t="shared" si="18"/>
        <v>0.17723900520739777</v>
      </c>
      <c r="N265" s="52">
        <v>35919</v>
      </c>
      <c r="O265" s="51">
        <v>11719</v>
      </c>
      <c r="P265" s="51">
        <v>11789</v>
      </c>
      <c r="Q265" s="51">
        <v>11009</v>
      </c>
      <c r="R265" s="51">
        <v>11220</v>
      </c>
      <c r="S265" s="51">
        <v>11220</v>
      </c>
      <c r="T265" s="51">
        <v>0</v>
      </c>
      <c r="U265" s="53">
        <f t="shared" si="20"/>
        <v>-3.9136764579943528E-2</v>
      </c>
    </row>
    <row r="266" spans="1:21" x14ac:dyDescent="0.2">
      <c r="A266" s="56">
        <v>42095</v>
      </c>
      <c r="B266" s="51">
        <v>51186</v>
      </c>
      <c r="C266" s="51">
        <v>56965</v>
      </c>
      <c r="D266" s="51">
        <v>51186</v>
      </c>
      <c r="E266" s="51">
        <v>56229</v>
      </c>
      <c r="F266" s="51">
        <v>56229</v>
      </c>
      <c r="G266" s="51">
        <v>81114600</v>
      </c>
      <c r="H266" s="53">
        <f t="shared" si="19"/>
        <v>9.929618768328452E-2</v>
      </c>
      <c r="I266" s="53">
        <f t="shared" si="17"/>
        <v>8.9160500522992292E-2</v>
      </c>
      <c r="J266" s="53">
        <f>(VLOOKUP(DATE(YEAR(A266),MONTH(A266),1),'16. câmbio USD-BRL'!$A$3:$G$2250,2,)/VLOOKUP(DATE(YEAR(A206),MONTH(A206),1),'16. câmbio USD-BRL'!$A$3:$G$2250,2,))^(1/5)-1</f>
        <v>0.11649837415391406</v>
      </c>
      <c r="K266" s="53">
        <f t="shared" si="16"/>
        <v>-2.7337873630921772E-2</v>
      </c>
      <c r="L266" s="53">
        <f t="shared" si="18"/>
        <v>0.14316618957447977</v>
      </c>
      <c r="N266" s="52">
        <v>35926</v>
      </c>
      <c r="O266" s="51">
        <v>11220</v>
      </c>
      <c r="P266" s="51">
        <v>11369</v>
      </c>
      <c r="Q266" s="51">
        <v>10591</v>
      </c>
      <c r="R266" s="51">
        <v>10906</v>
      </c>
      <c r="S266" s="51">
        <v>10906</v>
      </c>
      <c r="T266" s="51">
        <v>0</v>
      </c>
      <c r="U266" s="53">
        <f t="shared" si="20"/>
        <v>-2.7985739750445604E-2</v>
      </c>
    </row>
    <row r="267" spans="1:21" x14ac:dyDescent="0.2">
      <c r="A267" s="56">
        <v>42125</v>
      </c>
      <c r="B267" s="51">
        <v>56230</v>
      </c>
      <c r="C267" s="51">
        <v>58575</v>
      </c>
      <c r="D267" s="51">
        <v>52760</v>
      </c>
      <c r="E267" s="51">
        <v>52760</v>
      </c>
      <c r="F267" s="51">
        <v>52760</v>
      </c>
      <c r="G267" s="51">
        <v>67845700</v>
      </c>
      <c r="H267" s="53">
        <f t="shared" si="19"/>
        <v>-6.1694143591385253E-2</v>
      </c>
      <c r="I267" s="53">
        <f t="shared" si="17"/>
        <v>2.968442007064942E-2</v>
      </c>
      <c r="J267" s="53">
        <f>(VLOOKUP(DATE(YEAR(A267),MONTH(A267),1),'16. câmbio USD-BRL'!$A$3:$G$2250,2,)/VLOOKUP(DATE(YEAR(A207),MONTH(A207),1),'16. câmbio USD-BRL'!$A$3:$G$2250,2,))^(1/5)-1</f>
        <v>0.11804918937785436</v>
      </c>
      <c r="K267" s="53">
        <f t="shared" si="16"/>
        <v>-8.8364769307204938E-2</v>
      </c>
      <c r="L267" s="53">
        <f t="shared" si="18"/>
        <v>0.12647862526600351</v>
      </c>
      <c r="N267" s="52">
        <v>35933</v>
      </c>
      <c r="O267" s="51">
        <v>10906</v>
      </c>
      <c r="P267" s="51">
        <v>10908</v>
      </c>
      <c r="Q267" s="51">
        <v>10007</v>
      </c>
      <c r="R267" s="51">
        <v>10240</v>
      </c>
      <c r="S267" s="51">
        <v>10240</v>
      </c>
      <c r="T267" s="51">
        <v>0</v>
      </c>
      <c r="U267" s="53">
        <f t="shared" si="20"/>
        <v>-6.1067302402347368E-2</v>
      </c>
    </row>
    <row r="268" spans="1:21" x14ac:dyDescent="0.2">
      <c r="A268" s="56">
        <v>42156</v>
      </c>
      <c r="B268" s="51">
        <v>52753</v>
      </c>
      <c r="C268" s="51">
        <v>54361</v>
      </c>
      <c r="D268" s="51">
        <v>52548</v>
      </c>
      <c r="E268" s="51">
        <v>53081</v>
      </c>
      <c r="F268" s="51">
        <v>53081</v>
      </c>
      <c r="G268" s="51">
        <v>61236200</v>
      </c>
      <c r="H268" s="53">
        <f t="shared" si="19"/>
        <v>6.0841546626231313E-3</v>
      </c>
      <c r="I268" s="53">
        <f t="shared" si="17"/>
        <v>-1.6363226000601916E-3</v>
      </c>
      <c r="J268" s="53">
        <f>(VLOOKUP(DATE(YEAR(A268),MONTH(A268),1),'16. câmbio USD-BRL'!$A$3:$G$2250,2,)/VLOOKUP(DATE(YEAR(A208),MONTH(A208),1),'16. câmbio USD-BRL'!$A$3:$G$2250,2,))^(1/5)-1</f>
        <v>0.1145867178297022</v>
      </c>
      <c r="K268" s="53">
        <f t="shared" si="16"/>
        <v>-0.11622304042976239</v>
      </c>
      <c r="L268" s="53">
        <f t="shared" si="18"/>
        <v>0.12204558165536915</v>
      </c>
      <c r="N268" s="52">
        <v>35940</v>
      </c>
      <c r="O268" s="51">
        <v>10240</v>
      </c>
      <c r="P268" s="51">
        <v>10240</v>
      </c>
      <c r="Q268" s="51">
        <v>8971</v>
      </c>
      <c r="R268" s="51">
        <v>9847</v>
      </c>
      <c r="S268" s="51">
        <v>9847</v>
      </c>
      <c r="T268" s="51">
        <v>0</v>
      </c>
      <c r="U268" s="53">
        <f t="shared" si="20"/>
        <v>-3.8378906249999956E-2</v>
      </c>
    </row>
    <row r="269" spans="1:21" x14ac:dyDescent="0.2">
      <c r="A269" s="56">
        <v>42186</v>
      </c>
      <c r="B269" s="51">
        <v>53081</v>
      </c>
      <c r="C269" s="51">
        <v>53456</v>
      </c>
      <c r="D269" s="51">
        <v>48624</v>
      </c>
      <c r="E269" s="51">
        <v>50865</v>
      </c>
      <c r="F269" s="51">
        <v>50865</v>
      </c>
      <c r="G269" s="51">
        <v>65571800</v>
      </c>
      <c r="H269" s="53">
        <f t="shared" si="19"/>
        <v>-4.1747517944273893E-2</v>
      </c>
      <c r="I269" s="53">
        <f t="shared" si="17"/>
        <v>-8.8914363502838989E-2</v>
      </c>
      <c r="J269" s="53">
        <f>(VLOOKUP(DATE(YEAR(A269),MONTH(A269),1),'16. câmbio USD-BRL'!$A$3:$G$2250,2,)/VLOOKUP(DATE(YEAR(A209),MONTH(A209),1),'16. câmbio USD-BRL'!$A$3:$G$2250,2,))^(1/5)-1</f>
        <v>0.14295669225584029</v>
      </c>
      <c r="K269" s="53">
        <f t="shared" si="16"/>
        <v>-0.23187105575867928</v>
      </c>
      <c r="L269" s="53">
        <f t="shared" si="18"/>
        <v>0.11952648137174271</v>
      </c>
      <c r="N269" s="52">
        <v>35947</v>
      </c>
      <c r="O269" s="51">
        <v>9750</v>
      </c>
      <c r="P269" s="51">
        <v>10447</v>
      </c>
      <c r="Q269" s="51">
        <v>9486</v>
      </c>
      <c r="R269" s="51">
        <v>10370</v>
      </c>
      <c r="S269" s="51">
        <v>10370</v>
      </c>
      <c r="T269" s="51">
        <v>0</v>
      </c>
      <c r="U269" s="53">
        <f t="shared" si="20"/>
        <v>5.3112623133949377E-2</v>
      </c>
    </row>
    <row r="270" spans="1:21" x14ac:dyDescent="0.2">
      <c r="A270" s="56">
        <v>42217</v>
      </c>
      <c r="B270" s="51">
        <v>50867</v>
      </c>
      <c r="C270" s="51">
        <v>50867</v>
      </c>
      <c r="D270" s="51">
        <v>42749</v>
      </c>
      <c r="E270" s="51">
        <v>46626</v>
      </c>
      <c r="F270" s="51">
        <v>46626</v>
      </c>
      <c r="G270" s="51">
        <v>71135200</v>
      </c>
      <c r="H270" s="53">
        <f t="shared" si="19"/>
        <v>-8.3338248304335005E-2</v>
      </c>
      <c r="I270" s="53">
        <f t="shared" si="17"/>
        <v>-0.23923117086542223</v>
      </c>
      <c r="J270" s="53">
        <f>(VLOOKUP(DATE(YEAR(A270),MONTH(A270),1),'16. câmbio USD-BRL'!$A$3:$G$2250,2,)/VLOOKUP(DATE(YEAR(A210),MONTH(A210),1),'16. câmbio USD-BRL'!$A$3:$G$2250,2,))^(1/5)-1</f>
        <v>0.15576487705414777</v>
      </c>
      <c r="K270" s="53">
        <f t="shared" si="16"/>
        <v>-0.39499604791956999</v>
      </c>
      <c r="L270" s="53">
        <f t="shared" si="18"/>
        <v>0.11992611515191383</v>
      </c>
      <c r="N270" s="52">
        <v>35954</v>
      </c>
      <c r="O270" s="51">
        <v>10370</v>
      </c>
      <c r="P270" s="51">
        <v>10563</v>
      </c>
      <c r="Q270" s="51">
        <v>9311</v>
      </c>
      <c r="R270" s="51">
        <v>9585</v>
      </c>
      <c r="S270" s="51">
        <v>9585</v>
      </c>
      <c r="T270" s="51">
        <v>0</v>
      </c>
      <c r="U270" s="53">
        <f t="shared" si="20"/>
        <v>-7.5699132111861189E-2</v>
      </c>
    </row>
    <row r="271" spans="1:21" x14ac:dyDescent="0.2">
      <c r="A271" s="56">
        <v>42248</v>
      </c>
      <c r="B271" s="51">
        <v>46625</v>
      </c>
      <c r="C271" s="51">
        <v>49396</v>
      </c>
      <c r="D271" s="51">
        <v>43767</v>
      </c>
      <c r="E271" s="51">
        <v>45059</v>
      </c>
      <c r="F271" s="51">
        <v>45059</v>
      </c>
      <c r="G271" s="51">
        <v>79146200</v>
      </c>
      <c r="H271" s="53">
        <f t="shared" si="19"/>
        <v>-3.3607858276498037E-2</v>
      </c>
      <c r="I271" s="53">
        <f t="shared" si="17"/>
        <v>-0.16736270234311479</v>
      </c>
      <c r="J271" s="53">
        <f>(VLOOKUP(DATE(YEAR(A271),MONTH(A271),1),'16. câmbio USD-BRL'!$A$3:$G$2250,2,)/VLOOKUP(DATE(YEAR(A211),MONTH(A211),1),'16. câmbio USD-BRL'!$A$3:$G$2250,2,))^(1/5)-1</f>
        <v>0.18534759503323017</v>
      </c>
      <c r="K271" s="53">
        <f t="shared" si="16"/>
        <v>-0.35271029737634496</v>
      </c>
      <c r="L271" s="53">
        <f t="shared" si="18"/>
        <v>0.12098540516898258</v>
      </c>
      <c r="N271" s="52">
        <v>35961</v>
      </c>
      <c r="O271" s="51">
        <v>9582</v>
      </c>
      <c r="P271" s="51">
        <v>9908</v>
      </c>
      <c r="Q271" s="51">
        <v>9062</v>
      </c>
      <c r="R271" s="51">
        <v>9687</v>
      </c>
      <c r="S271" s="51">
        <v>9687</v>
      </c>
      <c r="T271" s="51">
        <v>0</v>
      </c>
      <c r="U271" s="53">
        <f t="shared" si="20"/>
        <v>1.0641627543036103E-2</v>
      </c>
    </row>
    <row r="272" spans="1:21" x14ac:dyDescent="0.2">
      <c r="A272" s="56">
        <v>42278</v>
      </c>
      <c r="B272" s="51">
        <v>45064</v>
      </c>
      <c r="C272" s="51">
        <v>49752</v>
      </c>
      <c r="D272" s="51">
        <v>44789</v>
      </c>
      <c r="E272" s="51">
        <v>45869</v>
      </c>
      <c r="F272" s="51">
        <v>45869</v>
      </c>
      <c r="G272" s="51">
        <v>78617500</v>
      </c>
      <c r="H272" s="53">
        <f t="shared" si="19"/>
        <v>1.7976430901706753E-2</v>
      </c>
      <c r="I272" s="53">
        <f t="shared" si="17"/>
        <v>-0.16035439052517897</v>
      </c>
      <c r="J272" s="53">
        <f>(VLOOKUP(DATE(YEAR(A272),MONTH(A272),1),'16. câmbio USD-BRL'!$A$3:$G$2250,2,)/VLOOKUP(DATE(YEAR(A212),MONTH(A212),1),'16. câmbio USD-BRL'!$A$3:$G$2250,2,))^(1/5)-1</f>
        <v>0.17783739898720174</v>
      </c>
      <c r="K272" s="53">
        <f t="shared" si="16"/>
        <v>-0.33819178951238071</v>
      </c>
      <c r="L272" s="53">
        <f t="shared" si="18"/>
        <v>0.12179632667949138</v>
      </c>
      <c r="N272" s="52">
        <v>35968</v>
      </c>
      <c r="O272" s="51">
        <v>9687</v>
      </c>
      <c r="P272" s="51">
        <v>9978</v>
      </c>
      <c r="Q272" s="51">
        <v>9269</v>
      </c>
      <c r="R272" s="51">
        <v>9464</v>
      </c>
      <c r="S272" s="51">
        <v>9464</v>
      </c>
      <c r="T272" s="51">
        <v>0</v>
      </c>
      <c r="U272" s="53">
        <f t="shared" si="20"/>
        <v>-2.3020542995767501E-2</v>
      </c>
    </row>
    <row r="273" spans="1:21" x14ac:dyDescent="0.2">
      <c r="A273" s="56">
        <v>42309</v>
      </c>
      <c r="B273" s="51">
        <v>45869</v>
      </c>
      <c r="C273" s="51">
        <v>49054</v>
      </c>
      <c r="D273" s="51">
        <v>45106</v>
      </c>
      <c r="E273" s="51">
        <v>45120</v>
      </c>
      <c r="F273" s="51">
        <v>45120</v>
      </c>
      <c r="G273" s="51">
        <v>66640000</v>
      </c>
      <c r="H273" s="53">
        <f t="shared" si="19"/>
        <v>-1.6329111164402943E-2</v>
      </c>
      <c r="I273" s="53">
        <f t="shared" si="17"/>
        <v>-0.1745938826284209</v>
      </c>
      <c r="J273" s="53">
        <f>(VLOOKUP(DATE(YEAR(A273),MONTH(A273),1),'16. câmbio USD-BRL'!$A$3:$G$2250,2,)/VLOOKUP(DATE(YEAR(A213),MONTH(A213),1),'16. câmbio USD-BRL'!$A$3:$G$2250,2,))^(1/5)-1</f>
        <v>0.17670316360026717</v>
      </c>
      <c r="K273" s="53">
        <f t="shared" si="16"/>
        <v>-0.35129704622868807</v>
      </c>
      <c r="L273" s="53">
        <f t="shared" si="18"/>
        <v>0.12171849928484693</v>
      </c>
      <c r="N273" s="52">
        <v>35975</v>
      </c>
      <c r="O273" s="51">
        <v>9464</v>
      </c>
      <c r="P273" s="51">
        <v>10116</v>
      </c>
      <c r="Q273" s="51">
        <v>9464</v>
      </c>
      <c r="R273" s="51">
        <v>10116</v>
      </c>
      <c r="S273" s="51">
        <v>10116</v>
      </c>
      <c r="T273" s="51">
        <v>0</v>
      </c>
      <c r="U273" s="53">
        <f t="shared" si="20"/>
        <v>6.8892645815722631E-2</v>
      </c>
    </row>
    <row r="274" spans="1:21" x14ac:dyDescent="0.2">
      <c r="A274" s="56">
        <v>42339</v>
      </c>
      <c r="B274" s="51">
        <v>45121</v>
      </c>
      <c r="C274" s="51">
        <v>47142</v>
      </c>
      <c r="D274" s="51">
        <v>43137</v>
      </c>
      <c r="E274" s="51">
        <v>43350</v>
      </c>
      <c r="F274" s="51">
        <v>43350</v>
      </c>
      <c r="G274" s="51">
        <v>64358600</v>
      </c>
      <c r="H274" s="53">
        <f t="shared" si="19"/>
        <v>-3.9228723404255317E-2</v>
      </c>
      <c r="I274" s="53">
        <f t="shared" si="17"/>
        <v>-0.13312136300917876</v>
      </c>
      <c r="J274" s="53">
        <f>(VLOOKUP(DATE(YEAR(A274),MONTH(A274),1),'16. câmbio USD-BRL'!$A$3:$G$2250,2,)/VLOOKUP(DATE(YEAR(A214),MONTH(A214),1),'16. câmbio USD-BRL'!$A$3:$G$2250,2,))^(1/5)-1</f>
        <v>0.19003882730367327</v>
      </c>
      <c r="K274" s="53">
        <f t="shared" si="16"/>
        <v>-0.32316019031285204</v>
      </c>
      <c r="L274" s="53">
        <f t="shared" si="18"/>
        <v>0.12426851073994698</v>
      </c>
      <c r="N274" s="52">
        <v>35982</v>
      </c>
      <c r="O274" s="51">
        <v>10116</v>
      </c>
      <c r="P274" s="51">
        <v>10387</v>
      </c>
      <c r="Q274" s="51">
        <v>9886</v>
      </c>
      <c r="R274" s="51">
        <v>10327</v>
      </c>
      <c r="S274" s="51">
        <v>10327</v>
      </c>
      <c r="T274" s="51">
        <v>0</v>
      </c>
      <c r="U274" s="53">
        <f t="shared" si="20"/>
        <v>2.0858046658758456E-2</v>
      </c>
    </row>
    <row r="275" spans="1:21" x14ac:dyDescent="0.2">
      <c r="A275" s="56">
        <v>42370</v>
      </c>
      <c r="B275" s="51">
        <v>43349</v>
      </c>
      <c r="C275" s="51">
        <v>43349</v>
      </c>
      <c r="D275" s="51">
        <v>37046</v>
      </c>
      <c r="E275" s="51">
        <v>40406</v>
      </c>
      <c r="F275" s="51">
        <v>40406</v>
      </c>
      <c r="G275" s="51">
        <v>70039500</v>
      </c>
      <c r="H275" s="53">
        <f t="shared" si="19"/>
        <v>-6.7912341407151078E-2</v>
      </c>
      <c r="I275" s="53">
        <f t="shared" si="17"/>
        <v>-0.13861175066086806</v>
      </c>
      <c r="J275" s="53">
        <f>(VLOOKUP(DATE(YEAR(A275),MONTH(A275),1),'16. câmbio USD-BRL'!$A$3:$G$2250,2,)/VLOOKUP(DATE(YEAR(A215),MONTH(A215),1),'16. câmbio USD-BRL'!$A$3:$G$2250,2,))^(1/5)-1</f>
        <v>0.19116731519856245</v>
      </c>
      <c r="K275" s="53">
        <f t="shared" si="16"/>
        <v>-0.32977906585943051</v>
      </c>
      <c r="L275" s="53">
        <f t="shared" si="18"/>
        <v>0.12627651781550403</v>
      </c>
      <c r="N275" s="52">
        <v>35989</v>
      </c>
      <c r="O275" s="51">
        <v>10353</v>
      </c>
      <c r="P275" s="51">
        <v>11110</v>
      </c>
      <c r="Q275" s="51">
        <v>10353</v>
      </c>
      <c r="R275" s="51">
        <v>11057</v>
      </c>
      <c r="S275" s="51">
        <v>11057</v>
      </c>
      <c r="T275" s="51">
        <v>0</v>
      </c>
      <c r="U275" s="53">
        <f t="shared" si="20"/>
        <v>7.068848649172077E-2</v>
      </c>
    </row>
    <row r="276" spans="1:21" x14ac:dyDescent="0.2">
      <c r="A276" s="56">
        <v>42401</v>
      </c>
      <c r="B276" s="51">
        <v>40397</v>
      </c>
      <c r="C276" s="51">
        <v>43601</v>
      </c>
      <c r="D276" s="51">
        <v>38596</v>
      </c>
      <c r="E276" s="51">
        <v>42794</v>
      </c>
      <c r="F276" s="51">
        <v>42794</v>
      </c>
      <c r="G276" s="51">
        <v>73592000</v>
      </c>
      <c r="H276" s="53">
        <f t="shared" si="19"/>
        <v>5.9100133643518182E-2</v>
      </c>
      <c r="I276" s="53">
        <f t="shared" si="17"/>
        <v>-0.1703855921524533</v>
      </c>
      <c r="J276" s="53">
        <f>(VLOOKUP(DATE(YEAR(A276),MONTH(A276),1),'16. câmbio USD-BRL'!$A$3:$G$2250,2,)/VLOOKUP(DATE(YEAR(A216),MONTH(A216),1),'16. câmbio USD-BRL'!$A$3:$G$2250,2,))^(1/5)-1</f>
        <v>0.192785372558407</v>
      </c>
      <c r="K276" s="53">
        <f t="shared" si="16"/>
        <v>-0.3631709647108603</v>
      </c>
      <c r="L276" s="53">
        <f t="shared" si="18"/>
        <v>0.12905701973729006</v>
      </c>
      <c r="N276" s="52">
        <v>35996</v>
      </c>
      <c r="O276" s="51">
        <v>11057</v>
      </c>
      <c r="P276" s="51">
        <v>11156</v>
      </c>
      <c r="Q276" s="51">
        <v>10403</v>
      </c>
      <c r="R276" s="51">
        <v>10575</v>
      </c>
      <c r="S276" s="51">
        <v>10575</v>
      </c>
      <c r="T276" s="51">
        <v>0</v>
      </c>
      <c r="U276" s="53">
        <f t="shared" si="20"/>
        <v>-4.3592294474088855E-2</v>
      </c>
    </row>
    <row r="277" spans="1:21" x14ac:dyDescent="0.2">
      <c r="A277" s="56">
        <v>42430</v>
      </c>
      <c r="B277" s="51">
        <v>42795</v>
      </c>
      <c r="C277" s="51">
        <v>52262</v>
      </c>
      <c r="D277" s="51">
        <v>42795</v>
      </c>
      <c r="E277" s="51">
        <v>50055</v>
      </c>
      <c r="F277" s="51">
        <v>50055</v>
      </c>
      <c r="G277" s="51">
        <v>121365300</v>
      </c>
      <c r="H277" s="53">
        <f t="shared" si="19"/>
        <v>0.16967331868953583</v>
      </c>
      <c r="I277" s="53">
        <f t="shared" si="17"/>
        <v>-2.1407624633431044E-2</v>
      </c>
      <c r="J277" s="53">
        <f>(VLOOKUP(DATE(YEAR(A277),MONTH(A277),1),'16. câmbio USD-BRL'!$A$3:$G$2250,2,)/VLOOKUP(DATE(YEAR(A217),MONTH(A217),1),'16. câmbio USD-BRL'!$A$3:$G$2250,2,))^(1/5)-1</f>
        <v>0.17100702094044018</v>
      </c>
      <c r="K277" s="53">
        <f t="shared" si="16"/>
        <v>-0.19241464557387122</v>
      </c>
      <c r="L277" s="53">
        <f t="shared" si="18"/>
        <v>0.12786852204875315</v>
      </c>
      <c r="N277" s="52">
        <v>36003</v>
      </c>
      <c r="O277" s="51">
        <v>10575</v>
      </c>
      <c r="P277" s="51">
        <v>11064</v>
      </c>
      <c r="Q277" s="51">
        <v>10234</v>
      </c>
      <c r="R277" s="51">
        <v>10707</v>
      </c>
      <c r="S277" s="51">
        <v>10707</v>
      </c>
      <c r="T277" s="51">
        <v>0</v>
      </c>
      <c r="U277" s="53">
        <f t="shared" si="20"/>
        <v>1.2482269503546028E-2</v>
      </c>
    </row>
    <row r="278" spans="1:21" x14ac:dyDescent="0.2">
      <c r="A278" s="56">
        <v>42461</v>
      </c>
      <c r="B278" s="51">
        <v>50054</v>
      </c>
      <c r="C278" s="51">
        <v>54978</v>
      </c>
      <c r="D278" s="51">
        <v>47874</v>
      </c>
      <c r="E278" s="51">
        <v>53911</v>
      </c>
      <c r="F278" s="51">
        <v>53911</v>
      </c>
      <c r="G278" s="51">
        <v>88910200</v>
      </c>
      <c r="H278" s="53">
        <f t="shared" si="19"/>
        <v>7.7035261212666128E-2</v>
      </c>
      <c r="I278" s="53">
        <f t="shared" si="17"/>
        <v>-4.1224279286489196E-2</v>
      </c>
      <c r="J278" s="53">
        <f>(VLOOKUP(DATE(YEAR(A278),MONTH(A278),1),'16. câmbio USD-BRL'!$A$3:$G$2250,2,)/VLOOKUP(DATE(YEAR(A218),MONTH(A218),1),'16. câmbio USD-BRL'!$A$3:$G$2250,2,))^(1/5)-1</f>
        <v>0.16845422018695766</v>
      </c>
      <c r="K278" s="53">
        <f t="shared" si="16"/>
        <v>-0.20967849947344686</v>
      </c>
      <c r="L278" s="53">
        <f t="shared" si="18"/>
        <v>0.1273719051651023</v>
      </c>
      <c r="N278" s="52">
        <v>36010</v>
      </c>
      <c r="O278" s="51">
        <v>10705</v>
      </c>
      <c r="P278" s="51">
        <v>10705</v>
      </c>
      <c r="Q278" s="51">
        <v>9194</v>
      </c>
      <c r="R278" s="51">
        <v>9319</v>
      </c>
      <c r="S278" s="51">
        <v>9319</v>
      </c>
      <c r="T278" s="51">
        <v>0</v>
      </c>
      <c r="U278" s="53">
        <f t="shared" si="20"/>
        <v>-0.12963481834314006</v>
      </c>
    </row>
    <row r="279" spans="1:21" x14ac:dyDescent="0.2">
      <c r="A279" s="56">
        <v>42491</v>
      </c>
      <c r="B279" s="51">
        <v>53910</v>
      </c>
      <c r="C279" s="51">
        <v>54113</v>
      </c>
      <c r="D279" s="51">
        <v>48292</v>
      </c>
      <c r="E279" s="51">
        <v>48472</v>
      </c>
      <c r="F279" s="51">
        <v>48472</v>
      </c>
      <c r="G279" s="51">
        <v>79045000</v>
      </c>
      <c r="H279" s="53">
        <f t="shared" si="19"/>
        <v>-0.10088850141900541</v>
      </c>
      <c r="I279" s="53">
        <f t="shared" si="17"/>
        <v>-8.1273692191053848E-2</v>
      </c>
      <c r="J279" s="53">
        <f>(VLOOKUP(DATE(YEAR(A279),MONTH(A279),1),'16. câmbio USD-BRL'!$A$3:$G$2250,2,)/VLOOKUP(DATE(YEAR(A219),MONTH(A219),1),'16. câmbio USD-BRL'!$A$3:$G$2250,2,))^(1/5)-1</f>
        <v>0.17976765624961866</v>
      </c>
      <c r="K279" s="53">
        <f t="shared" si="16"/>
        <v>-0.2610413484406725</v>
      </c>
      <c r="L279" s="53">
        <f t="shared" si="18"/>
        <v>0.12749839894133599</v>
      </c>
      <c r="N279" s="52">
        <v>36017</v>
      </c>
      <c r="O279" s="51">
        <v>9319</v>
      </c>
      <c r="P279" s="51">
        <v>9319</v>
      </c>
      <c r="Q279" s="51">
        <v>8364</v>
      </c>
      <c r="R279" s="51">
        <v>8744</v>
      </c>
      <c r="S279" s="51">
        <v>8744</v>
      </c>
      <c r="T279" s="51">
        <v>0</v>
      </c>
      <c r="U279" s="53">
        <f t="shared" si="20"/>
        <v>-6.1701899345423361E-2</v>
      </c>
    </row>
    <row r="280" spans="1:21" x14ac:dyDescent="0.2">
      <c r="A280" s="56">
        <v>42522</v>
      </c>
      <c r="B280" s="51">
        <v>48468</v>
      </c>
      <c r="C280" s="51">
        <v>51812</v>
      </c>
      <c r="D280" s="51">
        <v>48067</v>
      </c>
      <c r="E280" s="51">
        <v>51527</v>
      </c>
      <c r="F280" s="51">
        <v>51527</v>
      </c>
      <c r="G280" s="51">
        <v>79032100</v>
      </c>
      <c r="H280" s="53">
        <f t="shared" si="19"/>
        <v>6.3026076910381201E-2</v>
      </c>
      <c r="I280" s="53">
        <f t="shared" si="17"/>
        <v>-2.9276012132401386E-2</v>
      </c>
      <c r="J280" s="53">
        <f>(VLOOKUP(DATE(YEAR(A280),MONTH(A280),1),'16. câmbio USD-BRL'!$A$3:$G$2250,2,)/VLOOKUP(DATE(YEAR(A220),MONTH(A220),1),'16. câmbio USD-BRL'!$A$3:$G$2250,2,))^(1/5)-1</f>
        <v>0.15516928055628498</v>
      </c>
      <c r="K280" s="53">
        <f t="shared" si="16"/>
        <v>-0.18444529268868637</v>
      </c>
      <c r="L280" s="53">
        <f t="shared" si="18"/>
        <v>0.12482498587753807</v>
      </c>
      <c r="N280" s="52">
        <v>36024</v>
      </c>
      <c r="O280" s="51">
        <v>8744</v>
      </c>
      <c r="P280" s="51">
        <v>8842</v>
      </c>
      <c r="Q280" s="51">
        <v>7191</v>
      </c>
      <c r="R280" s="51">
        <v>7764</v>
      </c>
      <c r="S280" s="51">
        <v>7764</v>
      </c>
      <c r="T280" s="51">
        <v>0</v>
      </c>
      <c r="U280" s="53">
        <f t="shared" si="20"/>
        <v>-0.11207685269899359</v>
      </c>
    </row>
    <row r="281" spans="1:21" x14ac:dyDescent="0.2">
      <c r="A281" s="56">
        <v>42552</v>
      </c>
      <c r="B281" s="51">
        <v>51540</v>
      </c>
      <c r="C281" s="51">
        <v>57474</v>
      </c>
      <c r="D281" s="51">
        <v>50825</v>
      </c>
      <c r="E281" s="51">
        <v>57308</v>
      </c>
      <c r="F281" s="51">
        <v>57308</v>
      </c>
      <c r="G281" s="51">
        <v>75165800</v>
      </c>
      <c r="H281" s="53">
        <f t="shared" si="19"/>
        <v>0.11219360723504179</v>
      </c>
      <c r="I281" s="53">
        <f t="shared" si="17"/>
        <v>0.12666863265506723</v>
      </c>
      <c r="J281" s="53">
        <f>(VLOOKUP(DATE(YEAR(A281),MONTH(A281),1),'16. câmbio USD-BRL'!$A$3:$G$2250,2,)/VLOOKUP(DATE(YEAR(A221),MONTH(A221),1),'16. câmbio USD-BRL'!$A$3:$G$2250,2,))^(1/5)-1</f>
        <v>0.159655426155628</v>
      </c>
      <c r="K281" s="53">
        <f t="shared" si="16"/>
        <v>-3.2986793500560774E-2</v>
      </c>
      <c r="L281" s="53">
        <f t="shared" si="18"/>
        <v>0.12246367611210718</v>
      </c>
      <c r="N281" s="52">
        <v>36031</v>
      </c>
      <c r="O281" s="51">
        <v>7764</v>
      </c>
      <c r="P281" s="51">
        <v>7933</v>
      </c>
      <c r="Q281" s="51">
        <v>6530</v>
      </c>
      <c r="R281" s="51">
        <v>6746</v>
      </c>
      <c r="S281" s="51">
        <v>6746</v>
      </c>
      <c r="T281" s="51">
        <v>0</v>
      </c>
      <c r="U281" s="53">
        <f t="shared" si="20"/>
        <v>-0.1311179804224627</v>
      </c>
    </row>
    <row r="282" spans="1:21" x14ac:dyDescent="0.2">
      <c r="A282" s="56">
        <v>42583</v>
      </c>
      <c r="B282" s="51">
        <v>57309</v>
      </c>
      <c r="C282" s="51">
        <v>59418</v>
      </c>
      <c r="D282" s="51">
        <v>55696</v>
      </c>
      <c r="E282" s="51">
        <v>57901</v>
      </c>
      <c r="F282" s="51">
        <v>57901</v>
      </c>
      <c r="G282" s="51">
        <v>80937900</v>
      </c>
      <c r="H282" s="53">
        <f t="shared" si="19"/>
        <v>1.034759544915187E-2</v>
      </c>
      <c r="I282" s="53">
        <f t="shared" si="17"/>
        <v>0.24181786985801912</v>
      </c>
      <c r="J282" s="53">
        <f>(VLOOKUP(DATE(YEAR(A282),MONTH(A282),1),'16. câmbio USD-BRL'!$A$3:$G$2250,2,)/VLOOKUP(DATE(YEAR(A222),MONTH(A222),1),'16. câmbio USD-BRL'!$A$3:$G$2250,2,))^(1/5)-1</f>
        <v>0.15220422896861785</v>
      </c>
      <c r="K282" s="53">
        <f t="shared" si="16"/>
        <v>8.9613640889401269E-2</v>
      </c>
      <c r="L282" s="53">
        <f t="shared" si="18"/>
        <v>0.1251630386659815</v>
      </c>
      <c r="N282" s="52">
        <v>36038</v>
      </c>
      <c r="O282" s="51">
        <v>6746</v>
      </c>
      <c r="P282" s="51">
        <v>7105</v>
      </c>
      <c r="Q282" s="51">
        <v>5354</v>
      </c>
      <c r="R282" s="51">
        <v>5837</v>
      </c>
      <c r="S282" s="51">
        <v>5837</v>
      </c>
      <c r="T282" s="51">
        <v>0</v>
      </c>
      <c r="U282" s="53">
        <f t="shared" si="20"/>
        <v>-0.13474651645419511</v>
      </c>
    </row>
    <row r="283" spans="1:21" x14ac:dyDescent="0.2">
      <c r="A283" s="56">
        <v>42614</v>
      </c>
      <c r="B283" s="51">
        <v>57901</v>
      </c>
      <c r="C283" s="51">
        <v>60310</v>
      </c>
      <c r="D283" s="51">
        <v>56459</v>
      </c>
      <c r="E283" s="51">
        <v>58367</v>
      </c>
      <c r="F283" s="51">
        <v>58367</v>
      </c>
      <c r="G283" s="51">
        <v>68141200</v>
      </c>
      <c r="H283" s="53">
        <f t="shared" si="19"/>
        <v>8.0482202379923429E-3</v>
      </c>
      <c r="I283" s="53">
        <f t="shared" si="17"/>
        <v>0.29534610177766929</v>
      </c>
      <c r="J283" s="53">
        <f>(VLOOKUP(DATE(YEAR(A283),MONTH(A283),1),'16. câmbio USD-BRL'!$A$3:$G$2250,2,)/VLOOKUP(DATE(YEAR(A223),MONTH(A223),1),'16. câmbio USD-BRL'!$A$3:$G$2250,2,))^(1/5)-1</f>
        <v>0.11651909985259867</v>
      </c>
      <c r="K283" s="53">
        <f t="shared" si="16"/>
        <v>0.17882700192507062</v>
      </c>
      <c r="L283" s="53">
        <f t="shared" si="18"/>
        <v>0.13067492532606798</v>
      </c>
      <c r="N283" s="52">
        <v>36045</v>
      </c>
      <c r="O283" s="51">
        <v>5837</v>
      </c>
      <c r="P283" s="51">
        <v>6130</v>
      </c>
      <c r="Q283" s="51">
        <v>4576</v>
      </c>
      <c r="R283" s="51">
        <v>5398</v>
      </c>
      <c r="S283" s="51">
        <v>5398</v>
      </c>
      <c r="T283" s="51">
        <v>0</v>
      </c>
      <c r="U283" s="53">
        <f t="shared" si="20"/>
        <v>-7.5209868082919296E-2</v>
      </c>
    </row>
    <row r="284" spans="1:21" x14ac:dyDescent="0.2">
      <c r="A284" s="56">
        <v>42644</v>
      </c>
      <c r="B284" s="51">
        <v>58370</v>
      </c>
      <c r="C284" s="51">
        <v>65054</v>
      </c>
      <c r="D284" s="51">
        <v>58367</v>
      </c>
      <c r="E284" s="51">
        <v>64925</v>
      </c>
      <c r="F284" s="51">
        <v>64925</v>
      </c>
      <c r="G284" s="51">
        <v>74450900</v>
      </c>
      <c r="H284" s="53">
        <f t="shared" si="19"/>
        <v>0.11235801051964289</v>
      </c>
      <c r="I284" s="53">
        <f t="shared" si="17"/>
        <v>0.41544398177418307</v>
      </c>
      <c r="J284" s="53">
        <f>(VLOOKUP(DATE(YEAR(A284),MONTH(A284),1),'16. câmbio USD-BRL'!$A$3:$G$2250,2,)/VLOOKUP(DATE(YEAR(A224),MONTH(A224),1),'16. câmbio USD-BRL'!$A$3:$G$2250,2,))^(1/5)-1</f>
        <v>0.13181357511263214</v>
      </c>
      <c r="K284" s="53">
        <f t="shared" si="16"/>
        <v>0.28363040666155093</v>
      </c>
      <c r="L284" s="53">
        <f t="shared" si="18"/>
        <v>0.13943527829507321</v>
      </c>
      <c r="N284" s="52">
        <v>36052</v>
      </c>
      <c r="O284" s="51">
        <v>5398</v>
      </c>
      <c r="P284" s="51">
        <v>7453</v>
      </c>
      <c r="Q284" s="51">
        <v>5275</v>
      </c>
      <c r="R284" s="51">
        <v>6710</v>
      </c>
      <c r="S284" s="51">
        <v>6710</v>
      </c>
      <c r="T284" s="51">
        <v>0</v>
      </c>
      <c r="U284" s="53">
        <f t="shared" si="20"/>
        <v>0.24305298258614294</v>
      </c>
    </row>
    <row r="285" spans="1:21" x14ac:dyDescent="0.2">
      <c r="A285" s="56">
        <v>42675</v>
      </c>
      <c r="B285" s="51">
        <v>64922</v>
      </c>
      <c r="C285" s="51">
        <v>65291</v>
      </c>
      <c r="D285" s="51">
        <v>58322</v>
      </c>
      <c r="E285" s="51">
        <v>61906</v>
      </c>
      <c r="F285" s="51">
        <v>61906</v>
      </c>
      <c r="G285" s="51">
        <v>83065700</v>
      </c>
      <c r="H285" s="53">
        <f t="shared" si="19"/>
        <v>-4.6499807470157917E-2</v>
      </c>
      <c r="I285" s="53">
        <f t="shared" si="17"/>
        <v>0.37203014184397154</v>
      </c>
      <c r="J285" s="53">
        <f>(VLOOKUP(DATE(YEAR(A285),MONTH(A285),1),'16. câmbio USD-BRL'!$A$3:$G$2250,2,)/VLOOKUP(DATE(YEAR(A225),MONTH(A225),1),'16. câmbio USD-BRL'!$A$3:$G$2250,2,))^(1/5)-1</f>
        <v>0.1335406728443933</v>
      </c>
      <c r="K285" s="53">
        <f t="shared" si="16"/>
        <v>0.23848946899957824</v>
      </c>
      <c r="L285" s="53">
        <f t="shared" si="18"/>
        <v>0.14612908133917035</v>
      </c>
      <c r="N285" s="52">
        <v>36059</v>
      </c>
      <c r="O285" s="51">
        <v>6707</v>
      </c>
      <c r="P285" s="51">
        <v>7385</v>
      </c>
      <c r="Q285" s="51">
        <v>6201</v>
      </c>
      <c r="R285" s="51">
        <v>6712</v>
      </c>
      <c r="S285" s="51">
        <v>6712</v>
      </c>
      <c r="T285" s="51">
        <v>0</v>
      </c>
      <c r="U285" s="53">
        <f t="shared" si="20"/>
        <v>2.9806259314457684E-4</v>
      </c>
    </row>
    <row r="286" spans="1:21" x14ac:dyDescent="0.2">
      <c r="A286" s="56">
        <v>42705</v>
      </c>
      <c r="B286" s="51">
        <v>61906</v>
      </c>
      <c r="C286" s="51">
        <v>61936</v>
      </c>
      <c r="D286" s="51">
        <v>56829</v>
      </c>
      <c r="E286" s="51">
        <v>60227</v>
      </c>
      <c r="F286" s="51">
        <v>60227</v>
      </c>
      <c r="G286" s="51">
        <v>64108500</v>
      </c>
      <c r="H286" s="53">
        <f t="shared" si="19"/>
        <v>-2.7121765257002606E-2</v>
      </c>
      <c r="I286" s="53">
        <f t="shared" si="17"/>
        <v>0.38931949250288356</v>
      </c>
      <c r="J286" s="53">
        <f>(VLOOKUP(DATE(YEAR(A286),MONTH(A286),1),'16. câmbio USD-BRL'!$A$3:$G$2250,2,)/VLOOKUP(DATE(YEAR(A226),MONTH(A226),1),'16. câmbio USD-BRL'!$A$3:$G$2250,2,))^(1/5)-1</f>
        <v>0.11802186656358615</v>
      </c>
      <c r="K286" s="53">
        <f t="shared" si="16"/>
        <v>0.2712976259392974</v>
      </c>
      <c r="L286" s="53">
        <f t="shared" si="18"/>
        <v>0.15355120180622972</v>
      </c>
      <c r="N286" s="52">
        <v>36066</v>
      </c>
      <c r="O286" s="51">
        <v>6755</v>
      </c>
      <c r="P286" s="51">
        <v>7036</v>
      </c>
      <c r="Q286" s="51">
        <v>5951</v>
      </c>
      <c r="R286" s="51">
        <v>6410</v>
      </c>
      <c r="S286" s="51">
        <v>6410</v>
      </c>
      <c r="T286" s="51">
        <v>0</v>
      </c>
      <c r="U286" s="53">
        <f t="shared" si="20"/>
        <v>-4.4994040524433898E-2</v>
      </c>
    </row>
    <row r="287" spans="1:21" x14ac:dyDescent="0.2">
      <c r="A287" s="56">
        <v>42736</v>
      </c>
      <c r="B287" s="51">
        <v>60227</v>
      </c>
      <c r="C287" s="51">
        <v>66594</v>
      </c>
      <c r="D287" s="51">
        <v>59371</v>
      </c>
      <c r="E287" s="51">
        <v>64671</v>
      </c>
      <c r="F287" s="51">
        <v>64671</v>
      </c>
      <c r="G287" s="51">
        <v>60057300</v>
      </c>
      <c r="H287" s="53">
        <f t="shared" si="19"/>
        <v>7.3787503943414157E-2</v>
      </c>
      <c r="I287" s="53">
        <f t="shared" si="17"/>
        <v>0.60052962431322077</v>
      </c>
      <c r="J287" s="53">
        <f>(VLOOKUP(DATE(YEAR(A287),MONTH(A287),1),'16. câmbio USD-BRL'!$A$3:$G$2250,2,)/VLOOKUP(DATE(YEAR(A227),MONTH(A227),1),'16. câmbio USD-BRL'!$A$3:$G$2250,2,))^(1/5)-1</f>
        <v>0.12517066227288276</v>
      </c>
      <c r="K287" s="53">
        <f t="shared" si="16"/>
        <v>0.47535896204033801</v>
      </c>
      <c r="L287" s="53">
        <f t="shared" si="18"/>
        <v>0.16961552331229771</v>
      </c>
      <c r="N287" s="52">
        <v>36073</v>
      </c>
      <c r="O287" s="51">
        <v>6354</v>
      </c>
      <c r="P287" s="51">
        <v>6528</v>
      </c>
      <c r="Q287" s="51">
        <v>5878</v>
      </c>
      <c r="R287" s="51">
        <v>6528</v>
      </c>
      <c r="S287" s="51">
        <v>6528</v>
      </c>
      <c r="T287" s="51">
        <v>0</v>
      </c>
      <c r="U287" s="53">
        <f t="shared" si="20"/>
        <v>1.8408736349454058E-2</v>
      </c>
    </row>
    <row r="288" spans="1:21" x14ac:dyDescent="0.2">
      <c r="A288" s="56">
        <v>42767</v>
      </c>
      <c r="B288" s="51">
        <v>64687</v>
      </c>
      <c r="C288" s="51">
        <v>69488</v>
      </c>
      <c r="D288" s="51">
        <v>63740</v>
      </c>
      <c r="E288" s="51">
        <v>66662</v>
      </c>
      <c r="F288" s="51">
        <v>66662</v>
      </c>
      <c r="G288" s="51">
        <v>56775200</v>
      </c>
      <c r="H288" s="53">
        <f t="shared" si="19"/>
        <v>3.0786596774442954E-2</v>
      </c>
      <c r="I288" s="53">
        <f t="shared" si="17"/>
        <v>0.55774173949619099</v>
      </c>
      <c r="J288" s="53">
        <f>(VLOOKUP(DATE(YEAR(A288),MONTH(A288),1),'16. câmbio USD-BRL'!$A$3:$G$2250,2,)/VLOOKUP(DATE(YEAR(A228),MONTH(A228),1),'16. câmbio USD-BRL'!$A$3:$G$2250,2,))^(1/5)-1</f>
        <v>0.12603696209685156</v>
      </c>
      <c r="K288" s="53">
        <f t="shared" si="16"/>
        <v>0.43170477739933943</v>
      </c>
      <c r="L288" s="53">
        <f t="shared" si="18"/>
        <v>0.18174569706560867</v>
      </c>
      <c r="N288" s="52">
        <v>36080</v>
      </c>
      <c r="O288" s="51">
        <v>6528</v>
      </c>
      <c r="P288" s="51">
        <v>6926</v>
      </c>
      <c r="Q288" s="51">
        <v>6291</v>
      </c>
      <c r="R288" s="51">
        <v>6707</v>
      </c>
      <c r="S288" s="51">
        <v>6707</v>
      </c>
      <c r="T288" s="51">
        <v>0</v>
      </c>
      <c r="U288" s="53">
        <f t="shared" si="20"/>
        <v>2.7420343137254832E-2</v>
      </c>
    </row>
    <row r="289" spans="1:21" x14ac:dyDescent="0.2">
      <c r="A289" s="56">
        <v>42795</v>
      </c>
      <c r="B289" s="51">
        <v>66661</v>
      </c>
      <c r="C289" s="51">
        <v>67398</v>
      </c>
      <c r="D289" s="51">
        <v>62496</v>
      </c>
      <c r="E289" s="51">
        <v>64984</v>
      </c>
      <c r="F289" s="51">
        <v>64984</v>
      </c>
      <c r="G289" s="51">
        <v>73694400</v>
      </c>
      <c r="H289" s="53">
        <f t="shared" si="19"/>
        <v>-2.5171762023341593E-2</v>
      </c>
      <c r="I289" s="53">
        <f t="shared" si="17"/>
        <v>0.2982519228848266</v>
      </c>
      <c r="J289" s="53">
        <f>(VLOOKUP(DATE(YEAR(A289),MONTH(A289),1),'16. câmbio USD-BRL'!$A$3:$G$2250,2,)/VLOOKUP(DATE(YEAR(A229),MONTH(A229),1),'16. câmbio USD-BRL'!$A$3:$G$2250,2,))^(1/5)-1</f>
        <v>0.11327783000253477</v>
      </c>
      <c r="K289" s="53">
        <f t="shared" si="16"/>
        <v>0.18497409288229183</v>
      </c>
      <c r="L289" s="53">
        <f t="shared" si="18"/>
        <v>0.184397675344603</v>
      </c>
      <c r="N289" s="52">
        <v>36087</v>
      </c>
      <c r="O289" s="51">
        <v>6707</v>
      </c>
      <c r="P289" s="51">
        <v>7630</v>
      </c>
      <c r="Q289" s="51">
        <v>6659</v>
      </c>
      <c r="R289" s="51">
        <v>7272</v>
      </c>
      <c r="S289" s="51">
        <v>7272</v>
      </c>
      <c r="T289" s="51">
        <v>0</v>
      </c>
      <c r="U289" s="53">
        <f t="shared" si="20"/>
        <v>8.4240345907261149E-2</v>
      </c>
    </row>
    <row r="290" spans="1:21" x14ac:dyDescent="0.2">
      <c r="A290" s="56">
        <v>42826</v>
      </c>
      <c r="B290" s="51">
        <v>64989</v>
      </c>
      <c r="C290" s="51">
        <v>66211</v>
      </c>
      <c r="D290" s="51">
        <v>62826</v>
      </c>
      <c r="E290" s="51">
        <v>65403</v>
      </c>
      <c r="F290" s="51">
        <v>65403</v>
      </c>
      <c r="G290" s="51">
        <v>51935600</v>
      </c>
      <c r="H290" s="53">
        <f t="shared" si="19"/>
        <v>6.4477409823957554E-3</v>
      </c>
      <c r="I290" s="53">
        <f t="shared" si="17"/>
        <v>0.21316614420062696</v>
      </c>
      <c r="J290" s="53">
        <f>(VLOOKUP(DATE(YEAR(A290),MONTH(A290),1),'16. câmbio USD-BRL'!$A$3:$G$2250,2,)/VLOOKUP(DATE(YEAR(A230),MONTH(A230),1),'16. câmbio USD-BRL'!$A$3:$G$2250,2,))^(1/5)-1</f>
        <v>0.10724354046739482</v>
      </c>
      <c r="K290" s="53">
        <f t="shared" si="16"/>
        <v>0.10592260373323215</v>
      </c>
      <c r="L290" s="53">
        <f t="shared" si="18"/>
        <v>0.18574378876463341</v>
      </c>
      <c r="N290" s="52">
        <v>36094</v>
      </c>
      <c r="O290" s="51">
        <v>7272</v>
      </c>
      <c r="P290" s="51">
        <v>7331</v>
      </c>
      <c r="Q290" s="51">
        <v>6462</v>
      </c>
      <c r="R290" s="51">
        <v>7047</v>
      </c>
      <c r="S290" s="51">
        <v>7047</v>
      </c>
      <c r="T290" s="51">
        <v>0</v>
      </c>
      <c r="U290" s="53">
        <f t="shared" si="20"/>
        <v>-3.0940594059405968E-2</v>
      </c>
    </row>
    <row r="291" spans="1:21" x14ac:dyDescent="0.2">
      <c r="A291" s="56">
        <v>42856</v>
      </c>
      <c r="B291" s="51">
        <v>65404</v>
      </c>
      <c r="C291" s="51">
        <v>68792</v>
      </c>
      <c r="D291" s="51">
        <v>60315</v>
      </c>
      <c r="E291" s="51">
        <v>62711</v>
      </c>
      <c r="F291" s="51">
        <v>62711</v>
      </c>
      <c r="G291" s="51">
        <v>86770000</v>
      </c>
      <c r="H291" s="53">
        <f t="shared" si="19"/>
        <v>-4.1160191428527781E-2</v>
      </c>
      <c r="I291" s="53">
        <f t="shared" si="17"/>
        <v>0.29375722066347576</v>
      </c>
      <c r="J291" s="53">
        <f>(VLOOKUP(DATE(YEAR(A291),MONTH(A291),1),'16. câmbio USD-BRL'!$A$3:$G$2250,2,)/VLOOKUP(DATE(YEAR(A231),MONTH(A231),1),'16. câmbio USD-BRL'!$A$3:$G$2250,2,))^(1/5)-1</f>
        <v>9.7910719392660939E-2</v>
      </c>
      <c r="K291" s="53">
        <f t="shared" si="16"/>
        <v>0.19584650127081482</v>
      </c>
      <c r="L291" s="53">
        <f t="shared" si="18"/>
        <v>0.18881369648596344</v>
      </c>
      <c r="N291" s="52">
        <v>36101</v>
      </c>
      <c r="O291" s="51">
        <v>7047</v>
      </c>
      <c r="P291" s="51">
        <v>8370</v>
      </c>
      <c r="Q291" s="51">
        <v>7047</v>
      </c>
      <c r="R291" s="51">
        <v>8214</v>
      </c>
      <c r="S291" s="51">
        <v>8214</v>
      </c>
      <c r="T291" s="51">
        <v>0</v>
      </c>
      <c r="U291" s="53">
        <f t="shared" si="20"/>
        <v>0.16560238399318861</v>
      </c>
    </row>
    <row r="292" spans="1:21" x14ac:dyDescent="0.2">
      <c r="A292" s="56">
        <v>42887</v>
      </c>
      <c r="B292" s="51">
        <v>62711</v>
      </c>
      <c r="C292" s="51">
        <v>63637</v>
      </c>
      <c r="D292" s="51">
        <v>60544</v>
      </c>
      <c r="E292" s="51">
        <v>62900</v>
      </c>
      <c r="F292" s="51">
        <v>62900</v>
      </c>
      <c r="G292" s="51">
        <v>65351300</v>
      </c>
      <c r="H292" s="53">
        <f t="shared" si="19"/>
        <v>3.0138253257003811E-3</v>
      </c>
      <c r="I292" s="53">
        <f t="shared" si="17"/>
        <v>0.22071923457604758</v>
      </c>
      <c r="J292" s="53">
        <f>(VLOOKUP(DATE(YEAR(A292),MONTH(A292),1),'16. câmbio USD-BRL'!$A$3:$G$2250,2,)/VLOOKUP(DATE(YEAR(A232),MONTH(A232),1),'16. câmbio USD-BRL'!$A$3:$G$2250,2,))^(1/5)-1</f>
        <v>0.10477665791585711</v>
      </c>
      <c r="K292" s="53">
        <f t="shared" si="16"/>
        <v>0.11594257666019048</v>
      </c>
      <c r="L292" s="53">
        <f t="shared" si="18"/>
        <v>0.18974243484992812</v>
      </c>
      <c r="N292" s="52">
        <v>36108</v>
      </c>
      <c r="O292" s="51">
        <v>8214</v>
      </c>
      <c r="P292" s="51">
        <v>8348</v>
      </c>
      <c r="Q292" s="51">
        <v>7444</v>
      </c>
      <c r="R292" s="51">
        <v>7615</v>
      </c>
      <c r="S292" s="51">
        <v>7615</v>
      </c>
      <c r="T292" s="51">
        <v>0</v>
      </c>
      <c r="U292" s="53">
        <f t="shared" si="20"/>
        <v>-7.2924275626978341E-2</v>
      </c>
    </row>
    <row r="293" spans="1:21" x14ac:dyDescent="0.2">
      <c r="A293" s="56">
        <v>42917</v>
      </c>
      <c r="B293" s="51">
        <v>62901</v>
      </c>
      <c r="C293" s="51">
        <v>66048</v>
      </c>
      <c r="D293" s="51">
        <v>62035</v>
      </c>
      <c r="E293" s="51">
        <v>65920</v>
      </c>
      <c r="F293" s="51">
        <v>65920</v>
      </c>
      <c r="G293" s="51">
        <v>53755900</v>
      </c>
      <c r="H293" s="53">
        <f t="shared" si="19"/>
        <v>4.8012718600953797E-2</v>
      </c>
      <c r="I293" s="53">
        <f t="shared" si="17"/>
        <v>0.1502757032177009</v>
      </c>
      <c r="J293" s="53">
        <f>(VLOOKUP(DATE(YEAR(A293),MONTH(A293),1),'16. câmbio USD-BRL'!$A$3:$G$2250,2,)/VLOOKUP(DATE(YEAR(A233),MONTH(A233),1),'16. câmbio USD-BRL'!$A$3:$G$2250,2,))^(1/5)-1</f>
        <v>8.7363419967042999E-2</v>
      </c>
      <c r="K293" s="53">
        <f t="shared" si="16"/>
        <v>6.2912283250657897E-2</v>
      </c>
      <c r="L293" s="53">
        <f t="shared" si="18"/>
        <v>0.19012470047625296</v>
      </c>
      <c r="N293" s="52">
        <v>36115</v>
      </c>
      <c r="O293" s="51">
        <v>7615</v>
      </c>
      <c r="P293" s="51">
        <v>8628</v>
      </c>
      <c r="Q293" s="51">
        <v>7615</v>
      </c>
      <c r="R293" s="51">
        <v>8531</v>
      </c>
      <c r="S293" s="51">
        <v>8531</v>
      </c>
      <c r="T293" s="51">
        <v>0</v>
      </c>
      <c r="U293" s="53">
        <f t="shared" si="20"/>
        <v>0.12028890347997367</v>
      </c>
    </row>
    <row r="294" spans="1:21" x14ac:dyDescent="0.2">
      <c r="A294" s="56">
        <v>42948</v>
      </c>
      <c r="B294" s="51">
        <v>65925</v>
      </c>
      <c r="C294" s="51">
        <v>71506</v>
      </c>
      <c r="D294" s="51">
        <v>65925</v>
      </c>
      <c r="E294" s="51">
        <v>70835</v>
      </c>
      <c r="F294" s="51">
        <v>70835</v>
      </c>
      <c r="G294" s="51">
        <v>68162600</v>
      </c>
      <c r="H294" s="53">
        <f t="shared" si="19"/>
        <v>7.4560072815534006E-2</v>
      </c>
      <c r="I294" s="53">
        <f t="shared" si="17"/>
        <v>0.22338128875148966</v>
      </c>
      <c r="J294" s="53">
        <f>(VLOOKUP(DATE(YEAR(A294),MONTH(A294),1),'16. câmbio USD-BRL'!$A$3:$G$2250,2,)/VLOOKUP(DATE(YEAR(A234),MONTH(A234),1),'16. câmbio USD-BRL'!$A$3:$G$2250,2,))^(1/5)-1</f>
        <v>9.1779497503350793E-2</v>
      </c>
      <c r="K294" s="53">
        <f t="shared" si="16"/>
        <v>0.13160179124813887</v>
      </c>
      <c r="L294" s="53">
        <f t="shared" si="18"/>
        <v>0.1916524211650244</v>
      </c>
      <c r="N294" s="52">
        <v>36122</v>
      </c>
      <c r="O294" s="51">
        <v>8531</v>
      </c>
      <c r="P294" s="51">
        <v>9128</v>
      </c>
      <c r="Q294" s="51">
        <v>8392</v>
      </c>
      <c r="R294" s="51">
        <v>9094</v>
      </c>
      <c r="S294" s="51">
        <v>9094</v>
      </c>
      <c r="T294" s="51">
        <v>0</v>
      </c>
      <c r="U294" s="53">
        <f t="shared" si="20"/>
        <v>6.5994607900597746E-2</v>
      </c>
    </row>
    <row r="295" spans="1:21" x14ac:dyDescent="0.2">
      <c r="A295" s="56">
        <v>42979</v>
      </c>
      <c r="B295" s="51">
        <v>70848</v>
      </c>
      <c r="C295" s="51">
        <v>76420</v>
      </c>
      <c r="D295" s="51">
        <v>70846</v>
      </c>
      <c r="E295" s="51">
        <v>74294</v>
      </c>
      <c r="F295" s="51">
        <v>74294</v>
      </c>
      <c r="G295" s="51">
        <v>68909400</v>
      </c>
      <c r="H295" s="53">
        <f t="shared" si="19"/>
        <v>4.8831792193124945E-2</v>
      </c>
      <c r="I295" s="53">
        <f t="shared" si="17"/>
        <v>0.27287679682012089</v>
      </c>
      <c r="J295" s="53">
        <f>(VLOOKUP(DATE(YEAR(A295),MONTH(A295),1),'16. câmbio USD-BRL'!$A$3:$G$2250,2,)/VLOOKUP(DATE(YEAR(A235),MONTH(A235),1),'16. câmbio USD-BRL'!$A$3:$G$2250,2,))^(1/5)-1</f>
        <v>9.3137015464831663E-2</v>
      </c>
      <c r="K295" s="53">
        <f t="shared" si="16"/>
        <v>0.17973978135528923</v>
      </c>
      <c r="L295" s="53">
        <f t="shared" si="18"/>
        <v>0.19384863440656136</v>
      </c>
      <c r="N295" s="52">
        <v>36129</v>
      </c>
      <c r="O295" s="51">
        <v>9094</v>
      </c>
      <c r="P295" s="51">
        <v>9095</v>
      </c>
      <c r="Q295" s="51">
        <v>7506</v>
      </c>
      <c r="R295" s="51">
        <v>7627</v>
      </c>
      <c r="S295" s="51">
        <v>7627</v>
      </c>
      <c r="T295" s="51">
        <v>0</v>
      </c>
      <c r="U295" s="53">
        <f t="shared" si="20"/>
        <v>-0.16131515284803166</v>
      </c>
    </row>
    <row r="296" spans="1:21" x14ac:dyDescent="0.2">
      <c r="A296" s="56">
        <v>43009</v>
      </c>
      <c r="B296" s="51">
        <v>74295</v>
      </c>
      <c r="C296" s="51">
        <v>78024</v>
      </c>
      <c r="D296" s="51">
        <v>73845</v>
      </c>
      <c r="E296" s="51">
        <v>74308</v>
      </c>
      <c r="F296" s="51">
        <v>74308</v>
      </c>
      <c r="G296" s="51">
        <v>65846200</v>
      </c>
      <c r="H296" s="53">
        <f t="shared" si="19"/>
        <v>1.8844052009581169E-4</v>
      </c>
      <c r="I296" s="53">
        <f t="shared" si="17"/>
        <v>0.14452060069310746</v>
      </c>
      <c r="J296" s="53">
        <f>(VLOOKUP(DATE(YEAR(A296),MONTH(A296),1),'16. câmbio USD-BRL'!$A$3:$G$2250,2,)/VLOOKUP(DATE(YEAR(A236),MONTH(A236),1),'16. câmbio USD-BRL'!$A$3:$G$2250,2,))^(1/5)-1</f>
        <v>0.10013551603884863</v>
      </c>
      <c r="K296" s="53">
        <f t="shared" si="16"/>
        <v>4.4385084654258833E-2</v>
      </c>
      <c r="L296" s="53">
        <f t="shared" si="18"/>
        <v>0.19310938331881738</v>
      </c>
      <c r="N296" s="52">
        <v>36136</v>
      </c>
      <c r="O296" s="51">
        <v>7627</v>
      </c>
      <c r="P296" s="51">
        <v>8024</v>
      </c>
      <c r="Q296" s="51">
        <v>7146</v>
      </c>
      <c r="R296" s="51">
        <v>7195</v>
      </c>
      <c r="S296" s="51">
        <v>7195</v>
      </c>
      <c r="T296" s="51">
        <v>0</v>
      </c>
      <c r="U296" s="53">
        <f t="shared" si="20"/>
        <v>-5.6640881080372352E-2</v>
      </c>
    </row>
    <row r="297" spans="1:21" x14ac:dyDescent="0.2">
      <c r="A297" s="56">
        <v>43040</v>
      </c>
      <c r="B297" s="51">
        <v>74310</v>
      </c>
      <c r="C297" s="51">
        <v>75199</v>
      </c>
      <c r="D297" s="51">
        <v>70825</v>
      </c>
      <c r="E297" s="51">
        <v>71971</v>
      </c>
      <c r="F297" s="51">
        <v>71971</v>
      </c>
      <c r="G297" s="51">
        <v>65167600</v>
      </c>
      <c r="H297" s="53">
        <f t="shared" si="19"/>
        <v>-3.1450180330516275E-2</v>
      </c>
      <c r="I297" s="53">
        <f t="shared" si="17"/>
        <v>0.16258520983426483</v>
      </c>
      <c r="J297" s="53">
        <f>(VLOOKUP(DATE(YEAR(A297),MONTH(A297),1),'16. câmbio USD-BRL'!$A$3:$G$2250,2,)/VLOOKUP(DATE(YEAR(A237),MONTH(A237),1),'16. câmbio USD-BRL'!$A$3:$G$2250,2,))^(1/5)-1</f>
        <v>8.9072829539795784E-2</v>
      </c>
      <c r="K297" s="53">
        <f t="shared" si="16"/>
        <v>7.3512380294469049E-2</v>
      </c>
      <c r="L297" s="53">
        <f t="shared" si="18"/>
        <v>0.19377940588207396</v>
      </c>
      <c r="N297" s="52">
        <v>36143</v>
      </c>
      <c r="O297" s="51">
        <v>7195</v>
      </c>
      <c r="P297" s="51">
        <v>7196</v>
      </c>
      <c r="Q297" s="51">
        <v>6378</v>
      </c>
      <c r="R297" s="51">
        <v>6782</v>
      </c>
      <c r="S297" s="51">
        <v>6782</v>
      </c>
      <c r="T297" s="51">
        <v>0</v>
      </c>
      <c r="U297" s="53">
        <f t="shared" si="20"/>
        <v>-5.7400972897845737E-2</v>
      </c>
    </row>
    <row r="298" spans="1:21" x14ac:dyDescent="0.2">
      <c r="A298" s="56">
        <v>43070</v>
      </c>
      <c r="B298" s="51">
        <v>71955</v>
      </c>
      <c r="C298" s="51">
        <v>76437</v>
      </c>
      <c r="D298" s="51">
        <v>71356</v>
      </c>
      <c r="E298" s="51">
        <v>76402</v>
      </c>
      <c r="F298" s="51">
        <v>76402</v>
      </c>
      <c r="G298" s="51">
        <v>54645300</v>
      </c>
      <c r="H298" s="53">
        <f t="shared" si="19"/>
        <v>6.1566464270331078E-2</v>
      </c>
      <c r="I298" s="53">
        <f t="shared" si="17"/>
        <v>0.26856725388945168</v>
      </c>
      <c r="J298" s="53">
        <f>(VLOOKUP(DATE(YEAR(A298),MONTH(A298),1),'16. câmbio USD-BRL'!$A$3:$G$2250,2,)/VLOOKUP(DATE(YEAR(A238),MONTH(A238),1),'16. câmbio USD-BRL'!$A$3:$G$2250,2,))^(1/5)-1</f>
        <v>0.10089014431094578</v>
      </c>
      <c r="K298" s="53">
        <f t="shared" si="16"/>
        <v>0.1676771095785059</v>
      </c>
      <c r="L298" s="53">
        <f t="shared" si="18"/>
        <v>0.19575598519699544</v>
      </c>
      <c r="N298" s="52">
        <v>36150</v>
      </c>
      <c r="O298" s="51">
        <v>6782</v>
      </c>
      <c r="P298" s="51">
        <v>7269</v>
      </c>
      <c r="Q298" s="51">
        <v>6782</v>
      </c>
      <c r="R298" s="51">
        <v>7176</v>
      </c>
      <c r="S298" s="51">
        <v>7176</v>
      </c>
      <c r="T298" s="51">
        <v>0</v>
      </c>
      <c r="U298" s="53">
        <f t="shared" si="20"/>
        <v>5.8094957239752221E-2</v>
      </c>
    </row>
    <row r="299" spans="1:21" x14ac:dyDescent="0.2">
      <c r="A299" s="56">
        <v>43101</v>
      </c>
      <c r="B299" s="51">
        <v>76403</v>
      </c>
      <c r="C299" s="51">
        <v>86213</v>
      </c>
      <c r="D299" s="51">
        <v>76403</v>
      </c>
      <c r="E299" s="51">
        <v>84913</v>
      </c>
      <c r="F299" s="51">
        <v>84913</v>
      </c>
      <c r="G299" s="51">
        <v>71837300</v>
      </c>
      <c r="H299" s="53">
        <f t="shared" si="19"/>
        <v>0.11139760739247673</v>
      </c>
      <c r="I299" s="53">
        <f t="shared" si="17"/>
        <v>0.31299964435372885</v>
      </c>
      <c r="J299" s="53">
        <f>(VLOOKUP(DATE(YEAR(A299),MONTH(A299),1),'16. câmbio USD-BRL'!$A$3:$G$2250,2,)/VLOOKUP(DATE(YEAR(A239),MONTH(A239),1),'16. câmbio USD-BRL'!$A$3:$G$2250,2,))^(1/5)-1</f>
        <v>9.8603305921226791E-2</v>
      </c>
      <c r="K299" s="53">
        <f t="shared" si="16"/>
        <v>0.21439633843250205</v>
      </c>
      <c r="L299" s="53">
        <f t="shared" si="18"/>
        <v>0.19826515091793681</v>
      </c>
      <c r="N299" s="52">
        <v>36157</v>
      </c>
      <c r="O299" s="51">
        <v>7176</v>
      </c>
      <c r="P299" s="51">
        <v>7210</v>
      </c>
      <c r="Q299" s="51">
        <v>6626</v>
      </c>
      <c r="R299" s="51">
        <v>6784</v>
      </c>
      <c r="S299" s="51">
        <v>6784</v>
      </c>
      <c r="T299" s="51">
        <v>0</v>
      </c>
      <c r="U299" s="53">
        <f t="shared" si="20"/>
        <v>-5.462653288740249E-2</v>
      </c>
    </row>
    <row r="300" spans="1:21" x14ac:dyDescent="0.2">
      <c r="A300" s="56">
        <v>43132</v>
      </c>
      <c r="B300" s="51">
        <v>84913</v>
      </c>
      <c r="C300" s="51">
        <v>88318</v>
      </c>
      <c r="D300" s="51">
        <v>79690</v>
      </c>
      <c r="E300" s="51">
        <v>85481</v>
      </c>
      <c r="F300" s="51">
        <v>85481</v>
      </c>
      <c r="G300" s="51">
        <v>71597200</v>
      </c>
      <c r="H300" s="53">
        <f t="shared" si="19"/>
        <v>6.6891995336402221E-3</v>
      </c>
      <c r="I300" s="53">
        <f t="shared" si="17"/>
        <v>0.28230476133329341</v>
      </c>
      <c r="J300" s="53">
        <f>(VLOOKUP(DATE(YEAR(A300),MONTH(A300),1),'16. câmbio USD-BRL'!$A$3:$G$2250,2,)/VLOOKUP(DATE(YEAR(A240),MONTH(A240),1),'16. câmbio USD-BRL'!$A$3:$G$2250,2,))^(1/5)-1</f>
        <v>0.10389777297171032</v>
      </c>
      <c r="K300" s="53">
        <f t="shared" si="16"/>
        <v>0.17840698836158309</v>
      </c>
      <c r="L300" s="53">
        <f t="shared" si="18"/>
        <v>0.2002473793094782</v>
      </c>
      <c r="N300" s="52">
        <v>36164</v>
      </c>
      <c r="O300" s="51">
        <v>6787</v>
      </c>
      <c r="P300" s="51">
        <v>7334</v>
      </c>
      <c r="Q300" s="51">
        <v>6706</v>
      </c>
      <c r="R300" s="51">
        <v>6781</v>
      </c>
      <c r="S300" s="51">
        <v>6781</v>
      </c>
      <c r="T300" s="51">
        <v>0</v>
      </c>
      <c r="U300" s="53">
        <f t="shared" si="20"/>
        <v>-4.4221698113211527E-4</v>
      </c>
    </row>
    <row r="301" spans="1:21" x14ac:dyDescent="0.2">
      <c r="A301" s="56">
        <v>43160</v>
      </c>
      <c r="B301" s="51">
        <v>85337</v>
      </c>
      <c r="C301" s="51">
        <v>87333</v>
      </c>
      <c r="D301" s="51">
        <v>82889</v>
      </c>
      <c r="E301" s="51">
        <v>85366</v>
      </c>
      <c r="F301" s="51">
        <v>85366</v>
      </c>
      <c r="G301" s="51">
        <v>70136200</v>
      </c>
      <c r="H301" s="53">
        <f t="shared" si="19"/>
        <v>-1.3453282015886137E-3</v>
      </c>
      <c r="I301" s="53">
        <f t="shared" si="17"/>
        <v>0.31364643604579578</v>
      </c>
      <c r="J301" s="53">
        <f>(VLOOKUP(DATE(YEAR(A301),MONTH(A301),1),'16. câmbio USD-BRL'!$A$3:$G$2250,2,)/VLOOKUP(DATE(YEAR(A241),MONTH(A241),1),'16. câmbio USD-BRL'!$A$3:$G$2250,2,))^(1/5)-1</f>
        <v>0.10302723735558428</v>
      </c>
      <c r="K301" s="53">
        <f t="shared" si="16"/>
        <v>0.21061919869021151</v>
      </c>
      <c r="L301" s="53">
        <f t="shared" si="18"/>
        <v>0.20216636408039967</v>
      </c>
      <c r="N301" s="52">
        <v>36171</v>
      </c>
      <c r="O301" s="51">
        <v>6784</v>
      </c>
      <c r="P301" s="51">
        <v>6784</v>
      </c>
      <c r="Q301" s="51">
        <v>4797</v>
      </c>
      <c r="R301" s="51">
        <v>6747</v>
      </c>
      <c r="S301" s="51">
        <v>6747</v>
      </c>
      <c r="T301" s="51">
        <v>0</v>
      </c>
      <c r="U301" s="53">
        <f t="shared" si="20"/>
        <v>-5.0140097330777511E-3</v>
      </c>
    </row>
    <row r="302" spans="1:21" x14ac:dyDescent="0.2">
      <c r="A302" s="56">
        <v>43191</v>
      </c>
      <c r="B302" s="51">
        <v>85365</v>
      </c>
      <c r="C302" s="51">
        <v>87179</v>
      </c>
      <c r="D302" s="51">
        <v>82762</v>
      </c>
      <c r="E302" s="51">
        <v>86115</v>
      </c>
      <c r="F302" s="51">
        <v>86115</v>
      </c>
      <c r="G302" s="51">
        <v>61917800</v>
      </c>
      <c r="H302" s="53">
        <f t="shared" si="19"/>
        <v>8.7739849588828189E-3</v>
      </c>
      <c r="I302" s="53">
        <f t="shared" si="17"/>
        <v>0.31668272097610206</v>
      </c>
      <c r="J302" s="53">
        <f>(VLOOKUP(DATE(YEAR(A302),MONTH(A302),1),'16. câmbio USD-BRL'!$A$3:$G$2250,2,)/VLOOKUP(DATE(YEAR(A242),MONTH(A242),1),'16. câmbio USD-BRL'!$A$3:$G$2250,2,))^(1/5)-1</f>
        <v>0.11869657554444712</v>
      </c>
      <c r="K302" s="53">
        <f t="shared" si="16"/>
        <v>0.19798614543165494</v>
      </c>
      <c r="L302" s="53">
        <f t="shared" si="18"/>
        <v>0.20368848669852432</v>
      </c>
      <c r="N302" s="52">
        <v>36178</v>
      </c>
      <c r="O302" s="51">
        <v>6760</v>
      </c>
      <c r="P302" s="51">
        <v>7721</v>
      </c>
      <c r="Q302" s="51">
        <v>6485</v>
      </c>
      <c r="R302" s="51">
        <v>7190</v>
      </c>
      <c r="S302" s="51">
        <v>7190</v>
      </c>
      <c r="T302" s="51">
        <v>0</v>
      </c>
      <c r="U302" s="53">
        <f t="shared" si="20"/>
        <v>6.5658811323551225E-2</v>
      </c>
    </row>
    <row r="303" spans="1:21" x14ac:dyDescent="0.2">
      <c r="A303" s="56">
        <v>43221</v>
      </c>
      <c r="B303" s="51">
        <v>86111</v>
      </c>
      <c r="C303" s="51">
        <v>86678</v>
      </c>
      <c r="D303" s="51">
        <v>75337</v>
      </c>
      <c r="E303" s="51">
        <v>76754</v>
      </c>
      <c r="F303" s="51">
        <v>76754</v>
      </c>
      <c r="G303" s="51">
        <v>96407700</v>
      </c>
      <c r="H303" s="53">
        <f t="shared" si="19"/>
        <v>-0.10870347790744939</v>
      </c>
      <c r="I303" s="53">
        <f t="shared" si="17"/>
        <v>0.22393200554926573</v>
      </c>
      <c r="J303" s="53">
        <f>(VLOOKUP(DATE(YEAR(A303),MONTH(A303),1),'16. câmbio USD-BRL'!$A$3:$G$2250,2,)/VLOOKUP(DATE(YEAR(A243),MONTH(A243),1),'16. câmbio USD-BRL'!$A$3:$G$2250,2,))^(1/5)-1</f>
        <v>0.11689980233201758</v>
      </c>
      <c r="K303" s="53">
        <f t="shared" si="16"/>
        <v>0.10703220321724816</v>
      </c>
      <c r="L303" s="53">
        <f t="shared" si="18"/>
        <v>0.2039444723185945</v>
      </c>
      <c r="N303" s="52">
        <v>36185</v>
      </c>
      <c r="O303" s="51">
        <v>7194</v>
      </c>
      <c r="P303" s="51">
        <v>8540</v>
      </c>
      <c r="Q303" s="51">
        <v>7194</v>
      </c>
      <c r="R303" s="51">
        <v>8172</v>
      </c>
      <c r="S303" s="51">
        <v>8172</v>
      </c>
      <c r="T303" s="51">
        <v>0</v>
      </c>
      <c r="U303" s="53">
        <f t="shared" si="20"/>
        <v>0.13657858136300427</v>
      </c>
    </row>
    <row r="304" spans="1:21" x14ac:dyDescent="0.2">
      <c r="A304" s="56">
        <v>43252</v>
      </c>
      <c r="B304" s="51">
        <v>76779</v>
      </c>
      <c r="C304" s="51">
        <v>78892</v>
      </c>
      <c r="D304" s="51">
        <v>69069</v>
      </c>
      <c r="E304" s="51">
        <v>72763</v>
      </c>
      <c r="F304" s="51">
        <v>72763</v>
      </c>
      <c r="G304" s="51">
        <v>93312000</v>
      </c>
      <c r="H304" s="53">
        <f t="shared" si="19"/>
        <v>-5.1997290043515609E-2</v>
      </c>
      <c r="I304" s="53">
        <f t="shared" si="17"/>
        <v>0.15680445151033395</v>
      </c>
      <c r="J304" s="53">
        <f>(VLOOKUP(DATE(YEAR(A304),MONTH(A304),1),'16. câmbio USD-BRL'!$A$3:$G$2250,2,)/VLOOKUP(DATE(YEAR(A244),MONTH(A244),1),'16. câmbio USD-BRL'!$A$3:$G$2250,2,))^(1/5)-1</f>
        <v>0.11675696828754445</v>
      </c>
      <c r="K304" s="53">
        <f t="shared" si="16"/>
        <v>4.0047483222789504E-2</v>
      </c>
      <c r="L304" s="53">
        <f t="shared" si="18"/>
        <v>0.20400072900922891</v>
      </c>
      <c r="N304" s="52">
        <v>36192</v>
      </c>
      <c r="O304" s="51">
        <v>8187</v>
      </c>
      <c r="P304" s="51">
        <v>8912</v>
      </c>
      <c r="Q304" s="51">
        <v>8160</v>
      </c>
      <c r="R304" s="51">
        <v>8435</v>
      </c>
      <c r="S304" s="51">
        <v>8435</v>
      </c>
      <c r="T304" s="51">
        <v>0</v>
      </c>
      <c r="U304" s="53">
        <f t="shared" si="20"/>
        <v>3.2183064121390048E-2</v>
      </c>
    </row>
    <row r="305" spans="1:21" x14ac:dyDescent="0.2">
      <c r="A305" s="56">
        <v>43282</v>
      </c>
      <c r="B305" s="51">
        <v>72763</v>
      </c>
      <c r="C305" s="51">
        <v>80589</v>
      </c>
      <c r="D305" s="51">
        <v>71935</v>
      </c>
      <c r="E305" s="51">
        <v>79220</v>
      </c>
      <c r="F305" s="51">
        <v>79220</v>
      </c>
      <c r="G305" s="51">
        <v>63627800</v>
      </c>
      <c r="H305" s="53">
        <f t="shared" si="19"/>
        <v>8.8740156398169345E-2</v>
      </c>
      <c r="I305" s="53">
        <f t="shared" si="17"/>
        <v>0.20175970873786397</v>
      </c>
      <c r="J305" s="53">
        <f>(VLOOKUP(DATE(YEAR(A305),MONTH(A305),1),'16. câmbio USD-BRL'!$A$3:$G$2250,2,)/VLOOKUP(DATE(YEAR(A245),MONTH(A245),1),'16. câmbio USD-BRL'!$A$3:$G$2250,2,))^(1/5)-1</f>
        <v>0.10529433904855678</v>
      </c>
      <c r="K305" s="53">
        <f t="shared" si="16"/>
        <v>9.646536968930719E-2</v>
      </c>
      <c r="L305" s="53">
        <f t="shared" si="18"/>
        <v>0.20329934638041788</v>
      </c>
      <c r="N305" s="52">
        <v>36199</v>
      </c>
      <c r="O305" s="51">
        <v>8435</v>
      </c>
      <c r="P305" s="51">
        <v>9116</v>
      </c>
      <c r="Q305" s="51">
        <v>8321</v>
      </c>
      <c r="R305" s="51">
        <v>8952</v>
      </c>
      <c r="S305" s="51">
        <v>8952</v>
      </c>
      <c r="T305" s="51">
        <v>0</v>
      </c>
      <c r="U305" s="53">
        <f t="shared" si="20"/>
        <v>6.1292234736218143E-2</v>
      </c>
    </row>
    <row r="306" spans="1:21" x14ac:dyDescent="0.2">
      <c r="A306" s="56">
        <v>43313</v>
      </c>
      <c r="B306" s="51">
        <v>79213</v>
      </c>
      <c r="C306" s="51">
        <v>81792</v>
      </c>
      <c r="D306" s="51">
        <v>74876</v>
      </c>
      <c r="E306" s="51">
        <v>76678</v>
      </c>
      <c r="F306" s="51">
        <v>76678</v>
      </c>
      <c r="G306" s="51">
        <v>77877000</v>
      </c>
      <c r="H306" s="53">
        <f t="shared" si="19"/>
        <v>-3.2087856601868192E-2</v>
      </c>
      <c r="I306" s="53">
        <f t="shared" si="17"/>
        <v>8.2487470883038094E-2</v>
      </c>
      <c r="J306" s="53">
        <f>(VLOOKUP(DATE(YEAR(A306),MONTH(A306),1),'16. câmbio USD-BRL'!$A$3:$G$2250,2,)/VLOOKUP(DATE(YEAR(A246),MONTH(A246),1),'16. câmbio USD-BRL'!$A$3:$G$2250,2,))^(1/5)-1</f>
        <v>0.11191004739648469</v>
      </c>
      <c r="K306" s="53">
        <f t="shared" si="16"/>
        <v>-2.9422576513446597E-2</v>
      </c>
      <c r="L306" s="53">
        <f t="shared" si="18"/>
        <v>0.20163184095736114</v>
      </c>
      <c r="N306" s="52">
        <v>36206</v>
      </c>
      <c r="O306" s="51">
        <v>8952</v>
      </c>
      <c r="P306" s="51">
        <v>9091</v>
      </c>
      <c r="Q306" s="51">
        <v>8760</v>
      </c>
      <c r="R306" s="51">
        <v>9013</v>
      </c>
      <c r="S306" s="51">
        <v>9013</v>
      </c>
      <c r="T306" s="51">
        <v>0</v>
      </c>
      <c r="U306" s="53">
        <f t="shared" si="20"/>
        <v>6.814119749776637E-3</v>
      </c>
    </row>
    <row r="307" spans="1:21" x14ac:dyDescent="0.2">
      <c r="A307" s="56">
        <v>43344</v>
      </c>
      <c r="B307" s="51">
        <v>76675</v>
      </c>
      <c r="C307" s="51">
        <v>80107</v>
      </c>
      <c r="D307" s="51">
        <v>74275</v>
      </c>
      <c r="E307" s="51">
        <v>79342</v>
      </c>
      <c r="F307" s="51">
        <v>79342</v>
      </c>
      <c r="G307" s="51">
        <v>59194500</v>
      </c>
      <c r="H307" s="53">
        <f t="shared" si="19"/>
        <v>3.4742690211012395E-2</v>
      </c>
      <c r="I307" s="53">
        <f t="shared" si="17"/>
        <v>6.7946267531698412E-2</v>
      </c>
      <c r="J307" s="53">
        <f>(VLOOKUP(DATE(YEAR(A307),MONTH(A307),1),'16. câmbio USD-BRL'!$A$3:$G$2250,2,)/VLOOKUP(DATE(YEAR(A247),MONTH(A247),1),'16. câmbio USD-BRL'!$A$3:$G$2250,2,))^(1/5)-1</f>
        <v>0.12810600343418987</v>
      </c>
      <c r="K307" s="53">
        <f t="shared" si="16"/>
        <v>-6.0159735902491462E-2</v>
      </c>
      <c r="L307" s="53">
        <f t="shared" si="18"/>
        <v>0.20023397443542015</v>
      </c>
      <c r="N307" s="52">
        <v>36213</v>
      </c>
      <c r="O307" s="51">
        <v>9013</v>
      </c>
      <c r="P307" s="51">
        <v>9267</v>
      </c>
      <c r="Q307" s="51">
        <v>8603</v>
      </c>
      <c r="R307" s="51">
        <v>8911</v>
      </c>
      <c r="S307" s="51">
        <v>8911</v>
      </c>
      <c r="T307" s="51">
        <v>0</v>
      </c>
      <c r="U307" s="53">
        <f t="shared" si="20"/>
        <v>-1.1316986574947285E-2</v>
      </c>
    </row>
    <row r="308" spans="1:21" x14ac:dyDescent="0.2">
      <c r="A308" s="56">
        <v>43374</v>
      </c>
      <c r="B308" s="51">
        <v>79350</v>
      </c>
      <c r="C308" s="51">
        <v>88377</v>
      </c>
      <c r="D308" s="51">
        <v>78091</v>
      </c>
      <c r="E308" s="51">
        <v>87424</v>
      </c>
      <c r="F308" s="51">
        <v>87424</v>
      </c>
      <c r="G308" s="51">
        <v>110546700</v>
      </c>
      <c r="H308" s="53">
        <f t="shared" si="19"/>
        <v>0.10186282170855288</v>
      </c>
      <c r="I308" s="53">
        <f t="shared" si="17"/>
        <v>0.17650858588577267</v>
      </c>
      <c r="J308" s="53">
        <f>(VLOOKUP(DATE(YEAR(A308),MONTH(A308),1),'16. câmbio USD-BRL'!$A$3:$G$2250,2,)/VLOOKUP(DATE(YEAR(A248),MONTH(A248),1),'16. câmbio USD-BRL'!$A$3:$G$2250,2,))^(1/5)-1</f>
        <v>0.10688319150692527</v>
      </c>
      <c r="K308" s="53">
        <f t="shared" si="16"/>
        <v>6.9625394378847405E-2</v>
      </c>
      <c r="L308" s="53">
        <f t="shared" si="18"/>
        <v>0.19973355971741413</v>
      </c>
      <c r="N308" s="52">
        <v>36220</v>
      </c>
      <c r="O308" s="51">
        <v>8912</v>
      </c>
      <c r="P308" s="51">
        <v>9717</v>
      </c>
      <c r="Q308" s="51">
        <v>8912</v>
      </c>
      <c r="R308" s="51">
        <v>9465</v>
      </c>
      <c r="S308" s="51">
        <v>9465</v>
      </c>
      <c r="T308" s="51">
        <v>0</v>
      </c>
      <c r="U308" s="53">
        <f t="shared" si="20"/>
        <v>6.2170351251262579E-2</v>
      </c>
    </row>
    <row r="309" spans="1:21" x14ac:dyDescent="0.2">
      <c r="A309" s="56">
        <v>43405</v>
      </c>
      <c r="B309" s="51">
        <v>87428</v>
      </c>
      <c r="C309" s="51">
        <v>90246</v>
      </c>
      <c r="D309" s="51">
        <v>84030</v>
      </c>
      <c r="E309" s="51">
        <v>89504</v>
      </c>
      <c r="F309" s="51">
        <v>89504</v>
      </c>
      <c r="G309" s="51">
        <v>83697300</v>
      </c>
      <c r="H309" s="53">
        <f t="shared" si="19"/>
        <v>2.3792093704245953E-2</v>
      </c>
      <c r="I309" s="53">
        <f t="shared" si="17"/>
        <v>0.24361201039307501</v>
      </c>
      <c r="J309" s="53">
        <f>(VLOOKUP(DATE(YEAR(A309),MONTH(A309),1),'16. câmbio USD-BRL'!$A$3:$G$2250,2,)/VLOOKUP(DATE(YEAR(A249),MONTH(A249),1),'16. câmbio USD-BRL'!$A$3:$G$2250,2,))^(1/5)-1</f>
        <v>0.10607724398715002</v>
      </c>
      <c r="K309" s="53">
        <f t="shared" si="16"/>
        <v>0.13753476640592499</v>
      </c>
      <c r="L309" s="53">
        <f t="shared" si="18"/>
        <v>0.20050352102981048</v>
      </c>
      <c r="N309" s="52">
        <v>36227</v>
      </c>
      <c r="O309" s="51">
        <v>9465</v>
      </c>
      <c r="P309" s="51">
        <v>10080</v>
      </c>
      <c r="Q309" s="51">
        <v>9459</v>
      </c>
      <c r="R309" s="51">
        <v>9574</v>
      </c>
      <c r="S309" s="51">
        <v>9574</v>
      </c>
      <c r="T309" s="51">
        <v>0</v>
      </c>
      <c r="U309" s="53">
        <f t="shared" si="20"/>
        <v>1.1516111991547895E-2</v>
      </c>
    </row>
    <row r="310" spans="1:21" x14ac:dyDescent="0.2">
      <c r="A310" s="56">
        <v>43435</v>
      </c>
      <c r="B310" s="51">
        <v>89511</v>
      </c>
      <c r="C310" s="51">
        <v>91242</v>
      </c>
      <c r="D310" s="51">
        <v>83892</v>
      </c>
      <c r="E310" s="51">
        <v>87887</v>
      </c>
      <c r="F310" s="51">
        <v>87887</v>
      </c>
      <c r="G310" s="51">
        <v>79750200</v>
      </c>
      <c r="H310" s="53">
        <f t="shared" si="19"/>
        <v>-1.8066231676796551E-2</v>
      </c>
      <c r="I310" s="53">
        <f t="shared" si="17"/>
        <v>0.15032328996623123</v>
      </c>
      <c r="J310" s="53">
        <f>(VLOOKUP(DATE(YEAR(A310),MONTH(A310),1),'16. câmbio USD-BRL'!$A$3:$G$2250,2,)/VLOOKUP(DATE(YEAR(A250),MONTH(A250),1),'16. câmbio USD-BRL'!$A$3:$G$2250,2,))^(1/5)-1</f>
        <v>0.10441818407762549</v>
      </c>
      <c r="K310" s="53">
        <f t="shared" si="16"/>
        <v>4.5905105888605746E-2</v>
      </c>
      <c r="L310" s="53">
        <f t="shared" si="18"/>
        <v>0.20030585601841894</v>
      </c>
      <c r="N310" s="52">
        <v>36234</v>
      </c>
      <c r="O310" s="51">
        <v>9626</v>
      </c>
      <c r="P310" s="51">
        <v>11101</v>
      </c>
      <c r="Q310" s="51">
        <v>9587</v>
      </c>
      <c r="R310" s="51">
        <v>10836</v>
      </c>
      <c r="S310" s="51">
        <v>10836</v>
      </c>
      <c r="T310" s="51">
        <v>0</v>
      </c>
      <c r="U310" s="53">
        <f t="shared" si="20"/>
        <v>0.13181533319406724</v>
      </c>
    </row>
    <row r="311" spans="1:21" x14ac:dyDescent="0.2">
      <c r="A311" s="56">
        <v>43466</v>
      </c>
      <c r="B311" s="51">
        <v>87887</v>
      </c>
      <c r="C311" s="51">
        <v>98405</v>
      </c>
      <c r="D311" s="51">
        <v>87536</v>
      </c>
      <c r="E311" s="51">
        <v>97394</v>
      </c>
      <c r="F311" s="51">
        <v>97394</v>
      </c>
      <c r="G311" s="51">
        <v>101237300</v>
      </c>
      <c r="H311" s="53">
        <f t="shared" si="19"/>
        <v>0.10817299486841048</v>
      </c>
      <c r="I311" s="53">
        <f t="shared" si="17"/>
        <v>0.14698573834395212</v>
      </c>
      <c r="J311" s="53">
        <f>(VLOOKUP(DATE(YEAR(A311),MONTH(A311),1),'16. câmbio USD-BRL'!$A$3:$G$2250,2,)/VLOOKUP(DATE(YEAR(A251),MONTH(A251),1),'16. câmbio USD-BRL'!$A$3:$G$2250,2,))^(1/5)-1</f>
        <v>8.596295054516423E-2</v>
      </c>
      <c r="K311" s="53">
        <f t="shared" si="16"/>
        <v>6.1022787798787892E-2</v>
      </c>
      <c r="L311" s="53">
        <f t="shared" si="18"/>
        <v>0.19943290845588091</v>
      </c>
      <c r="N311" s="52">
        <v>36241</v>
      </c>
      <c r="O311" s="51">
        <v>10836</v>
      </c>
      <c r="P311" s="51">
        <v>11029</v>
      </c>
      <c r="Q311" s="51">
        <v>10324</v>
      </c>
      <c r="R311" s="51">
        <v>10865</v>
      </c>
      <c r="S311" s="51">
        <v>10865</v>
      </c>
      <c r="T311" s="51">
        <v>0</v>
      </c>
      <c r="U311" s="53">
        <f t="shared" si="20"/>
        <v>2.6762643041713385E-3</v>
      </c>
    </row>
    <row r="312" spans="1:21" x14ac:dyDescent="0.2">
      <c r="A312" s="56">
        <v>43497</v>
      </c>
      <c r="B312" s="51">
        <v>97395</v>
      </c>
      <c r="C312" s="51">
        <v>98589</v>
      </c>
      <c r="D312" s="51">
        <v>93424</v>
      </c>
      <c r="E312" s="51">
        <v>95584</v>
      </c>
      <c r="F312" s="51">
        <v>95584</v>
      </c>
      <c r="G312" s="51">
        <v>95001600</v>
      </c>
      <c r="H312" s="53">
        <f t="shared" si="19"/>
        <v>-1.8584307041501491E-2</v>
      </c>
      <c r="I312" s="53">
        <f t="shared" si="17"/>
        <v>0.11819000713608863</v>
      </c>
      <c r="J312" s="53">
        <f>(VLOOKUP(DATE(YEAR(A312),MONTH(A312),1),'16. câmbio USD-BRL'!$A$3:$G$2250,2,)/VLOOKUP(DATE(YEAR(A252),MONTH(A252),1),'16. câmbio USD-BRL'!$A$3:$G$2250,2,))^(1/5)-1</f>
        <v>9.9144811960330426E-2</v>
      </c>
      <c r="K312" s="53">
        <f t="shared" si="16"/>
        <v>1.9045195175758201E-2</v>
      </c>
      <c r="L312" s="53">
        <f t="shared" si="18"/>
        <v>0.19754070452387767</v>
      </c>
      <c r="N312" s="52">
        <v>36248</v>
      </c>
      <c r="O312" s="51">
        <v>10866</v>
      </c>
      <c r="P312" s="51">
        <v>11075</v>
      </c>
      <c r="Q312" s="51">
        <v>10660</v>
      </c>
      <c r="R312" s="51">
        <v>10696</v>
      </c>
      <c r="S312" s="51">
        <v>10696</v>
      </c>
      <c r="T312" s="51">
        <v>0</v>
      </c>
      <c r="U312" s="53">
        <f t="shared" si="20"/>
        <v>-1.5554532903819585E-2</v>
      </c>
    </row>
    <row r="313" spans="1:21" x14ac:dyDescent="0.2">
      <c r="A313" s="56">
        <v>43525</v>
      </c>
      <c r="B313" s="51">
        <v>95584</v>
      </c>
      <c r="C313" s="51">
        <v>100439</v>
      </c>
      <c r="D313" s="51">
        <v>91584</v>
      </c>
      <c r="E313" s="51">
        <v>95415</v>
      </c>
      <c r="F313" s="51">
        <v>95415</v>
      </c>
      <c r="G313" s="51">
        <v>86699500</v>
      </c>
      <c r="H313" s="53">
        <f t="shared" si="19"/>
        <v>-1.7680783394710131E-3</v>
      </c>
      <c r="I313" s="53">
        <f t="shared" si="17"/>
        <v>0.11771665534287656</v>
      </c>
      <c r="J313" s="53">
        <f>(VLOOKUP(DATE(YEAR(A313),MONTH(A313),1),'16. câmbio USD-BRL'!$A$3:$G$2250,2,)/VLOOKUP(DATE(YEAR(A253),MONTH(A253),1),'16. câmbio USD-BRL'!$A$3:$G$2250,2,))^(1/5)-1</f>
        <v>0.11551600235607795</v>
      </c>
      <c r="K313" s="53">
        <f t="shared" si="16"/>
        <v>2.2006529867986124E-3</v>
      </c>
      <c r="L313" s="53">
        <f t="shared" si="18"/>
        <v>0.19615417561405818</v>
      </c>
      <c r="N313" s="52">
        <v>36255</v>
      </c>
      <c r="O313" s="51">
        <v>10697</v>
      </c>
      <c r="P313" s="51">
        <v>11827</v>
      </c>
      <c r="Q313" s="51">
        <v>10680</v>
      </c>
      <c r="R313" s="51">
        <v>11295</v>
      </c>
      <c r="S313" s="51">
        <v>11295</v>
      </c>
      <c r="T313" s="51">
        <v>0</v>
      </c>
      <c r="U313" s="53">
        <f t="shared" si="20"/>
        <v>5.6002243829468945E-2</v>
      </c>
    </row>
    <row r="314" spans="1:21" x14ac:dyDescent="0.2">
      <c r="A314" s="56">
        <v>43556</v>
      </c>
      <c r="B314" s="51">
        <v>95423</v>
      </c>
      <c r="C314" s="51">
        <v>97610</v>
      </c>
      <c r="D314" s="51">
        <v>92338</v>
      </c>
      <c r="E314" s="51">
        <v>96353</v>
      </c>
      <c r="F314" s="51">
        <v>96353</v>
      </c>
      <c r="G314" s="51">
        <v>90379400</v>
      </c>
      <c r="H314" s="53">
        <f t="shared" si="19"/>
        <v>9.830739401561539E-3</v>
      </c>
      <c r="I314" s="53">
        <f t="shared" si="17"/>
        <v>0.11888753411136266</v>
      </c>
      <c r="J314" s="53">
        <f>(VLOOKUP(DATE(YEAR(A314),MONTH(A314),1),'16. câmbio USD-BRL'!$A$3:$G$2250,2,)/VLOOKUP(DATE(YEAR(A254),MONTH(A254),1),'16. câmbio USD-BRL'!$A$3:$G$2250,2,))^(1/5)-1</f>
        <v>0.11921287959645666</v>
      </c>
      <c r="K314" s="53">
        <f t="shared" si="16"/>
        <v>-3.2534548509399741E-4</v>
      </c>
      <c r="L314" s="53">
        <f t="shared" si="18"/>
        <v>0.19564854689205008</v>
      </c>
      <c r="N314" s="52">
        <v>36262</v>
      </c>
      <c r="O314" s="51">
        <v>11208</v>
      </c>
      <c r="P314" s="51">
        <v>11601</v>
      </c>
      <c r="Q314" s="51">
        <v>11007</v>
      </c>
      <c r="R314" s="51">
        <v>11429</v>
      </c>
      <c r="S314" s="51">
        <v>11429</v>
      </c>
      <c r="T314" s="51">
        <v>0</v>
      </c>
      <c r="U314" s="53">
        <f t="shared" si="20"/>
        <v>1.1863656485170404E-2</v>
      </c>
    </row>
    <row r="315" spans="1:21" x14ac:dyDescent="0.2">
      <c r="A315" s="56">
        <v>43586</v>
      </c>
      <c r="B315" s="51">
        <v>96339</v>
      </c>
      <c r="C315" s="51">
        <v>97992</v>
      </c>
      <c r="D315" s="51">
        <v>89409</v>
      </c>
      <c r="E315" s="51">
        <v>97030</v>
      </c>
      <c r="F315" s="51">
        <v>97030</v>
      </c>
      <c r="G315" s="51">
        <v>98077700</v>
      </c>
      <c r="H315" s="53">
        <f t="shared" si="19"/>
        <v>7.0262472367232931E-3</v>
      </c>
      <c r="I315" s="53">
        <f t="shared" si="17"/>
        <v>0.26416864267660323</v>
      </c>
      <c r="J315" s="53">
        <f>(VLOOKUP(DATE(YEAR(A315),MONTH(A315),1),'16. câmbio USD-BRL'!$A$3:$G$2250,2,)/VLOOKUP(DATE(YEAR(A255),MONTH(A255),1),'16. câmbio USD-BRL'!$A$3:$G$2250,2,))^(1/5)-1</f>
        <v>0.11850676243386782</v>
      </c>
      <c r="K315" s="53">
        <f t="shared" si="16"/>
        <v>0.14566188024273541</v>
      </c>
      <c r="L315" s="53">
        <f t="shared" si="18"/>
        <v>0.19607209493078323</v>
      </c>
      <c r="N315" s="52">
        <v>36269</v>
      </c>
      <c r="O315" s="51">
        <v>11533</v>
      </c>
      <c r="P315" s="51">
        <v>11746</v>
      </c>
      <c r="Q315" s="51">
        <v>10735</v>
      </c>
      <c r="R315" s="51">
        <v>11032</v>
      </c>
      <c r="S315" s="51">
        <v>11032</v>
      </c>
      <c r="T315" s="51">
        <v>0</v>
      </c>
      <c r="U315" s="53">
        <f t="shared" si="20"/>
        <v>-3.4736197392597812E-2</v>
      </c>
    </row>
    <row r="316" spans="1:21" x14ac:dyDescent="0.2">
      <c r="A316" s="56">
        <v>43617</v>
      </c>
      <c r="B316" s="51">
        <v>97036</v>
      </c>
      <c r="C316" s="51">
        <v>102617</v>
      </c>
      <c r="D316" s="51">
        <v>95686</v>
      </c>
      <c r="E316" s="51">
        <v>100967</v>
      </c>
      <c r="F316" s="51">
        <v>100967</v>
      </c>
      <c r="G316" s="51">
        <v>88248100</v>
      </c>
      <c r="H316" s="53">
        <f t="shared" si="19"/>
        <v>4.0575079872204434E-2</v>
      </c>
      <c r="I316" s="53">
        <f t="shared" si="17"/>
        <v>0.38761458433544527</v>
      </c>
      <c r="J316" s="53">
        <f>(VLOOKUP(DATE(YEAR(A316),MONTH(A316),1),'16. câmbio USD-BRL'!$A$3:$G$2250,2,)/VLOOKUP(DATE(YEAR(A256),MONTH(A256),1),'16. câmbio USD-BRL'!$A$3:$G$2250,2,))^(1/5)-1</f>
        <v>0.11709462888453004</v>
      </c>
      <c r="K316" s="53">
        <f t="shared" si="16"/>
        <v>0.27051995545091523</v>
      </c>
      <c r="L316" s="53">
        <f t="shared" si="18"/>
        <v>0.19853119905815844</v>
      </c>
      <c r="N316" s="52">
        <v>36276</v>
      </c>
      <c r="O316" s="51">
        <v>11042</v>
      </c>
      <c r="P316" s="51">
        <v>11464</v>
      </c>
      <c r="Q316" s="51">
        <v>10676</v>
      </c>
      <c r="R316" s="51">
        <v>11351</v>
      </c>
      <c r="S316" s="51">
        <v>11351</v>
      </c>
      <c r="T316" s="51">
        <v>0</v>
      </c>
      <c r="U316" s="53">
        <f t="shared" si="20"/>
        <v>2.8915881073241501E-2</v>
      </c>
    </row>
    <row r="317" spans="1:21" x14ac:dyDescent="0.2">
      <c r="A317" s="56">
        <v>43647</v>
      </c>
      <c r="B317" s="51">
        <v>100973</v>
      </c>
      <c r="C317" s="51">
        <v>106650</v>
      </c>
      <c r="D317" s="51">
        <v>100073</v>
      </c>
      <c r="E317" s="51">
        <v>101812</v>
      </c>
      <c r="F317" s="51">
        <v>101812</v>
      </c>
      <c r="G317" s="51">
        <v>94472500</v>
      </c>
      <c r="H317" s="53">
        <f t="shared" si="19"/>
        <v>8.3690710826309633E-3</v>
      </c>
      <c r="I317" s="53">
        <f t="shared" si="17"/>
        <v>0.28518050997222932</v>
      </c>
      <c r="J317" s="53">
        <f>(VLOOKUP(DATE(YEAR(A317),MONTH(A317),1),'16. câmbio USD-BRL'!$A$3:$G$2250,2,)/VLOOKUP(DATE(YEAR(A257),MONTH(A257),1),'16. câmbio USD-BRL'!$A$3:$G$2250,2,))^(1/5)-1</f>
        <v>0.10988922488332009</v>
      </c>
      <c r="K317" s="53">
        <f t="shared" ref="K317:K351" si="21">I317-J317</f>
        <v>0.17529128508890923</v>
      </c>
      <c r="L317" s="53">
        <f t="shared" si="18"/>
        <v>0.19931596672414517</v>
      </c>
      <c r="N317" s="52">
        <v>36283</v>
      </c>
      <c r="O317" s="51">
        <v>11351</v>
      </c>
      <c r="P317" s="51">
        <v>12233</v>
      </c>
      <c r="Q317" s="51">
        <v>11101</v>
      </c>
      <c r="R317" s="51">
        <v>12233</v>
      </c>
      <c r="S317" s="51">
        <v>12233</v>
      </c>
      <c r="T317" s="51">
        <v>0</v>
      </c>
      <c r="U317" s="53">
        <f t="shared" si="20"/>
        <v>7.7702405074442815E-2</v>
      </c>
    </row>
    <row r="318" spans="1:21" x14ac:dyDescent="0.2">
      <c r="A318" s="56">
        <v>43678</v>
      </c>
      <c r="B318" s="51">
        <v>101819</v>
      </c>
      <c r="C318" s="51">
        <v>104848</v>
      </c>
      <c r="D318" s="51">
        <v>95855</v>
      </c>
      <c r="E318" s="51">
        <v>101135</v>
      </c>
      <c r="F318" s="51">
        <v>101135</v>
      </c>
      <c r="G318" s="51">
        <v>118683900</v>
      </c>
      <c r="H318" s="53">
        <f t="shared" si="19"/>
        <v>-6.649510863159569E-3</v>
      </c>
      <c r="I318" s="53">
        <f t="shared" ref="I318:I359" si="22">F318/F306-1</f>
        <v>0.31895719763165453</v>
      </c>
      <c r="J318" s="53">
        <f>(VLOOKUP(DATE(YEAR(A318),MONTH(A318),1),'16. câmbio USD-BRL'!$A$3:$G$2250,2,)/VLOOKUP(DATE(YEAR(A258),MONTH(A258),1),'16. câmbio USD-BRL'!$A$3:$G$2250,2,))^(1/5)-1</f>
        <v>0.13140717554557035</v>
      </c>
      <c r="K318" s="53">
        <f t="shared" si="21"/>
        <v>0.18755002208608418</v>
      </c>
      <c r="L318" s="53">
        <f t="shared" si="18"/>
        <v>0.20008802997014064</v>
      </c>
      <c r="N318" s="52">
        <v>36290</v>
      </c>
      <c r="O318" s="51">
        <v>12234</v>
      </c>
      <c r="P318" s="51">
        <v>12589</v>
      </c>
      <c r="Q318" s="51">
        <v>11988</v>
      </c>
      <c r="R318" s="51">
        <v>12335</v>
      </c>
      <c r="S318" s="51">
        <v>12335</v>
      </c>
      <c r="T318" s="51">
        <v>0</v>
      </c>
      <c r="U318" s="53">
        <f t="shared" si="20"/>
        <v>8.3381018556363262E-3</v>
      </c>
    </row>
    <row r="319" spans="1:21" x14ac:dyDescent="0.2">
      <c r="A319" s="56">
        <v>43709</v>
      </c>
      <c r="B319" s="51">
        <v>101133</v>
      </c>
      <c r="C319" s="51">
        <v>106001</v>
      </c>
      <c r="D319" s="51">
        <v>99406</v>
      </c>
      <c r="E319" s="51">
        <v>104745</v>
      </c>
      <c r="F319" s="51">
        <v>104745</v>
      </c>
      <c r="G319" s="51">
        <v>93206100</v>
      </c>
      <c r="H319" s="53">
        <f t="shared" si="19"/>
        <v>3.5694863301527713E-2</v>
      </c>
      <c r="I319" s="53">
        <f t="shared" si="22"/>
        <v>0.32017090569937734</v>
      </c>
      <c r="J319" s="53">
        <f>(VLOOKUP(DATE(YEAR(A319),MONTH(A319),1),'16. câmbio USD-BRL'!$A$3:$G$2250,2,)/VLOOKUP(DATE(YEAR(A259),MONTH(A259),1),'16. câmbio USD-BRL'!$A$3:$G$2250,2,))^(1/5)-1</f>
        <v>0.1118043147834209</v>
      </c>
      <c r="K319" s="53">
        <f t="shared" si="21"/>
        <v>0.20836659091595644</v>
      </c>
      <c r="L319" s="53">
        <f t="shared" si="18"/>
        <v>0.20035694481459021</v>
      </c>
      <c r="N319" s="52">
        <v>36297</v>
      </c>
      <c r="O319" s="51">
        <v>12331</v>
      </c>
      <c r="P319" s="51">
        <v>12354</v>
      </c>
      <c r="Q319" s="51">
        <v>11646</v>
      </c>
      <c r="R319" s="51">
        <v>11728</v>
      </c>
      <c r="S319" s="51">
        <v>11728</v>
      </c>
      <c r="T319" s="51">
        <v>0</v>
      </c>
      <c r="U319" s="53">
        <f t="shared" si="20"/>
        <v>-4.9209566274827754E-2</v>
      </c>
    </row>
    <row r="320" spans="1:21" x14ac:dyDescent="0.2">
      <c r="A320" s="56">
        <v>43739</v>
      </c>
      <c r="B320" s="51">
        <v>104745</v>
      </c>
      <c r="C320" s="51">
        <v>108408</v>
      </c>
      <c r="D320" s="51">
        <v>99826</v>
      </c>
      <c r="E320" s="51">
        <v>107220</v>
      </c>
      <c r="F320" s="51">
        <v>107220</v>
      </c>
      <c r="G320" s="51">
        <v>103190700</v>
      </c>
      <c r="H320" s="53">
        <f t="shared" si="19"/>
        <v>2.3628812831161472E-2</v>
      </c>
      <c r="I320" s="53">
        <f t="shared" si="22"/>
        <v>0.22643667642752563</v>
      </c>
      <c r="J320" s="53">
        <f>(VLOOKUP(DATE(YEAR(A320),MONTH(A320),1),'16. câmbio USD-BRL'!$A$3:$G$2250,2,)/VLOOKUP(DATE(YEAR(A260),MONTH(A260),1),'16. câmbio USD-BRL'!$A$3:$G$2250,2,))^(1/5)-1</f>
        <v>0.10148822192129159</v>
      </c>
      <c r="K320" s="53">
        <f t="shared" si="21"/>
        <v>0.12494845450623404</v>
      </c>
      <c r="L320" s="53">
        <f t="shared" si="18"/>
        <v>0.20067287460249478</v>
      </c>
      <c r="N320" s="52">
        <v>36304</v>
      </c>
      <c r="O320" s="51">
        <v>11727</v>
      </c>
      <c r="P320" s="51">
        <v>11840</v>
      </c>
      <c r="Q320" s="51">
        <v>10563</v>
      </c>
      <c r="R320" s="51">
        <v>10930</v>
      </c>
      <c r="S320" s="51">
        <v>10930</v>
      </c>
      <c r="T320" s="51">
        <v>0</v>
      </c>
      <c r="U320" s="53">
        <f t="shared" si="20"/>
        <v>-6.8042291950886735E-2</v>
      </c>
    </row>
    <row r="321" spans="1:21" x14ac:dyDescent="0.2">
      <c r="A321" s="56">
        <v>43770</v>
      </c>
      <c r="B321" s="51">
        <v>107221</v>
      </c>
      <c r="C321" s="51">
        <v>109672</v>
      </c>
      <c r="D321" s="51">
        <v>105261</v>
      </c>
      <c r="E321" s="51">
        <v>108233</v>
      </c>
      <c r="F321" s="51">
        <v>108233</v>
      </c>
      <c r="G321" s="51">
        <v>95992100</v>
      </c>
      <c r="H321" s="53">
        <f t="shared" si="19"/>
        <v>9.4478642044395489E-3</v>
      </c>
      <c r="I321" s="53">
        <f t="shared" si="22"/>
        <v>0.20925321773328576</v>
      </c>
      <c r="J321" s="53">
        <f>(VLOOKUP(DATE(YEAR(A321),MONTH(A321),1),'16. câmbio USD-BRL'!$A$3:$G$2250,2,)/VLOOKUP(DATE(YEAR(A261),MONTH(A261),1),'16. câmbio USD-BRL'!$A$3:$G$2250,2,))^(1/5)-1</f>
        <v>0.10549707340783976</v>
      </c>
      <c r="K321" s="53">
        <f t="shared" si="21"/>
        <v>0.103756144325446</v>
      </c>
      <c r="L321" s="53">
        <f t="shared" si="18"/>
        <v>0.20060930089756168</v>
      </c>
      <c r="N321" s="52">
        <v>36311</v>
      </c>
      <c r="O321" s="51">
        <v>10932</v>
      </c>
      <c r="P321" s="51">
        <v>11296</v>
      </c>
      <c r="Q321" s="51">
        <v>10742</v>
      </c>
      <c r="R321" s="51">
        <v>11234</v>
      </c>
      <c r="S321" s="51">
        <v>11234</v>
      </c>
      <c r="T321" s="51">
        <v>0</v>
      </c>
      <c r="U321" s="53">
        <f t="shared" si="20"/>
        <v>2.7813357731015564E-2</v>
      </c>
    </row>
    <row r="322" spans="1:21" x14ac:dyDescent="0.2">
      <c r="A322" s="56">
        <v>43800</v>
      </c>
      <c r="B322" s="51">
        <v>108246</v>
      </c>
      <c r="C322" s="51">
        <v>117803</v>
      </c>
      <c r="D322" s="51">
        <v>108190</v>
      </c>
      <c r="E322" s="51">
        <v>115645</v>
      </c>
      <c r="F322" s="51">
        <v>115645</v>
      </c>
      <c r="G322" s="51">
        <v>99879900</v>
      </c>
      <c r="H322" s="53">
        <f t="shared" si="19"/>
        <v>6.8481886300850947E-2</v>
      </c>
      <c r="I322" s="53">
        <f t="shared" si="22"/>
        <v>0.31583738209291479</v>
      </c>
      <c r="J322" s="53">
        <f>(VLOOKUP(DATE(YEAR(A322),MONTH(A322),1),'16. câmbio USD-BRL'!$A$3:$G$2250,2,)/VLOOKUP(DATE(YEAR(A262),MONTH(A262),1),'16. câmbio USD-BRL'!$A$3:$G$2250,2,))^(1/5)-1</f>
        <v>8.627491833171308E-2</v>
      </c>
      <c r="K322" s="53">
        <f t="shared" si="21"/>
        <v>0.22956246376120171</v>
      </c>
      <c r="L322" s="53">
        <f t="shared" si="18"/>
        <v>0.20210903362730701</v>
      </c>
      <c r="N322" s="52">
        <v>36318</v>
      </c>
      <c r="O322" s="51">
        <v>11234</v>
      </c>
      <c r="P322" s="51">
        <v>11308</v>
      </c>
      <c r="Q322" s="51">
        <v>10800</v>
      </c>
      <c r="R322" s="51">
        <v>11105</v>
      </c>
      <c r="S322" s="51">
        <v>11105</v>
      </c>
      <c r="T322" s="51">
        <v>0</v>
      </c>
      <c r="U322" s="53">
        <f t="shared" si="20"/>
        <v>-1.1482998041659198E-2</v>
      </c>
    </row>
    <row r="323" spans="1:21" x14ac:dyDescent="0.2">
      <c r="A323" s="56">
        <v>43831</v>
      </c>
      <c r="B323" s="51">
        <v>115652</v>
      </c>
      <c r="C323" s="51">
        <v>119593</v>
      </c>
      <c r="D323" s="51">
        <v>112825</v>
      </c>
      <c r="E323" s="51">
        <v>113761</v>
      </c>
      <c r="F323" s="51">
        <v>113761</v>
      </c>
      <c r="G323" s="51">
        <v>122061200</v>
      </c>
      <c r="H323" s="53">
        <f t="shared" si="19"/>
        <v>-1.6291236110510643E-2</v>
      </c>
      <c r="I323" s="53">
        <f t="shared" si="22"/>
        <v>0.16804936649074897</v>
      </c>
      <c r="J323" s="53">
        <f>(VLOOKUP(DATE(YEAR(A323),MONTH(A323),1),'16. câmbio USD-BRL'!$A$3:$G$2250,2,)/VLOOKUP(DATE(YEAR(A263),MONTH(A263),1),'16. câmbio USD-BRL'!$A$3:$G$2250,2,))^(1/5)-1</f>
        <v>9.8076855770182991E-2</v>
      </c>
      <c r="K323" s="53">
        <f t="shared" si="21"/>
        <v>6.9972510720565984E-2</v>
      </c>
      <c r="L323" s="53">
        <f t="shared" si="18"/>
        <v>0.20125022755646141</v>
      </c>
      <c r="N323" s="52">
        <v>36325</v>
      </c>
      <c r="O323" s="51">
        <v>11108</v>
      </c>
      <c r="P323" s="51">
        <v>11903</v>
      </c>
      <c r="Q323" s="51">
        <v>10666</v>
      </c>
      <c r="R323" s="51">
        <v>11877</v>
      </c>
      <c r="S323" s="51">
        <v>11877</v>
      </c>
      <c r="T323" s="51">
        <v>0</v>
      </c>
      <c r="U323" s="53">
        <f t="shared" si="20"/>
        <v>6.9518235029266018E-2</v>
      </c>
    </row>
    <row r="324" spans="1:21" x14ac:dyDescent="0.2">
      <c r="A324" s="56">
        <v>43862</v>
      </c>
      <c r="B324" s="51">
        <v>113761</v>
      </c>
      <c r="C324" s="51">
        <v>117701</v>
      </c>
      <c r="D324" s="51">
        <v>99951</v>
      </c>
      <c r="E324" s="51">
        <v>104172</v>
      </c>
      <c r="F324" s="51">
        <v>104172</v>
      </c>
      <c r="G324" s="51">
        <v>122284500</v>
      </c>
      <c r="H324" s="53">
        <f t="shared" si="19"/>
        <v>-8.429074990550367E-2</v>
      </c>
      <c r="I324" s="53">
        <f t="shared" si="22"/>
        <v>8.9847673250753157E-2</v>
      </c>
      <c r="J324" s="53">
        <f>(VLOOKUP(DATE(YEAR(A324),MONTH(A324),1),'16. câmbio USD-BRL'!$A$3:$G$2250,2,)/VLOOKUP(DATE(YEAR(A264),MONTH(A264),1),'16. câmbio USD-BRL'!$A$3:$G$2250,2,))^(1/5)-1</f>
        <v>9.520750160995628E-2</v>
      </c>
      <c r="K324" s="53">
        <f t="shared" si="21"/>
        <v>-5.3598283592031226E-3</v>
      </c>
      <c r="L324" s="53">
        <f t="shared" ref="L324:L350" si="23">_xlfn.STDEV.S(K264:K324)</f>
        <v>0.20069154329843078</v>
      </c>
      <c r="N324" s="52">
        <v>36332</v>
      </c>
      <c r="O324" s="51">
        <v>11895</v>
      </c>
      <c r="P324" s="51">
        <v>12118</v>
      </c>
      <c r="Q324" s="51">
        <v>11146</v>
      </c>
      <c r="R324" s="51">
        <v>11220</v>
      </c>
      <c r="S324" s="51">
        <v>11220</v>
      </c>
      <c r="T324" s="51">
        <v>0</v>
      </c>
      <c r="U324" s="53">
        <f t="shared" si="20"/>
        <v>-5.5316999242232878E-2</v>
      </c>
    </row>
    <row r="325" spans="1:21" x14ac:dyDescent="0.2">
      <c r="A325" s="56">
        <v>43891</v>
      </c>
      <c r="B325" s="51">
        <v>104260</v>
      </c>
      <c r="C325" s="51">
        <v>108804</v>
      </c>
      <c r="D325" s="51">
        <v>61691</v>
      </c>
      <c r="E325" s="51">
        <v>73020</v>
      </c>
      <c r="F325" s="51">
        <v>73020</v>
      </c>
      <c r="G325" s="51">
        <v>270525000</v>
      </c>
      <c r="H325" s="53">
        <f t="shared" ref="H325:H359" si="24">F325/F324-1</f>
        <v>-0.29904388895288558</v>
      </c>
      <c r="I325" s="53">
        <f t="shared" si="22"/>
        <v>-0.23471152334538592</v>
      </c>
      <c r="J325" s="53">
        <f>(VLOOKUP(DATE(YEAR(A325),MONTH(A325),1),'16. câmbio USD-BRL'!$A$3:$G$2250,2,)/VLOOKUP(DATE(YEAR(A265),MONTH(A265),1),'16. câmbio USD-BRL'!$A$3:$G$2250,2,))^(1/5)-1</f>
        <v>0.1024906197229869</v>
      </c>
      <c r="K325" s="53">
        <f t="shared" si="21"/>
        <v>-0.33720214306837282</v>
      </c>
      <c r="L325" s="53">
        <f t="shared" si="23"/>
        <v>0.20623681959418361</v>
      </c>
      <c r="N325" s="52">
        <v>36339</v>
      </c>
      <c r="O325" s="51">
        <v>11222</v>
      </c>
      <c r="P325" s="51">
        <v>11861</v>
      </c>
      <c r="Q325" s="51">
        <v>11190</v>
      </c>
      <c r="R325" s="51">
        <v>11836</v>
      </c>
      <c r="S325" s="51">
        <v>11836</v>
      </c>
      <c r="T325" s="51">
        <v>0</v>
      </c>
      <c r="U325" s="53">
        <f t="shared" ref="U325:U388" si="25">S325/S324-1</f>
        <v>5.4901960784313752E-2</v>
      </c>
    </row>
    <row r="326" spans="1:21" x14ac:dyDescent="0.2">
      <c r="A326" s="56">
        <v>43922</v>
      </c>
      <c r="B326" s="51">
        <v>73011</v>
      </c>
      <c r="C326" s="51">
        <v>83598</v>
      </c>
      <c r="D326" s="51">
        <v>67802</v>
      </c>
      <c r="E326" s="51">
        <v>80506</v>
      </c>
      <c r="F326" s="51">
        <v>80506</v>
      </c>
      <c r="G326" s="51">
        <v>209517900</v>
      </c>
      <c r="H326" s="53">
        <f t="shared" si="24"/>
        <v>0.10251985757326754</v>
      </c>
      <c r="I326" s="53">
        <f t="shared" si="22"/>
        <v>-0.16446815356034583</v>
      </c>
      <c r="J326" s="53">
        <f>(VLOOKUP(DATE(YEAR(A326),MONTH(A326),1),'16. câmbio USD-BRL'!$A$3:$G$2250,2,)/VLOOKUP(DATE(YEAR(A266),MONTH(A266),1),'16. câmbio USD-BRL'!$A$3:$G$2250,2,))^(1/5)-1</f>
        <v>0.12728423080227924</v>
      </c>
      <c r="K326" s="53">
        <f t="shared" si="21"/>
        <v>-0.29175238436262507</v>
      </c>
      <c r="L326" s="53">
        <f t="shared" si="23"/>
        <v>0.20957850256112584</v>
      </c>
      <c r="N326" s="52">
        <v>36346</v>
      </c>
      <c r="O326" s="51">
        <v>11834</v>
      </c>
      <c r="P326" s="51">
        <v>11996</v>
      </c>
      <c r="Q326" s="51">
        <v>11429</v>
      </c>
      <c r="R326" s="51">
        <v>11509</v>
      </c>
      <c r="S326" s="51">
        <v>11509</v>
      </c>
      <c r="T326" s="51">
        <v>0</v>
      </c>
      <c r="U326" s="53">
        <f t="shared" si="25"/>
        <v>-2.7627576884082461E-2</v>
      </c>
    </row>
    <row r="327" spans="1:21" x14ac:dyDescent="0.2">
      <c r="A327" s="56">
        <v>43952</v>
      </c>
      <c r="B327" s="51">
        <v>80501</v>
      </c>
      <c r="C327" s="51">
        <v>88091</v>
      </c>
      <c r="D327" s="51">
        <v>75697</v>
      </c>
      <c r="E327" s="51">
        <v>87403</v>
      </c>
      <c r="F327" s="51">
        <v>87403</v>
      </c>
      <c r="G327" s="51">
        <v>220355900</v>
      </c>
      <c r="H327" s="53">
        <f t="shared" si="24"/>
        <v>8.5670633244727012E-2</v>
      </c>
      <c r="I327" s="53">
        <f t="shared" si="22"/>
        <v>-9.9216737091621154E-2</v>
      </c>
      <c r="J327" s="53">
        <f>(VLOOKUP(DATE(YEAR(A327),MONTH(A327),1),'16. câmbio USD-BRL'!$A$3:$G$2250,2,)/VLOOKUP(DATE(YEAR(A267),MONTH(A267),1),'16. câmbio USD-BRL'!$A$3:$G$2250,2,))^(1/5)-1</f>
        <v>0.10912240792300487</v>
      </c>
      <c r="K327" s="53">
        <f t="shared" si="21"/>
        <v>-0.20833914501462603</v>
      </c>
      <c r="L327" s="53">
        <f t="shared" si="23"/>
        <v>0.21162219698841284</v>
      </c>
      <c r="N327" s="52">
        <v>36353</v>
      </c>
      <c r="O327" s="51">
        <v>11509</v>
      </c>
      <c r="P327" s="51">
        <v>11590</v>
      </c>
      <c r="Q327" s="51">
        <v>10860</v>
      </c>
      <c r="R327" s="51">
        <v>11407</v>
      </c>
      <c r="S327" s="51">
        <v>11407</v>
      </c>
      <c r="T327" s="51">
        <v>0</v>
      </c>
      <c r="U327" s="53">
        <f t="shared" si="25"/>
        <v>-8.8626292466764678E-3</v>
      </c>
    </row>
    <row r="328" spans="1:21" x14ac:dyDescent="0.2">
      <c r="A328" s="56">
        <v>43983</v>
      </c>
      <c r="B328" s="51">
        <v>87395</v>
      </c>
      <c r="C328" s="51">
        <v>97693</v>
      </c>
      <c r="D328" s="51">
        <v>86837</v>
      </c>
      <c r="E328" s="51">
        <v>95056</v>
      </c>
      <c r="F328" s="51">
        <v>95056</v>
      </c>
      <c r="G328" s="51">
        <v>232321100</v>
      </c>
      <c r="H328" s="53">
        <f t="shared" si="24"/>
        <v>8.7559923572417375E-2</v>
      </c>
      <c r="I328" s="53">
        <f t="shared" si="22"/>
        <v>-5.8543880673883497E-2</v>
      </c>
      <c r="J328" s="53">
        <f>(VLOOKUP(DATE(YEAR(A328),MONTH(A328),1),'16. câmbio USD-BRL'!$A$3:$G$2250,2,)/VLOOKUP(DATE(YEAR(A268),MONTH(A268),1),'16. câmbio USD-BRL'!$A$3:$G$2250,2,))^(1/5)-1</f>
        <v>0.11994485040243674</v>
      </c>
      <c r="K328" s="53">
        <f t="shared" si="21"/>
        <v>-0.17848873107632024</v>
      </c>
      <c r="L328" s="53">
        <f t="shared" si="23"/>
        <v>0.2127268637751952</v>
      </c>
      <c r="N328" s="52">
        <v>36360</v>
      </c>
      <c r="O328" s="51">
        <v>11410</v>
      </c>
      <c r="P328" s="51">
        <v>11483</v>
      </c>
      <c r="Q328" s="51">
        <v>10975</v>
      </c>
      <c r="R328" s="51">
        <v>10989</v>
      </c>
      <c r="S328" s="51">
        <v>10989</v>
      </c>
      <c r="T328" s="51">
        <v>0</v>
      </c>
      <c r="U328" s="53">
        <f t="shared" si="25"/>
        <v>-3.6644165863066513E-2</v>
      </c>
    </row>
    <row r="329" spans="1:21" x14ac:dyDescent="0.2">
      <c r="A329" s="56">
        <v>44013</v>
      </c>
      <c r="B329" s="51">
        <v>95062</v>
      </c>
      <c r="C329" s="51">
        <v>105704</v>
      </c>
      <c r="D329" s="51">
        <v>95062</v>
      </c>
      <c r="E329" s="51">
        <v>102912</v>
      </c>
      <c r="F329" s="51">
        <v>102912</v>
      </c>
      <c r="G329" s="51">
        <v>212054200</v>
      </c>
      <c r="H329" s="53">
        <f t="shared" si="24"/>
        <v>8.2646019188688857E-2</v>
      </c>
      <c r="I329" s="53">
        <f t="shared" si="22"/>
        <v>1.0804227399520583E-2</v>
      </c>
      <c r="J329" s="53">
        <f>(VLOOKUP(DATE(YEAR(A329),MONTH(A329),1),'16. câmbio USD-BRL'!$A$3:$G$2250,2,)/VLOOKUP(DATE(YEAR(A269),MONTH(A269),1),'16. câmbio USD-BRL'!$A$3:$G$2250,2,))^(1/5)-1</f>
        <v>8.8349209850014043E-2</v>
      </c>
      <c r="K329" s="53">
        <f t="shared" si="21"/>
        <v>-7.754498245049346E-2</v>
      </c>
      <c r="L329" s="53">
        <f t="shared" si="23"/>
        <v>0.21236571843918489</v>
      </c>
      <c r="N329" s="52">
        <v>36367</v>
      </c>
      <c r="O329" s="51">
        <v>10989</v>
      </c>
      <c r="P329" s="51">
        <v>10990</v>
      </c>
      <c r="Q329" s="51">
        <v>10345</v>
      </c>
      <c r="R329" s="51">
        <v>10442</v>
      </c>
      <c r="S329" s="51">
        <v>10442</v>
      </c>
      <c r="T329" s="51">
        <v>0</v>
      </c>
      <c r="U329" s="53">
        <f t="shared" si="25"/>
        <v>-4.9777049777049776E-2</v>
      </c>
    </row>
    <row r="330" spans="1:21" x14ac:dyDescent="0.2">
      <c r="A330" s="56">
        <v>44044</v>
      </c>
      <c r="B330" s="51">
        <v>102913</v>
      </c>
      <c r="C330" s="51">
        <v>104523</v>
      </c>
      <c r="D330" s="51">
        <v>98513</v>
      </c>
      <c r="E330" s="51">
        <v>99369</v>
      </c>
      <c r="F330" s="51">
        <v>99369</v>
      </c>
      <c r="G330" s="51">
        <v>202682200</v>
      </c>
      <c r="H330" s="53">
        <f t="shared" si="24"/>
        <v>-3.4427472014925353E-2</v>
      </c>
      <c r="I330" s="53">
        <f t="shared" si="22"/>
        <v>-1.7461808473822171E-2</v>
      </c>
      <c r="J330" s="53">
        <f>(VLOOKUP(DATE(YEAR(A330),MONTH(A330),1),'16. câmbio USD-BRL'!$A$3:$G$2250,2,)/VLOOKUP(DATE(YEAR(A270),MONTH(A270),1),'16. câmbio USD-BRL'!$A$3:$G$2250,2,))^(1/5)-1</f>
        <v>8.701075397299074E-2</v>
      </c>
      <c r="K330" s="53">
        <f t="shared" si="21"/>
        <v>-0.10447256244681291</v>
      </c>
      <c r="L330" s="53">
        <f t="shared" si="23"/>
        <v>0.21044005782801029</v>
      </c>
      <c r="N330" s="52">
        <v>36374</v>
      </c>
      <c r="O330" s="51">
        <v>10441</v>
      </c>
      <c r="P330" s="51">
        <v>10566</v>
      </c>
      <c r="Q330" s="51">
        <v>9950</v>
      </c>
      <c r="R330" s="51">
        <v>10039</v>
      </c>
      <c r="S330" s="51">
        <v>10039</v>
      </c>
      <c r="T330" s="51">
        <v>0</v>
      </c>
      <c r="U330" s="53">
        <f t="shared" si="25"/>
        <v>-3.8594139053821142E-2</v>
      </c>
    </row>
    <row r="331" spans="1:21" x14ac:dyDescent="0.2">
      <c r="A331" s="56">
        <v>44075</v>
      </c>
      <c r="B331" s="51">
        <v>99382</v>
      </c>
      <c r="C331" s="51">
        <v>103226</v>
      </c>
      <c r="D331" s="51">
        <v>93408</v>
      </c>
      <c r="E331" s="51">
        <v>94603</v>
      </c>
      <c r="F331" s="51">
        <v>94603</v>
      </c>
      <c r="G331" s="51">
        <v>182459100</v>
      </c>
      <c r="H331" s="53">
        <f t="shared" si="24"/>
        <v>-4.7962644285441169E-2</v>
      </c>
      <c r="I331" s="53">
        <f t="shared" si="22"/>
        <v>-9.6825624134803556E-2</v>
      </c>
      <c r="J331" s="53">
        <f>(VLOOKUP(DATE(YEAR(A331),MONTH(A331),1),'16. câmbio USD-BRL'!$A$3:$G$2250,2,)/VLOOKUP(DATE(YEAR(A271),MONTH(A271),1),'16. câmbio USD-BRL'!$A$3:$G$2250,2,))^(1/5)-1</f>
        <v>7.281270041006227E-2</v>
      </c>
      <c r="K331" s="53">
        <f t="shared" si="21"/>
        <v>-0.16963832454486583</v>
      </c>
      <c r="L331" s="53">
        <f t="shared" si="23"/>
        <v>0.20485513490178553</v>
      </c>
      <c r="N331" s="52">
        <v>36381</v>
      </c>
      <c r="O331" s="51">
        <v>10040</v>
      </c>
      <c r="P331" s="51">
        <v>10317</v>
      </c>
      <c r="Q331" s="51">
        <v>9584</v>
      </c>
      <c r="R331" s="51">
        <v>10181</v>
      </c>
      <c r="S331" s="51">
        <v>10181</v>
      </c>
      <c r="T331" s="51">
        <v>0</v>
      </c>
      <c r="U331" s="53">
        <f t="shared" si="25"/>
        <v>1.4144835142942513E-2</v>
      </c>
    </row>
    <row r="332" spans="1:21" x14ac:dyDescent="0.2">
      <c r="A332" s="56">
        <v>44105</v>
      </c>
      <c r="B332" s="51">
        <v>94604</v>
      </c>
      <c r="C332" s="51">
        <v>102218</v>
      </c>
      <c r="D332" s="51">
        <v>93387</v>
      </c>
      <c r="E332" s="51">
        <v>93952</v>
      </c>
      <c r="F332" s="51">
        <v>93952</v>
      </c>
      <c r="G332" s="51">
        <v>198128300</v>
      </c>
      <c r="H332" s="53">
        <f t="shared" si="24"/>
        <v>-6.8813885394755081E-3</v>
      </c>
      <c r="I332" s="53">
        <f t="shared" si="22"/>
        <v>-0.12374556985637009</v>
      </c>
      <c r="J332" s="53">
        <f>(VLOOKUP(DATE(YEAR(A332),MONTH(A332),1),'16. câmbio USD-BRL'!$A$3:$G$2250,2,)/VLOOKUP(DATE(YEAR(A272),MONTH(A272),1),'16. câmbio USD-BRL'!$A$3:$G$2250,2,))^(1/5)-1</f>
        <v>8.3020580369760122E-2</v>
      </c>
      <c r="K332" s="53">
        <f t="shared" si="21"/>
        <v>-0.20676615022613021</v>
      </c>
      <c r="L332" s="53">
        <f t="shared" si="23"/>
        <v>0.20114995154535498</v>
      </c>
      <c r="N332" s="52">
        <v>36388</v>
      </c>
      <c r="O332" s="51">
        <v>10181</v>
      </c>
      <c r="P332" s="51">
        <v>10202</v>
      </c>
      <c r="Q332" s="51">
        <v>9579</v>
      </c>
      <c r="R332" s="51">
        <v>10143</v>
      </c>
      <c r="S332" s="51">
        <v>10143</v>
      </c>
      <c r="T332" s="51">
        <v>0</v>
      </c>
      <c r="U332" s="53">
        <f t="shared" si="25"/>
        <v>-3.7324427855809361E-3</v>
      </c>
    </row>
    <row r="333" spans="1:21" x14ac:dyDescent="0.2">
      <c r="A333" s="56">
        <v>44136</v>
      </c>
      <c r="B333" s="51">
        <v>93968</v>
      </c>
      <c r="C333" s="51">
        <v>111603</v>
      </c>
      <c r="D333" s="51">
        <v>93968</v>
      </c>
      <c r="E333" s="51">
        <v>108888</v>
      </c>
      <c r="F333" s="51">
        <v>108888</v>
      </c>
      <c r="G333" s="51">
        <v>217759400</v>
      </c>
      <c r="H333" s="53">
        <f t="shared" si="24"/>
        <v>0.1589747956403269</v>
      </c>
      <c r="I333" s="53">
        <f t="shared" si="22"/>
        <v>6.0517587057551392E-3</v>
      </c>
      <c r="J333" s="53">
        <f>(VLOOKUP(DATE(YEAR(A333),MONTH(A333),1),'16. câmbio USD-BRL'!$A$3:$G$2250,2,)/VLOOKUP(DATE(YEAR(A273),MONTH(A273),1),'16. câmbio USD-BRL'!$A$3:$G$2250,2,))^(1/5)-1</f>
        <v>6.6260127282614656E-2</v>
      </c>
      <c r="K333" s="53">
        <f t="shared" si="21"/>
        <v>-6.0208368576859517E-2</v>
      </c>
      <c r="L333" s="53">
        <f t="shared" si="23"/>
        <v>0.19572955546381612</v>
      </c>
      <c r="N333" s="52">
        <v>36395</v>
      </c>
      <c r="O333" s="51">
        <v>10142</v>
      </c>
      <c r="P333" s="51">
        <v>10726</v>
      </c>
      <c r="Q333" s="51">
        <v>10078</v>
      </c>
      <c r="R333" s="51">
        <v>10545</v>
      </c>
      <c r="S333" s="51">
        <v>10545</v>
      </c>
      <c r="T333" s="51">
        <v>0</v>
      </c>
      <c r="U333" s="53">
        <f t="shared" si="25"/>
        <v>3.9633244602188755E-2</v>
      </c>
    </row>
    <row r="334" spans="1:21" x14ac:dyDescent="0.2">
      <c r="A334" s="56">
        <v>44166</v>
      </c>
      <c r="B334" s="51">
        <v>108897</v>
      </c>
      <c r="C334" s="51">
        <v>120150</v>
      </c>
      <c r="D334" s="51">
        <v>108897</v>
      </c>
      <c r="E334" s="51">
        <v>119306</v>
      </c>
      <c r="F334" s="51">
        <v>119306</v>
      </c>
      <c r="G334" s="51">
        <v>177044900</v>
      </c>
      <c r="H334" s="53">
        <f t="shared" si="24"/>
        <v>9.5676291235030408E-2</v>
      </c>
      <c r="I334" s="53">
        <f t="shared" si="22"/>
        <v>3.1657226858057053E-2</v>
      </c>
      <c r="J334" s="53">
        <f>(VLOOKUP(DATE(YEAR(A334),MONTH(A334),1),'16. câmbio USD-BRL'!$A$3:$G$2250,2,)/VLOOKUP(DATE(YEAR(A274),MONTH(A274),1),'16. câmbio USD-BRL'!$A$3:$G$2250,2,))^(1/5)-1</f>
        <v>5.5707984945503775E-2</v>
      </c>
      <c r="K334" s="53">
        <f t="shared" si="21"/>
        <v>-2.4050758087446722E-2</v>
      </c>
      <c r="L334" s="53">
        <f t="shared" si="23"/>
        <v>0.18933884224188421</v>
      </c>
      <c r="N334" s="52">
        <v>36402</v>
      </c>
      <c r="O334" s="51">
        <v>10547</v>
      </c>
      <c r="P334" s="51">
        <v>11254</v>
      </c>
      <c r="Q334" s="51">
        <v>10376</v>
      </c>
      <c r="R334" s="51">
        <v>11156</v>
      </c>
      <c r="S334" s="51">
        <v>11156</v>
      </c>
      <c r="T334" s="51">
        <v>0</v>
      </c>
      <c r="U334" s="53">
        <f t="shared" si="25"/>
        <v>5.7942152678994718E-2</v>
      </c>
    </row>
    <row r="335" spans="1:21" x14ac:dyDescent="0.2">
      <c r="A335" s="56">
        <v>44197</v>
      </c>
      <c r="B335" s="51">
        <v>119024</v>
      </c>
      <c r="C335" s="51">
        <v>125324</v>
      </c>
      <c r="D335" s="51">
        <v>114887</v>
      </c>
      <c r="E335" s="51">
        <v>116007</v>
      </c>
      <c r="F335" s="51">
        <v>116007</v>
      </c>
      <c r="G335" s="51">
        <v>186733700</v>
      </c>
      <c r="H335" s="53">
        <f t="shared" si="24"/>
        <v>-2.7651584999916157E-2</v>
      </c>
      <c r="I335" s="53">
        <f t="shared" si="22"/>
        <v>1.97431457177768E-2</v>
      </c>
      <c r="J335" s="53">
        <f>(VLOOKUP(DATE(YEAR(A335),MONTH(A335),1),'16. câmbio USD-BRL'!$A$3:$G$2250,2,)/VLOOKUP(DATE(YEAR(A275),MONTH(A275),1),'16. câmbio USD-BRL'!$A$3:$G$2250,2,))^(1/5)-1</f>
        <v>6.4388818046198004E-2</v>
      </c>
      <c r="K335" s="53">
        <f t="shared" si="21"/>
        <v>-4.4645672328421204E-2</v>
      </c>
      <c r="L335" s="53">
        <f t="shared" si="23"/>
        <v>0.18369460083177741</v>
      </c>
      <c r="N335" s="52">
        <v>36409</v>
      </c>
      <c r="O335" s="51">
        <v>11158</v>
      </c>
      <c r="P335" s="51">
        <v>11435</v>
      </c>
      <c r="Q335" s="51">
        <v>11003</v>
      </c>
      <c r="R335" s="51">
        <v>11363</v>
      </c>
      <c r="S335" s="51">
        <v>11363</v>
      </c>
      <c r="T335" s="51">
        <v>0</v>
      </c>
      <c r="U335" s="53">
        <f t="shared" si="25"/>
        <v>1.855503764790245E-2</v>
      </c>
    </row>
    <row r="336" spans="1:21" x14ac:dyDescent="0.2">
      <c r="A336" s="56">
        <v>44228</v>
      </c>
      <c r="B336" s="51">
        <v>115093</v>
      </c>
      <c r="C336" s="51">
        <v>121117</v>
      </c>
      <c r="D336" s="51">
        <v>109827</v>
      </c>
      <c r="E336" s="51">
        <v>110035</v>
      </c>
      <c r="F336" s="51">
        <v>110035</v>
      </c>
      <c r="G336" s="51">
        <v>190633700</v>
      </c>
      <c r="H336" s="53">
        <f t="shared" si="24"/>
        <v>-5.1479652089960082E-2</v>
      </c>
      <c r="I336" s="53">
        <f t="shared" si="22"/>
        <v>5.6281918365779671E-2</v>
      </c>
      <c r="J336" s="53">
        <f>(VLOOKUP(DATE(YEAR(A336),MONTH(A336),1),'16. câmbio USD-BRL'!$A$3:$G$2250,2,)/VLOOKUP(DATE(YEAR(A276),MONTH(A276),1),'16. câmbio USD-BRL'!$A$3:$G$2250,2,))^(1/5)-1</f>
        <v>6.8656209389565515E-2</v>
      </c>
      <c r="K336" s="53">
        <f t="shared" si="21"/>
        <v>-1.2374291023785844E-2</v>
      </c>
      <c r="L336" s="53">
        <f t="shared" si="23"/>
        <v>0.17728011836384294</v>
      </c>
      <c r="N336" s="52">
        <v>36416</v>
      </c>
      <c r="O336" s="51">
        <v>11363</v>
      </c>
      <c r="P336" s="51">
        <v>11594</v>
      </c>
      <c r="Q336" s="51">
        <v>11048</v>
      </c>
      <c r="R336" s="51">
        <v>11290</v>
      </c>
      <c r="S336" s="51">
        <v>11290</v>
      </c>
      <c r="T336" s="51">
        <v>0</v>
      </c>
      <c r="U336" s="53">
        <f t="shared" si="25"/>
        <v>-6.424359764146792E-3</v>
      </c>
    </row>
    <row r="337" spans="1:21" x14ac:dyDescent="0.2">
      <c r="A337" s="56">
        <v>44256</v>
      </c>
      <c r="B337" s="51">
        <v>110036</v>
      </c>
      <c r="C337" s="51">
        <v>117249</v>
      </c>
      <c r="D337" s="51">
        <v>107319</v>
      </c>
      <c r="E337" s="51">
        <v>116634</v>
      </c>
      <c r="F337" s="51">
        <v>116634</v>
      </c>
      <c r="G337" s="51">
        <v>215718800</v>
      </c>
      <c r="H337" s="53">
        <f t="shared" si="24"/>
        <v>5.9971827145908208E-2</v>
      </c>
      <c r="I337" s="53">
        <f t="shared" si="22"/>
        <v>0.59728841413311429</v>
      </c>
      <c r="J337" s="53">
        <f>(VLOOKUP(DATE(YEAR(A337),MONTH(A337),1),'16. câmbio USD-BRL'!$A$3:$G$2250,2,)/VLOOKUP(DATE(YEAR(A277),MONTH(A277),1),'16. câmbio USD-BRL'!$A$3:$G$2250,2,))^(1/5)-1</f>
        <v>9.4079917027884319E-2</v>
      </c>
      <c r="K337" s="53">
        <f t="shared" si="21"/>
        <v>0.50320849710522997</v>
      </c>
      <c r="L337" s="53">
        <f t="shared" si="23"/>
        <v>0.17829878924321146</v>
      </c>
      <c r="N337" s="52">
        <v>36423</v>
      </c>
      <c r="O337" s="51">
        <v>11293</v>
      </c>
      <c r="P337" s="51">
        <v>11735</v>
      </c>
      <c r="Q337" s="51">
        <v>11289</v>
      </c>
      <c r="R337" s="51">
        <v>11533</v>
      </c>
      <c r="S337" s="51">
        <v>11533</v>
      </c>
      <c r="T337" s="51">
        <v>0</v>
      </c>
      <c r="U337" s="53">
        <f t="shared" si="25"/>
        <v>2.1523472099202801E-2</v>
      </c>
    </row>
    <row r="338" spans="1:21" x14ac:dyDescent="0.2">
      <c r="A338" s="56">
        <v>44287</v>
      </c>
      <c r="B338" s="51">
        <v>116644</v>
      </c>
      <c r="C338" s="51">
        <v>121974</v>
      </c>
      <c r="D338" s="51">
        <v>114991</v>
      </c>
      <c r="E338" s="51">
        <v>118894</v>
      </c>
      <c r="F338" s="51">
        <v>118894</v>
      </c>
      <c r="G338" s="51">
        <v>158707300</v>
      </c>
      <c r="H338" s="53">
        <f t="shared" si="24"/>
        <v>1.9376854090573881E-2</v>
      </c>
      <c r="I338" s="53">
        <f t="shared" si="22"/>
        <v>0.47683402479318304</v>
      </c>
      <c r="J338" s="53">
        <f>(VLOOKUP(DATE(YEAR(A338),MONTH(A338),1),'16. câmbio USD-BRL'!$A$3:$G$2250,2,)/VLOOKUP(DATE(YEAR(A278),MONTH(A278),1),'16. câmbio USD-BRL'!$A$3:$G$2250,2,))^(1/5)-1</f>
        <v>9.6132605313955954E-2</v>
      </c>
      <c r="K338" s="53">
        <f t="shared" si="21"/>
        <v>0.38070141947922709</v>
      </c>
      <c r="L338" s="53">
        <f t="shared" si="23"/>
        <v>0.17962608997517629</v>
      </c>
      <c r="N338" s="52">
        <v>36430</v>
      </c>
      <c r="O338" s="51">
        <v>11580</v>
      </c>
      <c r="P338" s="51">
        <v>11632</v>
      </c>
      <c r="Q338" s="51">
        <v>10796</v>
      </c>
      <c r="R338" s="51">
        <v>10960</v>
      </c>
      <c r="S338" s="51">
        <v>10960</v>
      </c>
      <c r="T338" s="51">
        <v>0</v>
      </c>
      <c r="U338" s="53">
        <f t="shared" si="25"/>
        <v>-4.9683516864649224E-2</v>
      </c>
    </row>
    <row r="339" spans="1:21" x14ac:dyDescent="0.2">
      <c r="A339" s="56">
        <v>44317</v>
      </c>
      <c r="B339" s="51">
        <v>118951</v>
      </c>
      <c r="C339" s="51">
        <v>126216</v>
      </c>
      <c r="D339" s="51">
        <v>117631</v>
      </c>
      <c r="E339" s="51">
        <v>126216</v>
      </c>
      <c r="F339" s="51">
        <v>126216</v>
      </c>
      <c r="G339" s="51">
        <v>171080700</v>
      </c>
      <c r="H339" s="53">
        <f t="shared" si="24"/>
        <v>6.1584268339865744E-2</v>
      </c>
      <c r="I339" s="53">
        <f t="shared" si="22"/>
        <v>0.44406942553459272</v>
      </c>
      <c r="J339" s="53">
        <f>(VLOOKUP(DATE(YEAR(A339),MONTH(A339),1),'16. câmbio USD-BRL'!$A$3:$G$2250,2,)/VLOOKUP(DATE(YEAR(A279),MONTH(A279),1),'16. câmbio USD-BRL'!$A$3:$G$2250,2,))^(1/5)-1</f>
        <v>7.6410450587891088E-2</v>
      </c>
      <c r="K339" s="53">
        <f t="shared" si="21"/>
        <v>0.36765897494670163</v>
      </c>
      <c r="L339" s="53">
        <f t="shared" si="23"/>
        <v>0.1796413482177234</v>
      </c>
      <c r="N339" s="52">
        <v>36437</v>
      </c>
      <c r="O339" s="51">
        <v>10979</v>
      </c>
      <c r="P339" s="51">
        <v>11469</v>
      </c>
      <c r="Q339" s="51">
        <v>10856</v>
      </c>
      <c r="R339" s="51">
        <v>11460</v>
      </c>
      <c r="S339" s="51">
        <v>11460</v>
      </c>
      <c r="T339" s="51">
        <v>0</v>
      </c>
      <c r="U339" s="53">
        <f t="shared" si="25"/>
        <v>4.5620437956204407E-2</v>
      </c>
    </row>
    <row r="340" spans="1:21" x14ac:dyDescent="0.2">
      <c r="A340" s="56">
        <v>44348</v>
      </c>
      <c r="B340" s="51">
        <v>126218</v>
      </c>
      <c r="C340" s="51">
        <v>131190</v>
      </c>
      <c r="D340" s="51">
        <v>126184</v>
      </c>
      <c r="E340" s="51">
        <v>126802</v>
      </c>
      <c r="F340" s="51">
        <v>126802</v>
      </c>
      <c r="G340" s="51">
        <v>197840500</v>
      </c>
      <c r="H340" s="53">
        <f t="shared" si="24"/>
        <v>4.6428345059263965E-3</v>
      </c>
      <c r="I340" s="53">
        <f t="shared" si="22"/>
        <v>0.33397155361050324</v>
      </c>
      <c r="J340" s="53">
        <f>(VLOOKUP(DATE(YEAR(A340),MONTH(A340),1),'16. câmbio USD-BRL'!$A$3:$G$2250,2,)/VLOOKUP(DATE(YEAR(A280),MONTH(A280),1),'16. câmbio USD-BRL'!$A$3:$G$2250,2,))^(1/5)-1</f>
        <v>9.1117016699283848E-2</v>
      </c>
      <c r="K340" s="53">
        <f t="shared" si="21"/>
        <v>0.24285453691121939</v>
      </c>
      <c r="L340" s="53">
        <f t="shared" si="23"/>
        <v>0.17506409838615689</v>
      </c>
      <c r="N340" s="52">
        <v>36444</v>
      </c>
      <c r="O340" s="51">
        <v>11473</v>
      </c>
      <c r="P340" s="51">
        <v>11536</v>
      </c>
      <c r="Q340" s="51">
        <v>11120</v>
      </c>
      <c r="R340" s="51">
        <v>11146</v>
      </c>
      <c r="S340" s="51">
        <v>11146</v>
      </c>
      <c r="T340" s="51">
        <v>0</v>
      </c>
      <c r="U340" s="53">
        <f t="shared" si="25"/>
        <v>-2.7399650959860411E-2</v>
      </c>
    </row>
    <row r="341" spans="1:21" x14ac:dyDescent="0.2">
      <c r="A341" s="56">
        <v>44378</v>
      </c>
      <c r="B341" s="51">
        <v>126802</v>
      </c>
      <c r="C341" s="51">
        <v>129620</v>
      </c>
      <c r="D341" s="51">
        <v>121748</v>
      </c>
      <c r="E341" s="51">
        <v>121801</v>
      </c>
      <c r="F341" s="51">
        <v>121801</v>
      </c>
      <c r="G341" s="51">
        <v>152098400</v>
      </c>
      <c r="H341" s="53">
        <f t="shared" si="24"/>
        <v>-3.9439441018280452E-2</v>
      </c>
      <c r="I341" s="53">
        <f t="shared" si="22"/>
        <v>0.18354516480099492</v>
      </c>
      <c r="J341" s="53">
        <f>(VLOOKUP(DATE(YEAR(A341),MONTH(A341),1),'16. câmbio USD-BRL'!$A$3:$G$2250,2,)/VLOOKUP(DATE(YEAR(A281),MONTH(A281),1),'16. câmbio USD-BRL'!$A$3:$G$2250,2,))^(1/5)-1</f>
        <v>9.9220860234759067E-2</v>
      </c>
      <c r="K341" s="53">
        <f t="shared" si="21"/>
        <v>8.4324304566235853E-2</v>
      </c>
      <c r="L341" s="53">
        <f t="shared" si="23"/>
        <v>0.17134085014914838</v>
      </c>
      <c r="N341" s="52">
        <v>36451</v>
      </c>
      <c r="O341" s="51">
        <v>11146</v>
      </c>
      <c r="P341" s="51">
        <v>11498</v>
      </c>
      <c r="Q341" s="51">
        <v>10901</v>
      </c>
      <c r="R341" s="51">
        <v>11461</v>
      </c>
      <c r="S341" s="51">
        <v>11461</v>
      </c>
      <c r="T341" s="51">
        <v>0</v>
      </c>
      <c r="U341" s="53">
        <f t="shared" si="25"/>
        <v>2.8261259644715597E-2</v>
      </c>
    </row>
    <row r="342" spans="1:21" x14ac:dyDescent="0.2">
      <c r="A342" s="56">
        <v>44409</v>
      </c>
      <c r="B342" s="51">
        <v>121803</v>
      </c>
      <c r="C342" s="51">
        <v>124536</v>
      </c>
      <c r="D342" s="51">
        <v>114801</v>
      </c>
      <c r="E342" s="51">
        <v>118781</v>
      </c>
      <c r="F342" s="51">
        <v>118781</v>
      </c>
      <c r="G342" s="51">
        <v>201788600</v>
      </c>
      <c r="H342" s="53">
        <f t="shared" si="24"/>
        <v>-2.4794541916733026E-2</v>
      </c>
      <c r="I342" s="53">
        <f t="shared" si="22"/>
        <v>0.19535267538165835</v>
      </c>
      <c r="J342" s="53">
        <f>(VLOOKUP(DATE(YEAR(A342),MONTH(A342),1),'16. câmbio USD-BRL'!$A$3:$G$2250,2,)/VLOOKUP(DATE(YEAR(A282),MONTH(A282),1),'16. câmbio USD-BRL'!$A$3:$G$2250,2,))^(1/5)-1</f>
        <v>9.8018762512656066E-2</v>
      </c>
      <c r="K342" s="53">
        <f t="shared" si="21"/>
        <v>9.7333912869002281E-2</v>
      </c>
      <c r="L342" s="53">
        <f t="shared" si="23"/>
        <v>0.17051489654675364</v>
      </c>
      <c r="N342" s="52">
        <v>36458</v>
      </c>
      <c r="O342" s="51">
        <v>11459</v>
      </c>
      <c r="P342" s="51">
        <v>11826</v>
      </c>
      <c r="Q342" s="51">
        <v>11336</v>
      </c>
      <c r="R342" s="51">
        <v>11700</v>
      </c>
      <c r="S342" s="51">
        <v>11700</v>
      </c>
      <c r="T342" s="51">
        <v>0</v>
      </c>
      <c r="U342" s="53">
        <f t="shared" si="25"/>
        <v>2.0853328679870886E-2</v>
      </c>
    </row>
    <row r="343" spans="1:21" x14ac:dyDescent="0.2">
      <c r="A343" s="56">
        <v>44440</v>
      </c>
      <c r="B343" s="51">
        <v>118793</v>
      </c>
      <c r="C343" s="51">
        <v>119942</v>
      </c>
      <c r="D343" s="51">
        <v>107520</v>
      </c>
      <c r="E343" s="51">
        <v>110979</v>
      </c>
      <c r="F343" s="51">
        <v>110979</v>
      </c>
      <c r="G343" s="51">
        <v>231540400</v>
      </c>
      <c r="H343" s="53">
        <f t="shared" si="24"/>
        <v>-6.5683905675150034E-2</v>
      </c>
      <c r="I343" s="53">
        <f t="shared" si="22"/>
        <v>0.17310233290699029</v>
      </c>
      <c r="J343" s="53">
        <f>(VLOOKUP(DATE(YEAR(A343),MONTH(A343),1),'16. câmbio USD-BRL'!$A$3:$G$2250,2,)/VLOOKUP(DATE(YEAR(A283),MONTH(A283),1),'16. câmbio USD-BRL'!$A$3:$G$2250,2,))^(1/5)-1</f>
        <v>0.1079519885830007</v>
      </c>
      <c r="K343" s="53">
        <f t="shared" si="21"/>
        <v>6.5150344323989584E-2</v>
      </c>
      <c r="L343" s="53">
        <f t="shared" si="23"/>
        <v>0.17056428564364109</v>
      </c>
      <c r="N343" s="52">
        <v>36465</v>
      </c>
      <c r="O343" s="51">
        <v>11701</v>
      </c>
      <c r="P343" s="51">
        <v>12737</v>
      </c>
      <c r="Q343" s="51">
        <v>11685</v>
      </c>
      <c r="R343" s="51">
        <v>12714</v>
      </c>
      <c r="S343" s="51">
        <v>12714</v>
      </c>
      <c r="T343" s="51">
        <v>0</v>
      </c>
      <c r="U343" s="53">
        <f t="shared" si="25"/>
        <v>8.666666666666667E-2</v>
      </c>
    </row>
    <row r="344" spans="1:21" x14ac:dyDescent="0.2">
      <c r="A344" s="56">
        <v>44470</v>
      </c>
      <c r="B344" s="51">
        <v>110980</v>
      </c>
      <c r="C344" s="51">
        <v>114927</v>
      </c>
      <c r="D344" s="51">
        <v>102854</v>
      </c>
      <c r="E344" s="51">
        <v>103501</v>
      </c>
      <c r="F344" s="51">
        <v>103501</v>
      </c>
      <c r="G344" s="51">
        <v>243860400</v>
      </c>
      <c r="H344" s="53">
        <f t="shared" si="24"/>
        <v>-6.7382117337514313E-2</v>
      </c>
      <c r="I344" s="53">
        <f t="shared" si="22"/>
        <v>0.1016370061307903</v>
      </c>
      <c r="J344" s="53">
        <f>(VLOOKUP(DATE(YEAR(A344),MONTH(A344),1),'16. câmbio USD-BRL'!$A$3:$G$2250,2,)/VLOOKUP(DATE(YEAR(A284),MONTH(A284),1),'16. câmbio USD-BRL'!$A$3:$G$2250,2,))^(1/5)-1</f>
        <v>0.12072294534691941</v>
      </c>
      <c r="K344" s="53">
        <f t="shared" si="21"/>
        <v>-1.9085939216129111E-2</v>
      </c>
      <c r="L344" s="53">
        <f t="shared" si="23"/>
        <v>0.1708801267060944</v>
      </c>
      <c r="N344" s="52">
        <v>36472</v>
      </c>
      <c r="O344" s="51">
        <v>12700</v>
      </c>
      <c r="P344" s="51">
        <v>13294</v>
      </c>
      <c r="Q344" s="51">
        <v>12519</v>
      </c>
      <c r="R344" s="51">
        <v>13114</v>
      </c>
      <c r="S344" s="51">
        <v>13114</v>
      </c>
      <c r="T344" s="51">
        <v>0</v>
      </c>
      <c r="U344" s="53">
        <f t="shared" si="25"/>
        <v>3.1461381154632706E-2</v>
      </c>
    </row>
    <row r="345" spans="1:21" x14ac:dyDescent="0.2">
      <c r="A345" s="56">
        <v>44501</v>
      </c>
      <c r="B345" s="51">
        <v>103514</v>
      </c>
      <c r="C345" s="51">
        <v>108669</v>
      </c>
      <c r="D345" s="51">
        <v>100075</v>
      </c>
      <c r="E345" s="51">
        <v>101915</v>
      </c>
      <c r="F345" s="51">
        <v>101915</v>
      </c>
      <c r="G345" s="51">
        <v>236342500</v>
      </c>
      <c r="H345" s="53">
        <f t="shared" si="24"/>
        <v>-1.5323523444217946E-2</v>
      </c>
      <c r="I345" s="53">
        <f t="shared" si="22"/>
        <v>-6.403827786349281E-2</v>
      </c>
      <c r="J345" s="53">
        <f>(VLOOKUP(DATE(YEAR(A345),MONTH(A345),1),'16. câmbio USD-BRL'!$A$3:$G$2250,2,)/VLOOKUP(DATE(YEAR(A285),MONTH(A285),1),'16. câmbio USD-BRL'!$A$3:$G$2250,2,))^(1/5)-1</f>
        <v>0.1069398838829243</v>
      </c>
      <c r="K345" s="53">
        <f t="shared" si="21"/>
        <v>-0.17097816174641711</v>
      </c>
      <c r="L345" s="53">
        <f t="shared" si="23"/>
        <v>0.17240494729983125</v>
      </c>
      <c r="N345" s="52">
        <v>36479</v>
      </c>
      <c r="O345" s="51">
        <v>13122</v>
      </c>
      <c r="P345" s="51">
        <v>13509</v>
      </c>
      <c r="Q345" s="51">
        <v>12726</v>
      </c>
      <c r="R345" s="51">
        <v>13463</v>
      </c>
      <c r="S345" s="51">
        <v>13463</v>
      </c>
      <c r="T345" s="51">
        <v>0</v>
      </c>
      <c r="U345" s="53">
        <f t="shared" si="25"/>
        <v>2.6612780234863465E-2</v>
      </c>
    </row>
    <row r="346" spans="1:21" x14ac:dyDescent="0.2">
      <c r="A346" s="56">
        <v>44531</v>
      </c>
      <c r="B346" s="51">
        <v>101916</v>
      </c>
      <c r="C346" s="51">
        <v>109493</v>
      </c>
      <c r="D346" s="51">
        <v>100727</v>
      </c>
      <c r="E346" s="51">
        <v>104822</v>
      </c>
      <c r="F346" s="51">
        <v>104822</v>
      </c>
      <c r="G346" s="51">
        <v>234055900</v>
      </c>
      <c r="H346" s="53">
        <f t="shared" si="24"/>
        <v>2.8523769808173505E-2</v>
      </c>
      <c r="I346" s="53">
        <f t="shared" si="22"/>
        <v>-0.12140210886292391</v>
      </c>
      <c r="J346" s="53">
        <f>(VLOOKUP(DATE(YEAR(A346),MONTH(A346),1),'16. câmbio USD-BRL'!$A$3:$G$2250,2,)/VLOOKUP(DATE(YEAR(A286),MONTH(A286),1),'16. câmbio USD-BRL'!$A$3:$G$2250,2,))^(1/5)-1</f>
        <v>0.11349716632296869</v>
      </c>
      <c r="K346" s="53">
        <f t="shared" si="21"/>
        <v>-0.2348992751858926</v>
      </c>
      <c r="L346" s="53">
        <f t="shared" si="23"/>
        <v>0.17609369334853944</v>
      </c>
      <c r="N346" s="52">
        <v>36486</v>
      </c>
      <c r="O346" s="51">
        <v>13466</v>
      </c>
      <c r="P346" s="51">
        <v>14007</v>
      </c>
      <c r="Q346" s="51">
        <v>13312</v>
      </c>
      <c r="R346" s="51">
        <v>13888</v>
      </c>
      <c r="S346" s="51">
        <v>13888</v>
      </c>
      <c r="T346" s="51">
        <v>0</v>
      </c>
      <c r="U346" s="53">
        <f t="shared" si="25"/>
        <v>3.1568001188442496E-2</v>
      </c>
    </row>
    <row r="347" spans="1:21" x14ac:dyDescent="0.2">
      <c r="A347" s="56">
        <v>44562</v>
      </c>
      <c r="B347" s="51">
        <v>104823</v>
      </c>
      <c r="C347" s="51">
        <v>113057</v>
      </c>
      <c r="D347" s="51">
        <v>100850</v>
      </c>
      <c r="E347" s="51">
        <v>112388</v>
      </c>
      <c r="F347" s="51">
        <v>112388</v>
      </c>
      <c r="G347" s="51">
        <v>245216600</v>
      </c>
      <c r="H347" s="53">
        <f t="shared" si="24"/>
        <v>7.2179504302531949E-2</v>
      </c>
      <c r="I347" s="53">
        <f t="shared" si="22"/>
        <v>-3.1196393321092697E-2</v>
      </c>
      <c r="J347" s="53">
        <f>(VLOOKUP(DATE(YEAR(A347),MONTH(A347),1),'16. câmbio USD-BRL'!$A$3:$G$2250,2,)/VLOOKUP(DATE(YEAR(A287),MONTH(A287),1),'16. câmbio USD-BRL'!$A$3:$G$2250,2,))^(1/5)-1</f>
        <v>0.10979714732816803</v>
      </c>
      <c r="K347" s="53">
        <f t="shared" si="21"/>
        <v>-0.14099354064926073</v>
      </c>
      <c r="L347" s="53">
        <f t="shared" si="23"/>
        <v>0.17651659923839372</v>
      </c>
      <c r="N347" s="52">
        <v>36493</v>
      </c>
      <c r="O347" s="51">
        <v>13903</v>
      </c>
      <c r="P347" s="51">
        <v>14573</v>
      </c>
      <c r="Q347" s="51">
        <v>13556</v>
      </c>
      <c r="R347" s="51">
        <v>14409</v>
      </c>
      <c r="S347" s="51">
        <v>14409</v>
      </c>
      <c r="T347" s="51">
        <v>0</v>
      </c>
      <c r="U347" s="53">
        <f t="shared" si="25"/>
        <v>3.751440092165903E-2</v>
      </c>
    </row>
    <row r="348" spans="1:21" x14ac:dyDescent="0.2">
      <c r="A348" s="56">
        <v>44593</v>
      </c>
      <c r="B348" s="51">
        <v>112143</v>
      </c>
      <c r="C348" s="51">
        <v>115734</v>
      </c>
      <c r="D348" s="51">
        <v>109125</v>
      </c>
      <c r="E348" s="51">
        <v>113142</v>
      </c>
      <c r="F348" s="51">
        <v>113142</v>
      </c>
      <c r="G348" s="51">
        <v>224030100</v>
      </c>
      <c r="H348" s="53">
        <f t="shared" si="24"/>
        <v>6.7089013061891745E-3</v>
      </c>
      <c r="I348" s="53">
        <f t="shared" si="22"/>
        <v>2.8236470214022757E-2</v>
      </c>
      <c r="J348" s="53">
        <f>(VLOOKUP(DATE(YEAR(A348),MONTH(A348),1),'16. câmbio USD-BRL'!$A$3:$G$2250,2,)/VLOOKUP(DATE(YEAR(A288),MONTH(A288),1),'16. câmbio USD-BRL'!$A$3:$G$2250,2,))^(1/5)-1</f>
        <v>0.10662714452464894</v>
      </c>
      <c r="K348" s="53">
        <f t="shared" si="21"/>
        <v>-7.8390674310626185E-2</v>
      </c>
      <c r="L348" s="53">
        <f t="shared" si="23"/>
        <v>0.16956163527907628</v>
      </c>
      <c r="N348" s="52">
        <v>36500</v>
      </c>
      <c r="O348" s="51">
        <v>14415</v>
      </c>
      <c r="P348" s="51">
        <v>14785</v>
      </c>
      <c r="Q348" s="51">
        <v>14196</v>
      </c>
      <c r="R348" s="51">
        <v>14784</v>
      </c>
      <c r="S348" s="51">
        <v>14784</v>
      </c>
      <c r="T348" s="51">
        <v>0</v>
      </c>
      <c r="U348" s="53">
        <f t="shared" si="25"/>
        <v>2.6025400791172215E-2</v>
      </c>
    </row>
    <row r="349" spans="1:21" x14ac:dyDescent="0.2">
      <c r="A349" s="56">
        <v>44621</v>
      </c>
      <c r="B349" s="51">
        <v>113143</v>
      </c>
      <c r="C349" s="51">
        <v>120900</v>
      </c>
      <c r="D349" s="51">
        <v>107781</v>
      </c>
      <c r="E349" s="51">
        <v>119999</v>
      </c>
      <c r="F349" s="51">
        <v>119999</v>
      </c>
      <c r="G349" s="51">
        <v>268389000</v>
      </c>
      <c r="H349" s="53">
        <f t="shared" si="24"/>
        <v>6.0605257110533772E-2</v>
      </c>
      <c r="I349" s="53">
        <f t="shared" si="22"/>
        <v>2.8850935404770572E-2</v>
      </c>
      <c r="J349" s="53">
        <f>(VLOOKUP(DATE(YEAR(A349),MONTH(A349),1),'16. câmbio USD-BRL'!$A$3:$G$2250,2,)/VLOOKUP(DATE(YEAR(A289),MONTH(A289),1),'16. câmbio USD-BRL'!$A$3:$G$2250,2,))^(1/5)-1</f>
        <v>8.6962600696023795E-2</v>
      </c>
      <c r="K349" s="53">
        <f t="shared" si="21"/>
        <v>-5.8111665291253223E-2</v>
      </c>
      <c r="L349" s="53">
        <f t="shared" si="23"/>
        <v>0.16331946635359182</v>
      </c>
      <c r="N349" s="52">
        <v>36507</v>
      </c>
      <c r="O349" s="51">
        <v>14785</v>
      </c>
      <c r="P349" s="51">
        <v>14977</v>
      </c>
      <c r="Q349" s="51">
        <v>14322</v>
      </c>
      <c r="R349" s="51">
        <v>14789</v>
      </c>
      <c r="S349" s="51">
        <v>14789</v>
      </c>
      <c r="T349" s="51">
        <v>0</v>
      </c>
      <c r="U349" s="53">
        <f t="shared" si="25"/>
        <v>3.3820346320356798E-4</v>
      </c>
    </row>
    <row r="350" spans="1:21" x14ac:dyDescent="0.2">
      <c r="A350" s="56">
        <v>44652</v>
      </c>
      <c r="B350" s="51">
        <v>120001</v>
      </c>
      <c r="C350" s="51">
        <v>121628</v>
      </c>
      <c r="D350" s="51">
        <v>107876</v>
      </c>
      <c r="E350" s="51">
        <v>107876</v>
      </c>
      <c r="F350" s="51">
        <v>107876</v>
      </c>
      <c r="G350" s="51">
        <v>203123000</v>
      </c>
      <c r="H350" s="53">
        <f t="shared" si="24"/>
        <v>-0.10102584188201569</v>
      </c>
      <c r="I350" s="53">
        <f t="shared" si="22"/>
        <v>-9.2670782377579974E-2</v>
      </c>
      <c r="J350" s="53">
        <f>(VLOOKUP(DATE(YEAR(A350),MONTH(A350),1),'16. câmbio USD-BRL'!$A$3:$G$2250,2,)/VLOOKUP(DATE(YEAR(A290),MONTH(A290),1),'16. câmbio USD-BRL'!$A$3:$G$2250,2,))^(1/5)-1</f>
        <v>9.3736562380761335E-2</v>
      </c>
      <c r="K350" s="53">
        <f t="shared" si="21"/>
        <v>-0.18640734475834131</v>
      </c>
      <c r="L350" s="53">
        <f t="shared" si="23"/>
        <v>0.16532296970659571</v>
      </c>
      <c r="N350" s="52">
        <v>36514</v>
      </c>
      <c r="O350" s="51">
        <v>14803</v>
      </c>
      <c r="P350" s="51">
        <v>16000</v>
      </c>
      <c r="Q350" s="51">
        <v>14781</v>
      </c>
      <c r="R350" s="51">
        <v>15954</v>
      </c>
      <c r="S350" s="51">
        <v>15954</v>
      </c>
      <c r="T350" s="51">
        <v>0</v>
      </c>
      <c r="U350" s="53">
        <f t="shared" si="25"/>
        <v>7.8774765028061466E-2</v>
      </c>
    </row>
    <row r="351" spans="1:21" x14ac:dyDescent="0.2">
      <c r="A351" s="56">
        <v>44682</v>
      </c>
      <c r="B351" s="51">
        <v>107876</v>
      </c>
      <c r="C351" s="51">
        <v>112102</v>
      </c>
      <c r="D351" s="51">
        <v>102386</v>
      </c>
      <c r="E351" s="51">
        <v>111890</v>
      </c>
      <c r="F351" s="51">
        <v>111890</v>
      </c>
      <c r="G351" s="51">
        <v>243255300</v>
      </c>
      <c r="H351" s="53">
        <f t="shared" si="24"/>
        <v>3.7209388557232437E-2</v>
      </c>
      <c r="I351" s="53">
        <f t="shared" si="22"/>
        <v>-0.11350383469607661</v>
      </c>
      <c r="J351" s="53">
        <f>(VLOOKUP(DATE(YEAR(A351),MONTH(A351),1),'16. câmbio USD-BRL'!$A$3:$G$2250,2,)/VLOOKUP(DATE(YEAR(A291),MONTH(A291),1),'16. câmbio USD-BRL'!$A$3:$G$2250,2,))^(1/5)-1</f>
        <v>7.9569839616164151E-2</v>
      </c>
      <c r="K351" s="53">
        <f t="shared" si="21"/>
        <v>-0.19307367431224076</v>
      </c>
      <c r="L351" s="53">
        <f>_xlfn.STDEV.S(K291:K351)</f>
        <v>0.16803028340420514</v>
      </c>
      <c r="N351" s="52">
        <v>36521</v>
      </c>
      <c r="O351" s="51">
        <v>15956</v>
      </c>
      <c r="P351" s="51">
        <v>17105</v>
      </c>
      <c r="Q351" s="51">
        <v>15880</v>
      </c>
      <c r="R351" s="51">
        <v>17092</v>
      </c>
      <c r="S351" s="51">
        <v>17092</v>
      </c>
      <c r="T351" s="51">
        <v>0</v>
      </c>
      <c r="U351" s="53">
        <f t="shared" si="25"/>
        <v>7.1330073962642571E-2</v>
      </c>
    </row>
    <row r="352" spans="1:21" x14ac:dyDescent="0.2">
      <c r="A352" s="56">
        <v>44713</v>
      </c>
      <c r="B352" s="467">
        <v>111351</v>
      </c>
      <c r="C352" s="467">
        <v>112709</v>
      </c>
      <c r="D352" s="467">
        <v>97758</v>
      </c>
      <c r="E352" s="467">
        <v>98542</v>
      </c>
      <c r="F352" s="467">
        <v>98542</v>
      </c>
      <c r="G352" s="476">
        <v>243623000</v>
      </c>
      <c r="H352" s="53">
        <f t="shared" si="24"/>
        <v>-0.11929573688444006</v>
      </c>
      <c r="I352" s="53">
        <f t="shared" si="22"/>
        <v>-0.22286714720588008</v>
      </c>
      <c r="K352" s="263"/>
      <c r="N352" s="52">
        <v>36528</v>
      </c>
      <c r="O352" s="51">
        <v>17098</v>
      </c>
      <c r="P352" s="51">
        <v>17408</v>
      </c>
      <c r="Q352" s="51">
        <v>15350</v>
      </c>
      <c r="R352" s="51">
        <v>16309</v>
      </c>
      <c r="S352" s="51">
        <v>16309</v>
      </c>
      <c r="T352" s="51">
        <v>0</v>
      </c>
      <c r="U352" s="53">
        <f t="shared" si="25"/>
        <v>-4.5810905686871073E-2</v>
      </c>
    </row>
    <row r="353" spans="1:21" x14ac:dyDescent="0.2">
      <c r="A353" s="56">
        <v>44743</v>
      </c>
      <c r="B353" s="467">
        <v>98542</v>
      </c>
      <c r="C353" s="467">
        <v>103989</v>
      </c>
      <c r="D353" s="467">
        <v>95267</v>
      </c>
      <c r="E353" s="467">
        <v>103165</v>
      </c>
      <c r="F353" s="467">
        <v>103165</v>
      </c>
      <c r="G353" s="476">
        <v>230772200</v>
      </c>
      <c r="H353" s="53">
        <f t="shared" si="24"/>
        <v>4.6914006210549752E-2</v>
      </c>
      <c r="I353" s="53">
        <f t="shared" si="22"/>
        <v>-0.15300366992060821</v>
      </c>
      <c r="K353" s="263"/>
      <c r="N353" s="52">
        <v>36535</v>
      </c>
      <c r="O353" s="51">
        <v>16325</v>
      </c>
      <c r="P353" s="51">
        <v>17800</v>
      </c>
      <c r="Q353" s="51">
        <v>16325</v>
      </c>
      <c r="R353" s="51">
        <v>17658</v>
      </c>
      <c r="S353" s="51">
        <v>17658</v>
      </c>
      <c r="T353" s="51">
        <v>0</v>
      </c>
      <c r="U353" s="53">
        <f t="shared" si="25"/>
        <v>8.2715065301367297E-2</v>
      </c>
    </row>
    <row r="354" spans="1:21" x14ac:dyDescent="0.2">
      <c r="A354" s="56">
        <v>44774</v>
      </c>
      <c r="B354" s="467">
        <v>103165</v>
      </c>
      <c r="C354" s="467">
        <v>114375</v>
      </c>
      <c r="D354" s="467">
        <v>101694</v>
      </c>
      <c r="E354" s="467">
        <v>109523</v>
      </c>
      <c r="F354" s="467">
        <v>109523</v>
      </c>
      <c r="G354" s="476">
        <v>297125100</v>
      </c>
      <c r="H354" s="53">
        <f t="shared" si="24"/>
        <v>6.1629428585276091E-2</v>
      </c>
      <c r="I354" s="53">
        <f t="shared" si="22"/>
        <v>-7.7941758362027547E-2</v>
      </c>
      <c r="N354" s="52">
        <v>36542</v>
      </c>
      <c r="O354" s="51">
        <v>17678</v>
      </c>
      <c r="P354" s="51">
        <v>18099</v>
      </c>
      <c r="Q354" s="51">
        <v>16901</v>
      </c>
      <c r="R354" s="51">
        <v>17034</v>
      </c>
      <c r="S354" s="51">
        <v>17034</v>
      </c>
      <c r="T354" s="51">
        <v>0</v>
      </c>
      <c r="U354" s="53">
        <f t="shared" si="25"/>
        <v>-3.5338090383961962E-2</v>
      </c>
    </row>
    <row r="355" spans="1:21" x14ac:dyDescent="0.2">
      <c r="A355" s="56">
        <v>44805</v>
      </c>
      <c r="B355" s="478">
        <v>109524</v>
      </c>
      <c r="C355" s="467">
        <v>114392</v>
      </c>
      <c r="D355" s="467">
        <v>106244</v>
      </c>
      <c r="E355" s="467">
        <v>110037</v>
      </c>
      <c r="F355" s="467">
        <v>110037</v>
      </c>
      <c r="G355" s="476">
        <v>288740800</v>
      </c>
      <c r="H355" s="53">
        <f t="shared" si="24"/>
        <v>4.6930781662299914E-3</v>
      </c>
      <c r="I355" s="53">
        <f t="shared" si="22"/>
        <v>-8.4880923417943732E-3</v>
      </c>
      <c r="N355" s="52">
        <v>36549</v>
      </c>
      <c r="O355" s="51">
        <v>17049</v>
      </c>
      <c r="P355" s="51">
        <v>17422</v>
      </c>
      <c r="Q355" s="51">
        <v>16547</v>
      </c>
      <c r="R355" s="51">
        <v>16734</v>
      </c>
      <c r="S355" s="51">
        <v>16734</v>
      </c>
      <c r="T355" s="51">
        <v>0</v>
      </c>
      <c r="U355" s="53">
        <f t="shared" si="25"/>
        <v>-1.7611835153222954E-2</v>
      </c>
    </row>
    <row r="356" spans="1:21" x14ac:dyDescent="0.2">
      <c r="A356" s="56">
        <v>44835</v>
      </c>
      <c r="B356" s="467">
        <v>110048</v>
      </c>
      <c r="C356" s="467">
        <v>120752</v>
      </c>
      <c r="D356" s="467">
        <v>110048</v>
      </c>
      <c r="E356" s="467">
        <v>116037</v>
      </c>
      <c r="F356" s="467">
        <v>116037</v>
      </c>
      <c r="G356" s="476">
        <v>301259400</v>
      </c>
      <c r="H356" s="53">
        <f t="shared" si="24"/>
        <v>5.4527113607241162E-2</v>
      </c>
      <c r="I356" s="53">
        <f t="shared" si="22"/>
        <v>0.12111960270915256</v>
      </c>
      <c r="N356" s="52">
        <v>36556</v>
      </c>
      <c r="O356" s="51">
        <v>16744</v>
      </c>
      <c r="P356" s="51">
        <v>17962</v>
      </c>
      <c r="Q356" s="51">
        <v>16167</v>
      </c>
      <c r="R356" s="51">
        <v>17932</v>
      </c>
      <c r="S356" s="51">
        <v>17932</v>
      </c>
      <c r="T356" s="51">
        <v>0</v>
      </c>
      <c r="U356" s="53">
        <f t="shared" si="25"/>
        <v>7.1590773275965081E-2</v>
      </c>
    </row>
    <row r="357" spans="1:21" x14ac:dyDescent="0.2">
      <c r="A357" s="56">
        <v>44866</v>
      </c>
      <c r="B357" s="467">
        <v>116037</v>
      </c>
      <c r="C357" s="467">
        <v>120039</v>
      </c>
      <c r="D357" s="467">
        <v>107245</v>
      </c>
      <c r="E357" s="467">
        <v>112486</v>
      </c>
      <c r="F357" s="467">
        <v>112486</v>
      </c>
      <c r="G357" s="476">
        <v>339625200</v>
      </c>
      <c r="H357" s="53">
        <f t="shared" si="24"/>
        <v>-3.0602307884554092E-2</v>
      </c>
      <c r="I357" s="53">
        <f t="shared" si="22"/>
        <v>0.10372369131138703</v>
      </c>
      <c r="N357" s="52">
        <v>36563</v>
      </c>
      <c r="O357" s="51">
        <v>17937</v>
      </c>
      <c r="P357" s="51">
        <v>18886</v>
      </c>
      <c r="Q357" s="51">
        <v>17746</v>
      </c>
      <c r="R357" s="51">
        <v>18083</v>
      </c>
      <c r="S357" s="51">
        <v>18083</v>
      </c>
      <c r="T357" s="51">
        <v>0</v>
      </c>
      <c r="U357" s="53">
        <f t="shared" si="25"/>
        <v>8.4207004238232575E-3</v>
      </c>
    </row>
    <row r="358" spans="1:21" x14ac:dyDescent="0.2">
      <c r="A358" s="56">
        <v>44896</v>
      </c>
      <c r="B358" s="467">
        <v>112479</v>
      </c>
      <c r="C358" s="467">
        <v>113761</v>
      </c>
      <c r="D358" s="467">
        <v>101632</v>
      </c>
      <c r="E358" s="467">
        <v>110031</v>
      </c>
      <c r="F358" s="467">
        <v>110031</v>
      </c>
      <c r="G358" s="476">
        <v>307111200</v>
      </c>
      <c r="H358" s="53">
        <f t="shared" si="24"/>
        <v>-2.1824938214533351E-2</v>
      </c>
      <c r="I358" s="53">
        <f t="shared" si="22"/>
        <v>4.969376657571889E-2</v>
      </c>
      <c r="N358" s="52">
        <v>36570</v>
      </c>
      <c r="O358" s="51">
        <v>18083</v>
      </c>
      <c r="P358" s="51">
        <v>18297</v>
      </c>
      <c r="Q358" s="51">
        <v>17451</v>
      </c>
      <c r="R358" s="51">
        <v>17625</v>
      </c>
      <c r="S358" s="51">
        <v>17625</v>
      </c>
      <c r="T358" s="51">
        <v>0</v>
      </c>
      <c r="U358" s="53">
        <f t="shared" si="25"/>
        <v>-2.5327655809323724E-2</v>
      </c>
    </row>
    <row r="359" spans="1:21" x14ac:dyDescent="0.2">
      <c r="A359" s="56">
        <v>44927</v>
      </c>
      <c r="B359" s="467">
        <v>109734</v>
      </c>
      <c r="C359" s="467">
        <v>114835</v>
      </c>
      <c r="D359" s="467">
        <v>103852</v>
      </c>
      <c r="E359" s="467">
        <v>113532</v>
      </c>
      <c r="F359" s="467">
        <v>113532</v>
      </c>
      <c r="G359" s="476">
        <v>295580500</v>
      </c>
      <c r="H359" s="53">
        <f t="shared" si="24"/>
        <v>3.1818305750197728E-2</v>
      </c>
      <c r="I359" s="53">
        <f t="shared" si="22"/>
        <v>1.0179022671459537E-2</v>
      </c>
      <c r="N359" s="52">
        <v>36577</v>
      </c>
      <c r="O359" s="51">
        <v>17626</v>
      </c>
      <c r="P359" s="51">
        <v>18119</v>
      </c>
      <c r="Q359" s="51">
        <v>17364</v>
      </c>
      <c r="R359" s="51">
        <v>17787</v>
      </c>
      <c r="S359" s="51">
        <v>17787</v>
      </c>
      <c r="T359" s="51">
        <v>0</v>
      </c>
      <c r="U359" s="53">
        <f t="shared" si="25"/>
        <v>9.1914893617022209E-3</v>
      </c>
    </row>
    <row r="360" spans="1:21" x14ac:dyDescent="0.2">
      <c r="N360" s="52">
        <v>36584</v>
      </c>
      <c r="O360" s="51">
        <v>17787</v>
      </c>
      <c r="P360" s="51">
        <v>18632</v>
      </c>
      <c r="Q360" s="51">
        <v>17383</v>
      </c>
      <c r="R360" s="51">
        <v>18632</v>
      </c>
      <c r="S360" s="51">
        <v>18632</v>
      </c>
      <c r="T360" s="51">
        <v>0</v>
      </c>
      <c r="U360" s="53">
        <f t="shared" si="25"/>
        <v>4.750660594816436E-2</v>
      </c>
    </row>
    <row r="361" spans="1:21" x14ac:dyDescent="0.2">
      <c r="N361" s="52">
        <v>36591</v>
      </c>
      <c r="O361" s="51">
        <v>18617</v>
      </c>
      <c r="P361" s="51">
        <v>18720</v>
      </c>
      <c r="Q361" s="51">
        <v>18184</v>
      </c>
      <c r="R361" s="51">
        <v>18280</v>
      </c>
      <c r="S361" s="51">
        <v>18280</v>
      </c>
      <c r="T361" s="51">
        <v>0</v>
      </c>
      <c r="U361" s="53">
        <f t="shared" si="25"/>
        <v>-1.8892228424216451E-2</v>
      </c>
    </row>
    <row r="362" spans="1:21" x14ac:dyDescent="0.2">
      <c r="N362" s="52">
        <v>36598</v>
      </c>
      <c r="O362" s="51">
        <v>18279</v>
      </c>
      <c r="P362" s="51">
        <v>18279</v>
      </c>
      <c r="Q362" s="51">
        <v>16922</v>
      </c>
      <c r="R362" s="51">
        <v>17511</v>
      </c>
      <c r="S362" s="51">
        <v>17511</v>
      </c>
      <c r="T362" s="51">
        <v>0</v>
      </c>
      <c r="U362" s="53">
        <f t="shared" si="25"/>
        <v>-4.2067833698030688E-2</v>
      </c>
    </row>
    <row r="363" spans="1:21" x14ac:dyDescent="0.2">
      <c r="N363" s="52">
        <v>36605</v>
      </c>
      <c r="O363" s="51">
        <v>17511</v>
      </c>
      <c r="P363" s="51">
        <v>18860</v>
      </c>
      <c r="Q363" s="51">
        <v>17435</v>
      </c>
      <c r="R363" s="51">
        <v>18675</v>
      </c>
      <c r="S363" s="51">
        <v>18675</v>
      </c>
      <c r="T363" s="51">
        <v>0</v>
      </c>
      <c r="U363" s="53">
        <f t="shared" si="25"/>
        <v>6.6472502998115468E-2</v>
      </c>
    </row>
    <row r="364" spans="1:21" x14ac:dyDescent="0.2">
      <c r="N364" s="52">
        <v>36612</v>
      </c>
      <c r="O364" s="51">
        <v>18675</v>
      </c>
      <c r="P364" s="51">
        <v>19047</v>
      </c>
      <c r="Q364" s="51">
        <v>17455</v>
      </c>
      <c r="R364" s="51">
        <v>17820</v>
      </c>
      <c r="S364" s="51">
        <v>17820</v>
      </c>
      <c r="T364" s="51">
        <v>0</v>
      </c>
      <c r="U364" s="53">
        <f t="shared" si="25"/>
        <v>-4.5783132530120452E-2</v>
      </c>
    </row>
    <row r="365" spans="1:21" x14ac:dyDescent="0.2">
      <c r="N365" s="52">
        <v>36619</v>
      </c>
      <c r="O365" s="51">
        <v>17826</v>
      </c>
      <c r="P365" s="51">
        <v>17826</v>
      </c>
      <c r="Q365" s="51">
        <v>16095</v>
      </c>
      <c r="R365" s="51">
        <v>17514</v>
      </c>
      <c r="S365" s="51">
        <v>17514</v>
      </c>
      <c r="T365" s="51">
        <v>0</v>
      </c>
      <c r="U365" s="53">
        <f t="shared" si="25"/>
        <v>-1.7171717171717171E-2</v>
      </c>
    </row>
    <row r="366" spans="1:21" x14ac:dyDescent="0.2">
      <c r="N366" s="52">
        <v>36626</v>
      </c>
      <c r="O366" s="51">
        <v>17519</v>
      </c>
      <c r="P366" s="51">
        <v>17572</v>
      </c>
      <c r="Q366" s="51">
        <v>14596</v>
      </c>
      <c r="R366" s="51">
        <v>14794</v>
      </c>
      <c r="S366" s="51">
        <v>14794</v>
      </c>
      <c r="T366" s="51">
        <v>0</v>
      </c>
      <c r="U366" s="53">
        <f t="shared" si="25"/>
        <v>-0.15530432796619842</v>
      </c>
    </row>
    <row r="367" spans="1:21" x14ac:dyDescent="0.2">
      <c r="N367" s="52">
        <v>36633</v>
      </c>
      <c r="O367" s="51">
        <v>14761</v>
      </c>
      <c r="P367" s="51">
        <v>15536</v>
      </c>
      <c r="Q367" s="51">
        <v>14029</v>
      </c>
      <c r="R367" s="51">
        <v>15203</v>
      </c>
      <c r="S367" s="51">
        <v>15203</v>
      </c>
      <c r="T367" s="51">
        <v>0</v>
      </c>
      <c r="U367" s="53">
        <f t="shared" si="25"/>
        <v>2.7646343112072369E-2</v>
      </c>
    </row>
    <row r="368" spans="1:21" x14ac:dyDescent="0.2">
      <c r="N368" s="52">
        <v>36640</v>
      </c>
      <c r="O368" s="51">
        <v>15204</v>
      </c>
      <c r="P368" s="51">
        <v>15907</v>
      </c>
      <c r="Q368" s="51">
        <v>14625</v>
      </c>
      <c r="R368" s="51">
        <v>15538</v>
      </c>
      <c r="S368" s="51">
        <v>15538</v>
      </c>
      <c r="T368" s="51">
        <v>0</v>
      </c>
      <c r="U368" s="53">
        <f t="shared" si="25"/>
        <v>2.2035124646451409E-2</v>
      </c>
    </row>
    <row r="369" spans="14:21" x14ac:dyDescent="0.2">
      <c r="N369" s="52">
        <v>36647</v>
      </c>
      <c r="O369" s="51">
        <v>15596</v>
      </c>
      <c r="P369" s="51">
        <v>15944</v>
      </c>
      <c r="Q369" s="51">
        <v>14811</v>
      </c>
      <c r="R369" s="51">
        <v>15218</v>
      </c>
      <c r="S369" s="51">
        <v>15218</v>
      </c>
      <c r="T369" s="51">
        <v>0</v>
      </c>
      <c r="U369" s="53">
        <f t="shared" si="25"/>
        <v>-2.0594671128845388E-2</v>
      </c>
    </row>
    <row r="370" spans="14:21" x14ac:dyDescent="0.2">
      <c r="N370" s="52">
        <v>36654</v>
      </c>
      <c r="O370" s="51">
        <v>15220</v>
      </c>
      <c r="P370" s="51">
        <v>15223</v>
      </c>
      <c r="Q370" s="51">
        <v>14238</v>
      </c>
      <c r="R370" s="51">
        <v>14459</v>
      </c>
      <c r="S370" s="51">
        <v>14459</v>
      </c>
      <c r="T370" s="51">
        <v>0</v>
      </c>
      <c r="U370" s="53">
        <f t="shared" si="25"/>
        <v>-4.9875147851228818E-2</v>
      </c>
    </row>
    <row r="371" spans="14:21" x14ac:dyDescent="0.2">
      <c r="N371" s="52">
        <v>36661</v>
      </c>
      <c r="O371" s="51">
        <v>14469</v>
      </c>
      <c r="P371" s="51">
        <v>15445</v>
      </c>
      <c r="Q371" s="51">
        <v>13920</v>
      </c>
      <c r="R371" s="51">
        <v>14327</v>
      </c>
      <c r="S371" s="51">
        <v>14327</v>
      </c>
      <c r="T371" s="51">
        <v>0</v>
      </c>
      <c r="U371" s="53">
        <f t="shared" si="25"/>
        <v>-9.1292620513174771E-3</v>
      </c>
    </row>
    <row r="372" spans="14:21" x14ac:dyDescent="0.2">
      <c r="N372" s="52">
        <v>36668</v>
      </c>
      <c r="O372" s="51">
        <v>14330</v>
      </c>
      <c r="P372" s="51">
        <v>14549</v>
      </c>
      <c r="Q372" s="51">
        <v>13556</v>
      </c>
      <c r="R372" s="51">
        <v>14542</v>
      </c>
      <c r="S372" s="51">
        <v>14542</v>
      </c>
      <c r="T372" s="51">
        <v>0</v>
      </c>
      <c r="U372" s="53">
        <f t="shared" si="25"/>
        <v>1.5006630836881474E-2</v>
      </c>
    </row>
    <row r="373" spans="14:21" x14ac:dyDescent="0.2">
      <c r="N373" s="52">
        <v>36675</v>
      </c>
      <c r="O373" s="51">
        <v>14541</v>
      </c>
      <c r="P373" s="51">
        <v>16261</v>
      </c>
      <c r="Q373" s="51">
        <v>14541</v>
      </c>
      <c r="R373" s="51">
        <v>16222</v>
      </c>
      <c r="S373" s="51">
        <v>16222</v>
      </c>
      <c r="T373" s="51">
        <v>0</v>
      </c>
      <c r="U373" s="53">
        <f t="shared" si="25"/>
        <v>0.11552743776646945</v>
      </c>
    </row>
    <row r="374" spans="14:21" x14ac:dyDescent="0.2">
      <c r="N374" s="52">
        <v>36682</v>
      </c>
      <c r="O374" s="51">
        <v>16222</v>
      </c>
      <c r="P374" s="51">
        <v>16640</v>
      </c>
      <c r="Q374" s="51">
        <v>15709</v>
      </c>
      <c r="R374" s="51">
        <v>16342</v>
      </c>
      <c r="S374" s="51">
        <v>16342</v>
      </c>
      <c r="T374" s="51">
        <v>0</v>
      </c>
      <c r="U374" s="53">
        <f t="shared" si="25"/>
        <v>7.3973616076932203E-3</v>
      </c>
    </row>
    <row r="375" spans="14:21" x14ac:dyDescent="0.2">
      <c r="N375" s="52">
        <v>36689</v>
      </c>
      <c r="O375" s="51">
        <v>16351</v>
      </c>
      <c r="P375" s="51">
        <v>16630</v>
      </c>
      <c r="Q375" s="51">
        <v>16075</v>
      </c>
      <c r="R375" s="51">
        <v>16425</v>
      </c>
      <c r="S375" s="51">
        <v>16425</v>
      </c>
      <c r="T375" s="51">
        <v>0</v>
      </c>
      <c r="U375" s="53">
        <f t="shared" si="25"/>
        <v>5.0789377065230124E-3</v>
      </c>
    </row>
    <row r="376" spans="14:21" x14ac:dyDescent="0.2">
      <c r="N376" s="52">
        <v>36696</v>
      </c>
      <c r="O376" s="51">
        <v>16423</v>
      </c>
      <c r="P376" s="51">
        <v>17396</v>
      </c>
      <c r="Q376" s="51">
        <v>16411</v>
      </c>
      <c r="R376" s="51">
        <v>16977</v>
      </c>
      <c r="S376" s="51">
        <v>16977</v>
      </c>
      <c r="T376" s="51">
        <v>0</v>
      </c>
      <c r="U376" s="53">
        <f t="shared" si="25"/>
        <v>3.3607305936073084E-2</v>
      </c>
    </row>
    <row r="377" spans="14:21" x14ac:dyDescent="0.2">
      <c r="N377" s="52">
        <v>36703</v>
      </c>
      <c r="O377" s="51">
        <v>16977</v>
      </c>
      <c r="P377" s="51">
        <v>17101</v>
      </c>
      <c r="Q377" s="51">
        <v>16329</v>
      </c>
      <c r="R377" s="51">
        <v>16728</v>
      </c>
      <c r="S377" s="51">
        <v>16728</v>
      </c>
      <c r="T377" s="51">
        <v>0</v>
      </c>
      <c r="U377" s="53">
        <f t="shared" si="25"/>
        <v>-1.4666902279554694E-2</v>
      </c>
    </row>
    <row r="378" spans="14:21" x14ac:dyDescent="0.2">
      <c r="N378" s="52">
        <v>36710</v>
      </c>
      <c r="O378" s="51">
        <v>16747</v>
      </c>
      <c r="P378" s="51">
        <v>17754</v>
      </c>
      <c r="Q378" s="51">
        <v>16743</v>
      </c>
      <c r="R378" s="51">
        <v>17599</v>
      </c>
      <c r="S378" s="51">
        <v>17599</v>
      </c>
      <c r="T378" s="51">
        <v>0</v>
      </c>
      <c r="U378" s="53">
        <f t="shared" si="25"/>
        <v>5.2068388330942073E-2</v>
      </c>
    </row>
    <row r="379" spans="14:21" x14ac:dyDescent="0.2">
      <c r="N379" s="52">
        <v>36717</v>
      </c>
      <c r="O379" s="51">
        <v>17620</v>
      </c>
      <c r="P379" s="51">
        <v>17795</v>
      </c>
      <c r="Q379" s="51">
        <v>16390</v>
      </c>
      <c r="R379" s="51">
        <v>16881</v>
      </c>
      <c r="S379" s="51">
        <v>16881</v>
      </c>
      <c r="T379" s="51">
        <v>0</v>
      </c>
      <c r="U379" s="53">
        <f t="shared" si="25"/>
        <v>-4.0797772600715931E-2</v>
      </c>
    </row>
    <row r="380" spans="14:21" x14ac:dyDescent="0.2">
      <c r="N380" s="52">
        <v>36724</v>
      </c>
      <c r="O380" s="51">
        <v>16890</v>
      </c>
      <c r="P380" s="51">
        <v>17566</v>
      </c>
      <c r="Q380" s="51">
        <v>16868</v>
      </c>
      <c r="R380" s="51">
        <v>17318</v>
      </c>
      <c r="S380" s="51">
        <v>17318</v>
      </c>
      <c r="T380" s="51">
        <v>0</v>
      </c>
      <c r="U380" s="53">
        <f t="shared" si="25"/>
        <v>2.5887091996919631E-2</v>
      </c>
    </row>
    <row r="381" spans="14:21" x14ac:dyDescent="0.2">
      <c r="N381" s="52">
        <v>36731</v>
      </c>
      <c r="O381" s="51">
        <v>17314</v>
      </c>
      <c r="P381" s="51">
        <v>17588</v>
      </c>
      <c r="Q381" s="51">
        <v>16448</v>
      </c>
      <c r="R381" s="51">
        <v>16486</v>
      </c>
      <c r="S381" s="51">
        <v>16486</v>
      </c>
      <c r="T381" s="51">
        <v>0</v>
      </c>
      <c r="U381" s="53">
        <f t="shared" si="25"/>
        <v>-4.804249913384917E-2</v>
      </c>
    </row>
    <row r="382" spans="14:21" x14ac:dyDescent="0.2">
      <c r="N382" s="52">
        <v>36738</v>
      </c>
      <c r="O382" s="51">
        <v>16487</v>
      </c>
      <c r="P382" s="51">
        <v>16907</v>
      </c>
      <c r="Q382" s="51">
        <v>16073</v>
      </c>
      <c r="R382" s="51">
        <v>16761</v>
      </c>
      <c r="S382" s="51">
        <v>16761</v>
      </c>
      <c r="T382" s="51">
        <v>0</v>
      </c>
      <c r="U382" s="53">
        <f t="shared" si="25"/>
        <v>1.6680820089773229E-2</v>
      </c>
    </row>
    <row r="383" spans="14:21" x14ac:dyDescent="0.2">
      <c r="N383" s="52">
        <v>36745</v>
      </c>
      <c r="O383" s="51">
        <v>16772</v>
      </c>
      <c r="P383" s="51">
        <v>17395</v>
      </c>
      <c r="Q383" s="51">
        <v>16501</v>
      </c>
      <c r="R383" s="51">
        <v>17395</v>
      </c>
      <c r="S383" s="51">
        <v>17395</v>
      </c>
      <c r="T383" s="51">
        <v>0</v>
      </c>
      <c r="U383" s="53">
        <f t="shared" si="25"/>
        <v>3.7825905375574287E-2</v>
      </c>
    </row>
    <row r="384" spans="14:21" x14ac:dyDescent="0.2">
      <c r="N384" s="52">
        <v>36752</v>
      </c>
      <c r="O384" s="51">
        <v>17402</v>
      </c>
      <c r="P384" s="51">
        <v>17926</v>
      </c>
      <c r="Q384" s="51">
        <v>17258</v>
      </c>
      <c r="R384" s="51">
        <v>17314</v>
      </c>
      <c r="S384" s="51">
        <v>17314</v>
      </c>
      <c r="T384" s="51">
        <v>0</v>
      </c>
      <c r="U384" s="53">
        <f t="shared" si="25"/>
        <v>-4.6565104915206046E-3</v>
      </c>
    </row>
    <row r="385" spans="14:21" x14ac:dyDescent="0.2">
      <c r="N385" s="52">
        <v>36759</v>
      </c>
      <c r="O385" s="51">
        <v>17317</v>
      </c>
      <c r="P385" s="51">
        <v>17668</v>
      </c>
      <c r="Q385" s="51">
        <v>17066</v>
      </c>
      <c r="R385" s="51">
        <v>17643</v>
      </c>
      <c r="S385" s="51">
        <v>17643</v>
      </c>
      <c r="T385" s="51">
        <v>0</v>
      </c>
      <c r="U385" s="53">
        <f t="shared" si="25"/>
        <v>1.9001963728774385E-2</v>
      </c>
    </row>
    <row r="386" spans="14:21" x14ac:dyDescent="0.2">
      <c r="N386" s="52">
        <v>36766</v>
      </c>
      <c r="O386" s="51">
        <v>17657</v>
      </c>
      <c r="P386" s="51">
        <v>17686</v>
      </c>
      <c r="Q386" s="51">
        <v>17235</v>
      </c>
      <c r="R386" s="51">
        <v>17577</v>
      </c>
      <c r="S386" s="51">
        <v>17577</v>
      </c>
      <c r="T386" s="51">
        <v>0</v>
      </c>
      <c r="U386" s="53">
        <f t="shared" si="25"/>
        <v>-3.7408603978915655E-3</v>
      </c>
    </row>
    <row r="387" spans="14:21" x14ac:dyDescent="0.2">
      <c r="N387" s="52">
        <v>36773</v>
      </c>
      <c r="O387" s="51">
        <v>17577</v>
      </c>
      <c r="P387" s="51">
        <v>17716</v>
      </c>
      <c r="Q387" s="51">
        <v>17417</v>
      </c>
      <c r="R387" s="51">
        <v>17433</v>
      </c>
      <c r="S387" s="51">
        <v>17433</v>
      </c>
      <c r="T387" s="51">
        <v>0</v>
      </c>
      <c r="U387" s="53">
        <f t="shared" si="25"/>
        <v>-8.1925243215565935E-3</v>
      </c>
    </row>
    <row r="388" spans="14:21" x14ac:dyDescent="0.2">
      <c r="N388" s="52">
        <v>36780</v>
      </c>
      <c r="O388" s="51">
        <v>17443</v>
      </c>
      <c r="P388" s="51">
        <v>17475</v>
      </c>
      <c r="Q388" s="51">
        <v>16515</v>
      </c>
      <c r="R388" s="51">
        <v>16563</v>
      </c>
      <c r="S388" s="51">
        <v>16563</v>
      </c>
      <c r="T388" s="51">
        <v>0</v>
      </c>
      <c r="U388" s="53">
        <f t="shared" si="25"/>
        <v>-4.9905351918774765E-2</v>
      </c>
    </row>
    <row r="389" spans="14:21" x14ac:dyDescent="0.2">
      <c r="N389" s="52">
        <v>36787</v>
      </c>
      <c r="O389" s="51">
        <v>16562</v>
      </c>
      <c r="P389" s="51">
        <v>16609</v>
      </c>
      <c r="Q389" s="51">
        <v>15705</v>
      </c>
      <c r="R389" s="51">
        <v>16353</v>
      </c>
      <c r="S389" s="51">
        <v>16353</v>
      </c>
      <c r="T389" s="51">
        <v>0</v>
      </c>
      <c r="U389" s="53">
        <f t="shared" ref="U389:U452" si="26">S389/S388-1</f>
        <v>-1.267886252490491E-2</v>
      </c>
    </row>
    <row r="390" spans="14:21" x14ac:dyDescent="0.2">
      <c r="N390" s="52">
        <v>36794</v>
      </c>
      <c r="O390" s="51">
        <v>16361</v>
      </c>
      <c r="P390" s="51">
        <v>16521</v>
      </c>
      <c r="Q390" s="51">
        <v>15657</v>
      </c>
      <c r="R390" s="51">
        <v>15928</v>
      </c>
      <c r="S390" s="51">
        <v>15928</v>
      </c>
      <c r="T390" s="51">
        <v>0</v>
      </c>
      <c r="U390" s="53">
        <f t="shared" si="26"/>
        <v>-2.5989115147067809E-2</v>
      </c>
    </row>
    <row r="391" spans="14:21" x14ac:dyDescent="0.2">
      <c r="N391" s="52">
        <v>36801</v>
      </c>
      <c r="O391" s="51">
        <v>15950</v>
      </c>
      <c r="P391" s="51">
        <v>16404</v>
      </c>
      <c r="Q391" s="51">
        <v>15537</v>
      </c>
      <c r="R391" s="51">
        <v>15946</v>
      </c>
      <c r="S391" s="51">
        <v>15946</v>
      </c>
      <c r="T391" s="51">
        <v>0</v>
      </c>
      <c r="U391" s="53">
        <f t="shared" si="26"/>
        <v>1.1300853842290959E-3</v>
      </c>
    </row>
    <row r="392" spans="14:21" x14ac:dyDescent="0.2">
      <c r="N392" s="52">
        <v>36808</v>
      </c>
      <c r="O392" s="51">
        <v>15946</v>
      </c>
      <c r="P392" s="51">
        <v>16008</v>
      </c>
      <c r="Q392" s="51">
        <v>15067</v>
      </c>
      <c r="R392" s="51">
        <v>15385</v>
      </c>
      <c r="S392" s="51">
        <v>15385</v>
      </c>
      <c r="T392" s="51">
        <v>0</v>
      </c>
      <c r="U392" s="53">
        <f t="shared" si="26"/>
        <v>-3.5181236673774041E-2</v>
      </c>
    </row>
    <row r="393" spans="14:21" x14ac:dyDescent="0.2">
      <c r="N393" s="52">
        <v>36815</v>
      </c>
      <c r="O393" s="51">
        <v>15387</v>
      </c>
      <c r="P393" s="51">
        <v>15585</v>
      </c>
      <c r="Q393" s="51">
        <v>14218</v>
      </c>
      <c r="R393" s="51">
        <v>14529</v>
      </c>
      <c r="S393" s="51">
        <v>14529</v>
      </c>
      <c r="T393" s="51">
        <v>0</v>
      </c>
      <c r="U393" s="53">
        <f t="shared" si="26"/>
        <v>-5.5638609034774134E-2</v>
      </c>
    </row>
    <row r="394" spans="14:21" x14ac:dyDescent="0.2">
      <c r="N394" s="52">
        <v>36822</v>
      </c>
      <c r="O394" s="51">
        <v>14533</v>
      </c>
      <c r="P394" s="51">
        <v>14700</v>
      </c>
      <c r="Q394" s="51">
        <v>13571</v>
      </c>
      <c r="R394" s="51">
        <v>14692</v>
      </c>
      <c r="S394" s="51">
        <v>14692</v>
      </c>
      <c r="T394" s="51">
        <v>0</v>
      </c>
      <c r="U394" s="53">
        <f t="shared" si="26"/>
        <v>1.1218941427489915E-2</v>
      </c>
    </row>
    <row r="395" spans="14:21" x14ac:dyDescent="0.2">
      <c r="N395" s="52">
        <v>36829</v>
      </c>
      <c r="O395" s="51">
        <v>14707</v>
      </c>
      <c r="P395" s="51">
        <v>15099</v>
      </c>
      <c r="Q395" s="51">
        <v>14425</v>
      </c>
      <c r="R395" s="51">
        <v>14534</v>
      </c>
      <c r="S395" s="51">
        <v>14534</v>
      </c>
      <c r="T395" s="51">
        <v>0</v>
      </c>
      <c r="U395" s="53">
        <f t="shared" si="26"/>
        <v>-1.075415191941187E-2</v>
      </c>
    </row>
    <row r="396" spans="14:21" x14ac:dyDescent="0.2">
      <c r="N396" s="52">
        <v>36836</v>
      </c>
      <c r="O396" s="51">
        <v>14534</v>
      </c>
      <c r="P396" s="51">
        <v>15191</v>
      </c>
      <c r="Q396" s="51">
        <v>14409</v>
      </c>
      <c r="R396" s="51">
        <v>14626</v>
      </c>
      <c r="S396" s="51">
        <v>14626</v>
      </c>
      <c r="T396" s="51">
        <v>0</v>
      </c>
      <c r="U396" s="53">
        <f t="shared" si="26"/>
        <v>6.329984863079785E-3</v>
      </c>
    </row>
    <row r="397" spans="14:21" x14ac:dyDescent="0.2">
      <c r="N397" s="52">
        <v>36843</v>
      </c>
      <c r="O397" s="51">
        <v>14606</v>
      </c>
      <c r="P397" s="51">
        <v>14632</v>
      </c>
      <c r="Q397" s="51">
        <v>14091</v>
      </c>
      <c r="R397" s="51">
        <v>14323</v>
      </c>
      <c r="S397" s="51">
        <v>14323</v>
      </c>
      <c r="T397" s="51">
        <v>0</v>
      </c>
      <c r="U397" s="53">
        <f t="shared" si="26"/>
        <v>-2.0716532202926241E-2</v>
      </c>
    </row>
    <row r="398" spans="14:21" x14ac:dyDescent="0.2">
      <c r="N398" s="52">
        <v>36850</v>
      </c>
      <c r="O398" s="51">
        <v>14323</v>
      </c>
      <c r="P398" s="51">
        <v>14845</v>
      </c>
      <c r="Q398" s="51">
        <v>12969</v>
      </c>
      <c r="R398" s="51">
        <v>14336</v>
      </c>
      <c r="S398" s="51">
        <v>14336</v>
      </c>
      <c r="T398" s="51">
        <v>0</v>
      </c>
      <c r="U398" s="53">
        <f t="shared" si="26"/>
        <v>9.0763108287372773E-4</v>
      </c>
    </row>
    <row r="399" spans="14:21" x14ac:dyDescent="0.2">
      <c r="N399" s="52">
        <v>36857</v>
      </c>
      <c r="O399" s="51">
        <v>14340</v>
      </c>
      <c r="P399" s="51">
        <v>14495</v>
      </c>
      <c r="Q399" s="51">
        <v>13282</v>
      </c>
      <c r="R399" s="51">
        <v>13437</v>
      </c>
      <c r="S399" s="51">
        <v>13437</v>
      </c>
      <c r="T399" s="51">
        <v>0</v>
      </c>
      <c r="U399" s="53">
        <f t="shared" si="26"/>
        <v>-6.2709263392857095E-2</v>
      </c>
    </row>
    <row r="400" spans="14:21" x14ac:dyDescent="0.2">
      <c r="N400" s="52">
        <v>36864</v>
      </c>
      <c r="O400" s="51">
        <v>13396</v>
      </c>
      <c r="P400" s="51">
        <v>15062</v>
      </c>
      <c r="Q400" s="51">
        <v>13242</v>
      </c>
      <c r="R400" s="51">
        <v>14983</v>
      </c>
      <c r="S400" s="51">
        <v>14983</v>
      </c>
      <c r="T400" s="51">
        <v>0</v>
      </c>
      <c r="U400" s="53">
        <f t="shared" si="26"/>
        <v>0.11505544392349476</v>
      </c>
    </row>
    <row r="401" spans="14:21" x14ac:dyDescent="0.2">
      <c r="N401" s="52">
        <v>36871</v>
      </c>
      <c r="O401" s="51">
        <v>14991</v>
      </c>
      <c r="P401" s="51">
        <v>15389</v>
      </c>
      <c r="Q401" s="51">
        <v>14833</v>
      </c>
      <c r="R401" s="51">
        <v>14988</v>
      </c>
      <c r="S401" s="51">
        <v>14988</v>
      </c>
      <c r="T401" s="51">
        <v>0</v>
      </c>
      <c r="U401" s="53">
        <f t="shared" si="26"/>
        <v>3.3371153974504075E-4</v>
      </c>
    </row>
    <row r="402" spans="14:21" x14ac:dyDescent="0.2">
      <c r="N402" s="52">
        <v>36878</v>
      </c>
      <c r="O402" s="51">
        <v>15002</v>
      </c>
      <c r="P402" s="51">
        <v>15415</v>
      </c>
      <c r="Q402" s="51">
        <v>14093</v>
      </c>
      <c r="R402" s="51">
        <v>14652</v>
      </c>
      <c r="S402" s="51">
        <v>14652</v>
      </c>
      <c r="T402" s="51">
        <v>0</v>
      </c>
      <c r="U402" s="53">
        <f t="shared" si="26"/>
        <v>-2.2417934347477964E-2</v>
      </c>
    </row>
    <row r="403" spans="14:21" x14ac:dyDescent="0.2">
      <c r="N403" s="52">
        <v>36885</v>
      </c>
      <c r="O403" s="51">
        <v>14663</v>
      </c>
      <c r="P403" s="51">
        <v>15269</v>
      </c>
      <c r="Q403" s="51">
        <v>14659</v>
      </c>
      <c r="R403" s="51">
        <v>15259</v>
      </c>
      <c r="S403" s="51">
        <v>15259</v>
      </c>
      <c r="T403" s="51">
        <v>0</v>
      </c>
      <c r="U403" s="53">
        <f t="shared" si="26"/>
        <v>4.1427791427791405E-2</v>
      </c>
    </row>
    <row r="404" spans="14:21" x14ac:dyDescent="0.2">
      <c r="N404" s="52">
        <v>36892</v>
      </c>
      <c r="O404" s="51">
        <v>15242</v>
      </c>
      <c r="P404" s="51">
        <v>16933</v>
      </c>
      <c r="Q404" s="51">
        <v>15174</v>
      </c>
      <c r="R404" s="51">
        <v>16410</v>
      </c>
      <c r="S404" s="51">
        <v>16410</v>
      </c>
      <c r="T404" s="51">
        <v>0</v>
      </c>
      <c r="U404" s="53">
        <f t="shared" si="26"/>
        <v>7.5430893243331854E-2</v>
      </c>
    </row>
    <row r="405" spans="14:21" x14ac:dyDescent="0.2">
      <c r="N405" s="52">
        <v>36899</v>
      </c>
      <c r="O405" s="51">
        <v>16398</v>
      </c>
      <c r="P405" s="51">
        <v>17212</v>
      </c>
      <c r="Q405" s="51">
        <v>16226</v>
      </c>
      <c r="R405" s="51">
        <v>16850</v>
      </c>
      <c r="S405" s="51">
        <v>16850</v>
      </c>
      <c r="T405" s="51">
        <v>0</v>
      </c>
      <c r="U405" s="53">
        <f t="shared" si="26"/>
        <v>2.6812918951858666E-2</v>
      </c>
    </row>
    <row r="406" spans="14:21" x14ac:dyDescent="0.2">
      <c r="N406" s="52">
        <v>36906</v>
      </c>
      <c r="O406" s="51">
        <v>16858</v>
      </c>
      <c r="P406" s="51">
        <v>17816</v>
      </c>
      <c r="Q406" s="51">
        <v>16662</v>
      </c>
      <c r="R406" s="51">
        <v>17530</v>
      </c>
      <c r="S406" s="51">
        <v>17530</v>
      </c>
      <c r="T406" s="51">
        <v>0</v>
      </c>
      <c r="U406" s="53">
        <f t="shared" si="26"/>
        <v>4.0356083086053429E-2</v>
      </c>
    </row>
    <row r="407" spans="14:21" x14ac:dyDescent="0.2">
      <c r="N407" s="52">
        <v>36913</v>
      </c>
      <c r="O407" s="51">
        <v>17548</v>
      </c>
      <c r="P407" s="51">
        <v>18022</v>
      </c>
      <c r="Q407" s="51">
        <v>17297</v>
      </c>
      <c r="R407" s="51">
        <v>17889</v>
      </c>
      <c r="S407" s="51">
        <v>17889</v>
      </c>
      <c r="T407" s="51">
        <v>0</v>
      </c>
      <c r="U407" s="53">
        <f t="shared" si="26"/>
        <v>2.047917855105541E-2</v>
      </c>
    </row>
    <row r="408" spans="14:21" x14ac:dyDescent="0.2">
      <c r="N408" s="52">
        <v>36920</v>
      </c>
      <c r="O408" s="51">
        <v>17906</v>
      </c>
      <c r="P408" s="51">
        <v>18023</v>
      </c>
      <c r="Q408" s="51">
        <v>16781</v>
      </c>
      <c r="R408" s="51">
        <v>16915</v>
      </c>
      <c r="S408" s="51">
        <v>16915</v>
      </c>
      <c r="T408" s="51">
        <v>0</v>
      </c>
      <c r="U408" s="53">
        <f t="shared" si="26"/>
        <v>-5.4446866789647275E-2</v>
      </c>
    </row>
    <row r="409" spans="14:21" x14ac:dyDescent="0.2">
      <c r="N409" s="52">
        <v>36927</v>
      </c>
      <c r="O409" s="51">
        <v>16914</v>
      </c>
      <c r="P409" s="51">
        <v>17279</v>
      </c>
      <c r="Q409" s="51">
        <v>16539</v>
      </c>
      <c r="R409" s="51">
        <v>17138</v>
      </c>
      <c r="S409" s="51">
        <v>17138</v>
      </c>
      <c r="T409" s="51">
        <v>0</v>
      </c>
      <c r="U409" s="53">
        <f t="shared" si="26"/>
        <v>1.3183564883239685E-2</v>
      </c>
    </row>
    <row r="410" spans="14:21" x14ac:dyDescent="0.2">
      <c r="N410" s="52">
        <v>36934</v>
      </c>
      <c r="O410" s="51">
        <v>17163</v>
      </c>
      <c r="P410" s="51">
        <v>17286</v>
      </c>
      <c r="Q410" s="51">
        <v>16100</v>
      </c>
      <c r="R410" s="51">
        <v>16259</v>
      </c>
      <c r="S410" s="51">
        <v>16259</v>
      </c>
      <c r="T410" s="51">
        <v>0</v>
      </c>
      <c r="U410" s="53">
        <f t="shared" si="26"/>
        <v>-5.1289532034076268E-2</v>
      </c>
    </row>
    <row r="411" spans="14:21" x14ac:dyDescent="0.2">
      <c r="N411" s="52">
        <v>36941</v>
      </c>
      <c r="O411" s="51">
        <v>16263</v>
      </c>
      <c r="P411" s="51">
        <v>16392</v>
      </c>
      <c r="Q411" s="51">
        <v>15558</v>
      </c>
      <c r="R411" s="51">
        <v>16158</v>
      </c>
      <c r="S411" s="51">
        <v>16158</v>
      </c>
      <c r="T411" s="51">
        <v>0</v>
      </c>
      <c r="U411" s="53">
        <f t="shared" si="26"/>
        <v>-6.2119441540070541E-3</v>
      </c>
    </row>
    <row r="412" spans="14:21" x14ac:dyDescent="0.2">
      <c r="N412" s="52">
        <v>36948</v>
      </c>
      <c r="O412" s="51">
        <v>16158</v>
      </c>
      <c r="P412" s="51">
        <v>16723</v>
      </c>
      <c r="Q412" s="51">
        <v>15875</v>
      </c>
      <c r="R412" s="51">
        <v>16581</v>
      </c>
      <c r="S412" s="51">
        <v>16581</v>
      </c>
      <c r="T412" s="51">
        <v>0</v>
      </c>
      <c r="U412" s="53">
        <f t="shared" si="26"/>
        <v>2.6178982547345075E-2</v>
      </c>
    </row>
    <row r="413" spans="14:21" x14ac:dyDescent="0.2">
      <c r="N413" s="52">
        <v>36955</v>
      </c>
      <c r="O413" s="51">
        <v>16620</v>
      </c>
      <c r="P413" s="51">
        <v>16813</v>
      </c>
      <c r="Q413" s="51">
        <v>16018</v>
      </c>
      <c r="R413" s="51">
        <v>16123</v>
      </c>
      <c r="S413" s="51">
        <v>16123</v>
      </c>
      <c r="T413" s="51">
        <v>0</v>
      </c>
      <c r="U413" s="53">
        <f t="shared" si="26"/>
        <v>-2.7621976961582528E-2</v>
      </c>
    </row>
    <row r="414" spans="14:21" x14ac:dyDescent="0.2">
      <c r="N414" s="52">
        <v>36962</v>
      </c>
      <c r="O414" s="51">
        <v>16125</v>
      </c>
      <c r="P414" s="51">
        <v>16143</v>
      </c>
      <c r="Q414" s="51">
        <v>14977</v>
      </c>
      <c r="R414" s="51">
        <v>15237</v>
      </c>
      <c r="S414" s="51">
        <v>15237</v>
      </c>
      <c r="T414" s="51">
        <v>0</v>
      </c>
      <c r="U414" s="53">
        <f t="shared" si="26"/>
        <v>-5.4952552254543208E-2</v>
      </c>
    </row>
    <row r="415" spans="14:21" x14ac:dyDescent="0.2">
      <c r="N415" s="52">
        <v>36969</v>
      </c>
      <c r="O415" s="51">
        <v>15249</v>
      </c>
      <c r="P415" s="51">
        <v>16429</v>
      </c>
      <c r="Q415" s="51">
        <v>13761</v>
      </c>
      <c r="R415" s="51">
        <v>14435</v>
      </c>
      <c r="S415" s="51">
        <v>14435</v>
      </c>
      <c r="T415" s="51">
        <v>0</v>
      </c>
      <c r="U415" s="53">
        <f t="shared" si="26"/>
        <v>-5.2635033143007104E-2</v>
      </c>
    </row>
    <row r="416" spans="14:21" x14ac:dyDescent="0.2">
      <c r="N416" s="52">
        <v>36976</v>
      </c>
      <c r="O416" s="51">
        <v>14443</v>
      </c>
      <c r="P416" s="51">
        <v>14951</v>
      </c>
      <c r="Q416" s="51">
        <v>13922</v>
      </c>
      <c r="R416" s="51">
        <v>14438</v>
      </c>
      <c r="S416" s="51">
        <v>14438</v>
      </c>
      <c r="T416" s="51">
        <v>0</v>
      </c>
      <c r="U416" s="53">
        <f t="shared" si="26"/>
        <v>2.0782819535858366E-4</v>
      </c>
    </row>
    <row r="417" spans="14:21" x14ac:dyDescent="0.2">
      <c r="N417" s="52">
        <v>36983</v>
      </c>
      <c r="O417" s="51">
        <v>14441</v>
      </c>
      <c r="P417" s="51">
        <v>14702</v>
      </c>
      <c r="Q417" s="51">
        <v>13664</v>
      </c>
      <c r="R417" s="51">
        <v>14485</v>
      </c>
      <c r="S417" s="51">
        <v>14485</v>
      </c>
      <c r="T417" s="51">
        <v>0</v>
      </c>
      <c r="U417" s="53">
        <f t="shared" si="26"/>
        <v>3.2552985178002647E-3</v>
      </c>
    </row>
    <row r="418" spans="14:21" x14ac:dyDescent="0.2">
      <c r="N418" s="52">
        <v>36990</v>
      </c>
      <c r="O418" s="51">
        <v>14489</v>
      </c>
      <c r="P418" s="51">
        <v>15267</v>
      </c>
      <c r="Q418" s="51">
        <v>14446</v>
      </c>
      <c r="R418" s="51">
        <v>14969</v>
      </c>
      <c r="S418" s="51">
        <v>14969</v>
      </c>
      <c r="T418" s="51">
        <v>0</v>
      </c>
      <c r="U418" s="53">
        <f t="shared" si="26"/>
        <v>3.3413876423886713E-2</v>
      </c>
    </row>
    <row r="419" spans="14:21" x14ac:dyDescent="0.2">
      <c r="N419" s="52">
        <v>36997</v>
      </c>
      <c r="O419" s="51">
        <v>14974</v>
      </c>
      <c r="P419" s="51">
        <v>15151</v>
      </c>
      <c r="Q419" s="51">
        <v>13618</v>
      </c>
      <c r="R419" s="51">
        <v>13696</v>
      </c>
      <c r="S419" s="51">
        <v>13696</v>
      </c>
      <c r="T419" s="51">
        <v>0</v>
      </c>
      <c r="U419" s="53">
        <f t="shared" si="26"/>
        <v>-8.5042421003407087E-2</v>
      </c>
    </row>
    <row r="420" spans="14:21" x14ac:dyDescent="0.2">
      <c r="N420" s="52">
        <v>37004</v>
      </c>
      <c r="O420" s="51">
        <v>13734</v>
      </c>
      <c r="P420" s="51">
        <v>15135</v>
      </c>
      <c r="Q420" s="51">
        <v>13325</v>
      </c>
      <c r="R420" s="51">
        <v>14928</v>
      </c>
      <c r="S420" s="51">
        <v>14928</v>
      </c>
      <c r="T420" s="51">
        <v>0</v>
      </c>
      <c r="U420" s="53">
        <f t="shared" si="26"/>
        <v>8.9953271028037296E-2</v>
      </c>
    </row>
    <row r="421" spans="14:21" x14ac:dyDescent="0.2">
      <c r="N421" s="52">
        <v>37011</v>
      </c>
      <c r="O421" s="51">
        <v>14944</v>
      </c>
      <c r="P421" s="51">
        <v>15304</v>
      </c>
      <c r="Q421" s="51">
        <v>14636</v>
      </c>
      <c r="R421" s="51">
        <v>15093</v>
      </c>
      <c r="S421" s="51">
        <v>15093</v>
      </c>
      <c r="T421" s="51">
        <v>0</v>
      </c>
      <c r="U421" s="53">
        <f t="shared" si="26"/>
        <v>1.1053054662379491E-2</v>
      </c>
    </row>
    <row r="422" spans="14:21" x14ac:dyDescent="0.2">
      <c r="N422" s="52">
        <v>37018</v>
      </c>
      <c r="O422" s="51">
        <v>15103</v>
      </c>
      <c r="P422" s="51">
        <v>15222</v>
      </c>
      <c r="Q422" s="51">
        <v>14410</v>
      </c>
      <c r="R422" s="51">
        <v>14493</v>
      </c>
      <c r="S422" s="51">
        <v>14493</v>
      </c>
      <c r="T422" s="51">
        <v>0</v>
      </c>
      <c r="U422" s="53">
        <f t="shared" si="26"/>
        <v>-3.9753528125621163E-2</v>
      </c>
    </row>
    <row r="423" spans="14:21" x14ac:dyDescent="0.2">
      <c r="N423" s="52">
        <v>37025</v>
      </c>
      <c r="O423" s="51">
        <v>14499</v>
      </c>
      <c r="P423" s="51">
        <v>15095</v>
      </c>
      <c r="Q423" s="51">
        <v>14104</v>
      </c>
      <c r="R423" s="51">
        <v>14884</v>
      </c>
      <c r="S423" s="51">
        <v>14884</v>
      </c>
      <c r="T423" s="51">
        <v>0</v>
      </c>
      <c r="U423" s="53">
        <f t="shared" si="26"/>
        <v>2.6978541364796715E-2</v>
      </c>
    </row>
    <row r="424" spans="14:21" x14ac:dyDescent="0.2">
      <c r="N424" s="52">
        <v>37032</v>
      </c>
      <c r="O424" s="51">
        <v>14871</v>
      </c>
      <c r="P424" s="51">
        <v>15197</v>
      </c>
      <c r="Q424" s="51">
        <v>14179</v>
      </c>
      <c r="R424" s="51">
        <v>14310</v>
      </c>
      <c r="S424" s="51">
        <v>14310</v>
      </c>
      <c r="T424" s="51">
        <v>0</v>
      </c>
      <c r="U424" s="53">
        <f t="shared" si="26"/>
        <v>-3.8564901908089255E-2</v>
      </c>
    </row>
    <row r="425" spans="14:21" x14ac:dyDescent="0.2">
      <c r="N425" s="52">
        <v>37039</v>
      </c>
      <c r="O425" s="51">
        <v>14328</v>
      </c>
      <c r="P425" s="51">
        <v>14792</v>
      </c>
      <c r="Q425" s="51">
        <v>14056</v>
      </c>
      <c r="R425" s="51">
        <v>14792</v>
      </c>
      <c r="S425" s="51">
        <v>14792</v>
      </c>
      <c r="T425" s="51">
        <v>0</v>
      </c>
      <c r="U425" s="53">
        <f t="shared" si="26"/>
        <v>3.3682739343116719E-2</v>
      </c>
    </row>
    <row r="426" spans="14:21" x14ac:dyDescent="0.2">
      <c r="N426" s="52">
        <v>37046</v>
      </c>
      <c r="O426" s="51">
        <v>14798</v>
      </c>
      <c r="P426" s="51">
        <v>15644</v>
      </c>
      <c r="Q426" s="51">
        <v>14798</v>
      </c>
      <c r="R426" s="51">
        <v>15366</v>
      </c>
      <c r="S426" s="51">
        <v>15366</v>
      </c>
      <c r="T426" s="51">
        <v>0</v>
      </c>
      <c r="U426" s="53">
        <f t="shared" si="26"/>
        <v>3.8804759329367222E-2</v>
      </c>
    </row>
    <row r="427" spans="14:21" x14ac:dyDescent="0.2">
      <c r="N427" s="52">
        <v>37053</v>
      </c>
      <c r="O427" s="51">
        <v>15291</v>
      </c>
      <c r="P427" s="51">
        <v>15600</v>
      </c>
      <c r="Q427" s="51">
        <v>14956</v>
      </c>
      <c r="R427" s="51">
        <v>14985</v>
      </c>
      <c r="S427" s="51">
        <v>14985</v>
      </c>
      <c r="T427" s="51">
        <v>0</v>
      </c>
      <c r="U427" s="53">
        <f t="shared" si="26"/>
        <v>-2.4795001952362394E-2</v>
      </c>
    </row>
    <row r="428" spans="14:21" x14ac:dyDescent="0.2">
      <c r="N428" s="52">
        <v>37060</v>
      </c>
      <c r="O428" s="51">
        <v>14982</v>
      </c>
      <c r="P428" s="51">
        <v>15104</v>
      </c>
      <c r="Q428" s="51">
        <v>14245</v>
      </c>
      <c r="R428" s="51">
        <v>14682</v>
      </c>
      <c r="S428" s="51">
        <v>14682</v>
      </c>
      <c r="T428" s="51">
        <v>0</v>
      </c>
      <c r="U428" s="53">
        <f t="shared" si="26"/>
        <v>-2.0220220220220186E-2</v>
      </c>
    </row>
    <row r="429" spans="14:21" x14ac:dyDescent="0.2">
      <c r="N429" s="52">
        <v>37067</v>
      </c>
      <c r="O429" s="51">
        <v>14682</v>
      </c>
      <c r="P429" s="51">
        <v>14871</v>
      </c>
      <c r="Q429" s="51">
        <v>14164</v>
      </c>
      <c r="R429" s="51">
        <v>14560</v>
      </c>
      <c r="S429" s="51">
        <v>14560</v>
      </c>
      <c r="T429" s="51">
        <v>0</v>
      </c>
      <c r="U429" s="53">
        <f t="shared" si="26"/>
        <v>-8.3094946192616703E-3</v>
      </c>
    </row>
    <row r="430" spans="14:21" x14ac:dyDescent="0.2">
      <c r="N430" s="52">
        <v>37074</v>
      </c>
      <c r="O430" s="51">
        <v>14579</v>
      </c>
      <c r="P430" s="51">
        <v>14771</v>
      </c>
      <c r="Q430" s="51">
        <v>13788</v>
      </c>
      <c r="R430" s="51">
        <v>13907</v>
      </c>
      <c r="S430" s="51">
        <v>13907</v>
      </c>
      <c r="T430" s="51">
        <v>0</v>
      </c>
      <c r="U430" s="53">
        <f t="shared" si="26"/>
        <v>-4.4848901098901051E-2</v>
      </c>
    </row>
    <row r="431" spans="14:21" x14ac:dyDescent="0.2">
      <c r="N431" s="52">
        <v>37081</v>
      </c>
      <c r="O431" s="51">
        <v>13930</v>
      </c>
      <c r="P431" s="51">
        <v>14087</v>
      </c>
      <c r="Q431" s="51">
        <v>13361</v>
      </c>
      <c r="R431" s="51">
        <v>14078</v>
      </c>
      <c r="S431" s="51">
        <v>14078</v>
      </c>
      <c r="T431" s="51">
        <v>0</v>
      </c>
      <c r="U431" s="53">
        <f t="shared" si="26"/>
        <v>1.2295966060257513E-2</v>
      </c>
    </row>
    <row r="432" spans="14:21" x14ac:dyDescent="0.2">
      <c r="N432" s="52">
        <v>37088</v>
      </c>
      <c r="O432" s="51">
        <v>14081</v>
      </c>
      <c r="P432" s="51">
        <v>14236</v>
      </c>
      <c r="Q432" s="51">
        <v>13641</v>
      </c>
      <c r="R432" s="51">
        <v>14092</v>
      </c>
      <c r="S432" s="51">
        <v>14092</v>
      </c>
      <c r="T432" s="51">
        <v>0</v>
      </c>
      <c r="U432" s="53">
        <f t="shared" si="26"/>
        <v>9.9445944026133049E-4</v>
      </c>
    </row>
    <row r="433" spans="14:21" x14ac:dyDescent="0.2">
      <c r="N433" s="52">
        <v>37095</v>
      </c>
      <c r="O433" s="51">
        <v>14108</v>
      </c>
      <c r="P433" s="51">
        <v>14239</v>
      </c>
      <c r="Q433" s="51">
        <v>13679</v>
      </c>
      <c r="R433" s="51">
        <v>13910</v>
      </c>
      <c r="S433" s="51">
        <v>13910</v>
      </c>
      <c r="T433" s="51">
        <v>0</v>
      </c>
      <c r="U433" s="53">
        <f t="shared" si="26"/>
        <v>-1.291512915129156E-2</v>
      </c>
    </row>
    <row r="434" spans="14:21" x14ac:dyDescent="0.2">
      <c r="N434" s="52">
        <v>37102</v>
      </c>
      <c r="O434" s="51">
        <v>13948</v>
      </c>
      <c r="P434" s="51">
        <v>14117</v>
      </c>
      <c r="Q434" s="51">
        <v>13606</v>
      </c>
      <c r="R434" s="51">
        <v>13838</v>
      </c>
      <c r="S434" s="51">
        <v>13838</v>
      </c>
      <c r="T434" s="51">
        <v>0</v>
      </c>
      <c r="U434" s="53">
        <f t="shared" si="26"/>
        <v>-5.1761322789359854E-3</v>
      </c>
    </row>
    <row r="435" spans="14:21" x14ac:dyDescent="0.2">
      <c r="N435" s="52">
        <v>37109</v>
      </c>
      <c r="O435" s="51">
        <v>13856</v>
      </c>
      <c r="P435" s="51">
        <v>14143</v>
      </c>
      <c r="Q435" s="51">
        <v>13705</v>
      </c>
      <c r="R435" s="51">
        <v>13915</v>
      </c>
      <c r="S435" s="51">
        <v>13915</v>
      </c>
      <c r="T435" s="51">
        <v>0</v>
      </c>
      <c r="U435" s="53">
        <f t="shared" si="26"/>
        <v>5.56438791732905E-3</v>
      </c>
    </row>
    <row r="436" spans="14:21" x14ac:dyDescent="0.2">
      <c r="N436" s="52">
        <v>37116</v>
      </c>
      <c r="O436" s="51">
        <v>13914</v>
      </c>
      <c r="P436" s="51">
        <v>13929</v>
      </c>
      <c r="Q436" s="51">
        <v>13010</v>
      </c>
      <c r="R436" s="51">
        <v>13044</v>
      </c>
      <c r="S436" s="51">
        <v>13044</v>
      </c>
      <c r="T436" s="51">
        <v>0</v>
      </c>
      <c r="U436" s="53">
        <f t="shared" si="26"/>
        <v>-6.2594322673374059E-2</v>
      </c>
    </row>
    <row r="437" spans="14:21" x14ac:dyDescent="0.2">
      <c r="N437" s="52">
        <v>37123</v>
      </c>
      <c r="O437" s="51">
        <v>13044</v>
      </c>
      <c r="P437" s="51">
        <v>13228</v>
      </c>
      <c r="Q437" s="51">
        <v>12681</v>
      </c>
      <c r="R437" s="51">
        <v>13001</v>
      </c>
      <c r="S437" s="51">
        <v>13001</v>
      </c>
      <c r="T437" s="51">
        <v>0</v>
      </c>
      <c r="U437" s="53">
        <f t="shared" si="26"/>
        <v>-3.2965348052744758E-3</v>
      </c>
    </row>
    <row r="438" spans="14:21" x14ac:dyDescent="0.2">
      <c r="N438" s="52">
        <v>37130</v>
      </c>
      <c r="O438" s="51">
        <v>13000</v>
      </c>
      <c r="P438" s="51">
        <v>13182</v>
      </c>
      <c r="Q438" s="51">
        <v>12789</v>
      </c>
      <c r="R438" s="51">
        <v>12841</v>
      </c>
      <c r="S438" s="51">
        <v>12841</v>
      </c>
      <c r="T438" s="51">
        <v>0</v>
      </c>
      <c r="U438" s="53">
        <f t="shared" si="26"/>
        <v>-1.2306745634951155E-2</v>
      </c>
    </row>
    <row r="439" spans="14:21" x14ac:dyDescent="0.2">
      <c r="N439" s="52">
        <v>37137</v>
      </c>
      <c r="O439" s="51">
        <v>12849</v>
      </c>
      <c r="P439" s="51">
        <v>12947</v>
      </c>
      <c r="Q439" s="51">
        <v>12251</v>
      </c>
      <c r="R439" s="51">
        <v>12255</v>
      </c>
      <c r="S439" s="51">
        <v>12255</v>
      </c>
      <c r="T439" s="51">
        <v>0</v>
      </c>
      <c r="U439" s="53">
        <f t="shared" si="26"/>
        <v>-4.5635075149910498E-2</v>
      </c>
    </row>
    <row r="440" spans="14:21" x14ac:dyDescent="0.2">
      <c r="N440" s="52">
        <v>37144</v>
      </c>
      <c r="O440" s="51">
        <v>12238</v>
      </c>
      <c r="P440" s="51">
        <v>12238</v>
      </c>
      <c r="Q440" s="51">
        <v>9533</v>
      </c>
      <c r="R440" s="51">
        <v>10034</v>
      </c>
      <c r="S440" s="51">
        <v>10034</v>
      </c>
      <c r="T440" s="51">
        <v>0</v>
      </c>
      <c r="U440" s="53">
        <f t="shared" si="26"/>
        <v>-0.18123215014279881</v>
      </c>
    </row>
    <row r="441" spans="14:21" x14ac:dyDescent="0.2">
      <c r="N441" s="52">
        <v>37151</v>
      </c>
      <c r="O441" s="51">
        <v>10032</v>
      </c>
      <c r="P441" s="51">
        <v>10836</v>
      </c>
      <c r="Q441" s="51">
        <v>9890</v>
      </c>
      <c r="R441" s="51">
        <v>10419</v>
      </c>
      <c r="S441" s="51">
        <v>10419</v>
      </c>
      <c r="T441" s="51">
        <v>0</v>
      </c>
      <c r="U441" s="53">
        <f t="shared" si="26"/>
        <v>3.8369543551923568E-2</v>
      </c>
    </row>
    <row r="442" spans="14:21" x14ac:dyDescent="0.2">
      <c r="N442" s="52">
        <v>37158</v>
      </c>
      <c r="O442" s="51">
        <v>10453</v>
      </c>
      <c r="P442" s="51">
        <v>10714</v>
      </c>
      <c r="Q442" s="51">
        <v>9705</v>
      </c>
      <c r="R442" s="51">
        <v>10636</v>
      </c>
      <c r="S442" s="51">
        <v>10636</v>
      </c>
      <c r="T442" s="51">
        <v>0</v>
      </c>
      <c r="U442" s="53">
        <f t="shared" si="26"/>
        <v>2.0827334677032239E-2</v>
      </c>
    </row>
    <row r="443" spans="14:21" x14ac:dyDescent="0.2">
      <c r="N443" s="52">
        <v>37165</v>
      </c>
      <c r="O443" s="51">
        <v>10633</v>
      </c>
      <c r="P443" s="51">
        <v>10633</v>
      </c>
      <c r="Q443" s="51">
        <v>9985</v>
      </c>
      <c r="R443" s="51">
        <v>10197</v>
      </c>
      <c r="S443" s="51">
        <v>10197</v>
      </c>
      <c r="T443" s="51">
        <v>0</v>
      </c>
      <c r="U443" s="53">
        <f t="shared" si="26"/>
        <v>-4.1274915381722455E-2</v>
      </c>
    </row>
    <row r="444" spans="14:21" x14ac:dyDescent="0.2">
      <c r="N444" s="52">
        <v>37172</v>
      </c>
      <c r="O444" s="51">
        <v>10120</v>
      </c>
      <c r="P444" s="51">
        <v>10790</v>
      </c>
      <c r="Q444" s="51">
        <v>9986</v>
      </c>
      <c r="R444" s="51">
        <v>10785</v>
      </c>
      <c r="S444" s="51">
        <v>10785</v>
      </c>
      <c r="T444" s="51">
        <v>0</v>
      </c>
      <c r="U444" s="53">
        <f t="shared" si="26"/>
        <v>5.7664018829067354E-2</v>
      </c>
    </row>
    <row r="445" spans="14:21" x14ac:dyDescent="0.2">
      <c r="N445" s="52">
        <v>37179</v>
      </c>
      <c r="O445" s="51">
        <v>10775</v>
      </c>
      <c r="P445" s="51">
        <v>11485</v>
      </c>
      <c r="Q445" s="51">
        <v>10695</v>
      </c>
      <c r="R445" s="51">
        <v>11332</v>
      </c>
      <c r="S445" s="51">
        <v>11332</v>
      </c>
      <c r="T445" s="51">
        <v>0</v>
      </c>
      <c r="U445" s="53">
        <f t="shared" si="26"/>
        <v>5.0718590635141503E-2</v>
      </c>
    </row>
    <row r="446" spans="14:21" x14ac:dyDescent="0.2">
      <c r="N446" s="52">
        <v>37186</v>
      </c>
      <c r="O446" s="51">
        <v>11343</v>
      </c>
      <c r="P446" s="51">
        <v>11924</v>
      </c>
      <c r="Q446" s="51">
        <v>11293</v>
      </c>
      <c r="R446" s="51">
        <v>11781</v>
      </c>
      <c r="S446" s="51">
        <v>11781</v>
      </c>
      <c r="T446" s="51">
        <v>0</v>
      </c>
      <c r="U446" s="53">
        <f t="shared" si="26"/>
        <v>3.9622308506883197E-2</v>
      </c>
    </row>
    <row r="447" spans="14:21" x14ac:dyDescent="0.2">
      <c r="N447" s="52">
        <v>37193</v>
      </c>
      <c r="O447" s="51">
        <v>11784</v>
      </c>
      <c r="P447" s="51">
        <v>11784</v>
      </c>
      <c r="Q447" s="51">
        <v>11024</v>
      </c>
      <c r="R447" s="51">
        <v>11388</v>
      </c>
      <c r="S447" s="51">
        <v>11388</v>
      </c>
      <c r="T447" s="51">
        <v>0</v>
      </c>
      <c r="U447" s="53">
        <f t="shared" si="26"/>
        <v>-3.3358798064680451E-2</v>
      </c>
    </row>
    <row r="448" spans="14:21" x14ac:dyDescent="0.2">
      <c r="N448" s="52">
        <v>37200</v>
      </c>
      <c r="O448" s="51">
        <v>11389</v>
      </c>
      <c r="P448" s="51">
        <v>12982</v>
      </c>
      <c r="Q448" s="51">
        <v>11389</v>
      </c>
      <c r="R448" s="51">
        <v>12731</v>
      </c>
      <c r="S448" s="51">
        <v>12731</v>
      </c>
      <c r="T448" s="51">
        <v>0</v>
      </c>
      <c r="U448" s="53">
        <f t="shared" si="26"/>
        <v>0.11793115560238854</v>
      </c>
    </row>
    <row r="449" spans="14:21" x14ac:dyDescent="0.2">
      <c r="N449" s="52">
        <v>37207</v>
      </c>
      <c r="O449" s="51">
        <v>12729</v>
      </c>
      <c r="P449" s="51">
        <v>13094</v>
      </c>
      <c r="Q449" s="51">
        <v>12233</v>
      </c>
      <c r="R449" s="51">
        <v>12883</v>
      </c>
      <c r="S449" s="51">
        <v>12883</v>
      </c>
      <c r="T449" s="51">
        <v>0</v>
      </c>
      <c r="U449" s="53">
        <f t="shared" si="26"/>
        <v>1.1939360615819572E-2</v>
      </c>
    </row>
    <row r="450" spans="14:21" x14ac:dyDescent="0.2">
      <c r="N450" s="52">
        <v>37214</v>
      </c>
      <c r="O450" s="51">
        <v>12906</v>
      </c>
      <c r="P450" s="51">
        <v>13529</v>
      </c>
      <c r="Q450" s="51">
        <v>12560</v>
      </c>
      <c r="R450" s="51">
        <v>13424</v>
      </c>
      <c r="S450" s="51">
        <v>13424</v>
      </c>
      <c r="T450" s="51">
        <v>0</v>
      </c>
      <c r="U450" s="53">
        <f t="shared" si="26"/>
        <v>4.1993324536210519E-2</v>
      </c>
    </row>
    <row r="451" spans="14:21" x14ac:dyDescent="0.2">
      <c r="N451" s="52">
        <v>37221</v>
      </c>
      <c r="O451" s="51">
        <v>13443</v>
      </c>
      <c r="P451" s="51">
        <v>13791</v>
      </c>
      <c r="Q451" s="51">
        <v>12622</v>
      </c>
      <c r="R451" s="51">
        <v>12932</v>
      </c>
      <c r="S451" s="51">
        <v>12932</v>
      </c>
      <c r="T451" s="51">
        <v>0</v>
      </c>
      <c r="U451" s="53">
        <f t="shared" si="26"/>
        <v>-3.6650774731823654E-2</v>
      </c>
    </row>
    <row r="452" spans="14:21" x14ac:dyDescent="0.2">
      <c r="N452" s="52">
        <v>37228</v>
      </c>
      <c r="O452" s="51">
        <v>12914</v>
      </c>
      <c r="P452" s="51">
        <v>13662</v>
      </c>
      <c r="Q452" s="51">
        <v>12870</v>
      </c>
      <c r="R452" s="51">
        <v>13299</v>
      </c>
      <c r="S452" s="51">
        <v>13299</v>
      </c>
      <c r="T452" s="51">
        <v>0</v>
      </c>
      <c r="U452" s="53">
        <f t="shared" si="26"/>
        <v>2.8379214351994975E-2</v>
      </c>
    </row>
    <row r="453" spans="14:21" x14ac:dyDescent="0.2">
      <c r="N453" s="52">
        <v>37235</v>
      </c>
      <c r="O453" s="51">
        <v>13299</v>
      </c>
      <c r="P453" s="51">
        <v>13595</v>
      </c>
      <c r="Q453" s="51">
        <v>12894</v>
      </c>
      <c r="R453" s="51">
        <v>12959</v>
      </c>
      <c r="S453" s="51">
        <v>12959</v>
      </c>
      <c r="T453" s="51">
        <v>0</v>
      </c>
      <c r="U453" s="53">
        <f t="shared" ref="U453:U516" si="27">S453/S452-1</f>
        <v>-2.5565832017444889E-2</v>
      </c>
    </row>
    <row r="454" spans="14:21" x14ac:dyDescent="0.2">
      <c r="N454" s="52">
        <v>37242</v>
      </c>
      <c r="O454" s="51">
        <v>12965</v>
      </c>
      <c r="P454" s="51">
        <v>13508</v>
      </c>
      <c r="Q454" s="51">
        <v>12809</v>
      </c>
      <c r="R454" s="51">
        <v>13369</v>
      </c>
      <c r="S454" s="51">
        <v>13369</v>
      </c>
      <c r="T454" s="51">
        <v>0</v>
      </c>
      <c r="U454" s="53">
        <f t="shared" si="27"/>
        <v>3.163824369164292E-2</v>
      </c>
    </row>
    <row r="455" spans="14:21" x14ac:dyDescent="0.2">
      <c r="N455" s="52">
        <v>37249</v>
      </c>
      <c r="O455" s="51">
        <v>13367</v>
      </c>
      <c r="P455" s="51">
        <v>13969</v>
      </c>
      <c r="Q455" s="51">
        <v>13245</v>
      </c>
      <c r="R455" s="51">
        <v>13578</v>
      </c>
      <c r="S455" s="51">
        <v>13578</v>
      </c>
      <c r="T455" s="51">
        <v>0</v>
      </c>
      <c r="U455" s="53">
        <f t="shared" si="27"/>
        <v>1.5633181240182425E-2</v>
      </c>
    </row>
    <row r="456" spans="14:21" x14ac:dyDescent="0.2">
      <c r="N456" s="52">
        <v>37256</v>
      </c>
      <c r="O456" s="51">
        <v>13586</v>
      </c>
      <c r="P456" s="51">
        <v>14358</v>
      </c>
      <c r="Q456" s="51">
        <v>13571</v>
      </c>
      <c r="R456" s="51">
        <v>14332</v>
      </c>
      <c r="S456" s="51">
        <v>14332</v>
      </c>
      <c r="T456" s="51">
        <v>0</v>
      </c>
      <c r="U456" s="53">
        <f t="shared" si="27"/>
        <v>5.553100603918093E-2</v>
      </c>
    </row>
    <row r="457" spans="14:21" x14ac:dyDescent="0.2">
      <c r="N457" s="52">
        <v>37263</v>
      </c>
      <c r="O457" s="51">
        <v>14327</v>
      </c>
      <c r="P457" s="51">
        <v>14413</v>
      </c>
      <c r="Q457" s="51">
        <v>13511</v>
      </c>
      <c r="R457" s="51">
        <v>13587</v>
      </c>
      <c r="S457" s="51">
        <v>13587</v>
      </c>
      <c r="T457" s="51">
        <v>0</v>
      </c>
      <c r="U457" s="53">
        <f t="shared" si="27"/>
        <v>-5.1981579681830814E-2</v>
      </c>
    </row>
    <row r="458" spans="14:21" x14ac:dyDescent="0.2">
      <c r="N458" s="52">
        <v>37270</v>
      </c>
      <c r="O458" s="51">
        <v>13594</v>
      </c>
      <c r="P458" s="51">
        <v>13601</v>
      </c>
      <c r="Q458" s="51">
        <v>12937</v>
      </c>
      <c r="R458" s="51">
        <v>13373</v>
      </c>
      <c r="S458" s="51">
        <v>13373</v>
      </c>
      <c r="T458" s="51">
        <v>0</v>
      </c>
      <c r="U458" s="53">
        <f t="shared" si="27"/>
        <v>-1.575034959888133E-2</v>
      </c>
    </row>
    <row r="459" spans="14:21" x14ac:dyDescent="0.2">
      <c r="N459" s="52">
        <v>37277</v>
      </c>
      <c r="O459" s="51">
        <v>13367</v>
      </c>
      <c r="P459" s="51">
        <v>13367</v>
      </c>
      <c r="Q459" s="51">
        <v>12956</v>
      </c>
      <c r="R459" s="51">
        <v>13162</v>
      </c>
      <c r="S459" s="51">
        <v>13162</v>
      </c>
      <c r="T459" s="51">
        <v>0</v>
      </c>
      <c r="U459" s="53">
        <f t="shared" si="27"/>
        <v>-1.5778060270694727E-2</v>
      </c>
    </row>
    <row r="460" spans="14:21" x14ac:dyDescent="0.2">
      <c r="N460" s="52">
        <v>37284</v>
      </c>
      <c r="O460" s="51">
        <v>13161</v>
      </c>
      <c r="P460" s="51">
        <v>13215</v>
      </c>
      <c r="Q460" s="51">
        <v>12301</v>
      </c>
      <c r="R460" s="51">
        <v>12659</v>
      </c>
      <c r="S460" s="51">
        <v>12659</v>
      </c>
      <c r="T460" s="51">
        <v>0</v>
      </c>
      <c r="U460" s="53">
        <f t="shared" si="27"/>
        <v>-3.8216076584105751E-2</v>
      </c>
    </row>
    <row r="461" spans="14:21" x14ac:dyDescent="0.2">
      <c r="N461" s="52">
        <v>37291</v>
      </c>
      <c r="O461" s="51">
        <v>12648</v>
      </c>
      <c r="P461" s="51">
        <v>12883</v>
      </c>
      <c r="Q461" s="51">
        <v>12415</v>
      </c>
      <c r="R461" s="51">
        <v>12598</v>
      </c>
      <c r="S461" s="51">
        <v>12598</v>
      </c>
      <c r="T461" s="51">
        <v>0</v>
      </c>
      <c r="U461" s="53">
        <f t="shared" si="27"/>
        <v>-4.818706058930422E-3</v>
      </c>
    </row>
    <row r="462" spans="14:21" x14ac:dyDescent="0.2">
      <c r="N462" s="52">
        <v>37298</v>
      </c>
      <c r="O462" s="51">
        <v>12599</v>
      </c>
      <c r="P462" s="51">
        <v>13300</v>
      </c>
      <c r="Q462" s="51">
        <v>12504</v>
      </c>
      <c r="R462" s="51">
        <v>13300</v>
      </c>
      <c r="S462" s="51">
        <v>13300</v>
      </c>
      <c r="T462" s="51">
        <v>0</v>
      </c>
      <c r="U462" s="53">
        <f t="shared" si="27"/>
        <v>5.5723130655659592E-2</v>
      </c>
    </row>
    <row r="463" spans="14:21" x14ac:dyDescent="0.2">
      <c r="N463" s="52">
        <v>37305</v>
      </c>
      <c r="O463" s="51">
        <v>13208</v>
      </c>
      <c r="P463" s="51">
        <v>13677</v>
      </c>
      <c r="Q463" s="51">
        <v>12919</v>
      </c>
      <c r="R463" s="51">
        <v>13563</v>
      </c>
      <c r="S463" s="51">
        <v>13563</v>
      </c>
      <c r="T463" s="51">
        <v>0</v>
      </c>
      <c r="U463" s="53">
        <f t="shared" si="27"/>
        <v>1.9774436090225667E-2</v>
      </c>
    </row>
    <row r="464" spans="14:21" x14ac:dyDescent="0.2">
      <c r="N464" s="52">
        <v>37312</v>
      </c>
      <c r="O464" s="51">
        <v>13567</v>
      </c>
      <c r="P464" s="51">
        <v>14355</v>
      </c>
      <c r="Q464" s="51">
        <v>13567</v>
      </c>
      <c r="R464" s="51">
        <v>14343</v>
      </c>
      <c r="S464" s="51">
        <v>14343</v>
      </c>
      <c r="T464" s="51">
        <v>0</v>
      </c>
      <c r="U464" s="53">
        <f t="shared" si="27"/>
        <v>5.7509400575094016E-2</v>
      </c>
    </row>
    <row r="465" spans="14:21" x14ac:dyDescent="0.2">
      <c r="N465" s="52">
        <v>37319</v>
      </c>
      <c r="O465" s="51">
        <v>14373</v>
      </c>
      <c r="P465" s="51">
        <v>14482</v>
      </c>
      <c r="Q465" s="51">
        <v>13640</v>
      </c>
      <c r="R465" s="51">
        <v>13962</v>
      </c>
      <c r="S465" s="51">
        <v>13962</v>
      </c>
      <c r="T465" s="51">
        <v>0</v>
      </c>
      <c r="U465" s="53">
        <f t="shared" si="27"/>
        <v>-2.6563480443421827E-2</v>
      </c>
    </row>
    <row r="466" spans="14:21" x14ac:dyDescent="0.2">
      <c r="N466" s="52">
        <v>37326</v>
      </c>
      <c r="O466" s="51">
        <v>13959</v>
      </c>
      <c r="P466" s="51">
        <v>14370</v>
      </c>
      <c r="Q466" s="51">
        <v>13593</v>
      </c>
      <c r="R466" s="51">
        <v>14365</v>
      </c>
      <c r="S466" s="51">
        <v>14365</v>
      </c>
      <c r="T466" s="51">
        <v>0</v>
      </c>
      <c r="U466" s="53">
        <f t="shared" si="27"/>
        <v>2.8864059590316682E-2</v>
      </c>
    </row>
    <row r="467" spans="14:21" x14ac:dyDescent="0.2">
      <c r="N467" s="52">
        <v>37333</v>
      </c>
      <c r="O467" s="51">
        <v>14366</v>
      </c>
      <c r="P467" s="51">
        <v>14495</v>
      </c>
      <c r="Q467" s="51">
        <v>13283</v>
      </c>
      <c r="R467" s="51">
        <v>13312</v>
      </c>
      <c r="S467" s="51">
        <v>13312</v>
      </c>
      <c r="T467" s="51">
        <v>0</v>
      </c>
      <c r="U467" s="53">
        <f t="shared" si="27"/>
        <v>-7.3303167420814441E-2</v>
      </c>
    </row>
    <row r="468" spans="14:21" x14ac:dyDescent="0.2">
      <c r="N468" s="52">
        <v>37340</v>
      </c>
      <c r="O468" s="51">
        <v>13359</v>
      </c>
      <c r="P468" s="51">
        <v>13579</v>
      </c>
      <c r="Q468" s="51">
        <v>13183</v>
      </c>
      <c r="R468" s="51">
        <v>13255</v>
      </c>
      <c r="S468" s="51">
        <v>13255</v>
      </c>
      <c r="T468" s="51">
        <v>0</v>
      </c>
      <c r="U468" s="53">
        <f t="shared" si="27"/>
        <v>-4.2818509615384359E-3</v>
      </c>
    </row>
    <row r="469" spans="14:21" x14ac:dyDescent="0.2">
      <c r="N469" s="52">
        <v>37347</v>
      </c>
      <c r="O469" s="51">
        <v>13256</v>
      </c>
      <c r="P469" s="51">
        <v>13535</v>
      </c>
      <c r="Q469" s="51">
        <v>13041</v>
      </c>
      <c r="R469" s="51">
        <v>13276</v>
      </c>
      <c r="S469" s="51">
        <v>13276</v>
      </c>
      <c r="T469" s="51">
        <v>0</v>
      </c>
      <c r="U469" s="53">
        <f t="shared" si="27"/>
        <v>1.5843078083741524E-3</v>
      </c>
    </row>
    <row r="470" spans="14:21" x14ac:dyDescent="0.2">
      <c r="N470" s="52">
        <v>37354</v>
      </c>
      <c r="O470" s="51">
        <v>13248</v>
      </c>
      <c r="P470" s="51">
        <v>13764</v>
      </c>
      <c r="Q470" s="51">
        <v>13114</v>
      </c>
      <c r="R470" s="51">
        <v>13751</v>
      </c>
      <c r="S470" s="51">
        <v>13751</v>
      </c>
      <c r="T470" s="51">
        <v>0</v>
      </c>
      <c r="U470" s="53">
        <f t="shared" si="27"/>
        <v>3.5778849050918993E-2</v>
      </c>
    </row>
    <row r="471" spans="14:21" x14ac:dyDescent="0.2">
      <c r="N471" s="52">
        <v>37361</v>
      </c>
      <c r="O471" s="51">
        <v>13772</v>
      </c>
      <c r="P471" s="51">
        <v>13872</v>
      </c>
      <c r="Q471" s="51">
        <v>13438</v>
      </c>
      <c r="R471" s="51">
        <v>13478</v>
      </c>
      <c r="S471" s="51">
        <v>13478</v>
      </c>
      <c r="T471" s="51">
        <v>0</v>
      </c>
      <c r="U471" s="53">
        <f t="shared" si="27"/>
        <v>-1.9853101592611444E-2</v>
      </c>
    </row>
    <row r="472" spans="14:21" x14ac:dyDescent="0.2">
      <c r="N472" s="52">
        <v>37368</v>
      </c>
      <c r="O472" s="51">
        <v>13484</v>
      </c>
      <c r="P472" s="51">
        <v>13485</v>
      </c>
      <c r="Q472" s="51">
        <v>13037</v>
      </c>
      <c r="R472" s="51">
        <v>13076</v>
      </c>
      <c r="S472" s="51">
        <v>13076</v>
      </c>
      <c r="T472" s="51">
        <v>0</v>
      </c>
      <c r="U472" s="53">
        <f t="shared" si="27"/>
        <v>-2.9826383736459405E-2</v>
      </c>
    </row>
    <row r="473" spans="14:21" x14ac:dyDescent="0.2">
      <c r="N473" s="52">
        <v>37375</v>
      </c>
      <c r="O473" s="51">
        <v>13076</v>
      </c>
      <c r="P473" s="51">
        <v>13267</v>
      </c>
      <c r="Q473" s="51">
        <v>12431</v>
      </c>
      <c r="R473" s="51">
        <v>12610</v>
      </c>
      <c r="S473" s="51">
        <v>12610</v>
      </c>
      <c r="T473" s="51">
        <v>0</v>
      </c>
      <c r="U473" s="53">
        <f t="shared" si="27"/>
        <v>-3.563780972774544E-2</v>
      </c>
    </row>
    <row r="474" spans="14:21" x14ac:dyDescent="0.2">
      <c r="N474" s="52">
        <v>37382</v>
      </c>
      <c r="O474" s="51">
        <v>12594</v>
      </c>
      <c r="P474" s="51">
        <v>12664</v>
      </c>
      <c r="Q474" s="51">
        <v>11944</v>
      </c>
      <c r="R474" s="51">
        <v>12130</v>
      </c>
      <c r="S474" s="51">
        <v>12130</v>
      </c>
      <c r="T474" s="51">
        <v>0</v>
      </c>
      <c r="U474" s="53">
        <f t="shared" si="27"/>
        <v>-3.8065027755749381E-2</v>
      </c>
    </row>
    <row r="475" spans="14:21" x14ac:dyDescent="0.2">
      <c r="N475" s="52">
        <v>37389</v>
      </c>
      <c r="O475" s="51">
        <v>12147</v>
      </c>
      <c r="P475" s="51">
        <v>12739</v>
      </c>
      <c r="Q475" s="51">
        <v>11943</v>
      </c>
      <c r="R475" s="51">
        <v>12699</v>
      </c>
      <c r="S475" s="51">
        <v>12699</v>
      </c>
      <c r="T475" s="51">
        <v>0</v>
      </c>
      <c r="U475" s="53">
        <f t="shared" si="27"/>
        <v>4.6908491343775838E-2</v>
      </c>
    </row>
    <row r="476" spans="14:21" x14ac:dyDescent="0.2">
      <c r="N476" s="52">
        <v>37396</v>
      </c>
      <c r="O476" s="51">
        <v>12700</v>
      </c>
      <c r="P476" s="51">
        <v>12845</v>
      </c>
      <c r="Q476" s="51">
        <v>12244</v>
      </c>
      <c r="R476" s="51">
        <v>12574</v>
      </c>
      <c r="S476" s="51">
        <v>12574</v>
      </c>
      <c r="T476" s="51">
        <v>0</v>
      </c>
      <c r="U476" s="53">
        <f t="shared" si="27"/>
        <v>-9.8432947476179145E-3</v>
      </c>
    </row>
    <row r="477" spans="14:21" x14ac:dyDescent="0.2">
      <c r="N477" s="52">
        <v>37403</v>
      </c>
      <c r="O477" s="51">
        <v>12578</v>
      </c>
      <c r="P477" s="51">
        <v>13013</v>
      </c>
      <c r="Q477" s="51">
        <v>12528</v>
      </c>
      <c r="R477" s="51">
        <v>12861</v>
      </c>
      <c r="S477" s="51">
        <v>12861</v>
      </c>
      <c r="T477" s="51">
        <v>0</v>
      </c>
      <c r="U477" s="53">
        <f t="shared" si="27"/>
        <v>2.2824876729759858E-2</v>
      </c>
    </row>
    <row r="478" spans="14:21" x14ac:dyDescent="0.2">
      <c r="N478" s="52">
        <v>37410</v>
      </c>
      <c r="O478" s="51">
        <v>12859</v>
      </c>
      <c r="P478" s="51">
        <v>12919</v>
      </c>
      <c r="Q478" s="51">
        <v>11955</v>
      </c>
      <c r="R478" s="51">
        <v>12283</v>
      </c>
      <c r="S478" s="51">
        <v>12283</v>
      </c>
      <c r="T478" s="51">
        <v>0</v>
      </c>
      <c r="U478" s="53">
        <f t="shared" si="27"/>
        <v>-4.494207293367547E-2</v>
      </c>
    </row>
    <row r="479" spans="14:21" x14ac:dyDescent="0.2">
      <c r="N479" s="52">
        <v>37417</v>
      </c>
      <c r="O479" s="51">
        <v>12306</v>
      </c>
      <c r="P479" s="51">
        <v>12686</v>
      </c>
      <c r="Q479" s="51">
        <v>11601</v>
      </c>
      <c r="R479" s="51">
        <v>11699</v>
      </c>
      <c r="S479" s="51">
        <v>11699</v>
      </c>
      <c r="T479" s="51">
        <v>0</v>
      </c>
      <c r="U479" s="53">
        <f t="shared" si="27"/>
        <v>-4.7545387934543659E-2</v>
      </c>
    </row>
    <row r="480" spans="14:21" x14ac:dyDescent="0.2">
      <c r="N480" s="52">
        <v>37424</v>
      </c>
      <c r="O480" s="51">
        <v>11705</v>
      </c>
      <c r="P480" s="51">
        <v>12116</v>
      </c>
      <c r="Q480" s="51">
        <v>10298</v>
      </c>
      <c r="R480" s="51">
        <v>10398</v>
      </c>
      <c r="S480" s="51">
        <v>10398</v>
      </c>
      <c r="T480" s="51">
        <v>0</v>
      </c>
      <c r="U480" s="53">
        <f t="shared" si="27"/>
        <v>-0.11120608599025561</v>
      </c>
    </row>
    <row r="481" spans="14:21" x14ac:dyDescent="0.2">
      <c r="N481" s="52">
        <v>37431</v>
      </c>
      <c r="O481" s="51">
        <v>10438</v>
      </c>
      <c r="P481" s="51">
        <v>11271</v>
      </c>
      <c r="Q481" s="51">
        <v>10247</v>
      </c>
      <c r="R481" s="51">
        <v>11139</v>
      </c>
      <c r="S481" s="51">
        <v>11139</v>
      </c>
      <c r="T481" s="51">
        <v>0</v>
      </c>
      <c r="U481" s="53">
        <f t="shared" si="27"/>
        <v>7.1263704558568897E-2</v>
      </c>
    </row>
    <row r="482" spans="14:21" x14ac:dyDescent="0.2">
      <c r="N482" s="52">
        <v>37438</v>
      </c>
      <c r="O482" s="51">
        <v>11138</v>
      </c>
      <c r="P482" s="51">
        <v>11173</v>
      </c>
      <c r="Q482" s="51">
        <v>10425</v>
      </c>
      <c r="R482" s="51">
        <v>10524</v>
      </c>
      <c r="S482" s="51">
        <v>10524</v>
      </c>
      <c r="T482" s="51">
        <v>294019200</v>
      </c>
      <c r="U482" s="53">
        <f t="shared" si="27"/>
        <v>-5.5211419337462986E-2</v>
      </c>
    </row>
    <row r="483" spans="14:21" x14ac:dyDescent="0.2">
      <c r="N483" s="52">
        <v>37445</v>
      </c>
      <c r="O483" s="51">
        <v>10524</v>
      </c>
      <c r="P483" s="51">
        <v>10968</v>
      </c>
      <c r="Q483" s="51">
        <v>10213</v>
      </c>
      <c r="R483" s="51">
        <v>10967</v>
      </c>
      <c r="S483" s="51">
        <v>10967</v>
      </c>
      <c r="T483" s="51">
        <v>0</v>
      </c>
      <c r="U483" s="53">
        <f t="shared" si="27"/>
        <v>4.2094260737362221E-2</v>
      </c>
    </row>
    <row r="484" spans="14:21" x14ac:dyDescent="0.2">
      <c r="N484" s="52">
        <v>37452</v>
      </c>
      <c r="O484" s="51">
        <v>10966</v>
      </c>
      <c r="P484" s="51">
        <v>10969</v>
      </c>
      <c r="Q484" s="51">
        <v>10474</v>
      </c>
      <c r="R484" s="51">
        <v>10583</v>
      </c>
      <c r="S484" s="51">
        <v>10583</v>
      </c>
      <c r="T484" s="51">
        <v>0</v>
      </c>
      <c r="U484" s="53">
        <f t="shared" si="27"/>
        <v>-3.5014133309017925E-2</v>
      </c>
    </row>
    <row r="485" spans="14:21" x14ac:dyDescent="0.2">
      <c r="N485" s="52">
        <v>37459</v>
      </c>
      <c r="O485" s="51">
        <v>10568</v>
      </c>
      <c r="P485" s="51">
        <v>10568</v>
      </c>
      <c r="Q485" s="51">
        <v>9155</v>
      </c>
      <c r="R485" s="51">
        <v>9217</v>
      </c>
      <c r="S485" s="51">
        <v>9217</v>
      </c>
      <c r="T485" s="51">
        <v>0</v>
      </c>
      <c r="U485" s="53">
        <f t="shared" si="27"/>
        <v>-0.12907493149390536</v>
      </c>
    </row>
    <row r="486" spans="14:21" x14ac:dyDescent="0.2">
      <c r="N486" s="52">
        <v>37466</v>
      </c>
      <c r="O486" s="51">
        <v>9251</v>
      </c>
      <c r="P486" s="51">
        <v>9943</v>
      </c>
      <c r="Q486" s="51">
        <v>9188</v>
      </c>
      <c r="R486" s="51">
        <v>9852</v>
      </c>
      <c r="S486" s="51">
        <v>9852</v>
      </c>
      <c r="T486" s="51">
        <v>0</v>
      </c>
      <c r="U486" s="53">
        <f t="shared" si="27"/>
        <v>6.8894434197678267E-2</v>
      </c>
    </row>
    <row r="487" spans="14:21" x14ac:dyDescent="0.2">
      <c r="N487" s="52">
        <v>37473</v>
      </c>
      <c r="O487" s="51">
        <v>9848</v>
      </c>
      <c r="P487" s="51">
        <v>10763</v>
      </c>
      <c r="Q487" s="51">
        <v>9452</v>
      </c>
      <c r="R487" s="51">
        <v>9986</v>
      </c>
      <c r="S487" s="51">
        <v>9986</v>
      </c>
      <c r="T487" s="51">
        <v>0</v>
      </c>
      <c r="U487" s="53">
        <f t="shared" si="27"/>
        <v>1.3601299228582997E-2</v>
      </c>
    </row>
    <row r="488" spans="14:21" x14ac:dyDescent="0.2">
      <c r="N488" s="52">
        <v>37480</v>
      </c>
      <c r="O488" s="51">
        <v>10008</v>
      </c>
      <c r="P488" s="51">
        <v>10009</v>
      </c>
      <c r="Q488" s="51">
        <v>9017</v>
      </c>
      <c r="R488" s="51">
        <v>9526</v>
      </c>
      <c r="S488" s="51">
        <v>9526</v>
      </c>
      <c r="T488" s="51">
        <v>0</v>
      </c>
      <c r="U488" s="53">
        <f t="shared" si="27"/>
        <v>-4.6064490286400916E-2</v>
      </c>
    </row>
    <row r="489" spans="14:21" x14ac:dyDescent="0.2">
      <c r="N489" s="52">
        <v>37487</v>
      </c>
      <c r="O489" s="51">
        <v>9512</v>
      </c>
      <c r="P489" s="51">
        <v>9761</v>
      </c>
      <c r="Q489" s="51">
        <v>9258</v>
      </c>
      <c r="R489" s="51">
        <v>9676</v>
      </c>
      <c r="S489" s="51">
        <v>9676</v>
      </c>
      <c r="T489" s="51">
        <v>0</v>
      </c>
      <c r="U489" s="53">
        <f t="shared" si="27"/>
        <v>1.5746378332983424E-2</v>
      </c>
    </row>
    <row r="490" spans="14:21" x14ac:dyDescent="0.2">
      <c r="N490" s="52">
        <v>37494</v>
      </c>
      <c r="O490" s="51">
        <v>9690</v>
      </c>
      <c r="P490" s="51">
        <v>10604</v>
      </c>
      <c r="Q490" s="51">
        <v>9689</v>
      </c>
      <c r="R490" s="51">
        <v>10382</v>
      </c>
      <c r="S490" s="51">
        <v>10382</v>
      </c>
      <c r="T490" s="51">
        <v>0</v>
      </c>
      <c r="U490" s="53">
        <f t="shared" si="27"/>
        <v>7.2964034725093052E-2</v>
      </c>
    </row>
    <row r="491" spans="14:21" x14ac:dyDescent="0.2">
      <c r="N491" s="52">
        <v>37501</v>
      </c>
      <c r="O491" s="51">
        <v>10383</v>
      </c>
      <c r="P491" s="51">
        <v>10477</v>
      </c>
      <c r="Q491" s="51">
        <v>9643</v>
      </c>
      <c r="R491" s="51">
        <v>9717</v>
      </c>
      <c r="S491" s="51">
        <v>9717</v>
      </c>
      <c r="T491" s="51">
        <v>0</v>
      </c>
      <c r="U491" s="53">
        <f t="shared" si="27"/>
        <v>-6.4053168946253125E-2</v>
      </c>
    </row>
    <row r="492" spans="14:21" x14ac:dyDescent="0.2">
      <c r="N492" s="52">
        <v>37508</v>
      </c>
      <c r="O492" s="51">
        <v>9725</v>
      </c>
      <c r="P492" s="51">
        <v>10248</v>
      </c>
      <c r="Q492" s="51">
        <v>9716</v>
      </c>
      <c r="R492" s="51">
        <v>10181</v>
      </c>
      <c r="S492" s="51">
        <v>10181</v>
      </c>
      <c r="T492" s="51">
        <v>0</v>
      </c>
      <c r="U492" s="53">
        <f t="shared" si="27"/>
        <v>4.7751363589585205E-2</v>
      </c>
    </row>
    <row r="493" spans="14:21" x14ac:dyDescent="0.2">
      <c r="N493" s="52">
        <v>37515</v>
      </c>
      <c r="O493" s="51">
        <v>10171</v>
      </c>
      <c r="P493" s="51">
        <v>10172</v>
      </c>
      <c r="Q493" s="51">
        <v>9353</v>
      </c>
      <c r="R493" s="51">
        <v>9585</v>
      </c>
      <c r="S493" s="51">
        <v>9585</v>
      </c>
      <c r="T493" s="51">
        <v>0</v>
      </c>
      <c r="U493" s="53">
        <f t="shared" si="27"/>
        <v>-5.8540418426480723E-2</v>
      </c>
    </row>
    <row r="494" spans="14:21" x14ac:dyDescent="0.2">
      <c r="N494" s="52">
        <v>37522</v>
      </c>
      <c r="O494" s="51">
        <v>9575</v>
      </c>
      <c r="P494" s="51">
        <v>9575</v>
      </c>
      <c r="Q494" s="51">
        <v>8703</v>
      </c>
      <c r="R494" s="51">
        <v>8716</v>
      </c>
      <c r="S494" s="51">
        <v>8716</v>
      </c>
      <c r="T494" s="51">
        <v>0</v>
      </c>
      <c r="U494" s="53">
        <f t="shared" si="27"/>
        <v>-9.0662493479394923E-2</v>
      </c>
    </row>
    <row r="495" spans="14:21" x14ac:dyDescent="0.2">
      <c r="N495" s="52">
        <v>37529</v>
      </c>
      <c r="O495" s="51">
        <v>8718</v>
      </c>
      <c r="P495" s="51">
        <v>9319</v>
      </c>
      <c r="Q495" s="51">
        <v>8352</v>
      </c>
      <c r="R495" s="51">
        <v>9260</v>
      </c>
      <c r="S495" s="51">
        <v>9260</v>
      </c>
      <c r="T495" s="51">
        <v>0</v>
      </c>
      <c r="U495" s="53">
        <f t="shared" si="27"/>
        <v>6.2413951353831987E-2</v>
      </c>
    </row>
    <row r="496" spans="14:21" x14ac:dyDescent="0.2">
      <c r="N496" s="52">
        <v>37536</v>
      </c>
      <c r="O496" s="51">
        <v>9268</v>
      </c>
      <c r="P496" s="51">
        <v>9291</v>
      </c>
      <c r="Q496" s="51">
        <v>8604</v>
      </c>
      <c r="R496" s="51">
        <v>8855</v>
      </c>
      <c r="S496" s="51">
        <v>8855</v>
      </c>
      <c r="T496" s="51">
        <v>0</v>
      </c>
      <c r="U496" s="53">
        <f t="shared" si="27"/>
        <v>-4.3736501079913559E-2</v>
      </c>
    </row>
    <row r="497" spans="14:21" x14ac:dyDescent="0.2">
      <c r="N497" s="52">
        <v>37543</v>
      </c>
      <c r="O497" s="51">
        <v>8853</v>
      </c>
      <c r="P497" s="51">
        <v>9081</v>
      </c>
      <c r="Q497" s="51">
        <v>8225</v>
      </c>
      <c r="R497" s="51">
        <v>9022</v>
      </c>
      <c r="S497" s="51">
        <v>9022</v>
      </c>
      <c r="T497" s="51">
        <v>0</v>
      </c>
      <c r="U497" s="53">
        <f t="shared" si="27"/>
        <v>1.885940146809717E-2</v>
      </c>
    </row>
    <row r="498" spans="14:21" x14ac:dyDescent="0.2">
      <c r="N498" s="52">
        <v>37550</v>
      </c>
      <c r="O498" s="51">
        <v>9022</v>
      </c>
      <c r="P498" s="51">
        <v>10598</v>
      </c>
      <c r="Q498" s="51">
        <v>8979</v>
      </c>
      <c r="R498" s="51">
        <v>10015</v>
      </c>
      <c r="S498" s="51">
        <v>10015</v>
      </c>
      <c r="T498" s="51">
        <v>0</v>
      </c>
      <c r="U498" s="53">
        <f t="shared" si="27"/>
        <v>0.11006428729771667</v>
      </c>
    </row>
    <row r="499" spans="14:21" x14ac:dyDescent="0.2">
      <c r="N499" s="52">
        <v>37557</v>
      </c>
      <c r="O499" s="51">
        <v>10022</v>
      </c>
      <c r="P499" s="51">
        <v>10266</v>
      </c>
      <c r="Q499" s="51">
        <v>9439</v>
      </c>
      <c r="R499" s="51">
        <v>10140</v>
      </c>
      <c r="S499" s="51">
        <v>10140</v>
      </c>
      <c r="T499" s="51">
        <v>0</v>
      </c>
      <c r="U499" s="53">
        <f t="shared" si="27"/>
        <v>1.248127808287558E-2</v>
      </c>
    </row>
    <row r="500" spans="14:21" x14ac:dyDescent="0.2">
      <c r="N500" s="52">
        <v>37564</v>
      </c>
      <c r="O500" s="51">
        <v>10147</v>
      </c>
      <c r="P500" s="51">
        <v>10378</v>
      </c>
      <c r="Q500" s="51">
        <v>9583</v>
      </c>
      <c r="R500" s="51">
        <v>9860</v>
      </c>
      <c r="S500" s="51">
        <v>9860</v>
      </c>
      <c r="T500" s="51">
        <v>0</v>
      </c>
      <c r="U500" s="53">
        <f t="shared" si="27"/>
        <v>-2.7613412228796874E-2</v>
      </c>
    </row>
    <row r="501" spans="14:21" x14ac:dyDescent="0.2">
      <c r="N501" s="52">
        <v>37571</v>
      </c>
      <c r="O501" s="51">
        <v>9873</v>
      </c>
      <c r="P501" s="51">
        <v>9977</v>
      </c>
      <c r="Q501" s="51">
        <v>9569</v>
      </c>
      <c r="R501" s="51">
        <v>9884</v>
      </c>
      <c r="S501" s="51">
        <v>9884</v>
      </c>
      <c r="T501" s="51">
        <v>0</v>
      </c>
      <c r="U501" s="53">
        <f t="shared" si="27"/>
        <v>2.4340770791075883E-3</v>
      </c>
    </row>
    <row r="502" spans="14:21" x14ac:dyDescent="0.2">
      <c r="N502" s="52">
        <v>37578</v>
      </c>
      <c r="O502" s="51">
        <v>9910</v>
      </c>
      <c r="P502" s="51">
        <v>10433</v>
      </c>
      <c r="Q502" s="51">
        <v>9839</v>
      </c>
      <c r="R502" s="51">
        <v>10404</v>
      </c>
      <c r="S502" s="51">
        <v>10404</v>
      </c>
      <c r="T502" s="51">
        <v>0</v>
      </c>
      <c r="U502" s="53">
        <f t="shared" si="27"/>
        <v>5.2610279239174496E-2</v>
      </c>
    </row>
    <row r="503" spans="14:21" x14ac:dyDescent="0.2">
      <c r="N503" s="52">
        <v>37585</v>
      </c>
      <c r="O503" s="51">
        <v>10407</v>
      </c>
      <c r="P503" s="51">
        <v>10519</v>
      </c>
      <c r="Q503" s="51">
        <v>10084</v>
      </c>
      <c r="R503" s="51">
        <v>10509</v>
      </c>
      <c r="S503" s="51">
        <v>10509</v>
      </c>
      <c r="T503" s="51">
        <v>0</v>
      </c>
      <c r="U503" s="53">
        <f t="shared" si="27"/>
        <v>1.0092272202998798E-2</v>
      </c>
    </row>
    <row r="504" spans="14:21" x14ac:dyDescent="0.2">
      <c r="N504" s="52">
        <v>37592</v>
      </c>
      <c r="O504" s="51">
        <v>10517</v>
      </c>
      <c r="P504" s="51">
        <v>10735</v>
      </c>
      <c r="Q504" s="51">
        <v>10346</v>
      </c>
      <c r="R504" s="51">
        <v>10569</v>
      </c>
      <c r="S504" s="51">
        <v>10569</v>
      </c>
      <c r="T504" s="51">
        <v>0</v>
      </c>
      <c r="U504" s="53">
        <f t="shared" si="27"/>
        <v>5.7093919497572809E-3</v>
      </c>
    </row>
    <row r="505" spans="14:21" x14ac:dyDescent="0.2">
      <c r="N505" s="52">
        <v>37599</v>
      </c>
      <c r="O505" s="51">
        <v>10562</v>
      </c>
      <c r="P505" s="51">
        <v>10743</v>
      </c>
      <c r="Q505" s="51">
        <v>10307</v>
      </c>
      <c r="R505" s="51">
        <v>10564</v>
      </c>
      <c r="S505" s="51">
        <v>10564</v>
      </c>
      <c r="T505" s="51">
        <v>0</v>
      </c>
      <c r="U505" s="53">
        <f t="shared" si="27"/>
        <v>-4.7308165389348122E-4</v>
      </c>
    </row>
    <row r="506" spans="14:21" x14ac:dyDescent="0.2">
      <c r="N506" s="52">
        <v>37606</v>
      </c>
      <c r="O506" s="51">
        <v>10620</v>
      </c>
      <c r="P506" s="51">
        <v>11606</v>
      </c>
      <c r="Q506" s="51">
        <v>10526</v>
      </c>
      <c r="R506" s="51">
        <v>11490</v>
      </c>
      <c r="S506" s="51">
        <v>11490</v>
      </c>
      <c r="T506" s="51">
        <v>0</v>
      </c>
      <c r="U506" s="53">
        <f t="shared" si="27"/>
        <v>8.7656190836804315E-2</v>
      </c>
    </row>
    <row r="507" spans="14:21" x14ac:dyDescent="0.2">
      <c r="N507" s="52">
        <v>37613</v>
      </c>
      <c r="O507" s="51">
        <v>11493</v>
      </c>
      <c r="P507" s="51">
        <v>11648</v>
      </c>
      <c r="Q507" s="51">
        <v>11207</v>
      </c>
      <c r="R507" s="51">
        <v>11234</v>
      </c>
      <c r="S507" s="51">
        <v>11234</v>
      </c>
      <c r="T507" s="51">
        <v>0</v>
      </c>
      <c r="U507" s="53">
        <f t="shared" si="27"/>
        <v>-2.2280243690165347E-2</v>
      </c>
    </row>
    <row r="508" spans="14:21" x14ac:dyDescent="0.2">
      <c r="N508" s="52">
        <v>37620</v>
      </c>
      <c r="O508" s="51">
        <v>11235</v>
      </c>
      <c r="P508" s="51">
        <v>11798</v>
      </c>
      <c r="Q508" s="51">
        <v>11212</v>
      </c>
      <c r="R508" s="51">
        <v>11600</v>
      </c>
      <c r="S508" s="51">
        <v>11600</v>
      </c>
      <c r="T508" s="51">
        <v>0</v>
      </c>
      <c r="U508" s="53">
        <f t="shared" si="27"/>
        <v>3.2579668862382061E-2</v>
      </c>
    </row>
    <row r="509" spans="14:21" x14ac:dyDescent="0.2">
      <c r="N509" s="52">
        <v>37627</v>
      </c>
      <c r="O509" s="51">
        <v>11636</v>
      </c>
      <c r="P509" s="51">
        <v>12243</v>
      </c>
      <c r="Q509" s="51">
        <v>11633</v>
      </c>
      <c r="R509" s="51">
        <v>12243</v>
      </c>
      <c r="S509" s="51">
        <v>12243</v>
      </c>
      <c r="T509" s="51">
        <v>0</v>
      </c>
      <c r="U509" s="53">
        <f t="shared" si="27"/>
        <v>5.5431034482758657E-2</v>
      </c>
    </row>
    <row r="510" spans="14:21" x14ac:dyDescent="0.2">
      <c r="N510" s="52">
        <v>37634</v>
      </c>
      <c r="O510" s="51">
        <v>12243</v>
      </c>
      <c r="P510" s="51">
        <v>12350</v>
      </c>
      <c r="Q510" s="51">
        <v>11555</v>
      </c>
      <c r="R510" s="51">
        <v>11676</v>
      </c>
      <c r="S510" s="51">
        <v>11676</v>
      </c>
      <c r="T510" s="51">
        <v>0</v>
      </c>
      <c r="U510" s="53">
        <f t="shared" si="27"/>
        <v>-4.6312178387650116E-2</v>
      </c>
    </row>
    <row r="511" spans="14:21" x14ac:dyDescent="0.2">
      <c r="N511" s="52">
        <v>37641</v>
      </c>
      <c r="O511" s="51">
        <v>11675</v>
      </c>
      <c r="P511" s="51">
        <v>11742</v>
      </c>
      <c r="Q511" s="51">
        <v>10753</v>
      </c>
      <c r="R511" s="51">
        <v>10784</v>
      </c>
      <c r="S511" s="51">
        <v>10784</v>
      </c>
      <c r="T511" s="51">
        <v>0</v>
      </c>
      <c r="U511" s="53">
        <f t="shared" si="27"/>
        <v>-7.6396026036313791E-2</v>
      </c>
    </row>
    <row r="512" spans="14:21" x14ac:dyDescent="0.2">
      <c r="N512" s="52">
        <v>37648</v>
      </c>
      <c r="O512" s="51">
        <v>10768</v>
      </c>
      <c r="P512" s="51">
        <v>11004</v>
      </c>
      <c r="Q512" s="51">
        <v>10457</v>
      </c>
      <c r="R512" s="51">
        <v>10941</v>
      </c>
      <c r="S512" s="51">
        <v>10941</v>
      </c>
      <c r="T512" s="51">
        <v>0</v>
      </c>
      <c r="U512" s="53">
        <f t="shared" si="27"/>
        <v>1.4558605341246311E-2</v>
      </c>
    </row>
    <row r="513" spans="14:21" x14ac:dyDescent="0.2">
      <c r="N513" s="52">
        <v>37655</v>
      </c>
      <c r="O513" s="51">
        <v>10943</v>
      </c>
      <c r="P513" s="51">
        <v>11067</v>
      </c>
      <c r="Q513" s="51">
        <v>10355</v>
      </c>
      <c r="R513" s="51">
        <v>10381</v>
      </c>
      <c r="S513" s="51">
        <v>10381</v>
      </c>
      <c r="T513" s="51">
        <v>0</v>
      </c>
      <c r="U513" s="53">
        <f t="shared" si="27"/>
        <v>-5.1183621241202792E-2</v>
      </c>
    </row>
    <row r="514" spans="14:21" x14ac:dyDescent="0.2">
      <c r="N514" s="52">
        <v>37662</v>
      </c>
      <c r="O514" s="51">
        <v>10388</v>
      </c>
      <c r="P514" s="51">
        <v>10650</v>
      </c>
      <c r="Q514" s="51">
        <v>9968</v>
      </c>
      <c r="R514" s="51">
        <v>10081</v>
      </c>
      <c r="S514" s="51">
        <v>10081</v>
      </c>
      <c r="T514" s="51">
        <v>0</v>
      </c>
      <c r="U514" s="53">
        <f t="shared" si="27"/>
        <v>-2.8898950004816459E-2</v>
      </c>
    </row>
    <row r="515" spans="14:21" x14ac:dyDescent="0.2">
      <c r="N515" s="52">
        <v>37669</v>
      </c>
      <c r="O515" s="51">
        <v>10089</v>
      </c>
      <c r="P515" s="51">
        <v>10466</v>
      </c>
      <c r="Q515" s="51">
        <v>10089</v>
      </c>
      <c r="R515" s="51">
        <v>10331</v>
      </c>
      <c r="S515" s="51">
        <v>10331</v>
      </c>
      <c r="T515" s="51">
        <v>0</v>
      </c>
      <c r="U515" s="53">
        <f t="shared" si="27"/>
        <v>2.4799127070727067E-2</v>
      </c>
    </row>
    <row r="516" spans="14:21" x14ac:dyDescent="0.2">
      <c r="N516" s="52">
        <v>37676</v>
      </c>
      <c r="O516" s="51">
        <v>10334</v>
      </c>
      <c r="P516" s="51">
        <v>10454</v>
      </c>
      <c r="Q516" s="51">
        <v>9977</v>
      </c>
      <c r="R516" s="51">
        <v>10281</v>
      </c>
      <c r="S516" s="51">
        <v>10281</v>
      </c>
      <c r="T516" s="51">
        <v>0</v>
      </c>
      <c r="U516" s="53">
        <f t="shared" si="27"/>
        <v>-4.8398025360565367E-3</v>
      </c>
    </row>
    <row r="517" spans="14:21" x14ac:dyDescent="0.2">
      <c r="N517" s="52">
        <v>37683</v>
      </c>
      <c r="O517" s="51">
        <v>10263</v>
      </c>
      <c r="P517" s="51">
        <v>10800</v>
      </c>
      <c r="Q517" s="51">
        <v>10104</v>
      </c>
      <c r="R517" s="51">
        <v>10724</v>
      </c>
      <c r="S517" s="51">
        <v>10724</v>
      </c>
      <c r="T517" s="51">
        <v>0</v>
      </c>
      <c r="U517" s="53">
        <f t="shared" ref="U517:U580" si="28">S517/S516-1</f>
        <v>4.3089193658204517E-2</v>
      </c>
    </row>
    <row r="518" spans="14:21" x14ac:dyDescent="0.2">
      <c r="N518" s="52">
        <v>37690</v>
      </c>
      <c r="O518" s="51">
        <v>10695</v>
      </c>
      <c r="P518" s="51">
        <v>10924</v>
      </c>
      <c r="Q518" s="51">
        <v>10199</v>
      </c>
      <c r="R518" s="51">
        <v>10817</v>
      </c>
      <c r="S518" s="51">
        <v>10817</v>
      </c>
      <c r="T518" s="51">
        <v>0</v>
      </c>
      <c r="U518" s="53">
        <f t="shared" si="28"/>
        <v>8.6721372622156068E-3</v>
      </c>
    </row>
    <row r="519" spans="14:21" x14ac:dyDescent="0.2">
      <c r="N519" s="52">
        <v>37697</v>
      </c>
      <c r="O519" s="51">
        <v>10783</v>
      </c>
      <c r="P519" s="51">
        <v>11413</v>
      </c>
      <c r="Q519" s="51">
        <v>10609</v>
      </c>
      <c r="R519" s="51">
        <v>11377</v>
      </c>
      <c r="S519" s="51">
        <v>11377</v>
      </c>
      <c r="T519" s="51">
        <v>0</v>
      </c>
      <c r="U519" s="53">
        <f t="shared" si="28"/>
        <v>5.1770361468059578E-2</v>
      </c>
    </row>
    <row r="520" spans="14:21" x14ac:dyDescent="0.2">
      <c r="N520" s="52">
        <v>37704</v>
      </c>
      <c r="O520" s="51">
        <v>11362</v>
      </c>
      <c r="P520" s="51">
        <v>11421</v>
      </c>
      <c r="Q520" s="51">
        <v>11024</v>
      </c>
      <c r="R520" s="51">
        <v>11396</v>
      </c>
      <c r="S520" s="51">
        <v>11396</v>
      </c>
      <c r="T520" s="51">
        <v>0</v>
      </c>
      <c r="U520" s="53">
        <f t="shared" si="28"/>
        <v>1.6700360376198375E-3</v>
      </c>
    </row>
    <row r="521" spans="14:21" x14ac:dyDescent="0.2">
      <c r="N521" s="52">
        <v>37711</v>
      </c>
      <c r="O521" s="51">
        <v>11387</v>
      </c>
      <c r="P521" s="51">
        <v>12135</v>
      </c>
      <c r="Q521" s="51">
        <v>11215</v>
      </c>
      <c r="R521" s="51">
        <v>12066</v>
      </c>
      <c r="S521" s="51">
        <v>12066</v>
      </c>
      <c r="T521" s="51">
        <v>0</v>
      </c>
      <c r="U521" s="53">
        <f t="shared" si="28"/>
        <v>5.8792558792558847E-2</v>
      </c>
    </row>
    <row r="522" spans="14:21" x14ac:dyDescent="0.2">
      <c r="N522" s="52">
        <v>37718</v>
      </c>
      <c r="O522" s="51">
        <v>12154</v>
      </c>
      <c r="P522" s="51">
        <v>12436</v>
      </c>
      <c r="Q522" s="51">
        <v>11578</v>
      </c>
      <c r="R522" s="51">
        <v>11719</v>
      </c>
      <c r="S522" s="51">
        <v>11719</v>
      </c>
      <c r="T522" s="51">
        <v>0</v>
      </c>
      <c r="U522" s="53">
        <f t="shared" si="28"/>
        <v>-2.8758494944472024E-2</v>
      </c>
    </row>
    <row r="523" spans="14:21" x14ac:dyDescent="0.2">
      <c r="N523" s="52">
        <v>37725</v>
      </c>
      <c r="O523" s="51">
        <v>11726</v>
      </c>
      <c r="P523" s="51">
        <v>12432</v>
      </c>
      <c r="Q523" s="51">
        <v>11719</v>
      </c>
      <c r="R523" s="51">
        <v>12395</v>
      </c>
      <c r="S523" s="51">
        <v>12395</v>
      </c>
      <c r="T523" s="51">
        <v>0</v>
      </c>
      <c r="U523" s="53">
        <f t="shared" si="28"/>
        <v>5.7684102739141485E-2</v>
      </c>
    </row>
    <row r="524" spans="14:21" x14ac:dyDescent="0.2">
      <c r="N524" s="52">
        <v>37732</v>
      </c>
      <c r="O524" s="51">
        <v>12393</v>
      </c>
      <c r="P524" s="51">
        <v>12502</v>
      </c>
      <c r="Q524" s="51">
        <v>12059</v>
      </c>
      <c r="R524" s="51">
        <v>12126</v>
      </c>
      <c r="S524" s="51">
        <v>12126</v>
      </c>
      <c r="T524" s="51">
        <v>0</v>
      </c>
      <c r="U524" s="53">
        <f t="shared" si="28"/>
        <v>-2.1702299314239615E-2</v>
      </c>
    </row>
    <row r="525" spans="14:21" x14ac:dyDescent="0.2">
      <c r="N525" s="52">
        <v>37739</v>
      </c>
      <c r="O525" s="51">
        <v>12128</v>
      </c>
      <c r="P525" s="51">
        <v>12866</v>
      </c>
      <c r="Q525" s="51">
        <v>12009</v>
      </c>
      <c r="R525" s="51">
        <v>12810</v>
      </c>
      <c r="S525" s="51">
        <v>12810</v>
      </c>
      <c r="T525" s="51">
        <v>0</v>
      </c>
      <c r="U525" s="53">
        <f t="shared" si="28"/>
        <v>5.6407718951014374E-2</v>
      </c>
    </row>
    <row r="526" spans="14:21" x14ac:dyDescent="0.2">
      <c r="N526" s="52">
        <v>37746</v>
      </c>
      <c r="O526" s="51">
        <v>12829</v>
      </c>
      <c r="P526" s="51">
        <v>13247</v>
      </c>
      <c r="Q526" s="51">
        <v>12608</v>
      </c>
      <c r="R526" s="51">
        <v>13214</v>
      </c>
      <c r="S526" s="51">
        <v>13214</v>
      </c>
      <c r="T526" s="51">
        <v>0</v>
      </c>
      <c r="U526" s="53">
        <f t="shared" si="28"/>
        <v>3.1537861046057714E-2</v>
      </c>
    </row>
    <row r="527" spans="14:21" x14ac:dyDescent="0.2">
      <c r="N527" s="52">
        <v>37753</v>
      </c>
      <c r="O527" s="51">
        <v>13206</v>
      </c>
      <c r="P527" s="51">
        <v>13565</v>
      </c>
      <c r="Q527" s="51">
        <v>12877</v>
      </c>
      <c r="R527" s="51">
        <v>13225</v>
      </c>
      <c r="S527" s="51">
        <v>13225</v>
      </c>
      <c r="T527" s="51">
        <v>0</v>
      </c>
      <c r="U527" s="53">
        <f t="shared" si="28"/>
        <v>8.3245043136059849E-4</v>
      </c>
    </row>
    <row r="528" spans="14:21" x14ac:dyDescent="0.2">
      <c r="N528" s="52">
        <v>37760</v>
      </c>
      <c r="O528" s="51">
        <v>13179</v>
      </c>
      <c r="P528" s="51">
        <v>13246</v>
      </c>
      <c r="Q528" s="51">
        <v>12576</v>
      </c>
      <c r="R528" s="51">
        <v>13143</v>
      </c>
      <c r="S528" s="51">
        <v>13143</v>
      </c>
      <c r="T528" s="51">
        <v>0</v>
      </c>
      <c r="U528" s="53">
        <f t="shared" si="28"/>
        <v>-6.200378071833601E-3</v>
      </c>
    </row>
    <row r="529" spans="14:21" x14ac:dyDescent="0.2">
      <c r="N529" s="52">
        <v>37767</v>
      </c>
      <c r="O529" s="51">
        <v>13149</v>
      </c>
      <c r="P529" s="51">
        <v>13541</v>
      </c>
      <c r="Q529" s="51">
        <v>12852</v>
      </c>
      <c r="R529" s="51">
        <v>13422</v>
      </c>
      <c r="S529" s="51">
        <v>13422</v>
      </c>
      <c r="T529" s="51">
        <v>0</v>
      </c>
      <c r="U529" s="53">
        <f t="shared" si="28"/>
        <v>2.1228030130107323E-2</v>
      </c>
    </row>
    <row r="530" spans="14:21" x14ac:dyDescent="0.2">
      <c r="N530" s="52">
        <v>37774</v>
      </c>
      <c r="O530" s="51">
        <v>13441</v>
      </c>
      <c r="P530" s="51">
        <v>14071</v>
      </c>
      <c r="Q530" s="51">
        <v>13106</v>
      </c>
      <c r="R530" s="51">
        <v>13923</v>
      </c>
      <c r="S530" s="51">
        <v>13923</v>
      </c>
      <c r="T530" s="51">
        <v>0</v>
      </c>
      <c r="U530" s="53">
        <f t="shared" si="28"/>
        <v>3.7326776933392924E-2</v>
      </c>
    </row>
    <row r="531" spans="14:21" x14ac:dyDescent="0.2">
      <c r="N531" s="52">
        <v>37781</v>
      </c>
      <c r="O531" s="51">
        <v>13926</v>
      </c>
      <c r="P531" s="51">
        <v>14072</v>
      </c>
      <c r="Q531" s="51">
        <v>13677</v>
      </c>
      <c r="R531" s="51">
        <v>13734</v>
      </c>
      <c r="S531" s="51">
        <v>13734</v>
      </c>
      <c r="T531" s="51">
        <v>0</v>
      </c>
      <c r="U531" s="53">
        <f t="shared" si="28"/>
        <v>-1.3574660633484115E-2</v>
      </c>
    </row>
    <row r="532" spans="14:21" x14ac:dyDescent="0.2">
      <c r="N532" s="52">
        <v>37788</v>
      </c>
      <c r="O532" s="51">
        <v>13737</v>
      </c>
      <c r="P532" s="51">
        <v>13973</v>
      </c>
      <c r="Q532" s="51">
        <v>13105</v>
      </c>
      <c r="R532" s="51">
        <v>13131</v>
      </c>
      <c r="S532" s="51">
        <v>13131</v>
      </c>
      <c r="T532" s="51">
        <v>0</v>
      </c>
      <c r="U532" s="53">
        <f t="shared" si="28"/>
        <v>-4.3905635648754937E-2</v>
      </c>
    </row>
    <row r="533" spans="14:21" x14ac:dyDescent="0.2">
      <c r="N533" s="52">
        <v>37795</v>
      </c>
      <c r="O533" s="51">
        <v>13132</v>
      </c>
      <c r="P533" s="51">
        <v>13286</v>
      </c>
      <c r="Q533" s="51">
        <v>12895</v>
      </c>
      <c r="R533" s="51">
        <v>13024</v>
      </c>
      <c r="S533" s="51">
        <v>13024</v>
      </c>
      <c r="T533" s="51">
        <v>0</v>
      </c>
      <c r="U533" s="53">
        <f t="shared" si="28"/>
        <v>-8.1486558525626362E-3</v>
      </c>
    </row>
    <row r="534" spans="14:21" x14ac:dyDescent="0.2">
      <c r="N534" s="52">
        <v>37802</v>
      </c>
      <c r="O534" s="51">
        <v>13027</v>
      </c>
      <c r="P534" s="51">
        <v>13376</v>
      </c>
      <c r="Q534" s="51">
        <v>12893</v>
      </c>
      <c r="R534" s="51">
        <v>13281</v>
      </c>
      <c r="S534" s="51">
        <v>13281</v>
      </c>
      <c r="T534" s="51">
        <v>0</v>
      </c>
      <c r="U534" s="53">
        <f t="shared" si="28"/>
        <v>1.9732800982801058E-2</v>
      </c>
    </row>
    <row r="535" spans="14:21" x14ac:dyDescent="0.2">
      <c r="N535" s="52">
        <v>37809</v>
      </c>
      <c r="O535" s="51">
        <v>13274</v>
      </c>
      <c r="P535" s="51">
        <v>13622</v>
      </c>
      <c r="Q535" s="51">
        <v>13273</v>
      </c>
      <c r="R535" s="51">
        <v>13321</v>
      </c>
      <c r="S535" s="51">
        <v>13321</v>
      </c>
      <c r="T535" s="51">
        <v>0</v>
      </c>
      <c r="U535" s="53">
        <f t="shared" si="28"/>
        <v>3.0118213989911435E-3</v>
      </c>
    </row>
    <row r="536" spans="14:21" x14ac:dyDescent="0.2">
      <c r="N536" s="52">
        <v>37816</v>
      </c>
      <c r="O536" s="51">
        <v>13322</v>
      </c>
      <c r="P536" s="51">
        <v>13809</v>
      </c>
      <c r="Q536" s="51">
        <v>13322</v>
      </c>
      <c r="R536" s="51">
        <v>13794</v>
      </c>
      <c r="S536" s="51">
        <v>13794</v>
      </c>
      <c r="T536" s="51">
        <v>0</v>
      </c>
      <c r="U536" s="53">
        <f t="shared" si="28"/>
        <v>3.5507844756399676E-2</v>
      </c>
    </row>
    <row r="537" spans="14:21" x14ac:dyDescent="0.2">
      <c r="N537" s="52">
        <v>37823</v>
      </c>
      <c r="O537" s="51">
        <v>13794</v>
      </c>
      <c r="P537" s="51">
        <v>13947</v>
      </c>
      <c r="Q537" s="51">
        <v>13661</v>
      </c>
      <c r="R537" s="51">
        <v>13750</v>
      </c>
      <c r="S537" s="51">
        <v>13750</v>
      </c>
      <c r="T537" s="51">
        <v>0</v>
      </c>
      <c r="U537" s="53">
        <f t="shared" si="28"/>
        <v>-3.1897926634768536E-3</v>
      </c>
    </row>
    <row r="538" spans="14:21" x14ac:dyDescent="0.2">
      <c r="N538" s="52">
        <v>37830</v>
      </c>
      <c r="O538" s="51">
        <v>13752</v>
      </c>
      <c r="P538" s="51">
        <v>13783</v>
      </c>
      <c r="Q538" s="51">
        <v>13130</v>
      </c>
      <c r="R538" s="51">
        <v>13130</v>
      </c>
      <c r="S538" s="51">
        <v>13130</v>
      </c>
      <c r="T538" s="51">
        <v>0</v>
      </c>
      <c r="U538" s="53">
        <f t="shared" si="28"/>
        <v>-4.509090909090907E-2</v>
      </c>
    </row>
    <row r="539" spans="14:21" x14ac:dyDescent="0.2">
      <c r="N539" s="52">
        <v>37837</v>
      </c>
      <c r="O539" s="51">
        <v>13128</v>
      </c>
      <c r="P539" s="51">
        <v>13513</v>
      </c>
      <c r="Q539" s="51">
        <v>12757</v>
      </c>
      <c r="R539" s="51">
        <v>13500</v>
      </c>
      <c r="S539" s="51">
        <v>13500</v>
      </c>
      <c r="T539" s="51">
        <v>0</v>
      </c>
      <c r="U539" s="53">
        <f t="shared" si="28"/>
        <v>2.8179741051028273E-2</v>
      </c>
    </row>
    <row r="540" spans="14:21" x14ac:dyDescent="0.2">
      <c r="N540" s="52">
        <v>37844</v>
      </c>
      <c r="O540" s="51">
        <v>13500</v>
      </c>
      <c r="P540" s="51">
        <v>13952</v>
      </c>
      <c r="Q540" s="51">
        <v>13442</v>
      </c>
      <c r="R540" s="51">
        <v>13890</v>
      </c>
      <c r="S540" s="51">
        <v>13890</v>
      </c>
      <c r="T540" s="51">
        <v>0</v>
      </c>
      <c r="U540" s="53">
        <f t="shared" si="28"/>
        <v>2.8888888888888964E-2</v>
      </c>
    </row>
    <row r="541" spans="14:21" x14ac:dyDescent="0.2">
      <c r="N541" s="52">
        <v>37851</v>
      </c>
      <c r="O541" s="51">
        <v>13900</v>
      </c>
      <c r="P541" s="51">
        <v>14765</v>
      </c>
      <c r="Q541" s="51">
        <v>13900</v>
      </c>
      <c r="R541" s="51">
        <v>14613</v>
      </c>
      <c r="S541" s="51">
        <v>14613</v>
      </c>
      <c r="T541" s="51">
        <v>0</v>
      </c>
      <c r="U541" s="53">
        <f t="shared" si="28"/>
        <v>5.2051835853131667E-2</v>
      </c>
    </row>
    <row r="542" spans="14:21" x14ac:dyDescent="0.2">
      <c r="N542" s="52">
        <v>37858</v>
      </c>
      <c r="O542" s="51">
        <v>14613</v>
      </c>
      <c r="P542" s="51">
        <v>15252</v>
      </c>
      <c r="Q542" s="51">
        <v>14425</v>
      </c>
      <c r="R542" s="51">
        <v>15174</v>
      </c>
      <c r="S542" s="51">
        <v>15174</v>
      </c>
      <c r="T542" s="51">
        <v>0</v>
      </c>
      <c r="U542" s="53">
        <f t="shared" si="28"/>
        <v>3.8390474235269867E-2</v>
      </c>
    </row>
    <row r="543" spans="14:21" x14ac:dyDescent="0.2">
      <c r="N543" s="52">
        <v>37865</v>
      </c>
      <c r="O543" s="51">
        <v>15174</v>
      </c>
      <c r="P543" s="51">
        <v>15951</v>
      </c>
      <c r="Q543" s="51">
        <v>15075</v>
      </c>
      <c r="R543" s="51">
        <v>15900</v>
      </c>
      <c r="S543" s="51">
        <v>15900</v>
      </c>
      <c r="T543" s="51">
        <v>0</v>
      </c>
      <c r="U543" s="53">
        <f t="shared" si="28"/>
        <v>4.7844998022934071E-2</v>
      </c>
    </row>
    <row r="544" spans="14:21" x14ac:dyDescent="0.2">
      <c r="N544" s="52">
        <v>37872</v>
      </c>
      <c r="O544" s="51">
        <v>15904</v>
      </c>
      <c r="P544" s="51">
        <v>16508</v>
      </c>
      <c r="Q544" s="51">
        <v>15492</v>
      </c>
      <c r="R544" s="51">
        <v>16421</v>
      </c>
      <c r="S544" s="51">
        <v>16421</v>
      </c>
      <c r="T544" s="51">
        <v>0</v>
      </c>
      <c r="U544" s="53">
        <f t="shared" si="28"/>
        <v>3.2767295597484258E-2</v>
      </c>
    </row>
    <row r="545" spans="14:22" x14ac:dyDescent="0.2">
      <c r="N545" s="52">
        <v>37879</v>
      </c>
      <c r="O545" s="51">
        <v>16423</v>
      </c>
      <c r="P545" s="51">
        <v>17104</v>
      </c>
      <c r="Q545" s="51">
        <v>16225</v>
      </c>
      <c r="R545" s="51">
        <v>16851</v>
      </c>
      <c r="S545" s="51">
        <v>16851</v>
      </c>
      <c r="T545" s="51">
        <v>0</v>
      </c>
      <c r="U545" s="53">
        <f t="shared" si="28"/>
        <v>2.6185981365324906E-2</v>
      </c>
    </row>
    <row r="546" spans="14:22" x14ac:dyDescent="0.2">
      <c r="N546" s="52">
        <v>37886</v>
      </c>
      <c r="O546" s="51">
        <v>16850</v>
      </c>
      <c r="P546" s="51">
        <v>16850</v>
      </c>
      <c r="Q546" s="51">
        <v>15773</v>
      </c>
      <c r="R546" s="51">
        <v>15811</v>
      </c>
      <c r="S546" s="51">
        <v>15811</v>
      </c>
      <c r="T546" s="51">
        <v>0</v>
      </c>
      <c r="U546" s="53">
        <f t="shared" si="28"/>
        <v>-6.1717405495222866E-2</v>
      </c>
    </row>
    <row r="547" spans="14:22" x14ac:dyDescent="0.2">
      <c r="N547" s="52">
        <v>37893</v>
      </c>
      <c r="O547" s="51">
        <v>15810</v>
      </c>
      <c r="P547" s="51">
        <v>17290</v>
      </c>
      <c r="Q547" s="51">
        <v>15768</v>
      </c>
      <c r="R547" s="51">
        <v>17089</v>
      </c>
      <c r="S547" s="51">
        <v>17089</v>
      </c>
      <c r="T547" s="51">
        <v>0</v>
      </c>
      <c r="U547" s="53">
        <f t="shared" si="28"/>
        <v>8.0829802036556764E-2</v>
      </c>
    </row>
    <row r="548" spans="14:22" x14ac:dyDescent="0.2">
      <c r="N548" s="52">
        <v>37900</v>
      </c>
      <c r="O548" s="51">
        <v>17090</v>
      </c>
      <c r="P548" s="51">
        <v>18060</v>
      </c>
      <c r="Q548" s="51">
        <v>17026</v>
      </c>
      <c r="R548" s="51">
        <v>17676</v>
      </c>
      <c r="S548" s="51">
        <v>17676</v>
      </c>
      <c r="T548" s="51">
        <v>0</v>
      </c>
      <c r="U548" s="53">
        <f t="shared" si="28"/>
        <v>3.4349581602200141E-2</v>
      </c>
    </row>
    <row r="549" spans="14:22" x14ac:dyDescent="0.2">
      <c r="N549" s="52">
        <v>37907</v>
      </c>
      <c r="O549" s="51">
        <v>17676</v>
      </c>
      <c r="P549" s="51">
        <v>18313</v>
      </c>
      <c r="Q549" s="51">
        <v>17676</v>
      </c>
      <c r="R549" s="51">
        <v>17791</v>
      </c>
      <c r="S549" s="51">
        <v>17791</v>
      </c>
      <c r="T549" s="51">
        <v>0</v>
      </c>
      <c r="U549" s="53">
        <f t="shared" si="28"/>
        <v>6.5059968318623707E-3</v>
      </c>
    </row>
    <row r="550" spans="14:22" x14ac:dyDescent="0.2">
      <c r="N550" s="52">
        <v>37914</v>
      </c>
      <c r="O550" s="51">
        <v>17791</v>
      </c>
      <c r="P550" s="51">
        <v>18660</v>
      </c>
      <c r="Q550" s="51">
        <v>17340</v>
      </c>
      <c r="R550" s="51">
        <v>17814</v>
      </c>
      <c r="S550" s="51">
        <v>17814</v>
      </c>
      <c r="T550" s="51">
        <v>0</v>
      </c>
      <c r="U550" s="53">
        <f t="shared" si="28"/>
        <v>1.2927884885616248E-3</v>
      </c>
    </row>
    <row r="551" spans="14:22" x14ac:dyDescent="0.2">
      <c r="N551" s="52">
        <v>37921</v>
      </c>
      <c r="O551" s="51">
        <v>17820</v>
      </c>
      <c r="P551" s="51">
        <v>18454</v>
      </c>
      <c r="Q551" s="51">
        <v>17664</v>
      </c>
      <c r="R551" s="51">
        <v>17982</v>
      </c>
      <c r="S551" s="51">
        <v>17982</v>
      </c>
      <c r="T551" s="51">
        <v>0</v>
      </c>
      <c r="U551" s="53">
        <f t="shared" si="28"/>
        <v>9.4307847760188857E-3</v>
      </c>
    </row>
    <row r="552" spans="14:22" x14ac:dyDescent="0.2">
      <c r="N552" s="52">
        <v>37928</v>
      </c>
      <c r="O552" s="51">
        <v>17983</v>
      </c>
      <c r="P552" s="51">
        <v>18907</v>
      </c>
      <c r="Q552" s="51">
        <v>17983</v>
      </c>
      <c r="R552" s="51">
        <v>18672</v>
      </c>
      <c r="S552" s="51">
        <v>18672</v>
      </c>
      <c r="T552" s="51">
        <v>0</v>
      </c>
      <c r="U552" s="53">
        <f t="shared" si="28"/>
        <v>3.8371705038371617E-2</v>
      </c>
    </row>
    <row r="553" spans="14:22" x14ac:dyDescent="0.2">
      <c r="N553" s="52">
        <v>37935</v>
      </c>
      <c r="O553" s="51">
        <v>18672</v>
      </c>
      <c r="P553" s="51">
        <v>19115</v>
      </c>
      <c r="Q553" s="51">
        <v>18261</v>
      </c>
      <c r="R553" s="51">
        <v>18986</v>
      </c>
      <c r="S553" s="51">
        <v>18986</v>
      </c>
      <c r="T553" s="51">
        <v>0</v>
      </c>
      <c r="U553" s="53">
        <f t="shared" si="28"/>
        <v>1.6816623821765297E-2</v>
      </c>
    </row>
    <row r="554" spans="14:22" x14ac:dyDescent="0.2">
      <c r="N554" s="52">
        <v>37942</v>
      </c>
      <c r="O554" s="51">
        <v>18985</v>
      </c>
      <c r="P554" s="51">
        <v>19376</v>
      </c>
      <c r="Q554" s="51">
        <v>18610</v>
      </c>
      <c r="R554" s="51">
        <v>19248</v>
      </c>
      <c r="S554" s="51">
        <v>19248</v>
      </c>
      <c r="T554" s="51">
        <v>0</v>
      </c>
      <c r="U554" s="53">
        <f t="shared" si="28"/>
        <v>1.3799641841356847E-2</v>
      </c>
    </row>
    <row r="555" spans="14:22" x14ac:dyDescent="0.2">
      <c r="N555" s="52">
        <v>37949</v>
      </c>
      <c r="O555" s="51">
        <v>19258</v>
      </c>
      <c r="P555" s="51">
        <v>20188</v>
      </c>
      <c r="Q555" s="51">
        <v>19258</v>
      </c>
      <c r="R555" s="51">
        <v>20184</v>
      </c>
      <c r="S555" s="51">
        <v>20184</v>
      </c>
      <c r="T555" s="51">
        <v>0</v>
      </c>
      <c r="U555" s="53">
        <f t="shared" si="28"/>
        <v>4.8628428927680822E-2</v>
      </c>
    </row>
    <row r="556" spans="14:22" x14ac:dyDescent="0.2">
      <c r="N556" s="52">
        <v>37956</v>
      </c>
      <c r="O556" s="51">
        <v>20184</v>
      </c>
      <c r="P556" s="51">
        <v>20922</v>
      </c>
      <c r="Q556" s="51">
        <v>20184</v>
      </c>
      <c r="R556" s="51">
        <v>20880</v>
      </c>
      <c r="S556" s="51">
        <v>20880</v>
      </c>
      <c r="T556" s="51">
        <v>0</v>
      </c>
      <c r="U556" s="53">
        <f t="shared" si="28"/>
        <v>3.4482758620689724E-2</v>
      </c>
      <c r="V556" s="59">
        <f>U556-('16. câmbio USD-BRL'!O3/'16. câmbio USD-BRL'!K3-1)</f>
        <v>3.8556078376290492E-2</v>
      </c>
    </row>
    <row r="557" spans="14:22" x14ac:dyDescent="0.2">
      <c r="N557" s="52">
        <v>37963</v>
      </c>
      <c r="O557" s="51">
        <v>20882</v>
      </c>
      <c r="P557" s="51">
        <v>21514</v>
      </c>
      <c r="Q557" s="51">
        <v>20673</v>
      </c>
      <c r="R557" s="51">
        <v>20974</v>
      </c>
      <c r="S557" s="51">
        <v>20974</v>
      </c>
      <c r="T557" s="51">
        <v>0</v>
      </c>
      <c r="U557" s="53">
        <f t="shared" si="28"/>
        <v>4.5019157088121986E-3</v>
      </c>
      <c r="V557" s="59">
        <f>U557-('16. câmbio USD-BRL'!O4/'16. câmbio USD-BRL'!K4-1)</f>
        <v>4.1610840796371118E-3</v>
      </c>
    </row>
    <row r="558" spans="14:22" x14ac:dyDescent="0.2">
      <c r="N558" s="52">
        <v>37970</v>
      </c>
      <c r="O558" s="51">
        <v>20974</v>
      </c>
      <c r="P558" s="51">
        <v>21671</v>
      </c>
      <c r="Q558" s="51">
        <v>20544</v>
      </c>
      <c r="R558" s="51">
        <v>21386</v>
      </c>
      <c r="S558" s="51">
        <v>21386</v>
      </c>
      <c r="T558" s="51">
        <v>0</v>
      </c>
      <c r="U558" s="53">
        <f t="shared" si="28"/>
        <v>1.9643367979403026E-2</v>
      </c>
      <c r="V558" s="59">
        <f>U558-('16. câmbio USD-BRL'!O5/'16. câmbio USD-BRL'!K5-1)</f>
        <v>2.3731954010067446E-2</v>
      </c>
    </row>
    <row r="559" spans="14:22" x14ac:dyDescent="0.2">
      <c r="N559" s="52">
        <v>37977</v>
      </c>
      <c r="O559" s="51">
        <v>21386</v>
      </c>
      <c r="P559" s="51">
        <v>21914</v>
      </c>
      <c r="Q559" s="51">
        <v>21344</v>
      </c>
      <c r="R559" s="51">
        <v>21807</v>
      </c>
      <c r="S559" s="51">
        <v>21807</v>
      </c>
      <c r="T559" s="51">
        <v>0</v>
      </c>
      <c r="U559" s="53">
        <f t="shared" si="28"/>
        <v>1.9685775741139055E-2</v>
      </c>
      <c r="V559" s="59">
        <f>U559-('16. câmbio USD-BRL'!O6/'16. câmbio USD-BRL'!K6-1)</f>
        <v>2.7212289596766914E-2</v>
      </c>
    </row>
    <row r="560" spans="14:22" x14ac:dyDescent="0.2">
      <c r="N560" s="52">
        <v>37984</v>
      </c>
      <c r="O560" s="51">
        <v>21815</v>
      </c>
      <c r="P560" s="51">
        <v>22450</v>
      </c>
      <c r="Q560" s="51">
        <v>21815</v>
      </c>
      <c r="R560" s="51">
        <v>22445</v>
      </c>
      <c r="S560" s="51">
        <v>22445</v>
      </c>
      <c r="T560" s="51">
        <v>0</v>
      </c>
      <c r="U560" s="53">
        <f t="shared" si="28"/>
        <v>2.9256660705278215E-2</v>
      </c>
      <c r="V560" s="59">
        <f>U560-('16. câmbio USD-BRL'!O7/'16. câmbio USD-BRL'!K7-1)</f>
        <v>3.7874378733544267E-2</v>
      </c>
    </row>
    <row r="561" spans="14:22" x14ac:dyDescent="0.2">
      <c r="N561" s="52">
        <v>37991</v>
      </c>
      <c r="O561" s="51">
        <v>22445</v>
      </c>
      <c r="P561" s="51">
        <v>24088</v>
      </c>
      <c r="Q561" s="51">
        <v>22445</v>
      </c>
      <c r="R561" s="51">
        <v>23917</v>
      </c>
      <c r="S561" s="51">
        <v>23917</v>
      </c>
      <c r="T561" s="51">
        <v>0</v>
      </c>
      <c r="U561" s="53">
        <f t="shared" si="28"/>
        <v>6.5582535085765281E-2</v>
      </c>
      <c r="V561" s="59">
        <f>U561-('16. câmbio USD-BRL'!O8/'16. câmbio USD-BRL'!K8-1)</f>
        <v>8.15769718034286E-2</v>
      </c>
    </row>
    <row r="562" spans="14:22" x14ac:dyDescent="0.2">
      <c r="N562" s="52">
        <v>37998</v>
      </c>
      <c r="O562" s="51">
        <v>23896</v>
      </c>
      <c r="P562" s="51">
        <v>24518</v>
      </c>
      <c r="Q562" s="51">
        <v>22687</v>
      </c>
      <c r="R562" s="51">
        <v>23155</v>
      </c>
      <c r="S562" s="51">
        <v>23155</v>
      </c>
      <c r="T562" s="51">
        <v>0</v>
      </c>
      <c r="U562" s="53">
        <f t="shared" si="28"/>
        <v>-3.1860183133336162E-2</v>
      </c>
      <c r="V562" s="59">
        <f>U562-('16. câmbio USD-BRL'!O9/'16. câmbio USD-BRL'!K9-1)</f>
        <v>-3.0800112461958018E-2</v>
      </c>
    </row>
    <row r="563" spans="14:22" x14ac:dyDescent="0.2">
      <c r="N563" s="52">
        <v>38005</v>
      </c>
      <c r="O563" s="51">
        <v>23162</v>
      </c>
      <c r="P563" s="51">
        <v>23724</v>
      </c>
      <c r="Q563" s="51">
        <v>22682</v>
      </c>
      <c r="R563" s="51">
        <v>23471</v>
      </c>
      <c r="S563" s="51">
        <v>23471</v>
      </c>
      <c r="T563" s="51">
        <v>0</v>
      </c>
      <c r="U563" s="53">
        <f t="shared" si="28"/>
        <v>1.3647160440509509E-2</v>
      </c>
      <c r="V563" s="59">
        <f>U563-('16. câmbio USD-BRL'!O10/'16. câmbio USD-BRL'!K10-1)</f>
        <v>9.0486461143688413E-3</v>
      </c>
    </row>
    <row r="564" spans="14:22" x14ac:dyDescent="0.2">
      <c r="N564" s="52">
        <v>38012</v>
      </c>
      <c r="O564" s="51">
        <v>23471</v>
      </c>
      <c r="P564" s="51">
        <v>24473</v>
      </c>
      <c r="Q564" s="51">
        <v>21649</v>
      </c>
      <c r="R564" s="51">
        <v>21851</v>
      </c>
      <c r="S564" s="51">
        <v>21851</v>
      </c>
      <c r="T564" s="51">
        <v>0</v>
      </c>
      <c r="U564" s="53">
        <f t="shared" si="28"/>
        <v>-6.9021345490179353E-2</v>
      </c>
      <c r="V564" s="59">
        <f>U564-('16. câmbio USD-BRL'!O11/'16. câmbio USD-BRL'!K11-1)</f>
        <v>-0.10141571168736241</v>
      </c>
    </row>
    <row r="565" spans="14:22" x14ac:dyDescent="0.2">
      <c r="N565" s="52">
        <v>38019</v>
      </c>
      <c r="O565" s="51">
        <v>21842</v>
      </c>
      <c r="P565" s="51">
        <v>22718</v>
      </c>
      <c r="Q565" s="51">
        <v>20598</v>
      </c>
      <c r="R565" s="51">
        <v>21969</v>
      </c>
      <c r="S565" s="51">
        <v>21969</v>
      </c>
      <c r="T565" s="51">
        <v>0</v>
      </c>
      <c r="U565" s="53">
        <f t="shared" si="28"/>
        <v>5.4002105166812697E-3</v>
      </c>
      <c r="V565" s="59">
        <f>U565-('16. câmbio USD-BRL'!O12/'16. câmbio USD-BRL'!K12-1)</f>
        <v>5.4002105166812697E-3</v>
      </c>
    </row>
    <row r="566" spans="14:22" x14ac:dyDescent="0.2">
      <c r="N566" s="52">
        <v>38026</v>
      </c>
      <c r="O566" s="51">
        <v>21970</v>
      </c>
      <c r="P566" s="51">
        <v>23374</v>
      </c>
      <c r="Q566" s="51">
        <v>21694</v>
      </c>
      <c r="R566" s="51">
        <v>22530</v>
      </c>
      <c r="S566" s="51">
        <v>22530</v>
      </c>
      <c r="T566" s="51">
        <v>0</v>
      </c>
      <c r="U566" s="53">
        <f t="shared" si="28"/>
        <v>2.5535982520824785E-2</v>
      </c>
      <c r="V566" s="59">
        <f>U566-('16. câmbio USD-BRL'!O13/'16. câmbio USD-BRL'!K13-1)</f>
        <v>3.5085777882352787E-2</v>
      </c>
    </row>
    <row r="567" spans="14:22" x14ac:dyDescent="0.2">
      <c r="N567" s="52">
        <v>38033</v>
      </c>
      <c r="O567" s="51">
        <v>22530</v>
      </c>
      <c r="P567" s="51">
        <v>22668</v>
      </c>
      <c r="Q567" s="51">
        <v>20092</v>
      </c>
      <c r="R567" s="51">
        <v>21337</v>
      </c>
      <c r="S567" s="51">
        <v>21337</v>
      </c>
      <c r="T567" s="51">
        <v>0</v>
      </c>
      <c r="U567" s="53">
        <f t="shared" si="28"/>
        <v>-5.2951620062139382E-2</v>
      </c>
      <c r="V567" s="59">
        <f>U567-('16. câmbio USD-BRL'!O14/'16. câmbio USD-BRL'!K14-1)</f>
        <v>-7.1202308767373435E-2</v>
      </c>
    </row>
    <row r="568" spans="14:22" x14ac:dyDescent="0.2">
      <c r="N568" s="52">
        <v>38040</v>
      </c>
      <c r="O568" s="51">
        <v>21341</v>
      </c>
      <c r="P568" s="51">
        <v>21755</v>
      </c>
      <c r="Q568" s="51">
        <v>21180</v>
      </c>
      <c r="R568" s="51">
        <v>21755</v>
      </c>
      <c r="S568" s="51">
        <v>21755</v>
      </c>
      <c r="T568" s="51">
        <v>0</v>
      </c>
      <c r="U568" s="53">
        <f t="shared" si="28"/>
        <v>1.9590382902938464E-2</v>
      </c>
      <c r="V568" s="59">
        <f>U568-('16. câmbio USD-BRL'!O15/'16. câmbio USD-BRL'!K15-1)</f>
        <v>3.7175773501518128E-2</v>
      </c>
    </row>
    <row r="569" spans="14:22" x14ac:dyDescent="0.2">
      <c r="N569" s="52">
        <v>38047</v>
      </c>
      <c r="O569" s="51">
        <v>21761</v>
      </c>
      <c r="P569" s="51">
        <v>22937</v>
      </c>
      <c r="Q569" s="51">
        <v>21761</v>
      </c>
      <c r="R569" s="51">
        <v>22873</v>
      </c>
      <c r="S569" s="51">
        <v>22873</v>
      </c>
      <c r="T569" s="51">
        <v>0</v>
      </c>
      <c r="U569" s="53">
        <f t="shared" si="28"/>
        <v>5.1390484945989412E-2</v>
      </c>
      <c r="V569" s="59">
        <f>U569-('16. câmbio USD-BRL'!O16/'16. câmbio USD-BRL'!K16-1)</f>
        <v>6.4815614033769009E-2</v>
      </c>
    </row>
    <row r="570" spans="14:22" x14ac:dyDescent="0.2">
      <c r="N570" s="52">
        <v>38054</v>
      </c>
      <c r="O570" s="51">
        <v>22874</v>
      </c>
      <c r="P570" s="51">
        <v>23373</v>
      </c>
      <c r="Q570" s="51">
        <v>20756</v>
      </c>
      <c r="R570" s="51">
        <v>21776</v>
      </c>
      <c r="S570" s="51">
        <v>21776</v>
      </c>
      <c r="T570" s="51">
        <v>0</v>
      </c>
      <c r="U570" s="53">
        <f t="shared" si="28"/>
        <v>-4.7960477418790726E-2</v>
      </c>
      <c r="V570" s="59">
        <f>U570-('16. câmbio USD-BRL'!O17/'16. câmbio USD-BRL'!K17-1)</f>
        <v>-5.9474783071268078E-2</v>
      </c>
    </row>
    <row r="571" spans="14:22" x14ac:dyDescent="0.2">
      <c r="N571" s="52">
        <v>38061</v>
      </c>
      <c r="O571" s="51">
        <v>21776</v>
      </c>
      <c r="P571" s="51">
        <v>22470</v>
      </c>
      <c r="Q571" s="51">
        <v>21162</v>
      </c>
      <c r="R571" s="51">
        <v>22261</v>
      </c>
      <c r="S571" s="51">
        <v>22261</v>
      </c>
      <c r="T571" s="51">
        <v>0</v>
      </c>
      <c r="U571" s="53">
        <f t="shared" si="28"/>
        <v>2.2272226304188125E-2</v>
      </c>
      <c r="V571" s="59">
        <f>U571-('16. câmbio USD-BRL'!O18/'16. câmbio USD-BRL'!K18-1)</f>
        <v>2.192727977090092E-2</v>
      </c>
    </row>
    <row r="572" spans="14:22" x14ac:dyDescent="0.2">
      <c r="N572" s="52">
        <v>38068</v>
      </c>
      <c r="O572" s="51">
        <v>22248</v>
      </c>
      <c r="P572" s="51">
        <v>22248</v>
      </c>
      <c r="Q572" s="51">
        <v>20834</v>
      </c>
      <c r="R572" s="51">
        <v>21541</v>
      </c>
      <c r="S572" s="51">
        <v>21541</v>
      </c>
      <c r="T572" s="51">
        <v>0</v>
      </c>
      <c r="U572" s="53">
        <f t="shared" si="28"/>
        <v>-3.2343560486950307E-2</v>
      </c>
      <c r="V572" s="59">
        <f>U572-('16. câmbio USD-BRL'!O19/'16. câmbio USD-BRL'!K19-1)</f>
        <v>-4.510218117660536E-2</v>
      </c>
    </row>
    <row r="573" spans="14:22" x14ac:dyDescent="0.2">
      <c r="N573" s="52">
        <v>38075</v>
      </c>
      <c r="O573" s="51">
        <v>21544</v>
      </c>
      <c r="P573" s="51">
        <v>23034</v>
      </c>
      <c r="Q573" s="51">
        <v>21435</v>
      </c>
      <c r="R573" s="51">
        <v>22949</v>
      </c>
      <c r="S573" s="51">
        <v>22949</v>
      </c>
      <c r="T573" s="51">
        <v>0</v>
      </c>
      <c r="U573" s="53">
        <f t="shared" si="28"/>
        <v>6.5363724989554894E-2</v>
      </c>
      <c r="V573" s="59">
        <f>U573-('16. câmbio USD-BRL'!O20/'16. câmbio USD-BRL'!K20-1)</f>
        <v>8.0344998397794631E-2</v>
      </c>
    </row>
    <row r="574" spans="14:22" x14ac:dyDescent="0.2">
      <c r="N574" s="52">
        <v>38082</v>
      </c>
      <c r="O574" s="51">
        <v>22949</v>
      </c>
      <c r="P574" s="51">
        <v>23260</v>
      </c>
      <c r="Q574" s="51">
        <v>22307</v>
      </c>
      <c r="R574" s="51">
        <v>22725</v>
      </c>
      <c r="S574" s="51">
        <v>22725</v>
      </c>
      <c r="T574" s="51">
        <v>0</v>
      </c>
      <c r="U574" s="53">
        <f t="shared" si="28"/>
        <v>-9.7607738899297969E-3</v>
      </c>
      <c r="V574" s="59">
        <f>U574-('16. câmbio USD-BRL'!O21/'16. câmbio USD-BRL'!K21-1)</f>
        <v>-6.649816406348763E-3</v>
      </c>
    </row>
    <row r="575" spans="14:22" x14ac:dyDescent="0.2">
      <c r="N575" s="52">
        <v>38089</v>
      </c>
      <c r="O575" s="51">
        <v>22725</v>
      </c>
      <c r="P575" s="51">
        <v>22995</v>
      </c>
      <c r="Q575" s="51">
        <v>21483</v>
      </c>
      <c r="R575" s="51">
        <v>21769</v>
      </c>
      <c r="S575" s="51">
        <v>21769</v>
      </c>
      <c r="T575" s="51">
        <v>0</v>
      </c>
      <c r="U575" s="53">
        <f t="shared" si="28"/>
        <v>-4.2068206820682019E-2</v>
      </c>
      <c r="V575" s="59">
        <f>U575-('16. câmbio USD-BRL'!O22/'16. câmbio USD-BRL'!K22-1)</f>
        <v>-5.038998213274859E-2</v>
      </c>
    </row>
    <row r="576" spans="14:22" x14ac:dyDescent="0.2">
      <c r="N576" s="52">
        <v>38096</v>
      </c>
      <c r="O576" s="51">
        <v>21773</v>
      </c>
      <c r="P576" s="51">
        <v>21864</v>
      </c>
      <c r="Q576" s="51">
        <v>20732</v>
      </c>
      <c r="R576" s="51">
        <v>21590</v>
      </c>
      <c r="S576" s="51">
        <v>21590</v>
      </c>
      <c r="T576" s="51">
        <v>0</v>
      </c>
      <c r="U576" s="53">
        <f t="shared" si="28"/>
        <v>-8.2227020074417956E-3</v>
      </c>
      <c r="V576" s="59">
        <f>U576-('16. câmbio USD-BRL'!O23/'16. câmbio USD-BRL'!K23-1)</f>
        <v>-8.2227020074417956E-3</v>
      </c>
    </row>
    <row r="577" spans="14:22" x14ac:dyDescent="0.2">
      <c r="N577" s="52">
        <v>38103</v>
      </c>
      <c r="O577" s="51">
        <v>21588</v>
      </c>
      <c r="P577" s="51">
        <v>21778</v>
      </c>
      <c r="Q577" s="51">
        <v>19508</v>
      </c>
      <c r="R577" s="51">
        <v>19607</v>
      </c>
      <c r="S577" s="51">
        <v>19607</v>
      </c>
      <c r="T577" s="51">
        <v>0</v>
      </c>
      <c r="U577" s="53">
        <f t="shared" si="28"/>
        <v>-9.1848077813802664E-2</v>
      </c>
      <c r="V577" s="59">
        <f>U577-('16. câmbio USD-BRL'!O24/'16. câmbio USD-BRL'!K24-1)</f>
        <v>-9.941341481517818E-2</v>
      </c>
    </row>
    <row r="578" spans="14:22" x14ac:dyDescent="0.2">
      <c r="N578" s="52">
        <v>38110</v>
      </c>
      <c r="O578" s="51">
        <v>19622</v>
      </c>
      <c r="P578" s="51">
        <v>20342</v>
      </c>
      <c r="Q578" s="51">
        <v>18573</v>
      </c>
      <c r="R578" s="51">
        <v>18620</v>
      </c>
      <c r="S578" s="51">
        <v>18620</v>
      </c>
      <c r="T578" s="51">
        <v>0</v>
      </c>
      <c r="U578" s="53">
        <f t="shared" si="28"/>
        <v>-5.0339164584077167E-2</v>
      </c>
      <c r="V578" s="59">
        <f>U578-('16. câmbio USD-BRL'!O25/'16. câmbio USD-BRL'!K25-1)</f>
        <v>-9.5049062194998646E-2</v>
      </c>
    </row>
    <row r="579" spans="14:22" x14ac:dyDescent="0.2">
      <c r="N579" s="52">
        <v>38117</v>
      </c>
      <c r="O579" s="51">
        <v>18616</v>
      </c>
      <c r="P579" s="51">
        <v>18952</v>
      </c>
      <c r="Q579" s="51">
        <v>17601</v>
      </c>
      <c r="R579" s="51">
        <v>18611</v>
      </c>
      <c r="S579" s="51">
        <v>18611</v>
      </c>
      <c r="T579" s="51">
        <v>0</v>
      </c>
      <c r="U579" s="53">
        <f t="shared" si="28"/>
        <v>-4.8335123523091106E-4</v>
      </c>
      <c r="V579" s="59">
        <f>U579-('16. câmbio USD-BRL'!O26/'16. câmbio USD-BRL'!K26-1)</f>
        <v>-9.3039980826663538E-3</v>
      </c>
    </row>
    <row r="580" spans="14:22" x14ac:dyDescent="0.2">
      <c r="N580" s="52">
        <v>38124</v>
      </c>
      <c r="O580" s="51">
        <v>18609</v>
      </c>
      <c r="P580" s="51">
        <v>19120</v>
      </c>
      <c r="Q580" s="51">
        <v>17973</v>
      </c>
      <c r="R580" s="51">
        <v>18285</v>
      </c>
      <c r="S580" s="51">
        <v>18285</v>
      </c>
      <c r="T580" s="51">
        <v>0</v>
      </c>
      <c r="U580" s="53">
        <f t="shared" si="28"/>
        <v>-1.7516522486701436E-2</v>
      </c>
      <c r="V580" s="59">
        <f>U580-('16. câmbio USD-BRL'!O27/'16. câmbio USD-BRL'!K27-1)</f>
        <v>-5.1519113160276464E-2</v>
      </c>
    </row>
    <row r="581" spans="14:22" x14ac:dyDescent="0.2">
      <c r="N581" s="52">
        <v>38131</v>
      </c>
      <c r="O581" s="51">
        <v>18288</v>
      </c>
      <c r="P581" s="51">
        <v>19991</v>
      </c>
      <c r="Q581" s="51">
        <v>18288</v>
      </c>
      <c r="R581" s="51">
        <v>19667</v>
      </c>
      <c r="S581" s="51">
        <v>19667</v>
      </c>
      <c r="T581" s="51">
        <v>0</v>
      </c>
      <c r="U581" s="53">
        <f t="shared" ref="U581:U644" si="29">S581/S580-1</f>
        <v>7.5581077385835416E-2</v>
      </c>
      <c r="V581" s="59">
        <f>U581-('16. câmbio USD-BRL'!O28/'16. câmbio USD-BRL'!K28-1)</f>
        <v>0.1084655120867436</v>
      </c>
    </row>
    <row r="582" spans="14:22" x14ac:dyDescent="0.2">
      <c r="N582" s="52">
        <v>38138</v>
      </c>
      <c r="O582" s="51">
        <v>19672</v>
      </c>
      <c r="P582" s="51">
        <v>19923</v>
      </c>
      <c r="Q582" s="51">
        <v>19177</v>
      </c>
      <c r="R582" s="51">
        <v>19819</v>
      </c>
      <c r="S582" s="51">
        <v>19819</v>
      </c>
      <c r="T582" s="51">
        <v>0</v>
      </c>
      <c r="U582" s="53">
        <f t="shared" si="29"/>
        <v>7.7286825647022717E-3</v>
      </c>
      <c r="V582" s="59">
        <f>U582-('16. câmbio USD-BRL'!O29/'16. câmbio USD-BRL'!K29-1)</f>
        <v>-4.9008511140540278E-3</v>
      </c>
    </row>
    <row r="583" spans="14:22" x14ac:dyDescent="0.2">
      <c r="N583" s="52">
        <v>38145</v>
      </c>
      <c r="O583" s="51">
        <v>19826</v>
      </c>
      <c r="P583" s="51">
        <v>20529</v>
      </c>
      <c r="Q583" s="51">
        <v>19789</v>
      </c>
      <c r="R583" s="51">
        <v>19834</v>
      </c>
      <c r="S583" s="51">
        <v>19834</v>
      </c>
      <c r="T583" s="51">
        <v>0</v>
      </c>
      <c r="U583" s="53">
        <f t="shared" si="29"/>
        <v>7.5684948786514106E-4</v>
      </c>
      <c r="V583" s="59">
        <f>U583-('16. câmbio USD-BRL'!O30/'16. câmbio USD-BRL'!K30-1)</f>
        <v>-2.7608991530048144E-3</v>
      </c>
    </row>
    <row r="584" spans="14:22" x14ac:dyDescent="0.2">
      <c r="N584" s="52">
        <v>38152</v>
      </c>
      <c r="O584" s="51">
        <v>19833</v>
      </c>
      <c r="P584" s="51">
        <v>20697</v>
      </c>
      <c r="Q584" s="51">
        <v>19371</v>
      </c>
      <c r="R584" s="51">
        <v>20333</v>
      </c>
      <c r="S584" s="51">
        <v>20333</v>
      </c>
      <c r="T584" s="51">
        <v>0</v>
      </c>
      <c r="U584" s="53">
        <f t="shared" si="29"/>
        <v>2.5158818190985199E-2</v>
      </c>
      <c r="V584" s="59">
        <f>U584-('16. câmbio USD-BRL'!O31/'16. câmbio USD-BRL'!K31-1)</f>
        <v>2.4840143876134979E-2</v>
      </c>
    </row>
    <row r="585" spans="14:22" x14ac:dyDescent="0.2">
      <c r="N585" s="52">
        <v>38159</v>
      </c>
      <c r="O585" s="51">
        <v>20336</v>
      </c>
      <c r="P585" s="51">
        <v>21068</v>
      </c>
      <c r="Q585" s="51">
        <v>20070</v>
      </c>
      <c r="R585" s="51">
        <v>20750</v>
      </c>
      <c r="S585" s="51">
        <v>20750</v>
      </c>
      <c r="T585" s="51">
        <v>0</v>
      </c>
      <c r="U585" s="53">
        <f t="shared" si="29"/>
        <v>2.0508532926769352E-2</v>
      </c>
      <c r="V585" s="59">
        <f>U585-('16. câmbio USD-BRL'!O32/'16. câmbio USD-BRL'!K32-1)</f>
        <v>3.0065716743271409E-2</v>
      </c>
    </row>
    <row r="586" spans="14:22" x14ac:dyDescent="0.2">
      <c r="N586" s="52">
        <v>38166</v>
      </c>
      <c r="O586" s="51">
        <v>20750</v>
      </c>
      <c r="P586" s="51">
        <v>21747</v>
      </c>
      <c r="Q586" s="51">
        <v>20351</v>
      </c>
      <c r="R586" s="51">
        <v>21568</v>
      </c>
      <c r="S586" s="51">
        <v>21568</v>
      </c>
      <c r="T586" s="51">
        <v>0</v>
      </c>
      <c r="U586" s="53">
        <f t="shared" si="29"/>
        <v>3.9421686746987872E-2</v>
      </c>
      <c r="V586" s="59">
        <f>U586-('16. câmbio USD-BRL'!O33/'16. câmbio USD-BRL'!K33-1)</f>
        <v>6.1936964971497255E-2</v>
      </c>
    </row>
    <row r="587" spans="14:22" x14ac:dyDescent="0.2">
      <c r="N587" s="52">
        <v>38173</v>
      </c>
      <c r="O587" s="51">
        <v>21565</v>
      </c>
      <c r="P587" s="51">
        <v>21775</v>
      </c>
      <c r="Q587" s="51">
        <v>20821</v>
      </c>
      <c r="R587" s="51">
        <v>20887</v>
      </c>
      <c r="S587" s="51">
        <v>20887</v>
      </c>
      <c r="T587" s="51">
        <v>0</v>
      </c>
      <c r="U587" s="53">
        <f t="shared" si="29"/>
        <v>-3.157455489614247E-2</v>
      </c>
      <c r="V587" s="59">
        <f>U587-('16. câmbio USD-BRL'!O34/'16. câmbio USD-BRL'!K34-1)</f>
        <v>-3.2232666116938646E-2</v>
      </c>
    </row>
    <row r="588" spans="14:22" x14ac:dyDescent="0.2">
      <c r="N588" s="52">
        <v>38180</v>
      </c>
      <c r="O588" s="51">
        <v>20885</v>
      </c>
      <c r="P588" s="51">
        <v>22676</v>
      </c>
      <c r="Q588" s="51">
        <v>20885</v>
      </c>
      <c r="R588" s="51">
        <v>22447</v>
      </c>
      <c r="S588" s="51">
        <v>22447</v>
      </c>
      <c r="T588" s="51">
        <v>0</v>
      </c>
      <c r="U588" s="53">
        <f t="shared" si="29"/>
        <v>7.4687604730214963E-2</v>
      </c>
      <c r="V588" s="59">
        <f>U588-('16. câmbio USD-BRL'!O35/'16. câmbio USD-BRL'!K35-1)</f>
        <v>8.7841172635509279E-2</v>
      </c>
    </row>
    <row r="589" spans="14:22" x14ac:dyDescent="0.2">
      <c r="N589" s="52">
        <v>38187</v>
      </c>
      <c r="O589" s="51">
        <v>22445</v>
      </c>
      <c r="P589" s="51">
        <v>22518</v>
      </c>
      <c r="Q589" s="51">
        <v>21490</v>
      </c>
      <c r="R589" s="51">
        <v>21591</v>
      </c>
      <c r="S589" s="51">
        <v>21591</v>
      </c>
      <c r="T589" s="51">
        <v>0</v>
      </c>
      <c r="U589" s="53">
        <f t="shared" si="29"/>
        <v>-3.8134271840335021E-2</v>
      </c>
      <c r="V589" s="59">
        <f>U589-('16. câmbio USD-BRL'!O36/'16. câmbio USD-BRL'!K36-1)</f>
        <v>-5.5461829321174827E-2</v>
      </c>
    </row>
    <row r="590" spans="14:22" x14ac:dyDescent="0.2">
      <c r="N590" s="52">
        <v>38194</v>
      </c>
      <c r="O590" s="51">
        <v>21635</v>
      </c>
      <c r="P590" s="51">
        <v>22534</v>
      </c>
      <c r="Q590" s="51">
        <v>21056</v>
      </c>
      <c r="R590" s="51">
        <v>22337</v>
      </c>
      <c r="S590" s="51">
        <v>22337</v>
      </c>
      <c r="T590" s="51">
        <v>0</v>
      </c>
      <c r="U590" s="53">
        <f t="shared" si="29"/>
        <v>3.4551433467648662E-2</v>
      </c>
      <c r="V590" s="59">
        <f>U590-('16. câmbio USD-BRL'!O37/'16. câmbio USD-BRL'!K37-1)</f>
        <v>4.0119726949469747E-2</v>
      </c>
    </row>
    <row r="591" spans="14:22" x14ac:dyDescent="0.2">
      <c r="N591" s="52">
        <v>38201</v>
      </c>
      <c r="O591" s="51">
        <v>22342</v>
      </c>
      <c r="P591" s="51">
        <v>22600</v>
      </c>
      <c r="Q591" s="51">
        <v>21178</v>
      </c>
      <c r="R591" s="51">
        <v>21653</v>
      </c>
      <c r="S591" s="51">
        <v>21653</v>
      </c>
      <c r="T591" s="51">
        <v>0</v>
      </c>
      <c r="U591" s="53">
        <f t="shared" si="29"/>
        <v>-3.0621838205667773E-2</v>
      </c>
      <c r="V591" s="59">
        <f>U591-('16. câmbio USD-BRL'!O38/'16. câmbio USD-BRL'!K38-1)</f>
        <v>-2.8974934384850992E-2</v>
      </c>
    </row>
    <row r="592" spans="14:22" x14ac:dyDescent="0.2">
      <c r="N592" s="52">
        <v>38208</v>
      </c>
      <c r="O592" s="51">
        <v>21653</v>
      </c>
      <c r="P592" s="51">
        <v>21745</v>
      </c>
      <c r="Q592" s="51">
        <v>21243</v>
      </c>
      <c r="R592" s="51">
        <v>21401</v>
      </c>
      <c r="S592" s="51">
        <v>21401</v>
      </c>
      <c r="T592" s="51">
        <v>0</v>
      </c>
      <c r="U592" s="53">
        <f t="shared" si="29"/>
        <v>-1.1638110192582984E-2</v>
      </c>
      <c r="V592" s="59">
        <f>U592-('16. câmbio USD-BRL'!O39/'16. câmbio USD-BRL'!K39-1)</f>
        <v>-7.6790207831471946E-3</v>
      </c>
    </row>
    <row r="593" spans="14:22" x14ac:dyDescent="0.2">
      <c r="N593" s="52">
        <v>38215</v>
      </c>
      <c r="O593" s="51">
        <v>21404</v>
      </c>
      <c r="P593" s="51">
        <v>23381</v>
      </c>
      <c r="Q593" s="51">
        <v>21361</v>
      </c>
      <c r="R593" s="51">
        <v>23196</v>
      </c>
      <c r="S593" s="51">
        <v>23196</v>
      </c>
      <c r="T593" s="51">
        <v>0</v>
      </c>
      <c r="U593" s="53">
        <f t="shared" si="29"/>
        <v>8.3874585299752447E-2</v>
      </c>
      <c r="V593" s="59">
        <f>U593-('16. câmbio USD-BRL'!O40/'16. câmbio USD-BRL'!K40-1)</f>
        <v>0.10209253826431031</v>
      </c>
    </row>
    <row r="594" spans="14:22" x14ac:dyDescent="0.2">
      <c r="N594" s="52">
        <v>38222</v>
      </c>
      <c r="O594" s="51">
        <v>23205</v>
      </c>
      <c r="P594" s="51">
        <v>23241</v>
      </c>
      <c r="Q594" s="51">
        <v>22479</v>
      </c>
      <c r="R594" s="51">
        <v>22597</v>
      </c>
      <c r="S594" s="51">
        <v>22597</v>
      </c>
      <c r="T594" s="51">
        <v>0</v>
      </c>
      <c r="U594" s="53">
        <f t="shared" si="29"/>
        <v>-2.5823417830660444E-2</v>
      </c>
      <c r="V594" s="59">
        <f>U594-('16. câmbio USD-BRL'!O41/'16. câmbio USD-BRL'!K41-1)</f>
        <v>-2.1774834834708989E-2</v>
      </c>
    </row>
    <row r="595" spans="14:22" x14ac:dyDescent="0.2">
      <c r="N595" s="52">
        <v>38229</v>
      </c>
      <c r="O595" s="51">
        <v>22600</v>
      </c>
      <c r="P595" s="51">
        <v>23071</v>
      </c>
      <c r="Q595" s="51">
        <v>22267</v>
      </c>
      <c r="R595" s="51">
        <v>22415</v>
      </c>
      <c r="S595" s="51">
        <v>22415</v>
      </c>
      <c r="T595" s="51">
        <v>0</v>
      </c>
      <c r="U595" s="53">
        <f t="shared" si="29"/>
        <v>-8.0541664822764147E-3</v>
      </c>
      <c r="V595" s="59" t="e">
        <f>U595-('16. câmbio USD-BRL'!O42/'16. câmbio USD-BRL'!K42-1)</f>
        <v>#VALUE!</v>
      </c>
    </row>
    <row r="596" spans="14:22" x14ac:dyDescent="0.2">
      <c r="N596" s="52">
        <v>38236</v>
      </c>
      <c r="O596" s="51">
        <v>22416</v>
      </c>
      <c r="P596" s="51">
        <v>22977</v>
      </c>
      <c r="Q596" s="51">
        <v>21846</v>
      </c>
      <c r="R596" s="51">
        <v>21968</v>
      </c>
      <c r="S596" s="51">
        <v>21968</v>
      </c>
      <c r="T596" s="51">
        <v>0</v>
      </c>
      <c r="U596" s="53">
        <f t="shared" si="29"/>
        <v>-1.9942003122908725E-2</v>
      </c>
      <c r="V596" s="59" t="e">
        <f>U596-('16. câmbio USD-BRL'!O43/'16. câmbio USD-BRL'!K43-1)</f>
        <v>#VALUE!</v>
      </c>
    </row>
    <row r="597" spans="14:22" x14ac:dyDescent="0.2">
      <c r="N597" s="52">
        <v>38243</v>
      </c>
      <c r="O597" s="51">
        <v>21970</v>
      </c>
      <c r="P597" s="51">
        <v>23190</v>
      </c>
      <c r="Q597" s="51">
        <v>21739</v>
      </c>
      <c r="R597" s="51">
        <v>23074</v>
      </c>
      <c r="S597" s="51">
        <v>23074</v>
      </c>
      <c r="T597" s="51">
        <v>0</v>
      </c>
      <c r="U597" s="53">
        <f t="shared" si="29"/>
        <v>5.0345957756737114E-2</v>
      </c>
      <c r="V597" s="59" t="e">
        <f>U597-('16. câmbio USD-BRL'!O44/'16. câmbio USD-BRL'!K44-1)</f>
        <v>#VALUE!</v>
      </c>
    </row>
    <row r="598" spans="14:22" x14ac:dyDescent="0.2">
      <c r="N598" s="52">
        <v>38250</v>
      </c>
      <c r="O598" s="51">
        <v>23079</v>
      </c>
      <c r="P598" s="51">
        <v>23485</v>
      </c>
      <c r="Q598" s="51">
        <v>22697</v>
      </c>
      <c r="R598" s="51">
        <v>22972</v>
      </c>
      <c r="S598" s="51">
        <v>22972</v>
      </c>
      <c r="T598" s="51">
        <v>0</v>
      </c>
      <c r="U598" s="53">
        <f t="shared" si="29"/>
        <v>-4.4205599375920501E-3</v>
      </c>
      <c r="V598" s="59" t="e">
        <f>U598-('16. câmbio USD-BRL'!O45/'16. câmbio USD-BRL'!K45-1)</f>
        <v>#VALUE!</v>
      </c>
    </row>
    <row r="599" spans="14:22" x14ac:dyDescent="0.2">
      <c r="N599" s="52">
        <v>38257</v>
      </c>
      <c r="O599" s="51">
        <v>22981</v>
      </c>
      <c r="P599" s="51">
        <v>23777</v>
      </c>
      <c r="Q599" s="51">
        <v>22593</v>
      </c>
      <c r="R599" s="51">
        <v>23777</v>
      </c>
      <c r="S599" s="51">
        <v>23777</v>
      </c>
      <c r="T599" s="51">
        <v>0</v>
      </c>
      <c r="U599" s="53">
        <f t="shared" si="29"/>
        <v>3.5042660630332678E-2</v>
      </c>
      <c r="V599" s="59" t="e">
        <f>U599-('16. câmbio USD-BRL'!O46/'16. câmbio USD-BRL'!K46-1)</f>
        <v>#VALUE!</v>
      </c>
    </row>
    <row r="600" spans="14:22" x14ac:dyDescent="0.2">
      <c r="N600" s="52">
        <v>38264</v>
      </c>
      <c r="O600" s="51">
        <v>23784</v>
      </c>
      <c r="P600" s="51">
        <v>24362</v>
      </c>
      <c r="Q600" s="51">
        <v>23784</v>
      </c>
      <c r="R600" s="51">
        <v>23927</v>
      </c>
      <c r="S600" s="51">
        <v>23927</v>
      </c>
      <c r="T600" s="51">
        <v>0</v>
      </c>
      <c r="U600" s="53">
        <f t="shared" si="29"/>
        <v>6.308617571602726E-3</v>
      </c>
      <c r="V600" s="59" t="e">
        <f>U600-('16. câmbio USD-BRL'!O47/'16. câmbio USD-BRL'!K47-1)</f>
        <v>#VALUE!</v>
      </c>
    </row>
    <row r="601" spans="14:22" x14ac:dyDescent="0.2">
      <c r="N601" s="52">
        <v>38271</v>
      </c>
      <c r="O601" s="51">
        <v>23928</v>
      </c>
      <c r="P601" s="51">
        <v>24091</v>
      </c>
      <c r="Q601" s="51">
        <v>22865</v>
      </c>
      <c r="R601" s="51">
        <v>23368</v>
      </c>
      <c r="S601" s="51">
        <v>23368</v>
      </c>
      <c r="T601" s="51">
        <v>0</v>
      </c>
      <c r="U601" s="53">
        <f t="shared" si="29"/>
        <v>-2.3362728298574886E-2</v>
      </c>
      <c r="V601" s="59" t="e">
        <f>U601-('16. câmbio USD-BRL'!O48/'16. câmbio USD-BRL'!K48-1)</f>
        <v>#VALUE!</v>
      </c>
    </row>
    <row r="602" spans="14:22" x14ac:dyDescent="0.2">
      <c r="N602" s="52">
        <v>38278</v>
      </c>
      <c r="O602" s="51">
        <v>23368</v>
      </c>
      <c r="P602" s="51">
        <v>23621</v>
      </c>
      <c r="Q602" s="51">
        <v>22565</v>
      </c>
      <c r="R602" s="51">
        <v>22735</v>
      </c>
      <c r="S602" s="51">
        <v>22735</v>
      </c>
      <c r="T602" s="51">
        <v>0</v>
      </c>
      <c r="U602" s="53">
        <f t="shared" si="29"/>
        <v>-2.7088325915782252E-2</v>
      </c>
      <c r="V602" s="59" t="e">
        <f>U602-('16. câmbio USD-BRL'!O49/'16. câmbio USD-BRL'!K49-1)</f>
        <v>#VALUE!</v>
      </c>
    </row>
    <row r="603" spans="14:22" x14ac:dyDescent="0.2">
      <c r="N603" s="52">
        <v>38285</v>
      </c>
      <c r="O603" s="51">
        <v>22735</v>
      </c>
      <c r="P603" s="51">
        <v>23228</v>
      </c>
      <c r="Q603" s="51">
        <v>22390</v>
      </c>
      <c r="R603" s="51">
        <v>23052</v>
      </c>
      <c r="S603" s="51">
        <v>23052</v>
      </c>
      <c r="T603" s="51">
        <v>0</v>
      </c>
      <c r="U603" s="53">
        <f t="shared" si="29"/>
        <v>1.3943259291840704E-2</v>
      </c>
      <c r="V603" s="59" t="e">
        <f>U603-('16. câmbio USD-BRL'!O50/'16. câmbio USD-BRL'!K50-1)</f>
        <v>#VALUE!</v>
      </c>
    </row>
    <row r="604" spans="14:22" x14ac:dyDescent="0.2">
      <c r="N604" s="52">
        <v>38292</v>
      </c>
      <c r="O604" s="51">
        <v>23050</v>
      </c>
      <c r="P604" s="51">
        <v>24000</v>
      </c>
      <c r="Q604" s="51">
        <v>22941</v>
      </c>
      <c r="R604" s="51">
        <v>23542</v>
      </c>
      <c r="S604" s="51">
        <v>23542</v>
      </c>
      <c r="T604" s="51">
        <v>0</v>
      </c>
      <c r="U604" s="53">
        <f t="shared" si="29"/>
        <v>2.1256290126670185E-2</v>
      </c>
      <c r="V604" s="59" t="e">
        <f>U604-('16. câmbio USD-BRL'!O51/'16. câmbio USD-BRL'!K51-1)</f>
        <v>#VALUE!</v>
      </c>
    </row>
    <row r="605" spans="14:22" x14ac:dyDescent="0.2">
      <c r="N605" s="52">
        <v>38299</v>
      </c>
      <c r="O605" s="51">
        <v>23542</v>
      </c>
      <c r="P605" s="51">
        <v>24035</v>
      </c>
      <c r="Q605" s="51">
        <v>23022</v>
      </c>
      <c r="R605" s="51">
        <v>24035</v>
      </c>
      <c r="S605" s="51">
        <v>24035</v>
      </c>
      <c r="T605" s="51">
        <v>0</v>
      </c>
      <c r="U605" s="53">
        <f t="shared" si="29"/>
        <v>2.0941296406422616E-2</v>
      </c>
      <c r="V605" s="59" t="e">
        <f>U605-('16. câmbio USD-BRL'!O52/'16. câmbio USD-BRL'!K52-1)</f>
        <v>#VALUE!</v>
      </c>
    </row>
    <row r="606" spans="14:22" x14ac:dyDescent="0.2">
      <c r="N606" s="52">
        <v>38306</v>
      </c>
      <c r="O606" s="51">
        <v>24035</v>
      </c>
      <c r="P606" s="51">
        <v>24361</v>
      </c>
      <c r="Q606" s="51">
        <v>23698</v>
      </c>
      <c r="R606" s="51">
        <v>24034</v>
      </c>
      <c r="S606" s="51">
        <v>24034</v>
      </c>
      <c r="T606" s="51">
        <v>0</v>
      </c>
      <c r="U606" s="53">
        <f t="shared" si="29"/>
        <v>-4.1605991262794184E-5</v>
      </c>
      <c r="V606" s="59" t="e">
        <f>U606-('16. câmbio USD-BRL'!O53/'16. câmbio USD-BRL'!K53-1)</f>
        <v>#VALUE!</v>
      </c>
    </row>
    <row r="607" spans="14:22" x14ac:dyDescent="0.2">
      <c r="N607" s="52">
        <v>38313</v>
      </c>
      <c r="O607" s="51">
        <v>24034</v>
      </c>
      <c r="P607" s="51">
        <v>25072</v>
      </c>
      <c r="Q607" s="51">
        <v>23839</v>
      </c>
      <c r="R607" s="51">
        <v>24998</v>
      </c>
      <c r="S607" s="51">
        <v>24998</v>
      </c>
      <c r="T607" s="51">
        <v>0</v>
      </c>
      <c r="U607" s="53">
        <f t="shared" si="29"/>
        <v>4.0109844387118176E-2</v>
      </c>
      <c r="V607" s="59" t="e">
        <f>U607-('16. câmbio USD-BRL'!O54/'16. câmbio USD-BRL'!K54-1)</f>
        <v>#VALUE!</v>
      </c>
    </row>
    <row r="608" spans="14:22" x14ac:dyDescent="0.2">
      <c r="N608" s="52">
        <v>38320</v>
      </c>
      <c r="O608" s="51">
        <v>25000</v>
      </c>
      <c r="P608" s="51">
        <v>25604</v>
      </c>
      <c r="Q608" s="51">
        <v>24653</v>
      </c>
      <c r="R608" s="51">
        <v>25468</v>
      </c>
      <c r="S608" s="51">
        <v>25468</v>
      </c>
      <c r="T608" s="51">
        <v>0</v>
      </c>
      <c r="U608" s="53">
        <f t="shared" si="29"/>
        <v>1.8801504120329549E-2</v>
      </c>
      <c r="V608" s="59" t="e">
        <f>U608-('16. câmbio USD-BRL'!O55/'16. câmbio USD-BRL'!K55-1)</f>
        <v>#VALUE!</v>
      </c>
    </row>
    <row r="609" spans="14:22" x14ac:dyDescent="0.2">
      <c r="N609" s="52">
        <v>38327</v>
      </c>
      <c r="O609" s="51">
        <v>25474</v>
      </c>
      <c r="P609" s="51">
        <v>25709</v>
      </c>
      <c r="Q609" s="51">
        <v>24452</v>
      </c>
      <c r="R609" s="51">
        <v>24933</v>
      </c>
      <c r="S609" s="51">
        <v>24933</v>
      </c>
      <c r="T609" s="51">
        <v>0</v>
      </c>
      <c r="U609" s="53">
        <f t="shared" si="29"/>
        <v>-2.1006753573111325E-2</v>
      </c>
      <c r="V609" s="59" t="e">
        <f>U609-('16. câmbio USD-BRL'!O56/'16. câmbio USD-BRL'!K56-1)</f>
        <v>#VALUE!</v>
      </c>
    </row>
    <row r="610" spans="14:22" x14ac:dyDescent="0.2">
      <c r="N610" s="52">
        <v>38334</v>
      </c>
      <c r="O610" s="51">
        <v>24933</v>
      </c>
      <c r="P610" s="51">
        <v>25919</v>
      </c>
      <c r="Q610" s="51">
        <v>24867</v>
      </c>
      <c r="R610" s="51">
        <v>25659</v>
      </c>
      <c r="S610" s="51">
        <v>25659</v>
      </c>
      <c r="T610" s="51">
        <v>0</v>
      </c>
      <c r="U610" s="53">
        <f t="shared" si="29"/>
        <v>2.911803633738419E-2</v>
      </c>
      <c r="V610" s="59" t="e">
        <f>U610-('16. câmbio USD-BRL'!O57/'16. câmbio USD-BRL'!K57-1)</f>
        <v>#VALUE!</v>
      </c>
    </row>
    <row r="611" spans="14:22" x14ac:dyDescent="0.2">
      <c r="N611" s="52">
        <v>38341</v>
      </c>
      <c r="O611" s="51">
        <v>25661</v>
      </c>
      <c r="P611" s="51">
        <v>26075</v>
      </c>
      <c r="Q611" s="51">
        <v>25456</v>
      </c>
      <c r="R611" s="51">
        <v>25878</v>
      </c>
      <c r="S611" s="51">
        <v>25878</v>
      </c>
      <c r="T611" s="51">
        <v>0</v>
      </c>
      <c r="U611" s="53">
        <f t="shared" si="29"/>
        <v>8.5350169531157594E-3</v>
      </c>
      <c r="V611" s="59" t="e">
        <f>U611-('16. câmbio USD-BRL'!O58/'16. câmbio USD-BRL'!K58-1)</f>
        <v>#VALUE!</v>
      </c>
    </row>
    <row r="612" spans="14:22" x14ac:dyDescent="0.2">
      <c r="N612" s="52">
        <v>38348</v>
      </c>
      <c r="O612" s="51">
        <v>25862</v>
      </c>
      <c r="P612" s="51">
        <v>26270</v>
      </c>
      <c r="Q612" s="51">
        <v>25862</v>
      </c>
      <c r="R612" s="51">
        <v>26196</v>
      </c>
      <c r="S612" s="51">
        <v>26196</v>
      </c>
      <c r="T612" s="51">
        <v>0</v>
      </c>
      <c r="U612" s="53">
        <f t="shared" si="29"/>
        <v>1.228843032691862E-2</v>
      </c>
      <c r="V612" s="59" t="e">
        <f>U612-('16. câmbio USD-BRL'!O59/'16. câmbio USD-BRL'!K59-1)</f>
        <v>#VALUE!</v>
      </c>
    </row>
    <row r="613" spans="14:22" x14ac:dyDescent="0.2">
      <c r="N613" s="52">
        <v>38355</v>
      </c>
      <c r="O613" s="51">
        <v>26193</v>
      </c>
      <c r="P613" s="51">
        <v>26492</v>
      </c>
      <c r="Q613" s="51">
        <v>24250</v>
      </c>
      <c r="R613" s="51">
        <v>24747</v>
      </c>
      <c r="S613" s="51">
        <v>24747</v>
      </c>
      <c r="T613" s="51">
        <v>0</v>
      </c>
      <c r="U613" s="53">
        <f t="shared" si="29"/>
        <v>-5.5313788364635852E-2</v>
      </c>
      <c r="V613" s="59" t="e">
        <f>U613-('16. câmbio USD-BRL'!O60/'16. câmbio USD-BRL'!K60-1)</f>
        <v>#VALUE!</v>
      </c>
    </row>
    <row r="614" spans="14:22" x14ac:dyDescent="0.2">
      <c r="N614" s="52">
        <v>38362</v>
      </c>
      <c r="O614" s="51">
        <v>24747</v>
      </c>
      <c r="P614" s="51">
        <v>24966</v>
      </c>
      <c r="Q614" s="51">
        <v>23983</v>
      </c>
      <c r="R614" s="51">
        <v>24924</v>
      </c>
      <c r="S614" s="51">
        <v>24924</v>
      </c>
      <c r="T614" s="51">
        <v>0</v>
      </c>
      <c r="U614" s="53">
        <f t="shared" si="29"/>
        <v>7.1523821069221505E-3</v>
      </c>
      <c r="V614" s="59" t="e">
        <f>U614-('16. câmbio USD-BRL'!O61/'16. câmbio USD-BRL'!K61-1)</f>
        <v>#VALUE!</v>
      </c>
    </row>
    <row r="615" spans="14:22" x14ac:dyDescent="0.2">
      <c r="N615" s="52">
        <v>38369</v>
      </c>
      <c r="O615" s="51">
        <v>24924</v>
      </c>
      <c r="P615" s="51">
        <v>25022</v>
      </c>
      <c r="Q615" s="51">
        <v>23534</v>
      </c>
      <c r="R615" s="51">
        <v>23818</v>
      </c>
      <c r="S615" s="51">
        <v>23818</v>
      </c>
      <c r="T615" s="51">
        <v>0</v>
      </c>
      <c r="U615" s="53">
        <f t="shared" si="29"/>
        <v>-4.4374899695073022E-2</v>
      </c>
      <c r="V615" s="59" t="e">
        <f>U615-('16. câmbio USD-BRL'!O62/'16. câmbio USD-BRL'!K62-1)</f>
        <v>#VALUE!</v>
      </c>
    </row>
    <row r="616" spans="14:22" x14ac:dyDescent="0.2">
      <c r="N616" s="52">
        <v>38376</v>
      </c>
      <c r="O616" s="51">
        <v>23819</v>
      </c>
      <c r="P616" s="51">
        <v>24555</v>
      </c>
      <c r="Q616" s="51">
        <v>23595</v>
      </c>
      <c r="R616" s="51">
        <v>23968</v>
      </c>
      <c r="S616" s="51">
        <v>23968</v>
      </c>
      <c r="T616" s="51">
        <v>0</v>
      </c>
      <c r="U616" s="53">
        <f t="shared" si="29"/>
        <v>6.2977579981526866E-3</v>
      </c>
      <c r="V616" s="59" t="e">
        <f>U616-('16. câmbio USD-BRL'!O63/'16. câmbio USD-BRL'!K63-1)</f>
        <v>#VALUE!</v>
      </c>
    </row>
    <row r="617" spans="14:22" x14ac:dyDescent="0.2">
      <c r="N617" s="52">
        <v>38383</v>
      </c>
      <c r="O617" s="51">
        <v>23970</v>
      </c>
      <c r="P617" s="51">
        <v>25736</v>
      </c>
      <c r="Q617" s="51">
        <v>23970</v>
      </c>
      <c r="R617" s="51">
        <v>25732</v>
      </c>
      <c r="S617" s="51">
        <v>25732</v>
      </c>
      <c r="T617" s="51">
        <v>0</v>
      </c>
      <c r="U617" s="53">
        <f t="shared" si="29"/>
        <v>7.3598130841121545E-2</v>
      </c>
      <c r="V617" s="59" t="e">
        <f>U617-('16. câmbio USD-BRL'!O64/'16. câmbio USD-BRL'!K64-1)</f>
        <v>#VALUE!</v>
      </c>
    </row>
    <row r="618" spans="14:22" x14ac:dyDescent="0.2">
      <c r="N618" s="52">
        <v>38390</v>
      </c>
      <c r="O618" s="51">
        <v>25733</v>
      </c>
      <c r="P618" s="51">
        <v>26786</v>
      </c>
      <c r="Q618" s="51">
        <v>25733</v>
      </c>
      <c r="R618" s="51">
        <v>26671</v>
      </c>
      <c r="S618" s="51">
        <v>26671</v>
      </c>
      <c r="T618" s="51">
        <v>0</v>
      </c>
      <c r="U618" s="53">
        <f t="shared" si="29"/>
        <v>3.6491528058448575E-2</v>
      </c>
      <c r="V618" s="59" t="e">
        <f>U618-('16. câmbio USD-BRL'!O65/'16. câmbio USD-BRL'!K65-1)</f>
        <v>#VALUE!</v>
      </c>
    </row>
    <row r="619" spans="14:22" x14ac:dyDescent="0.2">
      <c r="N619" s="52">
        <v>38397</v>
      </c>
      <c r="O619" s="51">
        <v>26660</v>
      </c>
      <c r="P619" s="51">
        <v>27184</v>
      </c>
      <c r="Q619" s="51">
        <v>26212</v>
      </c>
      <c r="R619" s="51">
        <v>26756</v>
      </c>
      <c r="S619" s="51">
        <v>26756</v>
      </c>
      <c r="T619" s="51">
        <v>0</v>
      </c>
      <c r="U619" s="53">
        <f t="shared" si="29"/>
        <v>3.186982115406245E-3</v>
      </c>
      <c r="V619" s="59" t="e">
        <f>U619-('16. câmbio USD-BRL'!O66/'16. câmbio USD-BRL'!K66-1)</f>
        <v>#VALUE!</v>
      </c>
    </row>
    <row r="620" spans="14:22" x14ac:dyDescent="0.2">
      <c r="N620" s="52">
        <v>38404</v>
      </c>
      <c r="O620" s="51">
        <v>26730</v>
      </c>
      <c r="P620" s="51">
        <v>28778</v>
      </c>
      <c r="Q620" s="51">
        <v>26620</v>
      </c>
      <c r="R620" s="51">
        <v>28425</v>
      </c>
      <c r="S620" s="51">
        <v>28425</v>
      </c>
      <c r="T620" s="51">
        <v>0</v>
      </c>
      <c r="U620" s="53">
        <f t="shared" si="29"/>
        <v>6.237853191807452E-2</v>
      </c>
      <c r="V620" s="59" t="e">
        <f>U620-('16. câmbio USD-BRL'!O67/'16. câmbio USD-BRL'!K67-1)</f>
        <v>#VALUE!</v>
      </c>
    </row>
    <row r="621" spans="14:22" x14ac:dyDescent="0.2">
      <c r="N621" s="52">
        <v>38411</v>
      </c>
      <c r="O621" s="51">
        <v>28423</v>
      </c>
      <c r="P621" s="51">
        <v>29228</v>
      </c>
      <c r="Q621" s="51">
        <v>27498</v>
      </c>
      <c r="R621" s="51">
        <v>29197</v>
      </c>
      <c r="S621" s="51">
        <v>29197</v>
      </c>
      <c r="T621" s="51">
        <v>0</v>
      </c>
      <c r="U621" s="53">
        <f t="shared" si="29"/>
        <v>2.715919085312235E-2</v>
      </c>
      <c r="V621" s="59" t="e">
        <f>U621-('16. câmbio USD-BRL'!O68/'16. câmbio USD-BRL'!K68-1)</f>
        <v>#VALUE!</v>
      </c>
    </row>
    <row r="622" spans="14:22" x14ac:dyDescent="0.2">
      <c r="N622" s="52">
        <v>38418</v>
      </c>
      <c r="O622" s="51">
        <v>29464</v>
      </c>
      <c r="P622" s="51">
        <v>29584</v>
      </c>
      <c r="Q622" s="51">
        <v>28008</v>
      </c>
      <c r="R622" s="51">
        <v>28075</v>
      </c>
      <c r="S622" s="51">
        <v>28075</v>
      </c>
      <c r="T622" s="51">
        <v>0</v>
      </c>
      <c r="U622" s="53">
        <f t="shared" si="29"/>
        <v>-3.8428605678665573E-2</v>
      </c>
      <c r="V622" s="59" t="e">
        <f>U622-('16. câmbio USD-BRL'!O69/'16. câmbio USD-BRL'!K69-1)</f>
        <v>#VALUE!</v>
      </c>
    </row>
    <row r="623" spans="14:22" x14ac:dyDescent="0.2">
      <c r="N623" s="52">
        <v>38425</v>
      </c>
      <c r="O623" s="51">
        <v>28075</v>
      </c>
      <c r="P623" s="51">
        <v>28300</v>
      </c>
      <c r="Q623" s="51">
        <v>27260</v>
      </c>
      <c r="R623" s="51">
        <v>27593</v>
      </c>
      <c r="S623" s="51">
        <v>27593</v>
      </c>
      <c r="T623" s="51">
        <v>0</v>
      </c>
      <c r="U623" s="53">
        <f t="shared" si="29"/>
        <v>-1.716829919857521E-2</v>
      </c>
      <c r="V623" s="59" t="e">
        <f>U623-('16. câmbio USD-BRL'!O70/'16. câmbio USD-BRL'!K70-1)</f>
        <v>#VALUE!</v>
      </c>
    </row>
    <row r="624" spans="14:22" x14ac:dyDescent="0.2">
      <c r="N624" s="52">
        <v>38432</v>
      </c>
      <c r="O624" s="51">
        <v>27587</v>
      </c>
      <c r="P624" s="51">
        <v>27844</v>
      </c>
      <c r="Q624" s="51">
        <v>26131</v>
      </c>
      <c r="R624" s="51">
        <v>26702</v>
      </c>
      <c r="S624" s="51">
        <v>26702</v>
      </c>
      <c r="T624" s="51">
        <v>0</v>
      </c>
      <c r="U624" s="53">
        <f t="shared" si="29"/>
        <v>-3.2290798390896214E-2</v>
      </c>
      <c r="V624" s="59" t="e">
        <f>U624-('16. câmbio USD-BRL'!O71/'16. câmbio USD-BRL'!K71-1)</f>
        <v>#VALUE!</v>
      </c>
    </row>
    <row r="625" spans="14:22" x14ac:dyDescent="0.2">
      <c r="N625" s="52">
        <v>38439</v>
      </c>
      <c r="O625" s="51">
        <v>26705</v>
      </c>
      <c r="P625" s="51">
        <v>27178</v>
      </c>
      <c r="Q625" s="51">
        <v>25761</v>
      </c>
      <c r="R625" s="51">
        <v>26774</v>
      </c>
      <c r="S625" s="51">
        <v>26774</v>
      </c>
      <c r="T625" s="51">
        <v>0</v>
      </c>
      <c r="U625" s="53">
        <f t="shared" si="29"/>
        <v>2.6964272339151663E-3</v>
      </c>
      <c r="V625" s="59" t="e">
        <f>U625-('16. câmbio USD-BRL'!O72/'16. câmbio USD-BRL'!K72-1)</f>
        <v>#VALUE!</v>
      </c>
    </row>
    <row r="626" spans="14:22" x14ac:dyDescent="0.2">
      <c r="N626" s="52">
        <v>38446</v>
      </c>
      <c r="O626" s="51">
        <v>26770</v>
      </c>
      <c r="P626" s="51">
        <v>26770</v>
      </c>
      <c r="Q626" s="51">
        <v>25615</v>
      </c>
      <c r="R626" s="51">
        <v>25885</v>
      </c>
      <c r="S626" s="51">
        <v>25885</v>
      </c>
      <c r="T626" s="51">
        <v>0</v>
      </c>
      <c r="U626" s="53">
        <f t="shared" si="29"/>
        <v>-3.3203854485695072E-2</v>
      </c>
      <c r="V626" s="59" t="e">
        <f>U626-('16. câmbio USD-BRL'!O73/'16. câmbio USD-BRL'!K73-1)</f>
        <v>#VALUE!</v>
      </c>
    </row>
    <row r="627" spans="14:22" x14ac:dyDescent="0.2">
      <c r="N627" s="52">
        <v>38453</v>
      </c>
      <c r="O627" s="51">
        <v>25884</v>
      </c>
      <c r="P627" s="51">
        <v>26579</v>
      </c>
      <c r="Q627" s="51">
        <v>24575</v>
      </c>
      <c r="R627" s="51">
        <v>24656</v>
      </c>
      <c r="S627" s="51">
        <v>24656</v>
      </c>
      <c r="T627" s="51">
        <v>0</v>
      </c>
      <c r="U627" s="53">
        <f t="shared" si="29"/>
        <v>-4.7479235078230597E-2</v>
      </c>
      <c r="V627" s="59" t="e">
        <f>U627-('16. câmbio USD-BRL'!O74/'16. câmbio USD-BRL'!K74-1)</f>
        <v>#VALUE!</v>
      </c>
    </row>
    <row r="628" spans="14:22" x14ac:dyDescent="0.2">
      <c r="N628" s="52">
        <v>38460</v>
      </c>
      <c r="O628" s="51">
        <v>24656</v>
      </c>
      <c r="P628" s="51">
        <v>25692</v>
      </c>
      <c r="Q628" s="51">
        <v>24420</v>
      </c>
      <c r="R628" s="51">
        <v>24767</v>
      </c>
      <c r="S628" s="51">
        <v>24767</v>
      </c>
      <c r="T628" s="51">
        <v>0</v>
      </c>
      <c r="U628" s="53">
        <f t="shared" si="29"/>
        <v>4.5019467878000263E-3</v>
      </c>
      <c r="V628" s="59" t="e">
        <f>U628-('16. câmbio USD-BRL'!O75/'16. câmbio USD-BRL'!K75-1)</f>
        <v>#VALUE!</v>
      </c>
    </row>
    <row r="629" spans="14:22" x14ac:dyDescent="0.2">
      <c r="N629" s="52">
        <v>38467</v>
      </c>
      <c r="O629" s="51">
        <v>24769</v>
      </c>
      <c r="P629" s="51">
        <v>25563</v>
      </c>
      <c r="Q629" s="51">
        <v>24154</v>
      </c>
      <c r="R629" s="51">
        <v>24844</v>
      </c>
      <c r="S629" s="51">
        <v>24844</v>
      </c>
      <c r="T629" s="51">
        <v>0</v>
      </c>
      <c r="U629" s="53">
        <f t="shared" si="29"/>
        <v>3.1089756530868762E-3</v>
      </c>
      <c r="V629" s="59" t="e">
        <f>U629-('16. câmbio USD-BRL'!O76/'16. câmbio USD-BRL'!K76-1)</f>
        <v>#VALUE!</v>
      </c>
    </row>
    <row r="630" spans="14:22" x14ac:dyDescent="0.2">
      <c r="N630" s="52">
        <v>38474</v>
      </c>
      <c r="O630" s="51">
        <v>24847</v>
      </c>
      <c r="P630" s="51">
        <v>25808</v>
      </c>
      <c r="Q630" s="51">
        <v>24468</v>
      </c>
      <c r="R630" s="51">
        <v>25589</v>
      </c>
      <c r="S630" s="51">
        <v>25589</v>
      </c>
      <c r="T630" s="51">
        <v>0</v>
      </c>
      <c r="U630" s="53">
        <f t="shared" si="29"/>
        <v>2.9987119626469161E-2</v>
      </c>
      <c r="V630" s="59" t="e">
        <f>U630-('16. câmbio USD-BRL'!O77/'16. câmbio USD-BRL'!K77-1)</f>
        <v>#VALUE!</v>
      </c>
    </row>
    <row r="631" spans="14:22" x14ac:dyDescent="0.2">
      <c r="N631" s="52">
        <v>38481</v>
      </c>
      <c r="O631" s="51">
        <v>25593</v>
      </c>
      <c r="P631" s="51">
        <v>25623</v>
      </c>
      <c r="Q631" s="51">
        <v>23680</v>
      </c>
      <c r="R631" s="51">
        <v>23887</v>
      </c>
      <c r="S631" s="51">
        <v>23887</v>
      </c>
      <c r="T631" s="51">
        <v>0</v>
      </c>
      <c r="U631" s="53">
        <f t="shared" si="29"/>
        <v>-6.6512954785259315E-2</v>
      </c>
      <c r="V631" s="59" t="e">
        <f>U631-('16. câmbio USD-BRL'!O78/'16. câmbio USD-BRL'!K78-1)</f>
        <v>#VALUE!</v>
      </c>
    </row>
    <row r="632" spans="14:22" x14ac:dyDescent="0.2">
      <c r="N632" s="52">
        <v>38488</v>
      </c>
      <c r="O632" s="51">
        <v>23883</v>
      </c>
      <c r="P632" s="51">
        <v>24967</v>
      </c>
      <c r="Q632" s="51">
        <v>23765</v>
      </c>
      <c r="R632" s="51">
        <v>24522</v>
      </c>
      <c r="S632" s="51">
        <v>24522</v>
      </c>
      <c r="T632" s="51">
        <v>0</v>
      </c>
      <c r="U632" s="53">
        <f t="shared" si="29"/>
        <v>2.6583497299786485E-2</v>
      </c>
      <c r="V632" s="59" t="e">
        <f>U632-('16. câmbio USD-BRL'!O79/'16. câmbio USD-BRL'!K79-1)</f>
        <v>#VALUE!</v>
      </c>
    </row>
    <row r="633" spans="14:22" x14ac:dyDescent="0.2">
      <c r="N633" s="52">
        <v>38495</v>
      </c>
      <c r="O633" s="51">
        <v>24525</v>
      </c>
      <c r="P633" s="51">
        <v>25270</v>
      </c>
      <c r="Q633" s="51">
        <v>24012</v>
      </c>
      <c r="R633" s="51">
        <v>25255</v>
      </c>
      <c r="S633" s="51">
        <v>25255</v>
      </c>
      <c r="T633" s="51">
        <v>0</v>
      </c>
      <c r="U633" s="53">
        <f t="shared" si="29"/>
        <v>2.9891525976674105E-2</v>
      </c>
      <c r="V633" s="59" t="e">
        <f>U633-('16. câmbio USD-BRL'!O80/'16. câmbio USD-BRL'!K80-1)</f>
        <v>#VALUE!</v>
      </c>
    </row>
    <row r="634" spans="14:22" x14ac:dyDescent="0.2">
      <c r="N634" s="52">
        <v>38502</v>
      </c>
      <c r="O634" s="51">
        <v>25248</v>
      </c>
      <c r="P634" s="51">
        <v>26755</v>
      </c>
      <c r="Q634" s="51">
        <v>25154</v>
      </c>
      <c r="R634" s="51">
        <v>26366</v>
      </c>
      <c r="S634" s="51">
        <v>26366</v>
      </c>
      <c r="T634" s="51">
        <v>0</v>
      </c>
      <c r="U634" s="53">
        <f t="shared" si="29"/>
        <v>4.3991288853692412E-2</v>
      </c>
      <c r="V634" s="59" t="e">
        <f>U634-('16. câmbio USD-BRL'!O81/'16. câmbio USD-BRL'!K81-1)</f>
        <v>#VALUE!</v>
      </c>
    </row>
    <row r="635" spans="14:22" x14ac:dyDescent="0.2">
      <c r="N635" s="52">
        <v>38509</v>
      </c>
      <c r="O635" s="51">
        <v>26363</v>
      </c>
      <c r="P635" s="51">
        <v>26363</v>
      </c>
      <c r="Q635" s="51">
        <v>24224</v>
      </c>
      <c r="R635" s="51">
        <v>24951</v>
      </c>
      <c r="S635" s="51">
        <v>24951</v>
      </c>
      <c r="T635" s="51">
        <v>0</v>
      </c>
      <c r="U635" s="53">
        <f t="shared" si="29"/>
        <v>-5.3667602214973797E-2</v>
      </c>
      <c r="V635" s="59" t="e">
        <f>U635-('16. câmbio USD-BRL'!O82/'16. câmbio USD-BRL'!K82-1)</f>
        <v>#VALUE!</v>
      </c>
    </row>
    <row r="636" spans="14:22" x14ac:dyDescent="0.2">
      <c r="N636" s="52">
        <v>38516</v>
      </c>
      <c r="O636" s="51">
        <v>24955</v>
      </c>
      <c r="P636" s="51">
        <v>26267</v>
      </c>
      <c r="Q636" s="51">
        <v>24330</v>
      </c>
      <c r="R636" s="51">
        <v>26093</v>
      </c>
      <c r="S636" s="51">
        <v>26093</v>
      </c>
      <c r="T636" s="51">
        <v>0</v>
      </c>
      <c r="U636" s="53">
        <f t="shared" si="29"/>
        <v>4.5769708628912609E-2</v>
      </c>
      <c r="V636" s="59" t="e">
        <f>U636-('16. câmbio USD-BRL'!O83/'16. câmbio USD-BRL'!K83-1)</f>
        <v>#VALUE!</v>
      </c>
    </row>
    <row r="637" spans="14:22" x14ac:dyDescent="0.2">
      <c r="N637" s="52">
        <v>38523</v>
      </c>
      <c r="O637" s="51">
        <v>26093</v>
      </c>
      <c r="P637" s="51">
        <v>26142</v>
      </c>
      <c r="Q637" s="51">
        <v>24725</v>
      </c>
      <c r="R637" s="51">
        <v>24917</v>
      </c>
      <c r="S637" s="51">
        <v>24917</v>
      </c>
      <c r="T637" s="51">
        <v>0</v>
      </c>
      <c r="U637" s="53">
        <f t="shared" si="29"/>
        <v>-4.5069558885524885E-2</v>
      </c>
      <c r="V637" s="59" t="e">
        <f>U637-('16. câmbio USD-BRL'!O84/'16. câmbio USD-BRL'!K84-1)</f>
        <v>#VALUE!</v>
      </c>
    </row>
    <row r="638" spans="14:22" x14ac:dyDescent="0.2">
      <c r="N638" s="52">
        <v>38530</v>
      </c>
      <c r="O638" s="51">
        <v>24917</v>
      </c>
      <c r="P638" s="51">
        <v>25454</v>
      </c>
      <c r="Q638" s="51">
        <v>24640</v>
      </c>
      <c r="R638" s="51">
        <v>25311</v>
      </c>
      <c r="S638" s="51">
        <v>25311</v>
      </c>
      <c r="T638" s="51">
        <v>0</v>
      </c>
      <c r="U638" s="53">
        <f t="shared" si="29"/>
        <v>1.5812497491672461E-2</v>
      </c>
      <c r="V638" s="59" t="e">
        <f>U638-('16. câmbio USD-BRL'!O85/'16. câmbio USD-BRL'!K85-1)</f>
        <v>#VALUE!</v>
      </c>
    </row>
    <row r="639" spans="14:22" x14ac:dyDescent="0.2">
      <c r="N639" s="52">
        <v>38537</v>
      </c>
      <c r="O639" s="51">
        <v>25314</v>
      </c>
      <c r="P639" s="51">
        <v>25314</v>
      </c>
      <c r="Q639" s="51">
        <v>24192</v>
      </c>
      <c r="R639" s="51">
        <v>24423</v>
      </c>
      <c r="S639" s="51">
        <v>24423</v>
      </c>
      <c r="T639" s="51">
        <v>0</v>
      </c>
      <c r="U639" s="53">
        <f t="shared" si="29"/>
        <v>-3.5083560507289335E-2</v>
      </c>
      <c r="V639" s="59" t="e">
        <f>U639-('16. câmbio USD-BRL'!O86/'16. câmbio USD-BRL'!K86-1)</f>
        <v>#VALUE!</v>
      </c>
    </row>
    <row r="640" spans="14:22" x14ac:dyDescent="0.2">
      <c r="N640" s="52">
        <v>38544</v>
      </c>
      <c r="O640" s="51">
        <v>24425</v>
      </c>
      <c r="P640" s="51">
        <v>26142</v>
      </c>
      <c r="Q640" s="51">
        <v>24425</v>
      </c>
      <c r="R640" s="51">
        <v>25222</v>
      </c>
      <c r="S640" s="51">
        <v>25222</v>
      </c>
      <c r="T640" s="51">
        <v>0</v>
      </c>
      <c r="U640" s="53">
        <f t="shared" si="29"/>
        <v>3.2715063669491951E-2</v>
      </c>
      <c r="V640" s="59" t="e">
        <f>U640-('16. câmbio USD-BRL'!O87/'16. câmbio USD-BRL'!K87-1)</f>
        <v>#VALUE!</v>
      </c>
    </row>
    <row r="641" spans="14:22" x14ac:dyDescent="0.2">
      <c r="N641" s="52">
        <v>38551</v>
      </c>
      <c r="O641" s="51">
        <v>25222</v>
      </c>
      <c r="P641" s="51">
        <v>25964</v>
      </c>
      <c r="Q641" s="51">
        <v>24916</v>
      </c>
      <c r="R641" s="51">
        <v>25391</v>
      </c>
      <c r="S641" s="51">
        <v>25391</v>
      </c>
      <c r="T641" s="51">
        <v>0</v>
      </c>
      <c r="U641" s="53">
        <f t="shared" si="29"/>
        <v>6.7004995638728637E-3</v>
      </c>
      <c r="V641" s="59" t="e">
        <f>U641-('16. câmbio USD-BRL'!O88/'16. câmbio USD-BRL'!K88-1)</f>
        <v>#VALUE!</v>
      </c>
    </row>
    <row r="642" spans="14:22" x14ac:dyDescent="0.2">
      <c r="N642" s="52">
        <v>38558</v>
      </c>
      <c r="O642" s="51">
        <v>25388</v>
      </c>
      <c r="P642" s="51">
        <v>26306</v>
      </c>
      <c r="Q642" s="51">
        <v>24328</v>
      </c>
      <c r="R642" s="51">
        <v>26042</v>
      </c>
      <c r="S642" s="51">
        <v>26042</v>
      </c>
      <c r="T642" s="51">
        <v>0</v>
      </c>
      <c r="U642" s="53">
        <f t="shared" si="29"/>
        <v>2.5639005946989091E-2</v>
      </c>
      <c r="V642" s="59" t="e">
        <f>U642-('16. câmbio USD-BRL'!O89/'16. câmbio USD-BRL'!K89-1)</f>
        <v>#VALUE!</v>
      </c>
    </row>
    <row r="643" spans="14:22" x14ac:dyDescent="0.2">
      <c r="N643" s="52">
        <v>38565</v>
      </c>
      <c r="O643" s="51">
        <v>26042</v>
      </c>
      <c r="P643" s="51">
        <v>27317</v>
      </c>
      <c r="Q643" s="51">
        <v>25911</v>
      </c>
      <c r="R643" s="51">
        <v>26518</v>
      </c>
      <c r="S643" s="51">
        <v>26518</v>
      </c>
      <c r="T643" s="51">
        <v>0</v>
      </c>
      <c r="U643" s="53">
        <f t="shared" si="29"/>
        <v>1.827816603947463E-2</v>
      </c>
      <c r="V643" s="59" t="e">
        <f>U643-('16. câmbio USD-BRL'!O90/'16. câmbio USD-BRL'!K90-1)</f>
        <v>#VALUE!</v>
      </c>
    </row>
    <row r="644" spans="14:22" x14ac:dyDescent="0.2">
      <c r="N644" s="52">
        <v>38572</v>
      </c>
      <c r="O644" s="51">
        <v>26521</v>
      </c>
      <c r="P644" s="51">
        <v>27606</v>
      </c>
      <c r="Q644" s="51">
        <v>25734</v>
      </c>
      <c r="R644" s="51">
        <v>26951</v>
      </c>
      <c r="S644" s="51">
        <v>26951</v>
      </c>
      <c r="T644" s="51">
        <v>0</v>
      </c>
      <c r="U644" s="53">
        <f t="shared" si="29"/>
        <v>1.6328531563466253E-2</v>
      </c>
      <c r="V644" s="59" t="e">
        <f>U644-('16. câmbio USD-BRL'!O91/'16. câmbio USD-BRL'!K91-1)</f>
        <v>#VALUE!</v>
      </c>
    </row>
    <row r="645" spans="14:22" x14ac:dyDescent="0.2">
      <c r="N645" s="52">
        <v>38579</v>
      </c>
      <c r="O645" s="51">
        <v>26960</v>
      </c>
      <c r="P645" s="51">
        <v>27696</v>
      </c>
      <c r="Q645" s="51">
        <v>26129</v>
      </c>
      <c r="R645" s="51">
        <v>26644</v>
      </c>
      <c r="S645" s="51">
        <v>26644</v>
      </c>
      <c r="T645" s="51">
        <v>0</v>
      </c>
      <c r="U645" s="53">
        <f t="shared" ref="U645:U708" si="30">S645/S644-1</f>
        <v>-1.1391043003970203E-2</v>
      </c>
      <c r="V645" s="59" t="e">
        <f>U645-('16. câmbio USD-BRL'!O92/'16. câmbio USD-BRL'!K92-1)</f>
        <v>#VALUE!</v>
      </c>
    </row>
    <row r="646" spans="14:22" x14ac:dyDescent="0.2">
      <c r="N646" s="52">
        <v>38586</v>
      </c>
      <c r="O646" s="51">
        <v>26647</v>
      </c>
      <c r="P646" s="51">
        <v>27422</v>
      </c>
      <c r="Q646" s="51">
        <v>26479</v>
      </c>
      <c r="R646" s="51">
        <v>27095</v>
      </c>
      <c r="S646" s="51">
        <v>27095</v>
      </c>
      <c r="T646" s="51">
        <v>0</v>
      </c>
      <c r="U646" s="53">
        <f t="shared" si="30"/>
        <v>1.6926887854676442E-2</v>
      </c>
      <c r="V646" s="59" t="e">
        <f>U646-('16. câmbio USD-BRL'!O93/'16. câmbio USD-BRL'!K93-1)</f>
        <v>#VALUE!</v>
      </c>
    </row>
    <row r="647" spans="14:22" x14ac:dyDescent="0.2">
      <c r="N647" s="52">
        <v>38593</v>
      </c>
      <c r="O647" s="51">
        <v>27113</v>
      </c>
      <c r="P647" s="51">
        <v>28347</v>
      </c>
      <c r="Q647" s="51">
        <v>26981</v>
      </c>
      <c r="R647" s="51">
        <v>28319</v>
      </c>
      <c r="S647" s="51">
        <v>28319</v>
      </c>
      <c r="T647" s="51">
        <v>0</v>
      </c>
      <c r="U647" s="53">
        <f t="shared" si="30"/>
        <v>4.5174386418158408E-2</v>
      </c>
      <c r="V647" s="59" t="e">
        <f>U647-('16. câmbio USD-BRL'!O94/'16. câmbio USD-BRL'!K94-1)</f>
        <v>#VALUE!</v>
      </c>
    </row>
    <row r="648" spans="14:22" x14ac:dyDescent="0.2">
      <c r="N648" s="52">
        <v>38600</v>
      </c>
      <c r="O648" s="51">
        <v>28322</v>
      </c>
      <c r="P648" s="51">
        <v>29387</v>
      </c>
      <c r="Q648" s="51">
        <v>28322</v>
      </c>
      <c r="R648" s="51">
        <v>29308</v>
      </c>
      <c r="S648" s="51">
        <v>29308</v>
      </c>
      <c r="T648" s="51">
        <v>0</v>
      </c>
      <c r="U648" s="53">
        <f t="shared" si="30"/>
        <v>3.4923549560365919E-2</v>
      </c>
      <c r="V648" s="59" t="e">
        <f>U648-('16. câmbio USD-BRL'!O95/'16. câmbio USD-BRL'!K95-1)</f>
        <v>#VALUE!</v>
      </c>
    </row>
    <row r="649" spans="14:22" x14ac:dyDescent="0.2">
      <c r="N649" s="52">
        <v>38607</v>
      </c>
      <c r="O649" s="51">
        <v>29308</v>
      </c>
      <c r="P649" s="51">
        <v>29863</v>
      </c>
      <c r="Q649" s="51">
        <v>28814</v>
      </c>
      <c r="R649" s="51">
        <v>29816</v>
      </c>
      <c r="S649" s="51">
        <v>29816</v>
      </c>
      <c r="T649" s="51">
        <v>0</v>
      </c>
      <c r="U649" s="53">
        <f t="shared" si="30"/>
        <v>1.7333151357991072E-2</v>
      </c>
      <c r="V649" s="59" t="e">
        <f>U649-('16. câmbio USD-BRL'!O96/'16. câmbio USD-BRL'!K96-1)</f>
        <v>#VALUE!</v>
      </c>
    </row>
    <row r="650" spans="14:22" x14ac:dyDescent="0.2">
      <c r="N650" s="52">
        <v>38614</v>
      </c>
      <c r="O650" s="51">
        <v>29816</v>
      </c>
      <c r="P650" s="51">
        <v>31371</v>
      </c>
      <c r="Q650" s="51">
        <v>29715</v>
      </c>
      <c r="R650" s="51">
        <v>31294</v>
      </c>
      <c r="S650" s="51">
        <v>31294</v>
      </c>
      <c r="T650" s="51">
        <v>0</v>
      </c>
      <c r="U650" s="53">
        <f t="shared" si="30"/>
        <v>4.9570700295143544E-2</v>
      </c>
      <c r="V650" s="59" t="e">
        <f>U650-('16. câmbio USD-BRL'!O97/'16. câmbio USD-BRL'!K97-1)</f>
        <v>#VALUE!</v>
      </c>
    </row>
    <row r="651" spans="14:22" x14ac:dyDescent="0.2">
      <c r="N651" s="52">
        <v>38621</v>
      </c>
      <c r="O651" s="51">
        <v>31301</v>
      </c>
      <c r="P651" s="51">
        <v>31584</v>
      </c>
      <c r="Q651" s="51">
        <v>30593</v>
      </c>
      <c r="R651" s="51">
        <v>31584</v>
      </c>
      <c r="S651" s="51">
        <v>31584</v>
      </c>
      <c r="T651" s="51">
        <v>0</v>
      </c>
      <c r="U651" s="53">
        <f t="shared" si="30"/>
        <v>9.2669521313990533E-3</v>
      </c>
      <c r="V651" s="59" t="e">
        <f>U651-('16. câmbio USD-BRL'!O98/'16. câmbio USD-BRL'!K98-1)</f>
        <v>#VALUE!</v>
      </c>
    </row>
    <row r="652" spans="14:22" x14ac:dyDescent="0.2">
      <c r="N652" s="52">
        <v>38628</v>
      </c>
      <c r="O652" s="51">
        <v>31582</v>
      </c>
      <c r="P652" s="51">
        <v>32052</v>
      </c>
      <c r="Q652" s="51">
        <v>28893</v>
      </c>
      <c r="R652" s="51">
        <v>29973</v>
      </c>
      <c r="S652" s="51">
        <v>29973</v>
      </c>
      <c r="T652" s="51">
        <v>0</v>
      </c>
      <c r="U652" s="53">
        <f t="shared" si="30"/>
        <v>-5.1006838905775065E-2</v>
      </c>
      <c r="V652" s="59" t="e">
        <f>U652-('16. câmbio USD-BRL'!O99/'16. câmbio USD-BRL'!K99-1)</f>
        <v>#VALUE!</v>
      </c>
    </row>
    <row r="653" spans="14:22" x14ac:dyDescent="0.2">
      <c r="N653" s="52">
        <v>38635</v>
      </c>
      <c r="O653" s="51">
        <v>29982</v>
      </c>
      <c r="P653" s="51">
        <v>30775</v>
      </c>
      <c r="Q653" s="51">
        <v>29090</v>
      </c>
      <c r="R653" s="51">
        <v>29770</v>
      </c>
      <c r="S653" s="51">
        <v>29770</v>
      </c>
      <c r="T653" s="51">
        <v>0</v>
      </c>
      <c r="U653" s="53">
        <f t="shared" si="30"/>
        <v>-6.7727621526040283E-3</v>
      </c>
      <c r="V653" s="59" t="e">
        <f>U653-('16. câmbio USD-BRL'!O100/'16. câmbio USD-BRL'!K100-1)</f>
        <v>#VALUE!</v>
      </c>
    </row>
    <row r="654" spans="14:22" x14ac:dyDescent="0.2">
      <c r="N654" s="52">
        <v>38642</v>
      </c>
      <c r="O654" s="51">
        <v>29777</v>
      </c>
      <c r="P654" s="51">
        <v>30451</v>
      </c>
      <c r="Q654" s="51">
        <v>28161</v>
      </c>
      <c r="R654" s="51">
        <v>29176</v>
      </c>
      <c r="S654" s="51">
        <v>29176</v>
      </c>
      <c r="T654" s="51">
        <v>0</v>
      </c>
      <c r="U654" s="53">
        <f t="shared" si="30"/>
        <v>-1.9952972791400736E-2</v>
      </c>
      <c r="V654" s="59" t="e">
        <f>U654-('16. câmbio USD-BRL'!O101/'16. câmbio USD-BRL'!K101-1)</f>
        <v>#VALUE!</v>
      </c>
    </row>
    <row r="655" spans="14:22" x14ac:dyDescent="0.2">
      <c r="N655" s="52">
        <v>38649</v>
      </c>
      <c r="O655" s="51">
        <v>29176</v>
      </c>
      <c r="P655" s="51">
        <v>30095</v>
      </c>
      <c r="Q655" s="51">
        <v>29005</v>
      </c>
      <c r="R655" s="51">
        <v>29318</v>
      </c>
      <c r="S655" s="51">
        <v>29318</v>
      </c>
      <c r="T655" s="51">
        <v>0</v>
      </c>
      <c r="U655" s="53">
        <f t="shared" si="30"/>
        <v>4.8670139840965021E-3</v>
      </c>
      <c r="V655" s="59" t="e">
        <f>U655-('16. câmbio USD-BRL'!O102/'16. câmbio USD-BRL'!K102-1)</f>
        <v>#VALUE!</v>
      </c>
    </row>
    <row r="656" spans="14:22" x14ac:dyDescent="0.2">
      <c r="N656" s="52">
        <v>38656</v>
      </c>
      <c r="O656" s="51">
        <v>29333</v>
      </c>
      <c r="P656" s="51">
        <v>31487</v>
      </c>
      <c r="Q656" s="51">
        <v>29333</v>
      </c>
      <c r="R656" s="51">
        <v>30888</v>
      </c>
      <c r="S656" s="51">
        <v>30888</v>
      </c>
      <c r="T656" s="51">
        <v>0</v>
      </c>
      <c r="U656" s="53">
        <f t="shared" si="30"/>
        <v>5.3550719694385629E-2</v>
      </c>
      <c r="V656" s="59" t="e">
        <f>U656-('16. câmbio USD-BRL'!O103/'16. câmbio USD-BRL'!K103-1)</f>
        <v>#VALUE!</v>
      </c>
    </row>
    <row r="657" spans="14:22" x14ac:dyDescent="0.2">
      <c r="N657" s="52">
        <v>38663</v>
      </c>
      <c r="O657" s="51">
        <v>30888</v>
      </c>
      <c r="P657" s="51">
        <v>31363</v>
      </c>
      <c r="Q657" s="51">
        <v>30218</v>
      </c>
      <c r="R657" s="51">
        <v>30511</v>
      </c>
      <c r="S657" s="51">
        <v>30511</v>
      </c>
      <c r="T657" s="51">
        <v>0</v>
      </c>
      <c r="U657" s="53">
        <f t="shared" si="30"/>
        <v>-1.2205387205387219E-2</v>
      </c>
      <c r="V657" s="59" t="e">
        <f>U657-('16. câmbio USD-BRL'!O104/'16. câmbio USD-BRL'!K104-1)</f>
        <v>#VALUE!</v>
      </c>
    </row>
    <row r="658" spans="14:22" x14ac:dyDescent="0.2">
      <c r="N658" s="52">
        <v>38670</v>
      </c>
      <c r="O658" s="51">
        <v>30510</v>
      </c>
      <c r="P658" s="51">
        <v>31248</v>
      </c>
      <c r="Q658" s="51">
        <v>29948</v>
      </c>
      <c r="R658" s="51">
        <v>31102</v>
      </c>
      <c r="S658" s="51">
        <v>31102</v>
      </c>
      <c r="T658" s="51">
        <v>0</v>
      </c>
      <c r="U658" s="53">
        <f t="shared" si="30"/>
        <v>1.937006325587487E-2</v>
      </c>
      <c r="V658" s="59" t="e">
        <f>U658-('16. câmbio USD-BRL'!O105/'16. câmbio USD-BRL'!K105-1)</f>
        <v>#VALUE!</v>
      </c>
    </row>
    <row r="659" spans="14:22" x14ac:dyDescent="0.2">
      <c r="N659" s="52">
        <v>38677</v>
      </c>
      <c r="O659" s="51">
        <v>31102</v>
      </c>
      <c r="P659" s="51">
        <v>32123</v>
      </c>
      <c r="Q659" s="51">
        <v>30473</v>
      </c>
      <c r="R659" s="51">
        <v>31920</v>
      </c>
      <c r="S659" s="51">
        <v>31920</v>
      </c>
      <c r="T659" s="51">
        <v>0</v>
      </c>
      <c r="U659" s="53">
        <f t="shared" si="30"/>
        <v>2.6300559449553118E-2</v>
      </c>
      <c r="V659" s="59" t="e">
        <f>U659-('16. câmbio USD-BRL'!O106/'16. câmbio USD-BRL'!K106-1)</f>
        <v>#VALUE!</v>
      </c>
    </row>
    <row r="660" spans="14:22" x14ac:dyDescent="0.2">
      <c r="N660" s="52">
        <v>38684</v>
      </c>
      <c r="O660" s="51">
        <v>31920</v>
      </c>
      <c r="P660" s="51">
        <v>32936</v>
      </c>
      <c r="Q660" s="51">
        <v>31296</v>
      </c>
      <c r="R660" s="51">
        <v>32832</v>
      </c>
      <c r="S660" s="51">
        <v>32832</v>
      </c>
      <c r="T660" s="51">
        <v>0</v>
      </c>
      <c r="U660" s="53">
        <f t="shared" si="30"/>
        <v>2.857142857142847E-2</v>
      </c>
      <c r="V660" s="59" t="e">
        <f>U660-('16. câmbio USD-BRL'!O107/'16. câmbio USD-BRL'!K107-1)</f>
        <v>#VALUE!</v>
      </c>
    </row>
    <row r="661" spans="14:22" x14ac:dyDescent="0.2">
      <c r="N661" s="52">
        <v>38691</v>
      </c>
      <c r="O661" s="51">
        <v>32835</v>
      </c>
      <c r="P661" s="51">
        <v>33332</v>
      </c>
      <c r="Q661" s="51">
        <v>32476</v>
      </c>
      <c r="R661" s="51">
        <v>32922</v>
      </c>
      <c r="S661" s="51">
        <v>32922</v>
      </c>
      <c r="T661" s="51">
        <v>0</v>
      </c>
      <c r="U661" s="53">
        <f t="shared" si="30"/>
        <v>2.7412280701755165E-3</v>
      </c>
      <c r="V661" s="59" t="e">
        <f>U661-('16. câmbio USD-BRL'!O108/'16. câmbio USD-BRL'!K108-1)</f>
        <v>#VALUE!</v>
      </c>
    </row>
    <row r="662" spans="14:22" x14ac:dyDescent="0.2">
      <c r="N662" s="52">
        <v>38698</v>
      </c>
      <c r="O662" s="51">
        <v>32925</v>
      </c>
      <c r="P662" s="51">
        <v>33837</v>
      </c>
      <c r="Q662" s="51">
        <v>32835</v>
      </c>
      <c r="R662" s="51">
        <v>33292</v>
      </c>
      <c r="S662" s="51">
        <v>33292</v>
      </c>
      <c r="T662" s="51">
        <v>0</v>
      </c>
      <c r="U662" s="53">
        <f t="shared" si="30"/>
        <v>1.123868537755901E-2</v>
      </c>
      <c r="V662" s="59" t="e">
        <f>U662-('16. câmbio USD-BRL'!O109/'16. câmbio USD-BRL'!K109-1)</f>
        <v>#VALUE!</v>
      </c>
    </row>
    <row r="663" spans="14:22" x14ac:dyDescent="0.2">
      <c r="N663" s="52">
        <v>38705</v>
      </c>
      <c r="O663" s="51">
        <v>33284</v>
      </c>
      <c r="P663" s="51">
        <v>33652</v>
      </c>
      <c r="Q663" s="51">
        <v>32768</v>
      </c>
      <c r="R663" s="51">
        <v>33331</v>
      </c>
      <c r="S663" s="51">
        <v>33331</v>
      </c>
      <c r="T663" s="51">
        <v>0</v>
      </c>
      <c r="U663" s="53">
        <f t="shared" si="30"/>
        <v>1.1714526012254201E-3</v>
      </c>
      <c r="V663" s="59" t="e">
        <f>U663-('16. câmbio USD-BRL'!O110/'16. câmbio USD-BRL'!K110-1)</f>
        <v>#VALUE!</v>
      </c>
    </row>
    <row r="664" spans="14:22" x14ac:dyDescent="0.2">
      <c r="N664" s="52">
        <v>38712</v>
      </c>
      <c r="O664" s="51">
        <v>33331</v>
      </c>
      <c r="P664" s="51">
        <v>33631</v>
      </c>
      <c r="Q664" s="51">
        <v>32965</v>
      </c>
      <c r="R664" s="51">
        <v>33456</v>
      </c>
      <c r="S664" s="51">
        <v>33456</v>
      </c>
      <c r="T664" s="51">
        <v>0</v>
      </c>
      <c r="U664" s="53">
        <f t="shared" si="30"/>
        <v>3.7502625183762905E-3</v>
      </c>
      <c r="V664" s="59" t="e">
        <f>U664-('16. câmbio USD-BRL'!O111/'16. câmbio USD-BRL'!K111-1)</f>
        <v>#VALUE!</v>
      </c>
    </row>
    <row r="665" spans="14:22" x14ac:dyDescent="0.2">
      <c r="N665" s="52">
        <v>38719</v>
      </c>
      <c r="O665" s="51">
        <v>33462</v>
      </c>
      <c r="P665" s="51">
        <v>35529</v>
      </c>
      <c r="Q665" s="51">
        <v>32860</v>
      </c>
      <c r="R665" s="51">
        <v>35475</v>
      </c>
      <c r="S665" s="51">
        <v>35475</v>
      </c>
      <c r="T665" s="51">
        <v>0</v>
      </c>
      <c r="U665" s="53">
        <f t="shared" si="30"/>
        <v>6.0347919655667104E-2</v>
      </c>
      <c r="V665" s="59" t="e">
        <f>U665-('16. câmbio USD-BRL'!O112/'16. câmbio USD-BRL'!K112-1)</f>
        <v>#VALUE!</v>
      </c>
    </row>
    <row r="666" spans="14:22" x14ac:dyDescent="0.2">
      <c r="N666" s="52">
        <v>38726</v>
      </c>
      <c r="O666" s="51">
        <v>35475</v>
      </c>
      <c r="P666" s="51">
        <v>36286</v>
      </c>
      <c r="Q666" s="51">
        <v>34687</v>
      </c>
      <c r="R666" s="51">
        <v>35897</v>
      </c>
      <c r="S666" s="51">
        <v>35897</v>
      </c>
      <c r="T666" s="51">
        <v>0</v>
      </c>
      <c r="U666" s="53">
        <f t="shared" si="30"/>
        <v>1.1895701198026742E-2</v>
      </c>
      <c r="V666" s="59" t="e">
        <f>U666-('16. câmbio USD-BRL'!O113/'16. câmbio USD-BRL'!K113-1)</f>
        <v>#VALUE!</v>
      </c>
    </row>
    <row r="667" spans="14:22" x14ac:dyDescent="0.2">
      <c r="N667" s="52">
        <v>38733</v>
      </c>
      <c r="O667" s="51">
        <v>35897</v>
      </c>
      <c r="P667" s="51">
        <v>36979</v>
      </c>
      <c r="Q667" s="51">
        <v>35380</v>
      </c>
      <c r="R667" s="51">
        <v>36695</v>
      </c>
      <c r="S667" s="51">
        <v>36695</v>
      </c>
      <c r="T667" s="51">
        <v>0</v>
      </c>
      <c r="U667" s="53">
        <f t="shared" si="30"/>
        <v>2.223026993899202E-2</v>
      </c>
      <c r="V667" s="59" t="e">
        <f>U667-('16. câmbio USD-BRL'!O114/'16. câmbio USD-BRL'!K114-1)</f>
        <v>#VALUE!</v>
      </c>
    </row>
    <row r="668" spans="14:22" x14ac:dyDescent="0.2">
      <c r="N668" s="52">
        <v>38740</v>
      </c>
      <c r="O668" s="51">
        <v>36687</v>
      </c>
      <c r="P668" s="51">
        <v>38804</v>
      </c>
      <c r="Q668" s="51">
        <v>36213</v>
      </c>
      <c r="R668" s="51">
        <v>37822</v>
      </c>
      <c r="S668" s="51">
        <v>37822</v>
      </c>
      <c r="T668" s="51">
        <v>0</v>
      </c>
      <c r="U668" s="53">
        <f t="shared" si="30"/>
        <v>3.0712631148657854E-2</v>
      </c>
      <c r="V668" s="59" t="e">
        <f>U668-('16. câmbio USD-BRL'!O115/'16. câmbio USD-BRL'!K115-1)</f>
        <v>#VALUE!</v>
      </c>
    </row>
    <row r="669" spans="14:22" x14ac:dyDescent="0.2">
      <c r="N669" s="52">
        <v>38747</v>
      </c>
      <c r="O669" s="51">
        <v>37824</v>
      </c>
      <c r="P669" s="51">
        <v>38508</v>
      </c>
      <c r="Q669" s="51">
        <v>36526</v>
      </c>
      <c r="R669" s="51">
        <v>37262</v>
      </c>
      <c r="S669" s="51">
        <v>37262</v>
      </c>
      <c r="T669" s="51">
        <v>0</v>
      </c>
      <c r="U669" s="53">
        <f t="shared" si="30"/>
        <v>-1.4806197451218917E-2</v>
      </c>
      <c r="V669" s="59" t="e">
        <f>U669-('16. câmbio USD-BRL'!O116/'16. câmbio USD-BRL'!K116-1)</f>
        <v>#VALUE!</v>
      </c>
    </row>
    <row r="670" spans="14:22" x14ac:dyDescent="0.2">
      <c r="N670" s="52">
        <v>38754</v>
      </c>
      <c r="O670" s="51">
        <v>37262</v>
      </c>
      <c r="P670" s="51">
        <v>37813</v>
      </c>
      <c r="Q670" s="51">
        <v>36183</v>
      </c>
      <c r="R670" s="51">
        <v>36975</v>
      </c>
      <c r="S670" s="51">
        <v>36975</v>
      </c>
      <c r="T670" s="51">
        <v>0</v>
      </c>
      <c r="U670" s="53">
        <f t="shared" si="30"/>
        <v>-7.7022167355482729E-3</v>
      </c>
      <c r="V670" s="59" t="e">
        <f>U670-('16. câmbio USD-BRL'!O117/'16. câmbio USD-BRL'!K117-1)</f>
        <v>#VALUE!</v>
      </c>
    </row>
    <row r="671" spans="14:22" x14ac:dyDescent="0.2">
      <c r="N671" s="52">
        <v>38761</v>
      </c>
      <c r="O671" s="51">
        <v>36975</v>
      </c>
      <c r="P671" s="51">
        <v>38642</v>
      </c>
      <c r="Q671" s="51">
        <v>35891</v>
      </c>
      <c r="R671" s="51">
        <v>38422</v>
      </c>
      <c r="S671" s="51">
        <v>38422</v>
      </c>
      <c r="T671" s="51">
        <v>0</v>
      </c>
      <c r="U671" s="53">
        <f t="shared" si="30"/>
        <v>3.9134550371872967E-2</v>
      </c>
      <c r="V671" s="59" t="e">
        <f>U671-('16. câmbio USD-BRL'!O118/'16. câmbio USD-BRL'!K118-1)</f>
        <v>#VALUE!</v>
      </c>
    </row>
    <row r="672" spans="14:22" x14ac:dyDescent="0.2">
      <c r="N672" s="52">
        <v>38768</v>
      </c>
      <c r="O672" s="51">
        <v>38418</v>
      </c>
      <c r="P672" s="51">
        <v>38978</v>
      </c>
      <c r="Q672" s="51">
        <v>37747</v>
      </c>
      <c r="R672" s="51">
        <v>38610</v>
      </c>
      <c r="S672" s="51">
        <v>38610</v>
      </c>
      <c r="T672" s="51">
        <v>0</v>
      </c>
      <c r="U672" s="53">
        <f t="shared" si="30"/>
        <v>4.8930300348759559E-3</v>
      </c>
      <c r="V672" s="59" t="e">
        <f>U672-('16. câmbio USD-BRL'!O119/'16. câmbio USD-BRL'!K119-1)</f>
        <v>#VALUE!</v>
      </c>
    </row>
    <row r="673" spans="14:22" x14ac:dyDescent="0.2">
      <c r="N673" s="52">
        <v>38775</v>
      </c>
      <c r="O673" s="51">
        <v>38610</v>
      </c>
      <c r="P673" s="51">
        <v>39367</v>
      </c>
      <c r="Q673" s="51">
        <v>38533</v>
      </c>
      <c r="R673" s="51">
        <v>39240</v>
      </c>
      <c r="S673" s="51">
        <v>39240</v>
      </c>
      <c r="T673" s="51">
        <v>0</v>
      </c>
      <c r="U673" s="53">
        <f t="shared" si="30"/>
        <v>1.631701631701632E-2</v>
      </c>
      <c r="V673" s="59" t="e">
        <f>U673-('16. câmbio USD-BRL'!O120/'16. câmbio USD-BRL'!K120-1)</f>
        <v>#VALUE!</v>
      </c>
    </row>
    <row r="674" spans="14:22" x14ac:dyDescent="0.2">
      <c r="N674" s="52">
        <v>38782</v>
      </c>
      <c r="O674" s="51">
        <v>39241</v>
      </c>
      <c r="P674" s="51">
        <v>39395</v>
      </c>
      <c r="Q674" s="51">
        <v>36085</v>
      </c>
      <c r="R674" s="51">
        <v>36891</v>
      </c>
      <c r="S674" s="51">
        <v>36891</v>
      </c>
      <c r="T674" s="51">
        <v>0</v>
      </c>
      <c r="U674" s="53">
        <f t="shared" si="30"/>
        <v>-5.9862385321100886E-2</v>
      </c>
      <c r="V674" s="59" t="e">
        <f>U674-('16. câmbio USD-BRL'!O121/'16. câmbio USD-BRL'!K121-1)</f>
        <v>#VALUE!</v>
      </c>
    </row>
    <row r="675" spans="14:22" x14ac:dyDescent="0.2">
      <c r="N675" s="52">
        <v>38789</v>
      </c>
      <c r="O675" s="51">
        <v>36891</v>
      </c>
      <c r="P675" s="51">
        <v>38578</v>
      </c>
      <c r="Q675" s="51">
        <v>36417</v>
      </c>
      <c r="R675" s="51">
        <v>38049</v>
      </c>
      <c r="S675" s="51">
        <v>38049</v>
      </c>
      <c r="T675" s="51">
        <v>0</v>
      </c>
      <c r="U675" s="53">
        <f t="shared" si="30"/>
        <v>3.1389769862568029E-2</v>
      </c>
      <c r="V675" s="59" t="e">
        <f>U675-('16. câmbio USD-BRL'!O122/'16. câmbio USD-BRL'!K122-1)</f>
        <v>#VALUE!</v>
      </c>
    </row>
    <row r="676" spans="14:22" x14ac:dyDescent="0.2">
      <c r="N676" s="52">
        <v>38796</v>
      </c>
      <c r="O676" s="51">
        <v>38049</v>
      </c>
      <c r="P676" s="51">
        <v>38500</v>
      </c>
      <c r="Q676" s="51">
        <v>37156</v>
      </c>
      <c r="R676" s="51">
        <v>37577</v>
      </c>
      <c r="S676" s="51">
        <v>37577</v>
      </c>
      <c r="T676" s="51">
        <v>0</v>
      </c>
      <c r="U676" s="53">
        <f t="shared" si="30"/>
        <v>-1.2405056637493805E-2</v>
      </c>
      <c r="V676" s="59">
        <f>U676-('16. câmbio USD-BRL'!O123/'16. câmbio USD-BRL'!K123-1)</f>
        <v>-4.3275122109994735E-3</v>
      </c>
    </row>
    <row r="677" spans="14:22" x14ac:dyDescent="0.2">
      <c r="N677" s="52">
        <v>38803</v>
      </c>
      <c r="O677" s="51">
        <v>37577</v>
      </c>
      <c r="P677" s="51">
        <v>38089</v>
      </c>
      <c r="Q677" s="51">
        <v>36682</v>
      </c>
      <c r="R677" s="51">
        <v>37952</v>
      </c>
      <c r="S677" s="51">
        <v>37952</v>
      </c>
      <c r="T677" s="51">
        <v>0</v>
      </c>
      <c r="U677" s="53">
        <f t="shared" si="30"/>
        <v>9.9795087420495587E-3</v>
      </c>
      <c r="V677" s="59">
        <f>U677-('16. câmbio USD-BRL'!O124/'16. câmbio USD-BRL'!K124-1)</f>
        <v>4.5515337942416689E-3</v>
      </c>
    </row>
    <row r="678" spans="14:22" x14ac:dyDescent="0.2">
      <c r="N678" s="52">
        <v>38810</v>
      </c>
      <c r="O678" s="51">
        <v>37952</v>
      </c>
      <c r="P678" s="51">
        <v>39397</v>
      </c>
      <c r="Q678" s="51">
        <v>37952</v>
      </c>
      <c r="R678" s="51">
        <v>38926</v>
      </c>
      <c r="S678" s="51">
        <v>38926</v>
      </c>
      <c r="T678" s="51">
        <v>0</v>
      </c>
      <c r="U678" s="53">
        <f t="shared" si="30"/>
        <v>2.5663996627318664E-2</v>
      </c>
      <c r="V678" s="59">
        <f>U678-('16. câmbio USD-BRL'!O125/'16. câmbio USD-BRL'!K125-1)</f>
        <v>3.796855764128837E-2</v>
      </c>
    </row>
    <row r="679" spans="14:22" x14ac:dyDescent="0.2">
      <c r="N679" s="52">
        <v>38817</v>
      </c>
      <c r="O679" s="51">
        <v>38927</v>
      </c>
      <c r="P679" s="51">
        <v>38927</v>
      </c>
      <c r="Q679" s="51">
        <v>37816</v>
      </c>
      <c r="R679" s="51">
        <v>38082</v>
      </c>
      <c r="S679" s="51">
        <v>38082</v>
      </c>
      <c r="T679" s="51">
        <v>0</v>
      </c>
      <c r="U679" s="53">
        <f t="shared" si="30"/>
        <v>-2.168216616143448E-2</v>
      </c>
      <c r="V679" s="59">
        <f>U679-('16. câmbio USD-BRL'!O126/'16. câmbio USD-BRL'!K126-1)</f>
        <v>-1.9212455071033641E-2</v>
      </c>
    </row>
    <row r="680" spans="14:22" x14ac:dyDescent="0.2">
      <c r="N680" s="52">
        <v>38824</v>
      </c>
      <c r="O680" s="51">
        <v>38086</v>
      </c>
      <c r="P680" s="51">
        <v>40278</v>
      </c>
      <c r="Q680" s="51">
        <v>38086</v>
      </c>
      <c r="R680" s="51">
        <v>39775</v>
      </c>
      <c r="S680" s="51">
        <v>39775</v>
      </c>
      <c r="T680" s="51">
        <v>0</v>
      </c>
      <c r="U680" s="53">
        <f t="shared" si="30"/>
        <v>4.4456698702799224E-2</v>
      </c>
      <c r="V680" s="59">
        <f>U680-('16. câmbio USD-BRL'!O127/'16. câmbio USD-BRL'!K127-1)</f>
        <v>5.3252431836513181E-2</v>
      </c>
    </row>
    <row r="681" spans="14:22" x14ac:dyDescent="0.2">
      <c r="N681" s="52">
        <v>38831</v>
      </c>
      <c r="O681" s="51">
        <v>39775</v>
      </c>
      <c r="P681" s="51">
        <v>40425</v>
      </c>
      <c r="Q681" s="51">
        <v>39577</v>
      </c>
      <c r="R681" s="51">
        <v>40363</v>
      </c>
      <c r="S681" s="51">
        <v>40363</v>
      </c>
      <c r="T681" s="51">
        <v>0</v>
      </c>
      <c r="U681" s="53">
        <f t="shared" si="30"/>
        <v>1.4783155248271562E-2</v>
      </c>
      <c r="V681" s="59">
        <f>U681-('16. câmbio USD-BRL'!O128/'16. câmbio USD-BRL'!K128-1)</f>
        <v>2.6349579570809412E-2</v>
      </c>
    </row>
    <row r="682" spans="14:22" x14ac:dyDescent="0.2">
      <c r="N682" s="52">
        <v>38838</v>
      </c>
      <c r="O682" s="51">
        <v>40365</v>
      </c>
      <c r="P682" s="51">
        <v>41449</v>
      </c>
      <c r="Q682" s="51">
        <v>40277</v>
      </c>
      <c r="R682" s="51">
        <v>41417</v>
      </c>
      <c r="S682" s="51">
        <v>41417</v>
      </c>
      <c r="T682" s="51">
        <v>0</v>
      </c>
      <c r="U682" s="53">
        <f t="shared" si="30"/>
        <v>2.6113024304437182E-2</v>
      </c>
      <c r="V682" s="59">
        <f>U682-('16. câmbio USD-BRL'!O129/'16. câmbio USD-BRL'!K129-1)</f>
        <v>3.8974143413756823E-2</v>
      </c>
    </row>
    <row r="683" spans="14:22" x14ac:dyDescent="0.2">
      <c r="N683" s="52">
        <v>38845</v>
      </c>
      <c r="O683" s="51">
        <v>41417</v>
      </c>
      <c r="P683" s="51">
        <v>42062</v>
      </c>
      <c r="Q683" s="51">
        <v>40121</v>
      </c>
      <c r="R683" s="51">
        <v>40223</v>
      </c>
      <c r="S683" s="51">
        <v>40223</v>
      </c>
      <c r="T683" s="51">
        <v>0</v>
      </c>
      <c r="U683" s="53">
        <f t="shared" si="30"/>
        <v>-2.8828741820991377E-2</v>
      </c>
      <c r="V683" s="59">
        <f>U683-('16. câmbio USD-BRL'!O130/'16. câmbio USD-BRL'!K130-1)</f>
        <v>-6.552107200323487E-2</v>
      </c>
    </row>
    <row r="684" spans="14:22" x14ac:dyDescent="0.2">
      <c r="N684" s="52">
        <v>38852</v>
      </c>
      <c r="O684" s="51">
        <v>39688</v>
      </c>
      <c r="P684" s="51">
        <v>40209</v>
      </c>
      <c r="Q684" s="51">
        <v>37325</v>
      </c>
      <c r="R684" s="51">
        <v>37733</v>
      </c>
      <c r="S684" s="51">
        <v>37733</v>
      </c>
      <c r="T684" s="51">
        <v>0</v>
      </c>
      <c r="U684" s="53">
        <f t="shared" si="30"/>
        <v>-6.1904880292370068E-2</v>
      </c>
      <c r="V684" s="59">
        <f>U684-('16. câmbio USD-BRL'!O131/'16. câmbio USD-BRL'!K131-1)</f>
        <v>-9.0462932726826928E-2</v>
      </c>
    </row>
    <row r="685" spans="14:22" x14ac:dyDescent="0.2">
      <c r="N685" s="52">
        <v>38859</v>
      </c>
      <c r="O685" s="51">
        <v>37732</v>
      </c>
      <c r="P685" s="51">
        <v>38510</v>
      </c>
      <c r="Q685" s="51">
        <v>34911</v>
      </c>
      <c r="R685" s="51">
        <v>38506</v>
      </c>
      <c r="S685" s="51">
        <v>38506</v>
      </c>
      <c r="T685" s="51">
        <v>0</v>
      </c>
      <c r="U685" s="53">
        <f t="shared" si="30"/>
        <v>2.0486046696525539E-2</v>
      </c>
      <c r="V685" s="59">
        <f>U685-('16. câmbio USD-BRL'!O132/'16. câmbio USD-BRL'!K132-1)</f>
        <v>-6.1411722383857281E-3</v>
      </c>
    </row>
    <row r="686" spans="14:22" x14ac:dyDescent="0.2">
      <c r="N686" s="52">
        <v>38866</v>
      </c>
      <c r="O686" s="51">
        <v>38634</v>
      </c>
      <c r="P686" s="51">
        <v>38734</v>
      </c>
      <c r="Q686" s="51">
        <v>36362</v>
      </c>
      <c r="R686" s="51">
        <v>37942</v>
      </c>
      <c r="S686" s="51">
        <v>37942</v>
      </c>
      <c r="T686" s="51">
        <v>0</v>
      </c>
      <c r="U686" s="53">
        <f t="shared" si="30"/>
        <v>-1.4647067989404294E-2</v>
      </c>
      <c r="V686" s="59">
        <f>U686-('16. câmbio USD-BRL'!O133/'16. câmbio USD-BRL'!K133-1)</f>
        <v>-3.5444992669608433E-2</v>
      </c>
    </row>
    <row r="687" spans="14:22" x14ac:dyDescent="0.2">
      <c r="N687" s="52">
        <v>38873</v>
      </c>
      <c r="O687" s="51">
        <v>37939</v>
      </c>
      <c r="P687" s="51">
        <v>37976</v>
      </c>
      <c r="Q687" s="51">
        <v>34360</v>
      </c>
      <c r="R687" s="51">
        <v>35075</v>
      </c>
      <c r="S687" s="51">
        <v>35075</v>
      </c>
      <c r="T687" s="51">
        <v>0</v>
      </c>
      <c r="U687" s="53">
        <f t="shared" si="30"/>
        <v>-7.5562700964630247E-2</v>
      </c>
      <c r="V687" s="59">
        <f>U687-('16. câmbio USD-BRL'!O134/'16. câmbio USD-BRL'!K134-1)</f>
        <v>-6.579185576461255E-2</v>
      </c>
    </row>
    <row r="688" spans="14:22" x14ac:dyDescent="0.2">
      <c r="N688" s="52">
        <v>38880</v>
      </c>
      <c r="O688" s="51">
        <v>35083</v>
      </c>
      <c r="P688" s="51">
        <v>35266</v>
      </c>
      <c r="Q688" s="51">
        <v>32057</v>
      </c>
      <c r="R688" s="51">
        <v>34399</v>
      </c>
      <c r="S688" s="51">
        <v>34399</v>
      </c>
      <c r="T688" s="51">
        <v>0</v>
      </c>
      <c r="U688" s="53">
        <f t="shared" si="30"/>
        <v>-1.9272986457590902E-2</v>
      </c>
      <c r="V688" s="59">
        <f>U688-('16. câmbio USD-BRL'!O135/'16. câmbio USD-BRL'!K135-1)</f>
        <v>-1.554826137777543E-2</v>
      </c>
    </row>
    <row r="689" spans="14:22" x14ac:dyDescent="0.2">
      <c r="N689" s="52">
        <v>38887</v>
      </c>
      <c r="O689" s="51">
        <v>34407</v>
      </c>
      <c r="P689" s="51">
        <v>34864</v>
      </c>
      <c r="Q689" s="51">
        <v>33216</v>
      </c>
      <c r="R689" s="51">
        <v>34661</v>
      </c>
      <c r="S689" s="51">
        <v>34661</v>
      </c>
      <c r="T689" s="51">
        <v>0</v>
      </c>
      <c r="U689" s="53">
        <f t="shared" si="30"/>
        <v>7.6165004796651115E-3</v>
      </c>
      <c r="V689" s="59">
        <f>U689-('16. câmbio USD-BRL'!O136/'16. câmbio USD-BRL'!K136-1)</f>
        <v>8.6401785996579328E-3</v>
      </c>
    </row>
    <row r="690" spans="14:22" x14ac:dyDescent="0.2">
      <c r="N690" s="52">
        <v>38894</v>
      </c>
      <c r="O690" s="51">
        <v>34663</v>
      </c>
      <c r="P690" s="51">
        <v>37036</v>
      </c>
      <c r="Q690" s="51">
        <v>34349</v>
      </c>
      <c r="R690" s="51">
        <v>36631</v>
      </c>
      <c r="S690" s="51">
        <v>36631</v>
      </c>
      <c r="T690" s="51">
        <v>0</v>
      </c>
      <c r="U690" s="53">
        <f t="shared" si="30"/>
        <v>5.6836213611840325E-2</v>
      </c>
      <c r="V690" s="59">
        <f>U690-('16. câmbio USD-BRL'!O137/'16. câmbio USD-BRL'!K137-1)</f>
        <v>8.6770689870704021E-2</v>
      </c>
    </row>
    <row r="691" spans="14:22" x14ac:dyDescent="0.2">
      <c r="N691" s="52">
        <v>38901</v>
      </c>
      <c r="O691" s="51">
        <v>36629</v>
      </c>
      <c r="P691" s="51">
        <v>37601</v>
      </c>
      <c r="Q691" s="51">
        <v>35850</v>
      </c>
      <c r="R691" s="51">
        <v>36102</v>
      </c>
      <c r="S691" s="51">
        <v>36102</v>
      </c>
      <c r="T691" s="51">
        <v>0</v>
      </c>
      <c r="U691" s="53">
        <f t="shared" si="30"/>
        <v>-1.4441320193278928E-2</v>
      </c>
      <c r="V691" s="59">
        <f>U691-('16. câmbio USD-BRL'!O138/'16. câmbio USD-BRL'!K138-1)</f>
        <v>-1.65682911092635E-2</v>
      </c>
    </row>
    <row r="692" spans="14:22" x14ac:dyDescent="0.2">
      <c r="N692" s="52">
        <v>38908</v>
      </c>
      <c r="O692" s="51">
        <v>36107</v>
      </c>
      <c r="P692" s="51">
        <v>36747</v>
      </c>
      <c r="Q692" s="51">
        <v>35001</v>
      </c>
      <c r="R692" s="51">
        <v>35350</v>
      </c>
      <c r="S692" s="51">
        <v>35350</v>
      </c>
      <c r="T692" s="51">
        <v>0</v>
      </c>
      <c r="U692" s="53">
        <f t="shared" si="30"/>
        <v>-2.0829870921278637E-2</v>
      </c>
      <c r="V692" s="59">
        <f>U692-('16. câmbio USD-BRL'!O139/'16. câmbio USD-BRL'!K139-1)</f>
        <v>1.676135320319927E-2</v>
      </c>
    </row>
    <row r="693" spans="14:22" x14ac:dyDescent="0.2">
      <c r="N693" s="52">
        <v>38915</v>
      </c>
      <c r="O693" s="51">
        <v>35344</v>
      </c>
      <c r="P693" s="51">
        <v>37043</v>
      </c>
      <c r="Q693" s="51">
        <v>34591</v>
      </c>
      <c r="R693" s="51">
        <v>35510</v>
      </c>
      <c r="S693" s="51">
        <v>35510</v>
      </c>
      <c r="T693" s="51">
        <v>0</v>
      </c>
      <c r="U693" s="53">
        <f t="shared" si="30"/>
        <v>4.5261669024045936E-3</v>
      </c>
      <c r="V693" s="59">
        <f>U693-('16. câmbio USD-BRL'!O140/'16. câmbio USD-BRL'!K140-1)</f>
        <v>1.4971565952822785E-2</v>
      </c>
    </row>
    <row r="694" spans="14:22" x14ac:dyDescent="0.2">
      <c r="N694" s="52">
        <v>38922</v>
      </c>
      <c r="O694" s="51">
        <v>35525</v>
      </c>
      <c r="P694" s="51">
        <v>37522</v>
      </c>
      <c r="Q694" s="51">
        <v>35525</v>
      </c>
      <c r="R694" s="51">
        <v>37381</v>
      </c>
      <c r="S694" s="51">
        <v>37381</v>
      </c>
      <c r="T694" s="51">
        <v>0</v>
      </c>
      <c r="U694" s="53">
        <f t="shared" si="30"/>
        <v>5.2689383272317647E-2</v>
      </c>
      <c r="V694" s="59">
        <f>U694-('16. câmbio USD-BRL'!O141/'16. câmbio USD-BRL'!K141-1)</f>
        <v>6.1663099848639713E-2</v>
      </c>
    </row>
    <row r="695" spans="14:22" x14ac:dyDescent="0.2">
      <c r="N695" s="52">
        <v>38929</v>
      </c>
      <c r="O695" s="51">
        <v>37381</v>
      </c>
      <c r="P695" s="51">
        <v>38172</v>
      </c>
      <c r="Q695" s="51">
        <v>36536</v>
      </c>
      <c r="R695" s="51">
        <v>37848</v>
      </c>
      <c r="S695" s="51">
        <v>37848</v>
      </c>
      <c r="T695" s="51">
        <v>0</v>
      </c>
      <c r="U695" s="53">
        <f t="shared" si="30"/>
        <v>1.2492977715951925E-2</v>
      </c>
      <c r="V695" s="59">
        <f>U695-('16. câmbio USD-BRL'!O142/'16. câmbio USD-BRL'!K142-1)</f>
        <v>-4.0266329181102067E-2</v>
      </c>
    </row>
    <row r="696" spans="14:22" x14ac:dyDescent="0.2">
      <c r="N696" s="52">
        <v>38936</v>
      </c>
      <c r="O696" s="51">
        <v>37845</v>
      </c>
      <c r="P696" s="51">
        <v>38086</v>
      </c>
      <c r="Q696" s="51">
        <v>36886</v>
      </c>
      <c r="R696" s="51">
        <v>36944</v>
      </c>
      <c r="S696" s="51">
        <v>36944</v>
      </c>
      <c r="T696" s="51">
        <v>0</v>
      </c>
      <c r="U696" s="53">
        <f t="shared" si="30"/>
        <v>-2.3885013739167182E-2</v>
      </c>
      <c r="V696" s="59">
        <f>U696-('16. câmbio USD-BRL'!O143/'16. câmbio USD-BRL'!K143-1)</f>
        <v>-2.6525600536233207E-2</v>
      </c>
    </row>
    <row r="697" spans="14:22" x14ac:dyDescent="0.2">
      <c r="N697" s="52">
        <v>38943</v>
      </c>
      <c r="O697" s="51">
        <v>36950</v>
      </c>
      <c r="P697" s="51">
        <v>38022</v>
      </c>
      <c r="Q697" s="51">
        <v>36490</v>
      </c>
      <c r="R697" s="51">
        <v>37552</v>
      </c>
      <c r="S697" s="51">
        <v>37552</v>
      </c>
      <c r="T697" s="51">
        <v>0</v>
      </c>
      <c r="U697" s="53">
        <f t="shared" si="30"/>
        <v>1.645734084019046E-2</v>
      </c>
      <c r="V697" s="59">
        <f>U697-('16. câmbio USD-BRL'!O144/'16. câmbio USD-BRL'!K144-1)</f>
        <v>-3.0741019175428486E-2</v>
      </c>
    </row>
    <row r="698" spans="14:22" x14ac:dyDescent="0.2">
      <c r="N698" s="52">
        <v>38950</v>
      </c>
      <c r="O698" s="51">
        <v>37550</v>
      </c>
      <c r="P698" s="51">
        <v>37550</v>
      </c>
      <c r="Q698" s="51">
        <v>35123</v>
      </c>
      <c r="R698" s="51">
        <v>35958</v>
      </c>
      <c r="S698" s="51">
        <v>35958</v>
      </c>
      <c r="T698" s="51">
        <v>0</v>
      </c>
      <c r="U698" s="53">
        <f t="shared" si="30"/>
        <v>-4.2447805709416309E-2</v>
      </c>
      <c r="V698" s="59">
        <f>U698-('16. câmbio USD-BRL'!O145/'16. câmbio USD-BRL'!K145-1)</f>
        <v>-0.10835633475762407</v>
      </c>
    </row>
    <row r="699" spans="14:22" x14ac:dyDescent="0.2">
      <c r="N699" s="52">
        <v>38957</v>
      </c>
      <c r="O699" s="51">
        <v>35958</v>
      </c>
      <c r="P699" s="51">
        <v>37329</v>
      </c>
      <c r="Q699" s="51">
        <v>35649</v>
      </c>
      <c r="R699" s="51">
        <v>37329</v>
      </c>
      <c r="S699" s="51">
        <v>37329</v>
      </c>
      <c r="T699" s="51">
        <v>243189000</v>
      </c>
      <c r="U699" s="53">
        <f t="shared" si="30"/>
        <v>3.8127815785082619E-2</v>
      </c>
      <c r="V699" s="59">
        <f>U699-('16. câmbio USD-BRL'!O146/'16. câmbio USD-BRL'!K146-1)</f>
        <v>-1.5441859163360938E-2</v>
      </c>
    </row>
    <row r="700" spans="14:22" x14ac:dyDescent="0.2">
      <c r="N700" s="52">
        <v>38964</v>
      </c>
      <c r="O700" s="51">
        <v>37330</v>
      </c>
      <c r="P700" s="51">
        <v>37739</v>
      </c>
      <c r="Q700" s="51">
        <v>36495</v>
      </c>
      <c r="R700" s="51">
        <v>36558</v>
      </c>
      <c r="S700" s="51">
        <v>36558</v>
      </c>
      <c r="T700" s="51">
        <v>367234800</v>
      </c>
      <c r="U700" s="53">
        <f t="shared" si="30"/>
        <v>-2.0654183074821142E-2</v>
      </c>
      <c r="V700" s="59">
        <f>U700-('16. câmbio USD-BRL'!O147/'16. câmbio USD-BRL'!K147-1)</f>
        <v>-8.5052244208464578E-2</v>
      </c>
    </row>
    <row r="701" spans="14:22" x14ac:dyDescent="0.2">
      <c r="N701" s="52">
        <v>38971</v>
      </c>
      <c r="O701" s="51">
        <v>36561</v>
      </c>
      <c r="P701" s="51">
        <v>36726</v>
      </c>
      <c r="Q701" s="51">
        <v>35626</v>
      </c>
      <c r="R701" s="51">
        <v>36170</v>
      </c>
      <c r="S701" s="51">
        <v>36170</v>
      </c>
      <c r="T701" s="51">
        <v>602015900</v>
      </c>
      <c r="U701" s="53">
        <f t="shared" si="30"/>
        <v>-1.0613272060834844E-2</v>
      </c>
      <c r="V701" s="59">
        <f>U701-('16. câmbio USD-BRL'!O148/'16. câmbio USD-BRL'!K148-1)</f>
        <v>-1.0148588045964746E-2</v>
      </c>
    </row>
    <row r="702" spans="14:22" x14ac:dyDescent="0.2">
      <c r="N702" s="52">
        <v>38978</v>
      </c>
      <c r="O702" s="51">
        <v>36168</v>
      </c>
      <c r="P702" s="51">
        <v>36670</v>
      </c>
      <c r="Q702" s="51">
        <v>34397</v>
      </c>
      <c r="R702" s="51">
        <v>34799</v>
      </c>
      <c r="S702" s="51">
        <v>34799</v>
      </c>
      <c r="T702" s="51">
        <v>668416300</v>
      </c>
      <c r="U702" s="53">
        <f t="shared" si="30"/>
        <v>-3.790434061376835E-2</v>
      </c>
      <c r="V702" s="59">
        <f>U702-('16. câmbio USD-BRL'!O149/'16. câmbio USD-BRL'!K149-1)</f>
        <v>-0.11516111581361244</v>
      </c>
    </row>
    <row r="703" spans="14:22" x14ac:dyDescent="0.2">
      <c r="N703" s="52">
        <v>38985</v>
      </c>
      <c r="O703" s="51">
        <v>34803</v>
      </c>
      <c r="P703" s="51">
        <v>36570</v>
      </c>
      <c r="Q703" s="51">
        <v>34127</v>
      </c>
      <c r="R703" s="51">
        <v>36449</v>
      </c>
      <c r="S703" s="51">
        <v>36449</v>
      </c>
      <c r="T703" s="51">
        <v>654755900</v>
      </c>
      <c r="U703" s="53">
        <f t="shared" si="30"/>
        <v>4.7415155607919868E-2</v>
      </c>
      <c r="V703" s="59">
        <f>U703-('16. câmbio USD-BRL'!O150/'16. câmbio USD-BRL'!K150-1)</f>
        <v>1.3573561037870441E-2</v>
      </c>
    </row>
    <row r="704" spans="14:22" x14ac:dyDescent="0.2">
      <c r="N704" s="52">
        <v>38992</v>
      </c>
      <c r="O704" s="51">
        <v>36450</v>
      </c>
      <c r="P704" s="51">
        <v>38205</v>
      </c>
      <c r="Q704" s="51">
        <v>36438</v>
      </c>
      <c r="R704" s="51">
        <v>37940</v>
      </c>
      <c r="S704" s="51">
        <v>37940</v>
      </c>
      <c r="T704" s="51">
        <v>708531200</v>
      </c>
      <c r="U704" s="53">
        <f t="shared" si="30"/>
        <v>4.090647205684661E-2</v>
      </c>
      <c r="V704" s="59">
        <f>U704-('16. câmbio USD-BRL'!O151/'16. câmbio USD-BRL'!K151-1)</f>
        <v>-1.4125971715412744E-2</v>
      </c>
    </row>
    <row r="705" spans="14:22" x14ac:dyDescent="0.2">
      <c r="N705" s="52">
        <v>38999</v>
      </c>
      <c r="O705" s="51">
        <v>37930</v>
      </c>
      <c r="P705" s="51">
        <v>39177</v>
      </c>
      <c r="Q705" s="51">
        <v>37736</v>
      </c>
      <c r="R705" s="51">
        <v>38850</v>
      </c>
      <c r="S705" s="51">
        <v>38850</v>
      </c>
      <c r="T705" s="51">
        <v>431514100</v>
      </c>
      <c r="U705" s="53">
        <f t="shared" si="30"/>
        <v>2.3985239852398532E-2</v>
      </c>
      <c r="V705" s="59">
        <f>U705-('16. câmbio USD-BRL'!O152/'16. câmbio USD-BRL'!K152-1)</f>
        <v>3.5545933494017024E-2</v>
      </c>
    </row>
    <row r="706" spans="14:22" x14ac:dyDescent="0.2">
      <c r="N706" s="52">
        <v>39006</v>
      </c>
      <c r="O706" s="51">
        <v>38852</v>
      </c>
      <c r="P706" s="51">
        <v>39446</v>
      </c>
      <c r="Q706" s="51">
        <v>38440</v>
      </c>
      <c r="R706" s="51">
        <v>38643</v>
      </c>
      <c r="S706" s="51">
        <v>38643</v>
      </c>
      <c r="T706" s="51">
        <v>479679500</v>
      </c>
      <c r="U706" s="53">
        <f t="shared" si="30"/>
        <v>-5.3281853281853531E-3</v>
      </c>
      <c r="V706" s="59">
        <f>U706-('16. câmbio USD-BRL'!O153/'16. câmbio USD-BRL'!K153-1)</f>
        <v>-5.3281853281853531E-3</v>
      </c>
    </row>
    <row r="707" spans="14:22" x14ac:dyDescent="0.2">
      <c r="N707" s="52">
        <v>39013</v>
      </c>
      <c r="O707" s="51">
        <v>38643</v>
      </c>
      <c r="P707" s="51">
        <v>39843</v>
      </c>
      <c r="Q707" s="51">
        <v>38273</v>
      </c>
      <c r="R707" s="51">
        <v>39328</v>
      </c>
      <c r="S707" s="51">
        <v>39328</v>
      </c>
      <c r="T707" s="51">
        <v>511768000</v>
      </c>
      <c r="U707" s="53">
        <f t="shared" si="30"/>
        <v>1.7726367000491683E-2</v>
      </c>
      <c r="V707" s="59">
        <f>U707-('16. câmbio USD-BRL'!O154/'16. câmbio USD-BRL'!K154-1)</f>
        <v>1.9131848377863525E-2</v>
      </c>
    </row>
    <row r="708" spans="14:22" x14ac:dyDescent="0.2">
      <c r="N708" s="52">
        <v>39020</v>
      </c>
      <c r="O708" s="51">
        <v>39327</v>
      </c>
      <c r="P708" s="51">
        <v>40482</v>
      </c>
      <c r="Q708" s="51">
        <v>38681</v>
      </c>
      <c r="R708" s="51">
        <v>40435</v>
      </c>
      <c r="S708" s="51">
        <v>40435</v>
      </c>
      <c r="T708" s="51">
        <v>573564700</v>
      </c>
      <c r="U708" s="53">
        <f t="shared" si="30"/>
        <v>2.8147884458909589E-2</v>
      </c>
      <c r="V708" s="59">
        <f>U708-('16. câmbio USD-BRL'!O155/'16. câmbio USD-BRL'!K155-1)</f>
        <v>2.482095507415738E-2</v>
      </c>
    </row>
    <row r="709" spans="14:22" x14ac:dyDescent="0.2">
      <c r="N709" s="52">
        <v>39027</v>
      </c>
      <c r="O709" s="51">
        <v>40437</v>
      </c>
      <c r="P709" s="51">
        <v>41813</v>
      </c>
      <c r="Q709" s="51">
        <v>40322</v>
      </c>
      <c r="R709" s="51">
        <v>40720</v>
      </c>
      <c r="S709" s="51">
        <v>40720</v>
      </c>
      <c r="T709" s="51">
        <v>746742900</v>
      </c>
      <c r="U709" s="53">
        <f t="shared" ref="U709:U772" si="31">S709/S708-1</f>
        <v>7.0483492024235872E-3</v>
      </c>
      <c r="V709" s="59">
        <f>U709-('16. câmbio USD-BRL'!O156/'16. câmbio USD-BRL'!K156-1)</f>
        <v>-4.9054013002300723E-2</v>
      </c>
    </row>
    <row r="710" spans="14:22" x14ac:dyDescent="0.2">
      <c r="N710" s="52">
        <v>39034</v>
      </c>
      <c r="O710" s="51">
        <v>40724</v>
      </c>
      <c r="P710" s="51">
        <v>41781</v>
      </c>
      <c r="Q710" s="51">
        <v>40038</v>
      </c>
      <c r="R710" s="51">
        <v>41029</v>
      </c>
      <c r="S710" s="51">
        <v>41029</v>
      </c>
      <c r="T710" s="51">
        <v>416038100</v>
      </c>
      <c r="U710" s="53">
        <f t="shared" si="31"/>
        <v>7.5884086444006904E-3</v>
      </c>
      <c r="V710" s="59">
        <f>U710-('16. câmbio USD-BRL'!O157/'16. câmbio USD-BRL'!K157-1)</f>
        <v>-5.7132841417215197E-2</v>
      </c>
    </row>
    <row r="711" spans="14:22" x14ac:dyDescent="0.2">
      <c r="N711" s="52">
        <v>39041</v>
      </c>
      <c r="O711" s="51">
        <v>41029</v>
      </c>
      <c r="P711" s="51">
        <v>42308</v>
      </c>
      <c r="Q711" s="51">
        <v>40986</v>
      </c>
      <c r="R711" s="51">
        <v>41758</v>
      </c>
      <c r="S711" s="51">
        <v>41758</v>
      </c>
      <c r="T711" s="51">
        <v>412704800</v>
      </c>
      <c r="U711" s="53">
        <f t="shared" si="31"/>
        <v>1.7767920251529512E-2</v>
      </c>
      <c r="V711" s="59">
        <f>U711-('16. câmbio USD-BRL'!O158/'16. câmbio USD-BRL'!K158-1)</f>
        <v>1.637903136264085E-2</v>
      </c>
    </row>
    <row r="712" spans="14:22" x14ac:dyDescent="0.2">
      <c r="N712" s="52">
        <v>39048</v>
      </c>
      <c r="O712" s="51">
        <v>41758</v>
      </c>
      <c r="P712" s="51">
        <v>42175</v>
      </c>
      <c r="Q712" s="51">
        <v>40428</v>
      </c>
      <c r="R712" s="51">
        <v>41327</v>
      </c>
      <c r="S712" s="51">
        <v>41327</v>
      </c>
      <c r="T712" s="51">
        <v>371582500</v>
      </c>
      <c r="U712" s="53">
        <f t="shared" si="31"/>
        <v>-1.0321375544805833E-2</v>
      </c>
      <c r="V712" s="59">
        <f>U712-('16. câmbio USD-BRL'!O159/'16. câmbio USD-BRL'!K159-1)</f>
        <v>-8.009771291454082E-3</v>
      </c>
    </row>
    <row r="713" spans="14:22" x14ac:dyDescent="0.2">
      <c r="N713" s="52">
        <v>39055</v>
      </c>
      <c r="O713" s="51">
        <v>41329</v>
      </c>
      <c r="P713" s="51">
        <v>43506</v>
      </c>
      <c r="Q713" s="51">
        <v>41282</v>
      </c>
      <c r="R713" s="51">
        <v>42978</v>
      </c>
      <c r="S713" s="51">
        <v>42978</v>
      </c>
      <c r="T713" s="51">
        <v>420282800</v>
      </c>
      <c r="U713" s="53">
        <f t="shared" si="31"/>
        <v>3.9949669707455282E-2</v>
      </c>
      <c r="V713" s="59">
        <f>U713-('16. câmbio USD-BRL'!O160/'16. câmbio USD-BRL'!K160-1)</f>
        <v>-6.8479977595903296E-3</v>
      </c>
    </row>
    <row r="714" spans="14:22" x14ac:dyDescent="0.2">
      <c r="N714" s="52">
        <v>39062</v>
      </c>
      <c r="O714" s="51">
        <v>42968</v>
      </c>
      <c r="P714" s="51">
        <v>44263</v>
      </c>
      <c r="Q714" s="51">
        <v>42783</v>
      </c>
      <c r="R714" s="51">
        <v>43596</v>
      </c>
      <c r="S714" s="51">
        <v>43596</v>
      </c>
      <c r="T714" s="51">
        <v>683086900</v>
      </c>
      <c r="U714" s="53">
        <f t="shared" si="31"/>
        <v>1.4379449951137824E-2</v>
      </c>
      <c r="V714" s="59">
        <f>U714-('16. câmbio USD-BRL'!O161/'16. câmbio USD-BRL'!K161-1)</f>
        <v>1.1898408850117281E-2</v>
      </c>
    </row>
    <row r="715" spans="14:22" x14ac:dyDescent="0.2">
      <c r="N715" s="52">
        <v>39069</v>
      </c>
      <c r="O715" s="51">
        <v>43596</v>
      </c>
      <c r="P715" s="51">
        <v>44048</v>
      </c>
      <c r="Q715" s="51">
        <v>42891</v>
      </c>
      <c r="R715" s="51">
        <v>43356</v>
      </c>
      <c r="S715" s="51">
        <v>43356</v>
      </c>
      <c r="T715" s="51">
        <v>396291300</v>
      </c>
      <c r="U715" s="53">
        <f t="shared" si="31"/>
        <v>-5.5050922102944932E-3</v>
      </c>
      <c r="V715" s="59">
        <f>U715-('16. câmbio USD-BRL'!O162/'16. câmbio USD-BRL'!K162-1)</f>
        <v>-8.3068666674505076E-3</v>
      </c>
    </row>
    <row r="716" spans="14:22" x14ac:dyDescent="0.2">
      <c r="N716" s="52">
        <v>39076</v>
      </c>
      <c r="O716" s="51">
        <v>43356</v>
      </c>
      <c r="P716" s="51">
        <v>44675</v>
      </c>
      <c r="Q716" s="51">
        <v>43356</v>
      </c>
      <c r="R716" s="51">
        <v>44474</v>
      </c>
      <c r="S716" s="51">
        <v>44474</v>
      </c>
      <c r="T716" s="51">
        <v>261764200</v>
      </c>
      <c r="U716" s="53">
        <f t="shared" si="31"/>
        <v>2.5786511670818246E-2</v>
      </c>
      <c r="V716" s="59">
        <f>U716-('16. câmbio USD-BRL'!O163/'16. câmbio USD-BRL'!K163-1)</f>
        <v>3.3469864406557526E-2</v>
      </c>
    </row>
    <row r="717" spans="14:22" x14ac:dyDescent="0.2">
      <c r="N717" s="52">
        <v>39083</v>
      </c>
      <c r="O717" s="51">
        <v>44476</v>
      </c>
      <c r="P717" s="51">
        <v>45388</v>
      </c>
      <c r="Q717" s="51">
        <v>42160</v>
      </c>
      <c r="R717" s="51">
        <v>42245</v>
      </c>
      <c r="S717" s="51">
        <v>42245</v>
      </c>
      <c r="T717" s="51">
        <v>448565000</v>
      </c>
      <c r="U717" s="53">
        <f t="shared" si="31"/>
        <v>-5.0119170751450337E-2</v>
      </c>
      <c r="V717" s="59">
        <f>U717-('16. câmbio USD-BRL'!O164/'16. câmbio USD-BRL'!K164-1)</f>
        <v>-5.7627382858442378E-2</v>
      </c>
    </row>
    <row r="718" spans="14:22" x14ac:dyDescent="0.2">
      <c r="N718" s="52">
        <v>39090</v>
      </c>
      <c r="O718" s="51">
        <v>42249</v>
      </c>
      <c r="P718" s="51">
        <v>43188</v>
      </c>
      <c r="Q718" s="51">
        <v>41266</v>
      </c>
      <c r="R718" s="51">
        <v>43095</v>
      </c>
      <c r="S718" s="51">
        <v>43095</v>
      </c>
      <c r="T718" s="51">
        <v>518763100</v>
      </c>
      <c r="U718" s="53">
        <f t="shared" si="31"/>
        <v>2.0120724346076369E-2</v>
      </c>
      <c r="V718" s="59">
        <f>U718-('16. câmbio USD-BRL'!O165/'16. câmbio USD-BRL'!K165-1)</f>
        <v>2.5473295907630922E-2</v>
      </c>
    </row>
    <row r="719" spans="14:22" x14ac:dyDescent="0.2">
      <c r="N719" s="52">
        <v>39097</v>
      </c>
      <c r="O719" s="51">
        <v>43095</v>
      </c>
      <c r="P719" s="51">
        <v>43473</v>
      </c>
      <c r="Q719" s="51">
        <v>42252</v>
      </c>
      <c r="R719" s="51">
        <v>43428</v>
      </c>
      <c r="S719" s="51">
        <v>43428</v>
      </c>
      <c r="T719" s="51">
        <v>308322400</v>
      </c>
      <c r="U719" s="53">
        <f t="shared" si="31"/>
        <v>7.727114514444855E-3</v>
      </c>
      <c r="V719" s="59">
        <f>U719-('16. câmbio USD-BRL'!O166/'16. câmbio USD-BRL'!K166-1)</f>
        <v>1.3483385573973217E-2</v>
      </c>
    </row>
    <row r="720" spans="14:22" x14ac:dyDescent="0.2">
      <c r="N720" s="52">
        <v>39104</v>
      </c>
      <c r="O720" s="51">
        <v>43431</v>
      </c>
      <c r="P720" s="51">
        <v>44808</v>
      </c>
      <c r="Q720" s="51">
        <v>43183</v>
      </c>
      <c r="R720" s="51">
        <v>44412</v>
      </c>
      <c r="S720" s="51">
        <v>44412</v>
      </c>
      <c r="T720" s="51">
        <v>397832100</v>
      </c>
      <c r="U720" s="53">
        <f t="shared" si="31"/>
        <v>2.2658192870958827E-2</v>
      </c>
      <c r="V720" s="59">
        <f>U720-('16. câmbio USD-BRL'!O167/'16. câmbio USD-BRL'!K167-1)</f>
        <v>1.936329995497843E-2</v>
      </c>
    </row>
    <row r="721" spans="14:22" x14ac:dyDescent="0.2">
      <c r="N721" s="52">
        <v>39111</v>
      </c>
      <c r="O721" s="51">
        <v>44414</v>
      </c>
      <c r="P721" s="51">
        <v>45212</v>
      </c>
      <c r="Q721" s="51">
        <v>43508</v>
      </c>
      <c r="R721" s="51">
        <v>44998</v>
      </c>
      <c r="S721" s="51">
        <v>44998</v>
      </c>
      <c r="T721" s="51">
        <v>564367800</v>
      </c>
      <c r="U721" s="53">
        <f t="shared" si="31"/>
        <v>1.3194632081419355E-2</v>
      </c>
      <c r="V721" s="59">
        <f>U721-('16. câmbio USD-BRL'!O168/'16. câmbio USD-BRL'!K168-1)</f>
        <v>3.1491606043418052E-2</v>
      </c>
    </row>
    <row r="722" spans="14:22" x14ac:dyDescent="0.2">
      <c r="N722" s="52">
        <v>39118</v>
      </c>
      <c r="O722" s="51">
        <v>44999</v>
      </c>
      <c r="P722" s="51">
        <v>45486</v>
      </c>
      <c r="Q722" s="51">
        <v>44070</v>
      </c>
      <c r="R722" s="51">
        <v>44284</v>
      </c>
      <c r="S722" s="51">
        <v>44284</v>
      </c>
      <c r="T722" s="51">
        <v>561141000</v>
      </c>
      <c r="U722" s="53">
        <f t="shared" si="31"/>
        <v>-1.5867371883194759E-2</v>
      </c>
      <c r="V722" s="59">
        <f>U722-('16. câmbio USD-BRL'!O169/'16. câmbio USD-BRL'!K169-1)</f>
        <v>-1.8256858143648858E-2</v>
      </c>
    </row>
    <row r="723" spans="14:22" x14ac:dyDescent="0.2">
      <c r="N723" s="52">
        <v>39125</v>
      </c>
      <c r="O723" s="51">
        <v>44286</v>
      </c>
      <c r="P723" s="51">
        <v>46178</v>
      </c>
      <c r="Q723" s="51">
        <v>43850</v>
      </c>
      <c r="R723" s="51">
        <v>45849</v>
      </c>
      <c r="S723" s="51">
        <v>45849</v>
      </c>
      <c r="T723" s="51">
        <v>691223500</v>
      </c>
      <c r="U723" s="53">
        <f t="shared" si="31"/>
        <v>3.5340077680426241E-2</v>
      </c>
      <c r="V723" s="59">
        <f>U723-('16. câmbio USD-BRL'!O170/'16. câmbio USD-BRL'!K170-1)</f>
        <v>4.001230652428811E-2</v>
      </c>
    </row>
    <row r="724" spans="14:22" x14ac:dyDescent="0.2">
      <c r="N724" s="52">
        <v>39132</v>
      </c>
      <c r="O724" s="51">
        <v>45849</v>
      </c>
      <c r="P724" s="51">
        <v>46752</v>
      </c>
      <c r="Q724" s="51">
        <v>45558</v>
      </c>
      <c r="R724" s="51">
        <v>46016</v>
      </c>
      <c r="S724" s="51">
        <v>46016</v>
      </c>
      <c r="T724" s="51">
        <v>271185200</v>
      </c>
      <c r="U724" s="53">
        <f t="shared" si="31"/>
        <v>3.6423913280552167E-3</v>
      </c>
      <c r="V724" s="59">
        <f>U724-('16. câmbio USD-BRL'!O171/'16. câmbio USD-BRL'!K171-1)</f>
        <v>5.1751786059208715E-3</v>
      </c>
    </row>
    <row r="725" spans="14:22" x14ac:dyDescent="0.2">
      <c r="N725" s="52">
        <v>39139</v>
      </c>
      <c r="O725" s="51">
        <v>46021</v>
      </c>
      <c r="P725" s="51">
        <v>46450</v>
      </c>
      <c r="Q725" s="51">
        <v>42037</v>
      </c>
      <c r="R725" s="51">
        <v>42370</v>
      </c>
      <c r="S725" s="51">
        <v>42370</v>
      </c>
      <c r="T725" s="51">
        <v>791152100</v>
      </c>
      <c r="U725" s="53">
        <f t="shared" si="31"/>
        <v>-7.9233310152990288E-2</v>
      </c>
      <c r="V725" s="59">
        <f>U725-('16. câmbio USD-BRL'!O172/'16. câmbio USD-BRL'!K172-1)</f>
        <v>-9.5064444717634311E-2</v>
      </c>
    </row>
    <row r="726" spans="14:22" x14ac:dyDescent="0.2">
      <c r="N726" s="52">
        <v>39146</v>
      </c>
      <c r="O726" s="51">
        <v>42370</v>
      </c>
      <c r="P726" s="51">
        <v>44173</v>
      </c>
      <c r="Q726" s="51">
        <v>41117</v>
      </c>
      <c r="R726" s="51">
        <v>44133</v>
      </c>
      <c r="S726" s="51">
        <v>44133</v>
      </c>
      <c r="T726" s="51">
        <v>585594400</v>
      </c>
      <c r="U726" s="53">
        <f t="shared" si="31"/>
        <v>4.1609629454802954E-2</v>
      </c>
      <c r="V726" s="59">
        <f>U726-('16. câmbio USD-BRL'!O173/'16. câmbio USD-BRL'!K173-1)</f>
        <v>5.365213240639688E-2</v>
      </c>
    </row>
    <row r="727" spans="14:22" x14ac:dyDescent="0.2">
      <c r="N727" s="52">
        <v>39153</v>
      </c>
      <c r="O727" s="51">
        <v>44133</v>
      </c>
      <c r="P727" s="51">
        <v>44406</v>
      </c>
      <c r="Q727" s="51">
        <v>42051</v>
      </c>
      <c r="R727" s="51">
        <v>42730</v>
      </c>
      <c r="S727" s="51">
        <v>42730</v>
      </c>
      <c r="T727" s="51">
        <v>685041600</v>
      </c>
      <c r="U727" s="53">
        <f t="shared" si="31"/>
        <v>-3.1790270319262182E-2</v>
      </c>
      <c r="V727" s="59">
        <f>U727-('16. câmbio USD-BRL'!O174/'16. câmbio USD-BRL'!K174-1)</f>
        <v>-3.0356235902436079E-2</v>
      </c>
    </row>
    <row r="728" spans="14:22" x14ac:dyDescent="0.2">
      <c r="N728" s="52">
        <v>39160</v>
      </c>
      <c r="O728" s="51">
        <v>42734</v>
      </c>
      <c r="P728" s="51">
        <v>45950</v>
      </c>
      <c r="Q728" s="51">
        <v>42734</v>
      </c>
      <c r="R728" s="51">
        <v>45533</v>
      </c>
      <c r="S728" s="51">
        <v>45533</v>
      </c>
      <c r="T728" s="51">
        <v>731800600</v>
      </c>
      <c r="U728" s="53">
        <f t="shared" si="31"/>
        <v>6.5597940556985757E-2</v>
      </c>
      <c r="V728" s="59">
        <f>U728-('16. câmbio USD-BRL'!O175/'16. câmbio USD-BRL'!K175-1)</f>
        <v>7.8995069743588608E-2</v>
      </c>
    </row>
    <row r="729" spans="14:22" x14ac:dyDescent="0.2">
      <c r="N729" s="52">
        <v>39167</v>
      </c>
      <c r="O729" s="51">
        <v>45533</v>
      </c>
      <c r="P729" s="51">
        <v>45805</v>
      </c>
      <c r="Q729" s="51">
        <v>44315</v>
      </c>
      <c r="R729" s="51">
        <v>45805</v>
      </c>
      <c r="S729" s="51">
        <v>45805</v>
      </c>
      <c r="T729" s="51">
        <v>565080100</v>
      </c>
      <c r="U729" s="53">
        <f t="shared" si="31"/>
        <v>5.9736894120747674E-3</v>
      </c>
      <c r="V729" s="59">
        <f>U729-('16. câmbio USD-BRL'!O176/'16. câmbio USD-BRL'!K176-1)</f>
        <v>7.9163800385925187E-3</v>
      </c>
    </row>
    <row r="730" spans="14:22" x14ac:dyDescent="0.2">
      <c r="N730" s="52">
        <v>39174</v>
      </c>
      <c r="O730" s="51">
        <v>45805</v>
      </c>
      <c r="P730" s="51">
        <v>46767</v>
      </c>
      <c r="Q730" s="51">
        <v>45225</v>
      </c>
      <c r="R730" s="51">
        <v>46647</v>
      </c>
      <c r="S730" s="51">
        <v>46647</v>
      </c>
      <c r="T730" s="51">
        <v>585985800</v>
      </c>
      <c r="U730" s="53">
        <f t="shared" si="31"/>
        <v>1.8382272677655243E-2</v>
      </c>
      <c r="V730" s="59">
        <f>U730-('16. câmbio USD-BRL'!O177/'16. câmbio USD-BRL'!K177-1)</f>
        <v>3.1044199238481118E-2</v>
      </c>
    </row>
    <row r="731" spans="14:22" x14ac:dyDescent="0.2">
      <c r="N731" s="52">
        <v>39181</v>
      </c>
      <c r="O731" s="51">
        <v>46650</v>
      </c>
      <c r="P731" s="51">
        <v>47968</v>
      </c>
      <c r="Q731" s="51">
        <v>46506</v>
      </c>
      <c r="R731" s="51">
        <v>47926</v>
      </c>
      <c r="S731" s="51">
        <v>47926</v>
      </c>
      <c r="T731" s="51">
        <v>699166200</v>
      </c>
      <c r="U731" s="53">
        <f t="shared" si="31"/>
        <v>2.7418697879820764E-2</v>
      </c>
      <c r="V731" s="59">
        <f>U731-('16. câmbio USD-BRL'!O178/'16. câmbio USD-BRL'!K178-1)</f>
        <v>3.2795041965842264E-2</v>
      </c>
    </row>
    <row r="732" spans="14:22" x14ac:dyDescent="0.2">
      <c r="N732" s="52">
        <v>39188</v>
      </c>
      <c r="O732" s="51">
        <v>47925</v>
      </c>
      <c r="P732" s="51">
        <v>49459</v>
      </c>
      <c r="Q732" s="51">
        <v>47917</v>
      </c>
      <c r="R732" s="51">
        <v>49408</v>
      </c>
      <c r="S732" s="51">
        <v>49408</v>
      </c>
      <c r="T732" s="51">
        <v>810418000</v>
      </c>
      <c r="U732" s="53">
        <f t="shared" si="31"/>
        <v>3.0922672453365552E-2</v>
      </c>
      <c r="V732" s="59">
        <f>U732-('16. câmbio USD-BRL'!O179/'16. câmbio USD-BRL'!K179-1)</f>
        <v>2.8145583437744426E-2</v>
      </c>
    </row>
    <row r="733" spans="14:22" x14ac:dyDescent="0.2">
      <c r="N733" s="52">
        <v>39195</v>
      </c>
      <c r="O733" s="51">
        <v>49409</v>
      </c>
      <c r="P733" s="51">
        <v>49856</v>
      </c>
      <c r="Q733" s="51">
        <v>48311</v>
      </c>
      <c r="R733" s="51">
        <v>49230</v>
      </c>
      <c r="S733" s="51">
        <v>49230</v>
      </c>
      <c r="T733" s="51">
        <v>537377300</v>
      </c>
      <c r="U733" s="53">
        <f t="shared" si="31"/>
        <v>-3.6026554404144928E-3</v>
      </c>
      <c r="V733" s="59">
        <f>U733-('16. câmbio USD-BRL'!O180/'16. câmbio USD-BRL'!K180-1)</f>
        <v>-6.3723275310223482E-3</v>
      </c>
    </row>
    <row r="734" spans="14:22" x14ac:dyDescent="0.2">
      <c r="N734" s="52">
        <v>39202</v>
      </c>
      <c r="O734" s="51">
        <v>49222</v>
      </c>
      <c r="P734" s="51">
        <v>50898</v>
      </c>
      <c r="Q734" s="51">
        <v>48744</v>
      </c>
      <c r="R734" s="51">
        <v>50598</v>
      </c>
      <c r="S734" s="51">
        <v>50598</v>
      </c>
      <c r="T734" s="51">
        <v>348402700</v>
      </c>
      <c r="U734" s="53">
        <f t="shared" si="31"/>
        <v>2.7787934186471741E-2</v>
      </c>
      <c r="V734" s="59">
        <f>U734-('16. câmbio USD-BRL'!O181/'16. câmbio USD-BRL'!K181-1)</f>
        <v>2.9414671838054018E-2</v>
      </c>
    </row>
    <row r="735" spans="14:22" x14ac:dyDescent="0.2">
      <c r="N735" s="52">
        <v>39209</v>
      </c>
      <c r="O735" s="51">
        <v>50591</v>
      </c>
      <c r="P735" s="51">
        <v>51369</v>
      </c>
      <c r="Q735" s="51">
        <v>49526</v>
      </c>
      <c r="R735" s="51">
        <v>50902</v>
      </c>
      <c r="S735" s="51">
        <v>50902</v>
      </c>
      <c r="T735" s="51">
        <v>548179000</v>
      </c>
      <c r="U735" s="53">
        <f t="shared" si="31"/>
        <v>6.0081426143325789E-3</v>
      </c>
      <c r="V735" s="59">
        <f>U735-('16. câmbio USD-BRL'!O182/'16. câmbio USD-BRL'!K182-1)</f>
        <v>1.5452313789935168E-2</v>
      </c>
    </row>
    <row r="736" spans="14:22" x14ac:dyDescent="0.2">
      <c r="N736" s="52">
        <v>39216</v>
      </c>
      <c r="O736" s="51">
        <v>50910</v>
      </c>
      <c r="P736" s="51">
        <v>52088</v>
      </c>
      <c r="Q736" s="51">
        <v>50298</v>
      </c>
      <c r="R736" s="51">
        <v>52078</v>
      </c>
      <c r="S736" s="51">
        <v>52078</v>
      </c>
      <c r="T736" s="51">
        <v>528962800</v>
      </c>
      <c r="U736" s="53">
        <f t="shared" si="31"/>
        <v>2.3103217948214239E-2</v>
      </c>
      <c r="V736" s="59">
        <f>U736-('16. câmbio USD-BRL'!O183/'16. câmbio USD-BRL'!K183-1)</f>
        <v>5.0348875516452507E-2</v>
      </c>
    </row>
    <row r="737" spans="14:22" x14ac:dyDescent="0.2">
      <c r="N737" s="52">
        <v>39223</v>
      </c>
      <c r="O737" s="51">
        <v>52078</v>
      </c>
      <c r="P737" s="51">
        <v>52691</v>
      </c>
      <c r="Q737" s="51">
        <v>50214</v>
      </c>
      <c r="R737" s="51">
        <v>51618</v>
      </c>
      <c r="S737" s="51">
        <v>51618</v>
      </c>
      <c r="T737" s="51">
        <v>558978300</v>
      </c>
      <c r="U737" s="53">
        <f t="shared" si="31"/>
        <v>-8.8329044894197573E-3</v>
      </c>
      <c r="V737" s="59">
        <f>U737-('16. câmbio USD-BRL'!O184/'16. câmbio USD-BRL'!K184-1)</f>
        <v>-2.3374053077502843E-3</v>
      </c>
    </row>
    <row r="738" spans="14:22" x14ac:dyDescent="0.2">
      <c r="N738" s="52">
        <v>39230</v>
      </c>
      <c r="O738" s="51">
        <v>51616</v>
      </c>
      <c r="P738" s="51">
        <v>53423</v>
      </c>
      <c r="Q738" s="51">
        <v>50607</v>
      </c>
      <c r="R738" s="51">
        <v>53423</v>
      </c>
      <c r="S738" s="51">
        <v>53423</v>
      </c>
      <c r="T738" s="51">
        <v>631121700</v>
      </c>
      <c r="U738" s="53">
        <f t="shared" si="31"/>
        <v>3.4968421868340593E-2</v>
      </c>
      <c r="V738" s="59">
        <f>U738-('16. câmbio USD-BRL'!O185/'16. câmbio USD-BRL'!K185-1)</f>
        <v>3.3681420581339161E-2</v>
      </c>
    </row>
    <row r="739" spans="14:22" x14ac:dyDescent="0.2">
      <c r="N739" s="52">
        <v>39237</v>
      </c>
      <c r="O739" s="51">
        <v>53423</v>
      </c>
      <c r="P739" s="51">
        <v>53423</v>
      </c>
      <c r="Q739" s="51">
        <v>50885</v>
      </c>
      <c r="R739" s="51">
        <v>52330</v>
      </c>
      <c r="S739" s="51">
        <v>52330</v>
      </c>
      <c r="T739" s="51">
        <v>357195600</v>
      </c>
      <c r="U739" s="53">
        <f t="shared" si="31"/>
        <v>-2.0459352713250833E-2</v>
      </c>
      <c r="V739" s="59">
        <f>U739-('16. câmbio USD-BRL'!O186/'16. câmbio USD-BRL'!K186-1)</f>
        <v>-3.4090083816100902E-2</v>
      </c>
    </row>
    <row r="740" spans="14:22" x14ac:dyDescent="0.2">
      <c r="N740" s="52">
        <v>39244</v>
      </c>
      <c r="O740" s="51">
        <v>52324</v>
      </c>
      <c r="P740" s="51">
        <v>54726</v>
      </c>
      <c r="Q740" s="51">
        <v>51643</v>
      </c>
      <c r="R740" s="51">
        <v>54519</v>
      </c>
      <c r="S740" s="51">
        <v>54519</v>
      </c>
      <c r="T740" s="51">
        <v>554352800</v>
      </c>
      <c r="U740" s="53">
        <f t="shared" si="31"/>
        <v>4.1830689852856873E-2</v>
      </c>
      <c r="V740" s="59">
        <f>U740-('16. câmbio USD-BRL'!O187/'16. câmbio USD-BRL'!K187-1)</f>
        <v>6.688181459723308E-2</v>
      </c>
    </row>
    <row r="741" spans="14:22" x14ac:dyDescent="0.2">
      <c r="N741" s="52">
        <v>39251</v>
      </c>
      <c r="O741" s="51">
        <v>54519</v>
      </c>
      <c r="P741" s="51">
        <v>55003</v>
      </c>
      <c r="Q741" s="51">
        <v>53911</v>
      </c>
      <c r="R741" s="51">
        <v>54267</v>
      </c>
      <c r="S741" s="51">
        <v>54267</v>
      </c>
      <c r="T741" s="51">
        <v>533726100</v>
      </c>
      <c r="U741" s="53">
        <f t="shared" si="31"/>
        <v>-4.6222417872667787E-3</v>
      </c>
      <c r="V741" s="59">
        <f>U741-('16. câmbio USD-BRL'!O188/'16. câmbio USD-BRL'!K188-1)</f>
        <v>-1.143923182397355E-2</v>
      </c>
    </row>
    <row r="742" spans="14:22" x14ac:dyDescent="0.2">
      <c r="N742" s="52">
        <v>39258</v>
      </c>
      <c r="O742" s="51">
        <v>54270</v>
      </c>
      <c r="P742" s="51">
        <v>54783</v>
      </c>
      <c r="Q742" s="51">
        <v>53202</v>
      </c>
      <c r="R742" s="51">
        <v>54392</v>
      </c>
      <c r="S742" s="51">
        <v>54392</v>
      </c>
      <c r="T742" s="51">
        <v>414151600</v>
      </c>
      <c r="U742" s="53">
        <f t="shared" si="31"/>
        <v>2.3034256546334841E-3</v>
      </c>
      <c r="V742" s="59">
        <f>U742-('16. câmbio USD-BRL'!O189/'16. câmbio USD-BRL'!K189-1)</f>
        <v>8.9000036797829418E-3</v>
      </c>
    </row>
    <row r="743" spans="14:22" x14ac:dyDescent="0.2">
      <c r="N743" s="52">
        <v>39265</v>
      </c>
      <c r="O743" s="51">
        <v>54396</v>
      </c>
      <c r="P743" s="51">
        <v>56444</v>
      </c>
      <c r="Q743" s="51">
        <v>54396</v>
      </c>
      <c r="R743" s="51">
        <v>56444</v>
      </c>
      <c r="S743" s="51">
        <v>56444</v>
      </c>
      <c r="T743" s="51">
        <v>217946600</v>
      </c>
      <c r="U743" s="53">
        <f t="shared" si="31"/>
        <v>3.772613619649956E-2</v>
      </c>
      <c r="V743" s="59">
        <f>U743-('16. câmbio USD-BRL'!O190/'16. câmbio USD-BRL'!K190-1)</f>
        <v>5.2367880744786155E-2</v>
      </c>
    </row>
    <row r="744" spans="14:22" x14ac:dyDescent="0.2">
      <c r="N744" s="52">
        <v>39272</v>
      </c>
      <c r="O744" s="51">
        <v>56444</v>
      </c>
      <c r="P744" s="51">
        <v>57983</v>
      </c>
      <c r="Q744" s="51">
        <v>55628</v>
      </c>
      <c r="R744" s="51">
        <v>57644</v>
      </c>
      <c r="S744" s="51">
        <v>57644</v>
      </c>
      <c r="T744" s="51">
        <v>186856600</v>
      </c>
      <c r="U744" s="53">
        <f t="shared" si="31"/>
        <v>2.126000992133803E-2</v>
      </c>
      <c r="V744" s="59">
        <f>U744-('16. câmbio USD-BRL'!O191/'16. câmbio USD-BRL'!K191-1)</f>
        <v>3.6488168842193747E-2</v>
      </c>
    </row>
    <row r="745" spans="14:22" x14ac:dyDescent="0.2">
      <c r="N745" s="52">
        <v>39279</v>
      </c>
      <c r="O745" s="51">
        <v>57644</v>
      </c>
      <c r="P745" s="51">
        <v>58293</v>
      </c>
      <c r="Q745" s="51">
        <v>56903</v>
      </c>
      <c r="R745" s="51">
        <v>57443</v>
      </c>
      <c r="S745" s="51">
        <v>57443</v>
      </c>
      <c r="T745" s="51">
        <v>88091200</v>
      </c>
      <c r="U745" s="53">
        <f t="shared" si="31"/>
        <v>-3.4869197141073061E-3</v>
      </c>
      <c r="V745" s="59">
        <f>U745-('16. câmbio USD-BRL'!O192/'16. câmbio USD-BRL'!K192-1)</f>
        <v>-3.6483402145107702E-3</v>
      </c>
    </row>
    <row r="746" spans="14:22" x14ac:dyDescent="0.2">
      <c r="N746" s="52">
        <v>39286</v>
      </c>
      <c r="O746" s="51">
        <v>57443</v>
      </c>
      <c r="P746" s="51">
        <v>58070</v>
      </c>
      <c r="Q746" s="51">
        <v>52627</v>
      </c>
      <c r="R746" s="51">
        <v>52922</v>
      </c>
      <c r="S746" s="51">
        <v>52922</v>
      </c>
      <c r="T746" s="51">
        <v>326941000</v>
      </c>
      <c r="U746" s="53">
        <f t="shared" si="31"/>
        <v>-7.8704106679665098E-2</v>
      </c>
      <c r="V746" s="59">
        <f>U746-('16. câmbio USD-BRL'!O193/'16. câmbio USD-BRL'!K193-1)</f>
        <v>-0.11129813830235136</v>
      </c>
    </row>
    <row r="747" spans="14:22" x14ac:dyDescent="0.2">
      <c r="N747" s="52">
        <v>39293</v>
      </c>
      <c r="O747" s="51">
        <v>52925</v>
      </c>
      <c r="P747" s="51">
        <v>55662</v>
      </c>
      <c r="Q747" s="51">
        <v>52575</v>
      </c>
      <c r="R747" s="51">
        <v>52846</v>
      </c>
      <c r="S747" s="51">
        <v>52846</v>
      </c>
      <c r="T747" s="51">
        <v>296722600</v>
      </c>
      <c r="U747" s="53">
        <f t="shared" si="31"/>
        <v>-1.436075734099207E-3</v>
      </c>
      <c r="V747" s="59">
        <f>U747-('16. câmbio USD-BRL'!O194/'16. câmbio USD-BRL'!K194-1)</f>
        <v>7.0774878003516672E-3</v>
      </c>
    </row>
    <row r="748" spans="14:22" x14ac:dyDescent="0.2">
      <c r="N748" s="52">
        <v>39300</v>
      </c>
      <c r="O748" s="51">
        <v>52846</v>
      </c>
      <c r="P748" s="51">
        <v>55616</v>
      </c>
      <c r="Q748" s="51">
        <v>51317</v>
      </c>
      <c r="R748" s="51">
        <v>52638</v>
      </c>
      <c r="S748" s="51">
        <v>52638</v>
      </c>
      <c r="T748" s="51">
        <v>292836200</v>
      </c>
      <c r="U748" s="53">
        <f t="shared" si="31"/>
        <v>-3.935964879082654E-3</v>
      </c>
      <c r="V748" s="59">
        <f>U748-('16. câmbio USD-BRL'!O195/'16. câmbio USD-BRL'!K195-1)</f>
        <v>-2.4365619470489541E-2</v>
      </c>
    </row>
    <row r="749" spans="14:22" x14ac:dyDescent="0.2">
      <c r="N749" s="52">
        <v>39307</v>
      </c>
      <c r="O749" s="51">
        <v>52647</v>
      </c>
      <c r="P749" s="51">
        <v>53670</v>
      </c>
      <c r="Q749" s="51">
        <v>44938</v>
      </c>
      <c r="R749" s="51">
        <v>48559</v>
      </c>
      <c r="S749" s="51">
        <v>48559</v>
      </c>
      <c r="T749" s="51">
        <v>369958000</v>
      </c>
      <c r="U749" s="53">
        <f t="shared" si="31"/>
        <v>-7.7491546031384195E-2</v>
      </c>
      <c r="V749" s="59">
        <f>U749-('16. câmbio USD-BRL'!O196/'16. câmbio USD-BRL'!K196-1)</f>
        <v>-0.11251179932574928</v>
      </c>
    </row>
    <row r="750" spans="14:22" x14ac:dyDescent="0.2">
      <c r="N750" s="52">
        <v>39314</v>
      </c>
      <c r="O750" s="51">
        <v>48561</v>
      </c>
      <c r="P750" s="51">
        <v>52998</v>
      </c>
      <c r="Q750" s="51">
        <v>48561</v>
      </c>
      <c r="R750" s="51">
        <v>52998</v>
      </c>
      <c r="S750" s="51">
        <v>52998</v>
      </c>
      <c r="T750" s="51">
        <v>159305200</v>
      </c>
      <c r="U750" s="53">
        <f t="shared" si="31"/>
        <v>9.1414567845301553E-2</v>
      </c>
      <c r="V750" s="59">
        <f>U750-('16. câmbio USD-BRL'!O197/'16. câmbio USD-BRL'!K197-1)</f>
        <v>0.11517812049642284</v>
      </c>
    </row>
    <row r="751" spans="14:22" x14ac:dyDescent="0.2">
      <c r="N751" s="52">
        <v>39321</v>
      </c>
      <c r="O751" s="51">
        <v>52995</v>
      </c>
      <c r="P751" s="51">
        <v>54715</v>
      </c>
      <c r="Q751" s="51">
        <v>51390</v>
      </c>
      <c r="R751" s="51">
        <v>54637</v>
      </c>
      <c r="S751" s="51">
        <v>54637</v>
      </c>
      <c r="T751" s="51">
        <v>139415400</v>
      </c>
      <c r="U751" s="53">
        <f t="shared" si="31"/>
        <v>3.0925695309256929E-2</v>
      </c>
      <c r="V751" s="59">
        <f>U751-('16. câmbio USD-BRL'!O198/'16. câmbio USD-BRL'!K198-1)</f>
        <v>1.9123396695640338E-2</v>
      </c>
    </row>
    <row r="752" spans="14:22" x14ac:dyDescent="0.2">
      <c r="N752" s="52">
        <v>39328</v>
      </c>
      <c r="O752" s="51">
        <v>54641</v>
      </c>
      <c r="P752" s="51">
        <v>55566</v>
      </c>
      <c r="Q752" s="51">
        <v>54156</v>
      </c>
      <c r="R752" s="51">
        <v>54569</v>
      </c>
      <c r="S752" s="51">
        <v>54569</v>
      </c>
      <c r="T752" s="51">
        <v>23542800</v>
      </c>
      <c r="U752" s="53">
        <f t="shared" si="31"/>
        <v>-1.2445778501748439E-3</v>
      </c>
      <c r="V752" s="59">
        <f>U752-('16. câmbio USD-BRL'!O199/'16. câmbio USD-BRL'!K199-1)</f>
        <v>2.9640698129642651E-2</v>
      </c>
    </row>
    <row r="753" spans="14:22" x14ac:dyDescent="0.2">
      <c r="N753" s="52">
        <v>39335</v>
      </c>
      <c r="O753" s="51">
        <v>54554</v>
      </c>
      <c r="P753" s="51">
        <v>55465</v>
      </c>
      <c r="Q753" s="51">
        <v>52321</v>
      </c>
      <c r="R753" s="51">
        <v>54671</v>
      </c>
      <c r="S753" s="51">
        <v>54671</v>
      </c>
      <c r="T753" s="51">
        <v>24049000</v>
      </c>
      <c r="U753" s="53">
        <f t="shared" si="31"/>
        <v>1.8691931316314747E-3</v>
      </c>
      <c r="V753" s="59">
        <f>U753-('16. câmbio USD-BRL'!O200/'16. câmbio USD-BRL'!K200-1)</f>
        <v>3.6105268757589681E-2</v>
      </c>
    </row>
    <row r="754" spans="14:22" x14ac:dyDescent="0.2">
      <c r="N754" s="52">
        <v>39342</v>
      </c>
      <c r="O754" s="51">
        <v>54671</v>
      </c>
      <c r="P754" s="51">
        <v>58079</v>
      </c>
      <c r="Q754" s="51">
        <v>53691</v>
      </c>
      <c r="R754" s="51">
        <v>57799</v>
      </c>
      <c r="S754" s="51">
        <v>57799</v>
      </c>
      <c r="T754" s="51">
        <v>31529800</v>
      </c>
      <c r="U754" s="53">
        <f t="shared" si="31"/>
        <v>5.7214976861590161E-2</v>
      </c>
      <c r="V754" s="59">
        <f>U754-('16. câmbio USD-BRL'!O201/'16. câmbio USD-BRL'!K201-1)</f>
        <v>7.8300902006555928E-2</v>
      </c>
    </row>
    <row r="755" spans="14:22" x14ac:dyDescent="0.2">
      <c r="N755" s="52">
        <v>39349</v>
      </c>
      <c r="O755" s="51">
        <v>57799</v>
      </c>
      <c r="P755" s="51">
        <v>61054</v>
      </c>
      <c r="Q755" s="51">
        <v>57799</v>
      </c>
      <c r="R755" s="51">
        <v>60465</v>
      </c>
      <c r="S755" s="51">
        <v>60465</v>
      </c>
      <c r="T755" s="51">
        <v>27210600</v>
      </c>
      <c r="U755" s="53">
        <f t="shared" si="31"/>
        <v>4.6125365490752523E-2</v>
      </c>
      <c r="V755" s="59">
        <f>U755-('16. câmbio USD-BRL'!O202/'16. câmbio USD-BRL'!K202-1)</f>
        <v>6.2747349404961628E-2</v>
      </c>
    </row>
    <row r="756" spans="14:22" x14ac:dyDescent="0.2">
      <c r="N756" s="52">
        <v>39356</v>
      </c>
      <c r="O756" s="51">
        <v>60465</v>
      </c>
      <c r="P756" s="51">
        <v>62704</v>
      </c>
      <c r="Q756" s="51">
        <v>59536</v>
      </c>
      <c r="R756" s="51">
        <v>62319</v>
      </c>
      <c r="S756" s="51">
        <v>62319</v>
      </c>
      <c r="T756" s="51">
        <v>46137000</v>
      </c>
      <c r="U756" s="53">
        <f t="shared" si="31"/>
        <v>3.0662366658397389E-2</v>
      </c>
      <c r="V756" s="59">
        <f>U756-('16. câmbio USD-BRL'!O203/'16. câmbio USD-BRL'!K203-1)</f>
        <v>4.3514431192168246E-2</v>
      </c>
    </row>
    <row r="757" spans="14:22" x14ac:dyDescent="0.2">
      <c r="N757" s="52">
        <v>39363</v>
      </c>
      <c r="O757" s="51">
        <v>62319</v>
      </c>
      <c r="P757" s="51">
        <v>64169</v>
      </c>
      <c r="Q757" s="51">
        <v>61487</v>
      </c>
      <c r="R757" s="51">
        <v>62456</v>
      </c>
      <c r="S757" s="51">
        <v>62456</v>
      </c>
      <c r="T757" s="51">
        <v>21575400</v>
      </c>
      <c r="U757" s="53">
        <f t="shared" si="31"/>
        <v>2.1983664692950544E-3</v>
      </c>
      <c r="V757" s="59">
        <f>U757-('16. câmbio USD-BRL'!O204/'16. câmbio USD-BRL'!K204-1)</f>
        <v>2.0316071585668727E-3</v>
      </c>
    </row>
    <row r="758" spans="14:22" x14ac:dyDescent="0.2">
      <c r="N758" s="52">
        <v>39370</v>
      </c>
      <c r="O758" s="51">
        <v>62456</v>
      </c>
      <c r="P758" s="51">
        <v>63841</v>
      </c>
      <c r="Q758" s="51">
        <v>60883</v>
      </c>
      <c r="R758" s="51">
        <v>60894</v>
      </c>
      <c r="S758" s="51">
        <v>60894</v>
      </c>
      <c r="T758" s="51">
        <v>27137200</v>
      </c>
      <c r="U758" s="53">
        <f t="shared" si="31"/>
        <v>-2.5009606763161218E-2</v>
      </c>
      <c r="V758" s="59">
        <f>U758-('16. câmbio USD-BRL'!O205/'16. câmbio USD-BRL'!K205-1)</f>
        <v>-2.0838305317110062E-2</v>
      </c>
    </row>
    <row r="759" spans="14:22" x14ac:dyDescent="0.2">
      <c r="N759" s="52">
        <v>39377</v>
      </c>
      <c r="O759" s="51">
        <v>60884</v>
      </c>
      <c r="P759" s="51">
        <v>64320</v>
      </c>
      <c r="Q759" s="51">
        <v>59473</v>
      </c>
      <c r="R759" s="51">
        <v>64276</v>
      </c>
      <c r="S759" s="51">
        <v>64276</v>
      </c>
      <c r="T759" s="51">
        <v>32248400</v>
      </c>
      <c r="U759" s="53">
        <f t="shared" si="31"/>
        <v>5.553913357637863E-2</v>
      </c>
      <c r="V759" s="59">
        <f>U759-('16. câmbio USD-BRL'!O206/'16. câmbio USD-BRL'!K206-1)</f>
        <v>7.0382362395591369E-2</v>
      </c>
    </row>
    <row r="760" spans="14:22" x14ac:dyDescent="0.2">
      <c r="N760" s="52">
        <v>39384</v>
      </c>
      <c r="O760" s="51">
        <v>64275</v>
      </c>
      <c r="P760" s="51">
        <v>65949</v>
      </c>
      <c r="Q760" s="51">
        <v>63774</v>
      </c>
      <c r="R760" s="51">
        <v>64050</v>
      </c>
      <c r="S760" s="51">
        <v>64050</v>
      </c>
      <c r="T760" s="51">
        <v>26064000</v>
      </c>
      <c r="U760" s="53">
        <f t="shared" si="31"/>
        <v>-3.5160868753500996E-3</v>
      </c>
      <c r="V760" s="59">
        <f>U760-('16. câmbio USD-BRL'!O207/'16. câmbio USD-BRL'!K207-1)</f>
        <v>1.1310838369886111E-2</v>
      </c>
    </row>
    <row r="761" spans="14:22" x14ac:dyDescent="0.2">
      <c r="N761" s="52">
        <v>39391</v>
      </c>
      <c r="O761" s="51">
        <v>64049</v>
      </c>
      <c r="P761" s="51">
        <v>65283</v>
      </c>
      <c r="Q761" s="51">
        <v>62279</v>
      </c>
      <c r="R761" s="51">
        <v>64321</v>
      </c>
      <c r="S761" s="51">
        <v>64321</v>
      </c>
      <c r="T761" s="51">
        <v>28014400</v>
      </c>
      <c r="U761" s="53">
        <f t="shared" si="31"/>
        <v>4.231069476971161E-3</v>
      </c>
      <c r="V761" s="59">
        <f>U761-('16. câmbio USD-BRL'!O208/'16. câmbio USD-BRL'!K208-1)</f>
        <v>4.6315271428749583E-3</v>
      </c>
    </row>
    <row r="762" spans="14:22" x14ac:dyDescent="0.2">
      <c r="N762" s="52">
        <v>39398</v>
      </c>
      <c r="O762" s="51">
        <v>64321</v>
      </c>
      <c r="P762" s="51">
        <v>64896</v>
      </c>
      <c r="Q762" s="51">
        <v>61034</v>
      </c>
      <c r="R762" s="51">
        <v>64609</v>
      </c>
      <c r="S762" s="51">
        <v>64609</v>
      </c>
      <c r="T762" s="51">
        <v>26719000</v>
      </c>
      <c r="U762" s="53">
        <f t="shared" si="31"/>
        <v>4.4775423267673364E-3</v>
      </c>
      <c r="V762" s="59">
        <f>U762-('16. câmbio USD-BRL'!O209/'16. câmbio USD-BRL'!K209-1)</f>
        <v>4.9940712523871555E-3</v>
      </c>
    </row>
    <row r="763" spans="14:22" x14ac:dyDescent="0.2">
      <c r="N763" s="52">
        <v>39405</v>
      </c>
      <c r="O763" s="51">
        <v>64609</v>
      </c>
      <c r="P763" s="51">
        <v>64609</v>
      </c>
      <c r="Q763" s="51">
        <v>59847</v>
      </c>
      <c r="R763" s="51">
        <v>60971</v>
      </c>
      <c r="S763" s="51">
        <v>60971</v>
      </c>
      <c r="T763" s="51">
        <v>21507000</v>
      </c>
      <c r="U763" s="53">
        <f t="shared" si="31"/>
        <v>-5.6307944713584801E-2</v>
      </c>
      <c r="V763" s="59">
        <f>U763-('16. câmbio USD-BRL'!O210/'16. câmbio USD-BRL'!K210-1)</f>
        <v>-8.7694219673419616E-2</v>
      </c>
    </row>
    <row r="764" spans="14:22" x14ac:dyDescent="0.2">
      <c r="N764" s="52">
        <v>39412</v>
      </c>
      <c r="O764" s="51">
        <v>60973</v>
      </c>
      <c r="P764" s="51">
        <v>63701</v>
      </c>
      <c r="Q764" s="51">
        <v>58096</v>
      </c>
      <c r="R764" s="51">
        <v>63006</v>
      </c>
      <c r="S764" s="51">
        <v>63006</v>
      </c>
      <c r="T764" s="51">
        <v>29286800</v>
      </c>
      <c r="U764" s="53">
        <f t="shared" si="31"/>
        <v>3.3376523265158831E-2</v>
      </c>
      <c r="V764" s="59">
        <f>U764-('16. câmbio USD-BRL'!O211/'16. câmbio USD-BRL'!K211-1)</f>
        <v>6.0173980520748405E-2</v>
      </c>
    </row>
    <row r="765" spans="14:22" x14ac:dyDescent="0.2">
      <c r="N765" s="52">
        <v>39419</v>
      </c>
      <c r="O765" s="51">
        <v>63018</v>
      </c>
      <c r="P765" s="51">
        <v>66529</v>
      </c>
      <c r="Q765" s="51">
        <v>62373</v>
      </c>
      <c r="R765" s="51">
        <v>65639</v>
      </c>
      <c r="S765" s="51">
        <v>65639</v>
      </c>
      <c r="T765" s="51">
        <v>5397800</v>
      </c>
      <c r="U765" s="53">
        <f t="shared" si="31"/>
        <v>4.1789670825000735E-2</v>
      </c>
      <c r="V765" s="59">
        <f>U765-('16. câmbio USD-BRL'!O212/'16. câmbio USD-BRL'!K212-1)</f>
        <v>6.1728406553210213E-2</v>
      </c>
    </row>
    <row r="766" spans="14:22" x14ac:dyDescent="0.2">
      <c r="N766" s="52">
        <v>39426</v>
      </c>
      <c r="O766" s="51">
        <v>65642</v>
      </c>
      <c r="P766" s="51">
        <v>66451</v>
      </c>
      <c r="Q766" s="51">
        <v>62445</v>
      </c>
      <c r="R766" s="51">
        <v>62445</v>
      </c>
      <c r="S766" s="51">
        <v>62445</v>
      </c>
      <c r="T766" s="51">
        <v>14310600</v>
      </c>
      <c r="U766" s="53">
        <f t="shared" si="31"/>
        <v>-4.8660095370130607E-2</v>
      </c>
      <c r="V766" s="59">
        <f>U766-('16. câmbio USD-BRL'!O213/'16. câmbio USD-BRL'!K213-1)</f>
        <v>-7.09988234303085E-2</v>
      </c>
    </row>
    <row r="767" spans="14:22" x14ac:dyDescent="0.2">
      <c r="N767" s="52">
        <v>39433</v>
      </c>
      <c r="O767" s="51">
        <v>62445</v>
      </c>
      <c r="P767" s="51">
        <v>63398</v>
      </c>
      <c r="Q767" s="51">
        <v>59414</v>
      </c>
      <c r="R767" s="51">
        <v>63098</v>
      </c>
      <c r="S767" s="51">
        <v>63098</v>
      </c>
      <c r="T767" s="51">
        <v>13109200</v>
      </c>
      <c r="U767" s="53">
        <f t="shared" si="31"/>
        <v>1.0457202338057581E-2</v>
      </c>
      <c r="V767" s="59">
        <f>U767-('16. câmbio USD-BRL'!O214/'16. câmbio USD-BRL'!K214-1)</f>
        <v>1.2353782914841238E-2</v>
      </c>
    </row>
    <row r="768" spans="14:22" x14ac:dyDescent="0.2">
      <c r="N768" s="52">
        <v>39440</v>
      </c>
      <c r="O768" s="51">
        <v>63101</v>
      </c>
      <c r="P768" s="51">
        <v>64584</v>
      </c>
      <c r="Q768" s="51">
        <v>63101</v>
      </c>
      <c r="R768" s="51">
        <v>63886</v>
      </c>
      <c r="S768" s="51">
        <v>63886</v>
      </c>
      <c r="T768" s="51">
        <v>6452600</v>
      </c>
      <c r="U768" s="53">
        <f t="shared" si="31"/>
        <v>1.2488509936923409E-2</v>
      </c>
      <c r="V768" s="59">
        <f>U768-('16. câmbio USD-BRL'!O215/'16. câmbio USD-BRL'!K215-1)</f>
        <v>2.489420985310109E-2</v>
      </c>
    </row>
    <row r="769" spans="14:22" x14ac:dyDescent="0.2">
      <c r="N769" s="52">
        <v>39447</v>
      </c>
      <c r="O769" s="51">
        <v>63885</v>
      </c>
      <c r="P769" s="51">
        <v>63906</v>
      </c>
      <c r="Q769" s="51">
        <v>60574</v>
      </c>
      <c r="R769" s="51">
        <v>61037</v>
      </c>
      <c r="S769" s="51">
        <v>61037</v>
      </c>
      <c r="T769" s="51">
        <v>7489800</v>
      </c>
      <c r="U769" s="53">
        <f t="shared" si="31"/>
        <v>-4.4595059950536919E-2</v>
      </c>
      <c r="V769" s="59">
        <f>U769-('16. câmbio USD-BRL'!O216/'16. câmbio USD-BRL'!K216-1)</f>
        <v>-5.0376068478955371E-2</v>
      </c>
    </row>
    <row r="770" spans="14:22" x14ac:dyDescent="0.2">
      <c r="N770" s="52">
        <v>39454</v>
      </c>
      <c r="O770" s="51">
        <v>61054</v>
      </c>
      <c r="P770" s="51">
        <v>63615</v>
      </c>
      <c r="Q770" s="51">
        <v>60092</v>
      </c>
      <c r="R770" s="51">
        <v>61942</v>
      </c>
      <c r="S770" s="51">
        <v>61942</v>
      </c>
      <c r="T770" s="51">
        <v>15165400</v>
      </c>
      <c r="U770" s="53">
        <f t="shared" si="31"/>
        <v>1.4827072103805961E-2</v>
      </c>
      <c r="V770" s="59">
        <f>U770-('16. câmbio USD-BRL'!O217/'16. câmbio USD-BRL'!K217-1)</f>
        <v>2.3853470060093196E-2</v>
      </c>
    </row>
    <row r="771" spans="14:22" x14ac:dyDescent="0.2">
      <c r="N771" s="52">
        <v>39461</v>
      </c>
      <c r="O771" s="51">
        <v>61950</v>
      </c>
      <c r="P771" s="51">
        <v>62536</v>
      </c>
      <c r="Q771" s="51">
        <v>56241</v>
      </c>
      <c r="R771" s="51">
        <v>57506</v>
      </c>
      <c r="S771" s="51">
        <v>57506</v>
      </c>
      <c r="T771" s="51">
        <v>19769800</v>
      </c>
      <c r="U771" s="53">
        <f t="shared" si="31"/>
        <v>-7.1615382131671512E-2</v>
      </c>
      <c r="V771" s="59">
        <f>U771-('16. câmbio USD-BRL'!O218/'16. câmbio USD-BRL'!K218-1)</f>
        <v>-9.9268853158636428E-2</v>
      </c>
    </row>
    <row r="772" spans="14:22" x14ac:dyDescent="0.2">
      <c r="N772" s="52">
        <v>39468</v>
      </c>
      <c r="O772" s="51">
        <v>57503</v>
      </c>
      <c r="P772" s="51">
        <v>57675</v>
      </c>
      <c r="Q772" s="51">
        <v>53011</v>
      </c>
      <c r="R772" s="51">
        <v>57463</v>
      </c>
      <c r="S772" s="51">
        <v>57463</v>
      </c>
      <c r="T772" s="51">
        <v>14737800</v>
      </c>
      <c r="U772" s="53">
        <f t="shared" si="31"/>
        <v>-7.4774806107191782E-4</v>
      </c>
      <c r="V772" s="59">
        <f>U772-('16. câmbio USD-BRL'!O219/'16. câmbio USD-BRL'!K219-1)</f>
        <v>5.3375578790798572E-3</v>
      </c>
    </row>
    <row r="773" spans="14:22" x14ac:dyDescent="0.2">
      <c r="N773" s="52">
        <v>39475</v>
      </c>
      <c r="O773" s="51">
        <v>57457</v>
      </c>
      <c r="P773" s="51">
        <v>61187</v>
      </c>
      <c r="Q773" s="51">
        <v>56360</v>
      </c>
      <c r="R773" s="51">
        <v>61080</v>
      </c>
      <c r="S773" s="51">
        <v>61080</v>
      </c>
      <c r="T773" s="51">
        <v>21445400</v>
      </c>
      <c r="U773" s="53">
        <f t="shared" ref="U773:U836" si="32">S773/S772-1</f>
        <v>6.294485146964135E-2</v>
      </c>
      <c r="V773" s="59">
        <f>U773-('16. câmbio USD-BRL'!O220/'16. câmbio USD-BRL'!K220-1)</f>
        <v>8.6783756562753278E-2</v>
      </c>
    </row>
    <row r="774" spans="14:22" x14ac:dyDescent="0.2">
      <c r="N774" s="52">
        <v>39482</v>
      </c>
      <c r="O774" s="51">
        <v>61076</v>
      </c>
      <c r="P774" s="51">
        <v>61076</v>
      </c>
      <c r="Q774" s="51">
        <v>58030</v>
      </c>
      <c r="R774" s="51">
        <v>59076</v>
      </c>
      <c r="S774" s="51">
        <v>59076</v>
      </c>
      <c r="T774" s="51">
        <v>6016600</v>
      </c>
      <c r="U774" s="53">
        <f t="shared" si="32"/>
        <v>-3.2809430255402727E-2</v>
      </c>
      <c r="V774" s="59">
        <f>U774-('16. câmbio USD-BRL'!O221/'16. câmbio USD-BRL'!K221-1)</f>
        <v>-4.2797949199145702E-2</v>
      </c>
    </row>
    <row r="775" spans="14:22" x14ac:dyDescent="0.2">
      <c r="N775" s="52">
        <v>39489</v>
      </c>
      <c r="O775" s="51">
        <v>59081</v>
      </c>
      <c r="P775" s="51">
        <v>63224</v>
      </c>
      <c r="Q775" s="51">
        <v>59081</v>
      </c>
      <c r="R775" s="51">
        <v>61272</v>
      </c>
      <c r="S775" s="51">
        <v>61272</v>
      </c>
      <c r="T775" s="51">
        <v>25178400</v>
      </c>
      <c r="U775" s="53">
        <f t="shared" si="32"/>
        <v>3.7172455819622252E-2</v>
      </c>
      <c r="V775" s="59">
        <f>U775-('16. câmbio USD-BRL'!O222/'16. câmbio USD-BRL'!K222-1)</f>
        <v>4.8208109469876859E-2</v>
      </c>
    </row>
    <row r="776" spans="14:22" x14ac:dyDescent="0.2">
      <c r="N776" s="52">
        <v>39496</v>
      </c>
      <c r="O776" s="51">
        <v>61292</v>
      </c>
      <c r="P776" s="51">
        <v>64631</v>
      </c>
      <c r="Q776" s="51">
        <v>61292</v>
      </c>
      <c r="R776" s="51">
        <v>64609</v>
      </c>
      <c r="S776" s="51">
        <v>64609</v>
      </c>
      <c r="T776" s="51">
        <v>10841200</v>
      </c>
      <c r="U776" s="53">
        <f t="shared" si="32"/>
        <v>5.4462070766418513E-2</v>
      </c>
      <c r="V776" s="59">
        <f>U776-('16. câmbio USD-BRL'!O223/'16. câmbio USD-BRL'!K223-1)</f>
        <v>7.989790957750742E-2</v>
      </c>
    </row>
    <row r="777" spans="14:22" x14ac:dyDescent="0.2">
      <c r="N777" s="52">
        <v>39503</v>
      </c>
      <c r="O777" s="51">
        <v>64605</v>
      </c>
      <c r="P777" s="51">
        <v>66005</v>
      </c>
      <c r="Q777" s="51">
        <v>63482</v>
      </c>
      <c r="R777" s="51">
        <v>63489</v>
      </c>
      <c r="S777" s="51">
        <v>63489</v>
      </c>
      <c r="T777" s="51">
        <v>17287000</v>
      </c>
      <c r="U777" s="53">
        <f t="shared" si="32"/>
        <v>-1.7335046200993687E-2</v>
      </c>
      <c r="V777" s="59">
        <f>U777-('16. câmbio USD-BRL'!O224/'16. câmbio USD-BRL'!K224-1)</f>
        <v>-2.2546565753629455E-3</v>
      </c>
    </row>
    <row r="778" spans="14:22" x14ac:dyDescent="0.2">
      <c r="N778" s="52">
        <v>39510</v>
      </c>
      <c r="O778" s="51">
        <v>63496</v>
      </c>
      <c r="P778" s="51">
        <v>65045</v>
      </c>
      <c r="Q778" s="51">
        <v>61382</v>
      </c>
      <c r="R778" s="51">
        <v>61868</v>
      </c>
      <c r="S778" s="51">
        <v>61868</v>
      </c>
      <c r="T778" s="51">
        <v>11466600</v>
      </c>
      <c r="U778" s="53">
        <f t="shared" si="32"/>
        <v>-2.5531981918127555E-2</v>
      </c>
      <c r="V778" s="59">
        <f>U778-('16. câmbio USD-BRL'!O225/'16. câmbio USD-BRL'!K225-1)</f>
        <v>-2.5591272799189935E-2</v>
      </c>
    </row>
    <row r="779" spans="14:22" x14ac:dyDescent="0.2">
      <c r="N779" s="52">
        <v>39517</v>
      </c>
      <c r="O779" s="51">
        <v>61869</v>
      </c>
      <c r="P779" s="51">
        <v>63036</v>
      </c>
      <c r="Q779" s="51">
        <v>59996</v>
      </c>
      <c r="R779" s="51">
        <v>61991</v>
      </c>
      <c r="S779" s="51">
        <v>61991</v>
      </c>
      <c r="T779" s="51">
        <v>14108400</v>
      </c>
      <c r="U779" s="53">
        <f t="shared" si="32"/>
        <v>1.9881037046616257E-3</v>
      </c>
      <c r="V779" s="59">
        <f>U779-('16. câmbio USD-BRL'!O226/'16. câmbio USD-BRL'!K226-1)</f>
        <v>-1.5047874374918946E-2</v>
      </c>
    </row>
    <row r="780" spans="14:22" x14ac:dyDescent="0.2">
      <c r="N780" s="52">
        <v>39524</v>
      </c>
      <c r="O780" s="51">
        <v>61987</v>
      </c>
      <c r="P780" s="51">
        <v>62372</v>
      </c>
      <c r="Q780" s="51">
        <v>57824</v>
      </c>
      <c r="R780" s="51">
        <v>58987</v>
      </c>
      <c r="S780" s="51">
        <v>58987</v>
      </c>
      <c r="T780" s="51">
        <v>10163800</v>
      </c>
      <c r="U780" s="53">
        <f t="shared" si="32"/>
        <v>-4.8458647222983986E-2</v>
      </c>
      <c r="V780" s="59">
        <f>U780-('16. câmbio USD-BRL'!O227/'16. câmbio USD-BRL'!K227-1)</f>
        <v>-6.5369121184364776E-2</v>
      </c>
    </row>
    <row r="781" spans="14:22" x14ac:dyDescent="0.2">
      <c r="N781" s="52">
        <v>39531</v>
      </c>
      <c r="O781" s="51">
        <v>58994</v>
      </c>
      <c r="P781" s="51">
        <v>62200</v>
      </c>
      <c r="Q781" s="51">
        <v>58994</v>
      </c>
      <c r="R781" s="51">
        <v>60452</v>
      </c>
      <c r="S781" s="51">
        <v>60452</v>
      </c>
      <c r="T781" s="51">
        <v>10476400</v>
      </c>
      <c r="U781" s="53">
        <f t="shared" si="32"/>
        <v>2.4835980809330804E-2</v>
      </c>
      <c r="V781" s="59">
        <f>U781-('16. câmbio USD-BRL'!O228/'16. câmbio USD-BRL'!K228-1)</f>
        <v>2.495106222943555E-2</v>
      </c>
    </row>
    <row r="782" spans="14:22" x14ac:dyDescent="0.2">
      <c r="N782" s="52">
        <v>39538</v>
      </c>
      <c r="O782" s="51">
        <v>60449</v>
      </c>
      <c r="P782" s="51">
        <v>64731</v>
      </c>
      <c r="Q782" s="51">
        <v>59917</v>
      </c>
      <c r="R782" s="51">
        <v>64446</v>
      </c>
      <c r="S782" s="51">
        <v>64446</v>
      </c>
      <c r="T782" s="51">
        <v>6303000</v>
      </c>
      <c r="U782" s="53">
        <f t="shared" si="32"/>
        <v>6.6068947263944855E-2</v>
      </c>
      <c r="V782" s="59">
        <f>U782-('16. câmbio USD-BRL'!O229/'16. câmbio USD-BRL'!K229-1)</f>
        <v>8.6865178665105347E-2</v>
      </c>
    </row>
    <row r="783" spans="14:22" x14ac:dyDescent="0.2">
      <c r="N783" s="52">
        <v>39545</v>
      </c>
      <c r="O783" s="51">
        <v>64447</v>
      </c>
      <c r="P783" s="51">
        <v>65409</v>
      </c>
      <c r="Q783" s="51">
        <v>62459</v>
      </c>
      <c r="R783" s="51">
        <v>62585</v>
      </c>
      <c r="S783" s="51">
        <v>62585</v>
      </c>
      <c r="T783" s="51">
        <v>4257000</v>
      </c>
      <c r="U783" s="53">
        <f t="shared" si="32"/>
        <v>-2.8876889178537035E-2</v>
      </c>
      <c r="V783" s="59">
        <f>U783-('16. câmbio USD-BRL'!O230/'16. câmbio USD-BRL'!K230-1)</f>
        <v>-1.468750190207857E-2</v>
      </c>
    </row>
    <row r="784" spans="14:22" x14ac:dyDescent="0.2">
      <c r="N784" s="52">
        <v>39552</v>
      </c>
      <c r="O784" s="51">
        <v>62592</v>
      </c>
      <c r="P784" s="51">
        <v>65384</v>
      </c>
      <c r="Q784" s="51">
        <v>61467</v>
      </c>
      <c r="R784" s="51">
        <v>64923</v>
      </c>
      <c r="S784" s="51">
        <v>64923</v>
      </c>
      <c r="T784" s="51">
        <v>4771200</v>
      </c>
      <c r="U784" s="53">
        <f t="shared" si="32"/>
        <v>3.7357194215866363E-2</v>
      </c>
      <c r="V784" s="59">
        <f>U784-('16. câmbio USD-BRL'!O231/'16. câmbio USD-BRL'!K231-1)</f>
        <v>5.2189588164249567E-2</v>
      </c>
    </row>
    <row r="785" spans="14:22" x14ac:dyDescent="0.2">
      <c r="N785" s="52">
        <v>39559</v>
      </c>
      <c r="O785" s="51">
        <v>64554</v>
      </c>
      <c r="P785" s="51">
        <v>65689</v>
      </c>
      <c r="Q785" s="51">
        <v>64172</v>
      </c>
      <c r="R785" s="51">
        <v>65187</v>
      </c>
      <c r="S785" s="51">
        <v>65187</v>
      </c>
      <c r="T785" s="51">
        <v>3911200</v>
      </c>
      <c r="U785" s="53">
        <f t="shared" si="32"/>
        <v>4.0663555288573683E-3</v>
      </c>
      <c r="V785" s="59">
        <f>U785-('16. câmbio USD-BRL'!O232/'16. câmbio USD-BRL'!K232-1)</f>
        <v>5.2675567300585202E-3</v>
      </c>
    </row>
    <row r="786" spans="14:22" x14ac:dyDescent="0.2">
      <c r="N786" s="52">
        <v>39566</v>
      </c>
      <c r="O786" s="51">
        <v>65191</v>
      </c>
      <c r="P786" s="51">
        <v>70973</v>
      </c>
      <c r="Q786" s="51">
        <v>63706</v>
      </c>
      <c r="R786" s="51">
        <v>69366</v>
      </c>
      <c r="S786" s="51">
        <v>69366</v>
      </c>
      <c r="T786" s="51">
        <v>6391200</v>
      </c>
      <c r="U786" s="53">
        <f t="shared" si="32"/>
        <v>6.4107874269409448E-2</v>
      </c>
      <c r="V786" s="59">
        <f>U786-('16. câmbio USD-BRL'!O233/'16. câmbio USD-BRL'!K233-1)</f>
        <v>7.6434993932668616E-2</v>
      </c>
    </row>
    <row r="787" spans="14:22" x14ac:dyDescent="0.2">
      <c r="N787" s="52">
        <v>39573</v>
      </c>
      <c r="O787" s="51">
        <v>69366</v>
      </c>
      <c r="P787" s="51">
        <v>70545</v>
      </c>
      <c r="Q787" s="51">
        <v>68599</v>
      </c>
      <c r="R787" s="51">
        <v>69646</v>
      </c>
      <c r="S787" s="51">
        <v>69646</v>
      </c>
      <c r="T787" s="51">
        <v>6024200</v>
      </c>
      <c r="U787" s="53">
        <f t="shared" si="32"/>
        <v>4.0365596978346741E-3</v>
      </c>
      <c r="V787" s="59">
        <f>U787-('16. câmbio USD-BRL'!O234/'16. câmbio USD-BRL'!K234-1)</f>
        <v>-2.0583501092438894E-2</v>
      </c>
    </row>
    <row r="788" spans="14:22" x14ac:dyDescent="0.2">
      <c r="N788" s="52">
        <v>39580</v>
      </c>
      <c r="O788" s="51">
        <v>69646</v>
      </c>
      <c r="P788" s="51">
        <v>72767</v>
      </c>
      <c r="Q788" s="51">
        <v>69068</v>
      </c>
      <c r="R788" s="51">
        <v>72767</v>
      </c>
      <c r="S788" s="51">
        <v>72767</v>
      </c>
      <c r="T788" s="51">
        <v>5867400</v>
      </c>
      <c r="U788" s="53">
        <f t="shared" si="32"/>
        <v>4.4812336674037168E-2</v>
      </c>
      <c r="V788" s="59">
        <f>U788-('16. câmbio USD-BRL'!O235/'16. câmbio USD-BRL'!K235-1)</f>
        <v>7.4980925848837532E-2</v>
      </c>
    </row>
    <row r="789" spans="14:22" x14ac:dyDescent="0.2">
      <c r="N789" s="52">
        <v>39587</v>
      </c>
      <c r="O789" s="51">
        <v>72767</v>
      </c>
      <c r="P789" s="51">
        <v>73794</v>
      </c>
      <c r="Q789" s="51">
        <v>70774</v>
      </c>
      <c r="R789" s="51">
        <v>71452</v>
      </c>
      <c r="S789" s="51">
        <v>71452</v>
      </c>
      <c r="T789" s="51">
        <v>5309800</v>
      </c>
      <c r="U789" s="53">
        <f t="shared" si="32"/>
        <v>-1.8071378509489144E-2</v>
      </c>
      <c r="V789" s="59">
        <f>U789-('16. câmbio USD-BRL'!O236/'16. câmbio USD-BRL'!K236-1)</f>
        <v>-2.5274406222832835E-2</v>
      </c>
    </row>
    <row r="790" spans="14:22" x14ac:dyDescent="0.2">
      <c r="N790" s="52">
        <v>39594</v>
      </c>
      <c r="O790" s="51">
        <v>71452</v>
      </c>
      <c r="P790" s="51">
        <v>73920</v>
      </c>
      <c r="Q790" s="51">
        <v>70335</v>
      </c>
      <c r="R790" s="51">
        <v>72593</v>
      </c>
      <c r="S790" s="51">
        <v>72593</v>
      </c>
      <c r="T790" s="51">
        <v>6680800</v>
      </c>
      <c r="U790" s="53">
        <f t="shared" si="32"/>
        <v>1.5968762245983426E-2</v>
      </c>
      <c r="V790" s="59">
        <f>U790-('16. câmbio USD-BRL'!O237/'16. câmbio USD-BRL'!K237-1)</f>
        <v>3.6198230845017165E-2</v>
      </c>
    </row>
    <row r="791" spans="14:22" x14ac:dyDescent="0.2">
      <c r="N791" s="52">
        <v>39601</v>
      </c>
      <c r="O791" s="51">
        <v>72593</v>
      </c>
      <c r="P791" s="51">
        <v>72593</v>
      </c>
      <c r="Q791" s="51">
        <v>68465</v>
      </c>
      <c r="R791" s="51">
        <v>69786</v>
      </c>
      <c r="S791" s="51">
        <v>69786</v>
      </c>
      <c r="T791" s="51">
        <v>6329600</v>
      </c>
      <c r="U791" s="53">
        <f t="shared" si="32"/>
        <v>-3.8667640130591097E-2</v>
      </c>
      <c r="V791" s="59">
        <f>U791-('16. câmbio USD-BRL'!O238/'16. câmbio USD-BRL'!K238-1)</f>
        <v>-3.8729273412563381E-2</v>
      </c>
    </row>
    <row r="792" spans="14:22" x14ac:dyDescent="0.2">
      <c r="N792" s="52">
        <v>39608</v>
      </c>
      <c r="O792" s="51">
        <v>69786</v>
      </c>
      <c r="P792" s="51">
        <v>69990</v>
      </c>
      <c r="Q792" s="51">
        <v>66715</v>
      </c>
      <c r="R792" s="51">
        <v>67204</v>
      </c>
      <c r="S792" s="51">
        <v>67204</v>
      </c>
      <c r="T792" s="51">
        <v>5605400</v>
      </c>
      <c r="U792" s="53">
        <f t="shared" si="32"/>
        <v>-3.6998824979222245E-2</v>
      </c>
      <c r="V792" s="59">
        <f>U792-('16. câmbio USD-BRL'!O239/'16. câmbio USD-BRL'!K239-1)</f>
        <v>-3.5341874994564426E-2</v>
      </c>
    </row>
    <row r="793" spans="14:22" x14ac:dyDescent="0.2">
      <c r="N793" s="52">
        <v>39615</v>
      </c>
      <c r="O793" s="51">
        <v>67206</v>
      </c>
      <c r="P793" s="51">
        <v>69029</v>
      </c>
      <c r="Q793" s="51">
        <v>64602</v>
      </c>
      <c r="R793" s="51">
        <v>64614</v>
      </c>
      <c r="S793" s="51">
        <v>64614</v>
      </c>
      <c r="T793" s="51">
        <v>5918400</v>
      </c>
      <c r="U793" s="53">
        <f t="shared" si="32"/>
        <v>-3.8539372656389514E-2</v>
      </c>
      <c r="V793" s="59">
        <f>U793-('16. câmbio USD-BRL'!O240/'16. câmbio USD-BRL'!K240-1)</f>
        <v>-1.8861814880382632E-2</v>
      </c>
    </row>
    <row r="794" spans="14:22" x14ac:dyDescent="0.2">
      <c r="N794" s="52">
        <v>39622</v>
      </c>
      <c r="O794" s="51">
        <v>64622</v>
      </c>
      <c r="P794" s="51">
        <v>66308</v>
      </c>
      <c r="Q794" s="51">
        <v>63689</v>
      </c>
      <c r="R794" s="51">
        <v>64321</v>
      </c>
      <c r="S794" s="51">
        <v>64321</v>
      </c>
      <c r="T794" s="51">
        <v>5703800</v>
      </c>
      <c r="U794" s="53">
        <f t="shared" si="32"/>
        <v>-4.5346209799733694E-3</v>
      </c>
      <c r="V794" s="59">
        <f>U794-('16. câmbio USD-BRL'!O241/'16. câmbio USD-BRL'!K241-1)</f>
        <v>-3.910401254629936E-3</v>
      </c>
    </row>
    <row r="795" spans="14:22" x14ac:dyDescent="0.2">
      <c r="N795" s="52">
        <v>39629</v>
      </c>
      <c r="O795" s="51">
        <v>64326</v>
      </c>
      <c r="P795" s="51">
        <v>65353</v>
      </c>
      <c r="Q795" s="51">
        <v>58786</v>
      </c>
      <c r="R795" s="51">
        <v>59365</v>
      </c>
      <c r="S795" s="51">
        <v>59365</v>
      </c>
      <c r="T795" s="51">
        <v>5390800</v>
      </c>
      <c r="U795" s="53">
        <f t="shared" si="32"/>
        <v>-7.7051040873120757E-2</v>
      </c>
      <c r="V795" s="59">
        <f>U795-('16. câmbio USD-BRL'!O242/'16. câmbio USD-BRL'!K242-1)</f>
        <v>-8.3964931507941709E-2</v>
      </c>
    </row>
    <row r="796" spans="14:22" x14ac:dyDescent="0.2">
      <c r="N796" s="52">
        <v>39636</v>
      </c>
      <c r="O796" s="51">
        <v>59372</v>
      </c>
      <c r="P796" s="51">
        <v>61053</v>
      </c>
      <c r="Q796" s="51">
        <v>57945</v>
      </c>
      <c r="R796" s="51">
        <v>60148</v>
      </c>
      <c r="S796" s="51">
        <v>60148</v>
      </c>
      <c r="T796" s="51">
        <v>4852000</v>
      </c>
      <c r="U796" s="53">
        <f t="shared" si="32"/>
        <v>1.3189589825654879E-2</v>
      </c>
      <c r="V796" s="59">
        <f>U796-('16. câmbio USD-BRL'!O243/'16. câmbio USD-BRL'!K243-1)</f>
        <v>1.499711912009527E-2</v>
      </c>
    </row>
    <row r="797" spans="14:22" x14ac:dyDescent="0.2">
      <c r="N797" s="52">
        <v>39643</v>
      </c>
      <c r="O797" s="51">
        <v>60156</v>
      </c>
      <c r="P797" s="51">
        <v>62606</v>
      </c>
      <c r="Q797" s="51">
        <v>58790</v>
      </c>
      <c r="R797" s="51">
        <v>59988</v>
      </c>
      <c r="S797" s="51">
        <v>59988</v>
      </c>
      <c r="T797" s="51">
        <v>7143000</v>
      </c>
      <c r="U797" s="53">
        <f t="shared" si="32"/>
        <v>-2.6601050741503762E-3</v>
      </c>
      <c r="V797" s="59">
        <f>U797-('16. câmbio USD-BRL'!O244/'16. câmbio USD-BRL'!K244-1)</f>
        <v>2.3492875369954813E-3</v>
      </c>
    </row>
    <row r="798" spans="14:22" x14ac:dyDescent="0.2">
      <c r="N798" s="52">
        <v>39650</v>
      </c>
      <c r="O798" s="51">
        <v>60002</v>
      </c>
      <c r="P798" s="51">
        <v>61275</v>
      </c>
      <c r="Q798" s="51">
        <v>56418</v>
      </c>
      <c r="R798" s="51">
        <v>57199</v>
      </c>
      <c r="S798" s="51">
        <v>57199</v>
      </c>
      <c r="T798" s="51">
        <v>6816600</v>
      </c>
      <c r="U798" s="53">
        <f t="shared" si="32"/>
        <v>-4.6492631859705313E-2</v>
      </c>
      <c r="V798" s="59">
        <f>U798-('16. câmbio USD-BRL'!O245/'16. câmbio USD-BRL'!K245-1)</f>
        <v>-3.6211963300891048E-2</v>
      </c>
    </row>
    <row r="799" spans="14:22" x14ac:dyDescent="0.2">
      <c r="N799" s="52">
        <v>39657</v>
      </c>
      <c r="O799" s="51">
        <v>57207</v>
      </c>
      <c r="P799" s="51">
        <v>60023</v>
      </c>
      <c r="Q799" s="51">
        <v>56839</v>
      </c>
      <c r="R799" s="51">
        <v>57630</v>
      </c>
      <c r="S799" s="51">
        <v>57630</v>
      </c>
      <c r="T799" s="51">
        <v>5810200</v>
      </c>
      <c r="U799" s="53">
        <f t="shared" si="32"/>
        <v>7.5350967674259195E-3</v>
      </c>
      <c r="V799" s="59">
        <f>U799-('16. câmbio USD-BRL'!O246/'16. câmbio USD-BRL'!K246-1)</f>
        <v>1.3264661320519844E-2</v>
      </c>
    </row>
    <row r="800" spans="14:22" x14ac:dyDescent="0.2">
      <c r="N800" s="52">
        <v>39664</v>
      </c>
      <c r="O800" s="51">
        <v>57619</v>
      </c>
      <c r="P800" s="51">
        <v>57942</v>
      </c>
      <c r="Q800" s="51">
        <v>55367</v>
      </c>
      <c r="R800" s="51">
        <v>56584</v>
      </c>
      <c r="S800" s="51">
        <v>56584</v>
      </c>
      <c r="T800" s="51">
        <v>5987800</v>
      </c>
      <c r="U800" s="53">
        <f t="shared" si="32"/>
        <v>-1.8150268957140336E-2</v>
      </c>
      <c r="V800" s="59" t="e">
        <f>U800-('16. câmbio USD-BRL'!O247/'16. câmbio USD-BRL'!K247-1)</f>
        <v>#VALUE!</v>
      </c>
    </row>
    <row r="801" spans="14:22" x14ac:dyDescent="0.2">
      <c r="N801" s="52">
        <v>39671</v>
      </c>
      <c r="O801" s="51">
        <v>56590</v>
      </c>
      <c r="P801" s="51">
        <v>56974</v>
      </c>
      <c r="Q801" s="51">
        <v>53831</v>
      </c>
      <c r="R801" s="51">
        <v>54244</v>
      </c>
      <c r="S801" s="51">
        <v>54244</v>
      </c>
      <c r="T801" s="51">
        <v>6369000</v>
      </c>
      <c r="U801" s="53">
        <f t="shared" si="32"/>
        <v>-4.1354446486639329E-2</v>
      </c>
      <c r="V801" s="59" t="e">
        <f>U801-('16. câmbio USD-BRL'!O248/'16. câmbio USD-BRL'!K248-1)</f>
        <v>#VALUE!</v>
      </c>
    </row>
    <row r="802" spans="14:22" x14ac:dyDescent="0.2">
      <c r="N802" s="52">
        <v>39678</v>
      </c>
      <c r="O802" s="51">
        <v>54252</v>
      </c>
      <c r="P802" s="51">
        <v>56430</v>
      </c>
      <c r="Q802" s="51">
        <v>52345</v>
      </c>
      <c r="R802" s="51">
        <v>55850</v>
      </c>
      <c r="S802" s="51">
        <v>55850</v>
      </c>
      <c r="T802" s="51">
        <v>4939600</v>
      </c>
      <c r="U802" s="53">
        <f t="shared" si="32"/>
        <v>2.9606961138559207E-2</v>
      </c>
      <c r="V802" s="59" t="e">
        <f>U802-('16. câmbio USD-BRL'!O249/'16. câmbio USD-BRL'!K249-1)</f>
        <v>#VALUE!</v>
      </c>
    </row>
    <row r="803" spans="14:22" x14ac:dyDescent="0.2">
      <c r="N803" s="52">
        <v>39685</v>
      </c>
      <c r="O803" s="51">
        <v>55854</v>
      </c>
      <c r="P803" s="51">
        <v>56856</v>
      </c>
      <c r="Q803" s="51">
        <v>54153</v>
      </c>
      <c r="R803" s="51">
        <v>55680</v>
      </c>
      <c r="S803" s="51">
        <v>55680</v>
      </c>
      <c r="T803" s="51">
        <v>4536000</v>
      </c>
      <c r="U803" s="53">
        <f t="shared" si="32"/>
        <v>-3.0438675022381734E-3</v>
      </c>
      <c r="V803" s="59">
        <f>U803-('16. câmbio USD-BRL'!O250/'16. câmbio USD-BRL'!K250-1)</f>
        <v>-4.5793054091292085E-3</v>
      </c>
    </row>
    <row r="804" spans="14:22" x14ac:dyDescent="0.2">
      <c r="N804" s="52">
        <v>39692</v>
      </c>
      <c r="O804" s="51">
        <v>55665</v>
      </c>
      <c r="P804" s="51">
        <v>55665</v>
      </c>
      <c r="Q804" s="51">
        <v>50092</v>
      </c>
      <c r="R804" s="51">
        <v>51940</v>
      </c>
      <c r="S804" s="51">
        <v>51940</v>
      </c>
      <c r="T804" s="51">
        <v>6106800</v>
      </c>
      <c r="U804" s="53">
        <f t="shared" si="32"/>
        <v>-6.7169540229885083E-2</v>
      </c>
      <c r="V804" s="59">
        <f>U804-('16. câmbio USD-BRL'!O251/'16. câmbio USD-BRL'!K251-1)</f>
        <v>-0.13045367307121358</v>
      </c>
    </row>
    <row r="805" spans="14:22" x14ac:dyDescent="0.2">
      <c r="N805" s="52">
        <v>39699</v>
      </c>
      <c r="O805" s="51">
        <v>51940</v>
      </c>
      <c r="P805" s="51">
        <v>53706</v>
      </c>
      <c r="Q805" s="51">
        <v>47606</v>
      </c>
      <c r="R805" s="51">
        <v>52393</v>
      </c>
      <c r="S805" s="51">
        <v>52393</v>
      </c>
      <c r="T805" s="51">
        <v>7801800</v>
      </c>
      <c r="U805" s="53">
        <f t="shared" si="32"/>
        <v>8.7216018482865199E-3</v>
      </c>
      <c r="V805" s="59">
        <f>U805-('16. câmbio USD-BRL'!O252/'16. câmbio USD-BRL'!K252-1)</f>
        <v>-1.9032084188140175E-2</v>
      </c>
    </row>
    <row r="806" spans="14:22" x14ac:dyDescent="0.2">
      <c r="N806" s="52">
        <v>39706</v>
      </c>
      <c r="O806" s="51">
        <v>52386</v>
      </c>
      <c r="P806" s="51">
        <v>53168</v>
      </c>
      <c r="Q806" s="51">
        <v>45295</v>
      </c>
      <c r="R806" s="51">
        <v>53055</v>
      </c>
      <c r="S806" s="51">
        <v>53055</v>
      </c>
      <c r="T806" s="51">
        <v>10394800</v>
      </c>
      <c r="U806" s="53">
        <f t="shared" si="32"/>
        <v>1.2635275704769633E-2</v>
      </c>
      <c r="V806" s="59">
        <f>U806-('16. câmbio USD-BRL'!O253/'16. câmbio USD-BRL'!K253-1)</f>
        <v>-8.5073243851989666E-3</v>
      </c>
    </row>
    <row r="807" spans="14:22" x14ac:dyDescent="0.2">
      <c r="N807" s="52">
        <v>39713</v>
      </c>
      <c r="O807" s="51">
        <v>53055</v>
      </c>
      <c r="P807" s="51">
        <v>53455</v>
      </c>
      <c r="Q807" s="51">
        <v>49289</v>
      </c>
      <c r="R807" s="51">
        <v>50783</v>
      </c>
      <c r="S807" s="51">
        <v>50783</v>
      </c>
      <c r="T807" s="51">
        <v>7692800</v>
      </c>
      <c r="U807" s="53">
        <f t="shared" si="32"/>
        <v>-4.2823485062670863E-2</v>
      </c>
      <c r="V807" s="59">
        <f>U807-('16. câmbio USD-BRL'!O254/'16. câmbio USD-BRL'!K254-1)</f>
        <v>-6.1907875575632709E-2</v>
      </c>
    </row>
    <row r="808" spans="14:22" x14ac:dyDescent="0.2">
      <c r="N808" s="52">
        <v>39720</v>
      </c>
      <c r="O808" s="51">
        <v>50743</v>
      </c>
      <c r="P808" s="51">
        <v>50743</v>
      </c>
      <c r="Q808" s="51">
        <v>43766</v>
      </c>
      <c r="R808" s="51">
        <v>44517</v>
      </c>
      <c r="S808" s="51">
        <v>44517</v>
      </c>
      <c r="T808" s="51">
        <v>8198200</v>
      </c>
      <c r="U808" s="53">
        <f t="shared" si="32"/>
        <v>-0.12338774786838114</v>
      </c>
      <c r="V808" s="59">
        <f>U808-('16. câmbio USD-BRL'!O255/'16. câmbio USD-BRL'!K255-1)</f>
        <v>-0.21754359202422524</v>
      </c>
    </row>
    <row r="809" spans="14:22" x14ac:dyDescent="0.2">
      <c r="N809" s="52">
        <v>39727</v>
      </c>
      <c r="O809" s="51">
        <v>44502</v>
      </c>
      <c r="P809" s="51">
        <v>44502</v>
      </c>
      <c r="Q809" s="51">
        <v>33238</v>
      </c>
      <c r="R809" s="51">
        <v>35610</v>
      </c>
      <c r="S809" s="51">
        <v>35610</v>
      </c>
      <c r="T809" s="51">
        <v>11503400</v>
      </c>
      <c r="U809" s="53">
        <f t="shared" si="32"/>
        <v>-0.20008086798301772</v>
      </c>
      <c r="V809" s="59">
        <f>U809-('16. câmbio USD-BRL'!O256/'16. câmbio USD-BRL'!K256-1)</f>
        <v>-0.31209867213732045</v>
      </c>
    </row>
    <row r="810" spans="14:22" x14ac:dyDescent="0.2">
      <c r="N810" s="52">
        <v>39734</v>
      </c>
      <c r="O810" s="51">
        <v>35609</v>
      </c>
      <c r="P810" s="51">
        <v>43753</v>
      </c>
      <c r="Q810" s="51">
        <v>33752</v>
      </c>
      <c r="R810" s="51">
        <v>36399</v>
      </c>
      <c r="S810" s="51">
        <v>36399</v>
      </c>
      <c r="T810" s="51">
        <v>10518800</v>
      </c>
      <c r="U810" s="53">
        <f t="shared" si="32"/>
        <v>2.2156697556866112E-2</v>
      </c>
      <c r="V810" s="59">
        <f>U810-('16. câmbio USD-BRL'!O257/'16. câmbio USD-BRL'!K257-1)</f>
        <v>0.10810455438408673</v>
      </c>
    </row>
    <row r="811" spans="14:22" x14ac:dyDescent="0.2">
      <c r="N811" s="52">
        <v>39741</v>
      </c>
      <c r="O811" s="51">
        <v>36401</v>
      </c>
      <c r="P811" s="51">
        <v>39980</v>
      </c>
      <c r="Q811" s="51">
        <v>30788</v>
      </c>
      <c r="R811" s="51">
        <v>31482</v>
      </c>
      <c r="S811" s="51">
        <v>31482</v>
      </c>
      <c r="T811" s="51">
        <v>8945600</v>
      </c>
      <c r="U811" s="53">
        <f t="shared" si="32"/>
        <v>-0.13508612873980053</v>
      </c>
      <c r="V811" s="59">
        <f>U811-('16. câmbio USD-BRL'!O258/'16. câmbio USD-BRL'!K258-1)</f>
        <v>-0.23445841266061163</v>
      </c>
    </row>
    <row r="812" spans="14:22" x14ac:dyDescent="0.2">
      <c r="N812" s="52">
        <v>39748</v>
      </c>
      <c r="O812" s="51">
        <v>31480</v>
      </c>
      <c r="P812" s="51">
        <v>37945</v>
      </c>
      <c r="Q812" s="51">
        <v>29435</v>
      </c>
      <c r="R812" s="51">
        <v>37257</v>
      </c>
      <c r="S812" s="51">
        <v>37257</v>
      </c>
      <c r="T812" s="51">
        <v>10710800</v>
      </c>
      <c r="U812" s="53">
        <f t="shared" si="32"/>
        <v>0.18343815513626827</v>
      </c>
      <c r="V812" s="59">
        <f>U812-('16. câmbio USD-BRL'!O259/'16. câmbio USD-BRL'!K259-1)</f>
        <v>0.27292623641801905</v>
      </c>
    </row>
    <row r="813" spans="14:22" x14ac:dyDescent="0.2">
      <c r="N813" s="52">
        <v>39755</v>
      </c>
      <c r="O813" s="51">
        <v>37261</v>
      </c>
      <c r="P813" s="51">
        <v>41003</v>
      </c>
      <c r="Q813" s="51">
        <v>35387</v>
      </c>
      <c r="R813" s="51">
        <v>36665</v>
      </c>
      <c r="S813" s="51">
        <v>36665</v>
      </c>
      <c r="T813" s="51">
        <v>9702200</v>
      </c>
      <c r="U813" s="53">
        <f t="shared" si="32"/>
        <v>-1.5889631478648303E-2</v>
      </c>
      <c r="V813" s="59">
        <f>U813-('16. câmbio USD-BRL'!O260/'16. câmbio USD-BRL'!K260-1)</f>
        <v>-3.0310435261154289E-2</v>
      </c>
    </row>
    <row r="814" spans="14:22" x14ac:dyDescent="0.2">
      <c r="N814" s="52">
        <v>39762</v>
      </c>
      <c r="O814" s="51">
        <v>36672</v>
      </c>
      <c r="P814" s="51">
        <v>38725</v>
      </c>
      <c r="Q814" s="51">
        <v>33645</v>
      </c>
      <c r="R814" s="51">
        <v>35789</v>
      </c>
      <c r="S814" s="51">
        <v>35789</v>
      </c>
      <c r="T814" s="51">
        <v>8935400</v>
      </c>
      <c r="U814" s="53">
        <f t="shared" si="32"/>
        <v>-2.3891995090685958E-2</v>
      </c>
      <c r="V814" s="59">
        <f>U814-('16. câmbio USD-BRL'!O261/'16. câmbio USD-BRL'!K261-1)</f>
        <v>-5.9955280339639039E-2</v>
      </c>
    </row>
    <row r="815" spans="14:22" x14ac:dyDescent="0.2">
      <c r="N815" s="52">
        <v>39769</v>
      </c>
      <c r="O815" s="51">
        <v>35777</v>
      </c>
      <c r="P815" s="51">
        <v>36373</v>
      </c>
      <c r="Q815" s="51">
        <v>31081</v>
      </c>
      <c r="R815" s="51">
        <v>31251</v>
      </c>
      <c r="S815" s="51">
        <v>31251</v>
      </c>
      <c r="T815" s="51">
        <v>6606400</v>
      </c>
      <c r="U815" s="53">
        <f t="shared" si="32"/>
        <v>-0.12679873704210787</v>
      </c>
      <c r="V815" s="59">
        <f>U815-('16. câmbio USD-BRL'!O262/'16. câmbio USD-BRL'!K262-1)</f>
        <v>-0.23254586347888939</v>
      </c>
    </row>
    <row r="816" spans="14:22" x14ac:dyDescent="0.2">
      <c r="N816" s="52">
        <v>39776</v>
      </c>
      <c r="O816" s="51">
        <v>31255</v>
      </c>
      <c r="P816" s="51">
        <v>37217</v>
      </c>
      <c r="Q816" s="51">
        <v>31255</v>
      </c>
      <c r="R816" s="51">
        <v>36596</v>
      </c>
      <c r="S816" s="51">
        <v>36596</v>
      </c>
      <c r="T816" s="51">
        <v>8209000</v>
      </c>
      <c r="U816" s="53">
        <f t="shared" si="32"/>
        <v>0.17103452689513943</v>
      </c>
      <c r="V816" s="59">
        <f>U816-('16. câmbio USD-BRL'!O263/'16. câmbio USD-BRL'!K263-1)</f>
        <v>0.22331908930064936</v>
      </c>
    </row>
    <row r="817" spans="14:22" x14ac:dyDescent="0.2">
      <c r="N817" s="52">
        <v>39783</v>
      </c>
      <c r="O817" s="51">
        <v>36596</v>
      </c>
      <c r="P817" s="51">
        <v>36596</v>
      </c>
      <c r="Q817" s="51">
        <v>33798</v>
      </c>
      <c r="R817" s="51">
        <v>35347</v>
      </c>
      <c r="S817" s="51">
        <v>35347</v>
      </c>
      <c r="T817" s="51">
        <v>8487600</v>
      </c>
      <c r="U817" s="53">
        <f t="shared" si="32"/>
        <v>-3.4129413050606572E-2</v>
      </c>
      <c r="V817" s="59">
        <f>U817-('16. câmbio USD-BRL'!O264/'16. câmbio USD-BRL'!K264-1)</f>
        <v>-0.17254999867616105</v>
      </c>
    </row>
    <row r="818" spans="14:22" x14ac:dyDescent="0.2">
      <c r="N818" s="52">
        <v>39790</v>
      </c>
      <c r="O818" s="51">
        <v>35347</v>
      </c>
      <c r="P818" s="51">
        <v>39880</v>
      </c>
      <c r="Q818" s="51">
        <v>35347</v>
      </c>
      <c r="R818" s="51">
        <v>39374</v>
      </c>
      <c r="S818" s="51">
        <v>39374</v>
      </c>
      <c r="T818" s="51">
        <v>10312200</v>
      </c>
      <c r="U818" s="53">
        <f t="shared" si="32"/>
        <v>0.11392763176507192</v>
      </c>
      <c r="V818" s="59">
        <f>U818-('16. câmbio USD-BRL'!O265/'16. câmbio USD-BRL'!K265-1)</f>
        <v>0.12934899538238742</v>
      </c>
    </row>
    <row r="819" spans="14:22" x14ac:dyDescent="0.2">
      <c r="N819" s="52">
        <v>39797</v>
      </c>
      <c r="O819" s="51">
        <v>39368</v>
      </c>
      <c r="P819" s="51">
        <v>40498</v>
      </c>
      <c r="Q819" s="51">
        <v>38320</v>
      </c>
      <c r="R819" s="51">
        <v>39131</v>
      </c>
      <c r="S819" s="51">
        <v>39131</v>
      </c>
      <c r="T819" s="51">
        <v>8445800</v>
      </c>
      <c r="U819" s="53">
        <f t="shared" si="32"/>
        <v>-6.1715853101030893E-3</v>
      </c>
      <c r="V819" s="59">
        <f>U819-('16. câmbio USD-BRL'!O266/'16. câmbio USD-BRL'!K266-1)</f>
        <v>-1.4894989565422123E-2</v>
      </c>
    </row>
    <row r="820" spans="14:22" x14ac:dyDescent="0.2">
      <c r="N820" s="52">
        <v>39804</v>
      </c>
      <c r="O820" s="51">
        <v>39140</v>
      </c>
      <c r="P820" s="51">
        <v>39452</v>
      </c>
      <c r="Q820" s="51">
        <v>36334</v>
      </c>
      <c r="R820" s="51">
        <v>36864</v>
      </c>
      <c r="S820" s="51">
        <v>36864</v>
      </c>
      <c r="T820" s="51">
        <v>2644200</v>
      </c>
      <c r="U820" s="53">
        <f t="shared" si="32"/>
        <v>-5.7933607625667682E-2</v>
      </c>
      <c r="V820" s="59">
        <f>U820-('16. câmbio USD-BRL'!O267/'16. câmbio USD-BRL'!K267-1)</f>
        <v>-5.114453845401945E-2</v>
      </c>
    </row>
    <row r="821" spans="14:22" x14ac:dyDescent="0.2">
      <c r="N821" s="52">
        <v>39811</v>
      </c>
      <c r="O821" s="51">
        <v>36864</v>
      </c>
      <c r="P821" s="51">
        <v>40265</v>
      </c>
      <c r="Q821" s="51">
        <v>36638</v>
      </c>
      <c r="R821" s="51">
        <v>40244</v>
      </c>
      <c r="S821" s="51">
        <v>40244</v>
      </c>
      <c r="T821" s="51">
        <v>3609800</v>
      </c>
      <c r="U821" s="53">
        <f t="shared" si="32"/>
        <v>9.168836805555558E-2</v>
      </c>
      <c r="V821" s="59">
        <f>U821-('16. câmbio USD-BRL'!O268/'16. câmbio USD-BRL'!K268-1)</f>
        <v>0.11684957680508135</v>
      </c>
    </row>
    <row r="822" spans="14:22" x14ac:dyDescent="0.2">
      <c r="N822" s="52">
        <v>39818</v>
      </c>
      <c r="O822" s="51">
        <v>40243</v>
      </c>
      <c r="P822" s="51">
        <v>42525</v>
      </c>
      <c r="Q822" s="51">
        <v>39526</v>
      </c>
      <c r="R822" s="51">
        <v>41583</v>
      </c>
      <c r="S822" s="51">
        <v>41583</v>
      </c>
      <c r="T822" s="51">
        <v>8213200</v>
      </c>
      <c r="U822" s="53">
        <f t="shared" si="32"/>
        <v>3.3272040552629001E-2</v>
      </c>
      <c r="V822" s="59">
        <f>U822-('16. câmbio USD-BRL'!O269/'16. câmbio USD-BRL'!K269-1)</f>
        <v>6.3911625686596141E-2</v>
      </c>
    </row>
    <row r="823" spans="14:22" x14ac:dyDescent="0.2">
      <c r="N823" s="52">
        <v>39825</v>
      </c>
      <c r="O823" s="51">
        <v>41585</v>
      </c>
      <c r="P823" s="51">
        <v>41585</v>
      </c>
      <c r="Q823" s="51">
        <v>36806</v>
      </c>
      <c r="R823" s="51">
        <v>39342</v>
      </c>
      <c r="S823" s="51">
        <v>39342</v>
      </c>
      <c r="T823" s="51">
        <v>9315000</v>
      </c>
      <c r="U823" s="53">
        <f t="shared" si="32"/>
        <v>-5.3892215568862256E-2</v>
      </c>
      <c r="V823" s="59">
        <f>U823-('16. câmbio USD-BRL'!O270/'16. câmbio USD-BRL'!K270-1)</f>
        <v>-9.3855884960324709E-2</v>
      </c>
    </row>
    <row r="824" spans="14:22" x14ac:dyDescent="0.2">
      <c r="N824" s="52">
        <v>39832</v>
      </c>
      <c r="O824" s="51">
        <v>39351</v>
      </c>
      <c r="P824" s="51">
        <v>39570</v>
      </c>
      <c r="Q824" s="51">
        <v>36744</v>
      </c>
      <c r="R824" s="51">
        <v>38132</v>
      </c>
      <c r="S824" s="51">
        <v>38132</v>
      </c>
      <c r="T824" s="51">
        <v>7058400</v>
      </c>
      <c r="U824" s="53">
        <f t="shared" si="32"/>
        <v>-3.075593513293684E-2</v>
      </c>
      <c r="V824" s="59">
        <f>U824-('16. câmbio USD-BRL'!O271/'16. câmbio USD-BRL'!K271-1)</f>
        <v>-3.4333596564001367E-2</v>
      </c>
    </row>
    <row r="825" spans="14:22" x14ac:dyDescent="0.2">
      <c r="N825" s="52">
        <v>39839</v>
      </c>
      <c r="O825" s="51">
        <v>38130</v>
      </c>
      <c r="P825" s="51">
        <v>40438</v>
      </c>
      <c r="Q825" s="51">
        <v>37831</v>
      </c>
      <c r="R825" s="51">
        <v>39301</v>
      </c>
      <c r="S825" s="51">
        <v>39301</v>
      </c>
      <c r="T825" s="51">
        <v>7858000</v>
      </c>
      <c r="U825" s="53">
        <f t="shared" si="32"/>
        <v>3.0656666317004033E-2</v>
      </c>
      <c r="V825" s="59">
        <f>U825-('16. câmbio USD-BRL'!O272/'16. câmbio USD-BRL'!K272-1)</f>
        <v>1.6792760731956013E-2</v>
      </c>
    </row>
    <row r="826" spans="14:22" x14ac:dyDescent="0.2">
      <c r="N826" s="52">
        <v>39846</v>
      </c>
      <c r="O826" s="51">
        <v>39296</v>
      </c>
      <c r="P826" s="51">
        <v>42873</v>
      </c>
      <c r="Q826" s="51">
        <v>38453</v>
      </c>
      <c r="R826" s="51">
        <v>42756</v>
      </c>
      <c r="S826" s="51">
        <v>42756</v>
      </c>
      <c r="T826" s="51">
        <v>9401000</v>
      </c>
      <c r="U826" s="53">
        <f t="shared" si="32"/>
        <v>8.7911249077631703E-2</v>
      </c>
      <c r="V826" s="59">
        <f>U826-('16. câmbio USD-BRL'!O273/'16. câmbio USD-BRL'!K273-1)</f>
        <v>0.11355001559745537</v>
      </c>
    </row>
    <row r="827" spans="14:22" x14ac:dyDescent="0.2">
      <c r="N827" s="52">
        <v>39853</v>
      </c>
      <c r="O827" s="51">
        <v>42755</v>
      </c>
      <c r="P827" s="51">
        <v>43441</v>
      </c>
      <c r="Q827" s="51">
        <v>39992</v>
      </c>
      <c r="R827" s="51">
        <v>41674</v>
      </c>
      <c r="S827" s="51">
        <v>41674</v>
      </c>
      <c r="T827" s="51">
        <v>8930400</v>
      </c>
      <c r="U827" s="53">
        <f t="shared" si="32"/>
        <v>-2.5306389746468372E-2</v>
      </c>
      <c r="V827" s="59">
        <f>U827-('16. câmbio USD-BRL'!O274/'16. câmbio USD-BRL'!K274-1)</f>
        <v>-3.5272414661530527E-2</v>
      </c>
    </row>
    <row r="828" spans="14:22" x14ac:dyDescent="0.2">
      <c r="N828" s="52">
        <v>39860</v>
      </c>
      <c r="O828" s="51">
        <v>41672</v>
      </c>
      <c r="P828" s="51">
        <v>41841</v>
      </c>
      <c r="Q828" s="51">
        <v>38103</v>
      </c>
      <c r="R828" s="51">
        <v>38715</v>
      </c>
      <c r="S828" s="51">
        <v>38715</v>
      </c>
      <c r="T828" s="51">
        <v>7347000</v>
      </c>
      <c r="U828" s="53">
        <f t="shared" si="32"/>
        <v>-7.1003503383404554E-2</v>
      </c>
      <c r="V828" s="59">
        <f>U828-('16. câmbio USD-BRL'!O275/'16. câmbio USD-BRL'!K275-1)</f>
        <v>-0.1309445598331892</v>
      </c>
    </row>
    <row r="829" spans="14:22" x14ac:dyDescent="0.2">
      <c r="N829" s="52">
        <v>39867</v>
      </c>
      <c r="O829" s="51">
        <v>38712</v>
      </c>
      <c r="P829" s="51">
        <v>39219</v>
      </c>
      <c r="Q829" s="51">
        <v>37324</v>
      </c>
      <c r="R829" s="51">
        <v>38183</v>
      </c>
      <c r="S829" s="51">
        <v>38183</v>
      </c>
      <c r="T829" s="51">
        <v>4391200</v>
      </c>
      <c r="U829" s="53">
        <f t="shared" si="32"/>
        <v>-1.3741443884799143E-2</v>
      </c>
      <c r="V829" s="59">
        <f>U829-('16. câmbio USD-BRL'!O276/'16. câmbio USD-BRL'!K276-1)</f>
        <v>-1.2067624142309774E-2</v>
      </c>
    </row>
    <row r="830" spans="14:22" x14ac:dyDescent="0.2">
      <c r="N830" s="52">
        <v>39874</v>
      </c>
      <c r="O830" s="51">
        <v>38180</v>
      </c>
      <c r="P830" s="51">
        <v>38554</v>
      </c>
      <c r="Q830" s="51">
        <v>35722</v>
      </c>
      <c r="R830" s="51">
        <v>37105</v>
      </c>
      <c r="S830" s="51">
        <v>37105</v>
      </c>
      <c r="T830" s="51">
        <v>8091400</v>
      </c>
      <c r="U830" s="53">
        <f t="shared" si="32"/>
        <v>-2.8232459471492555E-2</v>
      </c>
      <c r="V830" s="59">
        <f>U830-('16. câmbio USD-BRL'!O277/'16. câmbio USD-BRL'!K277-1)</f>
        <v>-2.0118002926542644E-2</v>
      </c>
    </row>
    <row r="831" spans="14:22" x14ac:dyDescent="0.2">
      <c r="N831" s="52">
        <v>39881</v>
      </c>
      <c r="O831" s="51">
        <v>37103</v>
      </c>
      <c r="P831" s="51">
        <v>39707</v>
      </c>
      <c r="Q831" s="51">
        <v>36392</v>
      </c>
      <c r="R831" s="51">
        <v>39015</v>
      </c>
      <c r="S831" s="51">
        <v>39015</v>
      </c>
      <c r="T831" s="51">
        <v>7483800</v>
      </c>
      <c r="U831" s="53">
        <f t="shared" si="32"/>
        <v>5.1475542379733286E-2</v>
      </c>
      <c r="V831" s="59">
        <f>U831-('16. câmbio USD-BRL'!O278/'16. câmbio USD-BRL'!K278-1)</f>
        <v>6.9575670749438046E-2</v>
      </c>
    </row>
    <row r="832" spans="14:22" x14ac:dyDescent="0.2">
      <c r="N832" s="52">
        <v>39888</v>
      </c>
      <c r="O832" s="51">
        <v>39018</v>
      </c>
      <c r="P832" s="51">
        <v>41137</v>
      </c>
      <c r="Q832" s="51">
        <v>38080</v>
      </c>
      <c r="R832" s="51">
        <v>40076</v>
      </c>
      <c r="S832" s="51">
        <v>40076</v>
      </c>
      <c r="T832" s="51">
        <v>8012400</v>
      </c>
      <c r="U832" s="53">
        <f t="shared" si="32"/>
        <v>2.7194668717160031E-2</v>
      </c>
      <c r="V832" s="59">
        <f>U832-('16. câmbio USD-BRL'!O279/'16. câmbio USD-BRL'!K279-1)</f>
        <v>5.0483494516743166E-2</v>
      </c>
    </row>
    <row r="833" spans="14:22" x14ac:dyDescent="0.2">
      <c r="N833" s="52">
        <v>39895</v>
      </c>
      <c r="O833" s="51">
        <v>40077</v>
      </c>
      <c r="P833" s="51">
        <v>42680</v>
      </c>
      <c r="Q833" s="51">
        <v>40077</v>
      </c>
      <c r="R833" s="51">
        <v>41907</v>
      </c>
      <c r="S833" s="51">
        <v>41907</v>
      </c>
      <c r="T833" s="51">
        <v>8648400</v>
      </c>
      <c r="U833" s="53">
        <f t="shared" si="32"/>
        <v>4.5688192434374608E-2</v>
      </c>
      <c r="V833" s="59">
        <f>U833-('16. câmbio USD-BRL'!O280/'16. câmbio USD-BRL'!K280-1)</f>
        <v>3.9277357219927644E-2</v>
      </c>
    </row>
    <row r="834" spans="14:22" x14ac:dyDescent="0.2">
      <c r="N834" s="52">
        <v>39902</v>
      </c>
      <c r="O834" s="51">
        <v>41909</v>
      </c>
      <c r="P834" s="51">
        <v>44610</v>
      </c>
      <c r="Q834" s="51">
        <v>40256</v>
      </c>
      <c r="R834" s="51">
        <v>44391</v>
      </c>
      <c r="S834" s="51">
        <v>44391</v>
      </c>
      <c r="T834" s="51">
        <v>9017800</v>
      </c>
      <c r="U834" s="53">
        <f t="shared" si="32"/>
        <v>5.927410695110602E-2</v>
      </c>
      <c r="V834" s="59">
        <f>U834-('16. câmbio USD-BRL'!O281/'16. câmbio USD-BRL'!K281-1)</f>
        <v>9.8193990905580342E-2</v>
      </c>
    </row>
    <row r="835" spans="14:22" x14ac:dyDescent="0.2">
      <c r="N835" s="52">
        <v>39909</v>
      </c>
      <c r="O835" s="51">
        <v>44385</v>
      </c>
      <c r="P835" s="51">
        <v>45702</v>
      </c>
      <c r="Q835" s="51">
        <v>43429</v>
      </c>
      <c r="R835" s="51">
        <v>45539</v>
      </c>
      <c r="S835" s="51">
        <v>45539</v>
      </c>
      <c r="T835" s="51">
        <v>6880000</v>
      </c>
      <c r="U835" s="53">
        <f t="shared" si="32"/>
        <v>2.5861097970309332E-2</v>
      </c>
      <c r="V835" s="59">
        <f>U835-('16. câmbio USD-BRL'!O282/'16. câmbio USD-BRL'!K282-1)</f>
        <v>1.6092579451790989E-2</v>
      </c>
    </row>
    <row r="836" spans="14:22" x14ac:dyDescent="0.2">
      <c r="N836" s="52">
        <v>39916</v>
      </c>
      <c r="O836" s="51">
        <v>45536</v>
      </c>
      <c r="P836" s="51">
        <v>46591</v>
      </c>
      <c r="Q836" s="51">
        <v>44811</v>
      </c>
      <c r="R836" s="51">
        <v>45778</v>
      </c>
      <c r="S836" s="51">
        <v>45778</v>
      </c>
      <c r="T836" s="51">
        <v>8674600</v>
      </c>
      <c r="U836" s="53">
        <f t="shared" si="32"/>
        <v>5.2482487538154654E-3</v>
      </c>
      <c r="V836" s="59">
        <f>U836-('16. câmbio USD-BRL'!O283/'16. câmbio USD-BRL'!K283-1)</f>
        <v>5.0401464230254156E-4</v>
      </c>
    </row>
    <row r="837" spans="14:22" x14ac:dyDescent="0.2">
      <c r="N837" s="52">
        <v>39923</v>
      </c>
      <c r="O837" s="51">
        <v>45778</v>
      </c>
      <c r="P837" s="51">
        <v>46946</v>
      </c>
      <c r="Q837" s="51">
        <v>44275</v>
      </c>
      <c r="R837" s="51">
        <v>46772</v>
      </c>
      <c r="S837" s="51">
        <v>46772</v>
      </c>
      <c r="T837" s="51">
        <v>5409200</v>
      </c>
      <c r="U837" s="53">
        <f t="shared" ref="U837:U900" si="33">S837/S836-1</f>
        <v>2.1713486827733774E-2</v>
      </c>
      <c r="V837" s="59">
        <f>U837-('16. câmbio USD-BRL'!O284/'16. câmbio USD-BRL'!K284-1)</f>
        <v>1.7131906650080575E-2</v>
      </c>
    </row>
    <row r="838" spans="14:22" x14ac:dyDescent="0.2">
      <c r="N838" s="52">
        <v>39930</v>
      </c>
      <c r="O838" s="51">
        <v>46772</v>
      </c>
      <c r="P838" s="51">
        <v>48126</v>
      </c>
      <c r="Q838" s="51">
        <v>44966</v>
      </c>
      <c r="R838" s="51">
        <v>47290</v>
      </c>
      <c r="S838" s="51">
        <v>47290</v>
      </c>
      <c r="T838" s="51">
        <v>7669200</v>
      </c>
      <c r="U838" s="53">
        <f t="shared" si="33"/>
        <v>1.1075002138031254E-2</v>
      </c>
      <c r="V838" s="59">
        <f>U838-('16. câmbio USD-BRL'!O285/'16. câmbio USD-BRL'!K285-1)</f>
        <v>-1.1055530495127197E-2</v>
      </c>
    </row>
    <row r="839" spans="14:22" x14ac:dyDescent="0.2">
      <c r="N839" s="52">
        <v>39937</v>
      </c>
      <c r="O839" s="51">
        <v>47290</v>
      </c>
      <c r="P839" s="51">
        <v>52096</v>
      </c>
      <c r="Q839" s="51">
        <v>47290</v>
      </c>
      <c r="R839" s="51">
        <v>51396</v>
      </c>
      <c r="S839" s="51">
        <v>51396</v>
      </c>
      <c r="T839" s="51">
        <v>10639000</v>
      </c>
      <c r="U839" s="53">
        <f t="shared" si="33"/>
        <v>8.6825967434975615E-2</v>
      </c>
      <c r="V839" s="59">
        <f>U839-('16. câmbio USD-BRL'!O286/'16. câmbio USD-BRL'!K286-1)</f>
        <v>0.11775817082480622</v>
      </c>
    </row>
    <row r="840" spans="14:22" x14ac:dyDescent="0.2">
      <c r="N840" s="52">
        <v>39944</v>
      </c>
      <c r="O840" s="51">
        <v>51389</v>
      </c>
      <c r="P840" s="51">
        <v>51565</v>
      </c>
      <c r="Q840" s="51">
        <v>48284</v>
      </c>
      <c r="R840" s="51">
        <v>49007</v>
      </c>
      <c r="S840" s="51">
        <v>49007</v>
      </c>
      <c r="T840" s="51">
        <v>7774800</v>
      </c>
      <c r="U840" s="53">
        <f t="shared" si="33"/>
        <v>-4.6482216514903918E-2</v>
      </c>
      <c r="V840" s="59">
        <f>U840-('16. câmbio USD-BRL'!O287/'16. câmbio USD-BRL'!K287-1)</f>
        <v>-5.5128179247823095E-2</v>
      </c>
    </row>
    <row r="841" spans="14:22" x14ac:dyDescent="0.2">
      <c r="N841" s="52">
        <v>39951</v>
      </c>
      <c r="O841" s="51">
        <v>49012</v>
      </c>
      <c r="P841" s="51">
        <v>52640</v>
      </c>
      <c r="Q841" s="51">
        <v>49012</v>
      </c>
      <c r="R841" s="51">
        <v>50568</v>
      </c>
      <c r="S841" s="51">
        <v>50568</v>
      </c>
      <c r="T841" s="51">
        <v>8786600</v>
      </c>
      <c r="U841" s="53">
        <f t="shared" si="33"/>
        <v>3.1852592486787623E-2</v>
      </c>
      <c r="V841" s="59">
        <f>U841-('16. câmbio USD-BRL'!O288/'16. câmbio USD-BRL'!K288-1)</f>
        <v>5.0854046679710607E-2</v>
      </c>
    </row>
    <row r="842" spans="14:22" x14ac:dyDescent="0.2">
      <c r="N842" s="52">
        <v>39958</v>
      </c>
      <c r="O842" s="51">
        <v>50558</v>
      </c>
      <c r="P842" s="51">
        <v>53806</v>
      </c>
      <c r="Q842" s="51">
        <v>50074</v>
      </c>
      <c r="R842" s="51">
        <v>53198</v>
      </c>
      <c r="S842" s="51">
        <v>53198</v>
      </c>
      <c r="T842" s="51">
        <v>8039200</v>
      </c>
      <c r="U842" s="53">
        <f t="shared" si="33"/>
        <v>5.200917576332853E-2</v>
      </c>
      <c r="V842" s="59">
        <f>U842-('16. câmbio USD-BRL'!O289/'16. câmbio USD-BRL'!K289-1)</f>
        <v>8.2112894457990748E-2</v>
      </c>
    </row>
    <row r="843" spans="14:22" x14ac:dyDescent="0.2">
      <c r="N843" s="52">
        <v>39965</v>
      </c>
      <c r="O843" s="51">
        <v>53202</v>
      </c>
      <c r="P843" s="51">
        <v>54955</v>
      </c>
      <c r="Q843" s="51">
        <v>51643</v>
      </c>
      <c r="R843" s="51">
        <v>53341</v>
      </c>
      <c r="S843" s="51">
        <v>53341</v>
      </c>
      <c r="T843" s="51">
        <v>8600000</v>
      </c>
      <c r="U843" s="53">
        <f t="shared" si="33"/>
        <v>2.6880709801120339E-3</v>
      </c>
      <c r="V843" s="59">
        <f>U843-('16. câmbio USD-BRL'!O290/'16. câmbio USD-BRL'!K290-1)</f>
        <v>-9.4064319290931842E-4</v>
      </c>
    </row>
    <row r="844" spans="14:22" x14ac:dyDescent="0.2">
      <c r="N844" s="52">
        <v>39972</v>
      </c>
      <c r="O844" s="51">
        <v>53340</v>
      </c>
      <c r="P844" s="51">
        <v>54102</v>
      </c>
      <c r="Q844" s="51">
        <v>52483</v>
      </c>
      <c r="R844" s="51">
        <v>53558</v>
      </c>
      <c r="S844" s="51">
        <v>53558</v>
      </c>
      <c r="T844" s="51">
        <v>5272800</v>
      </c>
      <c r="U844" s="53">
        <f t="shared" si="33"/>
        <v>4.0681652012524161E-3</v>
      </c>
      <c r="V844" s="59">
        <f>U844-('16. câmbio USD-BRL'!O291/'16. câmbio USD-BRL'!K291-1)</f>
        <v>-1.9559311842898275E-3</v>
      </c>
    </row>
    <row r="845" spans="14:22" x14ac:dyDescent="0.2">
      <c r="N845" s="52">
        <v>39979</v>
      </c>
      <c r="O845" s="51">
        <v>53558</v>
      </c>
      <c r="P845" s="51">
        <v>53558</v>
      </c>
      <c r="Q845" s="51">
        <v>50265</v>
      </c>
      <c r="R845" s="51">
        <v>51374</v>
      </c>
      <c r="S845" s="51">
        <v>51374</v>
      </c>
      <c r="T845" s="51">
        <v>7019400</v>
      </c>
      <c r="U845" s="53">
        <f t="shared" si="33"/>
        <v>-4.0778221740916387E-2</v>
      </c>
      <c r="V845" s="59">
        <f>U845-('16. câmbio USD-BRL'!O292/'16. câmbio USD-BRL'!K292-1)</f>
        <v>-5.4637496794221252E-2</v>
      </c>
    </row>
    <row r="846" spans="14:22" x14ac:dyDescent="0.2">
      <c r="N846" s="52">
        <v>39986</v>
      </c>
      <c r="O846" s="51">
        <v>51367</v>
      </c>
      <c r="P846" s="51">
        <v>51935</v>
      </c>
      <c r="Q846" s="51">
        <v>49130</v>
      </c>
      <c r="R846" s="51">
        <v>51486</v>
      </c>
      <c r="S846" s="51">
        <v>51486</v>
      </c>
      <c r="T846" s="51">
        <v>7179400</v>
      </c>
      <c r="U846" s="53">
        <f t="shared" si="33"/>
        <v>2.1800910966636167E-3</v>
      </c>
      <c r="V846" s="59">
        <f>U846-('16. câmbio USD-BRL'!O293/'16. câmbio USD-BRL'!K293-1)</f>
        <v>1.8028363375177658E-2</v>
      </c>
    </row>
    <row r="847" spans="14:22" x14ac:dyDescent="0.2">
      <c r="N847" s="52">
        <v>39993</v>
      </c>
      <c r="O847" s="51">
        <v>51488</v>
      </c>
      <c r="P847" s="51">
        <v>52435</v>
      </c>
      <c r="Q847" s="51">
        <v>50608</v>
      </c>
      <c r="R847" s="51">
        <v>50935</v>
      </c>
      <c r="S847" s="51">
        <v>50935</v>
      </c>
      <c r="T847" s="51">
        <v>5239400</v>
      </c>
      <c r="U847" s="53">
        <f t="shared" si="33"/>
        <v>-1.0701938391018961E-2</v>
      </c>
      <c r="V847" s="59">
        <f>U847-('16. câmbio USD-BRL'!O294/'16. câmbio USD-BRL'!K294-1)</f>
        <v>-2.1214282431369469E-2</v>
      </c>
    </row>
    <row r="848" spans="14:22" x14ac:dyDescent="0.2">
      <c r="N848" s="52">
        <v>40000</v>
      </c>
      <c r="O848" s="51">
        <v>50932</v>
      </c>
      <c r="P848" s="51">
        <v>50932</v>
      </c>
      <c r="Q848" s="51">
        <v>48456</v>
      </c>
      <c r="R848" s="51">
        <v>49221</v>
      </c>
      <c r="S848" s="51">
        <v>49221</v>
      </c>
      <c r="T848" s="51">
        <v>5599600</v>
      </c>
      <c r="U848" s="53">
        <f t="shared" si="33"/>
        <v>-3.3650731324236793E-2</v>
      </c>
      <c r="V848" s="59">
        <f>U848-('16. câmbio USD-BRL'!O295/'16. câmbio USD-BRL'!K295-1)</f>
        <v>-6.7599886542932475E-2</v>
      </c>
    </row>
    <row r="849" spans="14:22" x14ac:dyDescent="0.2">
      <c r="N849" s="52">
        <v>40007</v>
      </c>
      <c r="O849" s="51">
        <v>49221</v>
      </c>
      <c r="P849" s="51">
        <v>52352</v>
      </c>
      <c r="Q849" s="51">
        <v>48262</v>
      </c>
      <c r="R849" s="51">
        <v>52072</v>
      </c>
      <c r="S849" s="51">
        <v>52072</v>
      </c>
      <c r="T849" s="51">
        <v>7427200</v>
      </c>
      <c r="U849" s="53">
        <f t="shared" si="33"/>
        <v>5.7922431482497316E-2</v>
      </c>
      <c r="V849" s="59">
        <f>U849-('16. câmbio USD-BRL'!O296/'16. câmbio USD-BRL'!K296-1)</f>
        <v>6.7896724541623321E-2</v>
      </c>
    </row>
    <row r="850" spans="14:22" x14ac:dyDescent="0.2">
      <c r="N850" s="52">
        <v>40014</v>
      </c>
      <c r="O850" s="51">
        <v>52073</v>
      </c>
      <c r="P850" s="51">
        <v>54629</v>
      </c>
      <c r="Q850" s="51">
        <v>52073</v>
      </c>
      <c r="R850" s="51">
        <v>54457</v>
      </c>
      <c r="S850" s="51">
        <v>54457</v>
      </c>
      <c r="T850" s="51">
        <v>7447400</v>
      </c>
      <c r="U850" s="53">
        <f t="shared" si="33"/>
        <v>4.5801966507912129E-2</v>
      </c>
      <c r="V850" s="59">
        <f>U850-('16. câmbio USD-BRL'!O297/'16. câmbio USD-BRL'!K297-1)</f>
        <v>3.6151721253060431E-2</v>
      </c>
    </row>
    <row r="851" spans="14:22" x14ac:dyDescent="0.2">
      <c r="N851" s="52">
        <v>40021</v>
      </c>
      <c r="O851" s="51">
        <v>54458</v>
      </c>
      <c r="P851" s="51">
        <v>55083</v>
      </c>
      <c r="Q851" s="51">
        <v>53256</v>
      </c>
      <c r="R851" s="51">
        <v>54766</v>
      </c>
      <c r="S851" s="51">
        <v>54766</v>
      </c>
      <c r="T851" s="51">
        <v>6118400</v>
      </c>
      <c r="U851" s="53">
        <f t="shared" si="33"/>
        <v>5.6742016636979198E-3</v>
      </c>
      <c r="V851" s="59">
        <f>U851-('16. câmbio USD-BRL'!O298/'16. câmbio USD-BRL'!K298-1)</f>
        <v>-3.8609592421423589E-3</v>
      </c>
    </row>
    <row r="852" spans="14:22" x14ac:dyDescent="0.2">
      <c r="N852" s="52">
        <v>40028</v>
      </c>
      <c r="O852" s="51">
        <v>54766</v>
      </c>
      <c r="P852" s="51">
        <v>56780</v>
      </c>
      <c r="Q852" s="51">
        <v>54766</v>
      </c>
      <c r="R852" s="51">
        <v>56330</v>
      </c>
      <c r="S852" s="51">
        <v>56330</v>
      </c>
      <c r="T852" s="51">
        <v>6602800</v>
      </c>
      <c r="U852" s="53">
        <f t="shared" si="33"/>
        <v>2.8557864368403685E-2</v>
      </c>
      <c r="V852" s="59">
        <f>U852-('16. câmbio USD-BRL'!O299/'16. câmbio USD-BRL'!K299-1)</f>
        <v>5.2641634001911575E-2</v>
      </c>
    </row>
    <row r="853" spans="14:22" x14ac:dyDescent="0.2">
      <c r="N853" s="52">
        <v>40035</v>
      </c>
      <c r="O853" s="51">
        <v>56329</v>
      </c>
      <c r="P853" s="51">
        <v>57367</v>
      </c>
      <c r="Q853" s="51">
        <v>55568</v>
      </c>
      <c r="R853" s="51">
        <v>56638</v>
      </c>
      <c r="S853" s="51">
        <v>56638</v>
      </c>
      <c r="T853" s="51">
        <v>7265800</v>
      </c>
      <c r="U853" s="53">
        <f t="shared" si="33"/>
        <v>5.4677791585300284E-3</v>
      </c>
      <c r="V853" s="59">
        <f>U853-('16. câmbio USD-BRL'!O300/'16. câmbio USD-BRL'!K300-1)</f>
        <v>-1.1136761675085705E-2</v>
      </c>
    </row>
    <row r="854" spans="14:22" x14ac:dyDescent="0.2">
      <c r="N854" s="52">
        <v>40042</v>
      </c>
      <c r="O854" s="51">
        <v>56636</v>
      </c>
      <c r="P854" s="51">
        <v>57782</v>
      </c>
      <c r="Q854" s="51">
        <v>54881</v>
      </c>
      <c r="R854" s="51">
        <v>57729</v>
      </c>
      <c r="S854" s="51">
        <v>57729</v>
      </c>
      <c r="T854" s="51">
        <v>6121200</v>
      </c>
      <c r="U854" s="53">
        <f t="shared" si="33"/>
        <v>1.9262685829301907E-2</v>
      </c>
      <c r="V854" s="59">
        <f>U854-('16. câmbio USD-BRL'!O301/'16. câmbio USD-BRL'!K301-1)</f>
        <v>3.1540463607079738E-2</v>
      </c>
    </row>
    <row r="855" spans="14:22" x14ac:dyDescent="0.2">
      <c r="N855" s="52">
        <v>40049</v>
      </c>
      <c r="O855" s="51">
        <v>57731</v>
      </c>
      <c r="P855" s="51">
        <v>58634</v>
      </c>
      <c r="Q855" s="51">
        <v>56845</v>
      </c>
      <c r="R855" s="51">
        <v>57701</v>
      </c>
      <c r="S855" s="51">
        <v>57701</v>
      </c>
      <c r="T855" s="51">
        <v>6438200</v>
      </c>
      <c r="U855" s="53">
        <f t="shared" si="33"/>
        <v>-4.8502485752399682E-4</v>
      </c>
      <c r="V855" s="59">
        <f>U855-('16. câmbio USD-BRL'!O302/'16. câmbio USD-BRL'!K302-1)</f>
        <v>-2.9014733944348614E-2</v>
      </c>
    </row>
    <row r="856" spans="14:22" x14ac:dyDescent="0.2">
      <c r="N856" s="52">
        <v>40056</v>
      </c>
      <c r="O856" s="51">
        <v>57698</v>
      </c>
      <c r="P856" s="51">
        <v>57698</v>
      </c>
      <c r="Q856" s="51">
        <v>55339</v>
      </c>
      <c r="R856" s="51">
        <v>56652</v>
      </c>
      <c r="S856" s="51">
        <v>56652</v>
      </c>
      <c r="T856" s="51">
        <v>7062400</v>
      </c>
      <c r="U856" s="53">
        <f t="shared" si="33"/>
        <v>-1.8179927557581355E-2</v>
      </c>
      <c r="V856" s="59">
        <f>U856-('16. câmbio USD-BRL'!O303/'16. câmbio USD-BRL'!K303-1)</f>
        <v>-2.4787255685140952E-2</v>
      </c>
    </row>
    <row r="857" spans="14:22" x14ac:dyDescent="0.2">
      <c r="N857" s="52">
        <v>40063</v>
      </c>
      <c r="O857" s="51">
        <v>55707</v>
      </c>
      <c r="P857" s="51">
        <v>58834</v>
      </c>
      <c r="Q857" s="51">
        <v>55656</v>
      </c>
      <c r="R857" s="51">
        <v>58366</v>
      </c>
      <c r="S857" s="51">
        <v>58366</v>
      </c>
      <c r="T857" s="51">
        <v>5254000</v>
      </c>
      <c r="U857" s="53">
        <f t="shared" si="33"/>
        <v>3.0254889500811899E-2</v>
      </c>
      <c r="V857" s="59">
        <f>U857-('16. câmbio USD-BRL'!O304/'16. câmbio USD-BRL'!K304-1)</f>
        <v>2.4862405622670947E-2</v>
      </c>
    </row>
    <row r="858" spans="14:22" x14ac:dyDescent="0.2">
      <c r="N858" s="52">
        <v>40070</v>
      </c>
      <c r="O858" s="51">
        <v>58363</v>
      </c>
      <c r="P858" s="51">
        <v>61027</v>
      </c>
      <c r="Q858" s="51">
        <v>57753</v>
      </c>
      <c r="R858" s="51">
        <v>60703</v>
      </c>
      <c r="S858" s="51">
        <v>60703</v>
      </c>
      <c r="T858" s="51">
        <v>6814800</v>
      </c>
      <c r="U858" s="53">
        <f t="shared" si="33"/>
        <v>4.0040434499537314E-2</v>
      </c>
      <c r="V858" s="59">
        <f>U858-('16. câmbio USD-BRL'!O305/'16. câmbio USD-BRL'!K305-1)</f>
        <v>5.2501843424600514E-2</v>
      </c>
    </row>
    <row r="859" spans="14:22" x14ac:dyDescent="0.2">
      <c r="N859" s="52">
        <v>40077</v>
      </c>
      <c r="O859" s="51">
        <v>60703</v>
      </c>
      <c r="P859" s="51">
        <v>62017</v>
      </c>
      <c r="Q859" s="51">
        <v>59600</v>
      </c>
      <c r="R859" s="51">
        <v>60356</v>
      </c>
      <c r="S859" s="51">
        <v>60356</v>
      </c>
      <c r="T859" s="51">
        <v>6768600</v>
      </c>
      <c r="U859" s="53">
        <f t="shared" si="33"/>
        <v>-5.7163566874783855E-3</v>
      </c>
      <c r="V859" s="59">
        <f>U859-('16. câmbio USD-BRL'!O306/'16. câmbio USD-BRL'!K306-1)</f>
        <v>-6.0068568196480765E-4</v>
      </c>
    </row>
    <row r="860" spans="14:22" x14ac:dyDescent="0.2">
      <c r="N860" s="52">
        <v>40084</v>
      </c>
      <c r="O860" s="51">
        <v>60357</v>
      </c>
      <c r="P860" s="51">
        <v>61926</v>
      </c>
      <c r="Q860" s="51">
        <v>59678</v>
      </c>
      <c r="R860" s="51">
        <v>61172</v>
      </c>
      <c r="S860" s="51">
        <v>61172</v>
      </c>
      <c r="T860" s="51">
        <v>6813200</v>
      </c>
      <c r="U860" s="53">
        <f t="shared" si="33"/>
        <v>1.3519782623102827E-2</v>
      </c>
      <c r="V860" s="59">
        <f>U860-('16. câmbio USD-BRL'!O307/'16. câmbio USD-BRL'!K307-1)</f>
        <v>1.7942528171638217E-2</v>
      </c>
    </row>
    <row r="861" spans="14:22" x14ac:dyDescent="0.2">
      <c r="N861" s="52">
        <v>40091</v>
      </c>
      <c r="O861" s="51">
        <v>61178</v>
      </c>
      <c r="P861" s="51">
        <v>64177</v>
      </c>
      <c r="Q861" s="51">
        <v>61178</v>
      </c>
      <c r="R861" s="51">
        <v>64071</v>
      </c>
      <c r="S861" s="51">
        <v>64071</v>
      </c>
      <c r="T861" s="51">
        <v>7333600</v>
      </c>
      <c r="U861" s="53">
        <f t="shared" si="33"/>
        <v>4.7390963185771184E-2</v>
      </c>
      <c r="V861" s="59">
        <f>U861-('16. câmbio USD-BRL'!O308/'16. câmbio USD-BRL'!K308-1)</f>
        <v>7.2971284239010559E-2</v>
      </c>
    </row>
    <row r="862" spans="14:22" x14ac:dyDescent="0.2">
      <c r="N862" s="52">
        <v>40098</v>
      </c>
      <c r="O862" s="51">
        <v>64075</v>
      </c>
      <c r="P862" s="51">
        <v>66703</v>
      </c>
      <c r="Q862" s="51">
        <v>63967</v>
      </c>
      <c r="R862" s="51">
        <v>66200</v>
      </c>
      <c r="S862" s="51">
        <v>66200</v>
      </c>
      <c r="T862" s="51">
        <v>6100000</v>
      </c>
      <c r="U862" s="53">
        <f t="shared" si="33"/>
        <v>3.3228761842331256E-2</v>
      </c>
      <c r="V862" s="59">
        <f>U862-('16. câmbio USD-BRL'!O309/'16. câmbio USD-BRL'!K309-1)</f>
        <v>5.3131903822014714E-2</v>
      </c>
    </row>
    <row r="863" spans="14:22" x14ac:dyDescent="0.2">
      <c r="N863" s="52">
        <v>40105</v>
      </c>
      <c r="O863" s="51">
        <v>66200</v>
      </c>
      <c r="P863" s="51">
        <v>67530</v>
      </c>
      <c r="Q863" s="51">
        <v>64076</v>
      </c>
      <c r="R863" s="51">
        <v>65059</v>
      </c>
      <c r="S863" s="51">
        <v>65059</v>
      </c>
      <c r="T863" s="51">
        <v>8511000</v>
      </c>
      <c r="U863" s="53">
        <f t="shared" si="33"/>
        <v>-1.7235649546827769E-2</v>
      </c>
      <c r="V863" s="59">
        <f>U863-('16. câmbio USD-BRL'!O310/'16. câmbio USD-BRL'!K310-1)</f>
        <v>-2.1277881824354195E-2</v>
      </c>
    </row>
    <row r="864" spans="14:22" x14ac:dyDescent="0.2">
      <c r="N864" s="52">
        <v>40112</v>
      </c>
      <c r="O864" s="51">
        <v>65056</v>
      </c>
      <c r="P864" s="51">
        <v>65901</v>
      </c>
      <c r="Q864" s="51">
        <v>60146</v>
      </c>
      <c r="R864" s="51">
        <v>61546</v>
      </c>
      <c r="S864" s="51">
        <v>61546</v>
      </c>
      <c r="T864" s="51">
        <v>8862400</v>
      </c>
      <c r="U864" s="53">
        <f t="shared" si="33"/>
        <v>-5.3997141056579379E-2</v>
      </c>
      <c r="V864" s="59">
        <f>U864-('16. câmbio USD-BRL'!O311/'16. câmbio USD-BRL'!K311-1)</f>
        <v>-0.10436289234570273</v>
      </c>
    </row>
    <row r="865" spans="14:22" x14ac:dyDescent="0.2">
      <c r="N865" s="52">
        <v>40119</v>
      </c>
      <c r="O865" s="51">
        <v>61539</v>
      </c>
      <c r="P865" s="51">
        <v>65094</v>
      </c>
      <c r="Q865" s="51">
        <v>60724</v>
      </c>
      <c r="R865" s="51">
        <v>64466</v>
      </c>
      <c r="S865" s="51">
        <v>64466</v>
      </c>
      <c r="T865" s="51">
        <v>7028400</v>
      </c>
      <c r="U865" s="53">
        <f t="shared" si="33"/>
        <v>4.7444188086959382E-2</v>
      </c>
      <c r="V865" s="59">
        <f>U865-('16. câmbio USD-BRL'!O312/'16. câmbio USD-BRL'!K312-1)</f>
        <v>4.6510426779693415E-2</v>
      </c>
    </row>
    <row r="866" spans="14:22" x14ac:dyDescent="0.2">
      <c r="N866" s="52">
        <v>40126</v>
      </c>
      <c r="O866" s="51">
        <v>64475</v>
      </c>
      <c r="P866" s="51">
        <v>67170</v>
      </c>
      <c r="Q866" s="51">
        <v>64229</v>
      </c>
      <c r="R866" s="51">
        <v>65326</v>
      </c>
      <c r="S866" s="51">
        <v>65326</v>
      </c>
      <c r="T866" s="51">
        <v>8833000</v>
      </c>
      <c r="U866" s="53">
        <f t="shared" si="33"/>
        <v>1.3340365463965442E-2</v>
      </c>
      <c r="V866" s="59">
        <f>U866-('16. câmbio USD-BRL'!O313/'16. câmbio USD-BRL'!K313-1)</f>
        <v>-1.9749192143036165E-2</v>
      </c>
    </row>
    <row r="867" spans="14:22" x14ac:dyDescent="0.2">
      <c r="N867" s="52">
        <v>40133</v>
      </c>
      <c r="O867" s="51">
        <v>65326</v>
      </c>
      <c r="P867" s="51">
        <v>68060</v>
      </c>
      <c r="Q867" s="51">
        <v>65326</v>
      </c>
      <c r="R867" s="51">
        <v>66327</v>
      </c>
      <c r="S867" s="51">
        <v>66327</v>
      </c>
      <c r="T867" s="51">
        <v>6550600</v>
      </c>
      <c r="U867" s="53">
        <f t="shared" si="33"/>
        <v>1.5323148516670271E-2</v>
      </c>
      <c r="V867" s="59">
        <f>U867-('16. câmbio USD-BRL'!O314/'16. câmbio USD-BRL'!K314-1)</f>
        <v>-2.1474553870692858E-2</v>
      </c>
    </row>
    <row r="868" spans="14:22" x14ac:dyDescent="0.2">
      <c r="N868" s="52">
        <v>40140</v>
      </c>
      <c r="O868" s="51">
        <v>66335</v>
      </c>
      <c r="P868" s="51">
        <v>67997</v>
      </c>
      <c r="Q868" s="51">
        <v>65737</v>
      </c>
      <c r="R868" s="51">
        <v>67082</v>
      </c>
      <c r="S868" s="51">
        <v>67082</v>
      </c>
      <c r="T868" s="51">
        <v>6313600</v>
      </c>
      <c r="U868" s="53">
        <f t="shared" si="33"/>
        <v>1.1382996366487319E-2</v>
      </c>
      <c r="V868" s="59">
        <f>U868-('16. câmbio USD-BRL'!O315/'16. câmbio USD-BRL'!K315-1)</f>
        <v>-2.0305469745284466E-2</v>
      </c>
    </row>
    <row r="869" spans="14:22" x14ac:dyDescent="0.2">
      <c r="N869" s="52">
        <v>40147</v>
      </c>
      <c r="O869" s="51">
        <v>67082</v>
      </c>
      <c r="P869" s="51">
        <v>69361</v>
      </c>
      <c r="Q869" s="51">
        <v>66876</v>
      </c>
      <c r="R869" s="51">
        <v>67604</v>
      </c>
      <c r="S869" s="51">
        <v>67604</v>
      </c>
      <c r="T869" s="51">
        <v>8547200</v>
      </c>
      <c r="U869" s="53">
        <f t="shared" si="33"/>
        <v>7.7815211234011361E-3</v>
      </c>
      <c r="V869" s="59">
        <f>U869-('16. câmbio USD-BRL'!O316/'16. câmbio USD-BRL'!K316-1)</f>
        <v>-1.0124163783820306E-2</v>
      </c>
    </row>
    <row r="870" spans="14:22" x14ac:dyDescent="0.2">
      <c r="N870" s="52">
        <v>40154</v>
      </c>
      <c r="O870" s="51">
        <v>67611</v>
      </c>
      <c r="P870" s="51">
        <v>69502</v>
      </c>
      <c r="Q870" s="51">
        <v>67470</v>
      </c>
      <c r="R870" s="51">
        <v>69267</v>
      </c>
      <c r="S870" s="51">
        <v>69267</v>
      </c>
      <c r="T870" s="51">
        <v>6840400</v>
      </c>
      <c r="U870" s="53">
        <f t="shared" si="33"/>
        <v>2.4599136145790235E-2</v>
      </c>
      <c r="V870" s="59">
        <f>U870-('16. câmbio USD-BRL'!O317/'16. câmbio USD-BRL'!K317-1)</f>
        <v>6.7579229432923604E-3</v>
      </c>
    </row>
    <row r="871" spans="14:22" x14ac:dyDescent="0.2">
      <c r="N871" s="52">
        <v>40161</v>
      </c>
      <c r="O871" s="51">
        <v>69273</v>
      </c>
      <c r="P871" s="51">
        <v>69785</v>
      </c>
      <c r="Q871" s="51">
        <v>66322</v>
      </c>
      <c r="R871" s="51">
        <v>66794</v>
      </c>
      <c r="S871" s="51">
        <v>66794</v>
      </c>
      <c r="T871" s="51">
        <v>6702800</v>
      </c>
      <c r="U871" s="53">
        <f t="shared" si="33"/>
        <v>-3.5702426841064283E-2</v>
      </c>
      <c r="V871" s="59">
        <f>U871-('16. câmbio USD-BRL'!O318/'16. câmbio USD-BRL'!K318-1)</f>
        <v>-8.0744836902485795E-2</v>
      </c>
    </row>
    <row r="872" spans="14:22" x14ac:dyDescent="0.2">
      <c r="N872" s="52">
        <v>40168</v>
      </c>
      <c r="O872" s="51">
        <v>66806</v>
      </c>
      <c r="P872" s="51">
        <v>67810</v>
      </c>
      <c r="Q872" s="51">
        <v>65925</v>
      </c>
      <c r="R872" s="51">
        <v>67589</v>
      </c>
      <c r="S872" s="51">
        <v>67589</v>
      </c>
      <c r="T872" s="51">
        <v>3583000</v>
      </c>
      <c r="U872" s="53">
        <f t="shared" si="33"/>
        <v>1.1902266670658967E-2</v>
      </c>
      <c r="V872" s="59">
        <f>U872-('16. câmbio USD-BRL'!O319/'16. câmbio USD-BRL'!K319-1)</f>
        <v>1.3982229693538462E-2</v>
      </c>
    </row>
    <row r="873" spans="14:22" x14ac:dyDescent="0.2">
      <c r="N873" s="52">
        <v>40175</v>
      </c>
      <c r="O873" s="51">
        <v>67591</v>
      </c>
      <c r="P873" s="51">
        <v>68588</v>
      </c>
      <c r="Q873" s="51">
        <v>67591</v>
      </c>
      <c r="R873" s="51">
        <v>68588</v>
      </c>
      <c r="S873" s="51">
        <v>68588</v>
      </c>
      <c r="T873" s="51">
        <v>2407800</v>
      </c>
      <c r="U873" s="53">
        <f t="shared" si="33"/>
        <v>1.4780511621713677E-2</v>
      </c>
      <c r="V873" s="59">
        <f>U873-('16. câmbio USD-BRL'!O320/'16. câmbio USD-BRL'!K320-1)</f>
        <v>-3.0297073563885224E-3</v>
      </c>
    </row>
    <row r="874" spans="14:22" x14ac:dyDescent="0.2">
      <c r="N874" s="52">
        <v>40182</v>
      </c>
      <c r="O874" s="51">
        <v>68587</v>
      </c>
      <c r="P874" s="51">
        <v>70937</v>
      </c>
      <c r="Q874" s="51">
        <v>68587</v>
      </c>
      <c r="R874" s="51">
        <v>70263</v>
      </c>
      <c r="S874" s="51">
        <v>70263</v>
      </c>
      <c r="T874" s="51">
        <v>9072600</v>
      </c>
      <c r="U874" s="53">
        <f t="shared" si="33"/>
        <v>2.4421181547792603E-2</v>
      </c>
      <c r="V874" s="59">
        <f>U874-('16. câmbio USD-BRL'!O321/'16. câmbio USD-BRL'!K321-1)</f>
        <v>1.3851508330851026E-3</v>
      </c>
    </row>
    <row r="875" spans="14:22" x14ac:dyDescent="0.2">
      <c r="N875" s="52">
        <v>40189</v>
      </c>
      <c r="O875" s="51">
        <v>70267</v>
      </c>
      <c r="P875" s="51">
        <v>71068</v>
      </c>
      <c r="Q875" s="51">
        <v>68695</v>
      </c>
      <c r="R875" s="51">
        <v>68978</v>
      </c>
      <c r="S875" s="51">
        <v>68978</v>
      </c>
      <c r="T875" s="51">
        <v>8495000</v>
      </c>
      <c r="U875" s="53">
        <f t="shared" si="33"/>
        <v>-1.8288430610705508E-2</v>
      </c>
      <c r="V875" s="59">
        <f>U875-('16. câmbio USD-BRL'!O322/'16. câmbio USD-BRL'!K322-1)</f>
        <v>-5.0915928373902575E-2</v>
      </c>
    </row>
    <row r="876" spans="14:22" x14ac:dyDescent="0.2">
      <c r="N876" s="52">
        <v>40196</v>
      </c>
      <c r="O876" s="51">
        <v>68983</v>
      </c>
      <c r="P876" s="51">
        <v>70036</v>
      </c>
      <c r="Q876" s="51">
        <v>65445</v>
      </c>
      <c r="R876" s="51">
        <v>66220</v>
      </c>
      <c r="S876" s="51">
        <v>66220</v>
      </c>
      <c r="T876" s="51">
        <v>8021800</v>
      </c>
      <c r="U876" s="53">
        <f t="shared" si="33"/>
        <v>-3.9983762938908041E-2</v>
      </c>
      <c r="V876" s="59">
        <f>U876-('16. câmbio USD-BRL'!O323/'16. câmbio USD-BRL'!K323-1)</f>
        <v>-9.6562328143671272E-2</v>
      </c>
    </row>
    <row r="877" spans="14:22" x14ac:dyDescent="0.2">
      <c r="N877" s="52">
        <v>40203</v>
      </c>
      <c r="O877" s="51">
        <v>66213</v>
      </c>
      <c r="P877" s="51">
        <v>66576</v>
      </c>
      <c r="Q877" s="51">
        <v>64541</v>
      </c>
      <c r="R877" s="51">
        <v>65402</v>
      </c>
      <c r="S877" s="51">
        <v>65402</v>
      </c>
      <c r="T877" s="51">
        <v>7276600</v>
      </c>
      <c r="U877" s="53">
        <f t="shared" si="33"/>
        <v>-1.2352763515554255E-2</v>
      </c>
      <c r="V877" s="59">
        <f>U877-('16. câmbio USD-BRL'!O324/'16. câmbio USD-BRL'!K324-1)</f>
        <v>-5.0681863148633433E-2</v>
      </c>
    </row>
    <row r="878" spans="14:22" x14ac:dyDescent="0.2">
      <c r="N878" s="52">
        <v>40210</v>
      </c>
      <c r="O878" s="51">
        <v>65402</v>
      </c>
      <c r="P878" s="51">
        <v>67347</v>
      </c>
      <c r="Q878" s="51">
        <v>61341</v>
      </c>
      <c r="R878" s="51">
        <v>62763</v>
      </c>
      <c r="S878" s="51">
        <v>62763</v>
      </c>
      <c r="T878" s="51">
        <v>10162600</v>
      </c>
      <c r="U878" s="53">
        <f t="shared" si="33"/>
        <v>-4.0350447998532157E-2</v>
      </c>
      <c r="V878" s="59">
        <f>U878-('16. câmbio USD-BRL'!O325/'16. câmbio USD-BRL'!K325-1)</f>
        <v>-4.8321860862743149E-2</v>
      </c>
    </row>
    <row r="879" spans="14:22" x14ac:dyDescent="0.2">
      <c r="N879" s="52">
        <v>40217</v>
      </c>
      <c r="O879" s="51">
        <v>62760</v>
      </c>
      <c r="P879" s="51">
        <v>66145</v>
      </c>
      <c r="Q879" s="51">
        <v>62728</v>
      </c>
      <c r="R879" s="51">
        <v>65855</v>
      </c>
      <c r="S879" s="51">
        <v>65855</v>
      </c>
      <c r="T879" s="51">
        <v>6256200</v>
      </c>
      <c r="U879" s="53">
        <f t="shared" si="33"/>
        <v>4.9264694166945455E-2</v>
      </c>
      <c r="V879" s="59">
        <f>U879-('16. câmbio USD-BRL'!O326/'16. câmbio USD-BRL'!K326-1)</f>
        <v>6.0454650498823148E-2</v>
      </c>
    </row>
    <row r="880" spans="14:22" x14ac:dyDescent="0.2">
      <c r="N880" s="52">
        <v>40224</v>
      </c>
      <c r="O880" s="51">
        <v>65863</v>
      </c>
      <c r="P880" s="51">
        <v>67935</v>
      </c>
      <c r="Q880" s="51">
        <v>65863</v>
      </c>
      <c r="R880" s="51">
        <v>67597</v>
      </c>
      <c r="S880" s="51">
        <v>67597</v>
      </c>
      <c r="T880" s="51">
        <v>2534600</v>
      </c>
      <c r="U880" s="53">
        <f t="shared" si="33"/>
        <v>2.645205375446058E-2</v>
      </c>
      <c r="V880" s="59">
        <f>U880-('16. câmbio USD-BRL'!O327/'16. câmbio USD-BRL'!K327-1)</f>
        <v>4.4443223732385517E-2</v>
      </c>
    </row>
    <row r="881" spans="14:22" x14ac:dyDescent="0.2">
      <c r="N881" s="52">
        <v>40231</v>
      </c>
      <c r="O881" s="51">
        <v>67598</v>
      </c>
      <c r="P881" s="51">
        <v>68120</v>
      </c>
      <c r="Q881" s="51">
        <v>64429</v>
      </c>
      <c r="R881" s="51">
        <v>66503</v>
      </c>
      <c r="S881" s="51">
        <v>66503</v>
      </c>
      <c r="T881" s="51">
        <v>8143000</v>
      </c>
      <c r="U881" s="53">
        <f t="shared" si="33"/>
        <v>-1.6184150184179735E-2</v>
      </c>
      <c r="V881" s="59">
        <f>U881-('16. câmbio USD-BRL'!O328/'16. câmbio USD-BRL'!K328-1)</f>
        <v>-9.08792537577785E-3</v>
      </c>
    </row>
    <row r="882" spans="14:22" x14ac:dyDescent="0.2">
      <c r="N882" s="52">
        <v>40238</v>
      </c>
      <c r="O882" s="51">
        <v>66511</v>
      </c>
      <c r="P882" s="51">
        <v>68930</v>
      </c>
      <c r="Q882" s="51">
        <v>66511</v>
      </c>
      <c r="R882" s="51">
        <v>68847</v>
      </c>
      <c r="S882" s="51">
        <v>68847</v>
      </c>
      <c r="T882" s="51">
        <v>8534600</v>
      </c>
      <c r="U882" s="53">
        <f t="shared" si="33"/>
        <v>3.5246530231718864E-2</v>
      </c>
      <c r="V882" s="59">
        <f>U882-('16. câmbio USD-BRL'!O329/'16. câmbio USD-BRL'!K329-1)</f>
        <v>5.1644639894077193E-2</v>
      </c>
    </row>
    <row r="883" spans="14:22" x14ac:dyDescent="0.2">
      <c r="N883" s="52">
        <v>40245</v>
      </c>
      <c r="O883" s="51">
        <v>68851</v>
      </c>
      <c r="P883" s="51">
        <v>70486</v>
      </c>
      <c r="Q883" s="51">
        <v>68255</v>
      </c>
      <c r="R883" s="51">
        <v>69341</v>
      </c>
      <c r="S883" s="51">
        <v>69341</v>
      </c>
      <c r="T883" s="51">
        <v>8997800</v>
      </c>
      <c r="U883" s="53">
        <f t="shared" si="33"/>
        <v>7.1753308059900878E-3</v>
      </c>
      <c r="V883" s="59">
        <f>U883-('16. câmbio USD-BRL'!O330/'16. câmbio USD-BRL'!K330-1)</f>
        <v>1.4815988365610377E-2</v>
      </c>
    </row>
    <row r="884" spans="14:22" x14ac:dyDescent="0.2">
      <c r="N884" s="52">
        <v>40252</v>
      </c>
      <c r="O884" s="51">
        <v>69340</v>
      </c>
      <c r="P884" s="51">
        <v>70424</v>
      </c>
      <c r="Q884" s="51">
        <v>68623</v>
      </c>
      <c r="R884" s="51">
        <v>68829</v>
      </c>
      <c r="S884" s="51">
        <v>68829</v>
      </c>
      <c r="T884" s="51">
        <v>7741000</v>
      </c>
      <c r="U884" s="53">
        <f t="shared" si="33"/>
        <v>-7.3837989068515908E-3</v>
      </c>
      <c r="V884" s="59">
        <f>U884-('16. câmbio USD-BRL'!O331/'16. câmbio USD-BRL'!K331-1)</f>
        <v>-2.6524788636076546E-2</v>
      </c>
    </row>
    <row r="885" spans="14:22" x14ac:dyDescent="0.2">
      <c r="N885" s="52">
        <v>40259</v>
      </c>
      <c r="O885" s="51">
        <v>68814</v>
      </c>
      <c r="P885" s="51">
        <v>69677</v>
      </c>
      <c r="Q885" s="51">
        <v>67899</v>
      </c>
      <c r="R885" s="51">
        <v>68683</v>
      </c>
      <c r="S885" s="51">
        <v>68683</v>
      </c>
      <c r="T885" s="51">
        <v>7849000</v>
      </c>
      <c r="U885" s="53">
        <f t="shared" si="33"/>
        <v>-2.1211989132488007E-3</v>
      </c>
      <c r="V885" s="59">
        <f>U885-('16. câmbio USD-BRL'!O332/'16. câmbio USD-BRL'!K332-1)</f>
        <v>-1.4343484594898204E-2</v>
      </c>
    </row>
    <row r="886" spans="14:22" x14ac:dyDescent="0.2">
      <c r="N886" s="52">
        <v>40266</v>
      </c>
      <c r="O886" s="51">
        <v>68681</v>
      </c>
      <c r="P886" s="51">
        <v>71401</v>
      </c>
      <c r="Q886" s="51">
        <v>68681</v>
      </c>
      <c r="R886" s="51">
        <v>71136</v>
      </c>
      <c r="S886" s="51">
        <v>71136</v>
      </c>
      <c r="T886" s="51">
        <v>6247600</v>
      </c>
      <c r="U886" s="53">
        <f t="shared" si="33"/>
        <v>3.5714805701556385E-2</v>
      </c>
      <c r="V886" s="59">
        <f>U886-('16. câmbio USD-BRL'!O333/'16. câmbio USD-BRL'!K333-1)</f>
        <v>6.6465807225000506E-2</v>
      </c>
    </row>
    <row r="887" spans="14:22" x14ac:dyDescent="0.2">
      <c r="N887" s="52">
        <v>40273</v>
      </c>
      <c r="O887" s="51">
        <v>71148</v>
      </c>
      <c r="P887" s="51">
        <v>71989</v>
      </c>
      <c r="Q887" s="51">
        <v>70462</v>
      </c>
      <c r="R887" s="51">
        <v>71417</v>
      </c>
      <c r="S887" s="51">
        <v>71417</v>
      </c>
      <c r="T887" s="51">
        <v>8115200</v>
      </c>
      <c r="U887" s="53">
        <f t="shared" si="33"/>
        <v>3.9501799370220692E-3</v>
      </c>
      <c r="V887" s="59">
        <f>U887-('16. câmbio USD-BRL'!O334/'16. câmbio USD-BRL'!K334-1)</f>
        <v>-2.7019665213752209E-2</v>
      </c>
    </row>
    <row r="888" spans="14:22" x14ac:dyDescent="0.2">
      <c r="N888" s="52">
        <v>40280</v>
      </c>
      <c r="O888" s="51">
        <v>71414</v>
      </c>
      <c r="P888" s="51">
        <v>71607</v>
      </c>
      <c r="Q888" s="51">
        <v>69013</v>
      </c>
      <c r="R888" s="51">
        <v>69421</v>
      </c>
      <c r="S888" s="51">
        <v>69421</v>
      </c>
      <c r="T888" s="51">
        <v>9173000</v>
      </c>
      <c r="U888" s="53">
        <f t="shared" si="33"/>
        <v>-2.7948527661481148E-2</v>
      </c>
      <c r="V888" s="59">
        <f>U888-('16. câmbio USD-BRL'!O335/'16. câmbio USD-BRL'!K335-1)</f>
        <v>-5.314243913287553E-2</v>
      </c>
    </row>
    <row r="889" spans="14:22" x14ac:dyDescent="0.2">
      <c r="N889" s="52">
        <v>40287</v>
      </c>
      <c r="O889" s="51">
        <v>69418</v>
      </c>
      <c r="P889" s="51">
        <v>69709</v>
      </c>
      <c r="Q889" s="51">
        <v>68081</v>
      </c>
      <c r="R889" s="51">
        <v>69509</v>
      </c>
      <c r="S889" s="51">
        <v>69509</v>
      </c>
      <c r="T889" s="51">
        <v>6626200</v>
      </c>
      <c r="U889" s="53">
        <f t="shared" si="33"/>
        <v>1.2676279511962818E-3</v>
      </c>
      <c r="V889" s="59">
        <f>U889-('16. câmbio USD-BRL'!O336/'16. câmbio USD-BRL'!K336-1)</f>
        <v>-2.9669853772881227E-2</v>
      </c>
    </row>
    <row r="890" spans="14:22" x14ac:dyDescent="0.2">
      <c r="N890" s="52">
        <v>40294</v>
      </c>
      <c r="O890" s="51">
        <v>69509</v>
      </c>
      <c r="P890" s="51">
        <v>69810</v>
      </c>
      <c r="Q890" s="51">
        <v>65914</v>
      </c>
      <c r="R890" s="51">
        <v>67530</v>
      </c>
      <c r="S890" s="51">
        <v>67530</v>
      </c>
      <c r="T890" s="51">
        <v>8826800</v>
      </c>
      <c r="U890" s="53">
        <f t="shared" si="33"/>
        <v>-2.8471133234545198E-2</v>
      </c>
      <c r="V890" s="59">
        <f>U890-('16. câmbio USD-BRL'!O337/'16. câmbio USD-BRL'!K337-1)</f>
        <v>-1.1058927102165494E-2</v>
      </c>
    </row>
    <row r="891" spans="14:22" x14ac:dyDescent="0.2">
      <c r="N891" s="52">
        <v>40301</v>
      </c>
      <c r="O891" s="51">
        <v>67534</v>
      </c>
      <c r="P891" s="51">
        <v>67969</v>
      </c>
      <c r="Q891" s="51">
        <v>60774</v>
      </c>
      <c r="R891" s="51">
        <v>62871</v>
      </c>
      <c r="S891" s="51">
        <v>62871</v>
      </c>
      <c r="T891" s="51">
        <v>13388200</v>
      </c>
      <c r="U891" s="53">
        <f t="shared" si="33"/>
        <v>-6.8991559306974648E-2</v>
      </c>
      <c r="V891" s="59">
        <f>U891-('16. câmbio USD-BRL'!O338/'16. câmbio USD-BRL'!K338-1)</f>
        <v>-0.12837581034309065</v>
      </c>
    </row>
    <row r="892" spans="14:22" x14ac:dyDescent="0.2">
      <c r="N892" s="52">
        <v>40308</v>
      </c>
      <c r="O892" s="51">
        <v>62872</v>
      </c>
      <c r="P892" s="51">
        <v>66083</v>
      </c>
      <c r="Q892" s="51">
        <v>62872</v>
      </c>
      <c r="R892" s="51">
        <v>63412</v>
      </c>
      <c r="S892" s="51">
        <v>63412</v>
      </c>
      <c r="T892" s="51">
        <v>10779400</v>
      </c>
      <c r="U892" s="53">
        <f t="shared" si="33"/>
        <v>8.6049211878289622E-3</v>
      </c>
      <c r="V892" s="59">
        <f>U892-('16. câmbio USD-BRL'!O339/'16. câmbio USD-BRL'!K339-1)</f>
        <v>2.5728592144739992E-2</v>
      </c>
    </row>
    <row r="893" spans="14:22" x14ac:dyDescent="0.2">
      <c r="N893" s="52">
        <v>40315</v>
      </c>
      <c r="O893" s="51">
        <v>63406</v>
      </c>
      <c r="P893" s="51">
        <v>63593</v>
      </c>
      <c r="Q893" s="51">
        <v>57634</v>
      </c>
      <c r="R893" s="51">
        <v>60259</v>
      </c>
      <c r="S893" s="51">
        <v>60259</v>
      </c>
      <c r="T893" s="51">
        <v>14663400</v>
      </c>
      <c r="U893" s="53">
        <f t="shared" si="33"/>
        <v>-4.972245000946196E-2</v>
      </c>
      <c r="V893" s="59">
        <f>U893-('16. câmbio USD-BRL'!O340/'16. câmbio USD-BRL'!K340-1)</f>
        <v>-7.8648306066170237E-2</v>
      </c>
    </row>
    <row r="894" spans="14:22" x14ac:dyDescent="0.2">
      <c r="N894" s="52">
        <v>40322</v>
      </c>
      <c r="O894" s="51">
        <v>60255</v>
      </c>
      <c r="P894" s="51">
        <v>62262</v>
      </c>
      <c r="Q894" s="51">
        <v>57876</v>
      </c>
      <c r="R894" s="51">
        <v>61947</v>
      </c>
      <c r="S894" s="51">
        <v>61947</v>
      </c>
      <c r="T894" s="51">
        <v>12378600</v>
      </c>
      <c r="U894" s="53">
        <f t="shared" si="33"/>
        <v>2.8012413083522869E-2</v>
      </c>
      <c r="V894" s="59">
        <f>U894-('16. câmbio USD-BRL'!O341/'16. câmbio USD-BRL'!K341-1)</f>
        <v>2.6577376103723793E-2</v>
      </c>
    </row>
    <row r="895" spans="14:22" x14ac:dyDescent="0.2">
      <c r="N895" s="52">
        <v>40329</v>
      </c>
      <c r="O895" s="51">
        <v>61950</v>
      </c>
      <c r="P895" s="51">
        <v>63198</v>
      </c>
      <c r="Q895" s="51">
        <v>61422</v>
      </c>
      <c r="R895" s="51">
        <v>61676</v>
      </c>
      <c r="S895" s="51">
        <v>61676</v>
      </c>
      <c r="T895" s="51">
        <v>7020800</v>
      </c>
      <c r="U895" s="53">
        <f t="shared" si="33"/>
        <v>-4.3747074111740725E-3</v>
      </c>
      <c r="V895" s="59">
        <f>U895-('16. câmbio USD-BRL'!O342/'16. câmbio USD-BRL'!K342-1)</f>
        <v>-1.9957209677719967E-2</v>
      </c>
    </row>
    <row r="896" spans="14:22" x14ac:dyDescent="0.2">
      <c r="N896" s="52">
        <v>40336</v>
      </c>
      <c r="O896" s="51">
        <v>61675</v>
      </c>
      <c r="P896" s="51">
        <v>63766</v>
      </c>
      <c r="Q896" s="51">
        <v>61099</v>
      </c>
      <c r="R896" s="51">
        <v>63605</v>
      </c>
      <c r="S896" s="51">
        <v>63605</v>
      </c>
      <c r="T896" s="51">
        <v>8031400</v>
      </c>
      <c r="U896" s="53">
        <f t="shared" si="33"/>
        <v>3.1276347363642154E-2</v>
      </c>
      <c r="V896" s="59">
        <f>U896-('16. câmbio USD-BRL'!O343/'16. câmbio USD-BRL'!K343-1)</f>
        <v>6.3511304383699452E-2</v>
      </c>
    </row>
    <row r="897" spans="14:22" x14ac:dyDescent="0.2">
      <c r="N897" s="52">
        <v>40343</v>
      </c>
      <c r="O897" s="51">
        <v>63613</v>
      </c>
      <c r="P897" s="51">
        <v>65182</v>
      </c>
      <c r="Q897" s="51">
        <v>63529</v>
      </c>
      <c r="R897" s="51">
        <v>64438</v>
      </c>
      <c r="S897" s="51">
        <v>64438</v>
      </c>
      <c r="T897" s="51">
        <v>9262400</v>
      </c>
      <c r="U897" s="53">
        <f t="shared" si="33"/>
        <v>1.309645468123577E-2</v>
      </c>
      <c r="V897" s="59">
        <f>U897-('16. câmbio USD-BRL'!O344/'16. câmbio USD-BRL'!K344-1)</f>
        <v>3.270764158437367E-2</v>
      </c>
    </row>
    <row r="898" spans="14:22" x14ac:dyDescent="0.2">
      <c r="N898" s="52">
        <v>40350</v>
      </c>
      <c r="O898" s="51">
        <v>64442</v>
      </c>
      <c r="P898" s="51">
        <v>65831</v>
      </c>
      <c r="Q898" s="51">
        <v>63736</v>
      </c>
      <c r="R898" s="51">
        <v>64824</v>
      </c>
      <c r="S898" s="51">
        <v>64824</v>
      </c>
      <c r="T898" s="51">
        <v>8360600</v>
      </c>
      <c r="U898" s="53">
        <f t="shared" si="33"/>
        <v>5.990254197833611E-3</v>
      </c>
      <c r="V898" s="59">
        <f>U898-('16. câmbio USD-BRL'!O345/'16. câmbio USD-BRL'!K345-1)</f>
        <v>-2.811187791161851E-2</v>
      </c>
    </row>
    <row r="899" spans="14:22" x14ac:dyDescent="0.2">
      <c r="N899" s="52">
        <v>40357</v>
      </c>
      <c r="O899" s="51">
        <v>64825</v>
      </c>
      <c r="P899" s="51">
        <v>65105</v>
      </c>
      <c r="Q899" s="51">
        <v>60056</v>
      </c>
      <c r="R899" s="51">
        <v>61430</v>
      </c>
      <c r="S899" s="51">
        <v>61430</v>
      </c>
      <c r="T899" s="51">
        <v>8371400</v>
      </c>
      <c r="U899" s="53">
        <f t="shared" si="33"/>
        <v>-5.2357151672220215E-2</v>
      </c>
      <c r="V899" s="59">
        <f>U899-('16. câmbio USD-BRL'!O346/'16. câmbio USD-BRL'!K346-1)</f>
        <v>-5.264657051917554E-2</v>
      </c>
    </row>
    <row r="900" spans="14:22" x14ac:dyDescent="0.2">
      <c r="N900" s="52">
        <v>40364</v>
      </c>
      <c r="O900" s="51">
        <v>61436</v>
      </c>
      <c r="P900" s="51">
        <v>63596</v>
      </c>
      <c r="Q900" s="51">
        <v>60796</v>
      </c>
      <c r="R900" s="51">
        <v>63476</v>
      </c>
      <c r="S900" s="51">
        <v>63476</v>
      </c>
      <c r="T900" s="51">
        <v>5936800</v>
      </c>
      <c r="U900" s="53">
        <f t="shared" si="33"/>
        <v>3.3306202181344613E-2</v>
      </c>
      <c r="V900" s="59">
        <f>U900-('16. câmbio USD-BRL'!O347/'16. câmbio USD-BRL'!K347-1)</f>
        <v>3.9988363715336539E-2</v>
      </c>
    </row>
    <row r="901" spans="14:22" x14ac:dyDescent="0.2">
      <c r="N901" s="52">
        <v>40371</v>
      </c>
      <c r="O901" s="51">
        <v>63477</v>
      </c>
      <c r="P901" s="51">
        <v>63972</v>
      </c>
      <c r="Q901" s="51">
        <v>62298</v>
      </c>
      <c r="R901" s="51">
        <v>62339</v>
      </c>
      <c r="S901" s="51">
        <v>62339</v>
      </c>
      <c r="T901" s="51">
        <v>7154400</v>
      </c>
      <c r="U901" s="53">
        <f t="shared" ref="U901:U964" si="34">S901/S900-1</f>
        <v>-1.7912281807297203E-2</v>
      </c>
      <c r="V901" s="59">
        <f>U901-('16. câmbio USD-BRL'!O348/'16. câmbio USD-BRL'!K348-1)</f>
        <v>-6.1159004653739135E-2</v>
      </c>
    </row>
    <row r="902" spans="14:22" x14ac:dyDescent="0.2">
      <c r="N902" s="52">
        <v>40378</v>
      </c>
      <c r="O902" s="51">
        <v>62351</v>
      </c>
      <c r="P902" s="51">
        <v>66323</v>
      </c>
      <c r="Q902" s="51">
        <v>62351</v>
      </c>
      <c r="R902" s="51">
        <v>66323</v>
      </c>
      <c r="S902" s="51">
        <v>66323</v>
      </c>
      <c r="T902" s="51">
        <v>9388200</v>
      </c>
      <c r="U902" s="53">
        <f t="shared" si="34"/>
        <v>6.3908628627344033E-2</v>
      </c>
      <c r="V902" s="59">
        <f>U902-('16. câmbio USD-BRL'!O349/'16. câmbio USD-BRL'!K349-1)</f>
        <v>7.5284733033418982E-2</v>
      </c>
    </row>
    <row r="903" spans="14:22" x14ac:dyDescent="0.2">
      <c r="N903" s="52">
        <v>40385</v>
      </c>
      <c r="O903" s="51">
        <v>66322</v>
      </c>
      <c r="P903" s="51">
        <v>67608</v>
      </c>
      <c r="Q903" s="51">
        <v>66151</v>
      </c>
      <c r="R903" s="51">
        <v>67515</v>
      </c>
      <c r="S903" s="51">
        <v>67515</v>
      </c>
      <c r="T903" s="51">
        <v>9024200</v>
      </c>
      <c r="U903" s="53">
        <f t="shared" si="34"/>
        <v>1.7972649005624008E-2</v>
      </c>
      <c r="V903" s="59">
        <f>U903-('16. câmbio USD-BRL'!O350/'16. câmbio USD-BRL'!K350-1)</f>
        <v>2.4007932199681559E-2</v>
      </c>
    </row>
    <row r="904" spans="14:22" x14ac:dyDescent="0.2">
      <c r="N904" s="52">
        <v>40392</v>
      </c>
      <c r="O904" s="51">
        <v>67524</v>
      </c>
      <c r="P904" s="51">
        <v>68754</v>
      </c>
      <c r="Q904" s="51">
        <v>67524</v>
      </c>
      <c r="R904" s="51">
        <v>68095</v>
      </c>
      <c r="S904" s="51">
        <v>68095</v>
      </c>
      <c r="T904" s="51">
        <v>8666600</v>
      </c>
      <c r="U904" s="53">
        <f t="shared" si="34"/>
        <v>8.5906835518032576E-3</v>
      </c>
      <c r="V904" s="59">
        <f>U904-('16. câmbio USD-BRL'!O351/'16. câmbio USD-BRL'!K351-1)</f>
        <v>-2.045861222284473E-2</v>
      </c>
    </row>
    <row r="905" spans="14:22" x14ac:dyDescent="0.2">
      <c r="N905" s="52">
        <v>40399</v>
      </c>
      <c r="O905" s="51">
        <v>68096</v>
      </c>
      <c r="P905" s="51">
        <v>68513</v>
      </c>
      <c r="Q905" s="51">
        <v>65257</v>
      </c>
      <c r="R905" s="51">
        <v>66264</v>
      </c>
      <c r="S905" s="51">
        <v>66264</v>
      </c>
      <c r="T905" s="51">
        <v>8000800</v>
      </c>
      <c r="U905" s="53">
        <f t="shared" si="34"/>
        <v>-2.688890520596221E-2</v>
      </c>
      <c r="V905" s="59">
        <f>U905-('16. câmbio USD-BRL'!O352/'16. câmbio USD-BRL'!K352-1)</f>
        <v>-6.1323198951570124E-2</v>
      </c>
    </row>
    <row r="906" spans="14:22" x14ac:dyDescent="0.2">
      <c r="N906" s="52">
        <v>40406</v>
      </c>
      <c r="O906" s="51">
        <v>66260</v>
      </c>
      <c r="P906" s="51">
        <v>67745</v>
      </c>
      <c r="Q906" s="51">
        <v>66187</v>
      </c>
      <c r="R906" s="51">
        <v>66677</v>
      </c>
      <c r="S906" s="51">
        <v>66677</v>
      </c>
      <c r="T906" s="51">
        <v>8843400</v>
      </c>
      <c r="U906" s="53">
        <f t="shared" si="34"/>
        <v>6.2326451768683899E-3</v>
      </c>
      <c r="V906" s="59">
        <f>U906-('16. câmbio USD-BRL'!O353/'16. câmbio USD-BRL'!K353-1)</f>
        <v>-1.600506021708159E-2</v>
      </c>
    </row>
    <row r="907" spans="14:22" x14ac:dyDescent="0.2">
      <c r="N907" s="52">
        <v>40413</v>
      </c>
      <c r="O907" s="51">
        <v>66678</v>
      </c>
      <c r="P907" s="51">
        <v>67175</v>
      </c>
      <c r="Q907" s="51">
        <v>63804</v>
      </c>
      <c r="R907" s="51">
        <v>65585</v>
      </c>
      <c r="S907" s="51">
        <v>65585</v>
      </c>
      <c r="T907" s="51">
        <v>8274200</v>
      </c>
      <c r="U907" s="53">
        <f t="shared" si="34"/>
        <v>-1.6377461493468526E-2</v>
      </c>
      <c r="V907" s="59">
        <f>U907-('16. câmbio USD-BRL'!O354/'16. câmbio USD-BRL'!K354-1)</f>
        <v>-4.4595949872369034E-2</v>
      </c>
    </row>
    <row r="908" spans="14:22" x14ac:dyDescent="0.2">
      <c r="N908" s="52">
        <v>40420</v>
      </c>
      <c r="O908" s="51">
        <v>65585</v>
      </c>
      <c r="P908" s="51">
        <v>67673</v>
      </c>
      <c r="Q908" s="51">
        <v>64202</v>
      </c>
      <c r="R908" s="51">
        <v>66679</v>
      </c>
      <c r="S908" s="51">
        <v>66679</v>
      </c>
      <c r="T908" s="51">
        <v>10700600</v>
      </c>
      <c r="U908" s="53">
        <f t="shared" si="34"/>
        <v>1.6680643439811016E-2</v>
      </c>
      <c r="V908" s="59">
        <f>U908-('16. câmbio USD-BRL'!O355/'16. câmbio USD-BRL'!K355-1)</f>
        <v>-6.7352534831754962E-3</v>
      </c>
    </row>
    <row r="909" spans="14:22" x14ac:dyDescent="0.2">
      <c r="N909" s="52">
        <v>40427</v>
      </c>
      <c r="O909" s="51">
        <v>66679</v>
      </c>
      <c r="P909" s="51">
        <v>66949</v>
      </c>
      <c r="Q909" s="51">
        <v>66101</v>
      </c>
      <c r="R909" s="51">
        <v>66807</v>
      </c>
      <c r="S909" s="51">
        <v>66807</v>
      </c>
      <c r="T909" s="51">
        <v>5367200</v>
      </c>
      <c r="U909" s="53">
        <f t="shared" si="34"/>
        <v>1.9196448656999543E-3</v>
      </c>
      <c r="V909" s="59">
        <f>U909-('16. câmbio USD-BRL'!O356/'16. câmbio USD-BRL'!K356-1)</f>
        <v>-2.2270548299233139E-2</v>
      </c>
    </row>
    <row r="910" spans="14:22" x14ac:dyDescent="0.2">
      <c r="N910" s="52">
        <v>40434</v>
      </c>
      <c r="O910" s="51">
        <v>66807</v>
      </c>
      <c r="P910" s="51">
        <v>68142</v>
      </c>
      <c r="Q910" s="51">
        <v>66807</v>
      </c>
      <c r="R910" s="51">
        <v>67089</v>
      </c>
      <c r="S910" s="51">
        <v>67089</v>
      </c>
      <c r="T910" s="51">
        <v>10066400</v>
      </c>
      <c r="U910" s="53">
        <f t="shared" si="34"/>
        <v>4.2211145538642025E-3</v>
      </c>
      <c r="V910" s="59">
        <f>U910-('16. câmbio USD-BRL'!O357/'16. câmbio USD-BRL'!K357-1)</f>
        <v>-2.3114691164523249E-2</v>
      </c>
    </row>
    <row r="911" spans="14:22" x14ac:dyDescent="0.2">
      <c r="N911" s="52">
        <v>40441</v>
      </c>
      <c r="O911" s="51">
        <v>67087</v>
      </c>
      <c r="P911" s="51">
        <v>69601</v>
      </c>
      <c r="Q911" s="51">
        <v>67009</v>
      </c>
      <c r="R911" s="51">
        <v>68196</v>
      </c>
      <c r="S911" s="51">
        <v>68196</v>
      </c>
      <c r="T911" s="51">
        <v>12750600</v>
      </c>
      <c r="U911" s="53">
        <f t="shared" si="34"/>
        <v>1.6500469525555506E-2</v>
      </c>
      <c r="V911" s="59">
        <f>U911-('16. câmbio USD-BRL'!O358/'16. câmbio USD-BRL'!K358-1)</f>
        <v>-1.0954967727704545E-2</v>
      </c>
    </row>
    <row r="912" spans="14:22" x14ac:dyDescent="0.2">
      <c r="N912" s="52">
        <v>40448</v>
      </c>
      <c r="O912" s="51">
        <v>68197</v>
      </c>
      <c r="P912" s="51">
        <v>70243</v>
      </c>
      <c r="Q912" s="51">
        <v>68011</v>
      </c>
      <c r="R912" s="51">
        <v>70229</v>
      </c>
      <c r="S912" s="51">
        <v>70229</v>
      </c>
      <c r="T912" s="51">
        <v>11976400</v>
      </c>
      <c r="U912" s="53">
        <f t="shared" si="34"/>
        <v>2.9811132617748815E-2</v>
      </c>
      <c r="V912" s="59">
        <f>U912-('16. câmbio USD-BRL'!O359/'16. câmbio USD-BRL'!K359-1)</f>
        <v>8.4333173702479947E-3</v>
      </c>
    </row>
    <row r="913" spans="14:22" x14ac:dyDescent="0.2">
      <c r="N913" s="52">
        <v>40455</v>
      </c>
      <c r="O913" s="51">
        <v>70230</v>
      </c>
      <c r="P913" s="51">
        <v>71290</v>
      </c>
      <c r="Q913" s="51">
        <v>69314</v>
      </c>
      <c r="R913" s="51">
        <v>70809</v>
      </c>
      <c r="S913" s="51">
        <v>70809</v>
      </c>
      <c r="T913" s="51">
        <v>12093600</v>
      </c>
      <c r="U913" s="53">
        <f t="shared" si="34"/>
        <v>8.2586965498583353E-3</v>
      </c>
      <c r="V913" s="59">
        <f>U913-('16. câmbio USD-BRL'!O360/'16. câmbio USD-BRL'!K360-1)</f>
        <v>-1.5164507061218968E-2</v>
      </c>
    </row>
    <row r="914" spans="14:22" x14ac:dyDescent="0.2">
      <c r="N914" s="52">
        <v>40462</v>
      </c>
      <c r="O914" s="51">
        <v>70810</v>
      </c>
      <c r="P914" s="51">
        <v>72140</v>
      </c>
      <c r="Q914" s="51">
        <v>70810</v>
      </c>
      <c r="R914" s="51">
        <v>71830</v>
      </c>
      <c r="S914" s="51">
        <v>71830</v>
      </c>
      <c r="T914" s="51">
        <v>8802200</v>
      </c>
      <c r="U914" s="53">
        <f t="shared" si="34"/>
        <v>1.4419071022045316E-2</v>
      </c>
      <c r="V914" s="59">
        <f>U914-('16. câmbio USD-BRL'!O361/'16. câmbio USD-BRL'!K361-1)</f>
        <v>-1.298920714413665E-2</v>
      </c>
    </row>
    <row r="915" spans="14:22" x14ac:dyDescent="0.2">
      <c r="N915" s="52">
        <v>40469</v>
      </c>
      <c r="O915" s="51">
        <v>71830</v>
      </c>
      <c r="P915" s="51">
        <v>71884</v>
      </c>
      <c r="Q915" s="51">
        <v>68847</v>
      </c>
      <c r="R915" s="51">
        <v>69530</v>
      </c>
      <c r="S915" s="51">
        <v>69530</v>
      </c>
      <c r="T915" s="51">
        <v>12023400</v>
      </c>
      <c r="U915" s="53">
        <f t="shared" si="34"/>
        <v>-3.2020047333983004E-2</v>
      </c>
      <c r="V915" s="59">
        <f>U915-('16. câmbio USD-BRL'!O362/'16. câmbio USD-BRL'!K362-1)</f>
        <v>-8.1261298495333256E-2</v>
      </c>
    </row>
    <row r="916" spans="14:22" x14ac:dyDescent="0.2">
      <c r="N916" s="52">
        <v>40476</v>
      </c>
      <c r="O916" s="51">
        <v>69536</v>
      </c>
      <c r="P916" s="51">
        <v>71263</v>
      </c>
      <c r="Q916" s="51">
        <v>69055</v>
      </c>
      <c r="R916" s="51">
        <v>70673</v>
      </c>
      <c r="S916" s="51">
        <v>70673</v>
      </c>
      <c r="T916" s="51">
        <v>13054400</v>
      </c>
      <c r="U916" s="53">
        <f t="shared" si="34"/>
        <v>1.6438947217028543E-2</v>
      </c>
      <c r="V916" s="59">
        <f>U916-('16. câmbio USD-BRL'!O363/'16. câmbio USD-BRL'!K363-1)</f>
        <v>-1.8345762004542854E-2</v>
      </c>
    </row>
    <row r="917" spans="14:22" x14ac:dyDescent="0.2">
      <c r="N917" s="52">
        <v>40483</v>
      </c>
      <c r="O917" s="51">
        <v>70686</v>
      </c>
      <c r="P917" s="51">
        <v>73103</v>
      </c>
      <c r="Q917" s="51">
        <v>70673</v>
      </c>
      <c r="R917" s="51">
        <v>72607</v>
      </c>
      <c r="S917" s="51">
        <v>72607</v>
      </c>
      <c r="T917" s="51">
        <v>7608600</v>
      </c>
      <c r="U917" s="53">
        <f t="shared" si="34"/>
        <v>2.7365471962418564E-2</v>
      </c>
      <c r="V917" s="59">
        <f>U917-('16. câmbio USD-BRL'!O364/'16. câmbio USD-BRL'!K364-1)</f>
        <v>1.3194818537843878E-2</v>
      </c>
    </row>
    <row r="918" spans="14:22" x14ac:dyDescent="0.2">
      <c r="N918" s="52">
        <v>40490</v>
      </c>
      <c r="O918" s="51">
        <v>72607</v>
      </c>
      <c r="P918" s="51">
        <v>73045</v>
      </c>
      <c r="Q918" s="51">
        <v>70004</v>
      </c>
      <c r="R918" s="51">
        <v>70367</v>
      </c>
      <c r="S918" s="51">
        <v>70367</v>
      </c>
      <c r="T918" s="51">
        <v>5124400</v>
      </c>
      <c r="U918" s="53">
        <f t="shared" si="34"/>
        <v>-3.085101987411687E-2</v>
      </c>
      <c r="V918" s="59">
        <f>U918-('16. câmbio USD-BRL'!O365/'16. câmbio USD-BRL'!K365-1)</f>
        <v>-8.7893878771329148E-2</v>
      </c>
    </row>
    <row r="919" spans="14:22" x14ac:dyDescent="0.2">
      <c r="N919" s="52">
        <v>40497</v>
      </c>
      <c r="O919" s="51">
        <v>70364</v>
      </c>
      <c r="P919" s="51">
        <v>70904</v>
      </c>
      <c r="Q919" s="51">
        <v>68662</v>
      </c>
      <c r="R919" s="51">
        <v>70898</v>
      </c>
      <c r="S919" s="51">
        <v>70898</v>
      </c>
      <c r="T919" s="51">
        <v>5628800</v>
      </c>
      <c r="U919" s="53">
        <f t="shared" si="34"/>
        <v>7.546150894595538E-3</v>
      </c>
      <c r="V919" s="59">
        <f>U919-('16. câmbio USD-BRL'!O366/'16. câmbio USD-BRL'!K366-1)</f>
        <v>-1.6759404660960042E-2</v>
      </c>
    </row>
    <row r="920" spans="14:22" x14ac:dyDescent="0.2">
      <c r="N920" s="52">
        <v>40504</v>
      </c>
      <c r="O920" s="51">
        <v>70898</v>
      </c>
      <c r="P920" s="51">
        <v>70898</v>
      </c>
      <c r="Q920" s="51">
        <v>67728</v>
      </c>
      <c r="R920" s="51">
        <v>68226</v>
      </c>
      <c r="S920" s="51">
        <v>68226</v>
      </c>
      <c r="T920" s="51">
        <v>8356800</v>
      </c>
      <c r="U920" s="53">
        <f t="shared" si="34"/>
        <v>-3.7687946063358679E-2</v>
      </c>
      <c r="V920" s="59">
        <f>U920-('16. câmbio USD-BRL'!O367/'16. câmbio USD-BRL'!K367-1)</f>
        <v>-6.7708960773655957E-2</v>
      </c>
    </row>
    <row r="921" spans="14:22" x14ac:dyDescent="0.2">
      <c r="N921" s="52">
        <v>40511</v>
      </c>
      <c r="O921" s="51">
        <v>68218</v>
      </c>
      <c r="P921" s="51">
        <v>69963</v>
      </c>
      <c r="Q921" s="51">
        <v>67103</v>
      </c>
      <c r="R921" s="51">
        <v>69766</v>
      </c>
      <c r="S921" s="51">
        <v>69766</v>
      </c>
      <c r="T921" s="51">
        <v>8876800</v>
      </c>
      <c r="U921" s="53">
        <f t="shared" si="34"/>
        <v>2.2572039984756653E-2</v>
      </c>
      <c r="V921" s="59">
        <f>U921-('16. câmbio USD-BRL'!O368/'16. câmbio USD-BRL'!K368-1)</f>
        <v>7.9021133343899486E-3</v>
      </c>
    </row>
    <row r="922" spans="14:22" x14ac:dyDescent="0.2">
      <c r="N922" s="52">
        <v>40518</v>
      </c>
      <c r="O922" s="51">
        <v>69759</v>
      </c>
      <c r="P922" s="51">
        <v>70589</v>
      </c>
      <c r="Q922" s="51">
        <v>67563</v>
      </c>
      <c r="R922" s="51">
        <v>68342</v>
      </c>
      <c r="S922" s="51">
        <v>68342</v>
      </c>
      <c r="T922" s="51">
        <v>5118800</v>
      </c>
      <c r="U922" s="53">
        <f t="shared" si="34"/>
        <v>-2.0411088495828955E-2</v>
      </c>
      <c r="V922" s="59">
        <f>U922-('16. câmbio USD-BRL'!O369/'16. câmbio USD-BRL'!K369-1)</f>
        <v>-6.2559494931260562E-2</v>
      </c>
    </row>
    <row r="923" spans="14:22" x14ac:dyDescent="0.2">
      <c r="N923" s="52">
        <v>40525</v>
      </c>
      <c r="O923" s="51">
        <v>68342</v>
      </c>
      <c r="P923" s="51">
        <v>69221</v>
      </c>
      <c r="Q923" s="51">
        <v>66948</v>
      </c>
      <c r="R923" s="51">
        <v>67981</v>
      </c>
      <c r="S923" s="51">
        <v>67981</v>
      </c>
      <c r="T923" s="51">
        <v>5363800</v>
      </c>
      <c r="U923" s="53">
        <f t="shared" si="34"/>
        <v>-5.2822568844926865E-3</v>
      </c>
      <c r="V923" s="59">
        <f>U923-('16. câmbio USD-BRL'!O370/'16. câmbio USD-BRL'!K370-1)</f>
        <v>-3.4014073145734902E-2</v>
      </c>
    </row>
    <row r="924" spans="14:22" x14ac:dyDescent="0.2">
      <c r="N924" s="52">
        <v>40532</v>
      </c>
      <c r="O924" s="51">
        <v>67979</v>
      </c>
      <c r="P924" s="51">
        <v>68562</v>
      </c>
      <c r="Q924" s="51">
        <v>67261</v>
      </c>
      <c r="R924" s="51">
        <v>68486</v>
      </c>
      <c r="S924" s="51">
        <v>68486</v>
      </c>
      <c r="T924" s="51">
        <v>7136400</v>
      </c>
      <c r="U924" s="53">
        <f t="shared" si="34"/>
        <v>7.4285462114414003E-3</v>
      </c>
      <c r="V924" s="59">
        <f>U924-('16. câmbio USD-BRL'!O371/'16. câmbio USD-BRL'!K371-1)</f>
        <v>-9.3342511930285532E-3</v>
      </c>
    </row>
    <row r="925" spans="14:22" x14ac:dyDescent="0.2">
      <c r="N925" s="52">
        <v>40539</v>
      </c>
      <c r="O925" s="51">
        <v>68476</v>
      </c>
      <c r="P925" s="51">
        <v>69527</v>
      </c>
      <c r="Q925" s="51">
        <v>67803</v>
      </c>
      <c r="R925" s="51">
        <v>69305</v>
      </c>
      <c r="S925" s="51">
        <v>69305</v>
      </c>
      <c r="T925" s="51">
        <v>4445400</v>
      </c>
      <c r="U925" s="53">
        <f t="shared" si="34"/>
        <v>1.1958648482901513E-2</v>
      </c>
      <c r="V925" s="59">
        <f>U925-('16. câmbio USD-BRL'!O372/'16. câmbio USD-BRL'!K372-1)</f>
        <v>-8.3842647139453774E-4</v>
      </c>
    </row>
    <row r="926" spans="14:22" x14ac:dyDescent="0.2">
      <c r="N926" s="52">
        <v>40546</v>
      </c>
      <c r="O926" s="51">
        <v>69310</v>
      </c>
      <c r="P926" s="51">
        <v>71173</v>
      </c>
      <c r="Q926" s="51">
        <v>69305</v>
      </c>
      <c r="R926" s="51">
        <v>70057</v>
      </c>
      <c r="S926" s="51">
        <v>70057</v>
      </c>
      <c r="T926" s="51">
        <v>10905800</v>
      </c>
      <c r="U926" s="53">
        <f t="shared" si="34"/>
        <v>1.0850587980665072E-2</v>
      </c>
      <c r="V926" s="59">
        <f>U926-('16. câmbio USD-BRL'!O373/'16. câmbio USD-BRL'!K373-1)</f>
        <v>-3.6552493530269237E-2</v>
      </c>
    </row>
    <row r="927" spans="14:22" x14ac:dyDescent="0.2">
      <c r="N927" s="52">
        <v>40553</v>
      </c>
      <c r="O927" s="51">
        <v>70056</v>
      </c>
      <c r="P927" s="51">
        <v>71924</v>
      </c>
      <c r="Q927" s="51">
        <v>69666</v>
      </c>
      <c r="R927" s="51">
        <v>70940</v>
      </c>
      <c r="S927" s="51">
        <v>70940</v>
      </c>
      <c r="T927" s="51">
        <v>10309200</v>
      </c>
      <c r="U927" s="53">
        <f t="shared" si="34"/>
        <v>1.2604022438871265E-2</v>
      </c>
      <c r="V927" s="59">
        <f>U927-('16. câmbio USD-BRL'!O374/'16. câmbio USD-BRL'!K374-1)</f>
        <v>-9.8169528122926675E-3</v>
      </c>
    </row>
    <row r="928" spans="14:22" x14ac:dyDescent="0.2">
      <c r="N928" s="52">
        <v>40560</v>
      </c>
      <c r="O928" s="51">
        <v>70940</v>
      </c>
      <c r="P928" s="51">
        <v>71190</v>
      </c>
      <c r="Q928" s="51">
        <v>69095</v>
      </c>
      <c r="R928" s="51">
        <v>69133</v>
      </c>
      <c r="S928" s="51">
        <v>69133</v>
      </c>
      <c r="T928" s="51">
        <v>9542200</v>
      </c>
      <c r="U928" s="53">
        <f t="shared" si="34"/>
        <v>-2.5472230053566358E-2</v>
      </c>
      <c r="V928" s="59">
        <f>U928-('16. câmbio USD-BRL'!O375/'16. câmbio USD-BRL'!K375-1)</f>
        <v>-2.4861057825232291E-2</v>
      </c>
    </row>
    <row r="929" spans="14:22" x14ac:dyDescent="0.2">
      <c r="N929" s="52">
        <v>40567</v>
      </c>
      <c r="O929" s="51">
        <v>69134</v>
      </c>
      <c r="P929" s="51">
        <v>69556</v>
      </c>
      <c r="Q929" s="51">
        <v>65898</v>
      </c>
      <c r="R929" s="51">
        <v>66698</v>
      </c>
      <c r="S929" s="51">
        <v>66698</v>
      </c>
      <c r="T929" s="51">
        <v>8865200</v>
      </c>
      <c r="U929" s="53">
        <f t="shared" si="34"/>
        <v>-3.522196346173323E-2</v>
      </c>
      <c r="V929" s="59">
        <f>U929-('16. câmbio USD-BRL'!O376/'16. câmbio USD-BRL'!K376-1)</f>
        <v>-6.3380586271447159E-2</v>
      </c>
    </row>
    <row r="930" spans="14:22" x14ac:dyDescent="0.2">
      <c r="N930" s="52">
        <v>40574</v>
      </c>
      <c r="O930" s="51">
        <v>66697</v>
      </c>
      <c r="P930" s="51">
        <v>68012</v>
      </c>
      <c r="Q930" s="51">
        <v>65160</v>
      </c>
      <c r="R930" s="51">
        <v>65269</v>
      </c>
      <c r="S930" s="51">
        <v>65269</v>
      </c>
      <c r="T930" s="51">
        <v>11976800</v>
      </c>
      <c r="U930" s="53">
        <f t="shared" si="34"/>
        <v>-2.1424930282767152E-2</v>
      </c>
      <c r="V930" s="59">
        <f>U930-('16. câmbio USD-BRL'!O377/'16. câmbio USD-BRL'!K377-1)</f>
        <v>-4.2290132510020451E-2</v>
      </c>
    </row>
    <row r="931" spans="14:22" x14ac:dyDescent="0.2">
      <c r="N931" s="52">
        <v>40581</v>
      </c>
      <c r="O931" s="51">
        <v>65272</v>
      </c>
      <c r="P931" s="51">
        <v>66238</v>
      </c>
      <c r="Q931" s="51">
        <v>64016</v>
      </c>
      <c r="R931" s="51">
        <v>65756</v>
      </c>
      <c r="S931" s="51">
        <v>65756</v>
      </c>
      <c r="T931" s="51">
        <v>12308600</v>
      </c>
      <c r="U931" s="53">
        <f t="shared" si="34"/>
        <v>7.4614288559653463E-3</v>
      </c>
      <c r="V931" s="59">
        <f>U931-('16. câmbio USD-BRL'!O378/'16. câmbio USD-BRL'!K378-1)</f>
        <v>-1.7483138771529072E-2</v>
      </c>
    </row>
    <row r="932" spans="14:22" x14ac:dyDescent="0.2">
      <c r="N932" s="52">
        <v>40588</v>
      </c>
      <c r="O932" s="51">
        <v>65751</v>
      </c>
      <c r="P932" s="51">
        <v>68226</v>
      </c>
      <c r="Q932" s="51">
        <v>65462</v>
      </c>
      <c r="R932" s="51">
        <v>68067</v>
      </c>
      <c r="S932" s="51">
        <v>68067</v>
      </c>
      <c r="T932" s="51">
        <v>11064600</v>
      </c>
      <c r="U932" s="53">
        <f t="shared" si="34"/>
        <v>3.5145081817628876E-2</v>
      </c>
      <c r="V932" s="59">
        <f>U932-('16. câmbio USD-BRL'!O379/'16. câmbio USD-BRL'!K379-1)</f>
        <v>5.6604435619302951E-3</v>
      </c>
    </row>
    <row r="933" spans="14:22" x14ac:dyDescent="0.2">
      <c r="N933" s="52">
        <v>40595</v>
      </c>
      <c r="O933" s="51">
        <v>68067</v>
      </c>
      <c r="P933" s="51">
        <v>68067</v>
      </c>
      <c r="Q933" s="51">
        <v>66049</v>
      </c>
      <c r="R933" s="51">
        <v>66903</v>
      </c>
      <c r="S933" s="51">
        <v>66903</v>
      </c>
      <c r="T933" s="51">
        <v>12927200</v>
      </c>
      <c r="U933" s="53">
        <f t="shared" si="34"/>
        <v>-1.7100797743399898E-2</v>
      </c>
      <c r="V933" s="59">
        <f>U933-('16. câmbio USD-BRL'!O380/'16. câmbio USD-BRL'!K380-1)</f>
        <v>-4.7657386314120087E-2</v>
      </c>
    </row>
    <row r="934" spans="14:22" x14ac:dyDescent="0.2">
      <c r="N934" s="52">
        <v>40602</v>
      </c>
      <c r="O934" s="51">
        <v>66909</v>
      </c>
      <c r="P934" s="51">
        <v>68220</v>
      </c>
      <c r="Q934" s="51">
        <v>66101</v>
      </c>
      <c r="R934" s="51">
        <v>68012</v>
      </c>
      <c r="S934" s="51">
        <v>68012</v>
      </c>
      <c r="T934" s="51">
        <v>11420000</v>
      </c>
      <c r="U934" s="53">
        <f t="shared" si="34"/>
        <v>1.6576237238987712E-2</v>
      </c>
      <c r="V934" s="59">
        <f>U934-('16. câmbio USD-BRL'!O381/'16. câmbio USD-BRL'!K381-1)</f>
        <v>2.1882876568421583E-2</v>
      </c>
    </row>
    <row r="935" spans="14:22" x14ac:dyDescent="0.2">
      <c r="N935" s="52">
        <v>40609</v>
      </c>
      <c r="O935" s="51">
        <v>68010</v>
      </c>
      <c r="P935" s="51">
        <v>68057</v>
      </c>
      <c r="Q935" s="51">
        <v>65559</v>
      </c>
      <c r="R935" s="51">
        <v>66685</v>
      </c>
      <c r="S935" s="51">
        <v>66685</v>
      </c>
      <c r="T935" s="51">
        <v>6273600</v>
      </c>
      <c r="U935" s="53">
        <f t="shared" si="34"/>
        <v>-1.9511262718343803E-2</v>
      </c>
      <c r="V935" s="59">
        <f>U935-('16. câmbio USD-BRL'!O382/'16. câmbio USD-BRL'!K382-1)</f>
        <v>-2.4904875226676726E-2</v>
      </c>
    </row>
    <row r="936" spans="14:22" x14ac:dyDescent="0.2">
      <c r="N936" s="52">
        <v>40616</v>
      </c>
      <c r="O936" s="51">
        <v>66684</v>
      </c>
      <c r="P936" s="51">
        <v>67502</v>
      </c>
      <c r="Q936" s="51">
        <v>65463</v>
      </c>
      <c r="R936" s="51">
        <v>66880</v>
      </c>
      <c r="S936" s="51">
        <v>66880</v>
      </c>
      <c r="T936" s="51">
        <v>12611000</v>
      </c>
      <c r="U936" s="53">
        <f t="shared" si="34"/>
        <v>2.9241958461423412E-3</v>
      </c>
      <c r="V936" s="59">
        <f>U936-('16. câmbio USD-BRL'!O383/'16. câmbio USD-BRL'!K383-1)</f>
        <v>-8.8837443912213043E-3</v>
      </c>
    </row>
    <row r="937" spans="14:22" x14ac:dyDescent="0.2">
      <c r="N937" s="52">
        <v>40623</v>
      </c>
      <c r="O937" s="51">
        <v>66887</v>
      </c>
      <c r="P937" s="51">
        <v>68256</v>
      </c>
      <c r="Q937" s="51">
        <v>66531</v>
      </c>
      <c r="R937" s="51">
        <v>67766</v>
      </c>
      <c r="S937" s="51">
        <v>67766</v>
      </c>
      <c r="T937" s="51">
        <v>11104400</v>
      </c>
      <c r="U937" s="53">
        <f t="shared" si="34"/>
        <v>1.3247607655502369E-2</v>
      </c>
      <c r="V937" s="59">
        <f>U937-('16. câmbio USD-BRL'!O384/'16. câmbio USD-BRL'!K384-1)</f>
        <v>1.6974241062967632E-2</v>
      </c>
    </row>
    <row r="938" spans="14:22" x14ac:dyDescent="0.2">
      <c r="N938" s="52">
        <v>40630</v>
      </c>
      <c r="O938" s="51">
        <v>67767</v>
      </c>
      <c r="P938" s="51">
        <v>69387</v>
      </c>
      <c r="Q938" s="51">
        <v>67046</v>
      </c>
      <c r="R938" s="51">
        <v>69268</v>
      </c>
      <c r="S938" s="51">
        <v>69268</v>
      </c>
      <c r="T938" s="51">
        <v>9594200</v>
      </c>
      <c r="U938" s="53">
        <f t="shared" si="34"/>
        <v>2.2164507275034717E-2</v>
      </c>
      <c r="V938" s="59">
        <f>U938-('16. câmbio USD-BRL'!O385/'16. câmbio USD-BRL'!K385-1)</f>
        <v>3.5922916875616551E-2</v>
      </c>
    </row>
    <row r="939" spans="14:22" x14ac:dyDescent="0.2">
      <c r="N939" s="52">
        <v>40637</v>
      </c>
      <c r="O939" s="51">
        <v>69270</v>
      </c>
      <c r="P939" s="51">
        <v>70108</v>
      </c>
      <c r="Q939" s="51">
        <v>68472</v>
      </c>
      <c r="R939" s="51">
        <v>68718</v>
      </c>
      <c r="S939" s="51">
        <v>68718</v>
      </c>
      <c r="T939" s="51">
        <v>2112600</v>
      </c>
      <c r="U939" s="53">
        <f t="shared" si="34"/>
        <v>-7.9401743951030834E-3</v>
      </c>
      <c r="V939" s="59">
        <f>U939-('16. câmbio USD-BRL'!O386/'16. câmbio USD-BRL'!K386-1)</f>
        <v>-2.0736075848927227E-3</v>
      </c>
    </row>
    <row r="940" spans="14:22" x14ac:dyDescent="0.2">
      <c r="N940" s="52">
        <v>40644</v>
      </c>
      <c r="O940" s="51">
        <v>68719</v>
      </c>
      <c r="P940" s="51">
        <v>69177</v>
      </c>
      <c r="Q940" s="51">
        <v>65832</v>
      </c>
      <c r="R940" s="51">
        <v>66684</v>
      </c>
      <c r="S940" s="51">
        <v>66684</v>
      </c>
      <c r="T940" s="51">
        <v>11619600</v>
      </c>
      <c r="U940" s="53">
        <f t="shared" si="34"/>
        <v>-2.9599231642364443E-2</v>
      </c>
      <c r="V940" s="59">
        <f>U940-('16. câmbio USD-BRL'!O387/'16. câmbio USD-BRL'!K387-1)</f>
        <v>-3.796001198186294E-2</v>
      </c>
    </row>
    <row r="941" spans="14:22" x14ac:dyDescent="0.2">
      <c r="N941" s="52">
        <v>40651</v>
      </c>
      <c r="O941" s="51">
        <v>66689</v>
      </c>
      <c r="P941" s="51">
        <v>67077</v>
      </c>
      <c r="Q941" s="51">
        <v>65158</v>
      </c>
      <c r="R941" s="51">
        <v>67058</v>
      </c>
      <c r="S941" s="51">
        <v>67058</v>
      </c>
      <c r="T941" s="51">
        <v>7672200</v>
      </c>
      <c r="U941" s="53">
        <f t="shared" si="34"/>
        <v>5.6085417791373882E-3</v>
      </c>
      <c r="V941" s="59">
        <f>U941-('16. câmbio USD-BRL'!O388/'16. câmbio USD-BRL'!K388-1)</f>
        <v>7.0087454451251974E-3</v>
      </c>
    </row>
    <row r="942" spans="14:22" x14ac:dyDescent="0.2">
      <c r="N942" s="52">
        <v>40658</v>
      </c>
      <c r="O942" s="51">
        <v>67058</v>
      </c>
      <c r="P942" s="51">
        <v>67413</v>
      </c>
      <c r="Q942" s="51">
        <v>65105</v>
      </c>
      <c r="R942" s="51">
        <v>66133</v>
      </c>
      <c r="S942" s="51">
        <v>66133</v>
      </c>
      <c r="T942" s="51">
        <v>10998600</v>
      </c>
      <c r="U942" s="53">
        <f t="shared" si="34"/>
        <v>-1.3794029049479573E-2</v>
      </c>
      <c r="V942" s="59">
        <f>U942-('16. câmbio USD-BRL'!O389/'16. câmbio USD-BRL'!K389-1)</f>
        <v>-3.1566388859565642E-2</v>
      </c>
    </row>
    <row r="943" spans="14:22" x14ac:dyDescent="0.2">
      <c r="N943" s="52">
        <v>40665</v>
      </c>
      <c r="O943" s="51">
        <v>66119</v>
      </c>
      <c r="P943" s="51">
        <v>66500</v>
      </c>
      <c r="Q943" s="51">
        <v>62973</v>
      </c>
      <c r="R943" s="51">
        <v>64417</v>
      </c>
      <c r="S943" s="51">
        <v>64417</v>
      </c>
      <c r="T943" s="51">
        <v>12528200</v>
      </c>
      <c r="U943" s="53">
        <f t="shared" si="34"/>
        <v>-2.5947711429997078E-2</v>
      </c>
      <c r="V943" s="59">
        <f>U943-('16. câmbio USD-BRL'!O390/'16. câmbio USD-BRL'!K390-1)</f>
        <v>-6.0189055625516463E-2</v>
      </c>
    </row>
    <row r="944" spans="14:22" x14ac:dyDescent="0.2">
      <c r="N944" s="52">
        <v>40672</v>
      </c>
      <c r="O944" s="51">
        <v>64416</v>
      </c>
      <c r="P944" s="51">
        <v>65143</v>
      </c>
      <c r="Q944" s="51">
        <v>63063</v>
      </c>
      <c r="R944" s="51">
        <v>63235</v>
      </c>
      <c r="S944" s="51">
        <v>63235</v>
      </c>
      <c r="T944" s="51">
        <v>11476000</v>
      </c>
      <c r="U944" s="53">
        <f t="shared" si="34"/>
        <v>-1.8349193535867836E-2</v>
      </c>
      <c r="V944" s="59">
        <f>U944-('16. câmbio USD-BRL'!O391/'16. câmbio USD-BRL'!K391-1)</f>
        <v>-2.9040702851861444E-2</v>
      </c>
    </row>
    <row r="945" spans="14:22" x14ac:dyDescent="0.2">
      <c r="N945" s="52">
        <v>40679</v>
      </c>
      <c r="O945" s="51">
        <v>63233</v>
      </c>
      <c r="P945" s="51">
        <v>64015</v>
      </c>
      <c r="Q945" s="51">
        <v>62086</v>
      </c>
      <c r="R945" s="51">
        <v>62597</v>
      </c>
      <c r="S945" s="51">
        <v>62597</v>
      </c>
      <c r="T945" s="51">
        <v>11536600</v>
      </c>
      <c r="U945" s="53">
        <f t="shared" si="34"/>
        <v>-1.0089349252787261E-2</v>
      </c>
      <c r="V945" s="59">
        <f>U945-('16. câmbio USD-BRL'!O392/'16. câmbio USD-BRL'!K392-1)</f>
        <v>-7.7048468286511351E-4</v>
      </c>
    </row>
    <row r="946" spans="14:22" x14ac:dyDescent="0.2">
      <c r="N946" s="52">
        <v>40686</v>
      </c>
      <c r="O946" s="51">
        <v>62597</v>
      </c>
      <c r="P946" s="51">
        <v>64548</v>
      </c>
      <c r="Q946" s="51">
        <v>61659</v>
      </c>
      <c r="R946" s="51">
        <v>64295</v>
      </c>
      <c r="S946" s="51">
        <v>64295</v>
      </c>
      <c r="T946" s="51">
        <v>9761600</v>
      </c>
      <c r="U946" s="53">
        <f t="shared" si="34"/>
        <v>2.7125900602265274E-2</v>
      </c>
      <c r="V946" s="59">
        <f>U946-('16. câmbio USD-BRL'!O393/'16. câmbio USD-BRL'!K393-1)</f>
        <v>2.4158358098401278E-2</v>
      </c>
    </row>
    <row r="947" spans="14:22" x14ac:dyDescent="0.2">
      <c r="N947" s="52">
        <v>40693</v>
      </c>
      <c r="O947" s="51">
        <v>64295</v>
      </c>
      <c r="P947" s="51">
        <v>64979</v>
      </c>
      <c r="Q947" s="51">
        <v>63277</v>
      </c>
      <c r="R947" s="51">
        <v>64341</v>
      </c>
      <c r="S947" s="51">
        <v>64341</v>
      </c>
      <c r="T947" s="51">
        <v>9507000</v>
      </c>
      <c r="U947" s="53">
        <f t="shared" si="34"/>
        <v>7.1545221245816748E-4</v>
      </c>
      <c r="V947" s="59">
        <f>U947-('16. câmbio USD-BRL'!O394/'16. câmbio USD-BRL'!K394-1)</f>
        <v>8.2649960941819645E-3</v>
      </c>
    </row>
    <row r="948" spans="14:22" x14ac:dyDescent="0.2">
      <c r="N948" s="52">
        <v>40700</v>
      </c>
      <c r="O948" s="51">
        <v>64341</v>
      </c>
      <c r="P948" s="51">
        <v>64512</v>
      </c>
      <c r="Q948" s="51">
        <v>62495</v>
      </c>
      <c r="R948" s="51">
        <v>62697</v>
      </c>
      <c r="S948" s="51">
        <v>62697</v>
      </c>
      <c r="T948" s="51">
        <v>9352800</v>
      </c>
      <c r="U948" s="53">
        <f t="shared" si="34"/>
        <v>-2.5551359164451948E-2</v>
      </c>
      <c r="V948" s="59">
        <f>U948-('16. câmbio USD-BRL'!O395/'16. câmbio USD-BRL'!K395-1)</f>
        <v>-3.7088840041555549E-2</v>
      </c>
    </row>
    <row r="949" spans="14:22" x14ac:dyDescent="0.2">
      <c r="N949" s="52">
        <v>40707</v>
      </c>
      <c r="O949" s="51">
        <v>62701</v>
      </c>
      <c r="P949" s="51">
        <v>62968</v>
      </c>
      <c r="Q949" s="51">
        <v>60489</v>
      </c>
      <c r="R949" s="51">
        <v>61060</v>
      </c>
      <c r="S949" s="51">
        <v>61060</v>
      </c>
      <c r="T949" s="51">
        <v>9793200</v>
      </c>
      <c r="U949" s="53">
        <f t="shared" si="34"/>
        <v>-2.6109702218606978E-2</v>
      </c>
      <c r="V949" s="59">
        <f>U949-('16. câmbio USD-BRL'!O396/'16. câmbio USD-BRL'!K396-1)</f>
        <v>-3.3195230184496216E-2</v>
      </c>
    </row>
    <row r="950" spans="14:22" x14ac:dyDescent="0.2">
      <c r="N950" s="52">
        <v>40714</v>
      </c>
      <c r="O950" s="51">
        <v>61059</v>
      </c>
      <c r="P950" s="51">
        <v>61859</v>
      </c>
      <c r="Q950" s="51">
        <v>60784</v>
      </c>
      <c r="R950" s="51">
        <v>61017</v>
      </c>
      <c r="S950" s="51">
        <v>61017</v>
      </c>
      <c r="T950" s="51">
        <v>7028800</v>
      </c>
      <c r="U950" s="53">
        <f t="shared" si="34"/>
        <v>-7.0422535211267512E-4</v>
      </c>
      <c r="V950" s="59">
        <f>U950-('16. câmbio USD-BRL'!O397/'16. câmbio USD-BRL'!K397-1)</f>
        <v>-1.1445323089626092E-3</v>
      </c>
    </row>
    <row r="951" spans="14:22" x14ac:dyDescent="0.2">
      <c r="N951" s="52">
        <v>40721</v>
      </c>
      <c r="O951" s="51">
        <v>61017</v>
      </c>
      <c r="P951" s="51">
        <v>63455</v>
      </c>
      <c r="Q951" s="51">
        <v>60772</v>
      </c>
      <c r="R951" s="51">
        <v>63394</v>
      </c>
      <c r="S951" s="51">
        <v>63394</v>
      </c>
      <c r="T951" s="51">
        <v>9494000</v>
      </c>
      <c r="U951" s="53">
        <f t="shared" si="34"/>
        <v>3.8956356425258631E-2</v>
      </c>
      <c r="V951" s="59">
        <f>U951-('16. câmbio USD-BRL'!O398/'16. câmbio USD-BRL'!K398-1)</f>
        <v>5.6943777808906582E-2</v>
      </c>
    </row>
    <row r="952" spans="14:22" x14ac:dyDescent="0.2">
      <c r="N952" s="52">
        <v>40728</v>
      </c>
      <c r="O952" s="51">
        <v>63397</v>
      </c>
      <c r="P952" s="51">
        <v>63891</v>
      </c>
      <c r="Q952" s="51">
        <v>61366</v>
      </c>
      <c r="R952" s="51">
        <v>61513</v>
      </c>
      <c r="S952" s="51">
        <v>61513</v>
      </c>
      <c r="T952" s="51">
        <v>8086400</v>
      </c>
      <c r="U952" s="53">
        <f t="shared" si="34"/>
        <v>-2.9671577751837708E-2</v>
      </c>
      <c r="V952" s="59">
        <f>U952-('16. câmbio USD-BRL'!O399/'16. câmbio USD-BRL'!K399-1)</f>
        <v>-3.1088829571717769E-2</v>
      </c>
    </row>
    <row r="953" spans="14:22" x14ac:dyDescent="0.2">
      <c r="N953" s="52">
        <v>40735</v>
      </c>
      <c r="O953" s="51">
        <v>61502</v>
      </c>
      <c r="P953" s="51">
        <v>61502</v>
      </c>
      <c r="Q953" s="51">
        <v>59180</v>
      </c>
      <c r="R953" s="51">
        <v>59478</v>
      </c>
      <c r="S953" s="51">
        <v>59478</v>
      </c>
      <c r="T953" s="51">
        <v>10327200</v>
      </c>
      <c r="U953" s="53">
        <f t="shared" si="34"/>
        <v>-3.3082437858664049E-2</v>
      </c>
      <c r="V953" s="59">
        <f>U953-('16. câmbio USD-BRL'!O400/'16. câmbio USD-BRL'!K400-1)</f>
        <v>-5.3404747094312199E-2</v>
      </c>
    </row>
    <row r="954" spans="14:22" x14ac:dyDescent="0.2">
      <c r="N954" s="52">
        <v>40742</v>
      </c>
      <c r="O954" s="51">
        <v>59479</v>
      </c>
      <c r="P954" s="51">
        <v>60696</v>
      </c>
      <c r="Q954" s="51">
        <v>58631</v>
      </c>
      <c r="R954" s="51">
        <v>60270</v>
      </c>
      <c r="S954" s="51">
        <v>60270</v>
      </c>
      <c r="T954" s="51">
        <v>9759600</v>
      </c>
      <c r="U954" s="53">
        <f t="shared" si="34"/>
        <v>1.3315847876525844E-2</v>
      </c>
      <c r="V954" s="59">
        <f>U954-('16. câmbio USD-BRL'!O401/'16. câmbio USD-BRL'!K401-1)</f>
        <v>2.433776428835055E-2</v>
      </c>
    </row>
    <row r="955" spans="14:22" x14ac:dyDescent="0.2">
      <c r="N955" s="52">
        <v>40749</v>
      </c>
      <c r="O955" s="51">
        <v>60264</v>
      </c>
      <c r="P955" s="51">
        <v>60285</v>
      </c>
      <c r="Q955" s="51">
        <v>58009</v>
      </c>
      <c r="R955" s="51">
        <v>58823</v>
      </c>
      <c r="S955" s="51">
        <v>58823</v>
      </c>
      <c r="T955" s="51">
        <v>11166600</v>
      </c>
      <c r="U955" s="53">
        <f t="shared" si="34"/>
        <v>-2.400862784138047E-2</v>
      </c>
      <c r="V955" s="59">
        <f>U955-('16. câmbio USD-BRL'!O402/'16. câmbio USD-BRL'!K402-1)</f>
        <v>-2.9736152135092953E-2</v>
      </c>
    </row>
    <row r="956" spans="14:22" x14ac:dyDescent="0.2">
      <c r="N956" s="52">
        <v>40756</v>
      </c>
      <c r="O956" s="51">
        <v>58823</v>
      </c>
      <c r="P956" s="51">
        <v>59542</v>
      </c>
      <c r="Q956" s="51">
        <v>51153</v>
      </c>
      <c r="R956" s="51">
        <v>52949</v>
      </c>
      <c r="S956" s="51">
        <v>52949</v>
      </c>
      <c r="T956" s="51">
        <v>17073400</v>
      </c>
      <c r="U956" s="53">
        <f t="shared" si="34"/>
        <v>-9.9858898730088574E-2</v>
      </c>
      <c r="V956" s="59">
        <f>U956-('16. câmbio USD-BRL'!O403/'16. câmbio USD-BRL'!K403-1)</f>
        <v>-0.12110242204615074</v>
      </c>
    </row>
    <row r="957" spans="14:22" x14ac:dyDescent="0.2">
      <c r="N957" s="52">
        <v>40763</v>
      </c>
      <c r="O957" s="51">
        <v>52938</v>
      </c>
      <c r="P957" s="51">
        <v>53724</v>
      </c>
      <c r="Q957" s="51">
        <v>47793</v>
      </c>
      <c r="R957" s="51">
        <v>53473</v>
      </c>
      <c r="S957" s="51">
        <v>53473</v>
      </c>
      <c r="T957" s="51">
        <v>21857400</v>
      </c>
      <c r="U957" s="53">
        <f t="shared" si="34"/>
        <v>9.8963153222912936E-3</v>
      </c>
      <c r="V957" s="59">
        <f>U957-('16. câmbio USD-BRL'!O404/'16. câmbio USD-BRL'!K404-1)</f>
        <v>-9.1244003085937386E-3</v>
      </c>
    </row>
    <row r="958" spans="14:22" x14ac:dyDescent="0.2">
      <c r="N958" s="52">
        <v>40770</v>
      </c>
      <c r="O958" s="51">
        <v>53478</v>
      </c>
      <c r="P958" s="51">
        <v>55073</v>
      </c>
      <c r="Q958" s="51">
        <v>52246</v>
      </c>
      <c r="R958" s="51">
        <v>52448</v>
      </c>
      <c r="S958" s="51">
        <v>52448</v>
      </c>
      <c r="T958" s="51">
        <v>13863400</v>
      </c>
      <c r="U958" s="53">
        <f t="shared" si="34"/>
        <v>-1.9168552353524215E-2</v>
      </c>
      <c r="V958" s="59">
        <f>U958-('16. câmbio USD-BRL'!O405/'16. câmbio USD-BRL'!K405-1)</f>
        <v>-1.9791217359750868E-2</v>
      </c>
    </row>
    <row r="959" spans="14:22" x14ac:dyDescent="0.2">
      <c r="N959" s="52">
        <v>40777</v>
      </c>
      <c r="O959" s="51">
        <v>52472</v>
      </c>
      <c r="P959" s="51">
        <v>54279</v>
      </c>
      <c r="Q959" s="51">
        <v>51853</v>
      </c>
      <c r="R959" s="51">
        <v>53351</v>
      </c>
      <c r="S959" s="51">
        <v>53351</v>
      </c>
      <c r="T959" s="51">
        <v>11916200</v>
      </c>
      <c r="U959" s="53">
        <f t="shared" si="34"/>
        <v>1.7217053081147071E-2</v>
      </c>
      <c r="V959" s="59">
        <f>U959-('16. câmbio USD-BRL'!O406/'16. câmbio USD-BRL'!K406-1)</f>
        <v>7.4266677416214844E-3</v>
      </c>
    </row>
    <row r="960" spans="14:22" x14ac:dyDescent="0.2">
      <c r="N960" s="52">
        <v>40784</v>
      </c>
      <c r="O960" s="51">
        <v>53356</v>
      </c>
      <c r="P960" s="51">
        <v>58589</v>
      </c>
      <c r="Q960" s="51">
        <v>53356</v>
      </c>
      <c r="R960" s="51">
        <v>56532</v>
      </c>
      <c r="S960" s="51">
        <v>56532</v>
      </c>
      <c r="T960" s="51">
        <v>14738200</v>
      </c>
      <c r="U960" s="53">
        <f t="shared" si="34"/>
        <v>5.9623999550149076E-2</v>
      </c>
      <c r="V960" s="59">
        <f>U960-('16. câmbio USD-BRL'!O407/'16. câmbio USD-BRL'!K407-1)</f>
        <v>6.0248999550149174E-2</v>
      </c>
    </row>
    <row r="961" spans="14:22" x14ac:dyDescent="0.2">
      <c r="N961" s="52">
        <v>40791</v>
      </c>
      <c r="O961" s="51">
        <v>56521</v>
      </c>
      <c r="P961" s="51">
        <v>58242</v>
      </c>
      <c r="Q961" s="51">
        <v>54121</v>
      </c>
      <c r="R961" s="51">
        <v>55778</v>
      </c>
      <c r="S961" s="51">
        <v>55778</v>
      </c>
      <c r="T961" s="51">
        <v>9694600</v>
      </c>
      <c r="U961" s="53">
        <f t="shared" si="34"/>
        <v>-1.3337578716479115E-2</v>
      </c>
      <c r="V961" s="59">
        <f>U961-('16. câmbio USD-BRL'!O408/'16. câmbio USD-BRL'!K408-1)</f>
        <v>-2.2564587576851869E-2</v>
      </c>
    </row>
    <row r="962" spans="14:22" x14ac:dyDescent="0.2">
      <c r="N962" s="52">
        <v>40798</v>
      </c>
      <c r="O962" s="51">
        <v>55773</v>
      </c>
      <c r="P962" s="51">
        <v>57210</v>
      </c>
      <c r="Q962" s="51">
        <v>54310</v>
      </c>
      <c r="R962" s="51">
        <v>57210</v>
      </c>
      <c r="S962" s="51">
        <v>57210</v>
      </c>
      <c r="T962" s="51">
        <v>11418600</v>
      </c>
      <c r="U962" s="53">
        <f t="shared" si="34"/>
        <v>2.5673204489225165E-2</v>
      </c>
      <c r="V962" s="59">
        <f>U962-('16. câmbio USD-BRL'!O409/'16. câmbio USD-BRL'!K409-1)</f>
        <v>5.2540749889564697E-3</v>
      </c>
    </row>
    <row r="963" spans="14:22" x14ac:dyDescent="0.2">
      <c r="N963" s="52">
        <v>40805</v>
      </c>
      <c r="O963" s="51">
        <v>57208</v>
      </c>
      <c r="P963" s="51">
        <v>57620</v>
      </c>
      <c r="Q963" s="51">
        <v>52706</v>
      </c>
      <c r="R963" s="51">
        <v>53230</v>
      </c>
      <c r="S963" s="51">
        <v>53230</v>
      </c>
      <c r="T963" s="51">
        <v>14075000</v>
      </c>
      <c r="U963" s="53">
        <f t="shared" si="34"/>
        <v>-6.956825729767524E-2</v>
      </c>
      <c r="V963" s="59">
        <f>U963-('16. câmbio USD-BRL'!O410/'16. câmbio USD-BRL'!K410-1)</f>
        <v>-0.15586796210753806</v>
      </c>
    </row>
    <row r="964" spans="14:22" x14ac:dyDescent="0.2">
      <c r="N964" s="52">
        <v>40812</v>
      </c>
      <c r="O964" s="51">
        <v>53243</v>
      </c>
      <c r="P964" s="51">
        <v>54992</v>
      </c>
      <c r="Q964" s="51">
        <v>51897</v>
      </c>
      <c r="R964" s="51">
        <v>52324</v>
      </c>
      <c r="S964" s="51">
        <v>52324</v>
      </c>
      <c r="T964" s="51">
        <v>12315600</v>
      </c>
      <c r="U964" s="53">
        <f t="shared" si="34"/>
        <v>-1.7020477174525594E-2</v>
      </c>
      <c r="V964" s="59">
        <f>U964-('16. câmbio USD-BRL'!O411/'16. câmbio USD-BRL'!K411-1)</f>
        <v>-1.6692303461240066E-2</v>
      </c>
    </row>
    <row r="965" spans="14:22" x14ac:dyDescent="0.2">
      <c r="N965" s="52">
        <v>40819</v>
      </c>
      <c r="O965" s="51">
        <v>52319</v>
      </c>
      <c r="P965" s="51">
        <v>52891</v>
      </c>
      <c r="Q965" s="51">
        <v>49433</v>
      </c>
      <c r="R965" s="51">
        <v>51244</v>
      </c>
      <c r="S965" s="51">
        <v>51244</v>
      </c>
      <c r="T965" s="51">
        <v>15754400</v>
      </c>
      <c r="U965" s="53">
        <f t="shared" ref="U965:U1028" si="35">S965/S964-1</f>
        <v>-2.0640623805519454E-2</v>
      </c>
      <c r="V965" s="59">
        <f>U965-('16. câmbio USD-BRL'!O412/'16. câmbio USD-BRL'!K412-1)</f>
        <v>1.527186285403237E-2</v>
      </c>
    </row>
    <row r="966" spans="14:22" x14ac:dyDescent="0.2">
      <c r="N966" s="52">
        <v>40826</v>
      </c>
      <c r="O966" s="51">
        <v>51244</v>
      </c>
      <c r="P966" s="51">
        <v>55179</v>
      </c>
      <c r="Q966" s="51">
        <v>51244</v>
      </c>
      <c r="R966" s="51">
        <v>55030</v>
      </c>
      <c r="S966" s="51">
        <v>55030</v>
      </c>
      <c r="T966" s="51">
        <v>10923400</v>
      </c>
      <c r="U966" s="53">
        <f t="shared" si="35"/>
        <v>7.3881820310670587E-2</v>
      </c>
      <c r="V966" s="59">
        <f>U966-('16. câmbio USD-BRL'!O413/'16. câmbio USD-BRL'!K413-1)</f>
        <v>8.7240058834471945E-2</v>
      </c>
    </row>
    <row r="967" spans="14:22" x14ac:dyDescent="0.2">
      <c r="N967" s="52">
        <v>40833</v>
      </c>
      <c r="O967" s="51">
        <v>55021</v>
      </c>
      <c r="P967" s="51">
        <v>55504</v>
      </c>
      <c r="Q967" s="51">
        <v>53188</v>
      </c>
      <c r="R967" s="51">
        <v>55255</v>
      </c>
      <c r="S967" s="51">
        <v>55255</v>
      </c>
      <c r="T967" s="51">
        <v>11771000</v>
      </c>
      <c r="U967" s="53">
        <f t="shared" si="35"/>
        <v>4.0886789024168202E-3</v>
      </c>
      <c r="V967" s="59">
        <f>U967-('16. câmbio USD-BRL'!O414/'16. câmbio USD-BRL'!K414-1)</f>
        <v>-2.8441511194075897E-2</v>
      </c>
    </row>
    <row r="968" spans="14:22" x14ac:dyDescent="0.2">
      <c r="N968" s="52">
        <v>40840</v>
      </c>
      <c r="O968" s="51">
        <v>55259</v>
      </c>
      <c r="P968" s="51">
        <v>59901</v>
      </c>
      <c r="Q968" s="51">
        <v>55259</v>
      </c>
      <c r="R968" s="51">
        <v>59513</v>
      </c>
      <c r="S968" s="51">
        <v>59513</v>
      </c>
      <c r="T968" s="51">
        <v>13145000</v>
      </c>
      <c r="U968" s="53">
        <f t="shared" si="35"/>
        <v>7.7060899466111721E-2</v>
      </c>
      <c r="V968" s="59">
        <f>U968-('16. câmbio USD-BRL'!O415/'16. câmbio USD-BRL'!K415-1)</f>
        <v>0.1114696231228155</v>
      </c>
    </row>
    <row r="969" spans="14:22" x14ac:dyDescent="0.2">
      <c r="N969" s="52">
        <v>40847</v>
      </c>
      <c r="O969" s="51">
        <v>59513</v>
      </c>
      <c r="P969" s="51">
        <v>59513</v>
      </c>
      <c r="Q969" s="51">
        <v>56099</v>
      </c>
      <c r="R969" s="51">
        <v>58670</v>
      </c>
      <c r="S969" s="51">
        <v>58670</v>
      </c>
      <c r="T969" s="51">
        <v>9478000</v>
      </c>
      <c r="U969" s="53">
        <f t="shared" si="35"/>
        <v>-1.4164972358980399E-2</v>
      </c>
      <c r="V969" s="59">
        <f>U969-('16. câmbio USD-BRL'!O416/'16. câmbio USD-BRL'!K416-1)</f>
        <v>-5.2545781954182913E-2</v>
      </c>
    </row>
    <row r="970" spans="14:22" x14ac:dyDescent="0.2">
      <c r="N970" s="52">
        <v>40854</v>
      </c>
      <c r="O970" s="51">
        <v>58670</v>
      </c>
      <c r="P970" s="51">
        <v>59616</v>
      </c>
      <c r="Q970" s="51">
        <v>57201</v>
      </c>
      <c r="R970" s="51">
        <v>58547</v>
      </c>
      <c r="S970" s="51">
        <v>58547</v>
      </c>
      <c r="T970" s="51">
        <v>10521800</v>
      </c>
      <c r="U970" s="53">
        <f t="shared" si="35"/>
        <v>-2.0964717913755093E-3</v>
      </c>
      <c r="V970" s="59">
        <f>U970-('16. câmbio USD-BRL'!O417/'16. câmbio USD-BRL'!K417-1)</f>
        <v>-9.1919169733393202E-3</v>
      </c>
    </row>
    <row r="971" spans="14:22" x14ac:dyDescent="0.2">
      <c r="N971" s="52">
        <v>40861</v>
      </c>
      <c r="O971" s="51">
        <v>58539</v>
      </c>
      <c r="P971" s="51">
        <v>58877</v>
      </c>
      <c r="Q971" s="51">
        <v>56418</v>
      </c>
      <c r="R971" s="51">
        <v>56731</v>
      </c>
      <c r="S971" s="51">
        <v>56731</v>
      </c>
      <c r="T971" s="51">
        <v>9846600</v>
      </c>
      <c r="U971" s="53">
        <f t="shared" si="35"/>
        <v>-3.1017814747126282E-2</v>
      </c>
      <c r="V971" s="59">
        <f>U971-('16. câmbio USD-BRL'!O418/'16. câmbio USD-BRL'!K418-1)</f>
        <v>-4.6615834777055998E-2</v>
      </c>
    </row>
    <row r="972" spans="14:22" x14ac:dyDescent="0.2">
      <c r="N972" s="52">
        <v>40868</v>
      </c>
      <c r="O972" s="51">
        <v>56722</v>
      </c>
      <c r="P972" s="51">
        <v>56722</v>
      </c>
      <c r="Q972" s="51">
        <v>54537</v>
      </c>
      <c r="R972" s="51">
        <v>54894</v>
      </c>
      <c r="S972" s="51">
        <v>54894</v>
      </c>
      <c r="T972" s="51">
        <v>11231000</v>
      </c>
      <c r="U972" s="53">
        <f t="shared" si="35"/>
        <v>-3.2380885230297363E-2</v>
      </c>
      <c r="V972" s="59">
        <f>U972-('16. câmbio USD-BRL'!O419/'16. câmbio USD-BRL'!K419-1)</f>
        <v>-8.5440963837821293E-2</v>
      </c>
    </row>
    <row r="973" spans="14:22" x14ac:dyDescent="0.2">
      <c r="N973" s="52">
        <v>40875</v>
      </c>
      <c r="O973" s="51">
        <v>54899</v>
      </c>
      <c r="P973" s="51">
        <v>58980</v>
      </c>
      <c r="Q973" s="51">
        <v>54899</v>
      </c>
      <c r="R973" s="51">
        <v>57886</v>
      </c>
      <c r="S973" s="51">
        <v>57886</v>
      </c>
      <c r="T973" s="51">
        <v>16268600</v>
      </c>
      <c r="U973" s="53">
        <f t="shared" si="35"/>
        <v>5.450504608882567E-2</v>
      </c>
      <c r="V973" s="59">
        <f>U973-('16. câmbio USD-BRL'!O420/'16. câmbio USD-BRL'!K420-1)</f>
        <v>0.10113991625310759</v>
      </c>
    </row>
    <row r="974" spans="14:22" x14ac:dyDescent="0.2">
      <c r="N974" s="52">
        <v>40882</v>
      </c>
      <c r="O974" s="51">
        <v>57894</v>
      </c>
      <c r="P974" s="51">
        <v>59576</v>
      </c>
      <c r="Q974" s="51">
        <v>57260</v>
      </c>
      <c r="R974" s="51">
        <v>58236</v>
      </c>
      <c r="S974" s="51">
        <v>58236</v>
      </c>
      <c r="T974" s="51">
        <v>11552200</v>
      </c>
      <c r="U974" s="53">
        <f t="shared" si="35"/>
        <v>6.0463669972012912E-3</v>
      </c>
      <c r="V974" s="59">
        <f>U974-('16. câmbio USD-BRL'!O421/'16. câmbio USD-BRL'!K421-1)</f>
        <v>-1.1196942822527811E-2</v>
      </c>
    </row>
    <row r="975" spans="14:22" x14ac:dyDescent="0.2">
      <c r="N975" s="52">
        <v>40889</v>
      </c>
      <c r="O975" s="51">
        <v>58235</v>
      </c>
      <c r="P975" s="51">
        <v>58235</v>
      </c>
      <c r="Q975" s="51">
        <v>56087</v>
      </c>
      <c r="R975" s="51">
        <v>56097</v>
      </c>
      <c r="S975" s="51">
        <v>56097</v>
      </c>
      <c r="T975" s="51">
        <v>14589600</v>
      </c>
      <c r="U975" s="53">
        <f t="shared" si="35"/>
        <v>-3.6729857819905232E-2</v>
      </c>
      <c r="V975" s="59">
        <f>U975-('16. câmbio USD-BRL'!O422/'16. câmbio USD-BRL'!K422-1)</f>
        <v>-6.8536685463535529E-2</v>
      </c>
    </row>
    <row r="976" spans="14:22" x14ac:dyDescent="0.2">
      <c r="N976" s="52">
        <v>40896</v>
      </c>
      <c r="O976" s="51">
        <v>56100</v>
      </c>
      <c r="P976" s="51">
        <v>57792</v>
      </c>
      <c r="Q976" s="51">
        <v>55298</v>
      </c>
      <c r="R976" s="51">
        <v>57701</v>
      </c>
      <c r="S976" s="51">
        <v>57701</v>
      </c>
      <c r="T976" s="51">
        <v>12387000</v>
      </c>
      <c r="U976" s="53">
        <f t="shared" si="35"/>
        <v>2.8593329411555013E-2</v>
      </c>
      <c r="V976" s="59">
        <f>U976-('16. câmbio USD-BRL'!O423/'16. câmbio USD-BRL'!K423-1)</f>
        <v>2.7511663646276441E-2</v>
      </c>
    </row>
    <row r="977" spans="14:22" x14ac:dyDescent="0.2">
      <c r="N977" s="52">
        <v>40903</v>
      </c>
      <c r="O977" s="51">
        <v>57702</v>
      </c>
      <c r="P977" s="51">
        <v>58111</v>
      </c>
      <c r="Q977" s="51">
        <v>56313</v>
      </c>
      <c r="R977" s="51">
        <v>56754</v>
      </c>
      <c r="S977" s="51">
        <v>56754</v>
      </c>
      <c r="T977" s="51">
        <v>6007800</v>
      </c>
      <c r="U977" s="53">
        <f t="shared" si="35"/>
        <v>-1.6412193896119698E-2</v>
      </c>
      <c r="V977" s="59">
        <f>U977-('16. câmbio USD-BRL'!O424/'16. câmbio USD-BRL'!K424-1)</f>
        <v>-2.0557550558299997E-2</v>
      </c>
    </row>
    <row r="978" spans="14:22" x14ac:dyDescent="0.2">
      <c r="N978" s="52">
        <v>40910</v>
      </c>
      <c r="O978" s="51">
        <v>57836</v>
      </c>
      <c r="P978" s="51">
        <v>59519</v>
      </c>
      <c r="Q978" s="51">
        <v>57836</v>
      </c>
      <c r="R978" s="51">
        <v>58600</v>
      </c>
      <c r="S978" s="51">
        <v>58600</v>
      </c>
      <c r="T978" s="51">
        <v>9345400</v>
      </c>
      <c r="U978" s="53">
        <f t="shared" si="35"/>
        <v>3.252634175564717E-2</v>
      </c>
      <c r="V978" s="59">
        <f>U978-('16. câmbio USD-BRL'!O425/'16. câmbio USD-BRL'!K425-1)</f>
        <v>3.9139600533000918E-2</v>
      </c>
    </row>
    <row r="979" spans="14:22" x14ac:dyDescent="0.2">
      <c r="N979" s="52">
        <v>40917</v>
      </c>
      <c r="O979" s="51">
        <v>58601</v>
      </c>
      <c r="P979" s="51">
        <v>60504</v>
      </c>
      <c r="Q979" s="51">
        <v>58599</v>
      </c>
      <c r="R979" s="51">
        <v>59147</v>
      </c>
      <c r="S979" s="51">
        <v>59147</v>
      </c>
      <c r="T979" s="51">
        <v>14948800</v>
      </c>
      <c r="U979" s="53">
        <f t="shared" si="35"/>
        <v>9.3344709897611455E-3</v>
      </c>
      <c r="V979" s="59">
        <f>U979-('16. câmbio USD-BRL'!O426/'16. câmbio USD-BRL'!K426-1)</f>
        <v>4.383953892161363E-2</v>
      </c>
    </row>
    <row r="980" spans="14:22" x14ac:dyDescent="0.2">
      <c r="N980" s="52">
        <v>40924</v>
      </c>
      <c r="O980" s="51">
        <v>59146</v>
      </c>
      <c r="P980" s="51">
        <v>62312</v>
      </c>
      <c r="Q980" s="51">
        <v>59146</v>
      </c>
      <c r="R980" s="51">
        <v>62312</v>
      </c>
      <c r="S980" s="51">
        <v>62312</v>
      </c>
      <c r="T980" s="51">
        <v>12076800</v>
      </c>
      <c r="U980" s="53">
        <f t="shared" si="35"/>
        <v>5.3510744416453981E-2</v>
      </c>
      <c r="V980" s="59">
        <f>U980-('16. câmbio USD-BRL'!O427/'16. câmbio USD-BRL'!K427-1)</f>
        <v>6.5689440117430498E-2</v>
      </c>
    </row>
    <row r="981" spans="14:22" x14ac:dyDescent="0.2">
      <c r="N981" s="52">
        <v>40931</v>
      </c>
      <c r="O981" s="51">
        <v>62312</v>
      </c>
      <c r="P981" s="51">
        <v>63805</v>
      </c>
      <c r="Q981" s="51">
        <v>61667</v>
      </c>
      <c r="R981" s="51">
        <v>62904</v>
      </c>
      <c r="S981" s="51">
        <v>62904</v>
      </c>
      <c r="T981" s="51">
        <v>10499200</v>
      </c>
      <c r="U981" s="53">
        <f t="shared" si="35"/>
        <v>9.5005777378354139E-3</v>
      </c>
      <c r="V981" s="59">
        <f>U981-('16. câmbio USD-BRL'!O428/'16. câmbio USD-BRL'!K428-1)</f>
        <v>2.652450172403531E-2</v>
      </c>
    </row>
    <row r="982" spans="14:22" x14ac:dyDescent="0.2">
      <c r="N982" s="52">
        <v>40938</v>
      </c>
      <c r="O982" s="51">
        <v>62902</v>
      </c>
      <c r="P982" s="51">
        <v>65619</v>
      </c>
      <c r="Q982" s="51">
        <v>61989</v>
      </c>
      <c r="R982" s="51">
        <v>65217</v>
      </c>
      <c r="S982" s="51">
        <v>65217</v>
      </c>
      <c r="T982" s="51">
        <v>15706800</v>
      </c>
      <c r="U982" s="53">
        <f t="shared" si="35"/>
        <v>3.6770316673025549E-2</v>
      </c>
      <c r="V982" s="59">
        <f>U982-('16. câmbio USD-BRL'!O429/'16. câmbio USD-BRL'!K429-1)</f>
        <v>5.1475354297242815E-2</v>
      </c>
    </row>
    <row r="983" spans="14:22" x14ac:dyDescent="0.2">
      <c r="N983" s="52">
        <v>40945</v>
      </c>
      <c r="O983" s="51">
        <v>65217</v>
      </c>
      <c r="P983" s="51">
        <v>66383</v>
      </c>
      <c r="Q983" s="51">
        <v>63880</v>
      </c>
      <c r="R983" s="51">
        <v>63998</v>
      </c>
      <c r="S983" s="51">
        <v>63998</v>
      </c>
      <c r="T983" s="51">
        <v>13718400</v>
      </c>
      <c r="U983" s="53">
        <f t="shared" si="35"/>
        <v>-1.8691445482006186E-2</v>
      </c>
      <c r="V983" s="59">
        <f>U983-('16. câmbio USD-BRL'!O430/'16. câmbio USD-BRL'!K430-1)</f>
        <v>-2.0498288170121892E-2</v>
      </c>
    </row>
    <row r="984" spans="14:22" x14ac:dyDescent="0.2">
      <c r="N984" s="52">
        <v>40952</v>
      </c>
      <c r="O984" s="51">
        <v>63999</v>
      </c>
      <c r="P984" s="51">
        <v>66562</v>
      </c>
      <c r="Q984" s="51">
        <v>63999</v>
      </c>
      <c r="R984" s="51">
        <v>66204</v>
      </c>
      <c r="S984" s="51">
        <v>66204</v>
      </c>
      <c r="T984" s="51">
        <v>14603800</v>
      </c>
      <c r="U984" s="53">
        <f t="shared" si="35"/>
        <v>3.4469827182099344E-2</v>
      </c>
      <c r="V984" s="59">
        <f>U984-('16. câmbio USD-BRL'!O431/'16. câmbio USD-BRL'!K431-1)</f>
        <v>4.414537758766135E-2</v>
      </c>
    </row>
    <row r="985" spans="14:22" x14ac:dyDescent="0.2">
      <c r="N985" s="52">
        <v>40959</v>
      </c>
      <c r="O985" s="51">
        <v>66205</v>
      </c>
      <c r="P985" s="51">
        <v>66335</v>
      </c>
      <c r="Q985" s="51">
        <v>65590</v>
      </c>
      <c r="R985" s="51">
        <v>65943</v>
      </c>
      <c r="S985" s="51">
        <v>65943</v>
      </c>
      <c r="T985" s="51">
        <v>6234000</v>
      </c>
      <c r="U985" s="53">
        <f t="shared" si="35"/>
        <v>-3.9423599782490992E-3</v>
      </c>
      <c r="V985" s="59">
        <f>U985-('16. câmbio USD-BRL'!O432/'16. câmbio USD-BRL'!K432-1)</f>
        <v>-2.643869500511542E-4</v>
      </c>
    </row>
    <row r="986" spans="14:22" x14ac:dyDescent="0.2">
      <c r="N986" s="52">
        <v>40966</v>
      </c>
      <c r="O986" s="51">
        <v>65938</v>
      </c>
      <c r="P986" s="51">
        <v>67791</v>
      </c>
      <c r="Q986" s="51">
        <v>65068</v>
      </c>
      <c r="R986" s="51">
        <v>67782</v>
      </c>
      <c r="S986" s="51">
        <v>67782</v>
      </c>
      <c r="T986" s="51">
        <v>13174200</v>
      </c>
      <c r="U986" s="53">
        <f t="shared" si="35"/>
        <v>2.7887721213775585E-2</v>
      </c>
      <c r="V986" s="59">
        <f>U986-('16. câmbio USD-BRL'!O433/'16. câmbio USD-BRL'!K433-1)</f>
        <v>1.5772539193408042E-2</v>
      </c>
    </row>
    <row r="987" spans="14:22" x14ac:dyDescent="0.2">
      <c r="N987" s="52">
        <v>40973</v>
      </c>
      <c r="O987" s="51">
        <v>67782</v>
      </c>
      <c r="P987" s="51">
        <v>67782</v>
      </c>
      <c r="Q987" s="51">
        <v>64892</v>
      </c>
      <c r="R987" s="51">
        <v>66704</v>
      </c>
      <c r="S987" s="51">
        <v>66704</v>
      </c>
      <c r="T987" s="51">
        <v>12886200</v>
      </c>
      <c r="U987" s="53">
        <f t="shared" si="35"/>
        <v>-1.5903927296332387E-2</v>
      </c>
      <c r="V987" s="59">
        <f>U987-('16. câmbio USD-BRL'!O434/'16. câmbio USD-BRL'!K434-1)</f>
        <v>-5.0245142535969345E-2</v>
      </c>
    </row>
    <row r="988" spans="14:22" x14ac:dyDescent="0.2">
      <c r="N988" s="52">
        <v>40980</v>
      </c>
      <c r="O988" s="51">
        <v>66687</v>
      </c>
      <c r="P988" s="51">
        <v>68970</v>
      </c>
      <c r="Q988" s="51">
        <v>65965</v>
      </c>
      <c r="R988" s="51">
        <v>67684</v>
      </c>
      <c r="S988" s="51">
        <v>67684</v>
      </c>
      <c r="T988" s="51">
        <v>12751600</v>
      </c>
      <c r="U988" s="53">
        <f t="shared" si="35"/>
        <v>1.4691772607339892E-2</v>
      </c>
      <c r="V988" s="59">
        <f>U988-('16. câmbio USD-BRL'!O435/'16. câmbio USD-BRL'!K435-1)</f>
        <v>1.0670100261922943E-2</v>
      </c>
    </row>
    <row r="989" spans="14:22" x14ac:dyDescent="0.2">
      <c r="N989" s="52">
        <v>40987</v>
      </c>
      <c r="O989" s="51">
        <v>67685</v>
      </c>
      <c r="P989" s="51">
        <v>68159</v>
      </c>
      <c r="Q989" s="51">
        <v>65534</v>
      </c>
      <c r="R989" s="51">
        <v>65813</v>
      </c>
      <c r="S989" s="51">
        <v>65813</v>
      </c>
      <c r="T989" s="51">
        <v>11397000</v>
      </c>
      <c r="U989" s="53">
        <f t="shared" si="35"/>
        <v>-2.764316529755928E-2</v>
      </c>
      <c r="V989" s="59">
        <f>U989-('16. câmbio USD-BRL'!O436/'16. câmbio USD-BRL'!K436-1)</f>
        <v>-3.342479749680316E-2</v>
      </c>
    </row>
    <row r="990" spans="14:22" x14ac:dyDescent="0.2">
      <c r="N990" s="52">
        <v>40994</v>
      </c>
      <c r="O990" s="51">
        <v>65818</v>
      </c>
      <c r="P990" s="51">
        <v>66968</v>
      </c>
      <c r="Q990" s="51">
        <v>64096</v>
      </c>
      <c r="R990" s="51">
        <v>64511</v>
      </c>
      <c r="S990" s="51">
        <v>64511</v>
      </c>
      <c r="T990" s="51">
        <v>13668200</v>
      </c>
      <c r="U990" s="53">
        <f t="shared" si="35"/>
        <v>-1.9783325482807368E-2</v>
      </c>
      <c r="V990" s="59">
        <f>U990-('16. câmbio USD-BRL'!O437/'16. câmbio USD-BRL'!K437-1)</f>
        <v>-2.8129094564772861E-2</v>
      </c>
    </row>
    <row r="991" spans="14:22" x14ac:dyDescent="0.2">
      <c r="N991" s="52">
        <v>41001</v>
      </c>
      <c r="O991" s="51">
        <v>64515</v>
      </c>
      <c r="P991" s="51">
        <v>65593</v>
      </c>
      <c r="Q991" s="51">
        <v>63384</v>
      </c>
      <c r="R991" s="51">
        <v>63691</v>
      </c>
      <c r="S991" s="51">
        <v>63691</v>
      </c>
      <c r="T991" s="51">
        <v>10774600</v>
      </c>
      <c r="U991" s="53">
        <f t="shared" si="35"/>
        <v>-1.2711010525336741E-2</v>
      </c>
      <c r="V991" s="59">
        <f>U991-('16. câmbio USD-BRL'!O438/'16. câmbio USD-BRL'!K438-1)</f>
        <v>-8.4386766260103885E-3</v>
      </c>
    </row>
    <row r="992" spans="14:22" x14ac:dyDescent="0.2">
      <c r="N992" s="52">
        <v>41008</v>
      </c>
      <c r="O992" s="51">
        <v>63690</v>
      </c>
      <c r="P992" s="51">
        <v>63690</v>
      </c>
      <c r="Q992" s="51">
        <v>61291</v>
      </c>
      <c r="R992" s="51">
        <v>62106</v>
      </c>
      <c r="S992" s="51">
        <v>62106</v>
      </c>
      <c r="T992" s="51">
        <v>13910200</v>
      </c>
      <c r="U992" s="53">
        <f t="shared" si="35"/>
        <v>-2.4885776640341639E-2</v>
      </c>
      <c r="V992" s="59">
        <f>U992-('16. câmbio USD-BRL'!O439/'16. câmbio USD-BRL'!K439-1)</f>
        <v>-3.3448266348887534E-2</v>
      </c>
    </row>
    <row r="993" spans="14:22" x14ac:dyDescent="0.2">
      <c r="N993" s="52">
        <v>41015</v>
      </c>
      <c r="O993" s="51">
        <v>62120</v>
      </c>
      <c r="P993" s="51">
        <v>63369</v>
      </c>
      <c r="Q993" s="51">
        <v>61465</v>
      </c>
      <c r="R993" s="51">
        <v>62494</v>
      </c>
      <c r="S993" s="51">
        <v>62494</v>
      </c>
      <c r="T993" s="51">
        <v>13718400</v>
      </c>
      <c r="U993" s="53">
        <f t="shared" si="35"/>
        <v>6.2473835056193749E-3</v>
      </c>
      <c r="V993" s="59">
        <f>U993-('16. câmbio USD-BRL'!O440/'16. câmbio USD-BRL'!K440-1)</f>
        <v>-1.171277759158329E-2</v>
      </c>
    </row>
    <row r="994" spans="14:22" x14ac:dyDescent="0.2">
      <c r="N994" s="52">
        <v>41022</v>
      </c>
      <c r="O994" s="51">
        <v>62494</v>
      </c>
      <c r="P994" s="51">
        <v>62494</v>
      </c>
      <c r="Q994" s="51">
        <v>60897</v>
      </c>
      <c r="R994" s="51">
        <v>61691</v>
      </c>
      <c r="S994" s="51">
        <v>61691</v>
      </c>
      <c r="T994" s="51">
        <v>13895200</v>
      </c>
      <c r="U994" s="53">
        <f t="shared" si="35"/>
        <v>-1.2849233526418535E-2</v>
      </c>
      <c r="V994" s="59">
        <f>U994-('16. câmbio USD-BRL'!O441/'16. câmbio USD-BRL'!K441-1)</f>
        <v>-1.9847470611733087E-2</v>
      </c>
    </row>
    <row r="995" spans="14:22" x14ac:dyDescent="0.2">
      <c r="N995" s="52">
        <v>41029</v>
      </c>
      <c r="O995" s="51">
        <v>61691</v>
      </c>
      <c r="P995" s="51">
        <v>62783</v>
      </c>
      <c r="Q995" s="51">
        <v>60438</v>
      </c>
      <c r="R995" s="51">
        <v>60821</v>
      </c>
      <c r="S995" s="51">
        <v>60821</v>
      </c>
      <c r="T995" s="51">
        <v>12916400</v>
      </c>
      <c r="U995" s="53">
        <f t="shared" si="35"/>
        <v>-1.4102543320743677E-2</v>
      </c>
      <c r="V995" s="59">
        <f>U995-('16. câmbio USD-BRL'!O442/'16. câmbio USD-BRL'!K442-1)</f>
        <v>-1.9297623897503668E-2</v>
      </c>
    </row>
    <row r="996" spans="14:22" x14ac:dyDescent="0.2">
      <c r="N996" s="52">
        <v>41036</v>
      </c>
      <c r="O996" s="51">
        <v>60802</v>
      </c>
      <c r="P996" s="51">
        <v>61299</v>
      </c>
      <c r="Q996" s="51">
        <v>59138</v>
      </c>
      <c r="R996" s="51">
        <v>59445</v>
      </c>
      <c r="S996" s="51">
        <v>59445</v>
      </c>
      <c r="T996" s="51">
        <v>14957000</v>
      </c>
      <c r="U996" s="53">
        <f t="shared" si="35"/>
        <v>-2.2623764818072711E-2</v>
      </c>
      <c r="V996" s="59">
        <f>U996-('16. câmbio USD-BRL'!O443/'16. câmbio USD-BRL'!K443-1)</f>
        <v>-4.0320583542448718E-2</v>
      </c>
    </row>
    <row r="997" spans="14:22" x14ac:dyDescent="0.2">
      <c r="N997" s="52">
        <v>41043</v>
      </c>
      <c r="O997" s="51">
        <v>59443</v>
      </c>
      <c r="P997" s="51">
        <v>59443</v>
      </c>
      <c r="Q997" s="51">
        <v>53856</v>
      </c>
      <c r="R997" s="51">
        <v>54513</v>
      </c>
      <c r="S997" s="51">
        <v>54513</v>
      </c>
      <c r="T997" s="51">
        <v>19580200</v>
      </c>
      <c r="U997" s="53">
        <f t="shared" si="35"/>
        <v>-8.2967448902346752E-2</v>
      </c>
      <c r="V997" s="59">
        <f>U997-('16. câmbio USD-BRL'!O444/'16. câmbio USD-BRL'!K444-1)</f>
        <v>-0.11217567198396694</v>
      </c>
    </row>
    <row r="998" spans="14:22" x14ac:dyDescent="0.2">
      <c r="N998" s="52">
        <v>41050</v>
      </c>
      <c r="O998" s="51">
        <v>54516</v>
      </c>
      <c r="P998" s="51">
        <v>56678</v>
      </c>
      <c r="Q998" s="51">
        <v>53028</v>
      </c>
      <c r="R998" s="51">
        <v>54463</v>
      </c>
      <c r="S998" s="51">
        <v>54463</v>
      </c>
      <c r="T998" s="51">
        <v>18572600</v>
      </c>
      <c r="U998" s="53">
        <f t="shared" si="35"/>
        <v>-9.1721240804942816E-4</v>
      </c>
      <c r="V998" s="59">
        <f>U998-('16. câmbio USD-BRL'!O445/'16. câmbio USD-BRL'!K445-1)</f>
        <v>1.8910714807140572E-2</v>
      </c>
    </row>
    <row r="999" spans="14:22" x14ac:dyDescent="0.2">
      <c r="N999" s="52">
        <v>41057</v>
      </c>
      <c r="O999" s="51">
        <v>54467</v>
      </c>
      <c r="P999" s="51">
        <v>55763</v>
      </c>
      <c r="Q999" s="51">
        <v>53087</v>
      </c>
      <c r="R999" s="51">
        <v>53403</v>
      </c>
      <c r="S999" s="51">
        <v>53403</v>
      </c>
      <c r="T999" s="51">
        <v>16016000</v>
      </c>
      <c r="U999" s="53">
        <f t="shared" si="35"/>
        <v>-1.9462754530598758E-2</v>
      </c>
      <c r="V999" s="59">
        <f>U999-('16. câmbio USD-BRL'!O446/'16. câmbio USD-BRL'!K446-1)</f>
        <v>-4.6267813229646571E-2</v>
      </c>
    </row>
    <row r="1000" spans="14:22" x14ac:dyDescent="0.2">
      <c r="N1000" s="52">
        <v>41064</v>
      </c>
      <c r="O1000" s="51">
        <v>53408</v>
      </c>
      <c r="P1000" s="51">
        <v>54432</v>
      </c>
      <c r="Q1000" s="51">
        <v>52481</v>
      </c>
      <c r="R1000" s="51">
        <v>54430</v>
      </c>
      <c r="S1000" s="51">
        <v>54430</v>
      </c>
      <c r="T1000" s="51">
        <v>11059600</v>
      </c>
      <c r="U1000" s="53">
        <f t="shared" si="35"/>
        <v>1.9231129337303088E-2</v>
      </c>
      <c r="V1000" s="59">
        <f>U1000-('16. câmbio USD-BRL'!O447/'16. câmbio USD-BRL'!K447-1)</f>
        <v>3.674142951387771E-2</v>
      </c>
    </row>
    <row r="1001" spans="14:22" x14ac:dyDescent="0.2">
      <c r="N1001" s="52">
        <v>41071</v>
      </c>
      <c r="O1001" s="51">
        <v>54434</v>
      </c>
      <c r="P1001" s="51">
        <v>56105</v>
      </c>
      <c r="Q1001" s="51">
        <v>53905</v>
      </c>
      <c r="R1001" s="51">
        <v>56105</v>
      </c>
      <c r="S1001" s="51">
        <v>56105</v>
      </c>
      <c r="T1001" s="51">
        <v>18019000</v>
      </c>
      <c r="U1001" s="53">
        <f t="shared" si="35"/>
        <v>3.0773470512585055E-2</v>
      </c>
      <c r="V1001" s="59">
        <f>U1001-('16. câmbio USD-BRL'!O448/'16. câmbio USD-BRL'!K448-1)</f>
        <v>2.0288801867678785E-2</v>
      </c>
    </row>
    <row r="1002" spans="14:22" x14ac:dyDescent="0.2">
      <c r="N1002" s="52">
        <v>41078</v>
      </c>
      <c r="O1002" s="51">
        <v>56066</v>
      </c>
      <c r="P1002" s="51">
        <v>57611</v>
      </c>
      <c r="Q1002" s="51">
        <v>55083</v>
      </c>
      <c r="R1002" s="51">
        <v>55440</v>
      </c>
      <c r="S1002" s="51">
        <v>55440</v>
      </c>
      <c r="T1002" s="51">
        <v>14900000</v>
      </c>
      <c r="U1002" s="53">
        <f t="shared" si="35"/>
        <v>-1.1852776044915747E-2</v>
      </c>
      <c r="V1002" s="59">
        <f>U1002-('16. câmbio USD-BRL'!O449/'16. câmbio USD-BRL'!K449-1)</f>
        <v>-2.0153152003121177E-2</v>
      </c>
    </row>
    <row r="1003" spans="14:22" x14ac:dyDescent="0.2">
      <c r="N1003" s="52">
        <v>41085</v>
      </c>
      <c r="O1003" s="51">
        <v>55406</v>
      </c>
      <c r="P1003" s="51">
        <v>55406</v>
      </c>
      <c r="Q1003" s="51">
        <v>52271</v>
      </c>
      <c r="R1003" s="51">
        <v>54355</v>
      </c>
      <c r="S1003" s="51">
        <v>54355</v>
      </c>
      <c r="T1003" s="51">
        <v>15969200</v>
      </c>
      <c r="U1003" s="53">
        <f t="shared" si="35"/>
        <v>-1.9570707070707072E-2</v>
      </c>
      <c r="V1003" s="59">
        <f>U1003-('16. câmbio USD-BRL'!O450/'16. câmbio USD-BRL'!K450-1)</f>
        <v>7.7284216805030281E-3</v>
      </c>
    </row>
    <row r="1004" spans="14:22" x14ac:dyDescent="0.2">
      <c r="N1004" s="52">
        <v>41092</v>
      </c>
      <c r="O1004" s="51">
        <v>54355</v>
      </c>
      <c r="P1004" s="51">
        <v>56943</v>
      </c>
      <c r="Q1004" s="51">
        <v>53961</v>
      </c>
      <c r="R1004" s="51">
        <v>55394</v>
      </c>
      <c r="S1004" s="51">
        <v>55394</v>
      </c>
      <c r="T1004" s="51">
        <v>14487400</v>
      </c>
      <c r="U1004" s="53">
        <f t="shared" si="35"/>
        <v>1.9115076809861131E-2</v>
      </c>
      <c r="V1004" s="59">
        <f>U1004-('16. câmbio USD-BRL'!O451/'16. câmbio USD-BRL'!K451-1)</f>
        <v>1.6725709494414875E-2</v>
      </c>
    </row>
    <row r="1005" spans="14:22" x14ac:dyDescent="0.2">
      <c r="N1005" s="52">
        <v>41099</v>
      </c>
      <c r="O1005" s="51">
        <v>55392</v>
      </c>
      <c r="P1005" s="51">
        <v>55588</v>
      </c>
      <c r="Q1005" s="51">
        <v>52489</v>
      </c>
      <c r="R1005" s="51">
        <v>54331</v>
      </c>
      <c r="S1005" s="51">
        <v>54331</v>
      </c>
      <c r="T1005" s="51">
        <v>12270600</v>
      </c>
      <c r="U1005" s="53">
        <f t="shared" si="35"/>
        <v>-1.9189803949886231E-2</v>
      </c>
      <c r="V1005" s="59">
        <f>U1005-('16. câmbio USD-BRL'!O452/'16. câmbio USD-BRL'!K452-1)</f>
        <v>-2.2938262642857921E-2</v>
      </c>
    </row>
    <row r="1006" spans="14:22" x14ac:dyDescent="0.2">
      <c r="N1006" s="52">
        <v>41106</v>
      </c>
      <c r="O1006" s="51">
        <v>54316</v>
      </c>
      <c r="P1006" s="51">
        <v>55491</v>
      </c>
      <c r="Q1006" s="51">
        <v>53119</v>
      </c>
      <c r="R1006" s="51">
        <v>54195</v>
      </c>
      <c r="S1006" s="51">
        <v>54195</v>
      </c>
      <c r="T1006" s="51">
        <v>13381600</v>
      </c>
      <c r="U1006" s="53">
        <f t="shared" si="35"/>
        <v>-2.5031749829746985E-3</v>
      </c>
      <c r="V1006" s="59">
        <f>U1006-('16. câmbio USD-BRL'!O453/'16. câmbio USD-BRL'!K453-1)</f>
        <v>4.125194438147739E-3</v>
      </c>
    </row>
    <row r="1007" spans="14:22" x14ac:dyDescent="0.2">
      <c r="N1007" s="52">
        <v>41113</v>
      </c>
      <c r="O1007" s="51">
        <v>54183</v>
      </c>
      <c r="P1007" s="51">
        <v>57046</v>
      </c>
      <c r="Q1007" s="51">
        <v>52213</v>
      </c>
      <c r="R1007" s="51">
        <v>56553</v>
      </c>
      <c r="S1007" s="51">
        <v>56553</v>
      </c>
      <c r="T1007" s="51">
        <v>15478400</v>
      </c>
      <c r="U1007" s="53">
        <f t="shared" si="35"/>
        <v>4.350954885137015E-2</v>
      </c>
      <c r="V1007" s="59">
        <f>U1007-('16. câmbio USD-BRL'!O454/'16. câmbio USD-BRL'!K454-1)</f>
        <v>4.5239909260723854E-2</v>
      </c>
    </row>
    <row r="1008" spans="14:22" x14ac:dyDescent="0.2">
      <c r="N1008" s="52">
        <v>41120</v>
      </c>
      <c r="O1008" s="51">
        <v>56551</v>
      </c>
      <c r="P1008" s="51">
        <v>57466</v>
      </c>
      <c r="Q1008" s="51">
        <v>55239</v>
      </c>
      <c r="R1008" s="51">
        <v>57255</v>
      </c>
      <c r="S1008" s="51">
        <v>57255</v>
      </c>
      <c r="T1008" s="51">
        <v>10671200</v>
      </c>
      <c r="U1008" s="53">
        <f t="shared" si="35"/>
        <v>1.2413134581719776E-2</v>
      </c>
      <c r="V1008" s="59">
        <f>U1008-('16. câmbio USD-BRL'!O455/'16. câmbio USD-BRL'!K455-1)</f>
        <v>9.889756223400159E-3</v>
      </c>
    </row>
    <row r="1009" spans="14:22" x14ac:dyDescent="0.2">
      <c r="N1009" s="52">
        <v>41127</v>
      </c>
      <c r="O1009" s="51">
        <v>57255</v>
      </c>
      <c r="P1009" s="51">
        <v>59365</v>
      </c>
      <c r="Q1009" s="51">
        <v>56893</v>
      </c>
      <c r="R1009" s="51">
        <v>59281</v>
      </c>
      <c r="S1009" s="51">
        <v>59281</v>
      </c>
      <c r="T1009" s="51">
        <v>16236800</v>
      </c>
      <c r="U1009" s="53">
        <f t="shared" si="35"/>
        <v>3.5385555846650929E-2</v>
      </c>
      <c r="V1009" s="59">
        <f>U1009-('16. câmbio USD-BRL'!O456/'16. câmbio USD-BRL'!K456-1)</f>
        <v>4.1749640701115753E-2</v>
      </c>
    </row>
    <row r="1010" spans="14:22" x14ac:dyDescent="0.2">
      <c r="N1010" s="52">
        <v>41134</v>
      </c>
      <c r="O1010" s="51">
        <v>59281</v>
      </c>
      <c r="P1010" s="51">
        <v>59822</v>
      </c>
      <c r="Q1010" s="51">
        <v>57630</v>
      </c>
      <c r="R1010" s="51">
        <v>59082</v>
      </c>
      <c r="S1010" s="51">
        <v>59082</v>
      </c>
      <c r="T1010" s="51">
        <v>17082400</v>
      </c>
      <c r="U1010" s="53">
        <f t="shared" si="35"/>
        <v>-3.356893439719344E-3</v>
      </c>
      <c r="V1010" s="59">
        <f>U1010-('16. câmbio USD-BRL'!O457/'16. câmbio USD-BRL'!K457-1)</f>
        <v>-2.7610050694740762E-3</v>
      </c>
    </row>
    <row r="1011" spans="14:22" x14ac:dyDescent="0.2">
      <c r="N1011" s="52">
        <v>41141</v>
      </c>
      <c r="O1011" s="51">
        <v>59083</v>
      </c>
      <c r="P1011" s="51">
        <v>60209</v>
      </c>
      <c r="Q1011" s="51">
        <v>57833</v>
      </c>
      <c r="R1011" s="51">
        <v>58426</v>
      </c>
      <c r="S1011" s="51">
        <v>58426</v>
      </c>
      <c r="T1011" s="51">
        <v>17191000</v>
      </c>
      <c r="U1011" s="53">
        <f t="shared" si="35"/>
        <v>-1.1103212484343761E-2</v>
      </c>
      <c r="V1011" s="59">
        <f>U1011-('16. câmbio USD-BRL'!O458/'16. câmbio USD-BRL'!K458-1)</f>
        <v>-1.5372261876252402E-2</v>
      </c>
    </row>
    <row r="1012" spans="14:22" x14ac:dyDescent="0.2">
      <c r="N1012" s="52">
        <v>41148</v>
      </c>
      <c r="O1012" s="51">
        <v>58424</v>
      </c>
      <c r="P1012" s="51">
        <v>58745</v>
      </c>
      <c r="Q1012" s="51">
        <v>56719</v>
      </c>
      <c r="R1012" s="51">
        <v>57061</v>
      </c>
      <c r="S1012" s="51">
        <v>57061</v>
      </c>
      <c r="T1012" s="51">
        <v>18058400</v>
      </c>
      <c r="U1012" s="53">
        <f t="shared" si="35"/>
        <v>-2.3362886386197879E-2</v>
      </c>
      <c r="V1012" s="59">
        <f>U1012-('16. câmbio USD-BRL'!O459/'16. câmbio USD-BRL'!K459-1)</f>
        <v>-2.5636624708574418E-2</v>
      </c>
    </row>
    <row r="1013" spans="14:22" x14ac:dyDescent="0.2">
      <c r="N1013" s="52">
        <v>41155</v>
      </c>
      <c r="O1013" s="51">
        <v>57065</v>
      </c>
      <c r="P1013" s="51">
        <v>58328</v>
      </c>
      <c r="Q1013" s="51">
        <v>56203</v>
      </c>
      <c r="R1013" s="51">
        <v>58321</v>
      </c>
      <c r="S1013" s="51">
        <v>58321</v>
      </c>
      <c r="T1013" s="51">
        <v>12486600</v>
      </c>
      <c r="U1013" s="53">
        <f t="shared" si="35"/>
        <v>2.2081631937750812E-2</v>
      </c>
      <c r="V1013" s="59">
        <f>U1013-('16. câmbio USD-BRL'!O460/'16. câmbio USD-BRL'!K460-1)</f>
        <v>2.3265238980212599E-2</v>
      </c>
    </row>
    <row r="1014" spans="14:22" x14ac:dyDescent="0.2">
      <c r="N1014" s="52">
        <v>41162</v>
      </c>
      <c r="O1014" s="51">
        <v>58325</v>
      </c>
      <c r="P1014" s="51">
        <v>63428</v>
      </c>
      <c r="Q1014" s="51">
        <v>58325</v>
      </c>
      <c r="R1014" s="51">
        <v>62105</v>
      </c>
      <c r="S1014" s="51">
        <v>62105</v>
      </c>
      <c r="T1014" s="51">
        <v>24009000</v>
      </c>
      <c r="U1014" s="53">
        <f t="shared" si="35"/>
        <v>6.4882289398329851E-2</v>
      </c>
      <c r="V1014" s="59">
        <f>U1014-('16. câmbio USD-BRL'!O461/'16. câmbio USD-BRL'!K461-1)</f>
        <v>7.2782353586351434E-2</v>
      </c>
    </row>
    <row r="1015" spans="14:22" x14ac:dyDescent="0.2">
      <c r="N1015" s="52">
        <v>41169</v>
      </c>
      <c r="O1015" s="51">
        <v>62106</v>
      </c>
      <c r="P1015" s="51">
        <v>62692</v>
      </c>
      <c r="Q1015" s="51">
        <v>60961</v>
      </c>
      <c r="R1015" s="51">
        <v>61320</v>
      </c>
      <c r="S1015" s="51">
        <v>61320</v>
      </c>
      <c r="T1015" s="51">
        <v>16404600</v>
      </c>
      <c r="U1015" s="53">
        <f t="shared" si="35"/>
        <v>-1.2639884067305318E-2</v>
      </c>
      <c r="V1015" s="59">
        <f>U1015-('16. câmbio USD-BRL'!O462/'16. câmbio USD-BRL'!K462-1)</f>
        <v>-1.7367898798803849E-2</v>
      </c>
    </row>
    <row r="1016" spans="14:22" x14ac:dyDescent="0.2">
      <c r="N1016" s="52">
        <v>41176</v>
      </c>
      <c r="O1016" s="51">
        <v>61319</v>
      </c>
      <c r="P1016" s="51">
        <v>61947</v>
      </c>
      <c r="Q1016" s="51">
        <v>58864</v>
      </c>
      <c r="R1016" s="51">
        <v>59176</v>
      </c>
      <c r="S1016" s="51">
        <v>59176</v>
      </c>
      <c r="T1016" s="51">
        <v>17843800</v>
      </c>
      <c r="U1016" s="53">
        <f t="shared" si="35"/>
        <v>-3.4964122635355532E-2</v>
      </c>
      <c r="V1016" s="59">
        <f>U1016-('16. câmbio USD-BRL'!O463/'16. câmbio USD-BRL'!K463-1)</f>
        <v>-3.6846428955941923E-2</v>
      </c>
    </row>
    <row r="1017" spans="14:22" x14ac:dyDescent="0.2">
      <c r="N1017" s="52">
        <v>41183</v>
      </c>
      <c r="O1017" s="51">
        <v>59171</v>
      </c>
      <c r="P1017" s="51">
        <v>60216</v>
      </c>
      <c r="Q1017" s="51">
        <v>58105</v>
      </c>
      <c r="R1017" s="51">
        <v>58572</v>
      </c>
      <c r="S1017" s="51">
        <v>58572</v>
      </c>
      <c r="T1017" s="51">
        <v>15763000</v>
      </c>
      <c r="U1017" s="53">
        <f t="shared" si="35"/>
        <v>-1.0206840611058587E-2</v>
      </c>
      <c r="V1017" s="59">
        <f>U1017-('16. câmbio USD-BRL'!O464/'16. câmbio USD-BRL'!K464-1)</f>
        <v>2.252370305583451E-3</v>
      </c>
    </row>
    <row r="1018" spans="14:22" x14ac:dyDescent="0.2">
      <c r="N1018" s="52">
        <v>41190</v>
      </c>
      <c r="O1018" s="51">
        <v>58572</v>
      </c>
      <c r="P1018" s="51">
        <v>59697</v>
      </c>
      <c r="Q1018" s="51">
        <v>58170</v>
      </c>
      <c r="R1018" s="51">
        <v>59162</v>
      </c>
      <c r="S1018" s="51">
        <v>59162</v>
      </c>
      <c r="T1018" s="51">
        <v>11342000</v>
      </c>
      <c r="U1018" s="53">
        <f t="shared" si="35"/>
        <v>1.0073072457829735E-2</v>
      </c>
      <c r="V1018" s="59">
        <f>U1018-('16. câmbio USD-BRL'!O465/'16. câmbio USD-BRL'!K465-1)</f>
        <v>3.5165035645590148E-3</v>
      </c>
    </row>
    <row r="1019" spans="14:22" x14ac:dyDescent="0.2">
      <c r="N1019" s="52">
        <v>41197</v>
      </c>
      <c r="O1019" s="51">
        <v>59164</v>
      </c>
      <c r="P1019" s="51">
        <v>60412</v>
      </c>
      <c r="Q1019" s="51">
        <v>58782</v>
      </c>
      <c r="R1019" s="51">
        <v>58922</v>
      </c>
      <c r="S1019" s="51">
        <v>58922</v>
      </c>
      <c r="T1019" s="51">
        <v>16901000</v>
      </c>
      <c r="U1019" s="53">
        <f t="shared" si="35"/>
        <v>-4.0566579899259381E-3</v>
      </c>
      <c r="V1019" s="59">
        <f>U1019-('16. câmbio USD-BRL'!O466/'16. câmbio USD-BRL'!K466-1)</f>
        <v>4.4154282000836709E-3</v>
      </c>
    </row>
    <row r="1020" spans="14:22" x14ac:dyDescent="0.2">
      <c r="N1020" s="52">
        <v>41204</v>
      </c>
      <c r="O1020" s="51">
        <v>58925</v>
      </c>
      <c r="P1020" s="51">
        <v>59205</v>
      </c>
      <c r="Q1020" s="51">
        <v>57061</v>
      </c>
      <c r="R1020" s="51">
        <v>57277</v>
      </c>
      <c r="S1020" s="51">
        <v>57277</v>
      </c>
      <c r="T1020" s="51">
        <v>12133200</v>
      </c>
      <c r="U1020" s="53">
        <f t="shared" si="35"/>
        <v>-2.7918264824683514E-2</v>
      </c>
      <c r="V1020" s="59">
        <f>U1020-('16. câmbio USD-BRL'!O467/'16. câmbio USD-BRL'!K467-1)</f>
        <v>-2.7474061675776706E-2</v>
      </c>
    </row>
    <row r="1021" spans="14:22" x14ac:dyDescent="0.2">
      <c r="N1021" s="52">
        <v>41211</v>
      </c>
      <c r="O1021" s="51">
        <v>57267</v>
      </c>
      <c r="P1021" s="51">
        <v>58383</v>
      </c>
      <c r="Q1021" s="51">
        <v>56581</v>
      </c>
      <c r="R1021" s="51">
        <v>58383</v>
      </c>
      <c r="S1021" s="51">
        <v>58383</v>
      </c>
      <c r="T1021" s="51">
        <v>9090200</v>
      </c>
      <c r="U1021" s="53">
        <f t="shared" si="35"/>
        <v>1.9309670548387725E-2</v>
      </c>
      <c r="V1021" s="59">
        <f>U1021-('16. câmbio USD-BRL'!O468/'16. câmbio USD-BRL'!K468-1)</f>
        <v>1.768044319711648E-2</v>
      </c>
    </row>
    <row r="1022" spans="14:22" x14ac:dyDescent="0.2">
      <c r="N1022" s="52">
        <v>41218</v>
      </c>
      <c r="O1022" s="51">
        <v>58374</v>
      </c>
      <c r="P1022" s="51">
        <v>59561</v>
      </c>
      <c r="Q1022" s="51">
        <v>56862</v>
      </c>
      <c r="R1022" s="51">
        <v>57358</v>
      </c>
      <c r="S1022" s="51">
        <v>57358</v>
      </c>
      <c r="T1022" s="51">
        <v>16622600</v>
      </c>
      <c r="U1022" s="53">
        <f t="shared" si="35"/>
        <v>-1.755648048233216E-2</v>
      </c>
      <c r="V1022" s="59">
        <f>U1022-('16. câmbio USD-BRL'!O469/'16. câmbio USD-BRL'!K469-1)</f>
        <v>-2.4798573299358639E-2</v>
      </c>
    </row>
    <row r="1023" spans="14:22" x14ac:dyDescent="0.2">
      <c r="N1023" s="52">
        <v>41225</v>
      </c>
      <c r="O1023" s="51">
        <v>57358</v>
      </c>
      <c r="P1023" s="51">
        <v>57712</v>
      </c>
      <c r="Q1023" s="51">
        <v>55126</v>
      </c>
      <c r="R1023" s="51">
        <v>55402</v>
      </c>
      <c r="S1023" s="51">
        <v>55402</v>
      </c>
      <c r="T1023" s="51">
        <v>12512800</v>
      </c>
      <c r="U1023" s="53">
        <f t="shared" si="35"/>
        <v>-3.4101607447958426E-2</v>
      </c>
      <c r="V1023" s="59">
        <f>U1023-('16. câmbio USD-BRL'!O470/'16. câmbio USD-BRL'!K470-1)</f>
        <v>-5.1609432174093084E-2</v>
      </c>
    </row>
    <row r="1024" spans="14:22" x14ac:dyDescent="0.2">
      <c r="N1024" s="52">
        <v>41232</v>
      </c>
      <c r="O1024" s="51">
        <v>55387</v>
      </c>
      <c r="P1024" s="51">
        <v>57574</v>
      </c>
      <c r="Q1024" s="51">
        <v>55387</v>
      </c>
      <c r="R1024" s="51">
        <v>57574</v>
      </c>
      <c r="S1024" s="51">
        <v>57574</v>
      </c>
      <c r="T1024" s="51">
        <v>11703200</v>
      </c>
      <c r="U1024" s="53">
        <f t="shared" si="35"/>
        <v>3.9204360853398734E-2</v>
      </c>
      <c r="V1024" s="59">
        <f>U1024-('16. câmbio USD-BRL'!O471/'16. câmbio USD-BRL'!K471-1)</f>
        <v>4.0500692714355302E-2</v>
      </c>
    </row>
    <row r="1025" spans="14:22" x14ac:dyDescent="0.2">
      <c r="N1025" s="52">
        <v>41239</v>
      </c>
      <c r="O1025" s="51">
        <v>57571</v>
      </c>
      <c r="P1025" s="51">
        <v>58031</v>
      </c>
      <c r="Q1025" s="51">
        <v>55686</v>
      </c>
      <c r="R1025" s="51">
        <v>57475</v>
      </c>
      <c r="S1025" s="51">
        <v>57475</v>
      </c>
      <c r="T1025" s="51">
        <v>18220800</v>
      </c>
      <c r="U1025" s="53">
        <f t="shared" si="35"/>
        <v>-1.7195261750095892E-3</v>
      </c>
      <c r="V1025" s="59">
        <f>U1025-('16. câmbio USD-BRL'!O472/'16. câmbio USD-BRL'!K472-1)</f>
        <v>-2.7485040764251734E-2</v>
      </c>
    </row>
    <row r="1026" spans="14:22" x14ac:dyDescent="0.2">
      <c r="N1026" s="52">
        <v>41246</v>
      </c>
      <c r="O1026" s="51">
        <v>57479</v>
      </c>
      <c r="P1026" s="51">
        <v>58594</v>
      </c>
      <c r="Q1026" s="51">
        <v>57129</v>
      </c>
      <c r="R1026" s="51">
        <v>58487</v>
      </c>
      <c r="S1026" s="51">
        <v>58487</v>
      </c>
      <c r="T1026" s="51">
        <v>17251000</v>
      </c>
      <c r="U1026" s="53">
        <f t="shared" si="35"/>
        <v>1.7607655502392294E-2</v>
      </c>
      <c r="V1026" s="59">
        <f>U1026-('16. câmbio USD-BRL'!O473/'16. câmbio USD-BRL'!K473-1)</f>
        <v>4.6276789338528523E-2</v>
      </c>
    </row>
    <row r="1027" spans="14:22" x14ac:dyDescent="0.2">
      <c r="N1027" s="52">
        <v>41253</v>
      </c>
      <c r="O1027" s="51">
        <v>58468</v>
      </c>
      <c r="P1027" s="51">
        <v>59969</v>
      </c>
      <c r="Q1027" s="51">
        <v>58091</v>
      </c>
      <c r="R1027" s="51">
        <v>59605</v>
      </c>
      <c r="S1027" s="51">
        <v>59605</v>
      </c>
      <c r="T1027" s="51">
        <v>18775200</v>
      </c>
      <c r="U1027" s="53">
        <f t="shared" si="35"/>
        <v>1.9115358968659679E-2</v>
      </c>
      <c r="V1027" s="59">
        <f>U1027-('16. câmbio USD-BRL'!O474/'16. câmbio USD-BRL'!K474-1)</f>
        <v>1.3811853833902488E-2</v>
      </c>
    </row>
    <row r="1028" spans="14:22" x14ac:dyDescent="0.2">
      <c r="N1028" s="52">
        <v>41260</v>
      </c>
      <c r="O1028" s="51">
        <v>59604</v>
      </c>
      <c r="P1028" s="51">
        <v>61276</v>
      </c>
      <c r="Q1028" s="51">
        <v>59323</v>
      </c>
      <c r="R1028" s="51">
        <v>61007</v>
      </c>
      <c r="S1028" s="51">
        <v>61007</v>
      </c>
      <c r="T1028" s="51">
        <v>18147600</v>
      </c>
      <c r="U1028" s="53">
        <f t="shared" si="35"/>
        <v>2.3521516651287655E-2</v>
      </c>
      <c r="V1028" s="59">
        <f>U1028-('16. câmbio USD-BRL'!O475/'16. câmbio USD-BRL'!K475-1)</f>
        <v>3.0861054212450445E-2</v>
      </c>
    </row>
    <row r="1029" spans="14:22" x14ac:dyDescent="0.2">
      <c r="N1029" s="52">
        <v>41267</v>
      </c>
      <c r="O1029" s="51">
        <v>61003</v>
      </c>
      <c r="P1029" s="51">
        <v>61322</v>
      </c>
      <c r="Q1029" s="51">
        <v>60233</v>
      </c>
      <c r="R1029" s="51">
        <v>60952</v>
      </c>
      <c r="S1029" s="51">
        <v>60952</v>
      </c>
      <c r="T1029" s="51">
        <v>8076600</v>
      </c>
      <c r="U1029" s="53">
        <f t="shared" ref="U1029:U1092" si="36">S1029/S1028-1</f>
        <v>-9.0153588932417872E-4</v>
      </c>
      <c r="V1029" s="59">
        <f>U1029-('16. câmbio USD-BRL'!O476/'16. câmbio USD-BRL'!K476-1)</f>
        <v>1.4551959200219344E-2</v>
      </c>
    </row>
    <row r="1030" spans="14:22" x14ac:dyDescent="0.2">
      <c r="N1030" s="52">
        <v>41274</v>
      </c>
      <c r="O1030" s="51">
        <v>60990</v>
      </c>
      <c r="P1030" s="51">
        <v>63473</v>
      </c>
      <c r="Q1030" s="51">
        <v>60990</v>
      </c>
      <c r="R1030" s="51">
        <v>62523</v>
      </c>
      <c r="S1030" s="51">
        <v>62523</v>
      </c>
      <c r="T1030" s="51">
        <v>13329400</v>
      </c>
      <c r="U1030" s="53">
        <f t="shared" si="36"/>
        <v>2.5774379839873962E-2</v>
      </c>
      <c r="V1030" s="59">
        <f>U1030-('16. câmbio USD-BRL'!O477/'16. câmbio USD-BRL'!K477-1)</f>
        <v>3.2227254302134356E-2</v>
      </c>
    </row>
    <row r="1031" spans="14:22" x14ac:dyDescent="0.2">
      <c r="N1031" s="52">
        <v>41281</v>
      </c>
      <c r="O1031" s="51">
        <v>62523</v>
      </c>
      <c r="P1031" s="51">
        <v>62699</v>
      </c>
      <c r="Q1031" s="51">
        <v>61081</v>
      </c>
      <c r="R1031" s="51">
        <v>61497</v>
      </c>
      <c r="S1031" s="51">
        <v>61497</v>
      </c>
      <c r="T1031" s="51">
        <v>18324400</v>
      </c>
      <c r="U1031" s="53">
        <f t="shared" si="36"/>
        <v>-1.6409961134302598E-2</v>
      </c>
      <c r="V1031" s="59">
        <f>U1031-('16. câmbio USD-BRL'!O478/'16. câmbio USD-BRL'!K478-1)</f>
        <v>-1.4835855177295354E-2</v>
      </c>
    </row>
    <row r="1032" spans="14:22" x14ac:dyDescent="0.2">
      <c r="N1032" s="52">
        <v>41288</v>
      </c>
      <c r="O1032" s="51">
        <v>61511</v>
      </c>
      <c r="P1032" s="51">
        <v>62395</v>
      </c>
      <c r="Q1032" s="51">
        <v>61241</v>
      </c>
      <c r="R1032" s="51">
        <v>61956</v>
      </c>
      <c r="S1032" s="51">
        <v>61956</v>
      </c>
      <c r="T1032" s="51">
        <v>16967000</v>
      </c>
      <c r="U1032" s="53">
        <f t="shared" si="36"/>
        <v>7.4637787209133055E-3</v>
      </c>
      <c r="V1032" s="59">
        <f>U1032-('16. câmbio USD-BRL'!O479/'16. câmbio USD-BRL'!K479-1)</f>
        <v>7.4145103561304992E-3</v>
      </c>
    </row>
    <row r="1033" spans="14:22" x14ac:dyDescent="0.2">
      <c r="N1033" s="52">
        <v>41295</v>
      </c>
      <c r="O1033" s="51">
        <v>61962</v>
      </c>
      <c r="P1033" s="51">
        <v>62249</v>
      </c>
      <c r="Q1033" s="51">
        <v>60838</v>
      </c>
      <c r="R1033" s="51">
        <v>61170</v>
      </c>
      <c r="S1033" s="51">
        <v>61170</v>
      </c>
      <c r="T1033" s="51">
        <v>12432600</v>
      </c>
      <c r="U1033" s="53">
        <f t="shared" si="36"/>
        <v>-1.2686422622506299E-2</v>
      </c>
      <c r="V1033" s="59">
        <f>U1033-('16. câmbio USD-BRL'!O480/'16. câmbio USD-BRL'!K480-1)</f>
        <v>-7.4880507917968187E-3</v>
      </c>
    </row>
    <row r="1034" spans="14:22" x14ac:dyDescent="0.2">
      <c r="N1034" s="52">
        <v>41302</v>
      </c>
      <c r="O1034" s="51">
        <v>61178</v>
      </c>
      <c r="P1034" s="51">
        <v>61313</v>
      </c>
      <c r="Q1034" s="51">
        <v>59114</v>
      </c>
      <c r="R1034" s="51">
        <v>60351</v>
      </c>
      <c r="S1034" s="51">
        <v>60351</v>
      </c>
      <c r="T1034" s="51">
        <v>19442400</v>
      </c>
      <c r="U1034" s="53">
        <f t="shared" si="36"/>
        <v>-1.3388916135360418E-2</v>
      </c>
      <c r="V1034" s="59">
        <f>U1034-('16. câmbio USD-BRL'!O481/'16. câmbio USD-BRL'!K481-1)</f>
        <v>7.3653357749182691E-3</v>
      </c>
    </row>
    <row r="1035" spans="14:22" x14ac:dyDescent="0.2">
      <c r="N1035" s="52">
        <v>41309</v>
      </c>
      <c r="O1035" s="51">
        <v>60350</v>
      </c>
      <c r="P1035" s="51">
        <v>60350</v>
      </c>
      <c r="Q1035" s="51">
        <v>58025</v>
      </c>
      <c r="R1035" s="51">
        <v>58498</v>
      </c>
      <c r="S1035" s="51">
        <v>58498</v>
      </c>
      <c r="T1035" s="51">
        <v>19411800</v>
      </c>
      <c r="U1035" s="53">
        <f t="shared" si="36"/>
        <v>-3.0703716591274355E-2</v>
      </c>
      <c r="V1035" s="59">
        <f>U1035-('16. câmbio USD-BRL'!O482/'16. câmbio USD-BRL'!K482-1)</f>
        <v>-2.2497917155108405E-2</v>
      </c>
    </row>
    <row r="1036" spans="14:22" x14ac:dyDescent="0.2">
      <c r="N1036" s="52">
        <v>41316</v>
      </c>
      <c r="O1036" s="51">
        <v>58495</v>
      </c>
      <c r="P1036" s="51">
        <v>58754</v>
      </c>
      <c r="Q1036" s="51">
        <v>57751</v>
      </c>
      <c r="R1036" s="51">
        <v>57903</v>
      </c>
      <c r="S1036" s="51">
        <v>57903</v>
      </c>
      <c r="T1036" s="51">
        <v>8708200</v>
      </c>
      <c r="U1036" s="53">
        <f t="shared" si="36"/>
        <v>-1.0171287907278836E-2</v>
      </c>
      <c r="V1036" s="59">
        <f>U1036-('16. câmbio USD-BRL'!O483/'16. câmbio USD-BRL'!K483-1)</f>
        <v>-7.6841045155728871E-3</v>
      </c>
    </row>
    <row r="1037" spans="14:22" x14ac:dyDescent="0.2">
      <c r="N1037" s="52">
        <v>41323</v>
      </c>
      <c r="O1037" s="51">
        <v>57906</v>
      </c>
      <c r="P1037" s="51">
        <v>58061</v>
      </c>
      <c r="Q1037" s="51">
        <v>55430</v>
      </c>
      <c r="R1037" s="51">
        <v>56697</v>
      </c>
      <c r="S1037" s="51">
        <v>56697</v>
      </c>
      <c r="T1037" s="51">
        <v>21598000</v>
      </c>
      <c r="U1037" s="53">
        <f t="shared" si="36"/>
        <v>-2.0827936376353606E-2</v>
      </c>
      <c r="V1037" s="59">
        <f>U1037-('16. câmbio USD-BRL'!O484/'16. câmbio USD-BRL'!K484-1)</f>
        <v>-2.2812467212909637E-2</v>
      </c>
    </row>
    <row r="1038" spans="14:22" x14ac:dyDescent="0.2">
      <c r="N1038" s="52">
        <v>41330</v>
      </c>
      <c r="O1038" s="51">
        <v>56698</v>
      </c>
      <c r="P1038" s="51">
        <v>57798</v>
      </c>
      <c r="Q1038" s="51">
        <v>56047</v>
      </c>
      <c r="R1038" s="51">
        <v>56884</v>
      </c>
      <c r="S1038" s="51">
        <v>56884</v>
      </c>
      <c r="T1038" s="51">
        <v>21841400</v>
      </c>
      <c r="U1038" s="53">
        <f t="shared" si="36"/>
        <v>3.2982344744871828E-3</v>
      </c>
      <c r="V1038" s="59">
        <f>U1038-('16. câmbio USD-BRL'!O485/'16. câmbio USD-BRL'!K485-1)</f>
        <v>-1.1635613983516091E-3</v>
      </c>
    </row>
    <row r="1039" spans="14:22" x14ac:dyDescent="0.2">
      <c r="N1039" s="52">
        <v>41337</v>
      </c>
      <c r="O1039" s="51">
        <v>56878</v>
      </c>
      <c r="P1039" s="51">
        <v>59472</v>
      </c>
      <c r="Q1039" s="51">
        <v>55951</v>
      </c>
      <c r="R1039" s="51">
        <v>58433</v>
      </c>
      <c r="S1039" s="51">
        <v>58433</v>
      </c>
      <c r="T1039" s="51">
        <v>24568200</v>
      </c>
      <c r="U1039" s="53">
        <f t="shared" si="36"/>
        <v>2.7230855776668283E-2</v>
      </c>
      <c r="V1039" s="59">
        <f>U1039-('16. câmbio USD-BRL'!O486/'16. câmbio USD-BRL'!K486-1)</f>
        <v>4.6720883547433201E-2</v>
      </c>
    </row>
    <row r="1040" spans="14:22" x14ac:dyDescent="0.2">
      <c r="N1040" s="52">
        <v>41344</v>
      </c>
      <c r="O1040" s="51">
        <v>58440</v>
      </c>
      <c r="P1040" s="51">
        <v>58709</v>
      </c>
      <c r="Q1040" s="51">
        <v>56722</v>
      </c>
      <c r="R1040" s="51">
        <v>56869</v>
      </c>
      <c r="S1040" s="51">
        <v>56869</v>
      </c>
      <c r="T1040" s="51">
        <v>22234400</v>
      </c>
      <c r="U1040" s="53">
        <f t="shared" si="36"/>
        <v>-2.6765697465473304E-2</v>
      </c>
      <c r="V1040" s="59">
        <f>U1040-('16. câmbio USD-BRL'!O487/'16. câmbio USD-BRL'!K487-1)</f>
        <v>-4.4248214947990583E-2</v>
      </c>
    </row>
    <row r="1041" spans="14:22" x14ac:dyDescent="0.2">
      <c r="N1041" s="52">
        <v>41351</v>
      </c>
      <c r="O1041" s="51">
        <v>56869</v>
      </c>
      <c r="P1041" s="51">
        <v>57152</v>
      </c>
      <c r="Q1041" s="51">
        <v>55098</v>
      </c>
      <c r="R1041" s="51">
        <v>55243</v>
      </c>
      <c r="S1041" s="51">
        <v>55243</v>
      </c>
      <c r="T1041" s="51">
        <v>19861800</v>
      </c>
      <c r="U1041" s="53">
        <f t="shared" si="36"/>
        <v>-2.8592027290791133E-2</v>
      </c>
      <c r="V1041" s="59">
        <f>U1041-('16. câmbio USD-BRL'!O488/'16. câmbio USD-BRL'!K488-1)</f>
        <v>-4.1362065651380675E-2</v>
      </c>
    </row>
    <row r="1042" spans="14:22" x14ac:dyDescent="0.2">
      <c r="N1042" s="52">
        <v>41358</v>
      </c>
      <c r="O1042" s="51">
        <v>55250</v>
      </c>
      <c r="P1042" s="51">
        <v>56374</v>
      </c>
      <c r="Q1042" s="51">
        <v>54648</v>
      </c>
      <c r="R1042" s="51">
        <v>56352</v>
      </c>
      <c r="S1042" s="51">
        <v>56352</v>
      </c>
      <c r="T1042" s="51">
        <v>16031200</v>
      </c>
      <c r="U1042" s="53">
        <f t="shared" si="36"/>
        <v>2.007494162156287E-2</v>
      </c>
      <c r="V1042" s="59">
        <f>U1042-('16. câmbio USD-BRL'!O489/'16. câmbio USD-BRL'!K489-1)</f>
        <v>1.3845188319793422E-2</v>
      </c>
    </row>
    <row r="1043" spans="14:22" x14ac:dyDescent="0.2">
      <c r="N1043" s="52">
        <v>41365</v>
      </c>
      <c r="O1043" s="51">
        <v>56348</v>
      </c>
      <c r="P1043" s="51">
        <v>56348</v>
      </c>
      <c r="Q1043" s="51">
        <v>53794</v>
      </c>
      <c r="R1043" s="51">
        <v>55051</v>
      </c>
      <c r="S1043" s="51">
        <v>55051</v>
      </c>
      <c r="T1043" s="51">
        <v>21374000</v>
      </c>
      <c r="U1043" s="53">
        <f t="shared" si="36"/>
        <v>-2.3087024417944302E-2</v>
      </c>
      <c r="V1043" s="59">
        <f>U1043-('16. câmbio USD-BRL'!O490/'16. câmbio USD-BRL'!K490-1)</f>
        <v>-7.3053867008227025E-3</v>
      </c>
    </row>
    <row r="1044" spans="14:22" x14ac:dyDescent="0.2">
      <c r="N1044" s="52">
        <v>41372</v>
      </c>
      <c r="O1044" s="51">
        <v>55049</v>
      </c>
      <c r="P1044" s="51">
        <v>56976</v>
      </c>
      <c r="Q1044" s="51">
        <v>54333</v>
      </c>
      <c r="R1044" s="51">
        <v>54963</v>
      </c>
      <c r="S1044" s="51">
        <v>54963</v>
      </c>
      <c r="T1044" s="51">
        <v>24721600</v>
      </c>
      <c r="U1044" s="53">
        <f t="shared" si="36"/>
        <v>-1.5985177380973825E-3</v>
      </c>
      <c r="V1044" s="59">
        <f>U1044-('16. câmbio USD-BRL'!O491/'16. câmbio USD-BRL'!K491-1)</f>
        <v>6.9734871025642908E-3</v>
      </c>
    </row>
    <row r="1045" spans="14:22" x14ac:dyDescent="0.2">
      <c r="N1045" s="52">
        <v>41379</v>
      </c>
      <c r="O1045" s="51">
        <v>54952</v>
      </c>
      <c r="P1045" s="51">
        <v>54952</v>
      </c>
      <c r="Q1045" s="51">
        <v>52392</v>
      </c>
      <c r="R1045" s="51">
        <v>53929</v>
      </c>
      <c r="S1045" s="51">
        <v>53929</v>
      </c>
      <c r="T1045" s="51">
        <v>24763400</v>
      </c>
      <c r="U1045" s="53">
        <f t="shared" si="36"/>
        <v>-1.8812655786620058E-2</v>
      </c>
      <c r="V1045" s="59">
        <f>U1045-('16. câmbio USD-BRL'!O492/'16. câmbio USD-BRL'!K492-1)</f>
        <v>-3.8647870922415062E-2</v>
      </c>
    </row>
    <row r="1046" spans="14:22" x14ac:dyDescent="0.2">
      <c r="N1046" s="52">
        <v>41386</v>
      </c>
      <c r="O1046" s="51">
        <v>53927</v>
      </c>
      <c r="P1046" s="51">
        <v>55546</v>
      </c>
      <c r="Q1046" s="51">
        <v>53420</v>
      </c>
      <c r="R1046" s="51">
        <v>54252</v>
      </c>
      <c r="S1046" s="51">
        <v>54252</v>
      </c>
      <c r="T1046" s="51">
        <v>22498200</v>
      </c>
      <c r="U1046" s="53">
        <f t="shared" si="36"/>
        <v>5.9893563759758628E-3</v>
      </c>
      <c r="V1046" s="59">
        <f>U1046-('16. câmbio USD-BRL'!O493/'16. câmbio USD-BRL'!K493-1)</f>
        <v>1.1923926493669801E-2</v>
      </c>
    </row>
    <row r="1047" spans="14:22" x14ac:dyDescent="0.2">
      <c r="N1047" s="52">
        <v>41393</v>
      </c>
      <c r="O1047" s="51">
        <v>54254</v>
      </c>
      <c r="P1047" s="51">
        <v>56366</v>
      </c>
      <c r="Q1047" s="51">
        <v>54254</v>
      </c>
      <c r="R1047" s="51">
        <v>55488</v>
      </c>
      <c r="S1047" s="51">
        <v>55488</v>
      </c>
      <c r="T1047" s="51">
        <v>27366200</v>
      </c>
      <c r="U1047" s="53">
        <f t="shared" si="36"/>
        <v>2.2782570227825705E-2</v>
      </c>
      <c r="V1047" s="59">
        <f>U1047-('16. câmbio USD-BRL'!O494/'16. câmbio USD-BRL'!K494-1)</f>
        <v>1.6323204147008719E-2</v>
      </c>
    </row>
    <row r="1048" spans="14:22" x14ac:dyDescent="0.2">
      <c r="N1048" s="52">
        <v>41400</v>
      </c>
      <c r="O1048" s="51">
        <v>55488</v>
      </c>
      <c r="P1048" s="51">
        <v>56814</v>
      </c>
      <c r="Q1048" s="51">
        <v>54652</v>
      </c>
      <c r="R1048" s="51">
        <v>55108</v>
      </c>
      <c r="S1048" s="51">
        <v>55108</v>
      </c>
      <c r="T1048" s="51">
        <v>29322400</v>
      </c>
      <c r="U1048" s="53">
        <f t="shared" si="36"/>
        <v>-6.8483275663206999E-3</v>
      </c>
      <c r="V1048" s="59">
        <f>U1048-('16. câmbio USD-BRL'!O495/'16. câmbio USD-BRL'!K495-1)</f>
        <v>-1.1037018101874629E-2</v>
      </c>
    </row>
    <row r="1049" spans="14:22" x14ac:dyDescent="0.2">
      <c r="N1049" s="52">
        <v>41407</v>
      </c>
      <c r="O1049" s="51">
        <v>55106</v>
      </c>
      <c r="P1049" s="51">
        <v>55539</v>
      </c>
      <c r="Q1049" s="51">
        <v>54327</v>
      </c>
      <c r="R1049" s="51">
        <v>55164</v>
      </c>
      <c r="S1049" s="51">
        <v>55164</v>
      </c>
      <c r="T1049" s="51">
        <v>23098600</v>
      </c>
      <c r="U1049" s="53">
        <f t="shared" si="36"/>
        <v>1.0161863976192453E-3</v>
      </c>
      <c r="V1049" s="59">
        <f>U1049-('16. câmbio USD-BRL'!O496/'16. câmbio USD-BRL'!K496-1)</f>
        <v>-1.549867697942009E-2</v>
      </c>
    </row>
    <row r="1050" spans="14:22" x14ac:dyDescent="0.2">
      <c r="N1050" s="52">
        <v>41414</v>
      </c>
      <c r="O1050" s="51">
        <v>55162</v>
      </c>
      <c r="P1050" s="51">
        <v>57099</v>
      </c>
      <c r="Q1050" s="51">
        <v>54630</v>
      </c>
      <c r="R1050" s="51">
        <v>56406</v>
      </c>
      <c r="S1050" s="51">
        <v>56406</v>
      </c>
      <c r="T1050" s="51">
        <v>21860400</v>
      </c>
      <c r="U1050" s="53">
        <f t="shared" si="36"/>
        <v>2.2514683489232024E-2</v>
      </c>
      <c r="V1050" s="59">
        <f>U1050-('16. câmbio USD-BRL'!O497/'16. câmbio USD-BRL'!K497-1)</f>
        <v>1.5627969927325402E-2</v>
      </c>
    </row>
    <row r="1051" spans="14:22" x14ac:dyDescent="0.2">
      <c r="N1051" s="52">
        <v>41421</v>
      </c>
      <c r="O1051" s="51">
        <v>56415</v>
      </c>
      <c r="P1051" s="51">
        <v>56979</v>
      </c>
      <c r="Q1051" s="51">
        <v>52942</v>
      </c>
      <c r="R1051" s="51">
        <v>53506</v>
      </c>
      <c r="S1051" s="51">
        <v>53506</v>
      </c>
      <c r="T1051" s="51">
        <v>20021000</v>
      </c>
      <c r="U1051" s="53">
        <f t="shared" si="36"/>
        <v>-5.1412970251391688E-2</v>
      </c>
      <c r="V1051" s="59">
        <f>U1051-('16. câmbio USD-BRL'!O498/'16. câmbio USD-BRL'!K498-1)</f>
        <v>-8.7607129604854839E-2</v>
      </c>
    </row>
    <row r="1052" spans="14:22" x14ac:dyDescent="0.2">
      <c r="N1052" s="52">
        <v>41428</v>
      </c>
      <c r="O1052" s="51">
        <v>53512</v>
      </c>
      <c r="P1052" s="51">
        <v>54289</v>
      </c>
      <c r="Q1052" s="51">
        <v>51428</v>
      </c>
      <c r="R1052" s="51">
        <v>51619</v>
      </c>
      <c r="S1052" s="51">
        <v>51619</v>
      </c>
      <c r="T1052" s="51">
        <v>23005200</v>
      </c>
      <c r="U1052" s="53">
        <f t="shared" si="36"/>
        <v>-3.5267072851642767E-2</v>
      </c>
      <c r="V1052" s="59">
        <f>U1052-('16. câmbio USD-BRL'!O499/'16. câmbio USD-BRL'!K499-1)</f>
        <v>-3.0545681677372039E-2</v>
      </c>
    </row>
    <row r="1053" spans="14:22" x14ac:dyDescent="0.2">
      <c r="N1053" s="52">
        <v>41435</v>
      </c>
      <c r="O1053" s="51">
        <v>51619</v>
      </c>
      <c r="P1053" s="51">
        <v>51836</v>
      </c>
      <c r="Q1053" s="51">
        <v>48746</v>
      </c>
      <c r="R1053" s="51">
        <v>49332</v>
      </c>
      <c r="S1053" s="51">
        <v>49332</v>
      </c>
      <c r="T1053" s="51">
        <v>30084400</v>
      </c>
      <c r="U1053" s="53">
        <f t="shared" si="36"/>
        <v>-4.430539142563783E-2</v>
      </c>
      <c r="V1053" s="59">
        <f>U1053-('16. câmbio USD-BRL'!O500/'16. câmbio USD-BRL'!K500-1)</f>
        <v>-2.9779936623776315E-2</v>
      </c>
    </row>
    <row r="1054" spans="14:22" x14ac:dyDescent="0.2">
      <c r="N1054" s="52">
        <v>41442</v>
      </c>
      <c r="O1054" s="51">
        <v>49337</v>
      </c>
      <c r="P1054" s="51">
        <v>50123</v>
      </c>
      <c r="Q1054" s="51">
        <v>45930</v>
      </c>
      <c r="R1054" s="51">
        <v>47056</v>
      </c>
      <c r="S1054" s="51">
        <v>47056</v>
      </c>
      <c r="T1054" s="51">
        <v>33090200</v>
      </c>
      <c r="U1054" s="53">
        <f t="shared" si="36"/>
        <v>-4.6136382064380088E-2</v>
      </c>
      <c r="V1054" s="59">
        <f>U1054-('16. câmbio USD-BRL'!O501/'16. câmbio USD-BRL'!K501-1)</f>
        <v>-0.11407207215550175</v>
      </c>
    </row>
    <row r="1055" spans="14:22" x14ac:dyDescent="0.2">
      <c r="N1055" s="52">
        <v>41449</v>
      </c>
      <c r="O1055" s="51">
        <v>47039</v>
      </c>
      <c r="P1055" s="51">
        <v>48053</v>
      </c>
      <c r="Q1055" s="51">
        <v>45406</v>
      </c>
      <c r="R1055" s="51">
        <v>47457</v>
      </c>
      <c r="S1055" s="51">
        <v>47457</v>
      </c>
      <c r="T1055" s="51">
        <v>28031200</v>
      </c>
      <c r="U1055" s="53">
        <f t="shared" si="36"/>
        <v>8.5217613056782771E-3</v>
      </c>
      <c r="V1055" s="59">
        <f>U1055-('16. câmbio USD-BRL'!O502/'16. câmbio USD-BRL'!K502-1)</f>
        <v>3.7873539260808053E-2</v>
      </c>
    </row>
    <row r="1056" spans="14:22" x14ac:dyDescent="0.2">
      <c r="N1056" s="52">
        <v>41456</v>
      </c>
      <c r="O1056" s="51">
        <v>47458</v>
      </c>
      <c r="P1056" s="51">
        <v>47674</v>
      </c>
      <c r="Q1056" s="51">
        <v>44107</v>
      </c>
      <c r="R1056" s="51">
        <v>45210</v>
      </c>
      <c r="S1056" s="51">
        <v>45210</v>
      </c>
      <c r="T1056" s="51">
        <v>33869200</v>
      </c>
      <c r="U1056" s="53">
        <f t="shared" si="36"/>
        <v>-4.734812567166069E-2</v>
      </c>
      <c r="V1056" s="59">
        <f>U1056-('16. câmbio USD-BRL'!O503/'16. câmbio USD-BRL'!K503-1)</f>
        <v>-5.7006706084958059E-2</v>
      </c>
    </row>
    <row r="1057" spans="14:22" x14ac:dyDescent="0.2">
      <c r="N1057" s="52">
        <v>41463</v>
      </c>
      <c r="O1057" s="51">
        <v>45211</v>
      </c>
      <c r="P1057" s="51">
        <v>46719</v>
      </c>
      <c r="Q1057" s="51">
        <v>44839</v>
      </c>
      <c r="R1057" s="51">
        <v>45533</v>
      </c>
      <c r="S1057" s="51">
        <v>45533</v>
      </c>
      <c r="T1057" s="51">
        <v>20476600</v>
      </c>
      <c r="U1057" s="53">
        <f t="shared" si="36"/>
        <v>7.1444370714444094E-3</v>
      </c>
      <c r="V1057" s="59">
        <f>U1057-('16. câmbio USD-BRL'!O504/'16. câmbio USD-BRL'!K504-1)</f>
        <v>7.373180503098542E-4</v>
      </c>
    </row>
    <row r="1058" spans="14:22" x14ac:dyDescent="0.2">
      <c r="N1058" s="52">
        <v>41470</v>
      </c>
      <c r="O1058" s="51">
        <v>45533</v>
      </c>
      <c r="P1058" s="51">
        <v>48057</v>
      </c>
      <c r="Q1058" s="51">
        <v>45533</v>
      </c>
      <c r="R1058" s="51">
        <v>47400</v>
      </c>
      <c r="S1058" s="51">
        <v>47400</v>
      </c>
      <c r="T1058" s="51">
        <v>22562800</v>
      </c>
      <c r="U1058" s="53">
        <f t="shared" si="36"/>
        <v>4.100322842773374E-2</v>
      </c>
      <c r="V1058" s="59">
        <f>U1058-('16. câmbio USD-BRL'!O505/'16. câmbio USD-BRL'!K505-1)</f>
        <v>5.093042895718447E-2</v>
      </c>
    </row>
    <row r="1059" spans="14:22" x14ac:dyDescent="0.2">
      <c r="N1059" s="52">
        <v>41477</v>
      </c>
      <c r="O1059" s="51">
        <v>47407</v>
      </c>
      <c r="P1059" s="51">
        <v>49422</v>
      </c>
      <c r="Q1059" s="51">
        <v>47407</v>
      </c>
      <c r="R1059" s="51">
        <v>49422</v>
      </c>
      <c r="S1059" s="51">
        <v>49422</v>
      </c>
      <c r="T1059" s="51">
        <v>22650800</v>
      </c>
      <c r="U1059" s="53">
        <f t="shared" si="36"/>
        <v>4.265822784810136E-2</v>
      </c>
      <c r="V1059" s="59">
        <f>U1059-('16. câmbio USD-BRL'!O506/'16. câmbio USD-BRL'!K506-1)</f>
        <v>3.6184724566704851E-2</v>
      </c>
    </row>
    <row r="1060" spans="14:22" x14ac:dyDescent="0.2">
      <c r="N1060" s="52">
        <v>41484</v>
      </c>
      <c r="O1060" s="51">
        <v>49414</v>
      </c>
      <c r="P1060" s="51">
        <v>49669</v>
      </c>
      <c r="Q1060" s="51">
        <v>48140</v>
      </c>
      <c r="R1060" s="51">
        <v>48474</v>
      </c>
      <c r="S1060" s="51">
        <v>48474</v>
      </c>
      <c r="T1060" s="51">
        <v>22916000</v>
      </c>
      <c r="U1060" s="53">
        <f t="shared" si="36"/>
        <v>-1.918174092509406E-2</v>
      </c>
      <c r="V1060" s="59">
        <f>U1060-('16. câmbio USD-BRL'!O507/'16. câmbio USD-BRL'!K507-1)</f>
        <v>-3.4608762665190973E-2</v>
      </c>
    </row>
    <row r="1061" spans="14:22" x14ac:dyDescent="0.2">
      <c r="N1061" s="52">
        <v>41491</v>
      </c>
      <c r="O1061" s="51">
        <v>48477</v>
      </c>
      <c r="P1061" s="51">
        <v>50001</v>
      </c>
      <c r="Q1061" s="51">
        <v>47164</v>
      </c>
      <c r="R1061" s="51">
        <v>49875</v>
      </c>
      <c r="S1061" s="51">
        <v>49875</v>
      </c>
      <c r="T1061" s="51">
        <v>25016200</v>
      </c>
      <c r="U1061" s="53">
        <f t="shared" si="36"/>
        <v>2.8902091843049815E-2</v>
      </c>
      <c r="V1061" s="59">
        <f>U1061-('16. câmbio USD-BRL'!O508/'16. câmbio USD-BRL'!K508-1)</f>
        <v>1.5018765184392713E-2</v>
      </c>
    </row>
    <row r="1062" spans="14:22" x14ac:dyDescent="0.2">
      <c r="N1062" s="52">
        <v>41498</v>
      </c>
      <c r="O1062" s="51">
        <v>49878</v>
      </c>
      <c r="P1062" s="51">
        <v>51555</v>
      </c>
      <c r="Q1062" s="51">
        <v>49878</v>
      </c>
      <c r="R1062" s="51">
        <v>51539</v>
      </c>
      <c r="S1062" s="51">
        <v>51539</v>
      </c>
      <c r="T1062" s="51">
        <v>40581900</v>
      </c>
      <c r="U1062" s="53">
        <f t="shared" si="36"/>
        <v>3.3363408521303262E-2</v>
      </c>
      <c r="V1062" s="59">
        <f>U1062-('16. câmbio USD-BRL'!O509/'16. câmbio USD-BRL'!K509-1)</f>
        <v>-2.9022565758944241E-2</v>
      </c>
    </row>
    <row r="1063" spans="14:22" x14ac:dyDescent="0.2">
      <c r="N1063" s="52">
        <v>41505</v>
      </c>
      <c r="O1063" s="51">
        <v>51540</v>
      </c>
      <c r="P1063" s="51">
        <v>52197</v>
      </c>
      <c r="Q1063" s="51">
        <v>50055</v>
      </c>
      <c r="R1063" s="51">
        <v>52197</v>
      </c>
      <c r="S1063" s="51">
        <v>52197</v>
      </c>
      <c r="T1063" s="51">
        <v>29673600</v>
      </c>
      <c r="U1063" s="53">
        <f t="shared" si="36"/>
        <v>1.2767030792215639E-2</v>
      </c>
      <c r="V1063" s="59">
        <f>U1063-('16. câmbio USD-BRL'!O510/'16. câmbio USD-BRL'!K510-1)</f>
        <v>3.3930769924166437E-3</v>
      </c>
    </row>
    <row r="1064" spans="14:22" x14ac:dyDescent="0.2">
      <c r="N1064" s="52">
        <v>41512</v>
      </c>
      <c r="O1064" s="51">
        <v>52200</v>
      </c>
      <c r="P1064" s="51">
        <v>52398</v>
      </c>
      <c r="Q1064" s="51">
        <v>49530</v>
      </c>
      <c r="R1064" s="51">
        <v>50008</v>
      </c>
      <c r="S1064" s="51">
        <v>50008</v>
      </c>
      <c r="T1064" s="51">
        <v>40729600</v>
      </c>
      <c r="U1064" s="53">
        <f t="shared" si="36"/>
        <v>-4.1937276088664155E-2</v>
      </c>
      <c r="V1064" s="59">
        <f>U1064-('16. câmbio USD-BRL'!O511/'16. câmbio USD-BRL'!K511-1)</f>
        <v>-1.5360018043932611E-2</v>
      </c>
    </row>
    <row r="1065" spans="14:22" x14ac:dyDescent="0.2">
      <c r="N1065" s="52">
        <v>41519</v>
      </c>
      <c r="O1065" s="51">
        <v>50012</v>
      </c>
      <c r="P1065" s="51">
        <v>54125</v>
      </c>
      <c r="Q1065" s="51">
        <v>50012</v>
      </c>
      <c r="R1065" s="51">
        <v>53749</v>
      </c>
      <c r="S1065" s="51">
        <v>53749</v>
      </c>
      <c r="T1065" s="51">
        <v>38308200</v>
      </c>
      <c r="U1065" s="53">
        <f t="shared" si="36"/>
        <v>7.4808030715085572E-2</v>
      </c>
      <c r="V1065" s="59">
        <f>U1065-('16. câmbio USD-BRL'!O512/'16. câmbio USD-BRL'!K512-1)</f>
        <v>0.13413664828878624</v>
      </c>
    </row>
    <row r="1066" spans="14:22" x14ac:dyDescent="0.2">
      <c r="N1066" s="52">
        <v>41526</v>
      </c>
      <c r="O1066" s="51">
        <v>53752</v>
      </c>
      <c r="P1066" s="51">
        <v>54740</v>
      </c>
      <c r="Q1066" s="51">
        <v>52917</v>
      </c>
      <c r="R1066" s="51">
        <v>53798</v>
      </c>
      <c r="S1066" s="51">
        <v>53798</v>
      </c>
      <c r="T1066" s="51">
        <v>32452000</v>
      </c>
      <c r="U1066" s="53">
        <f t="shared" si="36"/>
        <v>9.1164486781147858E-4</v>
      </c>
      <c r="V1066" s="59">
        <f>U1066-('16. câmbio USD-BRL'!O513/'16. câmbio USD-BRL'!K513-1)</f>
        <v>7.9007895430022623E-2</v>
      </c>
    </row>
    <row r="1067" spans="14:22" x14ac:dyDescent="0.2">
      <c r="N1067" s="52">
        <v>41533</v>
      </c>
      <c r="O1067" s="51">
        <v>53799</v>
      </c>
      <c r="P1067" s="51">
        <v>55900</v>
      </c>
      <c r="Q1067" s="51">
        <v>53559</v>
      </c>
      <c r="R1067" s="51">
        <v>54110</v>
      </c>
      <c r="S1067" s="51">
        <v>54110</v>
      </c>
      <c r="T1067" s="51">
        <v>26120800</v>
      </c>
      <c r="U1067" s="53">
        <f t="shared" si="36"/>
        <v>5.7994720993346238E-3</v>
      </c>
      <c r="V1067" s="59">
        <f>U1067-('16. câmbio USD-BRL'!O514/'16. câmbio USD-BRL'!K514-1)</f>
        <v>3.6577484041730113E-2</v>
      </c>
    </row>
    <row r="1068" spans="14:22" x14ac:dyDescent="0.2">
      <c r="N1068" s="52">
        <v>41540</v>
      </c>
      <c r="O1068" s="51">
        <v>54110</v>
      </c>
      <c r="P1068" s="51">
        <v>54818</v>
      </c>
      <c r="Q1068" s="51">
        <v>53429</v>
      </c>
      <c r="R1068" s="51">
        <v>53739</v>
      </c>
      <c r="S1068" s="51">
        <v>53739</v>
      </c>
      <c r="T1068" s="51">
        <v>22599200</v>
      </c>
      <c r="U1068" s="53">
        <f t="shared" si="36"/>
        <v>-6.8564036222509284E-3</v>
      </c>
      <c r="V1068" s="59">
        <f>U1068-('16. câmbio USD-BRL'!O515/'16. câmbio USD-BRL'!K515-1)</f>
        <v>5.8371958729502849E-2</v>
      </c>
    </row>
    <row r="1069" spans="14:22" x14ac:dyDescent="0.2">
      <c r="N1069" s="52">
        <v>41547</v>
      </c>
      <c r="O1069" s="51">
        <v>53737</v>
      </c>
      <c r="P1069" s="51">
        <v>53737</v>
      </c>
      <c r="Q1069" s="51">
        <v>52093</v>
      </c>
      <c r="R1069" s="51">
        <v>52849</v>
      </c>
      <c r="S1069" s="51">
        <v>52849</v>
      </c>
      <c r="T1069" s="51">
        <v>23977800</v>
      </c>
      <c r="U1069" s="53">
        <f t="shared" si="36"/>
        <v>-1.65615288710248E-2</v>
      </c>
      <c r="V1069" s="59">
        <f>U1069-('16. câmbio USD-BRL'!O516/'16. câmbio USD-BRL'!K516-1)</f>
        <v>4.0250100171245196E-3</v>
      </c>
    </row>
    <row r="1070" spans="14:22" x14ac:dyDescent="0.2">
      <c r="N1070" s="52">
        <v>41554</v>
      </c>
      <c r="O1070" s="51">
        <v>52841</v>
      </c>
      <c r="P1070" s="51">
        <v>53301</v>
      </c>
      <c r="Q1070" s="51">
        <v>51870</v>
      </c>
      <c r="R1070" s="51">
        <v>53150</v>
      </c>
      <c r="S1070" s="51">
        <v>53150</v>
      </c>
      <c r="T1070" s="51">
        <v>18876400</v>
      </c>
      <c r="U1070" s="53">
        <f t="shared" si="36"/>
        <v>5.6954720051467511E-3</v>
      </c>
      <c r="V1070" s="59">
        <f>U1070-('16. câmbio USD-BRL'!O517/'16. câmbio USD-BRL'!K517-1)</f>
        <v>2.4495019004014296E-2</v>
      </c>
    </row>
    <row r="1071" spans="14:22" x14ac:dyDescent="0.2">
      <c r="N1071" s="52">
        <v>41561</v>
      </c>
      <c r="O1071" s="51">
        <v>53150</v>
      </c>
      <c r="P1071" s="51">
        <v>56747</v>
      </c>
      <c r="Q1071" s="51">
        <v>52833</v>
      </c>
      <c r="R1071" s="51">
        <v>55378</v>
      </c>
      <c r="S1071" s="51">
        <v>55378</v>
      </c>
      <c r="T1071" s="51">
        <v>38814600</v>
      </c>
      <c r="U1071" s="53">
        <f t="shared" si="36"/>
        <v>4.1919096895578489E-2</v>
      </c>
      <c r="V1071" s="59">
        <f>U1071-('16. câmbio USD-BRL'!O518/'16. câmbio USD-BRL'!K518-1)</f>
        <v>4.6468729248519636E-2</v>
      </c>
    </row>
    <row r="1072" spans="14:22" x14ac:dyDescent="0.2">
      <c r="N1072" s="52">
        <v>41568</v>
      </c>
      <c r="O1072" s="51">
        <v>55380</v>
      </c>
      <c r="P1072" s="51">
        <v>56720</v>
      </c>
      <c r="Q1072" s="51">
        <v>54141</v>
      </c>
      <c r="R1072" s="51">
        <v>54154</v>
      </c>
      <c r="S1072" s="51">
        <v>54154</v>
      </c>
      <c r="T1072" s="51">
        <v>23874300</v>
      </c>
      <c r="U1072" s="53">
        <f t="shared" si="36"/>
        <v>-2.2102640037560017E-2</v>
      </c>
      <c r="V1072" s="59">
        <f>U1072-('16. câmbio USD-BRL'!O519/'16. câmbio USD-BRL'!K519-1)</f>
        <v>-3.0551003455684733E-2</v>
      </c>
    </row>
    <row r="1073" spans="14:22" x14ac:dyDescent="0.2">
      <c r="N1073" s="52">
        <v>41575</v>
      </c>
      <c r="O1073" s="51">
        <v>54156</v>
      </c>
      <c r="P1073" s="51">
        <v>55267</v>
      </c>
      <c r="Q1073" s="51">
        <v>53602</v>
      </c>
      <c r="R1073" s="51">
        <v>54013</v>
      </c>
      <c r="S1073" s="51">
        <v>54013</v>
      </c>
      <c r="T1073" s="51">
        <v>35019700</v>
      </c>
      <c r="U1073" s="53">
        <f t="shared" si="36"/>
        <v>-2.6036857849836004E-3</v>
      </c>
      <c r="V1073" s="59">
        <f>U1073-('16. câmbio USD-BRL'!O520/'16. câmbio USD-BRL'!K520-1)</f>
        <v>-3.256434812145792E-2</v>
      </c>
    </row>
    <row r="1074" spans="14:22" x14ac:dyDescent="0.2">
      <c r="N1074" s="52">
        <v>41582</v>
      </c>
      <c r="O1074" s="51">
        <v>54014</v>
      </c>
      <c r="P1074" s="51">
        <v>54539</v>
      </c>
      <c r="Q1074" s="51">
        <v>51735</v>
      </c>
      <c r="R1074" s="51">
        <v>52249</v>
      </c>
      <c r="S1074" s="51">
        <v>52249</v>
      </c>
      <c r="T1074" s="51">
        <v>19297100</v>
      </c>
      <c r="U1074" s="53">
        <f t="shared" si="36"/>
        <v>-3.2658804361912819E-2</v>
      </c>
      <c r="V1074" s="59">
        <f>U1074-('16. câmbio USD-BRL'!O521/'16. câmbio USD-BRL'!K521-1)</f>
        <v>-5.7192965852595923E-2</v>
      </c>
    </row>
    <row r="1075" spans="14:22" x14ac:dyDescent="0.2">
      <c r="N1075" s="52">
        <v>41589</v>
      </c>
      <c r="O1075" s="51">
        <v>52247</v>
      </c>
      <c r="P1075" s="51">
        <v>53566</v>
      </c>
      <c r="Q1075" s="51">
        <v>51290</v>
      </c>
      <c r="R1075" s="51">
        <v>53452</v>
      </c>
      <c r="S1075" s="51">
        <v>53452</v>
      </c>
      <c r="T1075" s="51">
        <v>13191100</v>
      </c>
      <c r="U1075" s="53">
        <f t="shared" si="36"/>
        <v>2.3024364102662176E-2</v>
      </c>
      <c r="V1075" s="59">
        <f>U1075-('16. câmbio USD-BRL'!O522/'16. câmbio USD-BRL'!K522-1)</f>
        <v>2.155409383239193E-2</v>
      </c>
    </row>
    <row r="1076" spans="14:22" x14ac:dyDescent="0.2">
      <c r="N1076" s="52">
        <v>41596</v>
      </c>
      <c r="O1076" s="51">
        <v>53452</v>
      </c>
      <c r="P1076" s="51">
        <v>54317</v>
      </c>
      <c r="Q1076" s="51">
        <v>52096</v>
      </c>
      <c r="R1076" s="51">
        <v>52801</v>
      </c>
      <c r="S1076" s="51">
        <v>52801</v>
      </c>
      <c r="T1076" s="51">
        <v>14061300</v>
      </c>
      <c r="U1076" s="53">
        <f t="shared" si="36"/>
        <v>-1.2179151388161391E-2</v>
      </c>
      <c r="V1076" s="59">
        <f>U1076-('16. câmbio USD-BRL'!O523/'16. câmbio USD-BRL'!K523-1)</f>
        <v>5.9147295117825127E-3</v>
      </c>
    </row>
    <row r="1077" spans="14:22" x14ac:dyDescent="0.2">
      <c r="N1077" s="52">
        <v>41603</v>
      </c>
      <c r="O1077" s="51">
        <v>52807</v>
      </c>
      <c r="P1077" s="51">
        <v>52995</v>
      </c>
      <c r="Q1077" s="51">
        <v>51433</v>
      </c>
      <c r="R1077" s="51">
        <v>52482</v>
      </c>
      <c r="S1077" s="51">
        <v>52482</v>
      </c>
      <c r="T1077" s="51">
        <v>14963600</v>
      </c>
      <c r="U1077" s="53">
        <f t="shared" si="36"/>
        <v>-6.0415522433286961E-3</v>
      </c>
      <c r="V1077" s="59">
        <f>U1077-('16. câmbio USD-BRL'!O524/'16. câmbio USD-BRL'!K524-1)</f>
        <v>-3.020887801888017E-2</v>
      </c>
    </row>
    <row r="1078" spans="14:22" x14ac:dyDescent="0.2">
      <c r="N1078" s="52">
        <v>41610</v>
      </c>
      <c r="O1078" s="51">
        <v>52479</v>
      </c>
      <c r="P1078" s="51">
        <v>52479</v>
      </c>
      <c r="Q1078" s="51">
        <v>50114</v>
      </c>
      <c r="R1078" s="51">
        <v>50944</v>
      </c>
      <c r="S1078" s="51">
        <v>50944</v>
      </c>
      <c r="T1078" s="51">
        <v>18143500</v>
      </c>
      <c r="U1078" s="53">
        <f t="shared" si="36"/>
        <v>-2.9305285621736954E-2</v>
      </c>
      <c r="V1078" s="59">
        <f>U1078-('16. câmbio USD-BRL'!O525/'16. câmbio USD-BRL'!K525-1)</f>
        <v>-2.5443950457844755E-2</v>
      </c>
    </row>
    <row r="1079" spans="14:22" x14ac:dyDescent="0.2">
      <c r="N1079" s="52">
        <v>41617</v>
      </c>
      <c r="O1079" s="51">
        <v>50942</v>
      </c>
      <c r="P1079" s="51">
        <v>51334</v>
      </c>
      <c r="Q1079" s="51">
        <v>49842</v>
      </c>
      <c r="R1079" s="51">
        <v>50051</v>
      </c>
      <c r="S1079" s="51">
        <v>50051</v>
      </c>
      <c r="T1079" s="51">
        <v>13414200</v>
      </c>
      <c r="U1079" s="53">
        <f t="shared" si="36"/>
        <v>-1.7529051507537696E-2</v>
      </c>
      <c r="V1079" s="59">
        <f>U1079-('16. câmbio USD-BRL'!O526/'16. câmbio USD-BRL'!K526-1)</f>
        <v>-1.8907292527436059E-2</v>
      </c>
    </row>
    <row r="1080" spans="14:22" x14ac:dyDescent="0.2">
      <c r="N1080" s="52">
        <v>41624</v>
      </c>
      <c r="O1080" s="51">
        <v>50049</v>
      </c>
      <c r="P1080" s="51">
        <v>51641</v>
      </c>
      <c r="Q1080" s="51">
        <v>50049</v>
      </c>
      <c r="R1080" s="51">
        <v>51186</v>
      </c>
      <c r="S1080" s="51">
        <v>51186</v>
      </c>
      <c r="T1080" s="51">
        <v>14863700</v>
      </c>
      <c r="U1080" s="53">
        <f t="shared" si="36"/>
        <v>2.267686959301507E-2</v>
      </c>
      <c r="V1080" s="59">
        <f>U1080-('16. câmbio USD-BRL'!O527/'16. câmbio USD-BRL'!K527-1)</f>
        <v>-2.1403347080599655E-3</v>
      </c>
    </row>
    <row r="1081" spans="14:22" x14ac:dyDescent="0.2">
      <c r="N1081" s="52">
        <v>41631</v>
      </c>
      <c r="O1081" s="51">
        <v>51188</v>
      </c>
      <c r="P1081" s="51">
        <v>51610</v>
      </c>
      <c r="Q1081" s="51">
        <v>51185</v>
      </c>
      <c r="R1081" s="51">
        <v>51267</v>
      </c>
      <c r="S1081" s="51">
        <v>51267</v>
      </c>
      <c r="T1081" s="51">
        <v>6118400</v>
      </c>
      <c r="U1081" s="53">
        <f t="shared" si="36"/>
        <v>1.582463954987734E-3</v>
      </c>
      <c r="V1081" s="59">
        <f>U1081-('16. câmbio USD-BRL'!O528/'16. câmbio USD-BRL'!K528-1)</f>
        <v>1.1132548844631218E-2</v>
      </c>
    </row>
    <row r="1082" spans="14:22" x14ac:dyDescent="0.2">
      <c r="N1082" s="52">
        <v>41638</v>
      </c>
      <c r="O1082" s="51">
        <v>51274</v>
      </c>
      <c r="P1082" s="51">
        <v>51996</v>
      </c>
      <c r="Q1082" s="51">
        <v>50246</v>
      </c>
      <c r="R1082" s="51">
        <v>50981</v>
      </c>
      <c r="S1082" s="51">
        <v>50981</v>
      </c>
      <c r="T1082" s="51">
        <v>12885300</v>
      </c>
      <c r="U1082" s="53">
        <f t="shared" si="36"/>
        <v>-5.5786373300563685E-3</v>
      </c>
      <c r="V1082" s="59">
        <f>U1082-('16. câmbio USD-BRL'!O529/'16. câmbio USD-BRL'!K529-1)</f>
        <v>-1.1346481598261349E-2</v>
      </c>
    </row>
    <row r="1083" spans="14:22" x14ac:dyDescent="0.2">
      <c r="N1083" s="52">
        <v>41645</v>
      </c>
      <c r="O1083" s="51">
        <v>50980</v>
      </c>
      <c r="P1083" s="51">
        <v>51478</v>
      </c>
      <c r="Q1083" s="51">
        <v>49259</v>
      </c>
      <c r="R1083" s="51">
        <v>49696</v>
      </c>
      <c r="S1083" s="51">
        <v>49696</v>
      </c>
      <c r="T1083" s="51">
        <v>17196000</v>
      </c>
      <c r="U1083" s="53">
        <f t="shared" si="36"/>
        <v>-2.5205468704026956E-2</v>
      </c>
      <c r="V1083" s="59">
        <f>U1083-('16. câmbio USD-BRL'!O530/'16. câmbio USD-BRL'!K530-1)</f>
        <v>-1.7615335876702387E-2</v>
      </c>
    </row>
    <row r="1084" spans="14:22" x14ac:dyDescent="0.2">
      <c r="N1084" s="52">
        <v>41652</v>
      </c>
      <c r="O1084" s="51">
        <v>49708</v>
      </c>
      <c r="P1084" s="51">
        <v>50577</v>
      </c>
      <c r="Q1084" s="51">
        <v>49174</v>
      </c>
      <c r="R1084" s="51">
        <v>49182</v>
      </c>
      <c r="S1084" s="51">
        <v>49182</v>
      </c>
      <c r="T1084" s="51">
        <v>14085900</v>
      </c>
      <c r="U1084" s="53">
        <f t="shared" si="36"/>
        <v>-1.0342884739214409E-2</v>
      </c>
      <c r="V1084" s="59">
        <f>U1084-('16. câmbio USD-BRL'!O531/'16. câmbio USD-BRL'!K531-1)</f>
        <v>-7.7934902204127576E-3</v>
      </c>
    </row>
    <row r="1085" spans="14:22" x14ac:dyDescent="0.2">
      <c r="N1085" s="52">
        <v>41659</v>
      </c>
      <c r="O1085" s="51">
        <v>49180</v>
      </c>
      <c r="P1085" s="51">
        <v>49598</v>
      </c>
      <c r="Q1085" s="51">
        <v>47493</v>
      </c>
      <c r="R1085" s="51">
        <v>47787</v>
      </c>
      <c r="S1085" s="51">
        <v>47787</v>
      </c>
      <c r="T1085" s="51">
        <v>15807400</v>
      </c>
      <c r="U1085" s="53">
        <f t="shared" si="36"/>
        <v>-2.8364035622788775E-2</v>
      </c>
      <c r="V1085" s="59">
        <f>U1085-('16. câmbio USD-BRL'!O532/'16. câmbio USD-BRL'!K532-1)</f>
        <v>-4.6963737687057971E-2</v>
      </c>
    </row>
    <row r="1086" spans="14:22" x14ac:dyDescent="0.2">
      <c r="N1086" s="52">
        <v>41666</v>
      </c>
      <c r="O1086" s="51">
        <v>47782</v>
      </c>
      <c r="P1086" s="51">
        <v>48488</v>
      </c>
      <c r="Q1086" s="51">
        <v>46814</v>
      </c>
      <c r="R1086" s="51">
        <v>47639</v>
      </c>
      <c r="S1086" s="51">
        <v>47639</v>
      </c>
      <c r="T1086" s="51">
        <v>15782400</v>
      </c>
      <c r="U1086" s="53">
        <f t="shared" si="36"/>
        <v>-3.0970766107937253E-3</v>
      </c>
      <c r="V1086" s="59">
        <f>U1086-('16. câmbio USD-BRL'!O533/'16. câmbio USD-BRL'!K533-1)</f>
        <v>-1.5256528390837132E-2</v>
      </c>
    </row>
    <row r="1087" spans="14:22" x14ac:dyDescent="0.2">
      <c r="N1087" s="52">
        <v>41673</v>
      </c>
      <c r="O1087" s="51">
        <v>47623</v>
      </c>
      <c r="P1087" s="51">
        <v>48253</v>
      </c>
      <c r="Q1087" s="51">
        <v>46109</v>
      </c>
      <c r="R1087" s="51">
        <v>48074</v>
      </c>
      <c r="S1087" s="51">
        <v>48074</v>
      </c>
      <c r="T1087" s="51">
        <v>17280600</v>
      </c>
      <c r="U1087" s="53">
        <f t="shared" si="36"/>
        <v>9.1311740380779494E-3</v>
      </c>
      <c r="V1087" s="59">
        <f>U1087-('16. câmbio USD-BRL'!O534/'16. câmbio USD-BRL'!K534-1)</f>
        <v>2.2629533468239593E-2</v>
      </c>
    </row>
    <row r="1088" spans="14:22" x14ac:dyDescent="0.2">
      <c r="N1088" s="52">
        <v>41680</v>
      </c>
      <c r="O1088" s="51">
        <v>48070</v>
      </c>
      <c r="P1088" s="51">
        <v>48669</v>
      </c>
      <c r="Q1088" s="51">
        <v>47129</v>
      </c>
      <c r="R1088" s="51">
        <v>48201</v>
      </c>
      <c r="S1088" s="51">
        <v>48201</v>
      </c>
      <c r="T1088" s="51">
        <v>15139400</v>
      </c>
      <c r="U1088" s="53">
        <f t="shared" si="36"/>
        <v>2.6417606190456411E-3</v>
      </c>
      <c r="V1088" s="59">
        <f>U1088-('16. câmbio USD-BRL'!O535/'16. câmbio USD-BRL'!K535-1)</f>
        <v>-1.1052922607119875E-3</v>
      </c>
    </row>
    <row r="1089" spans="14:22" x14ac:dyDescent="0.2">
      <c r="N1089" s="52">
        <v>41687</v>
      </c>
      <c r="O1089" s="51">
        <v>48199</v>
      </c>
      <c r="P1089" s="51">
        <v>48297</v>
      </c>
      <c r="Q1089" s="51">
        <v>46134</v>
      </c>
      <c r="R1089" s="51">
        <v>47380</v>
      </c>
      <c r="S1089" s="51">
        <v>47380</v>
      </c>
      <c r="T1089" s="51">
        <v>15342300</v>
      </c>
      <c r="U1089" s="53">
        <f t="shared" si="36"/>
        <v>-1.7032841642289576E-2</v>
      </c>
      <c r="V1089" s="59">
        <f>U1089-('16. câmbio USD-BRL'!O536/'16. câmbio USD-BRL'!K536-1)</f>
        <v>1.2130373057412935E-3</v>
      </c>
    </row>
    <row r="1090" spans="14:22" x14ac:dyDescent="0.2">
      <c r="N1090" s="52">
        <v>41694</v>
      </c>
      <c r="O1090" s="51">
        <v>47375</v>
      </c>
      <c r="P1090" s="51">
        <v>47813</v>
      </c>
      <c r="Q1090" s="51">
        <v>46403</v>
      </c>
      <c r="R1090" s="51">
        <v>47094</v>
      </c>
      <c r="S1090" s="51">
        <v>47094</v>
      </c>
      <c r="T1090" s="51">
        <v>16275800</v>
      </c>
      <c r="U1090" s="53">
        <f t="shared" si="36"/>
        <v>-6.0363022372309505E-3</v>
      </c>
      <c r="V1090" s="59">
        <f>U1090-('16. câmbio USD-BRL'!O537/'16. câmbio USD-BRL'!K537-1)</f>
        <v>-2.96016791269893E-3</v>
      </c>
    </row>
    <row r="1091" spans="14:22" x14ac:dyDescent="0.2">
      <c r="N1091" s="52">
        <v>41701</v>
      </c>
      <c r="O1091" s="51">
        <v>47092</v>
      </c>
      <c r="P1091" s="51">
        <v>47400</v>
      </c>
      <c r="Q1091" s="51">
        <v>46086</v>
      </c>
      <c r="R1091" s="51">
        <v>46244</v>
      </c>
      <c r="S1091" s="51">
        <v>46244</v>
      </c>
      <c r="T1091" s="51">
        <v>9440700</v>
      </c>
      <c r="U1091" s="53">
        <f t="shared" si="36"/>
        <v>-1.8049008366246233E-2</v>
      </c>
      <c r="V1091" s="59">
        <f>U1091-('16. câmbio USD-BRL'!O538/'16. câmbio USD-BRL'!K538-1)</f>
        <v>-1.8991838571097319E-2</v>
      </c>
    </row>
    <row r="1092" spans="14:22" x14ac:dyDescent="0.2">
      <c r="N1092" s="52">
        <v>41708</v>
      </c>
      <c r="O1092" s="51">
        <v>46242</v>
      </c>
      <c r="P1092" s="51">
        <v>46242</v>
      </c>
      <c r="Q1092" s="51">
        <v>44905</v>
      </c>
      <c r="R1092" s="51">
        <v>44966</v>
      </c>
      <c r="S1092" s="51">
        <v>44966</v>
      </c>
      <c r="T1092" s="51">
        <v>16572600</v>
      </c>
      <c r="U1092" s="53">
        <f t="shared" si="36"/>
        <v>-2.7636017645532363E-2</v>
      </c>
      <c r="V1092" s="59">
        <f>U1092-('16. câmbio USD-BRL'!O539/'16. câmbio USD-BRL'!K539-1)</f>
        <v>-4.1366093875608412E-2</v>
      </c>
    </row>
    <row r="1093" spans="14:22" x14ac:dyDescent="0.2">
      <c r="N1093" s="52">
        <v>41715</v>
      </c>
      <c r="O1093" s="51">
        <v>44979</v>
      </c>
      <c r="P1093" s="51">
        <v>47832</v>
      </c>
      <c r="Q1093" s="51">
        <v>44969</v>
      </c>
      <c r="R1093" s="51">
        <v>47381</v>
      </c>
      <c r="S1093" s="51">
        <v>47381</v>
      </c>
      <c r="T1093" s="51">
        <v>18413300</v>
      </c>
      <c r="U1093" s="53">
        <f t="shared" ref="U1093:U1156" si="37">S1093/S1092-1</f>
        <v>5.3707245474358345E-2</v>
      </c>
      <c r="V1093" s="59">
        <f>U1093-('16. câmbio USD-BRL'!O540/'16. câmbio USD-BRL'!K540-1)</f>
        <v>6.2551509520502369E-2</v>
      </c>
    </row>
    <row r="1094" spans="14:22" x14ac:dyDescent="0.2">
      <c r="N1094" s="52">
        <v>41722</v>
      </c>
      <c r="O1094" s="51">
        <v>47382</v>
      </c>
      <c r="P1094" s="51">
        <v>50181</v>
      </c>
      <c r="Q1094" s="51">
        <v>47382</v>
      </c>
      <c r="R1094" s="51">
        <v>49768</v>
      </c>
      <c r="S1094" s="51">
        <v>49768</v>
      </c>
      <c r="T1094" s="51">
        <v>19560500</v>
      </c>
      <c r="U1094" s="53">
        <f t="shared" si="37"/>
        <v>5.0378843840357845E-2</v>
      </c>
      <c r="V1094" s="59">
        <f>U1094-('16. câmbio USD-BRL'!O541/'16. câmbio USD-BRL'!K541-1)</f>
        <v>7.7838107569989656E-2</v>
      </c>
    </row>
    <row r="1095" spans="14:22" x14ac:dyDescent="0.2">
      <c r="N1095" s="52">
        <v>41729</v>
      </c>
      <c r="O1095" s="51">
        <v>49770</v>
      </c>
      <c r="P1095" s="51">
        <v>52288</v>
      </c>
      <c r="Q1095" s="51">
        <v>49770</v>
      </c>
      <c r="R1095" s="51">
        <v>51082</v>
      </c>
      <c r="S1095" s="51">
        <v>51082</v>
      </c>
      <c r="T1095" s="51">
        <v>19137400</v>
      </c>
      <c r="U1095" s="53">
        <f t="shared" si="37"/>
        <v>2.6402507635428396E-2</v>
      </c>
      <c r="V1095" s="59">
        <f>U1095-('16. câmbio USD-BRL'!O542/'16. câmbio USD-BRL'!K542-1)</f>
        <v>2.4363590920743805E-2</v>
      </c>
    </row>
    <row r="1096" spans="14:22" x14ac:dyDescent="0.2">
      <c r="N1096" s="52">
        <v>41736</v>
      </c>
      <c r="O1096" s="51">
        <v>51115</v>
      </c>
      <c r="P1096" s="51">
        <v>53394</v>
      </c>
      <c r="Q1096" s="51">
        <v>50518</v>
      </c>
      <c r="R1096" s="51">
        <v>51867</v>
      </c>
      <c r="S1096" s="51">
        <v>51867</v>
      </c>
      <c r="T1096" s="51">
        <v>20349000</v>
      </c>
      <c r="U1096" s="53">
        <f t="shared" si="37"/>
        <v>1.5367448416271801E-2</v>
      </c>
      <c r="V1096" s="59">
        <f>U1096-('16. câmbio USD-BRL'!O543/'16. câmbio USD-BRL'!K543-1)</f>
        <v>2.3247104576730182E-2</v>
      </c>
    </row>
    <row r="1097" spans="14:22" x14ac:dyDescent="0.2">
      <c r="N1097" s="52">
        <v>41743</v>
      </c>
      <c r="O1097" s="51">
        <v>51867</v>
      </c>
      <c r="P1097" s="51">
        <v>52338</v>
      </c>
      <c r="Q1097" s="51">
        <v>49890</v>
      </c>
      <c r="R1097" s="51">
        <v>52112</v>
      </c>
      <c r="S1097" s="51">
        <v>52112</v>
      </c>
      <c r="T1097" s="51">
        <v>12988200</v>
      </c>
      <c r="U1097" s="53">
        <f t="shared" si="37"/>
        <v>4.7236200281488561E-3</v>
      </c>
      <c r="V1097" s="59">
        <f>U1097-('16. câmbio USD-BRL'!O544/'16. câmbio USD-BRL'!K544-1)</f>
        <v>-1.7355696371477158E-3</v>
      </c>
    </row>
    <row r="1098" spans="14:22" x14ac:dyDescent="0.2">
      <c r="N1098" s="52">
        <v>41750</v>
      </c>
      <c r="O1098" s="51">
        <v>52112</v>
      </c>
      <c r="P1098" s="51">
        <v>52460</v>
      </c>
      <c r="Q1098" s="51">
        <v>51019</v>
      </c>
      <c r="R1098" s="51">
        <v>51399</v>
      </c>
      <c r="S1098" s="51">
        <v>51399</v>
      </c>
      <c r="T1098" s="51">
        <v>12478500</v>
      </c>
      <c r="U1098" s="53">
        <f t="shared" si="37"/>
        <v>-1.3682069389008289E-2</v>
      </c>
      <c r="V1098" s="59">
        <f>U1098-('16. câmbio USD-BRL'!O545/'16. câmbio USD-BRL'!K545-1)</f>
        <v>-1.8439272512605687E-2</v>
      </c>
    </row>
    <row r="1099" spans="14:22" x14ac:dyDescent="0.2">
      <c r="N1099" s="52">
        <v>41757</v>
      </c>
      <c r="O1099" s="51">
        <v>51397</v>
      </c>
      <c r="P1099" s="51">
        <v>53060</v>
      </c>
      <c r="Q1099" s="51">
        <v>50777</v>
      </c>
      <c r="R1099" s="51">
        <v>52980</v>
      </c>
      <c r="S1099" s="51">
        <v>52980</v>
      </c>
      <c r="T1099" s="51">
        <v>19767200</v>
      </c>
      <c r="U1099" s="53">
        <f t="shared" si="37"/>
        <v>3.0759353294811165E-2</v>
      </c>
      <c r="V1099" s="59">
        <f>U1099-('16. câmbio USD-BRL'!O546/'16. câmbio USD-BRL'!K546-1)</f>
        <v>3.4377362942836776E-2</v>
      </c>
    </row>
    <row r="1100" spans="14:22" x14ac:dyDescent="0.2">
      <c r="N1100" s="52">
        <v>41764</v>
      </c>
      <c r="O1100" s="51">
        <v>52989</v>
      </c>
      <c r="P1100" s="51">
        <v>54249</v>
      </c>
      <c r="Q1100" s="51">
        <v>52931</v>
      </c>
      <c r="R1100" s="51">
        <v>53100</v>
      </c>
      <c r="S1100" s="51">
        <v>53100</v>
      </c>
      <c r="T1100" s="51">
        <v>20498600</v>
      </c>
      <c r="U1100" s="53">
        <f t="shared" si="37"/>
        <v>2.2650056625141968E-3</v>
      </c>
      <c r="V1100" s="59">
        <f>U1100-('16. câmbio USD-BRL'!O547/'16. câmbio USD-BRL'!K547-1)</f>
        <v>5.6510101771868326E-3</v>
      </c>
    </row>
    <row r="1101" spans="14:22" x14ac:dyDescent="0.2">
      <c r="N1101" s="52">
        <v>41771</v>
      </c>
      <c r="O1101" s="51">
        <v>53103</v>
      </c>
      <c r="P1101" s="51">
        <v>54459</v>
      </c>
      <c r="Q1101" s="51">
        <v>53103</v>
      </c>
      <c r="R1101" s="51">
        <v>53976</v>
      </c>
      <c r="S1101" s="51">
        <v>53976</v>
      </c>
      <c r="T1101" s="51">
        <v>15557300</v>
      </c>
      <c r="U1101" s="53">
        <f t="shared" si="37"/>
        <v>1.6497175141243048E-2</v>
      </c>
      <c r="V1101" s="59">
        <f>U1101-('16. câmbio USD-BRL'!O548/'16. câmbio USD-BRL'!K548-1)</f>
        <v>1.9894683635014232E-2</v>
      </c>
    </row>
    <row r="1102" spans="14:22" x14ac:dyDescent="0.2">
      <c r="N1102" s="52">
        <v>41778</v>
      </c>
      <c r="O1102" s="51">
        <v>53976</v>
      </c>
      <c r="P1102" s="51">
        <v>53991</v>
      </c>
      <c r="Q1102" s="51">
        <v>52133</v>
      </c>
      <c r="R1102" s="51">
        <v>52626</v>
      </c>
      <c r="S1102" s="51">
        <v>52626</v>
      </c>
      <c r="T1102" s="51">
        <v>15689900</v>
      </c>
      <c r="U1102" s="53">
        <f t="shared" si="37"/>
        <v>-2.5011116051578464E-2</v>
      </c>
      <c r="V1102" s="59">
        <f>U1102-('16. câmbio USD-BRL'!O549/'16. câmbio USD-BRL'!K549-1)</f>
        <v>-2.8947233320727239E-2</v>
      </c>
    </row>
    <row r="1103" spans="14:22" x14ac:dyDescent="0.2">
      <c r="N1103" s="52">
        <v>41785</v>
      </c>
      <c r="O1103" s="51">
        <v>52649</v>
      </c>
      <c r="P1103" s="51">
        <v>53309</v>
      </c>
      <c r="Q1103" s="51">
        <v>51239</v>
      </c>
      <c r="R1103" s="51">
        <v>51239</v>
      </c>
      <c r="S1103" s="51">
        <v>51239</v>
      </c>
      <c r="T1103" s="51">
        <v>13851500</v>
      </c>
      <c r="U1103" s="53">
        <f t="shared" si="37"/>
        <v>-2.6355793714133657E-2</v>
      </c>
      <c r="V1103" s="59">
        <f>U1103-('16. câmbio USD-BRL'!O550/'16. câmbio USD-BRL'!K550-1)</f>
        <v>-2.8428799572628449E-2</v>
      </c>
    </row>
    <row r="1104" spans="14:22" x14ac:dyDescent="0.2">
      <c r="N1104" s="52">
        <v>41792</v>
      </c>
      <c r="O1104" s="51">
        <v>51239</v>
      </c>
      <c r="P1104" s="51">
        <v>53175</v>
      </c>
      <c r="Q1104" s="51">
        <v>51239</v>
      </c>
      <c r="R1104" s="51">
        <v>53129</v>
      </c>
      <c r="S1104" s="51">
        <v>53129</v>
      </c>
      <c r="T1104" s="51">
        <v>15217200</v>
      </c>
      <c r="U1104" s="53">
        <f t="shared" si="37"/>
        <v>3.688596576826253E-2</v>
      </c>
      <c r="V1104" s="59">
        <f>U1104-('16. câmbio USD-BRL'!O551/'16. câmbio USD-BRL'!K551-1)</f>
        <v>3.4203562334786275E-2</v>
      </c>
    </row>
    <row r="1105" spans="14:22" x14ac:dyDescent="0.2">
      <c r="N1105" s="52">
        <v>41799</v>
      </c>
      <c r="O1105" s="51">
        <v>53129</v>
      </c>
      <c r="P1105" s="51">
        <v>55284</v>
      </c>
      <c r="Q1105" s="51">
        <v>53091</v>
      </c>
      <c r="R1105" s="51">
        <v>54807</v>
      </c>
      <c r="S1105" s="51">
        <v>54807</v>
      </c>
      <c r="T1105" s="51">
        <v>13850300</v>
      </c>
      <c r="U1105" s="53">
        <f t="shared" si="37"/>
        <v>3.158350430085255E-2</v>
      </c>
      <c r="V1105" s="59">
        <f>U1105-('16. câmbio USD-BRL'!O552/'16. câmbio USD-BRL'!K552-1)</f>
        <v>4.1839457212651365E-2</v>
      </c>
    </row>
    <row r="1106" spans="14:22" x14ac:dyDescent="0.2">
      <c r="N1106" s="52">
        <v>41806</v>
      </c>
      <c r="O1106" s="51">
        <v>54807</v>
      </c>
      <c r="P1106" s="51">
        <v>55203</v>
      </c>
      <c r="Q1106" s="51">
        <v>54046</v>
      </c>
      <c r="R1106" s="51">
        <v>54638</v>
      </c>
      <c r="S1106" s="51">
        <v>54638</v>
      </c>
      <c r="T1106" s="51">
        <v>9839000</v>
      </c>
      <c r="U1106" s="53">
        <f t="shared" si="37"/>
        <v>-3.0835477220063634E-3</v>
      </c>
      <c r="V1106" s="59">
        <f>U1106-('16. câmbio USD-BRL'!O553/'16. câmbio USD-BRL'!K553-1)</f>
        <v>-5.6515779977317493E-3</v>
      </c>
    </row>
    <row r="1107" spans="14:22" x14ac:dyDescent="0.2">
      <c r="N1107" s="52">
        <v>41813</v>
      </c>
      <c r="O1107" s="51">
        <v>54637</v>
      </c>
      <c r="P1107" s="51">
        <v>55002</v>
      </c>
      <c r="Q1107" s="51">
        <v>52919</v>
      </c>
      <c r="R1107" s="51">
        <v>53157</v>
      </c>
      <c r="S1107" s="51">
        <v>53157</v>
      </c>
      <c r="T1107" s="51">
        <v>12089800</v>
      </c>
      <c r="U1107" s="53">
        <f t="shared" si="37"/>
        <v>-2.7105677367399994E-2</v>
      </c>
      <c r="V1107" s="59">
        <f>U1107-('16. câmbio USD-BRL'!O554/'16. câmbio USD-BRL'!K554-1)</f>
        <v>-1.2286870954898332E-2</v>
      </c>
    </row>
    <row r="1108" spans="14:22" x14ac:dyDescent="0.2">
      <c r="N1108" s="52">
        <v>41820</v>
      </c>
      <c r="O1108" s="51">
        <v>53158</v>
      </c>
      <c r="P1108" s="51">
        <v>54086</v>
      </c>
      <c r="Q1108" s="51">
        <v>52709</v>
      </c>
      <c r="R1108" s="51">
        <v>54055</v>
      </c>
      <c r="S1108" s="51">
        <v>54055</v>
      </c>
      <c r="T1108" s="51">
        <v>12354700</v>
      </c>
      <c r="U1108" s="53">
        <f t="shared" si="37"/>
        <v>1.6893353650506926E-2</v>
      </c>
      <c r="V1108" s="59">
        <f>U1108-('16. câmbio USD-BRL'!O555/'16. câmbio USD-BRL'!K555-1)</f>
        <v>9.8617534922240679E-5</v>
      </c>
    </row>
    <row r="1109" spans="14:22" x14ac:dyDescent="0.2">
      <c r="N1109" s="52">
        <v>41827</v>
      </c>
      <c r="O1109" s="51">
        <v>54042</v>
      </c>
      <c r="P1109" s="51">
        <v>54952</v>
      </c>
      <c r="Q1109" s="51">
        <v>53376</v>
      </c>
      <c r="R1109" s="51">
        <v>54786</v>
      </c>
      <c r="S1109" s="51">
        <v>54786</v>
      </c>
      <c r="T1109" s="51">
        <v>12146600</v>
      </c>
      <c r="U1109" s="53">
        <f t="shared" si="37"/>
        <v>1.3523263342891445E-2</v>
      </c>
      <c r="V1109" s="59">
        <f>U1109-('16. câmbio USD-BRL'!O556/'16. câmbio USD-BRL'!K556-1)</f>
        <v>1.2435226325837601E-3</v>
      </c>
    </row>
    <row r="1110" spans="14:22" x14ac:dyDescent="0.2">
      <c r="N1110" s="52">
        <v>41834</v>
      </c>
      <c r="O1110" s="51">
        <v>54786</v>
      </c>
      <c r="P1110" s="51">
        <v>57484</v>
      </c>
      <c r="Q1110" s="51">
        <v>54786</v>
      </c>
      <c r="R1110" s="51">
        <v>57013</v>
      </c>
      <c r="S1110" s="51">
        <v>57013</v>
      </c>
      <c r="T1110" s="51">
        <v>20759100</v>
      </c>
      <c r="U1110" s="53">
        <f t="shared" si="37"/>
        <v>4.0649070930529607E-2</v>
      </c>
      <c r="V1110" s="59">
        <f>U1110-('16. câmbio USD-BRL'!O557/'16. câmbio USD-BRL'!K557-1)</f>
        <v>3.1979862506419154E-2</v>
      </c>
    </row>
    <row r="1111" spans="14:22" x14ac:dyDescent="0.2">
      <c r="N1111" s="52">
        <v>41841</v>
      </c>
      <c r="O1111" s="51">
        <v>57014</v>
      </c>
      <c r="P1111" s="51">
        <v>58138</v>
      </c>
      <c r="Q1111" s="51">
        <v>56864</v>
      </c>
      <c r="R1111" s="51">
        <v>57821</v>
      </c>
      <c r="S1111" s="51">
        <v>57821</v>
      </c>
      <c r="T1111" s="51">
        <v>14242500</v>
      </c>
      <c r="U1111" s="53">
        <f t="shared" si="37"/>
        <v>1.4172206338905147E-2</v>
      </c>
      <c r="V1111" s="59">
        <f>U1111-('16. câmbio USD-BRL'!O558/'16. câmbio USD-BRL'!K558-1)</f>
        <v>1.4262203189015388E-2</v>
      </c>
    </row>
    <row r="1112" spans="14:22" x14ac:dyDescent="0.2">
      <c r="N1112" s="52">
        <v>41848</v>
      </c>
      <c r="O1112" s="51">
        <v>57823</v>
      </c>
      <c r="P1112" s="51">
        <v>58040</v>
      </c>
      <c r="Q1112" s="51">
        <v>55267</v>
      </c>
      <c r="R1112" s="51">
        <v>55903</v>
      </c>
      <c r="S1112" s="51">
        <v>55903</v>
      </c>
      <c r="T1112" s="51">
        <v>14232800</v>
      </c>
      <c r="U1112" s="53">
        <f t="shared" si="37"/>
        <v>-3.3171339132840982E-2</v>
      </c>
      <c r="V1112" s="59">
        <f>U1112-('16. câmbio USD-BRL'!O559/'16. câmbio USD-BRL'!K559-1)</f>
        <v>-4.676208662395287E-2</v>
      </c>
    </row>
    <row r="1113" spans="14:22" x14ac:dyDescent="0.2">
      <c r="N1113" s="52">
        <v>41855</v>
      </c>
      <c r="O1113" s="51">
        <v>55906</v>
      </c>
      <c r="P1113" s="51">
        <v>56937</v>
      </c>
      <c r="Q1113" s="51">
        <v>55319</v>
      </c>
      <c r="R1113" s="51">
        <v>55573</v>
      </c>
      <c r="S1113" s="51">
        <v>55573</v>
      </c>
      <c r="T1113" s="51">
        <v>16020400</v>
      </c>
      <c r="U1113" s="53">
        <f t="shared" si="37"/>
        <v>-5.9030821243940546E-3</v>
      </c>
      <c r="V1113" s="59">
        <f>U1113-('16. câmbio USD-BRL'!O560/'16. câmbio USD-BRL'!K560-1)</f>
        <v>-2.5179436165272517E-2</v>
      </c>
    </row>
    <row r="1114" spans="14:22" x14ac:dyDescent="0.2">
      <c r="N1114" s="52">
        <v>41862</v>
      </c>
      <c r="O1114" s="51">
        <v>55578</v>
      </c>
      <c r="P1114" s="51">
        <v>56965</v>
      </c>
      <c r="Q1114" s="51">
        <v>55239</v>
      </c>
      <c r="R1114" s="51">
        <v>56964</v>
      </c>
      <c r="S1114" s="51">
        <v>56964</v>
      </c>
      <c r="T1114" s="51">
        <v>16111400</v>
      </c>
      <c r="U1114" s="53">
        <f t="shared" si="37"/>
        <v>2.5030140535871714E-2</v>
      </c>
      <c r="V1114" s="59">
        <f>U1114-('16. câmbio USD-BRL'!O561/'16. câmbio USD-BRL'!K561-1)</f>
        <v>3.4946770636793079E-2</v>
      </c>
    </row>
    <row r="1115" spans="14:22" x14ac:dyDescent="0.2">
      <c r="N1115" s="52">
        <v>41869</v>
      </c>
      <c r="O1115" s="51">
        <v>56968</v>
      </c>
      <c r="P1115" s="51">
        <v>59207</v>
      </c>
      <c r="Q1115" s="51">
        <v>56968</v>
      </c>
      <c r="R1115" s="51">
        <v>58407</v>
      </c>
      <c r="S1115" s="51">
        <v>58407</v>
      </c>
      <c r="T1115" s="51">
        <v>15702700</v>
      </c>
      <c r="U1115" s="53">
        <f t="shared" si="37"/>
        <v>2.5331788497998664E-2</v>
      </c>
      <c r="V1115" s="59">
        <f>U1115-('16. câmbio USD-BRL'!O562/'16. câmbio USD-BRL'!K562-1)</f>
        <v>1.8153164843990544E-2</v>
      </c>
    </row>
    <row r="1116" spans="14:22" x14ac:dyDescent="0.2">
      <c r="N1116" s="52">
        <v>41876</v>
      </c>
      <c r="O1116" s="51">
        <v>58408</v>
      </c>
      <c r="P1116" s="51">
        <v>61442</v>
      </c>
      <c r="Q1116" s="51">
        <v>58408</v>
      </c>
      <c r="R1116" s="51">
        <v>61288</v>
      </c>
      <c r="S1116" s="51">
        <v>61288</v>
      </c>
      <c r="T1116" s="51">
        <v>21683800</v>
      </c>
      <c r="U1116" s="53">
        <f t="shared" si="37"/>
        <v>4.9326279384320326E-2</v>
      </c>
      <c r="V1116" s="59">
        <f>U1116-('16. câmbio USD-BRL'!O563/'16. câmbio USD-BRL'!K563-1)</f>
        <v>6.2983737947856389E-2</v>
      </c>
    </row>
    <row r="1117" spans="14:22" x14ac:dyDescent="0.2">
      <c r="N1117" s="52">
        <v>41883</v>
      </c>
      <c r="O1117" s="51">
        <v>61294</v>
      </c>
      <c r="P1117" s="51">
        <v>62305</v>
      </c>
      <c r="Q1117" s="51">
        <v>60243</v>
      </c>
      <c r="R1117" s="51">
        <v>60681</v>
      </c>
      <c r="S1117" s="51">
        <v>60681</v>
      </c>
      <c r="T1117" s="51">
        <v>18748500</v>
      </c>
      <c r="U1117" s="53">
        <f t="shared" si="37"/>
        <v>-9.9040595222555927E-3</v>
      </c>
      <c r="V1117" s="59">
        <f>U1117-('16. câmbio USD-BRL'!O564/'16. câmbio USD-BRL'!K564-1)</f>
        <v>-1.3354498669056247E-2</v>
      </c>
    </row>
    <row r="1118" spans="14:22" x14ac:dyDescent="0.2">
      <c r="N1118" s="52">
        <v>41890</v>
      </c>
      <c r="O1118" s="51">
        <v>60708</v>
      </c>
      <c r="P1118" s="51">
        <v>61513</v>
      </c>
      <c r="Q1118" s="51">
        <v>56666</v>
      </c>
      <c r="R1118" s="51">
        <v>56928</v>
      </c>
      <c r="S1118" s="51">
        <v>56928</v>
      </c>
      <c r="T1118" s="51">
        <v>20166300</v>
      </c>
      <c r="U1118" s="53">
        <f t="shared" si="37"/>
        <v>-6.1848024917189881E-2</v>
      </c>
      <c r="V1118" s="59">
        <f>U1118-('16. câmbio USD-BRL'!O565/'16. câmbio USD-BRL'!K565-1)</f>
        <v>-7.7086205272896335E-2</v>
      </c>
    </row>
    <row r="1119" spans="14:22" x14ac:dyDescent="0.2">
      <c r="N1119" s="52">
        <v>41897</v>
      </c>
      <c r="O1119" s="51">
        <v>56930</v>
      </c>
      <c r="P1119" s="51">
        <v>60243</v>
      </c>
      <c r="Q1119" s="51">
        <v>56852</v>
      </c>
      <c r="R1119" s="51">
        <v>57789</v>
      </c>
      <c r="S1119" s="51">
        <v>57789</v>
      </c>
      <c r="T1119" s="51">
        <v>18617300</v>
      </c>
      <c r="U1119" s="53">
        <f t="shared" si="37"/>
        <v>1.512436762225966E-2</v>
      </c>
      <c r="V1119" s="59">
        <f>U1119-('16. câmbio USD-BRL'!O566/'16. câmbio USD-BRL'!K566-1)</f>
        <v>2.1896408790695876E-3</v>
      </c>
    </row>
    <row r="1120" spans="14:22" x14ac:dyDescent="0.2">
      <c r="N1120" s="52">
        <v>41904</v>
      </c>
      <c r="O1120" s="51">
        <v>57788</v>
      </c>
      <c r="P1120" s="51">
        <v>57788</v>
      </c>
      <c r="Q1120" s="51">
        <v>55876</v>
      </c>
      <c r="R1120" s="51">
        <v>57212</v>
      </c>
      <c r="S1120" s="51">
        <v>57212</v>
      </c>
      <c r="T1120" s="51">
        <v>15808000</v>
      </c>
      <c r="U1120" s="53">
        <f t="shared" si="37"/>
        <v>-9.9845991451660288E-3</v>
      </c>
      <c r="V1120" s="59">
        <f>U1120-('16. câmbio USD-BRL'!O567/'16. câmbio USD-BRL'!K567-1)</f>
        <v>-3.3458777548921792E-2</v>
      </c>
    </row>
    <row r="1121" spans="14:22" x14ac:dyDescent="0.2">
      <c r="N1121" s="52">
        <v>41911</v>
      </c>
      <c r="O1121" s="51">
        <v>57211</v>
      </c>
      <c r="P1121" s="51">
        <v>57211</v>
      </c>
      <c r="Q1121" s="51">
        <v>52480</v>
      </c>
      <c r="R1121" s="51">
        <v>54540</v>
      </c>
      <c r="S1121" s="51">
        <v>54540</v>
      </c>
      <c r="T1121" s="51">
        <v>23022400</v>
      </c>
      <c r="U1121" s="53">
        <f t="shared" si="37"/>
        <v>-4.6703488778577884E-2</v>
      </c>
      <c r="V1121" s="59">
        <f>U1121-('16. câmbio USD-BRL'!O568/'16. câmbio USD-BRL'!K568-1)</f>
        <v>-6.4025605557824439E-2</v>
      </c>
    </row>
    <row r="1122" spans="14:22" x14ac:dyDescent="0.2">
      <c r="N1122" s="52">
        <v>41918</v>
      </c>
      <c r="O1122" s="51">
        <v>54542</v>
      </c>
      <c r="P1122" s="51">
        <v>58897</v>
      </c>
      <c r="Q1122" s="51">
        <v>54542</v>
      </c>
      <c r="R1122" s="51">
        <v>55312</v>
      </c>
      <c r="S1122" s="51">
        <v>55312</v>
      </c>
      <c r="T1122" s="51">
        <v>24534200</v>
      </c>
      <c r="U1122" s="53">
        <f t="shared" si="37"/>
        <v>1.4154748808214102E-2</v>
      </c>
      <c r="V1122" s="59">
        <f>U1122-('16. câmbio USD-BRL'!O569/'16. câmbio USD-BRL'!K569-1)</f>
        <v>5.8186961637253565E-2</v>
      </c>
    </row>
    <row r="1123" spans="14:22" x14ac:dyDescent="0.2">
      <c r="N1123" s="52">
        <v>41925</v>
      </c>
      <c r="O1123" s="51">
        <v>55313</v>
      </c>
      <c r="P1123" s="51">
        <v>58856</v>
      </c>
      <c r="Q1123" s="51">
        <v>54132</v>
      </c>
      <c r="R1123" s="51">
        <v>55724</v>
      </c>
      <c r="S1123" s="51">
        <v>55724</v>
      </c>
      <c r="T1123" s="51">
        <v>23954400</v>
      </c>
      <c r="U1123" s="53">
        <f t="shared" si="37"/>
        <v>7.4486549030952087E-3</v>
      </c>
      <c r="V1123" s="59">
        <f>U1123-('16. câmbio USD-BRL'!O570/'16. câmbio USD-BRL'!K570-1)</f>
        <v>4.2707762402804939E-3</v>
      </c>
    </row>
    <row r="1124" spans="14:22" x14ac:dyDescent="0.2">
      <c r="N1124" s="52">
        <v>41932</v>
      </c>
      <c r="O1124" s="51">
        <v>55720</v>
      </c>
      <c r="P1124" s="51">
        <v>55720</v>
      </c>
      <c r="Q1124" s="51">
        <v>50596</v>
      </c>
      <c r="R1124" s="51">
        <v>51941</v>
      </c>
      <c r="S1124" s="51">
        <v>51941</v>
      </c>
      <c r="T1124" s="51">
        <v>26399900</v>
      </c>
      <c r="U1124" s="53">
        <f t="shared" si="37"/>
        <v>-6.7888163089512621E-2</v>
      </c>
      <c r="V1124" s="59">
        <f>U1124-('16. câmbio USD-BRL'!O571/'16. câmbio USD-BRL'!K571-1)</f>
        <v>-8.3603800560200114E-2</v>
      </c>
    </row>
    <row r="1125" spans="14:22" x14ac:dyDescent="0.2">
      <c r="N1125" s="52">
        <v>41939</v>
      </c>
      <c r="O1125" s="51">
        <v>51937</v>
      </c>
      <c r="P1125" s="51">
        <v>54629</v>
      </c>
      <c r="Q1125" s="51">
        <v>48722</v>
      </c>
      <c r="R1125" s="51">
        <v>54629</v>
      </c>
      <c r="S1125" s="51">
        <v>54629</v>
      </c>
      <c r="T1125" s="51">
        <v>28323800</v>
      </c>
      <c r="U1125" s="53">
        <f t="shared" si="37"/>
        <v>5.1751025201671075E-2</v>
      </c>
      <c r="V1125" s="59">
        <f>U1125-('16. câmbio USD-BRL'!O572/'16. câmbio USD-BRL'!K572-1)</f>
        <v>7.3357965367067623E-2</v>
      </c>
    </row>
    <row r="1126" spans="14:22" x14ac:dyDescent="0.2">
      <c r="N1126" s="52">
        <v>41946</v>
      </c>
      <c r="O1126" s="51">
        <v>54629</v>
      </c>
      <c r="P1126" s="51">
        <v>54629</v>
      </c>
      <c r="Q1126" s="51">
        <v>52197</v>
      </c>
      <c r="R1126" s="51">
        <v>53223</v>
      </c>
      <c r="S1126" s="51">
        <v>53223</v>
      </c>
      <c r="T1126" s="51">
        <v>17381700</v>
      </c>
      <c r="U1126" s="53">
        <f t="shared" si="37"/>
        <v>-2.5737245785205642E-2</v>
      </c>
      <c r="V1126" s="59">
        <f>U1126-('16. câmbio USD-BRL'!O573/'16. câmbio USD-BRL'!K573-1)</f>
        <v>-8.4740381616200899E-2</v>
      </c>
    </row>
    <row r="1127" spans="14:22" x14ac:dyDescent="0.2">
      <c r="N1127" s="52">
        <v>41953</v>
      </c>
      <c r="O1127" s="51">
        <v>53223</v>
      </c>
      <c r="P1127" s="51">
        <v>53830</v>
      </c>
      <c r="Q1127" s="51">
        <v>50886</v>
      </c>
      <c r="R1127" s="51">
        <v>51772</v>
      </c>
      <c r="S1127" s="51">
        <v>51772</v>
      </c>
      <c r="T1127" s="51">
        <v>15673000</v>
      </c>
      <c r="U1127" s="53">
        <f t="shared" si="37"/>
        <v>-2.7262649606373146E-2</v>
      </c>
      <c r="V1127" s="59">
        <f>U1127-('16. câmbio USD-BRL'!O574/'16. câmbio USD-BRL'!K574-1)</f>
        <v>-4.4100303298909904E-2</v>
      </c>
    </row>
    <row r="1128" spans="14:22" x14ac:dyDescent="0.2">
      <c r="N1128" s="52">
        <v>41960</v>
      </c>
      <c r="O1128" s="51">
        <v>51772</v>
      </c>
      <c r="P1128" s="51">
        <v>56214</v>
      </c>
      <c r="Q1128" s="51">
        <v>51047</v>
      </c>
      <c r="R1128" s="51">
        <v>56084</v>
      </c>
      <c r="S1128" s="51">
        <v>56084</v>
      </c>
      <c r="T1128" s="51">
        <v>16741800</v>
      </c>
      <c r="U1128" s="53">
        <f t="shared" si="37"/>
        <v>8.3288263926446726E-2</v>
      </c>
      <c r="V1128" s="59">
        <f>U1128-('16. câmbio USD-BRL'!O575/'16. câmbio USD-BRL'!K575-1)</f>
        <v>0.1159438400201005</v>
      </c>
    </row>
    <row r="1129" spans="14:22" x14ac:dyDescent="0.2">
      <c r="N1129" s="52">
        <v>41967</v>
      </c>
      <c r="O1129" s="51">
        <v>56086</v>
      </c>
      <c r="P1129" s="51">
        <v>57359</v>
      </c>
      <c r="Q1129" s="51">
        <v>54592</v>
      </c>
      <c r="R1129" s="51">
        <v>54664</v>
      </c>
      <c r="S1129" s="51">
        <v>54664</v>
      </c>
      <c r="T1129" s="51">
        <v>17585600</v>
      </c>
      <c r="U1129" s="53">
        <f t="shared" si="37"/>
        <v>-2.5319164110976344E-2</v>
      </c>
      <c r="V1129" s="59">
        <f>U1129-('16. câmbio USD-BRL'!O576/'16. câmbio USD-BRL'!K576-1)</f>
        <v>-3.0529776258464536E-2</v>
      </c>
    </row>
    <row r="1130" spans="14:22" x14ac:dyDescent="0.2">
      <c r="N1130" s="52">
        <v>41974</v>
      </c>
      <c r="O1130" s="51">
        <v>54719</v>
      </c>
      <c r="P1130" s="51">
        <v>54719</v>
      </c>
      <c r="Q1130" s="51">
        <v>51074</v>
      </c>
      <c r="R1130" s="51">
        <v>51992</v>
      </c>
      <c r="S1130" s="51">
        <v>51992</v>
      </c>
      <c r="T1130" s="51">
        <v>15777200</v>
      </c>
      <c r="U1130" s="53">
        <f t="shared" si="37"/>
        <v>-4.8880433191862971E-2</v>
      </c>
      <c r="V1130" s="59">
        <f>U1130-('16. câmbio USD-BRL'!O577/'16. câmbio USD-BRL'!K577-1)</f>
        <v>-5.872072371472592E-2</v>
      </c>
    </row>
    <row r="1131" spans="14:22" x14ac:dyDescent="0.2">
      <c r="N1131" s="52">
        <v>41981</v>
      </c>
      <c r="O1131" s="51">
        <v>51992</v>
      </c>
      <c r="P1131" s="51">
        <v>51992</v>
      </c>
      <c r="Q1131" s="51">
        <v>47973</v>
      </c>
      <c r="R1131" s="51">
        <v>48002</v>
      </c>
      <c r="S1131" s="51">
        <v>48002</v>
      </c>
      <c r="T1131" s="51">
        <v>17910000</v>
      </c>
      <c r="U1131" s="53">
        <f t="shared" si="37"/>
        <v>-7.6742575780889388E-2</v>
      </c>
      <c r="V1131" s="59">
        <f>U1131-('16. câmbio USD-BRL'!O578/'16. câmbio USD-BRL'!K578-1)</f>
        <v>-0.10232802188114098</v>
      </c>
    </row>
    <row r="1132" spans="14:22" x14ac:dyDescent="0.2">
      <c r="N1132" s="52">
        <v>41988</v>
      </c>
      <c r="O1132" s="51">
        <v>48002</v>
      </c>
      <c r="P1132" s="51">
        <v>49658</v>
      </c>
      <c r="Q1132" s="51">
        <v>45853</v>
      </c>
      <c r="R1132" s="51">
        <v>49651</v>
      </c>
      <c r="S1132" s="51">
        <v>49651</v>
      </c>
      <c r="T1132" s="51">
        <v>24096000</v>
      </c>
      <c r="U1132" s="53">
        <f t="shared" si="37"/>
        <v>3.435273530269578E-2</v>
      </c>
      <c r="V1132" s="59">
        <f>U1132-('16. câmbio USD-BRL'!O579/'16. câmbio USD-BRL'!K579-1)</f>
        <v>2.3058241843614491E-2</v>
      </c>
    </row>
    <row r="1133" spans="14:22" x14ac:dyDescent="0.2">
      <c r="N1133" s="52">
        <v>41995</v>
      </c>
      <c r="O1133" s="51">
        <v>49651</v>
      </c>
      <c r="P1133" s="51">
        <v>50973</v>
      </c>
      <c r="Q1133" s="51">
        <v>49105</v>
      </c>
      <c r="R1133" s="51">
        <v>50145</v>
      </c>
      <c r="S1133" s="51">
        <v>50145</v>
      </c>
      <c r="T1133" s="51">
        <v>7254600</v>
      </c>
      <c r="U1133" s="53">
        <f t="shared" si="37"/>
        <v>9.9494471410443985E-3</v>
      </c>
      <c r="V1133" s="59">
        <f>U1133-('16. câmbio USD-BRL'!O580/'16. câmbio USD-BRL'!K580-1)</f>
        <v>-1.1269103935039215E-2</v>
      </c>
    </row>
    <row r="1134" spans="14:22" x14ac:dyDescent="0.2">
      <c r="N1134" s="52">
        <v>42002</v>
      </c>
      <c r="O1134" s="51">
        <v>50145</v>
      </c>
      <c r="P1134" s="51">
        <v>50903</v>
      </c>
      <c r="Q1134" s="51">
        <v>48345</v>
      </c>
      <c r="R1134" s="51">
        <v>48512</v>
      </c>
      <c r="S1134" s="51">
        <v>48512</v>
      </c>
      <c r="T1134" s="51">
        <v>7659900</v>
      </c>
      <c r="U1134" s="53">
        <f t="shared" si="37"/>
        <v>-3.2565559876358563E-2</v>
      </c>
      <c r="V1134" s="59">
        <f>U1134-('16. câmbio USD-BRL'!O581/'16. câmbio USD-BRL'!K581-1)</f>
        <v>-2.3193943552571095E-2</v>
      </c>
    </row>
    <row r="1135" spans="14:22" x14ac:dyDescent="0.2">
      <c r="N1135" s="52">
        <v>42009</v>
      </c>
      <c r="O1135" s="51">
        <v>48512</v>
      </c>
      <c r="P1135" s="51">
        <v>50261</v>
      </c>
      <c r="Q1135" s="51">
        <v>47264</v>
      </c>
      <c r="R1135" s="51">
        <v>48840</v>
      </c>
      <c r="S1135" s="51">
        <v>48840</v>
      </c>
      <c r="T1135" s="51">
        <v>19455300</v>
      </c>
      <c r="U1135" s="53">
        <f t="shared" si="37"/>
        <v>6.7612137203165723E-3</v>
      </c>
      <c r="V1135" s="59">
        <f>U1135-('16. câmbio USD-BRL'!O582/'16. câmbio USD-BRL'!K582-1)</f>
        <v>1.3557584010469359E-2</v>
      </c>
    </row>
    <row r="1136" spans="14:22" x14ac:dyDescent="0.2">
      <c r="N1136" s="52">
        <v>42016</v>
      </c>
      <c r="O1136" s="51">
        <v>48840</v>
      </c>
      <c r="P1136" s="51">
        <v>49264</v>
      </c>
      <c r="Q1136" s="51">
        <v>47372</v>
      </c>
      <c r="R1136" s="51">
        <v>49017</v>
      </c>
      <c r="S1136" s="51">
        <v>49017</v>
      </c>
      <c r="T1136" s="51">
        <v>18633400</v>
      </c>
      <c r="U1136" s="53">
        <f t="shared" si="37"/>
        <v>3.6240786240786527E-3</v>
      </c>
      <c r="V1136" s="59">
        <f>U1136-('16. câmbio USD-BRL'!O583/'16. câmbio USD-BRL'!K583-1)</f>
        <v>-3.1290690294887291E-3</v>
      </c>
    </row>
    <row r="1137" spans="14:22" x14ac:dyDescent="0.2">
      <c r="N1137" s="52">
        <v>42023</v>
      </c>
      <c r="O1137" s="51">
        <v>49009</v>
      </c>
      <c r="P1137" s="51">
        <v>50281</v>
      </c>
      <c r="Q1137" s="51">
        <v>47503</v>
      </c>
      <c r="R1137" s="51">
        <v>48775</v>
      </c>
      <c r="S1137" s="51">
        <v>48775</v>
      </c>
      <c r="T1137" s="51">
        <v>16590400</v>
      </c>
      <c r="U1137" s="53">
        <f t="shared" si="37"/>
        <v>-4.937062651733104E-3</v>
      </c>
      <c r="V1137" s="59">
        <f>U1137-('16. câmbio USD-BRL'!O584/'16. câmbio USD-BRL'!K584-1)</f>
        <v>7.5096355158362771E-3</v>
      </c>
    </row>
    <row r="1138" spans="14:22" x14ac:dyDescent="0.2">
      <c r="N1138" s="52">
        <v>42030</v>
      </c>
      <c r="O1138" s="51">
        <v>48712</v>
      </c>
      <c r="P1138" s="51">
        <v>48864</v>
      </c>
      <c r="Q1138" s="51">
        <v>46484</v>
      </c>
      <c r="R1138" s="51">
        <v>46908</v>
      </c>
      <c r="S1138" s="51">
        <v>46908</v>
      </c>
      <c r="T1138" s="51">
        <v>20158600</v>
      </c>
      <c r="U1138" s="53">
        <f t="shared" si="37"/>
        <v>-3.8277806253203539E-2</v>
      </c>
      <c r="V1138" s="59">
        <f>U1138-('16. câmbio USD-BRL'!O585/'16. câmbio USD-BRL'!K585-1)</f>
        <v>-7.4924994829497105E-2</v>
      </c>
    </row>
    <row r="1139" spans="14:22" x14ac:dyDescent="0.2">
      <c r="N1139" s="52">
        <v>42037</v>
      </c>
      <c r="O1139" s="51">
        <v>46933</v>
      </c>
      <c r="P1139" s="51">
        <v>49816</v>
      </c>
      <c r="Q1139" s="51">
        <v>46760</v>
      </c>
      <c r="R1139" s="51">
        <v>48792</v>
      </c>
      <c r="S1139" s="51">
        <v>48792</v>
      </c>
      <c r="T1139" s="51">
        <v>21474300</v>
      </c>
      <c r="U1139" s="53">
        <f t="shared" si="37"/>
        <v>4.0163724737784623E-2</v>
      </c>
      <c r="V1139" s="59">
        <f>U1139-('16. câmbio USD-BRL'!O586/'16. câmbio USD-BRL'!K586-1)</f>
        <v>1.6720391902186549E-2</v>
      </c>
    </row>
    <row r="1140" spans="14:22" x14ac:dyDescent="0.2">
      <c r="N1140" s="52">
        <v>42044</v>
      </c>
      <c r="O1140" s="51">
        <v>48792</v>
      </c>
      <c r="P1140" s="51">
        <v>50726</v>
      </c>
      <c r="Q1140" s="51">
        <v>47841</v>
      </c>
      <c r="R1140" s="51">
        <v>50636</v>
      </c>
      <c r="S1140" s="51">
        <v>50636</v>
      </c>
      <c r="T1140" s="51">
        <v>19479100</v>
      </c>
      <c r="U1140" s="53">
        <f t="shared" si="37"/>
        <v>3.7793080832923431E-2</v>
      </c>
      <c r="V1140" s="59">
        <f>U1140-('16. câmbio USD-BRL'!O587/'16. câmbio USD-BRL'!K587-1)</f>
        <v>1.1472521067850794E-2</v>
      </c>
    </row>
    <row r="1141" spans="14:22" x14ac:dyDescent="0.2">
      <c r="N1141" s="52">
        <v>42051</v>
      </c>
      <c r="O1141" s="51">
        <v>50639</v>
      </c>
      <c r="P1141" s="51">
        <v>51868</v>
      </c>
      <c r="Q1141" s="51">
        <v>50639</v>
      </c>
      <c r="R1141" s="51">
        <v>51238</v>
      </c>
      <c r="S1141" s="51">
        <v>51238</v>
      </c>
      <c r="T1141" s="51">
        <v>7634500</v>
      </c>
      <c r="U1141" s="53">
        <f t="shared" si="37"/>
        <v>1.1888774784738043E-2</v>
      </c>
      <c r="V1141" s="59">
        <f>U1141-('16. câmbio USD-BRL'!O588/'16. câmbio USD-BRL'!K588-1)</f>
        <v>-1.489388372225342E-3</v>
      </c>
    </row>
    <row r="1142" spans="14:22" x14ac:dyDescent="0.2">
      <c r="N1142" s="52">
        <v>42058</v>
      </c>
      <c r="O1142" s="51">
        <v>51238</v>
      </c>
      <c r="P1142" s="51">
        <v>52457</v>
      </c>
      <c r="Q1142" s="51">
        <v>50861</v>
      </c>
      <c r="R1142" s="51">
        <v>51583</v>
      </c>
      <c r="S1142" s="51">
        <v>51583</v>
      </c>
      <c r="T1142" s="51">
        <v>16722200</v>
      </c>
      <c r="U1142" s="53">
        <f t="shared" si="37"/>
        <v>6.7332838908622517E-3</v>
      </c>
      <c r="V1142" s="59">
        <f>U1142-('16. câmbio USD-BRL'!O589/'16. câmbio USD-BRL'!K589-1)</f>
        <v>-7.5469437548203455E-3</v>
      </c>
    </row>
    <row r="1143" spans="14:22" x14ac:dyDescent="0.2">
      <c r="N1143" s="52">
        <v>42065</v>
      </c>
      <c r="O1143" s="51">
        <v>51580</v>
      </c>
      <c r="P1143" s="51">
        <v>51580</v>
      </c>
      <c r="Q1143" s="51">
        <v>49779</v>
      </c>
      <c r="R1143" s="51">
        <v>49981</v>
      </c>
      <c r="S1143" s="51">
        <v>49981</v>
      </c>
      <c r="T1143" s="51">
        <v>14714900</v>
      </c>
      <c r="U1143" s="53">
        <f t="shared" si="37"/>
        <v>-3.1056743500765704E-2</v>
      </c>
      <c r="V1143" s="59">
        <f>U1143-('16. câmbio USD-BRL'!O590/'16. câmbio USD-BRL'!K590-1)</f>
        <v>-8.8621605316896557E-2</v>
      </c>
    </row>
    <row r="1144" spans="14:22" x14ac:dyDescent="0.2">
      <c r="N1144" s="52">
        <v>42072</v>
      </c>
      <c r="O1144" s="51">
        <v>49978</v>
      </c>
      <c r="P1144" s="51">
        <v>49978</v>
      </c>
      <c r="Q1144" s="51">
        <v>47905</v>
      </c>
      <c r="R1144" s="51">
        <v>48596</v>
      </c>
      <c r="S1144" s="51">
        <v>48596</v>
      </c>
      <c r="T1144" s="51">
        <v>19881900</v>
      </c>
      <c r="U1144" s="53">
        <f t="shared" si="37"/>
        <v>-2.7710530001400557E-2</v>
      </c>
      <c r="V1144" s="59">
        <f>U1144-('16. câmbio USD-BRL'!O591/'16. câmbio USD-BRL'!K591-1)</f>
        <v>-8.8965721812238718E-2</v>
      </c>
    </row>
    <row r="1145" spans="14:22" x14ac:dyDescent="0.2">
      <c r="N1145" s="52">
        <v>42079</v>
      </c>
      <c r="O1145" s="51">
        <v>48602</v>
      </c>
      <c r="P1145" s="51">
        <v>52286</v>
      </c>
      <c r="Q1145" s="51">
        <v>48394</v>
      </c>
      <c r="R1145" s="51">
        <v>51967</v>
      </c>
      <c r="S1145" s="51">
        <v>51967</v>
      </c>
      <c r="T1145" s="51">
        <v>19808600</v>
      </c>
      <c r="U1145" s="53">
        <f t="shared" si="37"/>
        <v>6.9367849205695942E-2</v>
      </c>
      <c r="V1145" s="59">
        <f>U1145-('16. câmbio USD-BRL'!O592/'16. câmbio USD-BRL'!K592-1)</f>
        <v>5.5158312479745897E-2</v>
      </c>
    </row>
    <row r="1146" spans="14:22" x14ac:dyDescent="0.2">
      <c r="N1146" s="52">
        <v>42086</v>
      </c>
      <c r="O1146" s="51">
        <v>51970</v>
      </c>
      <c r="P1146" s="51">
        <v>52319</v>
      </c>
      <c r="Q1146" s="51">
        <v>49909</v>
      </c>
      <c r="R1146" s="51">
        <v>50095</v>
      </c>
      <c r="S1146" s="51">
        <v>50095</v>
      </c>
      <c r="T1146" s="51">
        <v>19174800</v>
      </c>
      <c r="U1146" s="53">
        <f t="shared" si="37"/>
        <v>-3.6022860661573675E-2</v>
      </c>
      <c r="V1146" s="59">
        <f>U1146-('16. câmbio USD-BRL'!O593/'16. câmbio USD-BRL'!K593-1)</f>
        <v>-2.0053067092819954E-2</v>
      </c>
    </row>
    <row r="1147" spans="14:22" x14ac:dyDescent="0.2">
      <c r="N1147" s="52">
        <v>42093</v>
      </c>
      <c r="O1147" s="51">
        <v>50100</v>
      </c>
      <c r="P1147" s="51">
        <v>53312</v>
      </c>
      <c r="Q1147" s="51">
        <v>50100</v>
      </c>
      <c r="R1147" s="51">
        <v>53123</v>
      </c>
      <c r="S1147" s="51">
        <v>53123</v>
      </c>
      <c r="T1147" s="51">
        <v>14987800</v>
      </c>
      <c r="U1147" s="53">
        <f t="shared" si="37"/>
        <v>6.0445154207006579E-2</v>
      </c>
      <c r="V1147" s="59">
        <f>U1147-('16. câmbio USD-BRL'!O594/'16. câmbio USD-BRL'!K594-1)</f>
        <v>0.10091966172106659</v>
      </c>
    </row>
    <row r="1148" spans="14:22" x14ac:dyDescent="0.2">
      <c r="N1148" s="52">
        <v>42100</v>
      </c>
      <c r="O1148" s="51">
        <v>53124</v>
      </c>
      <c r="P1148" s="51">
        <v>54458</v>
      </c>
      <c r="Q1148" s="51">
        <v>53122</v>
      </c>
      <c r="R1148" s="51">
        <v>54214</v>
      </c>
      <c r="S1148" s="51">
        <v>54214</v>
      </c>
      <c r="T1148" s="51">
        <v>19610900</v>
      </c>
      <c r="U1148" s="53">
        <f t="shared" si="37"/>
        <v>2.0537243755059054E-2</v>
      </c>
      <c r="V1148" s="59">
        <f>U1148-('16. câmbio USD-BRL'!O595/'16. câmbio USD-BRL'!K595-1)</f>
        <v>3.1606996142176769E-2</v>
      </c>
    </row>
    <row r="1149" spans="14:22" x14ac:dyDescent="0.2">
      <c r="N1149" s="52">
        <v>42107</v>
      </c>
      <c r="O1149" s="51">
        <v>54214</v>
      </c>
      <c r="P1149" s="51">
        <v>54960</v>
      </c>
      <c r="Q1149" s="51">
        <v>53773</v>
      </c>
      <c r="R1149" s="51">
        <v>53955</v>
      </c>
      <c r="S1149" s="51">
        <v>53955</v>
      </c>
      <c r="T1149" s="51">
        <v>19147200</v>
      </c>
      <c r="U1149" s="53">
        <f t="shared" si="37"/>
        <v>-4.7773637805732516E-3</v>
      </c>
      <c r="V1149" s="59">
        <f>U1149-('16. câmbio USD-BRL'!O596/'16. câmbio USD-BRL'!K596-1)</f>
        <v>5.6827509222421302E-3</v>
      </c>
    </row>
    <row r="1150" spans="14:22" x14ac:dyDescent="0.2">
      <c r="N1150" s="52">
        <v>42114</v>
      </c>
      <c r="O1150" s="51">
        <v>53965</v>
      </c>
      <c r="P1150" s="51">
        <v>56965</v>
      </c>
      <c r="Q1150" s="51">
        <v>53510</v>
      </c>
      <c r="R1150" s="51">
        <v>56594</v>
      </c>
      <c r="S1150" s="51">
        <v>56594</v>
      </c>
      <c r="T1150" s="51">
        <v>16905700</v>
      </c>
      <c r="U1150" s="53">
        <f t="shared" si="37"/>
        <v>4.8911129645074602E-2</v>
      </c>
      <c r="V1150" s="59">
        <f>U1150-('16. câmbio USD-BRL'!O597/'16. câmbio USD-BRL'!K597-1)</f>
        <v>7.8181510258797715E-2</v>
      </c>
    </row>
    <row r="1151" spans="14:22" x14ac:dyDescent="0.2">
      <c r="N1151" s="52">
        <v>42121</v>
      </c>
      <c r="O1151" s="51">
        <v>56554</v>
      </c>
      <c r="P1151" s="51">
        <v>56962</v>
      </c>
      <c r="Q1151" s="51">
        <v>54973</v>
      </c>
      <c r="R1151" s="51">
        <v>56229</v>
      </c>
      <c r="S1151" s="51">
        <v>56229</v>
      </c>
      <c r="T1151" s="51">
        <v>16772800</v>
      </c>
      <c r="U1151" s="53">
        <f t="shared" si="37"/>
        <v>-6.4494469378378882E-3</v>
      </c>
      <c r="V1151" s="59">
        <f>U1151-('16. câmbio USD-BRL'!O598/'16. câmbio USD-BRL'!K598-1)</f>
        <v>-2.7923088297496013E-2</v>
      </c>
    </row>
    <row r="1152" spans="14:22" x14ac:dyDescent="0.2">
      <c r="N1152" s="52">
        <v>42128</v>
      </c>
      <c r="O1152" s="51">
        <v>56230</v>
      </c>
      <c r="P1152" s="51">
        <v>58575</v>
      </c>
      <c r="Q1152" s="51">
        <v>56230</v>
      </c>
      <c r="R1152" s="51">
        <v>57149</v>
      </c>
      <c r="S1152" s="51">
        <v>57149</v>
      </c>
      <c r="T1152" s="51">
        <v>18470800</v>
      </c>
      <c r="U1152" s="53">
        <f t="shared" si="37"/>
        <v>1.6361663910082092E-2</v>
      </c>
      <c r="V1152" s="59">
        <f>U1152-('16. câmbio USD-BRL'!O599/'16. câmbio USD-BRL'!K599-1)</f>
        <v>1.6427856198680479E-2</v>
      </c>
    </row>
    <row r="1153" spans="14:22" x14ac:dyDescent="0.2">
      <c r="N1153" s="52">
        <v>42135</v>
      </c>
      <c r="O1153" s="51">
        <v>57166</v>
      </c>
      <c r="P1153" s="51">
        <v>57490</v>
      </c>
      <c r="Q1153" s="51">
        <v>56105</v>
      </c>
      <c r="R1153" s="51">
        <v>57249</v>
      </c>
      <c r="S1153" s="51">
        <v>57249</v>
      </c>
      <c r="T1153" s="51">
        <v>15229800</v>
      </c>
      <c r="U1153" s="53">
        <f t="shared" si="37"/>
        <v>1.749811895221276E-3</v>
      </c>
      <c r="V1153" s="59">
        <f>U1153-('16. câmbio USD-BRL'!O600/'16. câmbio USD-BRL'!K600-1)</f>
        <v>-3.7655740136404159E-3</v>
      </c>
    </row>
    <row r="1154" spans="14:22" x14ac:dyDescent="0.2">
      <c r="N1154" s="52">
        <v>42142</v>
      </c>
      <c r="O1154" s="51">
        <v>57250</v>
      </c>
      <c r="P1154" s="51">
        <v>57606</v>
      </c>
      <c r="Q1154" s="51">
        <v>54038</v>
      </c>
      <c r="R1154" s="51">
        <v>54377</v>
      </c>
      <c r="S1154" s="51">
        <v>54377</v>
      </c>
      <c r="T1154" s="51">
        <v>17272900</v>
      </c>
      <c r="U1154" s="53">
        <f t="shared" si="37"/>
        <v>-5.0166815140875842E-2</v>
      </c>
      <c r="V1154" s="59">
        <f>U1154-('16. câmbio USD-BRL'!O601/'16. câmbio USD-BRL'!K601-1)</f>
        <v>-6.3819261899671575E-2</v>
      </c>
    </row>
    <row r="1155" spans="14:22" x14ac:dyDescent="0.2">
      <c r="N1155" s="52">
        <v>42149</v>
      </c>
      <c r="O1155" s="51">
        <v>54378</v>
      </c>
      <c r="P1155" s="51">
        <v>54868</v>
      </c>
      <c r="Q1155" s="51">
        <v>52760</v>
      </c>
      <c r="R1155" s="51">
        <v>52760</v>
      </c>
      <c r="S1155" s="51">
        <v>52760</v>
      </c>
      <c r="T1155" s="51">
        <v>16872200</v>
      </c>
      <c r="U1155" s="53">
        <f t="shared" si="37"/>
        <v>-2.9736837265755711E-2</v>
      </c>
      <c r="V1155" s="59">
        <f>U1155-('16. câmbio USD-BRL'!O602/'16. câmbio USD-BRL'!K602-1)</f>
        <v>-5.6892191911435241E-2</v>
      </c>
    </row>
    <row r="1156" spans="14:22" x14ac:dyDescent="0.2">
      <c r="N1156" s="52">
        <v>42156</v>
      </c>
      <c r="O1156" s="51">
        <v>52753</v>
      </c>
      <c r="P1156" s="51">
        <v>54254</v>
      </c>
      <c r="Q1156" s="51">
        <v>52666</v>
      </c>
      <c r="R1156" s="51">
        <v>52973</v>
      </c>
      <c r="S1156" s="51">
        <v>52973</v>
      </c>
      <c r="T1156" s="51">
        <v>12198000</v>
      </c>
      <c r="U1156" s="53">
        <f t="shared" si="37"/>
        <v>4.0371493555724225E-3</v>
      </c>
      <c r="V1156" s="59">
        <f>U1156-('16. câmbio USD-BRL'!O603/'16. câmbio USD-BRL'!K603-1)</f>
        <v>1.8226890047479238E-2</v>
      </c>
    </row>
    <row r="1157" spans="14:22" x14ac:dyDescent="0.2">
      <c r="N1157" s="52">
        <v>42163</v>
      </c>
      <c r="O1157" s="51">
        <v>52975</v>
      </c>
      <c r="P1157" s="51">
        <v>54271</v>
      </c>
      <c r="Q1157" s="51">
        <v>52688</v>
      </c>
      <c r="R1157" s="51">
        <v>53348</v>
      </c>
      <c r="S1157" s="51">
        <v>53348</v>
      </c>
      <c r="T1157" s="51">
        <v>15321000</v>
      </c>
      <c r="U1157" s="53">
        <f t="shared" ref="U1157:U1220" si="38">S1157/S1156-1</f>
        <v>7.079078020878482E-3</v>
      </c>
      <c r="V1157" s="59">
        <f>U1157-('16. câmbio USD-BRL'!O604/'16. câmbio USD-BRL'!K604-1)</f>
        <v>2.4802127530869522E-2</v>
      </c>
    </row>
    <row r="1158" spans="14:22" x14ac:dyDescent="0.2">
      <c r="N1158" s="52">
        <v>42170</v>
      </c>
      <c r="O1158" s="51">
        <v>53338</v>
      </c>
      <c r="P1158" s="51">
        <v>54352</v>
      </c>
      <c r="Q1158" s="51">
        <v>52548</v>
      </c>
      <c r="R1158" s="51">
        <v>53749</v>
      </c>
      <c r="S1158" s="51">
        <v>53749</v>
      </c>
      <c r="T1158" s="51">
        <v>14494400</v>
      </c>
      <c r="U1158" s="53">
        <f t="shared" si="38"/>
        <v>7.5166829121990908E-3</v>
      </c>
      <c r="V1158" s="59">
        <f>U1158-('16. câmbio USD-BRL'!O605/'16. câmbio USD-BRL'!K605-1)</f>
        <v>2.9490135654882677E-2</v>
      </c>
    </row>
    <row r="1159" spans="14:22" x14ac:dyDescent="0.2">
      <c r="N1159" s="52">
        <v>42177</v>
      </c>
      <c r="O1159" s="51">
        <v>53750</v>
      </c>
      <c r="P1159" s="51">
        <v>54361</v>
      </c>
      <c r="Q1159" s="51">
        <v>52879</v>
      </c>
      <c r="R1159" s="51">
        <v>54017</v>
      </c>
      <c r="S1159" s="51">
        <v>54017</v>
      </c>
      <c r="T1159" s="51">
        <v>13651100</v>
      </c>
      <c r="U1159" s="53">
        <f t="shared" si="38"/>
        <v>4.98613927700986E-3</v>
      </c>
      <c r="V1159" s="59">
        <f>U1159-('16. câmbio USD-BRL'!O606/'16. câmbio USD-BRL'!K606-1)</f>
        <v>-6.0811055615119791E-3</v>
      </c>
    </row>
    <row r="1160" spans="14:22" x14ac:dyDescent="0.2">
      <c r="N1160" s="52">
        <v>42184</v>
      </c>
      <c r="O1160" s="51">
        <v>54013</v>
      </c>
      <c r="P1160" s="51">
        <v>54013</v>
      </c>
      <c r="Q1160" s="51">
        <v>52370</v>
      </c>
      <c r="R1160" s="51">
        <v>52519</v>
      </c>
      <c r="S1160" s="51">
        <v>52519</v>
      </c>
      <c r="T1160" s="51">
        <v>12782400</v>
      </c>
      <c r="U1160" s="53">
        <f t="shared" si="38"/>
        <v>-2.7732010293055942E-2</v>
      </c>
      <c r="V1160" s="59">
        <f>U1160-('16. câmbio USD-BRL'!O607/'16. câmbio USD-BRL'!K607-1)</f>
        <v>-4.4042537350837963E-3</v>
      </c>
    </row>
    <row r="1161" spans="14:22" x14ac:dyDescent="0.2">
      <c r="N1161" s="52">
        <v>42191</v>
      </c>
      <c r="O1161" s="51">
        <v>52511</v>
      </c>
      <c r="P1161" s="51">
        <v>52786</v>
      </c>
      <c r="Q1161" s="51">
        <v>51130</v>
      </c>
      <c r="R1161" s="51">
        <v>52591</v>
      </c>
      <c r="S1161" s="51">
        <v>52591</v>
      </c>
      <c r="T1161" s="51">
        <v>11671400</v>
      </c>
      <c r="U1161" s="53">
        <f t="shared" si="38"/>
        <v>1.3709324244559618E-3</v>
      </c>
      <c r="V1161" s="59">
        <f>U1161-('16. câmbio USD-BRL'!O608/'16. câmbio USD-BRL'!K608-1)</f>
        <v>-1.8448602164747641E-2</v>
      </c>
    </row>
    <row r="1162" spans="14:22" x14ac:dyDescent="0.2">
      <c r="N1162" s="52">
        <v>42198</v>
      </c>
      <c r="O1162" s="51">
        <v>52591</v>
      </c>
      <c r="P1162" s="51">
        <v>53417</v>
      </c>
      <c r="Q1162" s="51">
        <v>52221</v>
      </c>
      <c r="R1162" s="51">
        <v>52342</v>
      </c>
      <c r="S1162" s="51">
        <v>52342</v>
      </c>
      <c r="T1162" s="51">
        <v>12397900</v>
      </c>
      <c r="U1162" s="53">
        <f t="shared" si="38"/>
        <v>-4.7346504154702762E-3</v>
      </c>
      <c r="V1162" s="59">
        <f>U1162-('16. câmbio USD-BRL'!O609/'16. câmbio USD-BRL'!K609-1)</f>
        <v>-1.1116956892563423E-2</v>
      </c>
    </row>
    <row r="1163" spans="14:22" x14ac:dyDescent="0.2">
      <c r="N1163" s="52">
        <v>42205</v>
      </c>
      <c r="O1163" s="51">
        <v>52341</v>
      </c>
      <c r="P1163" s="51">
        <v>52424</v>
      </c>
      <c r="Q1163" s="51">
        <v>48624</v>
      </c>
      <c r="R1163" s="51">
        <v>49246</v>
      </c>
      <c r="S1163" s="51">
        <v>49246</v>
      </c>
      <c r="T1163" s="51">
        <v>16514900</v>
      </c>
      <c r="U1163" s="53">
        <f t="shared" si="38"/>
        <v>-5.9149440220090943E-2</v>
      </c>
      <c r="V1163" s="59">
        <f>U1163-('16. câmbio USD-BRL'!O610/'16. câmbio USD-BRL'!K610-1)</f>
        <v>-8.9874732879287933E-2</v>
      </c>
    </row>
    <row r="1164" spans="14:22" x14ac:dyDescent="0.2">
      <c r="N1164" s="52">
        <v>42212</v>
      </c>
      <c r="O1164" s="51">
        <v>49246</v>
      </c>
      <c r="P1164" s="51">
        <v>50895</v>
      </c>
      <c r="Q1164" s="51">
        <v>48640</v>
      </c>
      <c r="R1164" s="51">
        <v>50865</v>
      </c>
      <c r="S1164" s="51">
        <v>50865</v>
      </c>
      <c r="T1164" s="51">
        <v>17776900</v>
      </c>
      <c r="U1164" s="53">
        <f t="shared" si="38"/>
        <v>3.2875766559720576E-2</v>
      </c>
      <c r="V1164" s="59">
        <f>U1164-('16. câmbio USD-BRL'!O611/'16. câmbio USD-BRL'!K611-1)</f>
        <v>2.6786941344820958E-2</v>
      </c>
    </row>
    <row r="1165" spans="14:22" x14ac:dyDescent="0.2">
      <c r="N1165" s="52">
        <v>42219</v>
      </c>
      <c r="O1165" s="51">
        <v>50867</v>
      </c>
      <c r="P1165" s="51">
        <v>50867</v>
      </c>
      <c r="Q1165" s="51">
        <v>48512</v>
      </c>
      <c r="R1165" s="51">
        <v>48577</v>
      </c>
      <c r="S1165" s="51">
        <v>48577</v>
      </c>
      <c r="T1165" s="51">
        <v>14804900</v>
      </c>
      <c r="U1165" s="53">
        <f t="shared" si="38"/>
        <v>-4.498181460729378E-2</v>
      </c>
      <c r="V1165" s="59">
        <f>U1165-('16. câmbio USD-BRL'!O612/'16. câmbio USD-BRL'!K612-1)</f>
        <v>-7.6316685967863895E-2</v>
      </c>
    </row>
    <row r="1166" spans="14:22" x14ac:dyDescent="0.2">
      <c r="N1166" s="52">
        <v>42226</v>
      </c>
      <c r="O1166" s="51">
        <v>48578</v>
      </c>
      <c r="P1166" s="51">
        <v>49512</v>
      </c>
      <c r="Q1166" s="51">
        <v>47508</v>
      </c>
      <c r="R1166" s="51">
        <v>47508</v>
      </c>
      <c r="S1166" s="51">
        <v>47508</v>
      </c>
      <c r="T1166" s="51">
        <v>16430000</v>
      </c>
      <c r="U1166" s="53">
        <f t="shared" si="38"/>
        <v>-2.2006299277435803E-2</v>
      </c>
      <c r="V1166" s="59">
        <f>U1166-('16. câmbio USD-BRL'!O613/'16. câmbio USD-BRL'!K613-1)</f>
        <v>-2.5341913372543545E-2</v>
      </c>
    </row>
    <row r="1167" spans="14:22" x14ac:dyDescent="0.2">
      <c r="N1167" s="52">
        <v>42233</v>
      </c>
      <c r="O1167" s="51">
        <v>47509</v>
      </c>
      <c r="P1167" s="51">
        <v>48084</v>
      </c>
      <c r="Q1167" s="51">
        <v>45677</v>
      </c>
      <c r="R1167" s="51">
        <v>45720</v>
      </c>
      <c r="S1167" s="51">
        <v>45720</v>
      </c>
      <c r="T1167" s="51">
        <v>15008500</v>
      </c>
      <c r="U1167" s="53">
        <f t="shared" si="38"/>
        <v>-3.7635766607729271E-2</v>
      </c>
      <c r="V1167" s="59">
        <f>U1167-('16. câmbio USD-BRL'!O614/'16. câmbio USD-BRL'!K614-1)</f>
        <v>-3.0030221735014573E-2</v>
      </c>
    </row>
    <row r="1168" spans="14:22" x14ac:dyDescent="0.2">
      <c r="N1168" s="52">
        <v>42240</v>
      </c>
      <c r="O1168" s="51">
        <v>45715</v>
      </c>
      <c r="P1168" s="51">
        <v>47997</v>
      </c>
      <c r="Q1168" s="51">
        <v>42749</v>
      </c>
      <c r="R1168" s="51">
        <v>47154</v>
      </c>
      <c r="S1168" s="51">
        <v>47154</v>
      </c>
      <c r="T1168" s="51">
        <v>20224500</v>
      </c>
      <c r="U1168" s="53">
        <f t="shared" si="38"/>
        <v>3.1364829396325566E-2</v>
      </c>
      <c r="V1168" s="59">
        <f>U1168-('16. câmbio USD-BRL'!O615/'16. câmbio USD-BRL'!K615-1)</f>
        <v>1.7514413883860325E-2</v>
      </c>
    </row>
    <row r="1169" spans="14:22" x14ac:dyDescent="0.2">
      <c r="N1169" s="52">
        <v>42247</v>
      </c>
      <c r="O1169" s="51">
        <v>47151</v>
      </c>
      <c r="P1169" s="51">
        <v>47532</v>
      </c>
      <c r="Q1169" s="51">
        <v>45278</v>
      </c>
      <c r="R1169" s="51">
        <v>46498</v>
      </c>
      <c r="S1169" s="51">
        <v>46498</v>
      </c>
      <c r="T1169" s="51">
        <v>20350300</v>
      </c>
      <c r="U1169" s="53">
        <f t="shared" si="38"/>
        <v>-1.3911863256563572E-2</v>
      </c>
      <c r="V1169" s="59">
        <f>U1169-('16. câmbio USD-BRL'!O616/'16. câmbio USD-BRL'!K616-1)</f>
        <v>-6.3216540879825311E-2</v>
      </c>
    </row>
    <row r="1170" spans="14:22" x14ac:dyDescent="0.2">
      <c r="N1170" s="52">
        <v>42254</v>
      </c>
      <c r="O1170" s="51">
        <v>46501</v>
      </c>
      <c r="P1170" s="51">
        <v>47840</v>
      </c>
      <c r="Q1170" s="51">
        <v>45592</v>
      </c>
      <c r="R1170" s="51">
        <v>46401</v>
      </c>
      <c r="S1170" s="51">
        <v>46401</v>
      </c>
      <c r="T1170" s="51">
        <v>14648700</v>
      </c>
      <c r="U1170" s="53">
        <f t="shared" si="38"/>
        <v>-2.0861112305905483E-3</v>
      </c>
      <c r="V1170" s="59">
        <f>U1170-('16. câmbio USD-BRL'!O617/'16. câmbio USD-BRL'!K617-1)</f>
        <v>-4.3259862143123495E-3</v>
      </c>
    </row>
    <row r="1171" spans="14:22" x14ac:dyDescent="0.2">
      <c r="N1171" s="52">
        <v>42261</v>
      </c>
      <c r="O1171" s="51">
        <v>46400</v>
      </c>
      <c r="P1171" s="51">
        <v>49396</v>
      </c>
      <c r="Q1171" s="51">
        <v>46218</v>
      </c>
      <c r="R1171" s="51">
        <v>47264</v>
      </c>
      <c r="S1171" s="51">
        <v>47264</v>
      </c>
      <c r="T1171" s="51">
        <v>20027400</v>
      </c>
      <c r="U1171" s="53">
        <f t="shared" si="38"/>
        <v>1.8598737096183315E-2</v>
      </c>
      <c r="V1171" s="59">
        <f>U1171-('16. câmbio USD-BRL'!O618/'16. câmbio USD-BRL'!K618-1)</f>
        <v>1.1768206695148553E-2</v>
      </c>
    </row>
    <row r="1172" spans="14:22" x14ac:dyDescent="0.2">
      <c r="N1172" s="52">
        <v>42268</v>
      </c>
      <c r="O1172" s="51">
        <v>47263</v>
      </c>
      <c r="P1172" s="51">
        <v>47391</v>
      </c>
      <c r="Q1172" s="51">
        <v>44183</v>
      </c>
      <c r="R1172" s="51">
        <v>44831</v>
      </c>
      <c r="S1172" s="51">
        <v>44831</v>
      </c>
      <c r="T1172" s="51">
        <v>18223300</v>
      </c>
      <c r="U1172" s="53">
        <f t="shared" si="38"/>
        <v>-5.1476811103588371E-2</v>
      </c>
      <c r="V1172" s="59">
        <f>U1172-('16. câmbio USD-BRL'!O619/'16. câmbio USD-BRL'!K619-1)</f>
        <v>-5.5459044217388342E-2</v>
      </c>
    </row>
    <row r="1173" spans="14:22" x14ac:dyDescent="0.2">
      <c r="N1173" s="52">
        <v>42275</v>
      </c>
      <c r="O1173" s="51">
        <v>44832</v>
      </c>
      <c r="P1173" s="51">
        <v>47033</v>
      </c>
      <c r="Q1173" s="51">
        <v>43767</v>
      </c>
      <c r="R1173" s="51">
        <v>47033</v>
      </c>
      <c r="S1173" s="51">
        <v>47033</v>
      </c>
      <c r="T1173" s="51">
        <v>18338300</v>
      </c>
      <c r="U1173" s="53">
        <f t="shared" si="38"/>
        <v>4.9117797952309861E-2</v>
      </c>
      <c r="V1173" s="59">
        <f>U1173-('16. câmbio USD-BRL'!O620/'16. câmbio USD-BRL'!K620-1)</f>
        <v>4.2193113340218025E-2</v>
      </c>
    </row>
    <row r="1174" spans="14:22" x14ac:dyDescent="0.2">
      <c r="N1174" s="52">
        <v>42282</v>
      </c>
      <c r="O1174" s="51">
        <v>47033</v>
      </c>
      <c r="P1174" s="51">
        <v>49752</v>
      </c>
      <c r="Q1174" s="51">
        <v>47019</v>
      </c>
      <c r="R1174" s="51">
        <v>49338</v>
      </c>
      <c r="S1174" s="51">
        <v>49338</v>
      </c>
      <c r="T1174" s="51">
        <v>20891400</v>
      </c>
      <c r="U1174" s="53">
        <f t="shared" si="38"/>
        <v>4.9008143218591149E-2</v>
      </c>
      <c r="V1174" s="59">
        <f>U1174-('16. câmbio USD-BRL'!O621/'16. câmbio USD-BRL'!K621-1)</f>
        <v>9.1592764872565624E-2</v>
      </c>
    </row>
    <row r="1175" spans="14:22" x14ac:dyDescent="0.2">
      <c r="N1175" s="52">
        <v>42289</v>
      </c>
      <c r="O1175" s="51">
        <v>49339</v>
      </c>
      <c r="P1175" s="51">
        <v>49339</v>
      </c>
      <c r="Q1175" s="51">
        <v>46321</v>
      </c>
      <c r="R1175" s="51">
        <v>47236</v>
      </c>
      <c r="S1175" s="51">
        <v>47236</v>
      </c>
      <c r="T1175" s="51">
        <v>17553500</v>
      </c>
      <c r="U1175" s="53">
        <f t="shared" si="38"/>
        <v>-4.2604077992622336E-2</v>
      </c>
      <c r="V1175" s="59">
        <f>U1175-('16. câmbio USD-BRL'!O622/'16. câmbio USD-BRL'!K622-1)</f>
        <v>-5.0845471053901137E-2</v>
      </c>
    </row>
    <row r="1176" spans="14:22" x14ac:dyDescent="0.2">
      <c r="N1176" s="52">
        <v>42296</v>
      </c>
      <c r="O1176" s="51">
        <v>47242</v>
      </c>
      <c r="P1176" s="51">
        <v>48837</v>
      </c>
      <c r="Q1176" s="51">
        <v>46623</v>
      </c>
      <c r="R1176" s="51">
        <v>47597</v>
      </c>
      <c r="S1176" s="51">
        <v>47597</v>
      </c>
      <c r="T1176" s="51">
        <v>16104300</v>
      </c>
      <c r="U1176" s="53">
        <f t="shared" si="38"/>
        <v>7.6424760775679612E-3</v>
      </c>
      <c r="V1176" s="59">
        <f>U1176-('16. câmbio USD-BRL'!O623/'16. câmbio USD-BRL'!K623-1)</f>
        <v>1.0784559559916196E-2</v>
      </c>
    </row>
    <row r="1177" spans="14:22" x14ac:dyDescent="0.2">
      <c r="N1177" s="52">
        <v>42303</v>
      </c>
      <c r="O1177" s="51">
        <v>47607</v>
      </c>
      <c r="P1177" s="51">
        <v>47875</v>
      </c>
      <c r="Q1177" s="51">
        <v>45401</v>
      </c>
      <c r="R1177" s="51">
        <v>45869</v>
      </c>
      <c r="S1177" s="51">
        <v>45869</v>
      </c>
      <c r="T1177" s="51">
        <v>16293800</v>
      </c>
      <c r="U1177" s="53">
        <f t="shared" si="38"/>
        <v>-3.6304809126625592E-2</v>
      </c>
      <c r="V1177" s="59">
        <f>U1177-('16. câmbio USD-BRL'!O624/'16. câmbio USD-BRL'!K624-1)</f>
        <v>-2.9433732227392762E-2</v>
      </c>
    </row>
    <row r="1178" spans="14:22" x14ac:dyDescent="0.2">
      <c r="N1178" s="52">
        <v>42310</v>
      </c>
      <c r="O1178" s="51">
        <v>45869</v>
      </c>
      <c r="P1178" s="51">
        <v>49054</v>
      </c>
      <c r="Q1178" s="51">
        <v>45866</v>
      </c>
      <c r="R1178" s="51">
        <v>46919</v>
      </c>
      <c r="S1178" s="51">
        <v>46919</v>
      </c>
      <c r="T1178" s="51">
        <v>14511100</v>
      </c>
      <c r="U1178" s="53">
        <f t="shared" si="38"/>
        <v>2.2891277333275228E-2</v>
      </c>
      <c r="V1178" s="59">
        <f>U1178-('16. câmbio USD-BRL'!O625/'16. câmbio USD-BRL'!K625-1)</f>
        <v>3.8131208558200957E-2</v>
      </c>
    </row>
    <row r="1179" spans="14:22" x14ac:dyDescent="0.2">
      <c r="N1179" s="52">
        <v>42317</v>
      </c>
      <c r="O1179" s="51">
        <v>46915</v>
      </c>
      <c r="P1179" s="51">
        <v>47460</v>
      </c>
      <c r="Q1179" s="51">
        <v>45397</v>
      </c>
      <c r="R1179" s="51">
        <v>46517</v>
      </c>
      <c r="S1179" s="51">
        <v>46517</v>
      </c>
      <c r="T1179" s="51">
        <v>14423400</v>
      </c>
      <c r="U1179" s="53">
        <f t="shared" si="38"/>
        <v>-8.5679575438522004E-3</v>
      </c>
      <c r="V1179" s="59">
        <f>U1179-('16. câmbio USD-BRL'!O626/'16. câmbio USD-BRL'!K626-1)</f>
        <v>-6.0259212668761775E-3</v>
      </c>
    </row>
    <row r="1180" spans="14:22" x14ac:dyDescent="0.2">
      <c r="N1180" s="52">
        <v>42324</v>
      </c>
      <c r="O1180" s="51">
        <v>46519</v>
      </c>
      <c r="P1180" s="51">
        <v>48227</v>
      </c>
      <c r="Q1180" s="51">
        <v>46399</v>
      </c>
      <c r="R1180" s="51">
        <v>48139</v>
      </c>
      <c r="S1180" s="51">
        <v>48139</v>
      </c>
      <c r="T1180" s="51">
        <v>14521200</v>
      </c>
      <c r="U1180" s="53">
        <f t="shared" si="38"/>
        <v>3.4868972633660844E-2</v>
      </c>
      <c r="V1180" s="59">
        <f>U1180-('16. câmbio USD-BRL'!O627/'16. câmbio USD-BRL'!K627-1)</f>
        <v>6.1019871085320476E-2</v>
      </c>
    </row>
    <row r="1181" spans="14:22" x14ac:dyDescent="0.2">
      <c r="N1181" s="52">
        <v>42331</v>
      </c>
      <c r="O1181" s="51">
        <v>48138</v>
      </c>
      <c r="P1181" s="51">
        <v>48745</v>
      </c>
      <c r="Q1181" s="51">
        <v>45812</v>
      </c>
      <c r="R1181" s="51">
        <v>45873</v>
      </c>
      <c r="S1181" s="51">
        <v>45873</v>
      </c>
      <c r="T1181" s="51">
        <v>16019500</v>
      </c>
      <c r="U1181" s="53">
        <f t="shared" si="38"/>
        <v>-4.7072020606992226E-2</v>
      </c>
      <c r="V1181" s="59">
        <f>U1181-('16. câmbio USD-BRL'!O628/'16. câmbio USD-BRL'!K628-1)</f>
        <v>-5.7395786889895883E-2</v>
      </c>
    </row>
    <row r="1182" spans="14:22" x14ac:dyDescent="0.2">
      <c r="N1182" s="52">
        <v>42338</v>
      </c>
      <c r="O1182" s="51">
        <v>45871</v>
      </c>
      <c r="P1182" s="51">
        <v>47142</v>
      </c>
      <c r="Q1182" s="51">
        <v>44579</v>
      </c>
      <c r="R1182" s="51">
        <v>45361</v>
      </c>
      <c r="S1182" s="51">
        <v>45361</v>
      </c>
      <c r="T1182" s="51">
        <v>23462900</v>
      </c>
      <c r="U1182" s="53">
        <f t="shared" si="38"/>
        <v>-1.1161249536764561E-2</v>
      </c>
      <c r="V1182" s="59">
        <f>U1182-('16. câmbio USD-BRL'!O629/'16. câmbio USD-BRL'!K629-1)</f>
        <v>1.1096260745944941E-2</v>
      </c>
    </row>
    <row r="1183" spans="14:22" x14ac:dyDescent="0.2">
      <c r="N1183" s="52">
        <v>42345</v>
      </c>
      <c r="O1183" s="51">
        <v>45361</v>
      </c>
      <c r="P1183" s="51">
        <v>46438</v>
      </c>
      <c r="Q1183" s="51">
        <v>44232</v>
      </c>
      <c r="R1183" s="51">
        <v>45263</v>
      </c>
      <c r="S1183" s="51">
        <v>45263</v>
      </c>
      <c r="T1183" s="51">
        <v>17423100</v>
      </c>
      <c r="U1183" s="53">
        <f t="shared" si="38"/>
        <v>-2.1604461982760448E-3</v>
      </c>
      <c r="V1183" s="59">
        <f>U1183-('16. câmbio USD-BRL'!O630/'16. câmbio USD-BRL'!K630-1)</f>
        <v>-1.6221697862723428E-2</v>
      </c>
    </row>
    <row r="1184" spans="14:22" x14ac:dyDescent="0.2">
      <c r="N1184" s="52">
        <v>42352</v>
      </c>
      <c r="O1184" s="51">
        <v>45258</v>
      </c>
      <c r="P1184" s="51">
        <v>46251</v>
      </c>
      <c r="Q1184" s="51">
        <v>43690</v>
      </c>
      <c r="R1184" s="51">
        <v>43911</v>
      </c>
      <c r="S1184" s="51">
        <v>43911</v>
      </c>
      <c r="T1184" s="51">
        <v>15957900</v>
      </c>
      <c r="U1184" s="53">
        <f t="shared" si="38"/>
        <v>-2.9869871639087164E-2</v>
      </c>
      <c r="V1184" s="59">
        <f>U1184-('16. câmbio USD-BRL'!O631/'16. câmbio USD-BRL'!K631-1)</f>
        <v>-3.2015683428125441E-2</v>
      </c>
    </row>
    <row r="1185" spans="14:22" x14ac:dyDescent="0.2">
      <c r="N1185" s="52">
        <v>42359</v>
      </c>
      <c r="O1185" s="51">
        <v>43912</v>
      </c>
      <c r="P1185" s="51">
        <v>44233</v>
      </c>
      <c r="Q1185" s="51">
        <v>43137</v>
      </c>
      <c r="R1185" s="51">
        <v>44015</v>
      </c>
      <c r="S1185" s="51">
        <v>44015</v>
      </c>
      <c r="T1185" s="51">
        <v>8531200</v>
      </c>
      <c r="U1185" s="53">
        <f t="shared" si="38"/>
        <v>2.368427045615018E-3</v>
      </c>
      <c r="V1185" s="59">
        <f>U1185-('16. câmbio USD-BRL'!O632/'16. câmbio USD-BRL'!K632-1)</f>
        <v>1.8386733681770684E-2</v>
      </c>
    </row>
    <row r="1186" spans="14:22" x14ac:dyDescent="0.2">
      <c r="N1186" s="52">
        <v>42366</v>
      </c>
      <c r="O1186" s="51">
        <v>44016</v>
      </c>
      <c r="P1186" s="51">
        <v>44087</v>
      </c>
      <c r="Q1186" s="51">
        <v>43217</v>
      </c>
      <c r="R1186" s="51">
        <v>43350</v>
      </c>
      <c r="S1186" s="51">
        <v>43350</v>
      </c>
      <c r="T1186" s="51">
        <v>6148300</v>
      </c>
      <c r="U1186" s="53">
        <f t="shared" si="38"/>
        <v>-1.5108485743496547E-2</v>
      </c>
      <c r="V1186" s="59">
        <f>U1186-('16. câmbio USD-BRL'!O633/'16. câmbio USD-BRL'!K633-1)</f>
        <v>-2.5390341592900545E-2</v>
      </c>
    </row>
    <row r="1187" spans="14:22" x14ac:dyDescent="0.2">
      <c r="N1187" s="52">
        <v>42373</v>
      </c>
      <c r="O1187" s="51">
        <v>43349</v>
      </c>
      <c r="P1187" s="51">
        <v>43349</v>
      </c>
      <c r="Q1187" s="51">
        <v>40463</v>
      </c>
      <c r="R1187" s="51">
        <v>40612</v>
      </c>
      <c r="S1187" s="51">
        <v>40612</v>
      </c>
      <c r="T1187" s="51">
        <v>16723300</v>
      </c>
      <c r="U1187" s="53">
        <f t="shared" si="38"/>
        <v>-6.3160322952710457E-2</v>
      </c>
      <c r="V1187" s="59">
        <f>U1187-('16. câmbio USD-BRL'!O634/'16. câmbio USD-BRL'!K634-1)</f>
        <v>-8.3612286088678101E-2</v>
      </c>
    </row>
    <row r="1188" spans="14:22" x14ac:dyDescent="0.2">
      <c r="N1188" s="52">
        <v>42380</v>
      </c>
      <c r="O1188" s="51">
        <v>40612</v>
      </c>
      <c r="P1188" s="51">
        <v>40974</v>
      </c>
      <c r="Q1188" s="51">
        <v>37986</v>
      </c>
      <c r="R1188" s="51">
        <v>38569</v>
      </c>
      <c r="S1188" s="51">
        <v>38569</v>
      </c>
      <c r="T1188" s="51">
        <v>17984700</v>
      </c>
      <c r="U1188" s="53">
        <f t="shared" si="38"/>
        <v>-5.0305328474342548E-2</v>
      </c>
      <c r="V1188" s="59">
        <f>U1188-('16. câmbio USD-BRL'!O635/'16. câmbio USD-BRL'!K635-1)</f>
        <v>-4.6773078032811055E-2</v>
      </c>
    </row>
    <row r="1189" spans="14:22" x14ac:dyDescent="0.2">
      <c r="N1189" s="52">
        <v>42387</v>
      </c>
      <c r="O1189" s="51">
        <v>38572</v>
      </c>
      <c r="P1189" s="51">
        <v>38857</v>
      </c>
      <c r="Q1189" s="51">
        <v>37046</v>
      </c>
      <c r="R1189" s="51">
        <v>38031</v>
      </c>
      <c r="S1189" s="51">
        <v>38031</v>
      </c>
      <c r="T1189" s="51">
        <v>17135600</v>
      </c>
      <c r="U1189" s="53">
        <f t="shared" si="38"/>
        <v>-1.3949026420182031E-2</v>
      </c>
      <c r="V1189" s="59">
        <f>U1189-('16. câmbio USD-BRL'!O636/'16. câmbio USD-BRL'!K636-1)</f>
        <v>-2.5475405999197065E-2</v>
      </c>
    </row>
    <row r="1190" spans="14:22" x14ac:dyDescent="0.2">
      <c r="N1190" s="52">
        <v>42394</v>
      </c>
      <c r="O1190" s="51">
        <v>38031</v>
      </c>
      <c r="P1190" s="51">
        <v>40406</v>
      </c>
      <c r="Q1190" s="51">
        <v>37112</v>
      </c>
      <c r="R1190" s="51">
        <v>40406</v>
      </c>
      <c r="S1190" s="51">
        <v>40406</v>
      </c>
      <c r="T1190" s="51">
        <v>18195900</v>
      </c>
      <c r="U1190" s="53">
        <f t="shared" si="38"/>
        <v>6.2449054718519026E-2</v>
      </c>
      <c r="V1190" s="59">
        <f>U1190-('16. câmbio USD-BRL'!O637/'16. câmbio USD-BRL'!K637-1)</f>
        <v>6.8655681636708654E-2</v>
      </c>
    </row>
    <row r="1191" spans="14:22" x14ac:dyDescent="0.2">
      <c r="N1191" s="52">
        <v>42401</v>
      </c>
      <c r="O1191" s="51">
        <v>40397</v>
      </c>
      <c r="P1191" s="51">
        <v>41444</v>
      </c>
      <c r="Q1191" s="51">
        <v>38596</v>
      </c>
      <c r="R1191" s="51">
        <v>40592</v>
      </c>
      <c r="S1191" s="51">
        <v>40592</v>
      </c>
      <c r="T1191" s="51">
        <v>21382600</v>
      </c>
      <c r="U1191" s="53">
        <f t="shared" si="38"/>
        <v>4.6032767410779662E-3</v>
      </c>
      <c r="V1191" s="59">
        <f>U1191-('16. câmbio USD-BRL'!O638/'16. câmbio USD-BRL'!K638-1)</f>
        <v>2.8563018366434823E-2</v>
      </c>
    </row>
    <row r="1192" spans="14:22" x14ac:dyDescent="0.2">
      <c r="N1192" s="52">
        <v>42408</v>
      </c>
      <c r="O1192" s="51">
        <v>40592</v>
      </c>
      <c r="P1192" s="51">
        <v>40592</v>
      </c>
      <c r="Q1192" s="51">
        <v>38928</v>
      </c>
      <c r="R1192" s="51">
        <v>39808</v>
      </c>
      <c r="S1192" s="51">
        <v>39808</v>
      </c>
      <c r="T1192" s="51">
        <v>10821800</v>
      </c>
      <c r="U1192" s="53">
        <f t="shared" si="38"/>
        <v>-1.9314150571541178E-2</v>
      </c>
      <c r="V1192" s="59">
        <f>U1192-('16. câmbio USD-BRL'!O639/'16. câmbio USD-BRL'!K639-1)</f>
        <v>-3.8238274335824163E-2</v>
      </c>
    </row>
    <row r="1193" spans="14:22" x14ac:dyDescent="0.2">
      <c r="N1193" s="52">
        <v>42415</v>
      </c>
      <c r="O1193" s="51">
        <v>39808</v>
      </c>
      <c r="P1193" s="51">
        <v>42436</v>
      </c>
      <c r="Q1193" s="51">
        <v>39808</v>
      </c>
      <c r="R1193" s="51">
        <v>41543</v>
      </c>
      <c r="S1193" s="51">
        <v>41543</v>
      </c>
      <c r="T1193" s="51">
        <v>17756300</v>
      </c>
      <c r="U1193" s="53">
        <f t="shared" si="38"/>
        <v>4.3584204180064257E-2</v>
      </c>
      <c r="V1193" s="59">
        <f>U1193-('16. câmbio USD-BRL'!O640/'16. câmbio USD-BRL'!K640-1)</f>
        <v>4.1588395378547416E-2</v>
      </c>
    </row>
    <row r="1194" spans="14:22" x14ac:dyDescent="0.2">
      <c r="N1194" s="52">
        <v>42422</v>
      </c>
      <c r="O1194" s="51">
        <v>41544</v>
      </c>
      <c r="P1194" s="51">
        <v>43601</v>
      </c>
      <c r="Q1194" s="51">
        <v>41211</v>
      </c>
      <c r="R1194" s="51">
        <v>41593</v>
      </c>
      <c r="S1194" s="51">
        <v>41593</v>
      </c>
      <c r="T1194" s="51">
        <v>19157800</v>
      </c>
      <c r="U1194" s="53">
        <f t="shared" si="38"/>
        <v>1.203572202296499E-3</v>
      </c>
      <c r="V1194" s="59">
        <f>U1194-('16. câmbio USD-BRL'!O641/'16. câmbio USD-BRL'!K641-1)</f>
        <v>1.9974521922966781E-2</v>
      </c>
    </row>
    <row r="1195" spans="14:22" x14ac:dyDescent="0.2">
      <c r="N1195" s="52">
        <v>42429</v>
      </c>
      <c r="O1195" s="51">
        <v>41599</v>
      </c>
      <c r="P1195" s="51">
        <v>50024</v>
      </c>
      <c r="Q1195" s="51">
        <v>41599</v>
      </c>
      <c r="R1195" s="51">
        <v>49085</v>
      </c>
      <c r="S1195" s="51">
        <v>49085</v>
      </c>
      <c r="T1195" s="51">
        <v>33408500</v>
      </c>
      <c r="U1195" s="53">
        <f t="shared" si="38"/>
        <v>0.18012646358762296</v>
      </c>
      <c r="V1195" s="59">
        <f>U1195-('16. câmbio USD-BRL'!O642/'16. câmbio USD-BRL'!K642-1)</f>
        <v>0.22948537373487321</v>
      </c>
    </row>
    <row r="1196" spans="14:22" x14ac:dyDescent="0.2">
      <c r="N1196" s="52">
        <v>42436</v>
      </c>
      <c r="O1196" s="51">
        <v>49089</v>
      </c>
      <c r="P1196" s="51">
        <v>50038</v>
      </c>
      <c r="Q1196" s="51">
        <v>47922</v>
      </c>
      <c r="R1196" s="51">
        <v>49639</v>
      </c>
      <c r="S1196" s="51">
        <v>49639</v>
      </c>
      <c r="T1196" s="51">
        <v>32571100</v>
      </c>
      <c r="U1196" s="53">
        <f t="shared" si="38"/>
        <v>1.1286543750636646E-2</v>
      </c>
      <c r="V1196" s="59">
        <f>U1196-('16. câmbio USD-BRL'!O643/'16. câmbio USD-BRL'!K643-1)</f>
        <v>4.8657025598118242E-2</v>
      </c>
    </row>
    <row r="1197" spans="14:22" x14ac:dyDescent="0.2">
      <c r="N1197" s="52">
        <v>42443</v>
      </c>
      <c r="O1197" s="51">
        <v>49639</v>
      </c>
      <c r="P1197" s="51">
        <v>51308</v>
      </c>
      <c r="Q1197" s="51">
        <v>46521</v>
      </c>
      <c r="R1197" s="51">
        <v>50815</v>
      </c>
      <c r="S1197" s="51">
        <v>50815</v>
      </c>
      <c r="T1197" s="51">
        <v>28107800</v>
      </c>
      <c r="U1197" s="53">
        <f t="shared" si="38"/>
        <v>2.3691049376498352E-2</v>
      </c>
      <c r="V1197" s="59">
        <f>U1197-('16. câmbio USD-BRL'!O644/'16. câmbio USD-BRL'!K644-1)</f>
        <v>1.1814896691090482E-2</v>
      </c>
    </row>
    <row r="1198" spans="14:22" x14ac:dyDescent="0.2">
      <c r="N1198" s="52">
        <v>42450</v>
      </c>
      <c r="O1198" s="51">
        <v>50816</v>
      </c>
      <c r="P1198" s="51">
        <v>51370</v>
      </c>
      <c r="Q1198" s="51">
        <v>48778</v>
      </c>
      <c r="R1198" s="51">
        <v>49657</v>
      </c>
      <c r="S1198" s="51">
        <v>49657</v>
      </c>
      <c r="T1198" s="51">
        <v>14932200</v>
      </c>
      <c r="U1198" s="53">
        <f t="shared" si="38"/>
        <v>-2.2788546688969791E-2</v>
      </c>
      <c r="V1198" s="59">
        <f>U1198-('16. câmbio USD-BRL'!O645/'16. câmbio USD-BRL'!K645-1)</f>
        <v>-3.8617713240531981E-2</v>
      </c>
    </row>
    <row r="1199" spans="14:22" x14ac:dyDescent="0.2">
      <c r="N1199" s="52">
        <v>42457</v>
      </c>
      <c r="O1199" s="51">
        <v>49687</v>
      </c>
      <c r="P1199" s="51">
        <v>52262</v>
      </c>
      <c r="Q1199" s="51">
        <v>49361</v>
      </c>
      <c r="R1199" s="51">
        <v>50562</v>
      </c>
      <c r="S1199" s="51">
        <v>50562</v>
      </c>
      <c r="T1199" s="51">
        <v>20709800</v>
      </c>
      <c r="U1199" s="53">
        <f t="shared" si="38"/>
        <v>1.8225023662323592E-2</v>
      </c>
      <c r="V1199" s="59">
        <f>U1199-('16. câmbio USD-BRL'!O646/'16. câmbio USD-BRL'!K646-1)</f>
        <v>4.7043546336726361E-2</v>
      </c>
    </row>
    <row r="1200" spans="14:22" x14ac:dyDescent="0.2">
      <c r="N1200" s="52">
        <v>42464</v>
      </c>
      <c r="O1200" s="51">
        <v>50556</v>
      </c>
      <c r="P1200" s="51">
        <v>50556</v>
      </c>
      <c r="Q1200" s="51">
        <v>47874</v>
      </c>
      <c r="R1200" s="51">
        <v>50293</v>
      </c>
      <c r="S1200" s="51">
        <v>50293</v>
      </c>
      <c r="T1200" s="51">
        <v>19020200</v>
      </c>
      <c r="U1200" s="53">
        <f t="shared" si="38"/>
        <v>-5.3202009414184959E-3</v>
      </c>
      <c r="V1200" s="59">
        <f>U1200-('16. câmbio USD-BRL'!O647/'16. câmbio USD-BRL'!K647-1)</f>
        <v>-1.5915928834108528E-2</v>
      </c>
    </row>
    <row r="1201" spans="14:22" x14ac:dyDescent="0.2">
      <c r="N1201" s="52">
        <v>42471</v>
      </c>
      <c r="O1201" s="51">
        <v>50303</v>
      </c>
      <c r="P1201" s="51">
        <v>53844</v>
      </c>
      <c r="Q1201" s="51">
        <v>50078</v>
      </c>
      <c r="R1201" s="51">
        <v>53228</v>
      </c>
      <c r="S1201" s="51">
        <v>53228</v>
      </c>
      <c r="T1201" s="51">
        <v>26114000</v>
      </c>
      <c r="U1201" s="53">
        <f t="shared" si="38"/>
        <v>5.8358021991131936E-2</v>
      </c>
      <c r="V1201" s="59">
        <f>U1201-('16. câmbio USD-BRL'!O648/'16. câmbio USD-BRL'!K648-1)</f>
        <v>7.3173456828329431E-2</v>
      </c>
    </row>
    <row r="1202" spans="14:22" x14ac:dyDescent="0.2">
      <c r="N1202" s="52">
        <v>42478</v>
      </c>
      <c r="O1202" s="51">
        <v>53229</v>
      </c>
      <c r="P1202" s="51">
        <v>54054</v>
      </c>
      <c r="Q1202" s="51">
        <v>52305</v>
      </c>
      <c r="R1202" s="51">
        <v>52908</v>
      </c>
      <c r="S1202" s="51">
        <v>52908</v>
      </c>
      <c r="T1202" s="51">
        <v>18233000</v>
      </c>
      <c r="U1202" s="53">
        <f t="shared" si="38"/>
        <v>-6.0118734500639315E-3</v>
      </c>
      <c r="V1202" s="59">
        <f>U1202-('16. câmbio USD-BRL'!O649/'16. câmbio USD-BRL'!K649-1)</f>
        <v>-6.0970015678812883E-3</v>
      </c>
    </row>
    <row r="1203" spans="14:22" x14ac:dyDescent="0.2">
      <c r="N1203" s="52">
        <v>42485</v>
      </c>
      <c r="O1203" s="51">
        <v>52911</v>
      </c>
      <c r="P1203" s="51">
        <v>54978</v>
      </c>
      <c r="Q1203" s="51">
        <v>51748</v>
      </c>
      <c r="R1203" s="51">
        <v>53911</v>
      </c>
      <c r="S1203" s="51">
        <v>53911</v>
      </c>
      <c r="T1203" s="51">
        <v>21652400</v>
      </c>
      <c r="U1203" s="53">
        <f t="shared" si="38"/>
        <v>1.895743554849938E-2</v>
      </c>
      <c r="V1203" s="59">
        <f>U1203-('16. câmbio USD-BRL'!O650/'16. câmbio USD-BRL'!K650-1)</f>
        <v>5.4660685639794093E-2</v>
      </c>
    </row>
    <row r="1204" spans="14:22" x14ac:dyDescent="0.2">
      <c r="N1204" s="52">
        <v>42492</v>
      </c>
      <c r="O1204" s="51">
        <v>53910</v>
      </c>
      <c r="P1204" s="51">
        <v>54113</v>
      </c>
      <c r="Q1204" s="51">
        <v>51204</v>
      </c>
      <c r="R1204" s="51">
        <v>51718</v>
      </c>
      <c r="S1204" s="51">
        <v>51718</v>
      </c>
      <c r="T1204" s="51">
        <v>18391500</v>
      </c>
      <c r="U1204" s="53">
        <f t="shared" si="38"/>
        <v>-4.0678154736510153E-2</v>
      </c>
      <c r="V1204" s="59">
        <f>U1204-('16. câmbio USD-BRL'!O651/'16. câmbio USD-BRL'!K651-1)</f>
        <v>-7.031620334640698E-2</v>
      </c>
    </row>
    <row r="1205" spans="14:22" x14ac:dyDescent="0.2">
      <c r="N1205" s="52">
        <v>42499</v>
      </c>
      <c r="O1205" s="51">
        <v>51717</v>
      </c>
      <c r="P1205" s="51">
        <v>53976</v>
      </c>
      <c r="Q1205" s="51">
        <v>49908</v>
      </c>
      <c r="R1205" s="51">
        <v>51804</v>
      </c>
      <c r="S1205" s="51">
        <v>51804</v>
      </c>
      <c r="T1205" s="51">
        <v>22312300</v>
      </c>
      <c r="U1205" s="53">
        <f t="shared" si="38"/>
        <v>1.6628639931939304E-3</v>
      </c>
      <c r="V1205" s="59">
        <f>U1205-('16. câmbio USD-BRL'!O652/'16. câmbio USD-BRL'!K652-1)</f>
        <v>9.481383040133573E-3</v>
      </c>
    </row>
    <row r="1206" spans="14:22" x14ac:dyDescent="0.2">
      <c r="N1206" s="52">
        <v>42506</v>
      </c>
      <c r="O1206" s="51">
        <v>51803</v>
      </c>
      <c r="P1206" s="51">
        <v>52305</v>
      </c>
      <c r="Q1206" s="51">
        <v>49588</v>
      </c>
      <c r="R1206" s="51">
        <v>49723</v>
      </c>
      <c r="S1206" s="51">
        <v>49723</v>
      </c>
      <c r="T1206" s="51">
        <v>18633100</v>
      </c>
      <c r="U1206" s="53">
        <f t="shared" si="38"/>
        <v>-4.0170643193575772E-2</v>
      </c>
      <c r="V1206" s="59">
        <f>U1206-('16. câmbio USD-BRL'!O653/'16. câmbio USD-BRL'!K653-1)</f>
        <v>-4.8504212739197916E-2</v>
      </c>
    </row>
    <row r="1207" spans="14:22" x14ac:dyDescent="0.2">
      <c r="N1207" s="52">
        <v>42513</v>
      </c>
      <c r="O1207" s="51">
        <v>49709</v>
      </c>
      <c r="P1207" s="51">
        <v>50357</v>
      </c>
      <c r="Q1207" s="51">
        <v>48695</v>
      </c>
      <c r="R1207" s="51">
        <v>49051</v>
      </c>
      <c r="S1207" s="51">
        <v>49051</v>
      </c>
      <c r="T1207" s="51">
        <v>12736100</v>
      </c>
      <c r="U1207" s="53">
        <f t="shared" si="38"/>
        <v>-1.3514872393057487E-2</v>
      </c>
      <c r="V1207" s="59">
        <f>U1207-('16. câmbio USD-BRL'!O654/'16. câmbio USD-BRL'!K654-1)</f>
        <v>-3.3698617976096412E-2</v>
      </c>
    </row>
    <row r="1208" spans="14:22" x14ac:dyDescent="0.2">
      <c r="N1208" s="52">
        <v>42520</v>
      </c>
      <c r="O1208" s="51">
        <v>49051</v>
      </c>
      <c r="P1208" s="51">
        <v>50634</v>
      </c>
      <c r="Q1208" s="51">
        <v>48200</v>
      </c>
      <c r="R1208" s="51">
        <v>50619</v>
      </c>
      <c r="S1208" s="51">
        <v>50619</v>
      </c>
      <c r="T1208" s="51">
        <v>17117200</v>
      </c>
      <c r="U1208" s="53">
        <f t="shared" si="38"/>
        <v>3.1966728507064168E-2</v>
      </c>
      <c r="V1208" s="59">
        <f>U1208-('16. câmbio USD-BRL'!O655/'16. câmbio USD-BRL'!K655-1)</f>
        <v>3.2385535744053229E-2</v>
      </c>
    </row>
    <row r="1209" spans="14:22" x14ac:dyDescent="0.2">
      <c r="N1209" s="52">
        <v>42527</v>
      </c>
      <c r="O1209" s="51">
        <v>50627</v>
      </c>
      <c r="P1209" s="51">
        <v>51812</v>
      </c>
      <c r="Q1209" s="51">
        <v>49421</v>
      </c>
      <c r="R1209" s="51">
        <v>49422</v>
      </c>
      <c r="S1209" s="51">
        <v>49422</v>
      </c>
      <c r="T1209" s="51">
        <v>16467700</v>
      </c>
      <c r="U1209" s="53">
        <f t="shared" si="38"/>
        <v>-2.3647247081135525E-2</v>
      </c>
      <c r="V1209" s="59">
        <f>U1209-('16. câmbio USD-BRL'!O656/'16. câmbio USD-BRL'!K656-1)</f>
        <v>1.428691349453437E-2</v>
      </c>
    </row>
    <row r="1210" spans="14:22" x14ac:dyDescent="0.2">
      <c r="N1210" s="52">
        <v>42534</v>
      </c>
      <c r="O1210" s="51">
        <v>49419</v>
      </c>
      <c r="P1210" s="51">
        <v>50191</v>
      </c>
      <c r="Q1210" s="51">
        <v>48067</v>
      </c>
      <c r="R1210" s="51">
        <v>49534</v>
      </c>
      <c r="S1210" s="51">
        <v>49534</v>
      </c>
      <c r="T1210" s="51">
        <v>19661400</v>
      </c>
      <c r="U1210" s="53">
        <f t="shared" si="38"/>
        <v>2.2661972400954689E-3</v>
      </c>
      <c r="V1210" s="59">
        <f>U1210-('16. câmbio USD-BRL'!O657/'16. câmbio USD-BRL'!K657-1)</f>
        <v>-2.0006420619085308E-3</v>
      </c>
    </row>
    <row r="1211" spans="14:22" x14ac:dyDescent="0.2">
      <c r="N1211" s="52">
        <v>42541</v>
      </c>
      <c r="O1211" s="51">
        <v>49539</v>
      </c>
      <c r="P1211" s="51">
        <v>51673</v>
      </c>
      <c r="Q1211" s="51">
        <v>49539</v>
      </c>
      <c r="R1211" s="51">
        <v>50105</v>
      </c>
      <c r="S1211" s="51">
        <v>50105</v>
      </c>
      <c r="T1211" s="51">
        <v>17775000</v>
      </c>
      <c r="U1211" s="53">
        <f t="shared" si="38"/>
        <v>1.1527435700730893E-2</v>
      </c>
      <c r="V1211" s="59">
        <f>U1211-('16. câmbio USD-BRL'!O658/'16. câmbio USD-BRL'!K658-1)</f>
        <v>3.4110254013023922E-2</v>
      </c>
    </row>
    <row r="1212" spans="14:22" x14ac:dyDescent="0.2">
      <c r="N1212" s="52">
        <v>42548</v>
      </c>
      <c r="O1212" s="51">
        <v>50106</v>
      </c>
      <c r="P1212" s="51">
        <v>52346</v>
      </c>
      <c r="Q1212" s="51">
        <v>48954</v>
      </c>
      <c r="R1212" s="51">
        <v>52233</v>
      </c>
      <c r="S1212" s="51">
        <v>52233</v>
      </c>
      <c r="T1212" s="51">
        <v>19098900</v>
      </c>
      <c r="U1212" s="53">
        <f t="shared" si="38"/>
        <v>4.2470811296277722E-2</v>
      </c>
      <c r="V1212" s="59">
        <f>U1212-('16. câmbio USD-BRL'!O659/'16. câmbio USD-BRL'!K659-1)</f>
        <v>8.318108833995741E-2</v>
      </c>
    </row>
    <row r="1213" spans="14:22" x14ac:dyDescent="0.2">
      <c r="N1213" s="52">
        <v>42555</v>
      </c>
      <c r="O1213" s="51">
        <v>52241</v>
      </c>
      <c r="P1213" s="51">
        <v>53166</v>
      </c>
      <c r="Q1213" s="51">
        <v>50825</v>
      </c>
      <c r="R1213" s="51">
        <v>53141</v>
      </c>
      <c r="S1213" s="51">
        <v>53141</v>
      </c>
      <c r="T1213" s="51">
        <v>15187900</v>
      </c>
      <c r="U1213" s="53">
        <f t="shared" si="38"/>
        <v>1.7383646353837712E-2</v>
      </c>
      <c r="V1213" s="59">
        <f>U1213-('16. câmbio USD-BRL'!O660/'16. câmbio USD-BRL'!K660-1)</f>
        <v>-2.5656299049769959E-3</v>
      </c>
    </row>
    <row r="1214" spans="14:22" x14ac:dyDescent="0.2">
      <c r="N1214" s="52">
        <v>42562</v>
      </c>
      <c r="O1214" s="51">
        <v>53143</v>
      </c>
      <c r="P1214" s="51">
        <v>55649</v>
      </c>
      <c r="Q1214" s="51">
        <v>53143</v>
      </c>
      <c r="R1214" s="51">
        <v>55578</v>
      </c>
      <c r="S1214" s="51">
        <v>55578</v>
      </c>
      <c r="T1214" s="51">
        <v>19215100</v>
      </c>
      <c r="U1214" s="53">
        <f t="shared" si="38"/>
        <v>4.5859129485707806E-2</v>
      </c>
      <c r="V1214" s="59">
        <f>U1214-('16. câmbio USD-BRL'!O661/'16. câmbio USD-BRL'!K661-1)</f>
        <v>5.1503703411417856E-2</v>
      </c>
    </row>
    <row r="1215" spans="14:22" x14ac:dyDescent="0.2">
      <c r="N1215" s="52">
        <v>42569</v>
      </c>
      <c r="O1215" s="51">
        <v>55573</v>
      </c>
      <c r="P1215" s="51">
        <v>57171</v>
      </c>
      <c r="Q1215" s="51">
        <v>55355</v>
      </c>
      <c r="R1215" s="51">
        <v>57002</v>
      </c>
      <c r="S1215" s="51">
        <v>57002</v>
      </c>
      <c r="T1215" s="51">
        <v>18043200</v>
      </c>
      <c r="U1215" s="53">
        <f t="shared" si="38"/>
        <v>2.5621648853862977E-2</v>
      </c>
      <c r="V1215" s="59">
        <f>U1215-('16. câmbio USD-BRL'!O662/'16. câmbio USD-BRL'!K662-1)</f>
        <v>2.6141478838879628E-2</v>
      </c>
    </row>
    <row r="1216" spans="14:22" x14ac:dyDescent="0.2">
      <c r="N1216" s="52">
        <v>42576</v>
      </c>
      <c r="O1216" s="51">
        <v>57006</v>
      </c>
      <c r="P1216" s="51">
        <v>57474</v>
      </c>
      <c r="Q1216" s="51">
        <v>55993</v>
      </c>
      <c r="R1216" s="51">
        <v>57308</v>
      </c>
      <c r="S1216" s="51">
        <v>57308</v>
      </c>
      <c r="T1216" s="51">
        <v>18603500</v>
      </c>
      <c r="U1216" s="53">
        <f t="shared" si="38"/>
        <v>5.3682326935897695E-3</v>
      </c>
      <c r="V1216" s="59">
        <f>U1216-('16. câmbio USD-BRL'!O663/'16. câmbio USD-BRL'!K663-1)</f>
        <v>6.9982496088596413E-3</v>
      </c>
    </row>
    <row r="1217" spans="14:22" x14ac:dyDescent="0.2">
      <c r="N1217" s="52">
        <v>42583</v>
      </c>
      <c r="O1217" s="51">
        <v>57309</v>
      </c>
      <c r="P1217" s="51">
        <v>58030</v>
      </c>
      <c r="Q1217" s="51">
        <v>55696</v>
      </c>
      <c r="R1217" s="51">
        <v>57661</v>
      </c>
      <c r="S1217" s="51">
        <v>57661</v>
      </c>
      <c r="T1217" s="51">
        <v>19550900</v>
      </c>
      <c r="U1217" s="53">
        <f t="shared" si="38"/>
        <v>6.1596984714176184E-3</v>
      </c>
      <c r="V1217" s="59">
        <f>U1217-('16. câmbio USD-BRL'!O664/'16. câmbio USD-BRL'!K664-1)</f>
        <v>2.4608632806763175E-2</v>
      </c>
    </row>
    <row r="1218" spans="14:22" x14ac:dyDescent="0.2">
      <c r="N1218" s="52">
        <v>42590</v>
      </c>
      <c r="O1218" s="51">
        <v>57655</v>
      </c>
      <c r="P1218" s="51">
        <v>58753</v>
      </c>
      <c r="Q1218" s="51">
        <v>56735</v>
      </c>
      <c r="R1218" s="51">
        <v>58298</v>
      </c>
      <c r="S1218" s="51">
        <v>58298</v>
      </c>
      <c r="T1218" s="51">
        <v>17431800</v>
      </c>
      <c r="U1218" s="53">
        <f t="shared" si="38"/>
        <v>1.1047328350184626E-2</v>
      </c>
      <c r="V1218" s="59">
        <f>U1218-('16. câmbio USD-BRL'!O665/'16. câmbio USD-BRL'!K665-1)</f>
        <v>1.4273796143851047E-3</v>
      </c>
    </row>
    <row r="1219" spans="14:22" x14ac:dyDescent="0.2">
      <c r="N1219" s="52">
        <v>42597</v>
      </c>
      <c r="O1219" s="51">
        <v>58316</v>
      </c>
      <c r="P1219" s="51">
        <v>59418</v>
      </c>
      <c r="Q1219" s="51">
        <v>58081</v>
      </c>
      <c r="R1219" s="51">
        <v>59099</v>
      </c>
      <c r="S1219" s="51">
        <v>59099</v>
      </c>
      <c r="T1219" s="51">
        <v>17811800</v>
      </c>
      <c r="U1219" s="53">
        <f t="shared" si="38"/>
        <v>1.3739750934852024E-2</v>
      </c>
      <c r="V1219" s="59">
        <f>U1219-('16. câmbio USD-BRL'!O666/'16. câmbio USD-BRL'!K666-1)</f>
        <v>9.1628049490846131E-3</v>
      </c>
    </row>
    <row r="1220" spans="14:22" x14ac:dyDescent="0.2">
      <c r="N1220" s="52">
        <v>42604</v>
      </c>
      <c r="O1220" s="51">
        <v>59080</v>
      </c>
      <c r="P1220" s="51">
        <v>59099</v>
      </c>
      <c r="Q1220" s="51">
        <v>57259</v>
      </c>
      <c r="R1220" s="51">
        <v>57716</v>
      </c>
      <c r="S1220" s="51">
        <v>57716</v>
      </c>
      <c r="T1220" s="51">
        <v>16576600</v>
      </c>
      <c r="U1220" s="53">
        <f t="shared" si="38"/>
        <v>-2.340141119139072E-2</v>
      </c>
      <c r="V1220" s="59">
        <f>U1220-('16. câmbio USD-BRL'!O667/'16. câmbio USD-BRL'!K667-1)</f>
        <v>-4.1650724892413837E-2</v>
      </c>
    </row>
    <row r="1221" spans="14:22" x14ac:dyDescent="0.2">
      <c r="N1221" s="52">
        <v>42611</v>
      </c>
      <c r="O1221" s="51">
        <v>57717</v>
      </c>
      <c r="P1221" s="51">
        <v>59655</v>
      </c>
      <c r="Q1221" s="51">
        <v>57506</v>
      </c>
      <c r="R1221" s="51">
        <v>59616</v>
      </c>
      <c r="S1221" s="51">
        <v>59616</v>
      </c>
      <c r="T1221" s="51">
        <v>17025900</v>
      </c>
      <c r="U1221" s="53">
        <f t="shared" ref="U1221:U1284" si="39">S1221/S1220-1</f>
        <v>3.291981426294277E-2</v>
      </c>
      <c r="V1221" s="59">
        <f>U1221-('16. câmbio USD-BRL'!O668/'16. câmbio USD-BRL'!K668-1)</f>
        <v>3.5279027450025202E-2</v>
      </c>
    </row>
    <row r="1222" spans="14:22" x14ac:dyDescent="0.2">
      <c r="N1222" s="52">
        <v>42618</v>
      </c>
      <c r="O1222" s="51">
        <v>59616</v>
      </c>
      <c r="P1222" s="51">
        <v>60310</v>
      </c>
      <c r="Q1222" s="51">
        <v>57961</v>
      </c>
      <c r="R1222" s="51">
        <v>58000</v>
      </c>
      <c r="S1222" s="51">
        <v>58000</v>
      </c>
      <c r="T1222" s="51">
        <v>12812200</v>
      </c>
      <c r="U1222" s="53">
        <f t="shared" si="39"/>
        <v>-2.7106816961889435E-2</v>
      </c>
      <c r="V1222" s="59">
        <f>U1222-('16. câmbio USD-BRL'!O669/'16. câmbio USD-BRL'!K669-1)</f>
        <v>-3.1990409320142521E-2</v>
      </c>
    </row>
    <row r="1223" spans="14:22" x14ac:dyDescent="0.2">
      <c r="N1223" s="52">
        <v>42625</v>
      </c>
      <c r="O1223" s="51">
        <v>57998</v>
      </c>
      <c r="P1223" s="51">
        <v>58595</v>
      </c>
      <c r="Q1223" s="51">
        <v>56459</v>
      </c>
      <c r="R1223" s="51">
        <v>57080</v>
      </c>
      <c r="S1223" s="51">
        <v>57080</v>
      </c>
      <c r="T1223" s="51">
        <v>17758800</v>
      </c>
      <c r="U1223" s="53">
        <f t="shared" si="39"/>
        <v>-1.5862068965517229E-2</v>
      </c>
      <c r="V1223" s="59">
        <f>U1223-('16. câmbio USD-BRL'!O670/'16. câmbio USD-BRL'!K670-1)</f>
        <v>-1.3967029689299859E-2</v>
      </c>
    </row>
    <row r="1224" spans="14:22" x14ac:dyDescent="0.2">
      <c r="N1224" s="52">
        <v>42632</v>
      </c>
      <c r="O1224" s="51">
        <v>57083</v>
      </c>
      <c r="P1224" s="51">
        <v>59462</v>
      </c>
      <c r="Q1224" s="51">
        <v>57083</v>
      </c>
      <c r="R1224" s="51">
        <v>58697</v>
      </c>
      <c r="S1224" s="51">
        <v>58697</v>
      </c>
      <c r="T1224" s="51">
        <v>15757000</v>
      </c>
      <c r="U1224" s="53">
        <f t="shared" si="39"/>
        <v>2.8328661527680543E-2</v>
      </c>
      <c r="V1224" s="59">
        <f>U1224-('16. câmbio USD-BRL'!O671/'16. câmbio USD-BRL'!K671-1)</f>
        <v>3.5066380503547379E-2</v>
      </c>
    </row>
    <row r="1225" spans="14:22" x14ac:dyDescent="0.2">
      <c r="N1225" s="52">
        <v>42639</v>
      </c>
      <c r="O1225" s="51">
        <v>58697</v>
      </c>
      <c r="P1225" s="51">
        <v>59621</v>
      </c>
      <c r="Q1225" s="51">
        <v>57411</v>
      </c>
      <c r="R1225" s="51">
        <v>58367</v>
      </c>
      <c r="S1225" s="51">
        <v>58367</v>
      </c>
      <c r="T1225" s="51">
        <v>14354100</v>
      </c>
      <c r="U1225" s="53">
        <f t="shared" si="39"/>
        <v>-5.6220931223061044E-3</v>
      </c>
      <c r="V1225" s="59">
        <f>U1225-('16. câmbio USD-BRL'!O672/'16. câmbio USD-BRL'!K672-1)</f>
        <v>-1.0616543732739014E-2</v>
      </c>
    </row>
    <row r="1226" spans="14:22" x14ac:dyDescent="0.2">
      <c r="N1226" s="52">
        <v>42646</v>
      </c>
      <c r="O1226" s="51">
        <v>58370</v>
      </c>
      <c r="P1226" s="51">
        <v>61275</v>
      </c>
      <c r="Q1226" s="51">
        <v>58367</v>
      </c>
      <c r="R1226" s="51">
        <v>61109</v>
      </c>
      <c r="S1226" s="51">
        <v>61109</v>
      </c>
      <c r="T1226" s="51">
        <v>17798600</v>
      </c>
      <c r="U1226" s="53">
        <f t="shared" si="39"/>
        <v>4.6978600921753655E-2</v>
      </c>
      <c r="V1226" s="59">
        <f>U1226-('16. câmbio USD-BRL'!O673/'16. câmbio USD-BRL'!K673-1)</f>
        <v>5.9705539096434723E-2</v>
      </c>
    </row>
    <row r="1227" spans="14:22" x14ac:dyDescent="0.2">
      <c r="N1227" s="52">
        <v>42653</v>
      </c>
      <c r="O1227" s="51">
        <v>61130</v>
      </c>
      <c r="P1227" s="51">
        <v>62039</v>
      </c>
      <c r="Q1227" s="51">
        <v>60243</v>
      </c>
      <c r="R1227" s="51">
        <v>61767</v>
      </c>
      <c r="S1227" s="51">
        <v>61767</v>
      </c>
      <c r="T1227" s="51">
        <v>15148800</v>
      </c>
      <c r="U1227" s="53">
        <f t="shared" si="39"/>
        <v>1.0767644700453216E-2</v>
      </c>
      <c r="V1227" s="59">
        <f>U1227-('16. câmbio USD-BRL'!O674/'16. câmbio USD-BRL'!K674-1)</f>
        <v>1.6851578149670976E-2</v>
      </c>
    </row>
    <row r="1228" spans="14:22" x14ac:dyDescent="0.2">
      <c r="N1228" s="52">
        <v>42660</v>
      </c>
      <c r="O1228" s="51">
        <v>61768</v>
      </c>
      <c r="P1228" s="51">
        <v>64372</v>
      </c>
      <c r="Q1228" s="51">
        <v>61719</v>
      </c>
      <c r="R1228" s="51">
        <v>64108</v>
      </c>
      <c r="S1228" s="51">
        <v>64108</v>
      </c>
      <c r="T1228" s="51">
        <v>18429400</v>
      </c>
      <c r="U1228" s="53">
        <f t="shared" si="39"/>
        <v>3.7900497029157876E-2</v>
      </c>
      <c r="V1228" s="59">
        <f>U1228-('16. câmbio USD-BRL'!O675/'16. câmbio USD-BRL'!K675-1)</f>
        <v>5.5067075261936771E-2</v>
      </c>
    </row>
    <row r="1229" spans="14:22" x14ac:dyDescent="0.2">
      <c r="N1229" s="52">
        <v>42667</v>
      </c>
      <c r="O1229" s="51">
        <v>64141</v>
      </c>
      <c r="P1229" s="51">
        <v>64728</v>
      </c>
      <c r="Q1229" s="51">
        <v>63084</v>
      </c>
      <c r="R1229" s="51">
        <v>64308</v>
      </c>
      <c r="S1229" s="51">
        <v>64308</v>
      </c>
      <c r="T1229" s="51">
        <v>19257200</v>
      </c>
      <c r="U1229" s="53">
        <f t="shared" si="39"/>
        <v>3.1197354464340687E-3</v>
      </c>
      <c r="V1229" s="59">
        <f>U1229-('16. câmbio USD-BRL'!O676/'16. câmbio USD-BRL'!K676-1)</f>
        <v>-1.5224513297763753E-2</v>
      </c>
    </row>
    <row r="1230" spans="14:22" x14ac:dyDescent="0.2">
      <c r="N1230" s="52">
        <v>42674</v>
      </c>
      <c r="O1230" s="51">
        <v>64312</v>
      </c>
      <c r="P1230" s="51">
        <v>65291</v>
      </c>
      <c r="Q1230" s="51">
        <v>61491</v>
      </c>
      <c r="R1230" s="51">
        <v>61598</v>
      </c>
      <c r="S1230" s="51">
        <v>61598</v>
      </c>
      <c r="T1230" s="51">
        <v>16419000</v>
      </c>
      <c r="U1230" s="53">
        <f t="shared" si="39"/>
        <v>-4.2140946694035009E-2</v>
      </c>
      <c r="V1230" s="59">
        <f>U1230-('16. câmbio USD-BRL'!O677/'16. câmbio USD-BRL'!K677-1)</f>
        <v>-5.1257115405595632E-2</v>
      </c>
    </row>
    <row r="1231" spans="14:22" x14ac:dyDescent="0.2">
      <c r="N1231" s="52">
        <v>42681</v>
      </c>
      <c r="O1231" s="51">
        <v>61601</v>
      </c>
      <c r="P1231" s="51">
        <v>64767</v>
      </c>
      <c r="Q1231" s="51">
        <v>58921</v>
      </c>
      <c r="R1231" s="51">
        <v>59184</v>
      </c>
      <c r="S1231" s="51">
        <v>59184</v>
      </c>
      <c r="T1231" s="51">
        <v>27417600</v>
      </c>
      <c r="U1231" s="53">
        <f t="shared" si="39"/>
        <v>-3.9189584077405137E-2</v>
      </c>
      <c r="V1231" s="59">
        <f>U1231-('16. câmbio USD-BRL'!O678/'16. câmbio USD-BRL'!K678-1)</f>
        <v>-8.7978372246820258E-2</v>
      </c>
    </row>
    <row r="1232" spans="14:22" x14ac:dyDescent="0.2">
      <c r="N1232" s="52">
        <v>42688</v>
      </c>
      <c r="O1232" s="51">
        <v>59183</v>
      </c>
      <c r="P1232" s="51">
        <v>61493</v>
      </c>
      <c r="Q1232" s="51">
        <v>58322</v>
      </c>
      <c r="R1232" s="51">
        <v>59962</v>
      </c>
      <c r="S1232" s="51">
        <v>59962</v>
      </c>
      <c r="T1232" s="51">
        <v>16985100</v>
      </c>
      <c r="U1232" s="53">
        <f t="shared" si="39"/>
        <v>1.3145444714787846E-2</v>
      </c>
      <c r="V1232" s="59">
        <f>U1232-('16. câmbio USD-BRL'!O679/'16. câmbio USD-BRL'!K679-1)</f>
        <v>1.5916916248237212E-2</v>
      </c>
    </row>
    <row r="1233" spans="14:22" x14ac:dyDescent="0.2">
      <c r="N1233" s="52">
        <v>42695</v>
      </c>
      <c r="O1233" s="51">
        <v>59963</v>
      </c>
      <c r="P1233" s="51">
        <v>62550</v>
      </c>
      <c r="Q1233" s="51">
        <v>59963</v>
      </c>
      <c r="R1233" s="51">
        <v>61559</v>
      </c>
      <c r="S1233" s="51">
        <v>61559</v>
      </c>
      <c r="T1233" s="51">
        <v>15297700</v>
      </c>
      <c r="U1233" s="53">
        <f t="shared" si="39"/>
        <v>2.6633534571895545E-2</v>
      </c>
      <c r="V1233" s="59">
        <f>U1233-('16. câmbio USD-BRL'!O680/'16. câmbio USD-BRL'!K680-1)</f>
        <v>1.546068046927096E-2</v>
      </c>
    </row>
    <row r="1234" spans="14:22" x14ac:dyDescent="0.2">
      <c r="N1234" s="52">
        <v>42702</v>
      </c>
      <c r="O1234" s="51">
        <v>61559</v>
      </c>
      <c r="P1234" s="51">
        <v>62934</v>
      </c>
      <c r="Q1234" s="51">
        <v>58092</v>
      </c>
      <c r="R1234" s="51">
        <v>60316</v>
      </c>
      <c r="S1234" s="51">
        <v>60316</v>
      </c>
      <c r="T1234" s="51">
        <v>20460200</v>
      </c>
      <c r="U1234" s="53">
        <f t="shared" si="39"/>
        <v>-2.0192010916356695E-2</v>
      </c>
      <c r="V1234" s="59">
        <f>U1234-('16. câmbio USD-BRL'!O681/'16. câmbio USD-BRL'!K681-1)</f>
        <v>-3.5889175488119429E-2</v>
      </c>
    </row>
    <row r="1235" spans="14:22" x14ac:dyDescent="0.2">
      <c r="N1235" s="52">
        <v>42709</v>
      </c>
      <c r="O1235" s="51">
        <v>60322</v>
      </c>
      <c r="P1235" s="51">
        <v>61936</v>
      </c>
      <c r="Q1235" s="51">
        <v>59396</v>
      </c>
      <c r="R1235" s="51">
        <v>60501</v>
      </c>
      <c r="S1235" s="51">
        <v>60501</v>
      </c>
      <c r="T1235" s="51">
        <v>16585800</v>
      </c>
      <c r="U1235" s="53">
        <f t="shared" si="39"/>
        <v>3.0671795211885122E-3</v>
      </c>
      <c r="V1235" s="59">
        <f>U1235-('16. câmbio USD-BRL'!O682/'16. câmbio USD-BRL'!K682-1)</f>
        <v>3.1184714847979356E-2</v>
      </c>
    </row>
    <row r="1236" spans="14:22" x14ac:dyDescent="0.2">
      <c r="N1236" s="52">
        <v>42716</v>
      </c>
      <c r="O1236" s="51">
        <v>60517</v>
      </c>
      <c r="P1236" s="51">
        <v>60517</v>
      </c>
      <c r="Q1236" s="51">
        <v>57575</v>
      </c>
      <c r="R1236" s="51">
        <v>58389</v>
      </c>
      <c r="S1236" s="51">
        <v>58389</v>
      </c>
      <c r="T1236" s="51">
        <v>17943800</v>
      </c>
      <c r="U1236" s="53">
        <f t="shared" si="39"/>
        <v>-3.4908513908860961E-2</v>
      </c>
      <c r="V1236" s="59">
        <f>U1236-('16. câmbio USD-BRL'!O683/'16. câmbio USD-BRL'!K683-1)</f>
        <v>-3.8668468907824716E-2</v>
      </c>
    </row>
    <row r="1237" spans="14:22" x14ac:dyDescent="0.2">
      <c r="N1237" s="52">
        <v>42723</v>
      </c>
      <c r="O1237" s="51">
        <v>58390</v>
      </c>
      <c r="P1237" s="51">
        <v>58600</v>
      </c>
      <c r="Q1237" s="51">
        <v>56829</v>
      </c>
      <c r="R1237" s="51">
        <v>57937</v>
      </c>
      <c r="S1237" s="51">
        <v>57937</v>
      </c>
      <c r="T1237" s="51">
        <v>13497000</v>
      </c>
      <c r="U1237" s="53">
        <f t="shared" si="39"/>
        <v>-7.7411841271471937E-3</v>
      </c>
      <c r="V1237" s="59">
        <f>U1237-('16. câmbio USD-BRL'!O684/'16. câmbio USD-BRL'!K684-1)</f>
        <v>2.8486855019179913E-2</v>
      </c>
    </row>
    <row r="1238" spans="14:22" x14ac:dyDescent="0.2">
      <c r="N1238" s="52">
        <v>42730</v>
      </c>
      <c r="O1238" s="51">
        <v>57941</v>
      </c>
      <c r="P1238" s="51">
        <v>60248</v>
      </c>
      <c r="Q1238" s="51">
        <v>57941</v>
      </c>
      <c r="R1238" s="51">
        <v>60227</v>
      </c>
      <c r="S1238" s="51">
        <v>60227</v>
      </c>
      <c r="T1238" s="51">
        <v>6384900</v>
      </c>
      <c r="U1238" s="53">
        <f t="shared" si="39"/>
        <v>3.9525691699604737E-2</v>
      </c>
      <c r="V1238" s="59">
        <f>U1238-('16. câmbio USD-BRL'!O685/'16. câmbio USD-BRL'!K685-1)</f>
        <v>4.4511163484281191E-2</v>
      </c>
    </row>
    <row r="1239" spans="14:22" x14ac:dyDescent="0.2">
      <c r="N1239" s="52">
        <v>42737</v>
      </c>
      <c r="O1239" s="51">
        <v>60227</v>
      </c>
      <c r="P1239" s="51">
        <v>62409</v>
      </c>
      <c r="Q1239" s="51">
        <v>59371</v>
      </c>
      <c r="R1239" s="51">
        <v>61665</v>
      </c>
      <c r="S1239" s="51">
        <v>61665</v>
      </c>
      <c r="T1239" s="51">
        <v>12665600</v>
      </c>
      <c r="U1239" s="53">
        <f t="shared" si="39"/>
        <v>2.3876334534345123E-2</v>
      </c>
      <c r="V1239" s="59">
        <f>U1239-('16. câmbio USD-BRL'!O686/'16. câmbio USD-BRL'!K686-1)</f>
        <v>3.3405413594962408E-2</v>
      </c>
    </row>
    <row r="1240" spans="14:22" x14ac:dyDescent="0.2">
      <c r="N1240" s="52">
        <v>42744</v>
      </c>
      <c r="O1240" s="51">
        <v>61680</v>
      </c>
      <c r="P1240" s="51">
        <v>64342</v>
      </c>
      <c r="Q1240" s="51">
        <v>61307</v>
      </c>
      <c r="R1240" s="51">
        <v>63652</v>
      </c>
      <c r="S1240" s="51">
        <v>63652</v>
      </c>
      <c r="T1240" s="51">
        <v>15514500</v>
      </c>
      <c r="U1240" s="53">
        <f t="shared" si="39"/>
        <v>3.2222492499797362E-2</v>
      </c>
      <c r="V1240" s="59">
        <f>U1240-('16. câmbio USD-BRL'!O687/'16. câmbio USD-BRL'!K687-1)</f>
        <v>4.3270158835447825E-2</v>
      </c>
    </row>
    <row r="1241" spans="14:22" x14ac:dyDescent="0.2">
      <c r="N1241" s="52">
        <v>42751</v>
      </c>
      <c r="O1241" s="51">
        <v>63652</v>
      </c>
      <c r="P1241" s="51">
        <v>64694</v>
      </c>
      <c r="Q1241" s="51">
        <v>63456</v>
      </c>
      <c r="R1241" s="51">
        <v>64521</v>
      </c>
      <c r="S1241" s="51">
        <v>64521</v>
      </c>
      <c r="T1241" s="51">
        <v>13990200</v>
      </c>
      <c r="U1241" s="53">
        <f t="shared" si="39"/>
        <v>1.3652359705900841E-2</v>
      </c>
      <c r="V1241" s="59">
        <f>U1241-('16. câmbio USD-BRL'!O688/'16. câmbio USD-BRL'!K688-1)</f>
        <v>3.7722177707018911E-2</v>
      </c>
    </row>
    <row r="1242" spans="14:22" x14ac:dyDescent="0.2">
      <c r="N1242" s="52">
        <v>42758</v>
      </c>
      <c r="O1242" s="51">
        <v>64519</v>
      </c>
      <c r="P1242" s="51">
        <v>66594</v>
      </c>
      <c r="Q1242" s="51">
        <v>64500</v>
      </c>
      <c r="R1242" s="51">
        <v>66034</v>
      </c>
      <c r="S1242" s="51">
        <v>66034</v>
      </c>
      <c r="T1242" s="51">
        <v>12885000</v>
      </c>
      <c r="U1242" s="53">
        <f t="shared" si="39"/>
        <v>2.344972954541924E-2</v>
      </c>
      <c r="V1242" s="59">
        <f>U1242-('16. câmbio USD-BRL'!O689/'16. câmbio USD-BRL'!K689-1)</f>
        <v>4.2162847662115865E-2</v>
      </c>
    </row>
    <row r="1243" spans="14:22" x14ac:dyDescent="0.2">
      <c r="N1243" s="52">
        <v>42765</v>
      </c>
      <c r="O1243" s="51">
        <v>66025</v>
      </c>
      <c r="P1243" s="51">
        <v>66025</v>
      </c>
      <c r="Q1243" s="51">
        <v>64163</v>
      </c>
      <c r="R1243" s="51">
        <v>64954</v>
      </c>
      <c r="S1243" s="51">
        <v>64954</v>
      </c>
      <c r="T1243" s="51">
        <v>14658200</v>
      </c>
      <c r="U1243" s="53">
        <f t="shared" si="39"/>
        <v>-1.6355210951933818E-2</v>
      </c>
      <c r="V1243" s="59">
        <f>U1243-('16. câmbio USD-BRL'!O690/'16. câmbio USD-BRL'!K690-1)</f>
        <v>-1.0238028679018241E-2</v>
      </c>
    </row>
    <row r="1244" spans="14:22" x14ac:dyDescent="0.2">
      <c r="N1244" s="52">
        <v>42772</v>
      </c>
      <c r="O1244" s="51">
        <v>64957</v>
      </c>
      <c r="P1244" s="51">
        <v>66292</v>
      </c>
      <c r="Q1244" s="51">
        <v>63740</v>
      </c>
      <c r="R1244" s="51">
        <v>66125</v>
      </c>
      <c r="S1244" s="51">
        <v>66125</v>
      </c>
      <c r="T1244" s="51">
        <v>14546900</v>
      </c>
      <c r="U1244" s="53">
        <f t="shared" si="39"/>
        <v>1.8028142993503193E-2</v>
      </c>
      <c r="V1244" s="59">
        <f>U1244-('16. câmbio USD-BRL'!O691/'16. câmbio USD-BRL'!K691-1)</f>
        <v>2.088436892418355E-2</v>
      </c>
    </row>
    <row r="1245" spans="14:22" x14ac:dyDescent="0.2">
      <c r="N1245" s="52">
        <v>42779</v>
      </c>
      <c r="O1245" s="51">
        <v>66125</v>
      </c>
      <c r="P1245" s="51">
        <v>68456</v>
      </c>
      <c r="Q1245" s="51">
        <v>66125</v>
      </c>
      <c r="R1245" s="51">
        <v>67748</v>
      </c>
      <c r="S1245" s="51">
        <v>67748</v>
      </c>
      <c r="T1245" s="51">
        <v>16937400</v>
      </c>
      <c r="U1245" s="53">
        <f t="shared" si="39"/>
        <v>2.4544423440453711E-2</v>
      </c>
      <c r="V1245" s="59">
        <f>U1245-('16. câmbio USD-BRL'!O692/'16. câmbio USD-BRL'!K692-1)</f>
        <v>3.1059604132410934E-2</v>
      </c>
    </row>
    <row r="1246" spans="14:22" x14ac:dyDescent="0.2">
      <c r="N1246" s="52">
        <v>42786</v>
      </c>
      <c r="O1246" s="51">
        <v>67756</v>
      </c>
      <c r="P1246" s="51">
        <v>69488</v>
      </c>
      <c r="Q1246" s="51">
        <v>66452</v>
      </c>
      <c r="R1246" s="51">
        <v>66662</v>
      </c>
      <c r="S1246" s="51">
        <v>66662</v>
      </c>
      <c r="T1246" s="51">
        <v>15634700</v>
      </c>
      <c r="U1246" s="53">
        <f t="shared" si="39"/>
        <v>-1.6029993505343287E-2</v>
      </c>
      <c r="V1246" s="59">
        <f>U1246-('16. câmbio USD-BRL'!O693/'16. câmbio USD-BRL'!K693-1)</f>
        <v>-1.3162263523065154E-2</v>
      </c>
    </row>
    <row r="1247" spans="14:22" x14ac:dyDescent="0.2">
      <c r="N1247" s="52">
        <v>42793</v>
      </c>
      <c r="O1247" s="51">
        <v>66661</v>
      </c>
      <c r="P1247" s="51">
        <v>67398</v>
      </c>
      <c r="Q1247" s="51">
        <v>65594</v>
      </c>
      <c r="R1247" s="51">
        <v>66786</v>
      </c>
      <c r="S1247" s="51">
        <v>66786</v>
      </c>
      <c r="T1247" s="51">
        <v>8128200</v>
      </c>
      <c r="U1247" s="53">
        <f t="shared" si="39"/>
        <v>1.8601302091145744E-3</v>
      </c>
      <c r="V1247" s="59">
        <f>U1247-('16. câmbio USD-BRL'!O694/'16. câmbio USD-BRL'!K694-1)</f>
        <v>-1.5166184643056191E-3</v>
      </c>
    </row>
    <row r="1248" spans="14:22" x14ac:dyDescent="0.2">
      <c r="N1248" s="52">
        <v>42800</v>
      </c>
      <c r="O1248" s="51">
        <v>66786</v>
      </c>
      <c r="P1248" s="51">
        <v>66892</v>
      </c>
      <c r="Q1248" s="51">
        <v>64203</v>
      </c>
      <c r="R1248" s="51">
        <v>64675</v>
      </c>
      <c r="S1248" s="51">
        <v>64675</v>
      </c>
      <c r="T1248" s="51">
        <v>16897100</v>
      </c>
      <c r="U1248" s="53">
        <f t="shared" si="39"/>
        <v>-3.1608420926541481E-2</v>
      </c>
      <c r="V1248" s="59">
        <f>U1248-('16. câmbio USD-BRL'!O695/'16. câmbio USD-BRL'!K695-1)</f>
        <v>-4.1944504128801352E-2</v>
      </c>
    </row>
    <row r="1249" spans="14:22" x14ac:dyDescent="0.2">
      <c r="N1249" s="52">
        <v>42807</v>
      </c>
      <c r="O1249" s="51">
        <v>64674</v>
      </c>
      <c r="P1249" s="51">
        <v>66554</v>
      </c>
      <c r="Q1249" s="51">
        <v>64152</v>
      </c>
      <c r="R1249" s="51">
        <v>64210</v>
      </c>
      <c r="S1249" s="51">
        <v>64210</v>
      </c>
      <c r="T1249" s="51">
        <v>16803100</v>
      </c>
      <c r="U1249" s="53">
        <f t="shared" si="39"/>
        <v>-7.1897951294935813E-3</v>
      </c>
      <c r="V1249" s="59">
        <f>U1249-('16. câmbio USD-BRL'!O696/'16. câmbio USD-BRL'!K696-1)</f>
        <v>9.2527515533182836E-3</v>
      </c>
    </row>
    <row r="1250" spans="14:22" x14ac:dyDescent="0.2">
      <c r="N1250" s="52">
        <v>42814</v>
      </c>
      <c r="O1250" s="51">
        <v>64232</v>
      </c>
      <c r="P1250" s="51">
        <v>65136</v>
      </c>
      <c r="Q1250" s="51">
        <v>62496</v>
      </c>
      <c r="R1250" s="51">
        <v>63854</v>
      </c>
      <c r="S1250" s="51">
        <v>63854</v>
      </c>
      <c r="T1250" s="51">
        <v>17396000</v>
      </c>
      <c r="U1250" s="53">
        <f t="shared" si="39"/>
        <v>-5.5443077402274055E-3</v>
      </c>
      <c r="V1250" s="59">
        <f>U1250-('16. câmbio USD-BRL'!O697/'16. câmbio USD-BRL'!K697-1)</f>
        <v>-1.1333815470352282E-2</v>
      </c>
    </row>
    <row r="1251" spans="14:22" x14ac:dyDescent="0.2">
      <c r="N1251" s="52">
        <v>42821</v>
      </c>
      <c r="O1251" s="51">
        <v>63829</v>
      </c>
      <c r="P1251" s="51">
        <v>65775</v>
      </c>
      <c r="Q1251" s="51">
        <v>63030</v>
      </c>
      <c r="R1251" s="51">
        <v>64984</v>
      </c>
      <c r="S1251" s="51">
        <v>64984</v>
      </c>
      <c r="T1251" s="51">
        <v>14470000</v>
      </c>
      <c r="U1251" s="53">
        <f t="shared" si="39"/>
        <v>1.7696620415322384E-2</v>
      </c>
      <c r="V1251" s="59">
        <f>U1251-('16. câmbio USD-BRL'!O698/'16. câmbio USD-BRL'!K698-1)</f>
        <v>1.2706761097162511E-2</v>
      </c>
    </row>
    <row r="1252" spans="14:22" x14ac:dyDescent="0.2">
      <c r="N1252" s="52">
        <v>42828</v>
      </c>
      <c r="O1252" s="51">
        <v>64989</v>
      </c>
      <c r="P1252" s="51">
        <v>66211</v>
      </c>
      <c r="Q1252" s="51">
        <v>63762</v>
      </c>
      <c r="R1252" s="51">
        <v>64593</v>
      </c>
      <c r="S1252" s="51">
        <v>64593</v>
      </c>
      <c r="T1252" s="51">
        <v>13654100</v>
      </c>
      <c r="U1252" s="53">
        <f t="shared" si="39"/>
        <v>-6.0168656900160267E-3</v>
      </c>
      <c r="V1252" s="59">
        <f>U1252-('16. câmbio USD-BRL'!O699/'16. câmbio USD-BRL'!K699-1)</f>
        <v>-1.3836626610440272E-2</v>
      </c>
    </row>
    <row r="1253" spans="14:22" x14ac:dyDescent="0.2">
      <c r="N1253" s="52">
        <v>42835</v>
      </c>
      <c r="O1253" s="51">
        <v>64593</v>
      </c>
      <c r="P1253" s="51">
        <v>64928</v>
      </c>
      <c r="Q1253" s="51">
        <v>62826</v>
      </c>
      <c r="R1253" s="51">
        <v>62826</v>
      </c>
      <c r="S1253" s="51">
        <v>62826</v>
      </c>
      <c r="T1253" s="51">
        <v>13628800</v>
      </c>
      <c r="U1253" s="53">
        <f t="shared" si="39"/>
        <v>-2.7355905438669836E-2</v>
      </c>
      <c r="V1253" s="59">
        <f>U1253-('16. câmbio USD-BRL'!O700/'16. câmbio USD-BRL'!K700-1)</f>
        <v>-2.6624818343946366E-2</v>
      </c>
    </row>
    <row r="1254" spans="14:22" x14ac:dyDescent="0.2">
      <c r="N1254" s="52">
        <v>42842</v>
      </c>
      <c r="O1254" s="51">
        <v>62828</v>
      </c>
      <c r="P1254" s="51">
        <v>64591</v>
      </c>
      <c r="Q1254" s="51">
        <v>62828</v>
      </c>
      <c r="R1254" s="51">
        <v>63761</v>
      </c>
      <c r="S1254" s="51">
        <v>63761</v>
      </c>
      <c r="T1254" s="51">
        <v>9114000</v>
      </c>
      <c r="U1254" s="53">
        <f t="shared" si="39"/>
        <v>1.48823735396173E-2</v>
      </c>
      <c r="V1254" s="59">
        <f>U1254-('16. câmbio USD-BRL'!O701/'16. câmbio USD-BRL'!K701-1)</f>
        <v>1.278059658273567E-2</v>
      </c>
    </row>
    <row r="1255" spans="14:22" x14ac:dyDescent="0.2">
      <c r="N1255" s="52">
        <v>42849</v>
      </c>
      <c r="O1255" s="51">
        <v>63761</v>
      </c>
      <c r="P1255" s="51">
        <v>65436</v>
      </c>
      <c r="Q1255" s="51">
        <v>63761</v>
      </c>
      <c r="R1255" s="51">
        <v>65403</v>
      </c>
      <c r="S1255" s="51">
        <v>65403</v>
      </c>
      <c r="T1255" s="51">
        <v>15538700</v>
      </c>
      <c r="U1255" s="53">
        <f t="shared" si="39"/>
        <v>2.5752419190414155E-2</v>
      </c>
      <c r="V1255" s="59">
        <f>U1255-('16. câmbio USD-BRL'!O702/'16. câmbio USD-BRL'!K702-1)</f>
        <v>1.6441373048301511E-2</v>
      </c>
    </row>
    <row r="1256" spans="14:22" x14ac:dyDescent="0.2">
      <c r="N1256" s="52">
        <v>42856</v>
      </c>
      <c r="O1256" s="51">
        <v>65404</v>
      </c>
      <c r="P1256" s="51">
        <v>66877</v>
      </c>
      <c r="Q1256" s="51">
        <v>64721</v>
      </c>
      <c r="R1256" s="51">
        <v>65710</v>
      </c>
      <c r="S1256" s="51">
        <v>65710</v>
      </c>
      <c r="T1256" s="51">
        <v>13483300</v>
      </c>
      <c r="U1256" s="53">
        <f t="shared" si="39"/>
        <v>4.6939742825251596E-3</v>
      </c>
      <c r="V1256" s="59">
        <f>U1256-('16. câmbio USD-BRL'!O703/'16. câmbio USD-BRL'!K703-1)</f>
        <v>3.3074050958739054E-3</v>
      </c>
    </row>
    <row r="1257" spans="14:22" x14ac:dyDescent="0.2">
      <c r="N1257" s="52">
        <v>42863</v>
      </c>
      <c r="O1257" s="51">
        <v>65705</v>
      </c>
      <c r="P1257" s="51">
        <v>68429</v>
      </c>
      <c r="Q1257" s="51">
        <v>65295</v>
      </c>
      <c r="R1257" s="51">
        <v>68222</v>
      </c>
      <c r="S1257" s="51">
        <v>68222</v>
      </c>
      <c r="T1257" s="51">
        <v>14821700</v>
      </c>
      <c r="U1257" s="53">
        <f t="shared" si="39"/>
        <v>3.8228580124790801E-2</v>
      </c>
      <c r="V1257" s="59">
        <f>U1257-('16. câmbio USD-BRL'!O704/'16. câmbio USD-BRL'!K704-1)</f>
        <v>3.4691551860145164E-2</v>
      </c>
    </row>
    <row r="1258" spans="14:22" x14ac:dyDescent="0.2">
      <c r="N1258" s="52">
        <v>42870</v>
      </c>
      <c r="O1258" s="51">
        <v>68227</v>
      </c>
      <c r="P1258" s="51">
        <v>68792</v>
      </c>
      <c r="Q1258" s="51">
        <v>60315</v>
      </c>
      <c r="R1258" s="51">
        <v>62639</v>
      </c>
      <c r="S1258" s="51">
        <v>62639</v>
      </c>
      <c r="T1258" s="51">
        <v>27447400</v>
      </c>
      <c r="U1258" s="53">
        <f t="shared" si="39"/>
        <v>-8.1835771452024253E-2</v>
      </c>
      <c r="V1258" s="59">
        <f>U1258-('16. câmbio USD-BRL'!O705/'16. câmbio USD-BRL'!K705-1)</f>
        <v>-0.12319168195424879</v>
      </c>
    </row>
    <row r="1259" spans="14:22" x14ac:dyDescent="0.2">
      <c r="N1259" s="52">
        <v>42877</v>
      </c>
      <c r="O1259" s="51">
        <v>62638</v>
      </c>
      <c r="P1259" s="51">
        <v>64170</v>
      </c>
      <c r="Q1259" s="51">
        <v>60925</v>
      </c>
      <c r="R1259" s="51">
        <v>64085</v>
      </c>
      <c r="S1259" s="51">
        <v>64085</v>
      </c>
      <c r="T1259" s="51">
        <v>22600900</v>
      </c>
      <c r="U1259" s="53">
        <f t="shared" si="39"/>
        <v>2.3084659716789968E-2</v>
      </c>
      <c r="V1259" s="59">
        <f>U1259-('16. câmbio USD-BRL'!O706/'16. câmbio USD-BRL'!K706-1)</f>
        <v>4.7102596385606543E-2</v>
      </c>
    </row>
    <row r="1260" spans="14:22" x14ac:dyDescent="0.2">
      <c r="N1260" s="52">
        <v>42884</v>
      </c>
      <c r="O1260" s="51">
        <v>64055</v>
      </c>
      <c r="P1260" s="51">
        <v>64107</v>
      </c>
      <c r="Q1260" s="51">
        <v>62161</v>
      </c>
      <c r="R1260" s="51">
        <v>62511</v>
      </c>
      <c r="S1260" s="51">
        <v>62511</v>
      </c>
      <c r="T1260" s="51">
        <v>14661400</v>
      </c>
      <c r="U1260" s="53">
        <f t="shared" si="39"/>
        <v>-2.456112974955138E-2</v>
      </c>
      <c r="V1260" s="59">
        <f>U1260-('16. câmbio USD-BRL'!O707/'16. câmbio USD-BRL'!K707-1)</f>
        <v>-2.1829476331915343E-2</v>
      </c>
    </row>
    <row r="1261" spans="14:22" x14ac:dyDescent="0.2">
      <c r="N1261" s="52">
        <v>42891</v>
      </c>
      <c r="O1261" s="51">
        <v>62503</v>
      </c>
      <c r="P1261" s="51">
        <v>63637</v>
      </c>
      <c r="Q1261" s="51">
        <v>62010</v>
      </c>
      <c r="R1261" s="51">
        <v>62211</v>
      </c>
      <c r="S1261" s="51">
        <v>62211</v>
      </c>
      <c r="T1261" s="51">
        <v>14109600</v>
      </c>
      <c r="U1261" s="53">
        <f t="shared" si="39"/>
        <v>-4.7991553486586014E-3</v>
      </c>
      <c r="V1261" s="59">
        <f>U1261-('16. câmbio USD-BRL'!O708/'16. câmbio USD-BRL'!K708-1)</f>
        <v>1.6513481320163947E-2</v>
      </c>
    </row>
    <row r="1262" spans="14:22" x14ac:dyDescent="0.2">
      <c r="N1262" s="52">
        <v>42898</v>
      </c>
      <c r="O1262" s="51">
        <v>62219</v>
      </c>
      <c r="P1262" s="51">
        <v>62475</v>
      </c>
      <c r="Q1262" s="51">
        <v>61269</v>
      </c>
      <c r="R1262" s="51">
        <v>61626</v>
      </c>
      <c r="S1262" s="51">
        <v>61626</v>
      </c>
      <c r="T1262" s="51">
        <v>14912200</v>
      </c>
      <c r="U1262" s="53">
        <f t="shared" si="39"/>
        <v>-9.4034816993778803E-3</v>
      </c>
      <c r="V1262" s="59">
        <f>U1262-('16. câmbio USD-BRL'!O709/'16. câmbio USD-BRL'!K709-1)</f>
        <v>-7.8550710973195326E-3</v>
      </c>
    </row>
    <row r="1263" spans="14:22" x14ac:dyDescent="0.2">
      <c r="N1263" s="52">
        <v>42905</v>
      </c>
      <c r="O1263" s="51">
        <v>61620</v>
      </c>
      <c r="P1263" s="51">
        <v>62272</v>
      </c>
      <c r="Q1263" s="51">
        <v>60544</v>
      </c>
      <c r="R1263" s="51">
        <v>61087</v>
      </c>
      <c r="S1263" s="51">
        <v>61087</v>
      </c>
      <c r="T1263" s="51">
        <v>15887100</v>
      </c>
      <c r="U1263" s="53">
        <f t="shared" si="39"/>
        <v>-8.7463083763346106E-3</v>
      </c>
      <c r="V1263" s="59">
        <f>U1263-('16. câmbio USD-BRL'!O710/'16. câmbio USD-BRL'!K710-1)</f>
        <v>-2.4615946293216728E-2</v>
      </c>
    </row>
    <row r="1264" spans="14:22" x14ac:dyDescent="0.2">
      <c r="N1264" s="52">
        <v>42912</v>
      </c>
      <c r="O1264" s="51">
        <v>61088</v>
      </c>
      <c r="P1264" s="51">
        <v>63038</v>
      </c>
      <c r="Q1264" s="51">
        <v>61088</v>
      </c>
      <c r="R1264" s="51">
        <v>62900</v>
      </c>
      <c r="S1264" s="51">
        <v>62900</v>
      </c>
      <c r="T1264" s="51">
        <v>14197700</v>
      </c>
      <c r="U1264" s="53">
        <f t="shared" si="39"/>
        <v>2.9678982434887979E-2</v>
      </c>
      <c r="V1264" s="59">
        <f>U1264-('16. câmbio USD-BRL'!O711/'16. câmbio USD-BRL'!K711-1)</f>
        <v>7.8186333394554941E-2</v>
      </c>
    </row>
    <row r="1265" spans="14:22" x14ac:dyDescent="0.2">
      <c r="N1265" s="52">
        <v>42919</v>
      </c>
      <c r="O1265" s="51">
        <v>62901</v>
      </c>
      <c r="P1265" s="51">
        <v>63485</v>
      </c>
      <c r="Q1265" s="51">
        <v>62035</v>
      </c>
      <c r="R1265" s="51">
        <v>62322</v>
      </c>
      <c r="S1265" s="51">
        <v>62322</v>
      </c>
      <c r="T1265" s="51">
        <v>12139800</v>
      </c>
      <c r="U1265" s="53">
        <f t="shared" si="39"/>
        <v>-9.1891891891892064E-3</v>
      </c>
      <c r="V1265" s="59">
        <f>U1265-('16. câmbio USD-BRL'!O712/'16. câmbio USD-BRL'!K712-1)</f>
        <v>2.6936751116561797E-2</v>
      </c>
    </row>
    <row r="1266" spans="14:22" x14ac:dyDescent="0.2">
      <c r="N1266" s="52">
        <v>42926</v>
      </c>
      <c r="O1266" s="51">
        <v>62322</v>
      </c>
      <c r="P1266" s="51">
        <v>65624</v>
      </c>
      <c r="Q1266" s="51">
        <v>62322</v>
      </c>
      <c r="R1266" s="51">
        <v>65436</v>
      </c>
      <c r="S1266" s="51">
        <v>65436</v>
      </c>
      <c r="T1266" s="51">
        <v>14740300</v>
      </c>
      <c r="U1266" s="53">
        <f t="shared" si="39"/>
        <v>4.9966304033888465E-2</v>
      </c>
      <c r="V1266" s="59">
        <f>U1266-('16. câmbio USD-BRL'!O713/'16. câmbio USD-BRL'!K713-1)</f>
        <v>8.0830313305290447E-2</v>
      </c>
    </row>
    <row r="1267" spans="14:22" x14ac:dyDescent="0.2">
      <c r="N1267" s="52">
        <v>42933</v>
      </c>
      <c r="O1267" s="51">
        <v>65431</v>
      </c>
      <c r="P1267" s="51">
        <v>65604</v>
      </c>
      <c r="Q1267" s="51">
        <v>64599</v>
      </c>
      <c r="R1267" s="51">
        <v>64684</v>
      </c>
      <c r="S1267" s="51">
        <v>64684</v>
      </c>
      <c r="T1267" s="51">
        <v>11469900</v>
      </c>
      <c r="U1267" s="53">
        <f t="shared" si="39"/>
        <v>-1.1492144996637976E-2</v>
      </c>
      <c r="V1267" s="59">
        <f>U1267-('16. câmbio USD-BRL'!O714/'16. câmbio USD-BRL'!K714-1)</f>
        <v>-1.0297739841836795E-2</v>
      </c>
    </row>
    <row r="1268" spans="14:22" x14ac:dyDescent="0.2">
      <c r="N1268" s="52">
        <v>42940</v>
      </c>
      <c r="O1268" s="51">
        <v>64695</v>
      </c>
      <c r="P1268" s="51">
        <v>65873</v>
      </c>
      <c r="Q1268" s="51">
        <v>64678</v>
      </c>
      <c r="R1268" s="51">
        <v>65497</v>
      </c>
      <c r="S1268" s="51">
        <v>65497</v>
      </c>
      <c r="T1268" s="51">
        <v>12833200</v>
      </c>
      <c r="U1268" s="53">
        <f t="shared" si="39"/>
        <v>1.2568795992826676E-2</v>
      </c>
      <c r="V1268" s="59">
        <f>U1268-('16. câmbio USD-BRL'!O715/'16. câmbio USD-BRL'!K715-1)</f>
        <v>4.0125339050134379E-4</v>
      </c>
    </row>
    <row r="1269" spans="14:22" x14ac:dyDescent="0.2">
      <c r="N1269" s="52">
        <v>42947</v>
      </c>
      <c r="O1269" s="51">
        <v>65503</v>
      </c>
      <c r="P1269" s="51">
        <v>67277</v>
      </c>
      <c r="Q1269" s="51">
        <v>65503</v>
      </c>
      <c r="R1269" s="51">
        <v>66898</v>
      </c>
      <c r="S1269" s="51">
        <v>66898</v>
      </c>
      <c r="T1269" s="51">
        <v>14142300</v>
      </c>
      <c r="U1269" s="53">
        <f t="shared" si="39"/>
        <v>2.1390292685161238E-2</v>
      </c>
      <c r="V1269" s="59">
        <f>U1269-('16. câmbio USD-BRL'!O716/'16. câmbio USD-BRL'!K716-1)</f>
        <v>2.1741685478414374E-2</v>
      </c>
    </row>
    <row r="1270" spans="14:22" x14ac:dyDescent="0.2">
      <c r="N1270" s="52">
        <v>42954</v>
      </c>
      <c r="O1270" s="51">
        <v>66898</v>
      </c>
      <c r="P1270" s="51">
        <v>68500</v>
      </c>
      <c r="Q1270" s="51">
        <v>66650</v>
      </c>
      <c r="R1270" s="51">
        <v>67359</v>
      </c>
      <c r="S1270" s="51">
        <v>67359</v>
      </c>
      <c r="T1270" s="51">
        <v>14329900</v>
      </c>
      <c r="U1270" s="53">
        <f t="shared" si="39"/>
        <v>6.891087924900674E-3</v>
      </c>
      <c r="V1270" s="59">
        <f>U1270-('16. câmbio USD-BRL'!O717/'16. câmbio USD-BRL'!K717-1)</f>
        <v>-1.2844487455370146E-2</v>
      </c>
    </row>
    <row r="1271" spans="14:22" x14ac:dyDescent="0.2">
      <c r="N1271" s="52">
        <v>42961</v>
      </c>
      <c r="O1271" s="51">
        <v>67364</v>
      </c>
      <c r="P1271" s="51">
        <v>68950</v>
      </c>
      <c r="Q1271" s="51">
        <v>67226</v>
      </c>
      <c r="R1271" s="51">
        <v>68715</v>
      </c>
      <c r="S1271" s="51">
        <v>68715</v>
      </c>
      <c r="T1271" s="51">
        <v>15460500</v>
      </c>
      <c r="U1271" s="53">
        <f t="shared" si="39"/>
        <v>2.0130940186166679E-2</v>
      </c>
      <c r="V1271" s="59">
        <f>U1271-('16. câmbio USD-BRL'!O718/'16. câmbio USD-BRL'!K718-1)</f>
        <v>2.3611873452599186E-2</v>
      </c>
    </row>
    <row r="1272" spans="14:22" x14ac:dyDescent="0.2">
      <c r="N1272" s="52">
        <v>42968</v>
      </c>
      <c r="O1272" s="51">
        <v>68713</v>
      </c>
      <c r="P1272" s="51">
        <v>71506</v>
      </c>
      <c r="Q1272" s="51">
        <v>68514</v>
      </c>
      <c r="R1272" s="51">
        <v>71074</v>
      </c>
      <c r="S1272" s="51">
        <v>71074</v>
      </c>
      <c r="T1272" s="51">
        <v>15423200</v>
      </c>
      <c r="U1272" s="53">
        <f t="shared" si="39"/>
        <v>3.4330204467728942E-2</v>
      </c>
      <c r="V1272" s="59">
        <f>U1272-('16. câmbio USD-BRL'!O719/'16. câmbio USD-BRL'!K719-1)</f>
        <v>2.9942147613774894E-2</v>
      </c>
    </row>
    <row r="1273" spans="14:22" x14ac:dyDescent="0.2">
      <c r="N1273" s="52">
        <v>42975</v>
      </c>
      <c r="O1273" s="51">
        <v>71074</v>
      </c>
      <c r="P1273" s="51">
        <v>72217</v>
      </c>
      <c r="Q1273" s="51">
        <v>70516</v>
      </c>
      <c r="R1273" s="51">
        <v>71923</v>
      </c>
      <c r="S1273" s="51">
        <v>71923</v>
      </c>
      <c r="T1273" s="51">
        <v>15260300</v>
      </c>
      <c r="U1273" s="53">
        <f t="shared" si="39"/>
        <v>1.1945296451585596E-2</v>
      </c>
      <c r="V1273" s="59">
        <f>U1273-('16. câmbio USD-BRL'!O720/'16. câmbio USD-BRL'!K720-1)</f>
        <v>5.0056931814164152E-3</v>
      </c>
    </row>
    <row r="1274" spans="14:22" x14ac:dyDescent="0.2">
      <c r="N1274" s="52">
        <v>42982</v>
      </c>
      <c r="O1274" s="51">
        <v>71921</v>
      </c>
      <c r="P1274" s="51">
        <v>73646</v>
      </c>
      <c r="Q1274" s="51">
        <v>71671</v>
      </c>
      <c r="R1274" s="51">
        <v>73079</v>
      </c>
      <c r="S1274" s="51">
        <v>73079</v>
      </c>
      <c r="T1274" s="51">
        <v>13585500</v>
      </c>
      <c r="U1274" s="53">
        <f t="shared" si="39"/>
        <v>1.6072744462828359E-2</v>
      </c>
      <c r="V1274" s="59">
        <f>U1274-('16. câmbio USD-BRL'!O721/'16. câmbio USD-BRL'!K721-1)</f>
        <v>2.7109229180870553E-3</v>
      </c>
    </row>
    <row r="1275" spans="14:22" x14ac:dyDescent="0.2">
      <c r="N1275" s="52">
        <v>42989</v>
      </c>
      <c r="O1275" s="51">
        <v>73096</v>
      </c>
      <c r="P1275" s="51">
        <v>75820</v>
      </c>
      <c r="Q1275" s="51">
        <v>73096</v>
      </c>
      <c r="R1275" s="51">
        <v>75757</v>
      </c>
      <c r="S1275" s="51">
        <v>75757</v>
      </c>
      <c r="T1275" s="51">
        <v>18118400</v>
      </c>
      <c r="U1275" s="53">
        <f t="shared" si="39"/>
        <v>3.6645274292204322E-2</v>
      </c>
      <c r="V1275" s="59">
        <f>U1275-('16. câmbio USD-BRL'!O722/'16. câmbio USD-BRL'!K722-1)</f>
        <v>2.9781100745174927E-2</v>
      </c>
    </row>
    <row r="1276" spans="14:22" x14ac:dyDescent="0.2">
      <c r="N1276" s="52">
        <v>42996</v>
      </c>
      <c r="O1276" s="51">
        <v>75758</v>
      </c>
      <c r="P1276" s="51">
        <v>76420</v>
      </c>
      <c r="Q1276" s="51">
        <v>75029</v>
      </c>
      <c r="R1276" s="51">
        <v>75390</v>
      </c>
      <c r="S1276" s="51">
        <v>75390</v>
      </c>
      <c r="T1276" s="51">
        <v>16384600</v>
      </c>
      <c r="U1276" s="53">
        <f t="shared" si="39"/>
        <v>-4.8444368177198438E-3</v>
      </c>
      <c r="V1276" s="59">
        <f>U1276-('16. câmbio USD-BRL'!O723/'16. câmbio USD-BRL'!K723-1)</f>
        <v>-8.539809568362422E-3</v>
      </c>
    </row>
    <row r="1277" spans="14:22" x14ac:dyDescent="0.2">
      <c r="N1277" s="52">
        <v>43003</v>
      </c>
      <c r="O1277" s="51">
        <v>75381</v>
      </c>
      <c r="P1277" s="51">
        <v>75470</v>
      </c>
      <c r="Q1277" s="51">
        <v>73125</v>
      </c>
      <c r="R1277" s="51">
        <v>74294</v>
      </c>
      <c r="S1277" s="51">
        <v>74294</v>
      </c>
      <c r="T1277" s="51">
        <v>16940000</v>
      </c>
      <c r="U1277" s="53">
        <f t="shared" si="39"/>
        <v>-1.4537737100411174E-2</v>
      </c>
      <c r="V1277" s="59">
        <f>U1277-('16. câmbio USD-BRL'!O724/'16. câmbio USD-BRL'!K724-1)</f>
        <v>-2.9358730299436031E-2</v>
      </c>
    </row>
    <row r="1278" spans="14:22" x14ac:dyDescent="0.2">
      <c r="N1278" s="52">
        <v>43010</v>
      </c>
      <c r="O1278" s="51">
        <v>74295</v>
      </c>
      <c r="P1278" s="51">
        <v>78024</v>
      </c>
      <c r="Q1278" s="51">
        <v>73845</v>
      </c>
      <c r="R1278" s="51">
        <v>76055</v>
      </c>
      <c r="S1278" s="51">
        <v>76055</v>
      </c>
      <c r="T1278" s="51">
        <v>16555600</v>
      </c>
      <c r="U1278" s="53">
        <f t="shared" si="39"/>
        <v>2.3703125420626137E-2</v>
      </c>
      <c r="V1278" s="59">
        <f>U1278-('16. câmbio USD-BRL'!O725/'16. câmbio USD-BRL'!K725-1)</f>
        <v>2.5821903486529574E-2</v>
      </c>
    </row>
    <row r="1279" spans="14:22" x14ac:dyDescent="0.2">
      <c r="N1279" s="52">
        <v>43017</v>
      </c>
      <c r="O1279" s="51">
        <v>76055</v>
      </c>
      <c r="P1279" s="51">
        <v>77319</v>
      </c>
      <c r="Q1279" s="51">
        <v>75181</v>
      </c>
      <c r="R1279" s="51">
        <v>76990</v>
      </c>
      <c r="S1279" s="51">
        <v>76990</v>
      </c>
      <c r="T1279" s="51">
        <v>12806100</v>
      </c>
      <c r="U1279" s="53">
        <f t="shared" si="39"/>
        <v>1.2293734797186318E-2</v>
      </c>
      <c r="V1279" s="59">
        <f>U1279-('16. câmbio USD-BRL'!O726/'16. câmbio USD-BRL'!K726-1)</f>
        <v>5.8262164672147065E-3</v>
      </c>
    </row>
    <row r="1280" spans="14:22" x14ac:dyDescent="0.2">
      <c r="N1280" s="52">
        <v>43024</v>
      </c>
      <c r="O1280" s="51">
        <v>76985</v>
      </c>
      <c r="P1280" s="51">
        <v>77382</v>
      </c>
      <c r="Q1280" s="51">
        <v>75366</v>
      </c>
      <c r="R1280" s="51">
        <v>76391</v>
      </c>
      <c r="S1280" s="51">
        <v>76391</v>
      </c>
      <c r="T1280" s="51">
        <v>14158600</v>
      </c>
      <c r="U1280" s="53">
        <f t="shared" si="39"/>
        <v>-7.7802311988569572E-3</v>
      </c>
      <c r="V1280" s="59">
        <f>U1280-('16. câmbio USD-BRL'!O727/'16. câmbio USD-BRL'!K727-1)</f>
        <v>-2.3014146537724156E-2</v>
      </c>
    </row>
    <row r="1281" spans="14:22" x14ac:dyDescent="0.2">
      <c r="N1281" s="52">
        <v>43031</v>
      </c>
      <c r="O1281" s="51">
        <v>76398</v>
      </c>
      <c r="P1281" s="51">
        <v>77061</v>
      </c>
      <c r="Q1281" s="51">
        <v>75315</v>
      </c>
      <c r="R1281" s="51">
        <v>75976</v>
      </c>
      <c r="S1281" s="51">
        <v>75976</v>
      </c>
      <c r="T1281" s="51">
        <v>14968600</v>
      </c>
      <c r="U1281" s="53">
        <f t="shared" si="39"/>
        <v>-5.4325771360500541E-3</v>
      </c>
      <c r="V1281" s="59">
        <f>U1281-('16. câmbio USD-BRL'!O728/'16. câmbio USD-BRL'!K728-1)</f>
        <v>-1.803011403555177E-2</v>
      </c>
    </row>
    <row r="1282" spans="14:22" x14ac:dyDescent="0.2">
      <c r="N1282" s="52">
        <v>43038</v>
      </c>
      <c r="O1282" s="51">
        <v>75973</v>
      </c>
      <c r="P1282" s="51">
        <v>75973</v>
      </c>
      <c r="Q1282" s="51">
        <v>73094</v>
      </c>
      <c r="R1282" s="51">
        <v>73915</v>
      </c>
      <c r="S1282" s="51">
        <v>73915</v>
      </c>
      <c r="T1282" s="51">
        <v>15412300</v>
      </c>
      <c r="U1282" s="53">
        <f t="shared" si="39"/>
        <v>-2.7126987469727304E-2</v>
      </c>
      <c r="V1282" s="59">
        <f>U1282-('16. câmbio USD-BRL'!O729/'16. câmbio USD-BRL'!K729-1)</f>
        <v>-5.1270674869257515E-2</v>
      </c>
    </row>
    <row r="1283" spans="14:22" x14ac:dyDescent="0.2">
      <c r="N1283" s="52">
        <v>43045</v>
      </c>
      <c r="O1283" s="51">
        <v>73911</v>
      </c>
      <c r="P1283" s="51">
        <v>74481</v>
      </c>
      <c r="Q1283" s="51">
        <v>71920</v>
      </c>
      <c r="R1283" s="51">
        <v>72166</v>
      </c>
      <c r="S1283" s="51">
        <v>72166</v>
      </c>
      <c r="T1283" s="51">
        <v>18039000</v>
      </c>
      <c r="U1283" s="53">
        <f t="shared" si="39"/>
        <v>-2.3662314821078279E-2</v>
      </c>
      <c r="V1283" s="59">
        <f>U1283-('16. câmbio USD-BRL'!O730/'16. câmbio USD-BRL'!K730-1)</f>
        <v>-1.1647945877316324E-2</v>
      </c>
    </row>
    <row r="1284" spans="14:22" x14ac:dyDescent="0.2">
      <c r="N1284" s="52">
        <v>43052</v>
      </c>
      <c r="O1284" s="51">
        <v>72167</v>
      </c>
      <c r="P1284" s="51">
        <v>73632</v>
      </c>
      <c r="Q1284" s="51">
        <v>70825</v>
      </c>
      <c r="R1284" s="51">
        <v>73437</v>
      </c>
      <c r="S1284" s="51">
        <v>73437</v>
      </c>
      <c r="T1284" s="51">
        <v>13226600</v>
      </c>
      <c r="U1284" s="53">
        <f t="shared" si="39"/>
        <v>1.7612171936923104E-2</v>
      </c>
      <c r="V1284" s="59">
        <f>U1284-('16. câmbio USD-BRL'!O731/'16. câmbio USD-BRL'!K731-1)</f>
        <v>2.4997876630813098E-2</v>
      </c>
    </row>
    <row r="1285" spans="14:22" x14ac:dyDescent="0.2">
      <c r="N1285" s="52">
        <v>43059</v>
      </c>
      <c r="O1285" s="51">
        <v>73439</v>
      </c>
      <c r="P1285" s="51">
        <v>75073</v>
      </c>
      <c r="Q1285" s="51">
        <v>73439</v>
      </c>
      <c r="R1285" s="51">
        <v>74157</v>
      </c>
      <c r="S1285" s="51">
        <v>74157</v>
      </c>
      <c r="T1285" s="51">
        <v>11017300</v>
      </c>
      <c r="U1285" s="53">
        <f t="shared" ref="U1285:U1348" si="40">S1285/S1284-1</f>
        <v>9.8043220719801205E-3</v>
      </c>
      <c r="V1285" s="59">
        <f>U1285-('16. câmbio USD-BRL'!O732/'16. câmbio USD-BRL'!K732-1)</f>
        <v>1.7267925487423286E-2</v>
      </c>
    </row>
    <row r="1286" spans="14:22" x14ac:dyDescent="0.2">
      <c r="N1286" s="52">
        <v>43066</v>
      </c>
      <c r="O1286" s="51">
        <v>74157</v>
      </c>
      <c r="P1286" s="51">
        <v>74989</v>
      </c>
      <c r="Q1286" s="51">
        <v>71215</v>
      </c>
      <c r="R1286" s="51">
        <v>72264</v>
      </c>
      <c r="S1286" s="51">
        <v>72264</v>
      </c>
      <c r="T1286" s="51">
        <v>17832800</v>
      </c>
      <c r="U1286" s="53">
        <f t="shared" si="40"/>
        <v>-2.5526922610138003E-2</v>
      </c>
      <c r="V1286" s="59">
        <f>U1286-('16. câmbio USD-BRL'!O733/'16. câmbio USD-BRL'!K733-1)</f>
        <v>-3.2086734479684464E-2</v>
      </c>
    </row>
    <row r="1287" spans="14:22" x14ac:dyDescent="0.2">
      <c r="N1287" s="52">
        <v>43073</v>
      </c>
      <c r="O1287" s="51">
        <v>72266</v>
      </c>
      <c r="P1287" s="51">
        <v>74166</v>
      </c>
      <c r="Q1287" s="51">
        <v>71356</v>
      </c>
      <c r="R1287" s="51">
        <v>72732</v>
      </c>
      <c r="S1287" s="51">
        <v>72732</v>
      </c>
      <c r="T1287" s="51">
        <v>15397600</v>
      </c>
      <c r="U1287" s="53">
        <f t="shared" si="40"/>
        <v>6.4762537363003414E-3</v>
      </c>
      <c r="V1287" s="59">
        <f>U1287-('16. câmbio USD-BRL'!O734/'16. câmbio USD-BRL'!K734-1)</f>
        <v>-3.1042903894749063E-3</v>
      </c>
    </row>
    <row r="1288" spans="14:22" x14ac:dyDescent="0.2">
      <c r="N1288" s="52">
        <v>43080</v>
      </c>
      <c r="O1288" s="51">
        <v>72775</v>
      </c>
      <c r="P1288" s="51">
        <v>74622</v>
      </c>
      <c r="Q1288" s="51">
        <v>71798</v>
      </c>
      <c r="R1288" s="51">
        <v>72608</v>
      </c>
      <c r="S1288" s="51">
        <v>72608</v>
      </c>
      <c r="T1288" s="51">
        <v>18052300</v>
      </c>
      <c r="U1288" s="53">
        <f t="shared" si="40"/>
        <v>-1.7048891822031287E-3</v>
      </c>
      <c r="V1288" s="59">
        <f>U1288-('16. câmbio USD-BRL'!O735/'16. câmbio USD-BRL'!K735-1)</f>
        <v>-2.2827832146867788E-3</v>
      </c>
    </row>
    <row r="1289" spans="14:22" x14ac:dyDescent="0.2">
      <c r="N1289" s="52">
        <v>43087</v>
      </c>
      <c r="O1289" s="51">
        <v>72621</v>
      </c>
      <c r="P1289" s="51">
        <v>75227</v>
      </c>
      <c r="Q1289" s="51">
        <v>72347</v>
      </c>
      <c r="R1289" s="51">
        <v>75187</v>
      </c>
      <c r="S1289" s="51">
        <v>75187</v>
      </c>
      <c r="T1289" s="51">
        <v>12737400</v>
      </c>
      <c r="U1289" s="53">
        <f t="shared" si="40"/>
        <v>3.5519501983252599E-2</v>
      </c>
      <c r="V1289" s="59">
        <f>U1289-('16. câmbio USD-BRL'!O736/'16. câmbio USD-BRL'!K736-1)</f>
        <v>2.2767110909926336E-2</v>
      </c>
    </row>
    <row r="1290" spans="14:22" x14ac:dyDescent="0.2">
      <c r="N1290" s="52">
        <v>43094</v>
      </c>
      <c r="O1290" s="51">
        <v>75187</v>
      </c>
      <c r="P1290" s="51">
        <v>76437</v>
      </c>
      <c r="Q1290" s="51">
        <v>74924</v>
      </c>
      <c r="R1290" s="51">
        <v>76402</v>
      </c>
      <c r="S1290" s="51">
        <v>76402</v>
      </c>
      <c r="T1290" s="51">
        <v>5454900</v>
      </c>
      <c r="U1290" s="53">
        <f t="shared" si="40"/>
        <v>1.6159708460239175E-2</v>
      </c>
      <c r="V1290" s="59">
        <f>U1290-('16. câmbio USD-BRL'!O737/'16. câmbio USD-BRL'!K737-1)</f>
        <v>2.3653713256402198E-2</v>
      </c>
    </row>
    <row r="1291" spans="14:22" x14ac:dyDescent="0.2">
      <c r="N1291" s="52">
        <v>43101</v>
      </c>
      <c r="O1291" s="51">
        <v>76403</v>
      </c>
      <c r="P1291" s="51">
        <v>79135</v>
      </c>
      <c r="Q1291" s="51">
        <v>76403</v>
      </c>
      <c r="R1291" s="51">
        <v>79071</v>
      </c>
      <c r="S1291" s="51">
        <v>79071</v>
      </c>
      <c r="T1291" s="51">
        <v>12255700</v>
      </c>
      <c r="U1291" s="53">
        <f t="shared" si="40"/>
        <v>3.4933640480615757E-2</v>
      </c>
      <c r="V1291" s="59">
        <f>U1291-('16. câmbio USD-BRL'!O738/'16. câmbio USD-BRL'!K738-1)</f>
        <v>6.0488692587548298E-2</v>
      </c>
    </row>
    <row r="1292" spans="14:22" x14ac:dyDescent="0.2">
      <c r="N1292" s="52">
        <v>43108</v>
      </c>
      <c r="O1292" s="51">
        <v>79070</v>
      </c>
      <c r="P1292" s="51">
        <v>79440</v>
      </c>
      <c r="Q1292" s="51">
        <v>78164</v>
      </c>
      <c r="R1292" s="51">
        <v>79349</v>
      </c>
      <c r="S1292" s="51">
        <v>79349</v>
      </c>
      <c r="T1292" s="51">
        <v>15756500</v>
      </c>
      <c r="U1292" s="53">
        <f t="shared" si="40"/>
        <v>3.5158275473941014E-3</v>
      </c>
      <c r="V1292" s="59">
        <f>U1292-('16. câmbio USD-BRL'!O739/'16. câmbio USD-BRL'!K739-1)</f>
        <v>1.2003792604238672E-2</v>
      </c>
    </row>
    <row r="1293" spans="14:22" x14ac:dyDescent="0.2">
      <c r="N1293" s="52">
        <v>43115</v>
      </c>
      <c r="O1293" s="51">
        <v>79349</v>
      </c>
      <c r="P1293" s="51">
        <v>81429</v>
      </c>
      <c r="Q1293" s="51">
        <v>79349</v>
      </c>
      <c r="R1293" s="51">
        <v>81220</v>
      </c>
      <c r="S1293" s="51">
        <v>81220</v>
      </c>
      <c r="T1293" s="51">
        <v>14817500</v>
      </c>
      <c r="U1293" s="53">
        <f t="shared" si="40"/>
        <v>2.3579377181817129E-2</v>
      </c>
      <c r="V1293" s="59">
        <f>U1293-('16. câmbio USD-BRL'!O740/'16. câmbio USD-BRL'!K740-1)</f>
        <v>2.707675414909172E-2</v>
      </c>
    </row>
    <row r="1294" spans="14:22" x14ac:dyDescent="0.2">
      <c r="N1294" s="52">
        <v>43122</v>
      </c>
      <c r="O1294" s="51">
        <v>81220</v>
      </c>
      <c r="P1294" s="51">
        <v>85531</v>
      </c>
      <c r="Q1294" s="51">
        <v>80524</v>
      </c>
      <c r="R1294" s="51">
        <v>85531</v>
      </c>
      <c r="S1294" s="51">
        <v>85531</v>
      </c>
      <c r="T1294" s="51">
        <v>17318500</v>
      </c>
      <c r="U1294" s="53">
        <f t="shared" si="40"/>
        <v>5.3078059591233684E-2</v>
      </c>
      <c r="V1294" s="59">
        <f>U1294-('16. câmbio USD-BRL'!O741/'16. câmbio USD-BRL'!K741-1)</f>
        <v>6.7762761200601762E-2</v>
      </c>
    </row>
    <row r="1295" spans="14:22" x14ac:dyDescent="0.2">
      <c r="N1295" s="52">
        <v>43129</v>
      </c>
      <c r="O1295" s="51">
        <v>85531</v>
      </c>
      <c r="P1295" s="51">
        <v>86213</v>
      </c>
      <c r="Q1295" s="51">
        <v>83804</v>
      </c>
      <c r="R1295" s="51">
        <v>84041</v>
      </c>
      <c r="S1295" s="51">
        <v>84041</v>
      </c>
      <c r="T1295" s="51">
        <v>19151300</v>
      </c>
      <c r="U1295" s="53">
        <f t="shared" si="40"/>
        <v>-1.7420584349534085E-2</v>
      </c>
      <c r="V1295" s="59">
        <f>U1295-('16. câmbio USD-BRL'!O742/'16. câmbio USD-BRL'!K742-1)</f>
        <v>-3.7816448081057219E-2</v>
      </c>
    </row>
    <row r="1296" spans="14:22" x14ac:dyDescent="0.2">
      <c r="N1296" s="52">
        <v>43136</v>
      </c>
      <c r="O1296" s="51">
        <v>84040</v>
      </c>
      <c r="P1296" s="51">
        <v>84410</v>
      </c>
      <c r="Q1296" s="51">
        <v>79690</v>
      </c>
      <c r="R1296" s="51">
        <v>80899</v>
      </c>
      <c r="S1296" s="51">
        <v>80899</v>
      </c>
      <c r="T1296" s="51">
        <v>21033500</v>
      </c>
      <c r="U1296" s="53">
        <f t="shared" si="40"/>
        <v>-3.7386513725443549E-2</v>
      </c>
      <c r="V1296" s="59">
        <f>U1296-('16. câmbio USD-BRL'!O743/'16. câmbio USD-BRL'!K743-1)</f>
        <v>-6.0980657155453977E-2</v>
      </c>
    </row>
    <row r="1297" spans="14:22" x14ac:dyDescent="0.2">
      <c r="N1297" s="52">
        <v>43143</v>
      </c>
      <c r="O1297" s="51">
        <v>80901</v>
      </c>
      <c r="P1297" s="51">
        <v>84686</v>
      </c>
      <c r="Q1297" s="51">
        <v>80901</v>
      </c>
      <c r="R1297" s="51">
        <v>84525</v>
      </c>
      <c r="S1297" s="51">
        <v>84525</v>
      </c>
      <c r="T1297" s="51">
        <v>10875800</v>
      </c>
      <c r="U1297" s="53">
        <f t="shared" si="40"/>
        <v>4.4821320411871701E-2</v>
      </c>
      <c r="V1297" s="59">
        <f>U1297-('16. câmbio USD-BRL'!O744/'16. câmbio USD-BRL'!K744-1)</f>
        <v>6.3864600594104037E-2</v>
      </c>
    </row>
    <row r="1298" spans="14:22" x14ac:dyDescent="0.2">
      <c r="N1298" s="52">
        <v>43150</v>
      </c>
      <c r="O1298" s="51">
        <v>84525</v>
      </c>
      <c r="P1298" s="51">
        <v>87358</v>
      </c>
      <c r="Q1298" s="51">
        <v>84261</v>
      </c>
      <c r="R1298" s="51">
        <v>87293</v>
      </c>
      <c r="S1298" s="51">
        <v>87293</v>
      </c>
      <c r="T1298" s="51">
        <v>18696800</v>
      </c>
      <c r="U1298" s="53">
        <f t="shared" si="40"/>
        <v>3.2747707778763679E-2</v>
      </c>
      <c r="V1298" s="59">
        <f>U1298-('16. câmbio USD-BRL'!O745/'16. câmbio USD-BRL'!K745-1)</f>
        <v>3.178789602571408E-2</v>
      </c>
    </row>
    <row r="1299" spans="14:22" x14ac:dyDescent="0.2">
      <c r="N1299" s="52">
        <v>43157</v>
      </c>
      <c r="O1299" s="51">
        <v>87296</v>
      </c>
      <c r="P1299" s="51">
        <v>88318</v>
      </c>
      <c r="Q1299" s="51">
        <v>83897</v>
      </c>
      <c r="R1299" s="51">
        <v>85761</v>
      </c>
      <c r="S1299" s="51">
        <v>85761</v>
      </c>
      <c r="T1299" s="51">
        <v>21754500</v>
      </c>
      <c r="U1299" s="53">
        <f t="shared" si="40"/>
        <v>-1.7550089927027335E-2</v>
      </c>
      <c r="V1299" s="59">
        <f>U1299-('16. câmbio USD-BRL'!O746/'16. câmbio USD-BRL'!K746-1)</f>
        <v>-2.1255509102571679E-2</v>
      </c>
    </row>
    <row r="1300" spans="14:22" x14ac:dyDescent="0.2">
      <c r="N1300" s="52">
        <v>43164</v>
      </c>
      <c r="O1300" s="51">
        <v>85292</v>
      </c>
      <c r="P1300" s="51">
        <v>86931</v>
      </c>
      <c r="Q1300" s="51">
        <v>84397</v>
      </c>
      <c r="R1300" s="51">
        <v>86371</v>
      </c>
      <c r="S1300" s="51">
        <v>86371</v>
      </c>
      <c r="T1300" s="51">
        <v>17666800</v>
      </c>
      <c r="U1300" s="53">
        <f t="shared" si="40"/>
        <v>7.1127901960097439E-3</v>
      </c>
      <c r="V1300" s="59">
        <f>U1300-('16. câmbio USD-BRL'!O747/'16. câmbio USD-BRL'!K747-1)</f>
        <v>2.3135285439563891E-3</v>
      </c>
    </row>
    <row r="1301" spans="14:22" x14ac:dyDescent="0.2">
      <c r="N1301" s="52">
        <v>43171</v>
      </c>
      <c r="O1301" s="51">
        <v>86386</v>
      </c>
      <c r="P1301" s="51">
        <v>87333</v>
      </c>
      <c r="Q1301" s="51">
        <v>84525</v>
      </c>
      <c r="R1301" s="51">
        <v>84886</v>
      </c>
      <c r="S1301" s="51">
        <v>84886</v>
      </c>
      <c r="T1301" s="51">
        <v>17186000</v>
      </c>
      <c r="U1301" s="53">
        <f t="shared" si="40"/>
        <v>-1.7193270889534706E-2</v>
      </c>
      <c r="V1301" s="59">
        <f>U1301-('16. câmbio USD-BRL'!O748/'16. câmbio USD-BRL'!K748-1)</f>
        <v>-2.5178283634843424E-2</v>
      </c>
    </row>
    <row r="1302" spans="14:22" x14ac:dyDescent="0.2">
      <c r="N1302" s="52">
        <v>43178</v>
      </c>
      <c r="O1302" s="51">
        <v>84886</v>
      </c>
      <c r="P1302" s="51">
        <v>85499</v>
      </c>
      <c r="Q1302" s="51">
        <v>83678</v>
      </c>
      <c r="R1302" s="51">
        <v>84377</v>
      </c>
      <c r="S1302" s="51">
        <v>84377</v>
      </c>
      <c r="T1302" s="51">
        <v>15692100</v>
      </c>
      <c r="U1302" s="53">
        <f t="shared" si="40"/>
        <v>-5.9962773602243447E-3</v>
      </c>
      <c r="V1302" s="59">
        <f>U1302-('16. câmbio USD-BRL'!O749/'16. câmbio USD-BRL'!K749-1)</f>
        <v>-1.5726040063817393E-2</v>
      </c>
    </row>
    <row r="1303" spans="14:22" x14ac:dyDescent="0.2">
      <c r="N1303" s="52">
        <v>43185</v>
      </c>
      <c r="O1303" s="51">
        <v>84377</v>
      </c>
      <c r="P1303" s="51">
        <v>85708</v>
      </c>
      <c r="Q1303" s="51">
        <v>82889</v>
      </c>
      <c r="R1303" s="51">
        <v>85366</v>
      </c>
      <c r="S1303" s="51">
        <v>85366</v>
      </c>
      <c r="T1303" s="51">
        <v>11365700</v>
      </c>
      <c r="U1303" s="53">
        <f t="shared" si="40"/>
        <v>1.1721203645543188E-2</v>
      </c>
      <c r="V1303" s="59">
        <f>U1303-('16. câmbio USD-BRL'!O750/'16. câmbio USD-BRL'!K750-1)</f>
        <v>1.3262594524136029E-2</v>
      </c>
    </row>
    <row r="1304" spans="14:22" x14ac:dyDescent="0.2">
      <c r="N1304" s="52">
        <v>43192</v>
      </c>
      <c r="O1304" s="51">
        <v>85365</v>
      </c>
      <c r="P1304" s="51">
        <v>86148</v>
      </c>
      <c r="Q1304" s="51">
        <v>82826</v>
      </c>
      <c r="R1304" s="51">
        <v>84820</v>
      </c>
      <c r="S1304" s="51">
        <v>84820</v>
      </c>
      <c r="T1304" s="51">
        <v>15452600</v>
      </c>
      <c r="U1304" s="53">
        <f t="shared" si="40"/>
        <v>-6.3959890354473581E-3</v>
      </c>
      <c r="V1304" s="59">
        <f>U1304-('16. câmbio USD-BRL'!O751/'16. câmbio USD-BRL'!K751-1)</f>
        <v>-2.5682654894718326E-2</v>
      </c>
    </row>
    <row r="1305" spans="14:22" x14ac:dyDescent="0.2">
      <c r="N1305" s="52">
        <v>43199</v>
      </c>
      <c r="O1305" s="51">
        <v>84832</v>
      </c>
      <c r="P1305" s="51">
        <v>85577</v>
      </c>
      <c r="Q1305" s="51">
        <v>83155</v>
      </c>
      <c r="R1305" s="51">
        <v>84334</v>
      </c>
      <c r="S1305" s="51">
        <v>84334</v>
      </c>
      <c r="T1305" s="51">
        <v>16405300</v>
      </c>
      <c r="U1305" s="53">
        <f t="shared" si="40"/>
        <v>-5.7297807120961775E-3</v>
      </c>
      <c r="V1305" s="59">
        <f>U1305-('16. câmbio USD-BRL'!O752/'16. câmbio USD-BRL'!K752-1)</f>
        <v>-2.1223992644420209E-2</v>
      </c>
    </row>
    <row r="1306" spans="14:22" x14ac:dyDescent="0.2">
      <c r="N1306" s="52">
        <v>43206</v>
      </c>
      <c r="O1306" s="51">
        <v>84328</v>
      </c>
      <c r="P1306" s="51">
        <v>86149</v>
      </c>
      <c r="Q1306" s="51">
        <v>82762</v>
      </c>
      <c r="R1306" s="51">
        <v>85550</v>
      </c>
      <c r="S1306" s="51">
        <v>85550</v>
      </c>
      <c r="T1306" s="51">
        <v>16251500</v>
      </c>
      <c r="U1306" s="53">
        <f t="shared" si="40"/>
        <v>1.4418858348945962E-2</v>
      </c>
      <c r="V1306" s="59">
        <f>U1306-('16. câmbio USD-BRL'!O753/'16. câmbio USD-BRL'!K753-1)</f>
        <v>8.3416243754379504E-3</v>
      </c>
    </row>
    <row r="1307" spans="14:22" x14ac:dyDescent="0.2">
      <c r="N1307" s="52">
        <v>43213</v>
      </c>
      <c r="O1307" s="51">
        <v>85520</v>
      </c>
      <c r="P1307" s="51">
        <v>87179</v>
      </c>
      <c r="Q1307" s="51">
        <v>84349</v>
      </c>
      <c r="R1307" s="51">
        <v>86445</v>
      </c>
      <c r="S1307" s="51">
        <v>86445</v>
      </c>
      <c r="T1307" s="51">
        <v>11627400</v>
      </c>
      <c r="U1307" s="53">
        <f t="shared" si="40"/>
        <v>1.0461718293395705E-2</v>
      </c>
      <c r="V1307" s="59">
        <f>U1307-('16. câmbio USD-BRL'!O754/'16. câmbio USD-BRL'!K754-1)</f>
        <v>-1.870580025193469E-3</v>
      </c>
    </row>
    <row r="1308" spans="14:22" x14ac:dyDescent="0.2">
      <c r="N1308" s="52">
        <v>43220</v>
      </c>
      <c r="O1308" s="51">
        <v>86443</v>
      </c>
      <c r="P1308" s="51">
        <v>86739</v>
      </c>
      <c r="Q1308" s="51">
        <v>82746</v>
      </c>
      <c r="R1308" s="51">
        <v>83118</v>
      </c>
      <c r="S1308" s="51">
        <v>83118</v>
      </c>
      <c r="T1308" s="51">
        <v>13352300</v>
      </c>
      <c r="U1308" s="53">
        <f t="shared" si="40"/>
        <v>-3.8486899184452583E-2</v>
      </c>
      <c r="V1308" s="59">
        <f>U1308-('16. câmbio USD-BRL'!O755/'16. câmbio USD-BRL'!K755-1)</f>
        <v>-5.9170170323334159E-2</v>
      </c>
    </row>
    <row r="1309" spans="14:22" x14ac:dyDescent="0.2">
      <c r="N1309" s="52">
        <v>43227</v>
      </c>
      <c r="O1309" s="51">
        <v>83199</v>
      </c>
      <c r="P1309" s="51">
        <v>86406</v>
      </c>
      <c r="Q1309" s="51">
        <v>82201</v>
      </c>
      <c r="R1309" s="51">
        <v>85220</v>
      </c>
      <c r="S1309" s="51">
        <v>85220</v>
      </c>
      <c r="T1309" s="51">
        <v>20478700</v>
      </c>
      <c r="U1309" s="53">
        <f t="shared" si="40"/>
        <v>2.5289347674390728E-2</v>
      </c>
      <c r="V1309" s="59">
        <f>U1309-('16. câmbio USD-BRL'!O756/'16. câmbio USD-BRL'!K756-1)</f>
        <v>-4.7532171694175673E-6</v>
      </c>
    </row>
    <row r="1310" spans="14:22" x14ac:dyDescent="0.2">
      <c r="N1310" s="52">
        <v>43234</v>
      </c>
      <c r="O1310" s="51">
        <v>85222</v>
      </c>
      <c r="P1310" s="51">
        <v>86678</v>
      </c>
      <c r="Q1310" s="51">
        <v>81391</v>
      </c>
      <c r="R1310" s="51">
        <v>83082</v>
      </c>
      <c r="S1310" s="51">
        <v>83082</v>
      </c>
      <c r="T1310" s="51">
        <v>23431600</v>
      </c>
      <c r="U1310" s="53">
        <f t="shared" si="40"/>
        <v>-2.5088007509974197E-2</v>
      </c>
      <c r="V1310" s="59">
        <f>U1310-('16. câmbio USD-BRL'!O757/'16. câmbio USD-BRL'!K757-1)</f>
        <v>-6.2001690551883648E-2</v>
      </c>
    </row>
    <row r="1311" spans="14:22" x14ac:dyDescent="0.2">
      <c r="N1311" s="52">
        <v>43241</v>
      </c>
      <c r="O1311" s="51">
        <v>83095</v>
      </c>
      <c r="P1311" s="51">
        <v>83883</v>
      </c>
      <c r="Q1311" s="51">
        <v>78622</v>
      </c>
      <c r="R1311" s="51">
        <v>78898</v>
      </c>
      <c r="S1311" s="51">
        <v>78898</v>
      </c>
      <c r="T1311" s="51">
        <v>23735500</v>
      </c>
      <c r="U1311" s="53">
        <f t="shared" si="40"/>
        <v>-5.0359885414409833E-2</v>
      </c>
      <c r="V1311" s="59">
        <f>U1311-('16. câmbio USD-BRL'!O758/'16. câmbio USD-BRL'!K758-1)</f>
        <v>-3.3602651161123931E-2</v>
      </c>
    </row>
    <row r="1312" spans="14:22" x14ac:dyDescent="0.2">
      <c r="N1312" s="52">
        <v>43248</v>
      </c>
      <c r="O1312" s="51">
        <v>78886</v>
      </c>
      <c r="P1312" s="51">
        <v>78886</v>
      </c>
      <c r="Q1312" s="51">
        <v>75337</v>
      </c>
      <c r="R1312" s="51">
        <v>77240</v>
      </c>
      <c r="S1312" s="51">
        <v>77240</v>
      </c>
      <c r="T1312" s="51">
        <v>23635000</v>
      </c>
      <c r="U1312" s="53">
        <f t="shared" si="40"/>
        <v>-2.101447438464854E-2</v>
      </c>
      <c r="V1312" s="59">
        <f>U1312-('16. câmbio USD-BRL'!O759/'16. câmbio USD-BRL'!K759-1)</f>
        <v>-5.7554102645638094E-2</v>
      </c>
    </row>
    <row r="1313" spans="14:22" x14ac:dyDescent="0.2">
      <c r="N1313" s="52">
        <v>43255</v>
      </c>
      <c r="O1313" s="51">
        <v>77244</v>
      </c>
      <c r="P1313" s="51">
        <v>78892</v>
      </c>
      <c r="Q1313" s="51">
        <v>71162</v>
      </c>
      <c r="R1313" s="51">
        <v>72942</v>
      </c>
      <c r="S1313" s="51">
        <v>72942</v>
      </c>
      <c r="T1313" s="51">
        <v>27266200</v>
      </c>
      <c r="U1313" s="53">
        <f t="shared" si="40"/>
        <v>-5.5644743656136697E-2</v>
      </c>
      <c r="V1313" s="59">
        <f>U1313-('16. câmbio USD-BRL'!O760/'16. câmbio USD-BRL'!K760-1)</f>
        <v>-4.0042170693508461E-2</v>
      </c>
    </row>
    <row r="1314" spans="14:22" x14ac:dyDescent="0.2">
      <c r="N1314" s="52">
        <v>43262</v>
      </c>
      <c r="O1314" s="51">
        <v>72943</v>
      </c>
      <c r="P1314" s="51">
        <v>73716</v>
      </c>
      <c r="Q1314" s="51">
        <v>69583</v>
      </c>
      <c r="R1314" s="51">
        <v>70758</v>
      </c>
      <c r="S1314" s="51">
        <v>70758</v>
      </c>
      <c r="T1314" s="51">
        <v>22552500</v>
      </c>
      <c r="U1314" s="53">
        <f t="shared" si="40"/>
        <v>-2.9941597433577383E-2</v>
      </c>
      <c r="V1314" s="59">
        <f>U1314-('16. câmbio USD-BRL'!O761/'16. câmbio USD-BRL'!K761-1)</f>
        <v>-3.5714459586261627E-2</v>
      </c>
    </row>
    <row r="1315" spans="14:22" x14ac:dyDescent="0.2">
      <c r="N1315" s="52">
        <v>43269</v>
      </c>
      <c r="O1315" s="51">
        <v>70757</v>
      </c>
      <c r="P1315" s="51">
        <v>72617</v>
      </c>
      <c r="Q1315" s="51">
        <v>69069</v>
      </c>
      <c r="R1315" s="51">
        <v>70641</v>
      </c>
      <c r="S1315" s="51">
        <v>70641</v>
      </c>
      <c r="T1315" s="51">
        <v>19620600</v>
      </c>
      <c r="U1315" s="53">
        <f t="shared" si="40"/>
        <v>-1.6535232765200192E-3</v>
      </c>
      <c r="V1315" s="59">
        <f>U1315-('16. câmbio USD-BRL'!O762/'16. câmbio USD-BRL'!K762-1)</f>
        <v>-1.0955474809867694E-2</v>
      </c>
    </row>
    <row r="1316" spans="14:22" x14ac:dyDescent="0.2">
      <c r="N1316" s="52">
        <v>43276</v>
      </c>
      <c r="O1316" s="51">
        <v>70642</v>
      </c>
      <c r="P1316" s="51">
        <v>73020</v>
      </c>
      <c r="Q1316" s="51">
        <v>69779</v>
      </c>
      <c r="R1316" s="51">
        <v>72763</v>
      </c>
      <c r="S1316" s="51">
        <v>72763</v>
      </c>
      <c r="T1316" s="51">
        <v>17828300</v>
      </c>
      <c r="U1316" s="53">
        <f t="shared" si="40"/>
        <v>3.0039212355430944E-2</v>
      </c>
      <c r="V1316" s="59">
        <f>U1316-('16. câmbio USD-BRL'!O763/'16. câmbio USD-BRL'!K763-1)</f>
        <v>4.5847631187998505E-3</v>
      </c>
    </row>
    <row r="1317" spans="14:22" x14ac:dyDescent="0.2">
      <c r="N1317" s="52">
        <v>43283</v>
      </c>
      <c r="O1317" s="51">
        <v>72763</v>
      </c>
      <c r="P1317" s="51">
        <v>75127</v>
      </c>
      <c r="Q1317" s="51">
        <v>71935</v>
      </c>
      <c r="R1317" s="51">
        <v>75010</v>
      </c>
      <c r="S1317" s="51">
        <v>75010</v>
      </c>
      <c r="T1317" s="51">
        <v>11712600</v>
      </c>
      <c r="U1317" s="53">
        <f t="shared" si="40"/>
        <v>3.0881079669612399E-2</v>
      </c>
      <c r="V1317" s="59">
        <f>U1317-('16. câmbio USD-BRL'!O764/'16. câmbio USD-BRL'!K764-1)</f>
        <v>3.4442094300737747E-2</v>
      </c>
    </row>
    <row r="1318" spans="14:22" x14ac:dyDescent="0.2">
      <c r="N1318" s="52">
        <v>43290</v>
      </c>
      <c r="O1318" s="51">
        <v>75015</v>
      </c>
      <c r="P1318" s="51">
        <v>76682</v>
      </c>
      <c r="Q1318" s="51">
        <v>74196</v>
      </c>
      <c r="R1318" s="51">
        <v>76594</v>
      </c>
      <c r="S1318" s="51">
        <v>76594</v>
      </c>
      <c r="T1318" s="51">
        <v>11176300</v>
      </c>
      <c r="U1318" s="53">
        <f t="shared" si="40"/>
        <v>2.1117184375416542E-2</v>
      </c>
      <c r="V1318" s="59">
        <f>U1318-('16. câmbio USD-BRL'!O765/'16. câmbio USD-BRL'!K765-1)</f>
        <v>2.3217262156075114E-2</v>
      </c>
    </row>
    <row r="1319" spans="14:22" x14ac:dyDescent="0.2">
      <c r="N1319" s="52">
        <v>43297</v>
      </c>
      <c r="O1319" s="51">
        <v>76587</v>
      </c>
      <c r="P1319" s="51">
        <v>79489</v>
      </c>
      <c r="Q1319" s="51">
        <v>75890</v>
      </c>
      <c r="R1319" s="51">
        <v>78571</v>
      </c>
      <c r="S1319" s="51">
        <v>78571</v>
      </c>
      <c r="T1319" s="51">
        <v>18938200</v>
      </c>
      <c r="U1319" s="53">
        <f t="shared" si="40"/>
        <v>2.5811421260151013E-2</v>
      </c>
      <c r="V1319" s="59">
        <f>U1319-('16. câmbio USD-BRL'!O766/'16. câmbio USD-BRL'!K766-1)</f>
        <v>4.8819627347197914E-2</v>
      </c>
    </row>
    <row r="1320" spans="14:22" x14ac:dyDescent="0.2">
      <c r="N1320" s="52">
        <v>43304</v>
      </c>
      <c r="O1320" s="51">
        <v>78571</v>
      </c>
      <c r="P1320" s="51">
        <v>80589</v>
      </c>
      <c r="Q1320" s="51">
        <v>77871</v>
      </c>
      <c r="R1320" s="51">
        <v>79866</v>
      </c>
      <c r="S1320" s="51">
        <v>79866</v>
      </c>
      <c r="T1320" s="51">
        <v>15814800</v>
      </c>
      <c r="U1320" s="53">
        <f t="shared" si="40"/>
        <v>1.6481908083135099E-2</v>
      </c>
      <c r="V1320" s="59">
        <f>U1320-('16. câmbio USD-BRL'!O767/'16. câmbio USD-BRL'!K767-1)</f>
        <v>2.9878325073194101E-2</v>
      </c>
    </row>
    <row r="1321" spans="14:22" x14ac:dyDescent="0.2">
      <c r="N1321" s="52">
        <v>43311</v>
      </c>
      <c r="O1321" s="51">
        <v>79866</v>
      </c>
      <c r="P1321" s="51">
        <v>81792</v>
      </c>
      <c r="Q1321" s="51">
        <v>78573</v>
      </c>
      <c r="R1321" s="51">
        <v>81435</v>
      </c>
      <c r="S1321" s="51">
        <v>81435</v>
      </c>
      <c r="T1321" s="51">
        <v>16021100</v>
      </c>
      <c r="U1321" s="53">
        <f t="shared" si="40"/>
        <v>1.9645406055142312E-2</v>
      </c>
      <c r="V1321" s="59">
        <f>U1321-('16. câmbio USD-BRL'!O768/'16. câmbio USD-BRL'!K768-1)</f>
        <v>2.0831421850716403E-2</v>
      </c>
    </row>
    <row r="1322" spans="14:22" x14ac:dyDescent="0.2">
      <c r="N1322" s="52">
        <v>43318</v>
      </c>
      <c r="O1322" s="51">
        <v>81445</v>
      </c>
      <c r="P1322" s="51">
        <v>81765</v>
      </c>
      <c r="Q1322" s="51">
        <v>76043</v>
      </c>
      <c r="R1322" s="51">
        <v>76514</v>
      </c>
      <c r="S1322" s="51">
        <v>76514</v>
      </c>
      <c r="T1322" s="51">
        <v>13929000</v>
      </c>
      <c r="U1322" s="53">
        <f t="shared" si="40"/>
        <v>-6.0428562657334095E-2</v>
      </c>
      <c r="V1322" s="59">
        <f>U1322-('16. câmbio USD-BRL'!O769/'16. câmbio USD-BRL'!K769-1)</f>
        <v>-0.10190296833476731</v>
      </c>
    </row>
    <row r="1323" spans="14:22" x14ac:dyDescent="0.2">
      <c r="N1323" s="52">
        <v>43325</v>
      </c>
      <c r="O1323" s="51">
        <v>76513</v>
      </c>
      <c r="P1323" s="51">
        <v>78742</v>
      </c>
      <c r="Q1323" s="51">
        <v>75633</v>
      </c>
      <c r="R1323" s="51">
        <v>76029</v>
      </c>
      <c r="S1323" s="51">
        <v>76029</v>
      </c>
      <c r="T1323" s="51">
        <v>19085300</v>
      </c>
      <c r="U1323" s="53">
        <f t="shared" si="40"/>
        <v>-6.3387092558224722E-3</v>
      </c>
      <c r="V1323" s="59">
        <f>U1323-('16. câmbio USD-BRL'!O770/'16. câmbio USD-BRL'!K770-1)</f>
        <v>-1.9531389780419461E-2</v>
      </c>
    </row>
    <row r="1324" spans="14:22" x14ac:dyDescent="0.2">
      <c r="N1324" s="52">
        <v>43332</v>
      </c>
      <c r="O1324" s="51">
        <v>76029</v>
      </c>
      <c r="P1324" s="51">
        <v>77232</v>
      </c>
      <c r="Q1324" s="51">
        <v>74876</v>
      </c>
      <c r="R1324" s="51">
        <v>76262</v>
      </c>
      <c r="S1324" s="51">
        <v>76262</v>
      </c>
      <c r="T1324" s="51">
        <v>18292100</v>
      </c>
      <c r="U1324" s="53">
        <f t="shared" si="40"/>
        <v>3.0646200791804024E-3</v>
      </c>
      <c r="V1324" s="59">
        <f>U1324-('16. câmbio USD-BRL'!O771/'16. câmbio USD-BRL'!K771-1)</f>
        <v>-4.9347408071811261E-2</v>
      </c>
    </row>
    <row r="1325" spans="14:22" x14ac:dyDescent="0.2">
      <c r="N1325" s="52">
        <v>43339</v>
      </c>
      <c r="O1325" s="51">
        <v>76264</v>
      </c>
      <c r="P1325" s="51">
        <v>78783</v>
      </c>
      <c r="Q1325" s="51">
        <v>76026</v>
      </c>
      <c r="R1325" s="51">
        <v>76678</v>
      </c>
      <c r="S1325" s="51">
        <v>76678</v>
      </c>
      <c r="T1325" s="51">
        <v>16535400</v>
      </c>
      <c r="U1325" s="53">
        <f t="shared" si="40"/>
        <v>5.4548792321209572E-3</v>
      </c>
      <c r="V1325" s="59">
        <f>U1325-('16. câmbio USD-BRL'!O772/'16. câmbio USD-BRL'!K772-1)</f>
        <v>9.655424566076598E-3</v>
      </c>
    </row>
    <row r="1326" spans="14:22" x14ac:dyDescent="0.2">
      <c r="N1326" s="52">
        <v>43346</v>
      </c>
      <c r="O1326" s="51">
        <v>76675</v>
      </c>
      <c r="P1326" s="51">
        <v>76675</v>
      </c>
      <c r="Q1326" s="51">
        <v>74276</v>
      </c>
      <c r="R1326" s="51">
        <v>76416</v>
      </c>
      <c r="S1326" s="51">
        <v>76416</v>
      </c>
      <c r="T1326" s="51">
        <v>10964500</v>
      </c>
      <c r="U1326" s="53">
        <f t="shared" si="40"/>
        <v>-3.4168861994313682E-3</v>
      </c>
      <c r="V1326" s="59">
        <f>U1326-('16. câmbio USD-BRL'!O773/'16. câmbio USD-BRL'!K773-1)</f>
        <v>-4.7987492469326876E-3</v>
      </c>
    </row>
    <row r="1327" spans="14:22" x14ac:dyDescent="0.2">
      <c r="N1327" s="52">
        <v>43353</v>
      </c>
      <c r="O1327" s="51">
        <v>76416</v>
      </c>
      <c r="P1327" s="51">
        <v>77293</v>
      </c>
      <c r="Q1327" s="51">
        <v>74275</v>
      </c>
      <c r="R1327" s="51">
        <v>75429</v>
      </c>
      <c r="S1327" s="51">
        <v>75429</v>
      </c>
      <c r="T1327" s="51">
        <v>13108100</v>
      </c>
      <c r="U1327" s="53">
        <f t="shared" si="40"/>
        <v>-1.2916143216080367E-2</v>
      </c>
      <c r="V1327" s="59">
        <f>U1327-('16. câmbio USD-BRL'!O774/'16. câmbio USD-BRL'!K774-1)</f>
        <v>-4.9984237033132151E-2</v>
      </c>
    </row>
    <row r="1328" spans="14:22" x14ac:dyDescent="0.2">
      <c r="N1328" s="52">
        <v>43360</v>
      </c>
      <c r="O1328" s="51">
        <v>75428</v>
      </c>
      <c r="P1328" s="51">
        <v>80002</v>
      </c>
      <c r="Q1328" s="51">
        <v>75227</v>
      </c>
      <c r="R1328" s="51">
        <v>79444</v>
      </c>
      <c r="S1328" s="51">
        <v>79444</v>
      </c>
      <c r="T1328" s="51">
        <v>19149800</v>
      </c>
      <c r="U1328" s="53">
        <f t="shared" si="40"/>
        <v>5.3228864229938111E-2</v>
      </c>
      <c r="V1328" s="59">
        <f>U1328-('16. câmbio USD-BRL'!O775/'16. câmbio USD-BRL'!K775-1)</f>
        <v>8.2103843245215025E-2</v>
      </c>
    </row>
    <row r="1329" spans="14:22" x14ac:dyDescent="0.2">
      <c r="N1329" s="52">
        <v>43367</v>
      </c>
      <c r="O1329" s="51">
        <v>79447</v>
      </c>
      <c r="P1329" s="51">
        <v>80107</v>
      </c>
      <c r="Q1329" s="51">
        <v>77005</v>
      </c>
      <c r="R1329" s="51">
        <v>79342</v>
      </c>
      <c r="S1329" s="51">
        <v>79342</v>
      </c>
      <c r="T1329" s="51">
        <v>15972100</v>
      </c>
      <c r="U1329" s="53">
        <f t="shared" si="40"/>
        <v>-1.2839232667035683E-3</v>
      </c>
      <c r="V1329" s="59">
        <f>U1329-('16. câmbio USD-BRL'!O776/'16. câmbio USD-BRL'!K776-1)</f>
        <v>-8.6413908515936555E-4</v>
      </c>
    </row>
    <row r="1330" spans="14:22" x14ac:dyDescent="0.2">
      <c r="N1330" s="52">
        <v>43374</v>
      </c>
      <c r="O1330" s="51">
        <v>79350</v>
      </c>
      <c r="P1330" s="51">
        <v>85442</v>
      </c>
      <c r="Q1330" s="51">
        <v>78091</v>
      </c>
      <c r="R1330" s="51">
        <v>82322</v>
      </c>
      <c r="S1330" s="51">
        <v>82322</v>
      </c>
      <c r="T1330" s="51">
        <v>27013300</v>
      </c>
      <c r="U1330" s="53">
        <f t="shared" si="40"/>
        <v>3.7558922134556694E-2</v>
      </c>
      <c r="V1330" s="59">
        <f>U1330-('16. câmbio USD-BRL'!O777/'16. câmbio USD-BRL'!K777-1)</f>
        <v>8.9788504891131882E-2</v>
      </c>
    </row>
    <row r="1331" spans="14:22" x14ac:dyDescent="0.2">
      <c r="N1331" s="52">
        <v>43381</v>
      </c>
      <c r="O1331" s="51">
        <v>82324</v>
      </c>
      <c r="P1331" s="51">
        <v>87333</v>
      </c>
      <c r="Q1331" s="51">
        <v>82324</v>
      </c>
      <c r="R1331" s="51">
        <v>82921</v>
      </c>
      <c r="S1331" s="51">
        <v>82921</v>
      </c>
      <c r="T1331" s="51">
        <v>21648700</v>
      </c>
      <c r="U1331" s="53">
        <f t="shared" si="40"/>
        <v>7.2763052403974626E-3</v>
      </c>
      <c r="V1331" s="59">
        <f>U1331-('16. câmbio USD-BRL'!O778/'16. câmbio USD-BRL'!K778-1)</f>
        <v>2.104674573801113E-2</v>
      </c>
    </row>
    <row r="1332" spans="14:22" x14ac:dyDescent="0.2">
      <c r="N1332" s="52">
        <v>43388</v>
      </c>
      <c r="O1332" s="51">
        <v>82922</v>
      </c>
      <c r="P1332" s="51">
        <v>86167</v>
      </c>
      <c r="Q1332" s="51">
        <v>82922</v>
      </c>
      <c r="R1332" s="51">
        <v>84220</v>
      </c>
      <c r="S1332" s="51">
        <v>84220</v>
      </c>
      <c r="T1332" s="51">
        <v>22291600</v>
      </c>
      <c r="U1332" s="53">
        <f t="shared" si="40"/>
        <v>1.566551295811669E-2</v>
      </c>
      <c r="V1332" s="59">
        <f>U1332-('16. câmbio USD-BRL'!O779/'16. câmbio USD-BRL'!K779-1)</f>
        <v>3.1849566904963211E-2</v>
      </c>
    </row>
    <row r="1333" spans="14:22" x14ac:dyDescent="0.2">
      <c r="N1333" s="52">
        <v>43395</v>
      </c>
      <c r="O1333" s="51">
        <v>84222</v>
      </c>
      <c r="P1333" s="51">
        <v>85786</v>
      </c>
      <c r="Q1333" s="51">
        <v>83035</v>
      </c>
      <c r="R1333" s="51">
        <v>85720</v>
      </c>
      <c r="S1333" s="51">
        <v>85720</v>
      </c>
      <c r="T1333" s="51">
        <v>19412500</v>
      </c>
      <c r="U1333" s="53">
        <f t="shared" si="40"/>
        <v>1.7810496319164093E-2</v>
      </c>
      <c r="V1333" s="59">
        <f>U1333-('16. câmbio USD-BRL'!O780/'16. câmbio USD-BRL'!K780-1)</f>
        <v>3.63799227960937E-2</v>
      </c>
    </row>
    <row r="1334" spans="14:22" x14ac:dyDescent="0.2">
      <c r="N1334" s="52">
        <v>43402</v>
      </c>
      <c r="O1334" s="51">
        <v>85728</v>
      </c>
      <c r="P1334" s="51">
        <v>89017</v>
      </c>
      <c r="Q1334" s="51">
        <v>82783</v>
      </c>
      <c r="R1334" s="51">
        <v>88419</v>
      </c>
      <c r="S1334" s="51">
        <v>88419</v>
      </c>
      <c r="T1334" s="51">
        <v>26059000</v>
      </c>
      <c r="U1334" s="53">
        <f t="shared" si="40"/>
        <v>3.1486234251050016E-2</v>
      </c>
      <c r="V1334" s="59">
        <f>U1334-('16. câmbio USD-BRL'!O781/'16. câmbio USD-BRL'!K781-1)</f>
        <v>1.7151875727324128E-2</v>
      </c>
    </row>
    <row r="1335" spans="14:22" x14ac:dyDescent="0.2">
      <c r="N1335" s="52">
        <v>43409</v>
      </c>
      <c r="O1335" s="51">
        <v>88418</v>
      </c>
      <c r="P1335" s="51">
        <v>89598</v>
      </c>
      <c r="Q1335" s="51">
        <v>84030</v>
      </c>
      <c r="R1335" s="51">
        <v>85641</v>
      </c>
      <c r="S1335" s="51">
        <v>85641</v>
      </c>
      <c r="T1335" s="51">
        <v>19104200</v>
      </c>
      <c r="U1335" s="53">
        <f t="shared" si="40"/>
        <v>-3.1418586502900969E-2</v>
      </c>
      <c r="V1335" s="59">
        <f>U1335-('16. câmbio USD-BRL'!O782/'16. câmbio USD-BRL'!K782-1)</f>
        <v>-4.0066533966620077E-2</v>
      </c>
    </row>
    <row r="1336" spans="14:22" x14ac:dyDescent="0.2">
      <c r="N1336" s="52">
        <v>43416</v>
      </c>
      <c r="O1336" s="51">
        <v>85644</v>
      </c>
      <c r="P1336" s="51">
        <v>88516</v>
      </c>
      <c r="Q1336" s="51">
        <v>84071</v>
      </c>
      <c r="R1336" s="51">
        <v>88515</v>
      </c>
      <c r="S1336" s="51">
        <v>88515</v>
      </c>
      <c r="T1336" s="51">
        <v>18720500</v>
      </c>
      <c r="U1336" s="53">
        <f t="shared" si="40"/>
        <v>3.3558692682243318E-2</v>
      </c>
      <c r="V1336" s="59">
        <f>U1336-('16. câmbio USD-BRL'!O783/'16. câmbio USD-BRL'!K783-1)</f>
        <v>3.1118621893376552E-2</v>
      </c>
    </row>
    <row r="1337" spans="14:22" x14ac:dyDescent="0.2">
      <c r="N1337" s="52">
        <v>43423</v>
      </c>
      <c r="O1337" s="51">
        <v>88472</v>
      </c>
      <c r="P1337" s="51">
        <v>88484</v>
      </c>
      <c r="Q1337" s="51">
        <v>85763</v>
      </c>
      <c r="R1337" s="51">
        <v>86230</v>
      </c>
      <c r="S1337" s="51">
        <v>86230</v>
      </c>
      <c r="T1337" s="51">
        <v>14175900</v>
      </c>
      <c r="U1337" s="53">
        <f t="shared" si="40"/>
        <v>-2.5814833644015156E-2</v>
      </c>
      <c r="V1337" s="59">
        <f>U1337-('16. câmbio USD-BRL'!O784/'16. câmbio USD-BRL'!K784-1)</f>
        <v>-4.7404680003400479E-2</v>
      </c>
    </row>
    <row r="1338" spans="14:22" x14ac:dyDescent="0.2">
      <c r="N1338" s="52">
        <v>43430</v>
      </c>
      <c r="O1338" s="51">
        <v>86237</v>
      </c>
      <c r="P1338" s="51">
        <v>90246</v>
      </c>
      <c r="Q1338" s="51">
        <v>84905</v>
      </c>
      <c r="R1338" s="51">
        <v>89504</v>
      </c>
      <c r="S1338" s="51">
        <v>89504</v>
      </c>
      <c r="T1338" s="51">
        <v>25818300</v>
      </c>
      <c r="U1338" s="53">
        <f t="shared" si="40"/>
        <v>3.7968224515829707E-2</v>
      </c>
      <c r="V1338" s="59">
        <f>U1338-('16. câmbio USD-BRL'!O785/'16. câmbio USD-BRL'!K785-1)</f>
        <v>2.8505903894766815E-2</v>
      </c>
    </row>
    <row r="1339" spans="14:22" x14ac:dyDescent="0.2">
      <c r="N1339" s="52">
        <v>43437</v>
      </c>
      <c r="O1339" s="51">
        <v>89511</v>
      </c>
      <c r="P1339" s="51">
        <v>91242</v>
      </c>
      <c r="Q1339" s="51">
        <v>87025</v>
      </c>
      <c r="R1339" s="51">
        <v>88115</v>
      </c>
      <c r="S1339" s="51">
        <v>88115</v>
      </c>
      <c r="T1339" s="51">
        <v>22454500</v>
      </c>
      <c r="U1339" s="53">
        <f t="shared" si="40"/>
        <v>-1.5518859492313242E-2</v>
      </c>
      <c r="V1339" s="59">
        <f>U1339-('16. câmbio USD-BRL'!O786/'16. câmbio USD-BRL'!K786-1)</f>
        <v>-1.8778716679522134E-2</v>
      </c>
    </row>
    <row r="1340" spans="14:22" x14ac:dyDescent="0.2">
      <c r="N1340" s="52">
        <v>43444</v>
      </c>
      <c r="O1340" s="51">
        <v>88115</v>
      </c>
      <c r="P1340" s="51">
        <v>88384</v>
      </c>
      <c r="Q1340" s="51">
        <v>85583</v>
      </c>
      <c r="R1340" s="51">
        <v>87450</v>
      </c>
      <c r="S1340" s="51">
        <v>87450</v>
      </c>
      <c r="T1340" s="51">
        <v>20686900</v>
      </c>
      <c r="U1340" s="53">
        <f t="shared" si="40"/>
        <v>-7.5469556829144135E-3</v>
      </c>
      <c r="V1340" s="59">
        <f>U1340-('16. câmbio USD-BRL'!O787/'16. câmbio USD-BRL'!K787-1)</f>
        <v>-3.5534068003401087E-3</v>
      </c>
    </row>
    <row r="1341" spans="14:22" x14ac:dyDescent="0.2">
      <c r="N1341" s="52">
        <v>43451</v>
      </c>
      <c r="O1341" s="51">
        <v>87448</v>
      </c>
      <c r="P1341" s="51">
        <v>88101</v>
      </c>
      <c r="Q1341" s="51">
        <v>84756</v>
      </c>
      <c r="R1341" s="51">
        <v>85697</v>
      </c>
      <c r="S1341" s="51">
        <v>85697</v>
      </c>
      <c r="T1341" s="51">
        <v>25783700</v>
      </c>
      <c r="U1341" s="53">
        <f t="shared" si="40"/>
        <v>-2.0045740423098923E-2</v>
      </c>
      <c r="V1341" s="59">
        <f>U1341-('16. câmbio USD-BRL'!O788/'16. câmbio USD-BRL'!K788-1)</f>
        <v>-1.6674867826760864E-2</v>
      </c>
    </row>
    <row r="1342" spans="14:22" x14ac:dyDescent="0.2">
      <c r="N1342" s="52">
        <v>43458</v>
      </c>
      <c r="O1342" s="51">
        <v>85684</v>
      </c>
      <c r="P1342" s="51">
        <v>88044</v>
      </c>
      <c r="Q1342" s="51">
        <v>83892</v>
      </c>
      <c r="R1342" s="51">
        <v>87887</v>
      </c>
      <c r="S1342" s="51">
        <v>87887</v>
      </c>
      <c r="T1342" s="51">
        <v>10825100</v>
      </c>
      <c r="U1342" s="53">
        <f t="shared" si="40"/>
        <v>2.5555153622647264E-2</v>
      </c>
      <c r="V1342" s="59">
        <f>U1342-('16. câmbio USD-BRL'!O789/'16. câmbio USD-BRL'!K789-1)</f>
        <v>3.1499146858792848E-2</v>
      </c>
    </row>
    <row r="1343" spans="14:22" x14ac:dyDescent="0.2">
      <c r="N1343" s="52">
        <v>43465</v>
      </c>
      <c r="O1343" s="51">
        <v>87887</v>
      </c>
      <c r="P1343" s="51">
        <v>92701</v>
      </c>
      <c r="Q1343" s="51">
        <v>87536</v>
      </c>
      <c r="R1343" s="51">
        <v>91841</v>
      </c>
      <c r="S1343" s="51">
        <v>91841</v>
      </c>
      <c r="T1343" s="51">
        <v>17003700</v>
      </c>
      <c r="U1343" s="53">
        <f t="shared" si="40"/>
        <v>4.4989588903933564E-2</v>
      </c>
      <c r="V1343" s="59">
        <f>U1343-('16. câmbio USD-BRL'!O790/'16. câmbio USD-BRL'!K790-1)</f>
        <v>8.7676602359622602E-2</v>
      </c>
    </row>
    <row r="1344" spans="14:22" x14ac:dyDescent="0.2">
      <c r="N1344" s="52">
        <v>43472</v>
      </c>
      <c r="O1344" s="51">
        <v>91845</v>
      </c>
      <c r="P1344" s="51">
        <v>93987</v>
      </c>
      <c r="Q1344" s="51">
        <v>91064</v>
      </c>
      <c r="R1344" s="51">
        <v>93658</v>
      </c>
      <c r="S1344" s="51">
        <v>93658</v>
      </c>
      <c r="T1344" s="51">
        <v>24244000</v>
      </c>
      <c r="U1344" s="53">
        <f t="shared" si="40"/>
        <v>1.9784192245293486E-2</v>
      </c>
      <c r="V1344" s="59">
        <f>U1344-('16. câmbio USD-BRL'!O791/'16. câmbio USD-BRL'!K791-1)</f>
        <v>2.0807430525175974E-2</v>
      </c>
    </row>
    <row r="1345" spans="14:22" x14ac:dyDescent="0.2">
      <c r="N1345" s="52">
        <v>43479</v>
      </c>
      <c r="O1345" s="51">
        <v>93645</v>
      </c>
      <c r="P1345" s="51">
        <v>96396</v>
      </c>
      <c r="Q1345" s="51">
        <v>93335</v>
      </c>
      <c r="R1345" s="51">
        <v>96097</v>
      </c>
      <c r="S1345" s="51">
        <v>96097</v>
      </c>
      <c r="T1345" s="51">
        <v>23408900</v>
      </c>
      <c r="U1345" s="53">
        <f t="shared" si="40"/>
        <v>2.6041555446411513E-2</v>
      </c>
      <c r="V1345" s="59">
        <f>U1345-('16. câmbio USD-BRL'!O792/'16. câmbio USD-BRL'!K792-1)</f>
        <v>1.5556380244255097E-2</v>
      </c>
    </row>
    <row r="1346" spans="14:22" x14ac:dyDescent="0.2">
      <c r="N1346" s="52">
        <v>43486</v>
      </c>
      <c r="O1346" s="51">
        <v>96093</v>
      </c>
      <c r="P1346" s="51">
        <v>97677</v>
      </c>
      <c r="Q1346" s="51">
        <v>94662</v>
      </c>
      <c r="R1346" s="51">
        <v>97677</v>
      </c>
      <c r="S1346" s="51">
        <v>97677</v>
      </c>
      <c r="T1346" s="51">
        <v>11993000</v>
      </c>
      <c r="U1346" s="53">
        <f t="shared" si="40"/>
        <v>1.6441720345067967E-2</v>
      </c>
      <c r="V1346" s="59">
        <f>U1346-('16. câmbio USD-BRL'!O793/'16. câmbio USD-BRL'!K793-1)</f>
        <v>1.1268662908131333E-2</v>
      </c>
    </row>
    <row r="1347" spans="14:22" x14ac:dyDescent="0.2">
      <c r="N1347" s="52">
        <v>43493</v>
      </c>
      <c r="O1347" s="51">
        <v>97674</v>
      </c>
      <c r="P1347" s="51">
        <v>98405</v>
      </c>
      <c r="Q1347" s="51">
        <v>94783</v>
      </c>
      <c r="R1347" s="51">
        <v>97861</v>
      </c>
      <c r="S1347" s="51">
        <v>97861</v>
      </c>
      <c r="T1347" s="51">
        <v>28889300</v>
      </c>
      <c r="U1347" s="53">
        <f t="shared" si="40"/>
        <v>1.8837597387306726E-3</v>
      </c>
      <c r="V1347" s="59">
        <f>U1347-('16. câmbio USD-BRL'!O794/'16. câmbio USD-BRL'!K794-1)</f>
        <v>2.7194819339615206E-2</v>
      </c>
    </row>
    <row r="1348" spans="14:22" x14ac:dyDescent="0.2">
      <c r="N1348" s="52">
        <v>43500</v>
      </c>
      <c r="O1348" s="51">
        <v>97861</v>
      </c>
      <c r="P1348" s="51">
        <v>98589</v>
      </c>
      <c r="Q1348" s="51">
        <v>93424</v>
      </c>
      <c r="R1348" s="51">
        <v>95343</v>
      </c>
      <c r="S1348" s="51">
        <v>95343</v>
      </c>
      <c r="T1348" s="51">
        <v>25425200</v>
      </c>
      <c r="U1348" s="53">
        <f t="shared" si="40"/>
        <v>-2.5730372671442181E-2</v>
      </c>
      <c r="V1348" s="59">
        <f>U1348-('16. câmbio USD-BRL'!O795/'16. câmbio USD-BRL'!K795-1)</f>
        <v>-4.5225628734658185E-2</v>
      </c>
    </row>
    <row r="1349" spans="14:22" x14ac:dyDescent="0.2">
      <c r="N1349" s="52">
        <v>43507</v>
      </c>
      <c r="O1349" s="51">
        <v>95351</v>
      </c>
      <c r="P1349" s="51">
        <v>98238</v>
      </c>
      <c r="Q1349" s="51">
        <v>93737</v>
      </c>
      <c r="R1349" s="51">
        <v>97526</v>
      </c>
      <c r="S1349" s="51">
        <v>97526</v>
      </c>
      <c r="T1349" s="51">
        <v>24305300</v>
      </c>
      <c r="U1349" s="53">
        <f t="shared" ref="U1349:U1412" si="41">S1349/S1348-1</f>
        <v>2.2896279747857795E-2</v>
      </c>
      <c r="V1349" s="59">
        <f>U1349-('16. câmbio USD-BRL'!O796/'16. câmbio USD-BRL'!K796-1)</f>
        <v>3.0648633620011023E-2</v>
      </c>
    </row>
    <row r="1350" spans="14:22" x14ac:dyDescent="0.2">
      <c r="N1350" s="52">
        <v>43514</v>
      </c>
      <c r="O1350" s="51">
        <v>97527</v>
      </c>
      <c r="P1350" s="51">
        <v>98544</v>
      </c>
      <c r="Q1350" s="51">
        <v>95793</v>
      </c>
      <c r="R1350" s="51">
        <v>97886</v>
      </c>
      <c r="S1350" s="51">
        <v>97886</v>
      </c>
      <c r="T1350" s="51">
        <v>23815200</v>
      </c>
      <c r="U1350" s="53">
        <f t="shared" si="41"/>
        <v>3.6913233394171296E-3</v>
      </c>
      <c r="V1350" s="59">
        <f>U1350-('16. câmbio USD-BRL'!O797/'16. câmbio USD-BRL'!K797-1)</f>
        <v>-8.4210404640814307E-3</v>
      </c>
    </row>
    <row r="1351" spans="14:22" x14ac:dyDescent="0.2">
      <c r="N1351" s="52">
        <v>43521</v>
      </c>
      <c r="O1351" s="51">
        <v>97881</v>
      </c>
      <c r="P1351" s="51">
        <v>98190</v>
      </c>
      <c r="Q1351" s="51">
        <v>94394</v>
      </c>
      <c r="R1351" s="51">
        <v>94604</v>
      </c>
      <c r="S1351" s="51">
        <v>94604</v>
      </c>
      <c r="T1351" s="51">
        <v>21209000</v>
      </c>
      <c r="U1351" s="53">
        <f t="shared" si="41"/>
        <v>-3.3528798806775173E-2</v>
      </c>
      <c r="V1351" s="59">
        <f>U1351-('16. câmbio USD-BRL'!O798/'16. câmbio USD-BRL'!K798-1)</f>
        <v>-4.0575751800395521E-2</v>
      </c>
    </row>
    <row r="1352" spans="14:22" x14ac:dyDescent="0.2">
      <c r="N1352" s="52">
        <v>43528</v>
      </c>
      <c r="O1352" s="51">
        <v>94604</v>
      </c>
      <c r="P1352" s="51">
        <v>95476</v>
      </c>
      <c r="Q1352" s="51">
        <v>93305</v>
      </c>
      <c r="R1352" s="51">
        <v>95365</v>
      </c>
      <c r="S1352" s="51">
        <v>95365</v>
      </c>
      <c r="T1352" s="51">
        <v>10873800</v>
      </c>
      <c r="U1352" s="53">
        <f t="shared" si="41"/>
        <v>8.0440573337279275E-3</v>
      </c>
      <c r="V1352" s="59">
        <f>U1352-('16. câmbio USD-BRL'!O799/'16. câmbio USD-BRL'!K799-1)</f>
        <v>-1.7242872451306734E-2</v>
      </c>
    </row>
    <row r="1353" spans="14:22" x14ac:dyDescent="0.2">
      <c r="N1353" s="52">
        <v>43535</v>
      </c>
      <c r="O1353" s="51">
        <v>95384</v>
      </c>
      <c r="P1353" s="51">
        <v>99393</v>
      </c>
      <c r="Q1353" s="51">
        <v>95384</v>
      </c>
      <c r="R1353" s="51">
        <v>99137</v>
      </c>
      <c r="S1353" s="51">
        <v>99137</v>
      </c>
      <c r="T1353" s="51">
        <v>21617400</v>
      </c>
      <c r="U1353" s="53">
        <f t="shared" si="41"/>
        <v>3.9553295234100672E-2</v>
      </c>
      <c r="V1353" s="59">
        <f>U1353-('16. câmbio USD-BRL'!O800/'16. câmbio USD-BRL'!K800-1)</f>
        <v>4.6329098890965592E-2</v>
      </c>
    </row>
    <row r="1354" spans="14:22" x14ac:dyDescent="0.2">
      <c r="N1354" s="52">
        <v>43542</v>
      </c>
      <c r="O1354" s="51">
        <v>99141</v>
      </c>
      <c r="P1354" s="51">
        <v>100439</v>
      </c>
      <c r="Q1354" s="51">
        <v>93380</v>
      </c>
      <c r="R1354" s="51">
        <v>93735</v>
      </c>
      <c r="S1354" s="51">
        <v>93735</v>
      </c>
      <c r="T1354" s="51">
        <v>25390700</v>
      </c>
      <c r="U1354" s="53">
        <f t="shared" si="41"/>
        <v>-5.4490250864964618E-2</v>
      </c>
      <c r="V1354" s="59">
        <f>U1354-('16. câmbio USD-BRL'!O801/'16. câmbio USD-BRL'!K801-1)</f>
        <v>-7.9283639294716601E-2</v>
      </c>
    </row>
    <row r="1355" spans="14:22" x14ac:dyDescent="0.2">
      <c r="N1355" s="52">
        <v>43549</v>
      </c>
      <c r="O1355" s="51">
        <v>93735</v>
      </c>
      <c r="P1355" s="51">
        <v>95863</v>
      </c>
      <c r="Q1355" s="51">
        <v>91584</v>
      </c>
      <c r="R1355" s="51">
        <v>95415</v>
      </c>
      <c r="S1355" s="51">
        <v>95415</v>
      </c>
      <c r="T1355" s="51">
        <v>24762900</v>
      </c>
      <c r="U1355" s="53">
        <f t="shared" si="41"/>
        <v>1.7922867658825448E-2</v>
      </c>
      <c r="V1355" s="59">
        <f>U1355-('16. câmbio USD-BRL'!O802/'16. câmbio USD-BRL'!K802-1)</f>
        <v>1.3131558632204055E-2</v>
      </c>
    </row>
    <row r="1356" spans="14:22" x14ac:dyDescent="0.2">
      <c r="N1356" s="52">
        <v>43556</v>
      </c>
      <c r="O1356" s="51">
        <v>95423</v>
      </c>
      <c r="P1356" s="51">
        <v>97493</v>
      </c>
      <c r="Q1356" s="51">
        <v>94124</v>
      </c>
      <c r="R1356" s="51">
        <v>97108</v>
      </c>
      <c r="S1356" s="51">
        <v>97108</v>
      </c>
      <c r="T1356" s="51">
        <v>19550800</v>
      </c>
      <c r="U1356" s="53">
        <f t="shared" si="41"/>
        <v>1.7743541371901594E-2</v>
      </c>
      <c r="V1356" s="59">
        <f>U1356-('16. câmbio USD-BRL'!O803/'16. câmbio USD-BRL'!K803-1)</f>
        <v>2.4901663780944494E-2</v>
      </c>
    </row>
    <row r="1357" spans="14:22" x14ac:dyDescent="0.2">
      <c r="N1357" s="52">
        <v>43563</v>
      </c>
      <c r="O1357" s="51">
        <v>97110</v>
      </c>
      <c r="P1357" s="51">
        <v>97610</v>
      </c>
      <c r="Q1357" s="51">
        <v>92516</v>
      </c>
      <c r="R1357" s="51">
        <v>92875</v>
      </c>
      <c r="S1357" s="51">
        <v>92875</v>
      </c>
      <c r="T1357" s="51">
        <v>21981500</v>
      </c>
      <c r="U1357" s="53">
        <f t="shared" si="41"/>
        <v>-4.3590641347777681E-2</v>
      </c>
      <c r="V1357" s="59">
        <f>U1357-('16. câmbio USD-BRL'!O804/'16. câmbio USD-BRL'!K804-1)</f>
        <v>-4.3719780249580453E-2</v>
      </c>
    </row>
    <row r="1358" spans="14:22" x14ac:dyDescent="0.2">
      <c r="N1358" s="52">
        <v>43570</v>
      </c>
      <c r="O1358" s="51">
        <v>92875</v>
      </c>
      <c r="P1358" s="51">
        <v>95140</v>
      </c>
      <c r="Q1358" s="51">
        <v>92338</v>
      </c>
      <c r="R1358" s="51">
        <v>94578</v>
      </c>
      <c r="S1358" s="51">
        <v>94578</v>
      </c>
      <c r="T1358" s="51">
        <v>20603300</v>
      </c>
      <c r="U1358" s="53">
        <f t="shared" si="41"/>
        <v>1.83364737550471E-2</v>
      </c>
      <c r="V1358" s="59">
        <f>U1358-('16. câmbio USD-BRL'!O805/'16. câmbio USD-BRL'!K805-1)</f>
        <v>6.5350874786680446E-3</v>
      </c>
    </row>
    <row r="1359" spans="14:22" x14ac:dyDescent="0.2">
      <c r="N1359" s="52">
        <v>43577</v>
      </c>
      <c r="O1359" s="51">
        <v>94578</v>
      </c>
      <c r="P1359" s="51">
        <v>96563</v>
      </c>
      <c r="Q1359" s="51">
        <v>93721</v>
      </c>
      <c r="R1359" s="51">
        <v>96236</v>
      </c>
      <c r="S1359" s="51">
        <v>96236</v>
      </c>
      <c r="T1359" s="51">
        <v>20789800</v>
      </c>
      <c r="U1359" s="53">
        <f t="shared" si="41"/>
        <v>1.7530503922688068E-2</v>
      </c>
      <c r="V1359" s="59">
        <f>U1359-('16. câmbio USD-BRL'!O806/'16. câmbio USD-BRL'!K806-1)</f>
        <v>1.5285376868907186E-2</v>
      </c>
    </row>
    <row r="1360" spans="14:22" x14ac:dyDescent="0.2">
      <c r="N1360" s="52">
        <v>43584</v>
      </c>
      <c r="O1360" s="51">
        <v>96254</v>
      </c>
      <c r="P1360" s="51">
        <v>97123</v>
      </c>
      <c r="Q1360" s="51">
        <v>95312</v>
      </c>
      <c r="R1360" s="51">
        <v>96008</v>
      </c>
      <c r="S1360" s="51">
        <v>96008</v>
      </c>
      <c r="T1360" s="51">
        <v>15332400</v>
      </c>
      <c r="U1360" s="53">
        <f t="shared" si="41"/>
        <v>-2.3691757762167587E-3</v>
      </c>
      <c r="V1360" s="59">
        <f>U1360-('16. câmbio USD-BRL'!O807/'16. câmbio USD-BRL'!K807-1)</f>
        <v>-1.320078879454134E-2</v>
      </c>
    </row>
    <row r="1361" spans="14:22" x14ac:dyDescent="0.2">
      <c r="N1361" s="52">
        <v>43591</v>
      </c>
      <c r="O1361" s="51">
        <v>95992</v>
      </c>
      <c r="P1361" s="51">
        <v>96312</v>
      </c>
      <c r="Q1361" s="51">
        <v>92750</v>
      </c>
      <c r="R1361" s="51">
        <v>94258</v>
      </c>
      <c r="S1361" s="51">
        <v>94258</v>
      </c>
      <c r="T1361" s="51">
        <v>21290000</v>
      </c>
      <c r="U1361" s="53">
        <f t="shared" si="41"/>
        <v>-1.8227647696025362E-2</v>
      </c>
      <c r="V1361" s="59">
        <f>U1361-('16. câmbio USD-BRL'!O808/'16. câmbio USD-BRL'!K808-1)</f>
        <v>-2.1176450380452461E-2</v>
      </c>
    </row>
    <row r="1362" spans="14:22" x14ac:dyDescent="0.2">
      <c r="N1362" s="52">
        <v>43598</v>
      </c>
      <c r="O1362" s="51">
        <v>94252</v>
      </c>
      <c r="P1362" s="51">
        <v>94252</v>
      </c>
      <c r="Q1362" s="51">
        <v>89409</v>
      </c>
      <c r="R1362" s="51">
        <v>89993</v>
      </c>
      <c r="S1362" s="51">
        <v>89993</v>
      </c>
      <c r="T1362" s="51">
        <v>24412600</v>
      </c>
      <c r="U1362" s="53">
        <f t="shared" si="41"/>
        <v>-4.5248148698253776E-2</v>
      </c>
      <c r="V1362" s="59">
        <f>U1362-('16. câmbio USD-BRL'!O809/'16. câmbio USD-BRL'!K809-1)</f>
        <v>-7.6337287885858918E-2</v>
      </c>
    </row>
    <row r="1363" spans="14:22" x14ac:dyDescent="0.2">
      <c r="N1363" s="52">
        <v>43605</v>
      </c>
      <c r="O1363" s="51">
        <v>90006</v>
      </c>
      <c r="P1363" s="51">
        <v>95212</v>
      </c>
      <c r="Q1363" s="51">
        <v>89822</v>
      </c>
      <c r="R1363" s="51">
        <v>93628</v>
      </c>
      <c r="S1363" s="51">
        <v>93628</v>
      </c>
      <c r="T1363" s="51">
        <v>21522000</v>
      </c>
      <c r="U1363" s="53">
        <f t="shared" si="41"/>
        <v>4.0392030491260389E-2</v>
      </c>
      <c r="V1363" s="59">
        <f>U1363-('16. câmbio USD-BRL'!O810/'16. câmbio USD-BRL'!K810-1)</f>
        <v>5.9216191827263009E-2</v>
      </c>
    </row>
    <row r="1364" spans="14:22" x14ac:dyDescent="0.2">
      <c r="N1364" s="52">
        <v>43612</v>
      </c>
      <c r="O1364" s="51">
        <v>93626</v>
      </c>
      <c r="P1364" s="51">
        <v>97992</v>
      </c>
      <c r="Q1364" s="51">
        <v>93626</v>
      </c>
      <c r="R1364" s="51">
        <v>97030</v>
      </c>
      <c r="S1364" s="51">
        <v>97030</v>
      </c>
      <c r="T1364" s="51">
        <v>22974700</v>
      </c>
      <c r="U1364" s="53">
        <f t="shared" si="41"/>
        <v>3.6335284316657335E-2</v>
      </c>
      <c r="V1364" s="59">
        <f>U1364-('16. câmbio USD-BRL'!O811/'16. câmbio USD-BRL'!K811-1)</f>
        <v>4.4311356101303323E-2</v>
      </c>
    </row>
    <row r="1365" spans="14:22" x14ac:dyDescent="0.2">
      <c r="N1365" s="52">
        <v>43619</v>
      </c>
      <c r="O1365" s="51">
        <v>97036</v>
      </c>
      <c r="P1365" s="51">
        <v>98326</v>
      </c>
      <c r="Q1365" s="51">
        <v>95686</v>
      </c>
      <c r="R1365" s="51">
        <v>97821</v>
      </c>
      <c r="S1365" s="51">
        <v>97821</v>
      </c>
      <c r="T1365" s="51">
        <v>20383700</v>
      </c>
      <c r="U1365" s="53">
        <f t="shared" si="41"/>
        <v>8.1521179016799117E-3</v>
      </c>
      <c r="V1365" s="59">
        <f>U1365-('16. câmbio USD-BRL'!O812/'16. câmbio USD-BRL'!K812-1)</f>
        <v>1.8713881256953058E-2</v>
      </c>
    </row>
    <row r="1366" spans="14:22" x14ac:dyDescent="0.2">
      <c r="N1366" s="52">
        <v>43626</v>
      </c>
      <c r="O1366" s="51">
        <v>97828</v>
      </c>
      <c r="P1366" s="51">
        <v>99364</v>
      </c>
      <c r="Q1366" s="51">
        <v>96782</v>
      </c>
      <c r="R1366" s="51">
        <v>98040</v>
      </c>
      <c r="S1366" s="51">
        <v>98040</v>
      </c>
      <c r="T1366" s="51">
        <v>28234100</v>
      </c>
      <c r="U1366" s="53">
        <f t="shared" si="41"/>
        <v>2.238783083386986E-3</v>
      </c>
      <c r="V1366" s="59">
        <f>U1366-('16. câmbio USD-BRL'!O813/'16. câmbio USD-BRL'!K813-1)</f>
        <v>-8.7744447848692175E-4</v>
      </c>
    </row>
    <row r="1367" spans="14:22" x14ac:dyDescent="0.2">
      <c r="N1367" s="52">
        <v>43633</v>
      </c>
      <c r="O1367" s="51">
        <v>98038</v>
      </c>
      <c r="P1367" s="51">
        <v>102100</v>
      </c>
      <c r="Q1367" s="51">
        <v>97623</v>
      </c>
      <c r="R1367" s="51">
        <v>102013</v>
      </c>
      <c r="S1367" s="51">
        <v>102013</v>
      </c>
      <c r="T1367" s="51">
        <v>18352900</v>
      </c>
      <c r="U1367" s="53">
        <f t="shared" si="41"/>
        <v>4.0524275805793541E-2</v>
      </c>
      <c r="V1367" s="59">
        <f>U1367-('16. câmbio USD-BRL'!O814/'16. câmbio USD-BRL'!K814-1)</f>
        <v>5.4906482960941583E-2</v>
      </c>
    </row>
    <row r="1368" spans="14:22" x14ac:dyDescent="0.2">
      <c r="N1368" s="52">
        <v>43640</v>
      </c>
      <c r="O1368" s="51">
        <v>102018</v>
      </c>
      <c r="P1368" s="51">
        <v>102617</v>
      </c>
      <c r="Q1368" s="51">
        <v>99421</v>
      </c>
      <c r="R1368" s="51">
        <v>100967</v>
      </c>
      <c r="S1368" s="51">
        <v>100967</v>
      </c>
      <c r="T1368" s="51">
        <v>21277400</v>
      </c>
      <c r="U1368" s="53">
        <f t="shared" si="41"/>
        <v>-1.0253595130032434E-2</v>
      </c>
      <c r="V1368" s="59">
        <f>U1368-('16. câmbio USD-BRL'!O815/'16. câmbio USD-BRL'!K815-1)</f>
        <v>-1.65827090540831E-2</v>
      </c>
    </row>
    <row r="1369" spans="14:22" x14ac:dyDescent="0.2">
      <c r="N1369" s="52">
        <v>43647</v>
      </c>
      <c r="O1369" s="51">
        <v>100973</v>
      </c>
      <c r="P1369" s="51">
        <v>104176</v>
      </c>
      <c r="Q1369" s="51">
        <v>100073</v>
      </c>
      <c r="R1369" s="51">
        <v>104089</v>
      </c>
      <c r="S1369" s="51">
        <v>104089</v>
      </c>
      <c r="T1369" s="51">
        <v>18351500</v>
      </c>
      <c r="U1369" s="53">
        <f t="shared" si="41"/>
        <v>3.0920993988134748E-2</v>
      </c>
      <c r="V1369" s="59">
        <f>U1369-('16. câmbio USD-BRL'!O816/'16. câmbio USD-BRL'!K816-1)</f>
        <v>3.8428657520113818E-2</v>
      </c>
    </row>
    <row r="1370" spans="14:22" x14ac:dyDescent="0.2">
      <c r="N1370" s="52">
        <v>43654</v>
      </c>
      <c r="O1370" s="51">
        <v>104090</v>
      </c>
      <c r="P1370" s="51">
        <v>106650</v>
      </c>
      <c r="Q1370" s="51">
        <v>103903</v>
      </c>
      <c r="R1370" s="51">
        <v>103906</v>
      </c>
      <c r="S1370" s="51">
        <v>103906</v>
      </c>
      <c r="T1370" s="51">
        <v>19909300</v>
      </c>
      <c r="U1370" s="53">
        <f t="shared" si="41"/>
        <v>-1.7581108474478135E-3</v>
      </c>
      <c r="V1370" s="59">
        <f>U1370-('16. câmbio USD-BRL'!O817/'16. câmbio USD-BRL'!K817-1)</f>
        <v>1.9714040819262535E-2</v>
      </c>
    </row>
    <row r="1371" spans="14:22" x14ac:dyDescent="0.2">
      <c r="N1371" s="52">
        <v>43661</v>
      </c>
      <c r="O1371" s="51">
        <v>103909</v>
      </c>
      <c r="P1371" s="51">
        <v>104773</v>
      </c>
      <c r="Q1371" s="51">
        <v>103361</v>
      </c>
      <c r="R1371" s="51">
        <v>103452</v>
      </c>
      <c r="S1371" s="51">
        <v>103452</v>
      </c>
      <c r="T1371" s="51">
        <v>20184900</v>
      </c>
      <c r="U1371" s="53">
        <f t="shared" si="41"/>
        <v>-4.3693338209535026E-3</v>
      </c>
      <c r="V1371" s="59">
        <f>U1371-('16. câmbio USD-BRL'!O818/'16. câmbio USD-BRL'!K818-1)</f>
        <v>-8.9812120888178582E-3</v>
      </c>
    </row>
    <row r="1372" spans="14:22" x14ac:dyDescent="0.2">
      <c r="N1372" s="52">
        <v>43668</v>
      </c>
      <c r="O1372" s="51">
        <v>103452</v>
      </c>
      <c r="P1372" s="51">
        <v>104570</v>
      </c>
      <c r="Q1372" s="51">
        <v>102196</v>
      </c>
      <c r="R1372" s="51">
        <v>102819</v>
      </c>
      <c r="S1372" s="51">
        <v>102819</v>
      </c>
      <c r="T1372" s="51">
        <v>23333500</v>
      </c>
      <c r="U1372" s="53">
        <f t="shared" si="41"/>
        <v>-6.1187797239299346E-3</v>
      </c>
      <c r="V1372" s="59">
        <f>U1372-('16. câmbio USD-BRL'!O819/'16. câmbio USD-BRL'!K819-1)</f>
        <v>-1.3725473614553563E-2</v>
      </c>
    </row>
    <row r="1373" spans="14:22" x14ac:dyDescent="0.2">
      <c r="N1373" s="52">
        <v>43675</v>
      </c>
      <c r="O1373" s="51">
        <v>102817</v>
      </c>
      <c r="P1373" s="51">
        <v>104056</v>
      </c>
      <c r="Q1373" s="51">
        <v>100950</v>
      </c>
      <c r="R1373" s="51">
        <v>102674</v>
      </c>
      <c r="S1373" s="51">
        <v>102674</v>
      </c>
      <c r="T1373" s="51">
        <v>24745900</v>
      </c>
      <c r="U1373" s="53">
        <f t="shared" si="41"/>
        <v>-1.410245188146142E-3</v>
      </c>
      <c r="V1373" s="59">
        <f>U1373-('16. câmbio USD-BRL'!O820/'16. câmbio USD-BRL'!K820-1)</f>
        <v>-1.8398477987891626E-2</v>
      </c>
    </row>
    <row r="1374" spans="14:22" x14ac:dyDescent="0.2">
      <c r="N1374" s="52">
        <v>43682</v>
      </c>
      <c r="O1374" s="51">
        <v>102658</v>
      </c>
      <c r="P1374" s="51">
        <v>104848</v>
      </c>
      <c r="Q1374" s="51">
        <v>99630</v>
      </c>
      <c r="R1374" s="51">
        <v>103996</v>
      </c>
      <c r="S1374" s="51">
        <v>103996</v>
      </c>
      <c r="T1374" s="51">
        <v>25733400</v>
      </c>
      <c r="U1374" s="53">
        <f t="shared" si="41"/>
        <v>1.2875703683503215E-2</v>
      </c>
      <c r="V1374" s="59">
        <f>U1374-('16. câmbio USD-BRL'!O821/'16. câmbio USD-BRL'!K821-1)</f>
        <v>5.1847810300063024E-3</v>
      </c>
    </row>
    <row r="1375" spans="14:22" x14ac:dyDescent="0.2">
      <c r="N1375" s="52">
        <v>43689</v>
      </c>
      <c r="O1375" s="51">
        <v>103946</v>
      </c>
      <c r="P1375" s="51">
        <v>103946</v>
      </c>
      <c r="Q1375" s="51">
        <v>98200</v>
      </c>
      <c r="R1375" s="51">
        <v>99806</v>
      </c>
      <c r="S1375" s="51">
        <v>99806</v>
      </c>
      <c r="T1375" s="51">
        <v>28262500</v>
      </c>
      <c r="U1375" s="53">
        <f t="shared" si="41"/>
        <v>-4.0290011154275218E-2</v>
      </c>
      <c r="V1375" s="59">
        <f>U1375-('16. câmbio USD-BRL'!O822/'16. câmbio USD-BRL'!K822-1)</f>
        <v>-5.3288564049753795E-2</v>
      </c>
    </row>
    <row r="1376" spans="14:22" x14ac:dyDescent="0.2">
      <c r="N1376" s="52">
        <v>43696</v>
      </c>
      <c r="O1376" s="51">
        <v>99810</v>
      </c>
      <c r="P1376" s="51">
        <v>101469</v>
      </c>
      <c r="Q1376" s="51">
        <v>97085</v>
      </c>
      <c r="R1376" s="51">
        <v>97667</v>
      </c>
      <c r="S1376" s="51">
        <v>97667</v>
      </c>
      <c r="T1376" s="51">
        <v>26293200</v>
      </c>
      <c r="U1376" s="53">
        <f t="shared" si="41"/>
        <v>-2.1431577259884205E-2</v>
      </c>
      <c r="V1376" s="59">
        <f>U1376-('16. câmbio USD-BRL'!O823/'16. câmbio USD-BRL'!K823-1)</f>
        <v>-4.9975179297642502E-2</v>
      </c>
    </row>
    <row r="1377" spans="14:22" x14ac:dyDescent="0.2">
      <c r="N1377" s="52">
        <v>43703</v>
      </c>
      <c r="O1377" s="51">
        <v>97687</v>
      </c>
      <c r="P1377" s="51">
        <v>101551</v>
      </c>
      <c r="Q1377" s="51">
        <v>95855</v>
      </c>
      <c r="R1377" s="51">
        <v>101135</v>
      </c>
      <c r="S1377" s="51">
        <v>101135</v>
      </c>
      <c r="T1377" s="51">
        <v>26342200</v>
      </c>
      <c r="U1377" s="53">
        <f t="shared" si="41"/>
        <v>3.5508411234091319E-2</v>
      </c>
      <c r="V1377" s="59">
        <f>U1377-('16. câmbio USD-BRL'!O824/'16. câmbio USD-BRL'!K824-1)</f>
        <v>2.3735423565385716E-2</v>
      </c>
    </row>
    <row r="1378" spans="14:22" x14ac:dyDescent="0.2">
      <c r="N1378" s="52">
        <v>43710</v>
      </c>
      <c r="O1378" s="51">
        <v>101133</v>
      </c>
      <c r="P1378" s="51">
        <v>103258</v>
      </c>
      <c r="Q1378" s="51">
        <v>99406</v>
      </c>
      <c r="R1378" s="51">
        <v>102935</v>
      </c>
      <c r="S1378" s="51">
        <v>102935</v>
      </c>
      <c r="T1378" s="51">
        <v>15786400</v>
      </c>
      <c r="U1378" s="53">
        <f t="shared" si="41"/>
        <v>1.7797992781925176E-2</v>
      </c>
      <c r="V1378" s="59">
        <f>U1378-('16. câmbio USD-BRL'!O825/'16. câmbio USD-BRL'!K825-1)</f>
        <v>3.7664263571506873E-2</v>
      </c>
    </row>
    <row r="1379" spans="14:22" x14ac:dyDescent="0.2">
      <c r="N1379" s="52">
        <v>43717</v>
      </c>
      <c r="O1379" s="51">
        <v>102937</v>
      </c>
      <c r="P1379" s="51">
        <v>104699</v>
      </c>
      <c r="Q1379" s="51">
        <v>102231</v>
      </c>
      <c r="R1379" s="51">
        <v>103501</v>
      </c>
      <c r="S1379" s="51">
        <v>103501</v>
      </c>
      <c r="T1379" s="51">
        <v>24874600</v>
      </c>
      <c r="U1379" s="53">
        <f t="shared" si="41"/>
        <v>5.4986156312235579E-3</v>
      </c>
      <c r="V1379" s="59">
        <f>U1379-('16. câmbio USD-BRL'!O826/'16. câmbio USD-BRL'!K826-1)</f>
        <v>4.284704183266097E-4</v>
      </c>
    </row>
    <row r="1380" spans="14:22" x14ac:dyDescent="0.2">
      <c r="N1380" s="52">
        <v>43724</v>
      </c>
      <c r="O1380" s="51">
        <v>103496</v>
      </c>
      <c r="P1380" s="51">
        <v>106001</v>
      </c>
      <c r="Q1380" s="51">
        <v>102782</v>
      </c>
      <c r="R1380" s="51">
        <v>104817</v>
      </c>
      <c r="S1380" s="51">
        <v>104817</v>
      </c>
      <c r="T1380" s="51">
        <v>26180600</v>
      </c>
      <c r="U1380" s="53">
        <f t="shared" si="41"/>
        <v>1.2714852996589476E-2</v>
      </c>
      <c r="V1380" s="59">
        <f>U1380-('16. câmbio USD-BRL'!O827/'16. câmbio USD-BRL'!K827-1)</f>
        <v>-7.8602706990944515E-3</v>
      </c>
    </row>
    <row r="1381" spans="14:22" x14ac:dyDescent="0.2">
      <c r="N1381" s="52">
        <v>43731</v>
      </c>
      <c r="O1381" s="51">
        <v>104817</v>
      </c>
      <c r="P1381" s="51">
        <v>105633</v>
      </c>
      <c r="Q1381" s="51">
        <v>103034</v>
      </c>
      <c r="R1381" s="51">
        <v>105078</v>
      </c>
      <c r="S1381" s="51">
        <v>105078</v>
      </c>
      <c r="T1381" s="51">
        <v>22468700</v>
      </c>
      <c r="U1381" s="53">
        <f t="shared" si="41"/>
        <v>2.4900540942784932E-3</v>
      </c>
      <c r="V1381" s="59">
        <f>U1381-('16. câmbio USD-BRL'!O828/'16. câmbio USD-BRL'!K828-1)</f>
        <v>-6.6010530751725582E-5</v>
      </c>
    </row>
    <row r="1382" spans="14:22" x14ac:dyDescent="0.2">
      <c r="N1382" s="52">
        <v>43738</v>
      </c>
      <c r="O1382" s="51">
        <v>105077</v>
      </c>
      <c r="P1382" s="51">
        <v>105178</v>
      </c>
      <c r="Q1382" s="51">
        <v>99826</v>
      </c>
      <c r="R1382" s="51">
        <v>102551</v>
      </c>
      <c r="S1382" s="51">
        <v>102551</v>
      </c>
      <c r="T1382" s="51">
        <v>22372700</v>
      </c>
      <c r="U1382" s="53">
        <f t="shared" si="41"/>
        <v>-2.4048801842440848E-2</v>
      </c>
      <c r="V1382" s="59">
        <f>U1382-('16. câmbio USD-BRL'!O829/'16. câmbio USD-BRL'!K829-1)</f>
        <v>-7.8836497812484474E-5</v>
      </c>
    </row>
    <row r="1383" spans="14:22" x14ac:dyDescent="0.2">
      <c r="N1383" s="52">
        <v>43745</v>
      </c>
      <c r="O1383" s="51">
        <v>102546</v>
      </c>
      <c r="P1383" s="51">
        <v>104381</v>
      </c>
      <c r="Q1383" s="51">
        <v>99868</v>
      </c>
      <c r="R1383" s="51">
        <v>103832</v>
      </c>
      <c r="S1383" s="51">
        <v>103832</v>
      </c>
      <c r="T1383" s="51">
        <v>20944900</v>
      </c>
      <c r="U1383" s="53">
        <f t="shared" si="41"/>
        <v>1.2491345769422013E-2</v>
      </c>
      <c r="V1383" s="59">
        <f>U1383-('16. câmbio USD-BRL'!O830/'16. câmbio USD-BRL'!K830-1)</f>
        <v>-1.4982915362775628E-3</v>
      </c>
    </row>
    <row r="1384" spans="14:22" x14ac:dyDescent="0.2">
      <c r="N1384" s="52">
        <v>43752</v>
      </c>
      <c r="O1384" s="51">
        <v>103834</v>
      </c>
      <c r="P1384" s="51">
        <v>105891</v>
      </c>
      <c r="Q1384" s="51">
        <v>103438</v>
      </c>
      <c r="R1384" s="51">
        <v>104729</v>
      </c>
      <c r="S1384" s="51">
        <v>104729</v>
      </c>
      <c r="T1384" s="51">
        <v>20257800</v>
      </c>
      <c r="U1384" s="53">
        <f t="shared" si="41"/>
        <v>8.6389552353802745E-3</v>
      </c>
      <c r="V1384" s="59">
        <f>U1384-('16. câmbio USD-BRL'!O831/'16. câmbio USD-BRL'!K831-1)</f>
        <v>-3.1781818748266577E-3</v>
      </c>
    </row>
    <row r="1385" spans="14:22" x14ac:dyDescent="0.2">
      <c r="N1385" s="52">
        <v>43759</v>
      </c>
      <c r="O1385" s="51">
        <v>104729</v>
      </c>
      <c r="P1385" s="51">
        <v>108083</v>
      </c>
      <c r="Q1385" s="51">
        <v>104696</v>
      </c>
      <c r="R1385" s="51">
        <v>107364</v>
      </c>
      <c r="S1385" s="51">
        <v>107364</v>
      </c>
      <c r="T1385" s="51">
        <v>24404100</v>
      </c>
      <c r="U1385" s="53">
        <f t="shared" si="41"/>
        <v>2.5160175309608679E-2</v>
      </c>
      <c r="V1385" s="59">
        <f>U1385-('16. câmbio USD-BRL'!O832/'16. câmbio USD-BRL'!K832-1)</f>
        <v>5.2637641843463534E-2</v>
      </c>
    </row>
    <row r="1386" spans="14:22" x14ac:dyDescent="0.2">
      <c r="N1386" s="52">
        <v>43766</v>
      </c>
      <c r="O1386" s="51">
        <v>107366</v>
      </c>
      <c r="P1386" s="51">
        <v>108496</v>
      </c>
      <c r="Q1386" s="51">
        <v>106356</v>
      </c>
      <c r="R1386" s="51">
        <v>108196</v>
      </c>
      <c r="S1386" s="51">
        <v>108196</v>
      </c>
      <c r="T1386" s="51">
        <v>24573300</v>
      </c>
      <c r="U1386" s="53">
        <f t="shared" si="41"/>
        <v>7.7493386982601109E-3</v>
      </c>
      <c r="V1386" s="59">
        <f>U1386-('16. câmbio USD-BRL'!O833/'16. câmbio USD-BRL'!K833-1)</f>
        <v>1.1496434698859526E-2</v>
      </c>
    </row>
    <row r="1387" spans="14:22" x14ac:dyDescent="0.2">
      <c r="N1387" s="52">
        <v>43773</v>
      </c>
      <c r="O1387" s="51">
        <v>108196</v>
      </c>
      <c r="P1387" s="51">
        <v>109672</v>
      </c>
      <c r="Q1387" s="51">
        <v>107127</v>
      </c>
      <c r="R1387" s="51">
        <v>107629</v>
      </c>
      <c r="S1387" s="51">
        <v>107629</v>
      </c>
      <c r="T1387" s="51">
        <v>27840500</v>
      </c>
      <c r="U1387" s="53">
        <f t="shared" si="41"/>
        <v>-5.2404894820511361E-3</v>
      </c>
      <c r="V1387" s="59">
        <f>U1387-('16. câmbio USD-BRL'!O834/'16. câmbio USD-BRL'!K834-1)</f>
        <v>-3.3173590457452939E-2</v>
      </c>
    </row>
    <row r="1388" spans="14:22" x14ac:dyDescent="0.2">
      <c r="N1388" s="52">
        <v>43780</v>
      </c>
      <c r="O1388" s="51">
        <v>107622</v>
      </c>
      <c r="P1388" s="51">
        <v>108368</v>
      </c>
      <c r="Q1388" s="51">
        <v>105261</v>
      </c>
      <c r="R1388" s="51">
        <v>106557</v>
      </c>
      <c r="S1388" s="51">
        <v>106557</v>
      </c>
      <c r="T1388" s="51">
        <v>19851500</v>
      </c>
      <c r="U1388" s="53">
        <f t="shared" si="41"/>
        <v>-9.9601408542306924E-3</v>
      </c>
      <c r="V1388" s="59">
        <f>U1388-('16. câmbio USD-BRL'!O835/'16. câmbio USD-BRL'!K835-1)</f>
        <v>-2.437466642639885E-2</v>
      </c>
    </row>
    <row r="1389" spans="14:22" x14ac:dyDescent="0.2">
      <c r="N1389" s="52">
        <v>43787</v>
      </c>
      <c r="O1389" s="51">
        <v>106566</v>
      </c>
      <c r="P1389" s="51">
        <v>108692</v>
      </c>
      <c r="Q1389" s="51">
        <v>105367</v>
      </c>
      <c r="R1389" s="51">
        <v>108692</v>
      </c>
      <c r="S1389" s="51">
        <v>108692</v>
      </c>
      <c r="T1389" s="51">
        <v>19145600</v>
      </c>
      <c r="U1389" s="53">
        <f t="shared" si="41"/>
        <v>2.0036224743564368E-2</v>
      </c>
      <c r="V1389" s="59">
        <f>U1389-('16. câmbio USD-BRL'!O836/'16. câmbio USD-BRL'!K836-1)</f>
        <v>2.0012385704754498E-2</v>
      </c>
    </row>
    <row r="1390" spans="14:22" x14ac:dyDescent="0.2">
      <c r="N1390" s="52">
        <v>43794</v>
      </c>
      <c r="O1390" s="51">
        <v>108692</v>
      </c>
      <c r="P1390" s="51">
        <v>108915</v>
      </c>
      <c r="Q1390" s="51">
        <v>106312</v>
      </c>
      <c r="R1390" s="51">
        <v>108233</v>
      </c>
      <c r="S1390" s="51">
        <v>108233</v>
      </c>
      <c r="T1390" s="51">
        <v>23688200</v>
      </c>
      <c r="U1390" s="53">
        <f t="shared" si="41"/>
        <v>-4.2229418908474869E-3</v>
      </c>
      <c r="V1390" s="59">
        <f>U1390-('16. câmbio USD-BRL'!O837/'16. câmbio USD-BRL'!K837-1)</f>
        <v>-1.3563886735200592E-2</v>
      </c>
    </row>
    <row r="1391" spans="14:22" x14ac:dyDescent="0.2">
      <c r="N1391" s="52">
        <v>43801</v>
      </c>
      <c r="O1391" s="51">
        <v>108246</v>
      </c>
      <c r="P1391" s="51">
        <v>111430</v>
      </c>
      <c r="Q1391" s="51">
        <v>108190</v>
      </c>
      <c r="R1391" s="51">
        <v>111126</v>
      </c>
      <c r="S1391" s="51">
        <v>111126</v>
      </c>
      <c r="T1391" s="51">
        <v>24187800</v>
      </c>
      <c r="U1391" s="53">
        <f t="shared" si="41"/>
        <v>2.6729370894274407E-2</v>
      </c>
      <c r="V1391" s="59">
        <f>U1391-('16. câmbio USD-BRL'!O838/'16. câmbio USD-BRL'!K838-1)</f>
        <v>4.943893865707516E-2</v>
      </c>
    </row>
    <row r="1392" spans="14:22" x14ac:dyDescent="0.2">
      <c r="N1392" s="52">
        <v>43808</v>
      </c>
      <c r="O1392" s="51">
        <v>111125</v>
      </c>
      <c r="P1392" s="51">
        <v>112829</v>
      </c>
      <c r="Q1392" s="51">
        <v>110133</v>
      </c>
      <c r="R1392" s="51">
        <v>112565</v>
      </c>
      <c r="S1392" s="51">
        <v>112565</v>
      </c>
      <c r="T1392" s="51">
        <v>28290500</v>
      </c>
      <c r="U1392" s="53">
        <f t="shared" si="41"/>
        <v>1.2949264798516991E-2</v>
      </c>
      <c r="V1392" s="59">
        <f>U1392-('16. câmbio USD-BRL'!O839/'16. câmbio USD-BRL'!K839-1)</f>
        <v>1.5862664007043392E-2</v>
      </c>
    </row>
    <row r="1393" spans="14:22" x14ac:dyDescent="0.2">
      <c r="N1393" s="52">
        <v>43815</v>
      </c>
      <c r="O1393" s="51">
        <v>112565</v>
      </c>
      <c r="P1393" s="51">
        <v>115171</v>
      </c>
      <c r="Q1393" s="51">
        <v>111896</v>
      </c>
      <c r="R1393" s="51">
        <v>115121</v>
      </c>
      <c r="S1393" s="51">
        <v>115121</v>
      </c>
      <c r="T1393" s="51">
        <v>32043700</v>
      </c>
      <c r="U1393" s="53">
        <f t="shared" si="41"/>
        <v>2.2706880469062218E-2</v>
      </c>
      <c r="V1393" s="59">
        <f>U1393-('16. câmbio USD-BRL'!O840/'16. câmbio USD-BRL'!K840-1)</f>
        <v>1.9709181120097341E-2</v>
      </c>
    </row>
    <row r="1394" spans="14:22" x14ac:dyDescent="0.2">
      <c r="N1394" s="52">
        <v>43822</v>
      </c>
      <c r="O1394" s="51">
        <v>115119</v>
      </c>
      <c r="P1394" s="51">
        <v>117803</v>
      </c>
      <c r="Q1394" s="51">
        <v>114964</v>
      </c>
      <c r="R1394" s="51">
        <v>116534</v>
      </c>
      <c r="S1394" s="51">
        <v>116534</v>
      </c>
      <c r="T1394" s="51">
        <v>11690000</v>
      </c>
      <c r="U1394" s="53">
        <f t="shared" si="41"/>
        <v>1.2274042094839288E-2</v>
      </c>
      <c r="V1394" s="59">
        <f>U1394-('16. câmbio USD-BRL'!O841/'16. câmbio USD-BRL'!K841-1)</f>
        <v>2.1084061948267174E-2</v>
      </c>
    </row>
    <row r="1395" spans="14:22" x14ac:dyDescent="0.2">
      <c r="N1395" s="52">
        <v>43829</v>
      </c>
      <c r="O1395" s="51">
        <v>116530</v>
      </c>
      <c r="P1395" s="51">
        <v>118792</v>
      </c>
      <c r="Q1395" s="51">
        <v>115645</v>
      </c>
      <c r="R1395" s="51">
        <v>117707</v>
      </c>
      <c r="S1395" s="51">
        <v>117707</v>
      </c>
      <c r="T1395" s="51">
        <v>15665100</v>
      </c>
      <c r="U1395" s="53">
        <f t="shared" si="41"/>
        <v>1.0065731889405738E-2</v>
      </c>
      <c r="V1395" s="59">
        <f>U1395-('16. câmbio USD-BRL'!O842/'16. câmbio USD-BRL'!K842-1)</f>
        <v>-6.2466912493919224E-4</v>
      </c>
    </row>
    <row r="1396" spans="14:22" x14ac:dyDescent="0.2">
      <c r="N1396" s="52">
        <v>43836</v>
      </c>
      <c r="O1396" s="51">
        <v>117707</v>
      </c>
      <c r="P1396" s="51">
        <v>117707</v>
      </c>
      <c r="Q1396" s="51">
        <v>114952</v>
      </c>
      <c r="R1396" s="51">
        <v>115503</v>
      </c>
      <c r="S1396" s="51">
        <v>115503</v>
      </c>
      <c r="T1396" s="51">
        <v>28071500</v>
      </c>
      <c r="U1396" s="53">
        <f t="shared" si="41"/>
        <v>-1.8724459887687228E-2</v>
      </c>
      <c r="V1396" s="59">
        <f>U1396-('16. câmbio USD-BRL'!O843/'16. câmbio USD-BRL'!K843-1)</f>
        <v>-1.9016301149703319E-2</v>
      </c>
    </row>
    <row r="1397" spans="14:22" x14ac:dyDescent="0.2">
      <c r="N1397" s="52">
        <v>43843</v>
      </c>
      <c r="O1397" s="51">
        <v>115503</v>
      </c>
      <c r="P1397" s="51">
        <v>118479</v>
      </c>
      <c r="Q1397" s="51">
        <v>115503</v>
      </c>
      <c r="R1397" s="51">
        <v>118478</v>
      </c>
      <c r="S1397" s="51">
        <v>118478</v>
      </c>
      <c r="T1397" s="51">
        <v>26986100</v>
      </c>
      <c r="U1397" s="53">
        <f t="shared" si="41"/>
        <v>2.5756906747010921E-2</v>
      </c>
      <c r="V1397" s="59">
        <f>U1397-('16. câmbio USD-BRL'!O844/'16. câmbio USD-BRL'!K844-1)</f>
        <v>8.7659034221525545E-3</v>
      </c>
    </row>
    <row r="1398" spans="14:22" x14ac:dyDescent="0.2">
      <c r="N1398" s="52">
        <v>43850</v>
      </c>
      <c r="O1398" s="51">
        <v>118478</v>
      </c>
      <c r="P1398" s="51">
        <v>119593</v>
      </c>
      <c r="Q1398" s="51">
        <v>116906</v>
      </c>
      <c r="R1398" s="51">
        <v>118376</v>
      </c>
      <c r="S1398" s="51">
        <v>118376</v>
      </c>
      <c r="T1398" s="51">
        <v>26045900</v>
      </c>
      <c r="U1398" s="53">
        <f t="shared" si="41"/>
        <v>-8.6091932679488448E-4</v>
      </c>
      <c r="V1398" s="59">
        <f>U1398-('16. câmbio USD-BRL'!O845/'16. câmbio USD-BRL'!K845-1)</f>
        <v>-5.2342372814276894E-3</v>
      </c>
    </row>
    <row r="1399" spans="14:22" x14ac:dyDescent="0.2">
      <c r="N1399" s="52">
        <v>43857</v>
      </c>
      <c r="O1399" s="51">
        <v>118347</v>
      </c>
      <c r="P1399" s="51">
        <v>118347</v>
      </c>
      <c r="Q1399" s="51">
        <v>112825</v>
      </c>
      <c r="R1399" s="51">
        <v>113761</v>
      </c>
      <c r="S1399" s="51">
        <v>113761</v>
      </c>
      <c r="T1399" s="51">
        <v>28960500</v>
      </c>
      <c r="U1399" s="53">
        <f t="shared" si="41"/>
        <v>-3.8985943096573661E-2</v>
      </c>
      <c r="V1399" s="59">
        <f>U1399-('16. câmbio USD-BRL'!O846/'16. câmbio USD-BRL'!K846-1)</f>
        <v>-6.8196184712152275E-2</v>
      </c>
    </row>
    <row r="1400" spans="14:22" x14ac:dyDescent="0.2">
      <c r="N1400" s="52">
        <v>43864</v>
      </c>
      <c r="O1400" s="51">
        <v>113761</v>
      </c>
      <c r="P1400" s="51">
        <v>117701</v>
      </c>
      <c r="Q1400" s="51">
        <v>113467</v>
      </c>
      <c r="R1400" s="51">
        <v>113770</v>
      </c>
      <c r="S1400" s="51">
        <v>113770</v>
      </c>
      <c r="T1400" s="51">
        <v>32491900</v>
      </c>
      <c r="U1400" s="53">
        <f t="shared" si="41"/>
        <v>7.9113228610872E-5</v>
      </c>
      <c r="V1400" s="59">
        <f>U1400-('16. câmbio USD-BRL'!O847/'16. câmbio USD-BRL'!K847-1)</f>
        <v>-8.4203964150633137E-3</v>
      </c>
    </row>
    <row r="1401" spans="14:22" x14ac:dyDescent="0.2">
      <c r="N1401" s="52">
        <v>43871</v>
      </c>
      <c r="O1401" s="51">
        <v>113771</v>
      </c>
      <c r="P1401" s="51">
        <v>117581</v>
      </c>
      <c r="Q1401" s="51">
        <v>112134</v>
      </c>
      <c r="R1401" s="51">
        <v>114381</v>
      </c>
      <c r="S1401" s="51">
        <v>114381</v>
      </c>
      <c r="T1401" s="51">
        <v>33385000</v>
      </c>
      <c r="U1401" s="53">
        <f t="shared" si="41"/>
        <v>5.3704843104509514E-3</v>
      </c>
      <c r="V1401" s="59">
        <f>U1401-('16. câmbio USD-BRL'!O848/'16. câmbio USD-BRL'!K848-1)</f>
        <v>1.1018109530337994E-2</v>
      </c>
    </row>
    <row r="1402" spans="14:22" x14ac:dyDescent="0.2">
      <c r="N1402" s="52">
        <v>43878</v>
      </c>
      <c r="O1402" s="51">
        <v>114381</v>
      </c>
      <c r="P1402" s="51">
        <v>116552</v>
      </c>
      <c r="Q1402" s="51">
        <v>112661</v>
      </c>
      <c r="R1402" s="51">
        <v>113681</v>
      </c>
      <c r="S1402" s="51">
        <v>113681</v>
      </c>
      <c r="T1402" s="51">
        <v>24571700</v>
      </c>
      <c r="U1402" s="53">
        <f t="shared" si="41"/>
        <v>-6.1198975354298524E-3</v>
      </c>
      <c r="V1402" s="59">
        <f>U1402-('16. câmbio USD-BRL'!O849/'16. câmbio USD-BRL'!K849-1)</f>
        <v>-2.7320735329239398E-2</v>
      </c>
    </row>
    <row r="1403" spans="14:22" x14ac:dyDescent="0.2">
      <c r="N1403" s="52">
        <v>43885</v>
      </c>
      <c r="O1403" s="51">
        <v>113647</v>
      </c>
      <c r="P1403" s="51">
        <v>113647</v>
      </c>
      <c r="Q1403" s="51">
        <v>99951</v>
      </c>
      <c r="R1403" s="51">
        <v>104172</v>
      </c>
      <c r="S1403" s="51">
        <v>104172</v>
      </c>
      <c r="T1403" s="51">
        <v>31835900</v>
      </c>
      <c r="U1403" s="53">
        <f t="shared" si="41"/>
        <v>-8.3646343716188287E-2</v>
      </c>
      <c r="V1403" s="59">
        <f>U1403-('16. câmbio USD-BRL'!O850/'16. câmbio USD-BRL'!K850-1)</f>
        <v>-0.10203169156802661</v>
      </c>
    </row>
    <row r="1404" spans="14:22" x14ac:dyDescent="0.2">
      <c r="N1404" s="52">
        <v>43892</v>
      </c>
      <c r="O1404" s="51">
        <v>104260</v>
      </c>
      <c r="P1404" s="51">
        <v>108804</v>
      </c>
      <c r="Q1404" s="51">
        <v>96886</v>
      </c>
      <c r="R1404" s="51">
        <v>97997</v>
      </c>
      <c r="S1404" s="51">
        <v>97997</v>
      </c>
      <c r="T1404" s="51">
        <v>47117300</v>
      </c>
      <c r="U1404" s="53">
        <f t="shared" si="41"/>
        <v>-5.9276965019391059E-2</v>
      </c>
      <c r="V1404" s="59">
        <f>U1404-('16. câmbio USD-BRL'!O851/'16. câmbio USD-BRL'!K851-1)</f>
        <v>-0.10081885590719419</v>
      </c>
    </row>
    <row r="1405" spans="14:22" x14ac:dyDescent="0.2">
      <c r="N1405" s="52">
        <v>43899</v>
      </c>
      <c r="O1405" s="51">
        <v>97982</v>
      </c>
      <c r="P1405" s="51">
        <v>97982</v>
      </c>
      <c r="Q1405" s="51">
        <v>68488</v>
      </c>
      <c r="R1405" s="51">
        <v>82678</v>
      </c>
      <c r="S1405" s="51">
        <v>82678</v>
      </c>
      <c r="T1405" s="51">
        <v>67739100</v>
      </c>
      <c r="U1405" s="53">
        <f t="shared" si="41"/>
        <v>-0.15632111187077158</v>
      </c>
      <c r="V1405" s="59">
        <f>U1405-('16. câmbio USD-BRL'!O852/'16. câmbio USD-BRL'!K852-1)</f>
        <v>-0.20660756738909403</v>
      </c>
    </row>
    <row r="1406" spans="14:22" x14ac:dyDescent="0.2">
      <c r="N1406" s="52">
        <v>43906</v>
      </c>
      <c r="O1406" s="51">
        <v>82565</v>
      </c>
      <c r="P1406" s="51">
        <v>82565</v>
      </c>
      <c r="Q1406" s="51">
        <v>61691</v>
      </c>
      <c r="R1406" s="51">
        <v>67069</v>
      </c>
      <c r="S1406" s="51">
        <v>67069</v>
      </c>
      <c r="T1406" s="51">
        <v>75842300</v>
      </c>
      <c r="U1406" s="53">
        <f t="shared" si="41"/>
        <v>-0.18879266552166241</v>
      </c>
      <c r="V1406" s="59">
        <f>U1406-('16. câmbio USD-BRL'!O853/'16. câmbio USD-BRL'!K853-1)</f>
        <v>-0.23858040817508541</v>
      </c>
    </row>
    <row r="1407" spans="14:22" x14ac:dyDescent="0.2">
      <c r="N1407" s="52">
        <v>43913</v>
      </c>
      <c r="O1407" s="51">
        <v>67067</v>
      </c>
      <c r="P1407" s="51">
        <v>78846</v>
      </c>
      <c r="Q1407" s="51">
        <v>62161</v>
      </c>
      <c r="R1407" s="51">
        <v>73429</v>
      </c>
      <c r="S1407" s="51">
        <v>73429</v>
      </c>
      <c r="T1407" s="51">
        <v>59652600</v>
      </c>
      <c r="U1407" s="53">
        <f t="shared" si="41"/>
        <v>9.4827714741534841E-2</v>
      </c>
      <c r="V1407" s="59">
        <f>U1407-('16. câmbio USD-BRL'!O854/'16. câmbio USD-BRL'!K854-1)</f>
        <v>8.4224206665030943E-2</v>
      </c>
    </row>
    <row r="1408" spans="14:22" x14ac:dyDescent="0.2">
      <c r="N1408" s="52">
        <v>43920</v>
      </c>
      <c r="O1408" s="51">
        <v>73431</v>
      </c>
      <c r="P1408" s="51">
        <v>75511</v>
      </c>
      <c r="Q1408" s="51">
        <v>67802</v>
      </c>
      <c r="R1408" s="51">
        <v>69538</v>
      </c>
      <c r="S1408" s="51">
        <v>69538</v>
      </c>
      <c r="T1408" s="51">
        <v>51218700</v>
      </c>
      <c r="U1408" s="53">
        <f t="shared" si="41"/>
        <v>-5.2989963093600601E-2</v>
      </c>
      <c r="V1408" s="59">
        <f>U1408-('16. câmbio USD-BRL'!O855/'16. câmbio USD-BRL'!K855-1)</f>
        <v>-8.3380332287569692E-2</v>
      </c>
    </row>
    <row r="1409" spans="14:22" x14ac:dyDescent="0.2">
      <c r="N1409" s="52">
        <v>43927</v>
      </c>
      <c r="O1409" s="51">
        <v>69556</v>
      </c>
      <c r="P1409" s="51">
        <v>80428</v>
      </c>
      <c r="Q1409" s="51">
        <v>69556</v>
      </c>
      <c r="R1409" s="51">
        <v>77682</v>
      </c>
      <c r="S1409" s="51">
        <v>77682</v>
      </c>
      <c r="T1409" s="51">
        <v>41926900</v>
      </c>
      <c r="U1409" s="53">
        <f t="shared" si="41"/>
        <v>0.11711582156518729</v>
      </c>
      <c r="V1409" s="59">
        <f>U1409-('16. câmbio USD-BRL'!O856/'16. câmbio USD-BRL'!K856-1)</f>
        <v>0.16110129081842672</v>
      </c>
    </row>
    <row r="1410" spans="14:22" x14ac:dyDescent="0.2">
      <c r="N1410" s="52">
        <v>43934</v>
      </c>
      <c r="O1410" s="51">
        <v>77682</v>
      </c>
      <c r="P1410" s="51">
        <v>81668</v>
      </c>
      <c r="Q1410" s="51">
        <v>76405</v>
      </c>
      <c r="R1410" s="51">
        <v>78990</v>
      </c>
      <c r="S1410" s="51">
        <v>78990</v>
      </c>
      <c r="T1410" s="51">
        <v>43349500</v>
      </c>
      <c r="U1410" s="53">
        <f t="shared" si="41"/>
        <v>1.6837877500579301E-2</v>
      </c>
      <c r="V1410" s="59">
        <f>U1410-('16. câmbio USD-BRL'!O857/'16. câmbio USD-BRL'!K857-1)</f>
        <v>-8.5851873693674197E-3</v>
      </c>
    </row>
    <row r="1411" spans="14:22" x14ac:dyDescent="0.2">
      <c r="N1411" s="52">
        <v>43941</v>
      </c>
      <c r="O1411" s="51">
        <v>78989</v>
      </c>
      <c r="P1411" s="51">
        <v>81934</v>
      </c>
      <c r="Q1411" s="51">
        <v>72041</v>
      </c>
      <c r="R1411" s="51">
        <v>75331</v>
      </c>
      <c r="S1411" s="51">
        <v>75331</v>
      </c>
      <c r="T1411" s="51">
        <v>46076300</v>
      </c>
      <c r="U1411" s="53">
        <f t="shared" si="41"/>
        <v>-4.6322319280921675E-2</v>
      </c>
      <c r="V1411" s="59">
        <f>U1411-('16. câmbio USD-BRL'!O858/'16. câmbio USD-BRL'!K858-1)</f>
        <v>-0.11474427697815304</v>
      </c>
    </row>
    <row r="1412" spans="14:22" x14ac:dyDescent="0.2">
      <c r="N1412" s="52">
        <v>43948</v>
      </c>
      <c r="O1412" s="51">
        <v>75334</v>
      </c>
      <c r="P1412" s="51">
        <v>83598</v>
      </c>
      <c r="Q1412" s="51">
        <v>75327</v>
      </c>
      <c r="R1412" s="51">
        <v>80506</v>
      </c>
      <c r="S1412" s="51">
        <v>80506</v>
      </c>
      <c r="T1412" s="51">
        <v>47120200</v>
      </c>
      <c r="U1412" s="53">
        <f t="shared" si="41"/>
        <v>6.8696818043036734E-2</v>
      </c>
      <c r="V1412" s="59">
        <f>U1412-('16. câmbio USD-BRL'!O859/'16. câmbio USD-BRL'!K859-1)</f>
        <v>8.7687894740520744E-2</v>
      </c>
    </row>
    <row r="1413" spans="14:22" x14ac:dyDescent="0.2">
      <c r="N1413" s="52">
        <v>43955</v>
      </c>
      <c r="O1413" s="51">
        <v>80501</v>
      </c>
      <c r="P1413" s="51">
        <v>81066</v>
      </c>
      <c r="Q1413" s="51">
        <v>77640</v>
      </c>
      <c r="R1413" s="51">
        <v>80263</v>
      </c>
      <c r="S1413" s="51">
        <v>80263</v>
      </c>
      <c r="T1413" s="51">
        <v>52068100</v>
      </c>
      <c r="U1413" s="53">
        <f t="shared" ref="U1413:U1476" si="42">S1413/S1412-1</f>
        <v>-3.0184085658211401E-3</v>
      </c>
      <c r="V1413" s="59">
        <f>U1413-('16. câmbio USD-BRL'!O860/'16. câmbio USD-BRL'!K860-1)</f>
        <v>-4.7774392741709582E-2</v>
      </c>
    </row>
    <row r="1414" spans="14:22" x14ac:dyDescent="0.2">
      <c r="N1414" s="52">
        <v>43962</v>
      </c>
      <c r="O1414" s="51">
        <v>80263</v>
      </c>
      <c r="P1414" s="51">
        <v>80723</v>
      </c>
      <c r="Q1414" s="51">
        <v>75697</v>
      </c>
      <c r="R1414" s="51">
        <v>77557</v>
      </c>
      <c r="S1414" s="51">
        <v>77557</v>
      </c>
      <c r="T1414" s="51">
        <v>57140300</v>
      </c>
      <c r="U1414" s="53">
        <f t="shared" si="42"/>
        <v>-3.3714164683602665E-2</v>
      </c>
      <c r="V1414" s="59">
        <f>U1414-('16. câmbio USD-BRL'!O861/'16. câmbio USD-BRL'!K861-1)</f>
        <v>-5.5044868948277759E-2</v>
      </c>
    </row>
    <row r="1415" spans="14:22" x14ac:dyDescent="0.2">
      <c r="N1415" s="52">
        <v>43969</v>
      </c>
      <c r="O1415" s="51">
        <v>77576</v>
      </c>
      <c r="P1415" s="51">
        <v>83309</v>
      </c>
      <c r="Q1415" s="51">
        <v>77571</v>
      </c>
      <c r="R1415" s="51">
        <v>82173</v>
      </c>
      <c r="S1415" s="51">
        <v>82173</v>
      </c>
      <c r="T1415" s="51">
        <v>52472400</v>
      </c>
      <c r="U1415" s="53">
        <f t="shared" si="42"/>
        <v>5.9517516149412586E-2</v>
      </c>
      <c r="V1415" s="59">
        <f>U1415-('16. câmbio USD-BRL'!O862/'16. câmbio USD-BRL'!K862-1)</f>
        <v>0.115370079047597</v>
      </c>
    </row>
    <row r="1416" spans="14:22" x14ac:dyDescent="0.2">
      <c r="N1416" s="52">
        <v>43976</v>
      </c>
      <c r="O1416" s="51">
        <v>82198</v>
      </c>
      <c r="P1416" s="51">
        <v>88091</v>
      </c>
      <c r="Q1416" s="51">
        <v>82193</v>
      </c>
      <c r="R1416" s="51">
        <v>87403</v>
      </c>
      <c r="S1416" s="51">
        <v>87403</v>
      </c>
      <c r="T1416" s="51">
        <v>58675100</v>
      </c>
      <c r="U1416" s="53">
        <f t="shared" si="42"/>
        <v>6.3646209825611866E-2</v>
      </c>
      <c r="V1416" s="59">
        <f>U1416-('16. câmbio USD-BRL'!O863/'16. câmbio USD-BRL'!K863-1)</f>
        <v>9.0083558057340363E-2</v>
      </c>
    </row>
    <row r="1417" spans="14:22" x14ac:dyDescent="0.2">
      <c r="N1417" s="52">
        <v>43983</v>
      </c>
      <c r="O1417" s="51">
        <v>87395</v>
      </c>
      <c r="P1417" s="51">
        <v>97356</v>
      </c>
      <c r="Q1417" s="51">
        <v>86837</v>
      </c>
      <c r="R1417" s="51">
        <v>94637</v>
      </c>
      <c r="S1417" s="51">
        <v>94637</v>
      </c>
      <c r="T1417" s="51">
        <v>61622900</v>
      </c>
      <c r="U1417" s="53">
        <f t="shared" si="42"/>
        <v>8.2766037779023582E-2</v>
      </c>
      <c r="V1417" s="59">
        <f>U1417-('16. câmbio USD-BRL'!O864/'16. câmbio USD-BRL'!K864-1)</f>
        <v>0.15278496971776656</v>
      </c>
    </row>
    <row r="1418" spans="14:22" x14ac:dyDescent="0.2">
      <c r="N1418" s="52">
        <v>43990</v>
      </c>
      <c r="O1418" s="51">
        <v>94640</v>
      </c>
      <c r="P1418" s="51">
        <v>97693</v>
      </c>
      <c r="Q1418" s="51">
        <v>90811</v>
      </c>
      <c r="R1418" s="51">
        <v>92795</v>
      </c>
      <c r="S1418" s="51">
        <v>92795</v>
      </c>
      <c r="T1418" s="51">
        <v>46900500</v>
      </c>
      <c r="U1418" s="53">
        <f t="shared" si="42"/>
        <v>-1.946384606443563E-2</v>
      </c>
      <c r="V1418" s="59">
        <f>U1418-('16. câmbio USD-BRL'!O865/'16. câmbio USD-BRL'!K865-1)</f>
        <v>-3.7207928009832303E-2</v>
      </c>
    </row>
    <row r="1419" spans="14:22" x14ac:dyDescent="0.2">
      <c r="N1419" s="52">
        <v>43997</v>
      </c>
      <c r="O1419" s="51">
        <v>92780</v>
      </c>
      <c r="P1419" s="51">
        <v>97540</v>
      </c>
      <c r="Q1419" s="51">
        <v>90148</v>
      </c>
      <c r="R1419" s="51">
        <v>96572</v>
      </c>
      <c r="S1419" s="51">
        <v>96572</v>
      </c>
      <c r="T1419" s="51">
        <v>59629300</v>
      </c>
      <c r="U1419" s="53">
        <f t="shared" si="42"/>
        <v>4.0702624063796433E-2</v>
      </c>
      <c r="V1419" s="59">
        <f>U1419-('16. câmbio USD-BRL'!O866/'16. câmbio USD-BRL'!K866-1)</f>
        <v>5.0581011768271011E-2</v>
      </c>
    </row>
    <row r="1420" spans="14:22" x14ac:dyDescent="0.2">
      <c r="N1420" s="52">
        <v>44004</v>
      </c>
      <c r="O1420" s="51">
        <v>96572</v>
      </c>
      <c r="P1420" s="51">
        <v>97486</v>
      </c>
      <c r="Q1420" s="51">
        <v>93259</v>
      </c>
      <c r="R1420" s="51">
        <v>93834</v>
      </c>
      <c r="S1420" s="51">
        <v>93834</v>
      </c>
      <c r="T1420" s="51">
        <v>45117100</v>
      </c>
      <c r="U1420" s="53">
        <f t="shared" si="42"/>
        <v>-2.8351903243176046E-2</v>
      </c>
      <c r="V1420" s="59">
        <f>U1420-('16. câmbio USD-BRL'!O867/'16. câmbio USD-BRL'!K867-1)</f>
        <v>-9.3695741391216059E-2</v>
      </c>
    </row>
    <row r="1421" spans="14:22" x14ac:dyDescent="0.2">
      <c r="N1421" s="52">
        <v>44011</v>
      </c>
      <c r="O1421" s="51">
        <v>93837</v>
      </c>
      <c r="P1421" s="51">
        <v>97864</v>
      </c>
      <c r="Q1421" s="51">
        <v>93825</v>
      </c>
      <c r="R1421" s="51">
        <v>96765</v>
      </c>
      <c r="S1421" s="51">
        <v>96765</v>
      </c>
      <c r="T1421" s="51">
        <v>44629100</v>
      </c>
      <c r="U1421" s="53">
        <f t="shared" si="42"/>
        <v>3.1236012532770641E-2</v>
      </c>
      <c r="V1421" s="59">
        <f>U1421-('16. câmbio USD-BRL'!O868/'16. câmbio USD-BRL'!K868-1)</f>
        <v>6.2965924488327274E-2</v>
      </c>
    </row>
    <row r="1422" spans="14:22" x14ac:dyDescent="0.2">
      <c r="N1422" s="52">
        <v>44018</v>
      </c>
      <c r="O1422" s="51">
        <v>96776</v>
      </c>
      <c r="P1422" s="51">
        <v>100191</v>
      </c>
      <c r="Q1422" s="51">
        <v>96768</v>
      </c>
      <c r="R1422" s="51">
        <v>100032</v>
      </c>
      <c r="S1422" s="51">
        <v>100032</v>
      </c>
      <c r="T1422" s="51">
        <v>36730700</v>
      </c>
      <c r="U1422" s="53">
        <f t="shared" si="42"/>
        <v>3.3762207409703926E-2</v>
      </c>
      <c r="V1422" s="59">
        <f>U1422-('16. câmbio USD-BRL'!O869/'16. câmbio USD-BRL'!K869-1)</f>
        <v>-4.4360914510588323E-4</v>
      </c>
    </row>
    <row r="1423" spans="14:22" x14ac:dyDescent="0.2">
      <c r="N1423" s="52">
        <v>44025</v>
      </c>
      <c r="O1423" s="51">
        <v>100027</v>
      </c>
      <c r="P1423" s="51">
        <v>103017</v>
      </c>
      <c r="Q1423" s="51">
        <v>98289</v>
      </c>
      <c r="R1423" s="51">
        <v>102888</v>
      </c>
      <c r="S1423" s="51">
        <v>102888</v>
      </c>
      <c r="T1423" s="51">
        <v>48243800</v>
      </c>
      <c r="U1423" s="53">
        <f t="shared" si="42"/>
        <v>2.8550863723608488E-2</v>
      </c>
      <c r="V1423" s="59">
        <f>U1423-('16. câmbio USD-BRL'!O870/'16. câmbio USD-BRL'!K870-1)</f>
        <v>1.7069723142047133E-2</v>
      </c>
    </row>
    <row r="1424" spans="14:22" x14ac:dyDescent="0.2">
      <c r="N1424" s="52">
        <v>44032</v>
      </c>
      <c r="O1424" s="51">
        <v>102888</v>
      </c>
      <c r="P1424" s="51">
        <v>105449</v>
      </c>
      <c r="Q1424" s="51">
        <v>100859</v>
      </c>
      <c r="R1424" s="51">
        <v>102382</v>
      </c>
      <c r="S1424" s="51">
        <v>102382</v>
      </c>
      <c r="T1424" s="51">
        <v>51033100</v>
      </c>
      <c r="U1424" s="53">
        <f t="shared" si="42"/>
        <v>-4.9179690537283216E-3</v>
      </c>
      <c r="V1424" s="59">
        <f>U1424-('16. câmbio USD-BRL'!O871/'16. câmbio USD-BRL'!K871-1)</f>
        <v>2.385994496551902E-2</v>
      </c>
    </row>
    <row r="1425" spans="14:23" x14ac:dyDescent="0.2">
      <c r="N1425" s="52">
        <v>44039</v>
      </c>
      <c r="O1425" s="51">
        <v>102381</v>
      </c>
      <c r="P1425" s="51">
        <v>105704</v>
      </c>
      <c r="Q1425" s="51">
        <v>102381</v>
      </c>
      <c r="R1425" s="51">
        <v>102912</v>
      </c>
      <c r="S1425" s="51">
        <v>102912</v>
      </c>
      <c r="T1425" s="51">
        <v>50468800</v>
      </c>
      <c r="U1425" s="53">
        <f t="shared" si="42"/>
        <v>5.1766912152526601E-3</v>
      </c>
      <c r="V1425" s="59">
        <f>U1425-('16. câmbio USD-BRL'!O872/'16. câmbio USD-BRL'!K872-1)</f>
        <v>6.8784771344082563E-3</v>
      </c>
    </row>
    <row r="1426" spans="14:23" x14ac:dyDescent="0.2">
      <c r="N1426" s="52">
        <v>44046</v>
      </c>
      <c r="O1426" s="51">
        <v>102913</v>
      </c>
      <c r="P1426" s="51">
        <v>104523</v>
      </c>
      <c r="Q1426" s="51">
        <v>100005</v>
      </c>
      <c r="R1426" s="51">
        <v>102776</v>
      </c>
      <c r="S1426" s="51">
        <v>102776</v>
      </c>
      <c r="T1426" s="51">
        <v>53876600</v>
      </c>
      <c r="U1426" s="53">
        <f t="shared" si="42"/>
        <v>-1.3215174129352913E-3</v>
      </c>
      <c r="V1426" s="59">
        <f>U1426-('16. câmbio USD-BRL'!O873/'16. câmbio USD-BRL'!K873-1)</f>
        <v>-4.2147493627577859E-2</v>
      </c>
    </row>
    <row r="1427" spans="14:23" x14ac:dyDescent="0.2">
      <c r="N1427" s="52">
        <v>44053</v>
      </c>
      <c r="O1427" s="51">
        <v>102776</v>
      </c>
      <c r="P1427" s="51">
        <v>104409</v>
      </c>
      <c r="Q1427" s="51">
        <v>100187</v>
      </c>
      <c r="R1427" s="51">
        <v>101353</v>
      </c>
      <c r="S1427" s="51">
        <v>101353</v>
      </c>
      <c r="T1427" s="51">
        <v>47032200</v>
      </c>
      <c r="U1427" s="53">
        <f t="shared" si="42"/>
        <v>-1.3845644897641507E-2</v>
      </c>
      <c r="V1427" s="59">
        <f>U1427-('16. câmbio USD-BRL'!O874/'16. câmbio USD-BRL'!K874-1)</f>
        <v>-1.0682193793192463E-2</v>
      </c>
    </row>
    <row r="1428" spans="14:23" x14ac:dyDescent="0.2">
      <c r="N1428" s="52">
        <v>44060</v>
      </c>
      <c r="O1428" s="51">
        <v>101348</v>
      </c>
      <c r="P1428" s="51">
        <v>102334</v>
      </c>
      <c r="Q1428" s="51">
        <v>98513</v>
      </c>
      <c r="R1428" s="51">
        <v>101521</v>
      </c>
      <c r="S1428" s="51">
        <v>101521</v>
      </c>
      <c r="T1428" s="51">
        <v>48765900</v>
      </c>
      <c r="U1428" s="53">
        <f t="shared" si="42"/>
        <v>1.6575730368120212E-3</v>
      </c>
      <c r="V1428" s="59">
        <f>U1428-('16. câmbio USD-BRL'!O875/'16. câmbio USD-BRL'!K875-1)</f>
        <v>-3.393952167984926E-2</v>
      </c>
    </row>
    <row r="1429" spans="14:23" x14ac:dyDescent="0.2">
      <c r="N1429" s="52">
        <v>44067</v>
      </c>
      <c r="O1429" s="51">
        <v>101525</v>
      </c>
      <c r="P1429" s="51">
        <v>102708</v>
      </c>
      <c r="Q1429" s="51">
        <v>99359</v>
      </c>
      <c r="R1429" s="51">
        <v>102143</v>
      </c>
      <c r="S1429" s="51">
        <v>102143</v>
      </c>
      <c r="T1429" s="51">
        <v>40781400</v>
      </c>
      <c r="U1429" s="53">
        <f t="shared" si="42"/>
        <v>6.1268112016232834E-3</v>
      </c>
      <c r="V1429" s="59">
        <f>U1429-('16. câmbio USD-BRL'!O876/'16. câmbio USD-BRL'!K876-1)</f>
        <v>4.7722343994339056E-2</v>
      </c>
    </row>
    <row r="1430" spans="14:23" x14ac:dyDescent="0.2">
      <c r="N1430" s="52">
        <v>44074</v>
      </c>
      <c r="O1430" s="51">
        <v>102142</v>
      </c>
      <c r="P1430" s="51">
        <v>103226</v>
      </c>
      <c r="Q1430" s="51">
        <v>98961</v>
      </c>
      <c r="R1430" s="51">
        <v>101242</v>
      </c>
      <c r="S1430" s="51">
        <v>101242</v>
      </c>
      <c r="T1430" s="51">
        <v>53107100</v>
      </c>
      <c r="U1430" s="53">
        <f t="shared" si="42"/>
        <v>-8.8209666839627054E-3</v>
      </c>
      <c r="V1430" s="59">
        <f>U1430-('16. câmbio USD-BRL'!O877/'16. câmbio USD-BRL'!K877-1)</f>
        <v>8.059331596472874E-3</v>
      </c>
    </row>
    <row r="1431" spans="14:23" x14ac:dyDescent="0.2">
      <c r="N1431" s="52">
        <v>44081</v>
      </c>
      <c r="O1431" s="51">
        <v>101239</v>
      </c>
      <c r="P1431" s="51">
        <v>101578</v>
      </c>
      <c r="Q1431" s="51">
        <v>97758</v>
      </c>
      <c r="R1431" s="51">
        <v>98363</v>
      </c>
      <c r="S1431" s="51">
        <v>98363</v>
      </c>
      <c r="T1431" s="51">
        <v>34437100</v>
      </c>
      <c r="U1431" s="53">
        <f t="shared" si="42"/>
        <v>-2.8436814760672502E-2</v>
      </c>
      <c r="V1431" s="59">
        <f>U1431-('16. câmbio USD-BRL'!O878/'16. câmbio USD-BRL'!K878-1)</f>
        <v>-3.0907114590957074E-2</v>
      </c>
    </row>
    <row r="1432" spans="14:23" x14ac:dyDescent="0.2">
      <c r="N1432" s="52">
        <v>44088</v>
      </c>
      <c r="O1432" s="51">
        <v>98367</v>
      </c>
      <c r="P1432" s="51">
        <v>100949</v>
      </c>
      <c r="Q1432" s="51">
        <v>98045</v>
      </c>
      <c r="R1432" s="51">
        <v>98290</v>
      </c>
      <c r="S1432" s="51">
        <v>98290</v>
      </c>
      <c r="T1432" s="51">
        <v>35908500</v>
      </c>
      <c r="U1432" s="53">
        <f t="shared" si="42"/>
        <v>-7.4214897878266406E-4</v>
      </c>
      <c r="V1432" s="59">
        <f>U1432-('16. câmbio USD-BRL'!O879/'16. câmbio USD-BRL'!K879-1)</f>
        <v>-1.3482678142943794E-2</v>
      </c>
    </row>
    <row r="1433" spans="14:23" x14ac:dyDescent="0.2">
      <c r="N1433" s="52">
        <v>44095</v>
      </c>
      <c r="O1433" s="51">
        <v>98283</v>
      </c>
      <c r="P1433" s="51">
        <v>98283</v>
      </c>
      <c r="Q1433" s="51">
        <v>95632</v>
      </c>
      <c r="R1433" s="51">
        <v>96999</v>
      </c>
      <c r="S1433" s="51">
        <v>96999</v>
      </c>
      <c r="T1433" s="51">
        <v>42532100</v>
      </c>
      <c r="U1433" s="53">
        <f t="shared" si="42"/>
        <v>-1.313460168887981E-2</v>
      </c>
      <c r="V1433" s="59">
        <f>U1433-('16. câmbio USD-BRL'!O880/'16. câmbio USD-BRL'!K880-1)</f>
        <v>-4.3320833505798184E-2</v>
      </c>
    </row>
    <row r="1434" spans="14:23" x14ac:dyDescent="0.2">
      <c r="N1434" s="52">
        <v>44102</v>
      </c>
      <c r="O1434" s="51">
        <v>97005</v>
      </c>
      <c r="P1434" s="51">
        <v>98314</v>
      </c>
      <c r="Q1434" s="51">
        <v>93408</v>
      </c>
      <c r="R1434" s="51">
        <v>94016</v>
      </c>
      <c r="S1434" s="51">
        <v>94016</v>
      </c>
      <c r="T1434" s="51">
        <v>46528800</v>
      </c>
      <c r="U1434" s="53">
        <f t="shared" si="42"/>
        <v>-3.0752894359735716E-2</v>
      </c>
      <c r="V1434" s="59">
        <f>U1434-('16. câmbio USD-BRL'!O881/'16. câmbio USD-BRL'!K881-1)</f>
        <v>-5.2538955598177006E-2</v>
      </c>
    </row>
    <row r="1435" spans="14:23" x14ac:dyDescent="0.2">
      <c r="N1435" s="52">
        <v>44109</v>
      </c>
      <c r="O1435" s="51">
        <v>94019</v>
      </c>
      <c r="P1435" s="51">
        <v>98642</v>
      </c>
      <c r="Q1435" s="51">
        <v>93984</v>
      </c>
      <c r="R1435" s="51">
        <v>97483</v>
      </c>
      <c r="S1435" s="51">
        <v>97483</v>
      </c>
      <c r="T1435" s="51">
        <v>51719600</v>
      </c>
      <c r="U1435" s="53">
        <f t="shared" si="42"/>
        <v>3.6876701837984971E-2</v>
      </c>
      <c r="V1435" s="59">
        <f>U1435-('16. câmbio USD-BRL'!O882/'16. câmbio USD-BRL'!K882-1)</f>
        <v>6.4461938106941008E-2</v>
      </c>
    </row>
    <row r="1436" spans="14:23" x14ac:dyDescent="0.2">
      <c r="N1436" s="52">
        <v>44116</v>
      </c>
      <c r="O1436" s="51">
        <v>97483</v>
      </c>
      <c r="P1436" s="51">
        <v>99571</v>
      </c>
      <c r="Q1436" s="51">
        <v>97336</v>
      </c>
      <c r="R1436" s="51">
        <v>98309</v>
      </c>
      <c r="S1436" s="51">
        <v>98309</v>
      </c>
      <c r="T1436" s="51">
        <v>32933900</v>
      </c>
      <c r="U1436" s="53">
        <f t="shared" si="42"/>
        <v>8.4732722628559909E-3</v>
      </c>
      <c r="V1436" s="59">
        <f>U1436-('16. câmbio USD-BRL'!O883/'16. câmbio USD-BRL'!K883-1)</f>
        <v>-1.2993179618626227E-2</v>
      </c>
    </row>
    <row r="1437" spans="14:23" x14ac:dyDescent="0.2">
      <c r="N1437" s="52">
        <v>44123</v>
      </c>
      <c r="O1437" s="51">
        <v>98310</v>
      </c>
      <c r="P1437" s="51">
        <v>102218</v>
      </c>
      <c r="Q1437" s="51">
        <v>98310</v>
      </c>
      <c r="R1437" s="51">
        <v>101260</v>
      </c>
      <c r="S1437" s="51">
        <v>101260</v>
      </c>
      <c r="T1437" s="51">
        <v>44504500</v>
      </c>
      <c r="U1437" s="53">
        <f t="shared" si="42"/>
        <v>3.0017597574993227E-2</v>
      </c>
      <c r="V1437" s="59">
        <f>U1437-('16. câmbio USD-BRL'!O884/'16. câmbio USD-BRL'!K884-1)</f>
        <v>3.5084207552317448E-2</v>
      </c>
    </row>
    <row r="1438" spans="14:23" x14ac:dyDescent="0.2">
      <c r="N1438" s="52">
        <v>44130</v>
      </c>
      <c r="O1438" s="51">
        <v>101260</v>
      </c>
      <c r="P1438" s="51">
        <v>101784</v>
      </c>
      <c r="Q1438" s="51">
        <v>93387</v>
      </c>
      <c r="R1438" s="51">
        <v>93952</v>
      </c>
      <c r="S1438" s="51">
        <v>93952</v>
      </c>
      <c r="T1438" s="51">
        <v>51141900</v>
      </c>
      <c r="U1438" s="53">
        <f t="shared" si="42"/>
        <v>-7.2170649812364207E-2</v>
      </c>
      <c r="V1438" s="59">
        <f>U1438-('16. câmbio USD-BRL'!O885/'16. câmbio USD-BRL'!K885-1)</f>
        <v>-0.10057832486843199</v>
      </c>
      <c r="W1438" s="29">
        <f>('16. câmbio USD-BRL'!O885/'16. câmbio USD-BRL'!K885)</f>
        <v>1.0284076750560678</v>
      </c>
    </row>
    <row r="1439" spans="14:23" x14ac:dyDescent="0.2">
      <c r="N1439" s="52">
        <v>44137</v>
      </c>
      <c r="O1439" s="51">
        <v>93968</v>
      </c>
      <c r="P1439" s="51">
        <v>100928</v>
      </c>
      <c r="Q1439" s="51">
        <v>93968</v>
      </c>
      <c r="R1439" s="51">
        <v>100799</v>
      </c>
      <c r="S1439" s="51">
        <v>100799</v>
      </c>
      <c r="T1439" s="51">
        <v>39734500</v>
      </c>
      <c r="U1439" s="53">
        <f t="shared" si="42"/>
        <v>7.2877639645776648E-2</v>
      </c>
      <c r="V1439" s="59">
        <f>U1439-('16. câmbio USD-BRL'!O886/'16. câmbio USD-BRL'!K886-1)</f>
        <v>0.13831627894032894</v>
      </c>
    </row>
    <row r="1440" spans="14:23" x14ac:dyDescent="0.2">
      <c r="N1440" s="52">
        <v>44144</v>
      </c>
      <c r="O1440" s="51">
        <v>100954</v>
      </c>
      <c r="P1440" s="51">
        <v>105758</v>
      </c>
      <c r="Q1440" s="51">
        <v>100954</v>
      </c>
      <c r="R1440" s="51">
        <v>104512</v>
      </c>
      <c r="S1440" s="51">
        <v>104512</v>
      </c>
      <c r="T1440" s="51">
        <v>65549100</v>
      </c>
      <c r="U1440" s="53">
        <f t="shared" si="42"/>
        <v>3.6835682893679556E-2</v>
      </c>
      <c r="V1440" s="59">
        <f>U1440-('16. câmbio USD-BRL'!O887/'16. câmbio USD-BRL'!K887-1)</f>
        <v>1.9611658735308124E-2</v>
      </c>
    </row>
    <row r="1441" spans="14:22" x14ac:dyDescent="0.2">
      <c r="N1441" s="52">
        <v>44151</v>
      </c>
      <c r="O1441" s="51">
        <v>104729</v>
      </c>
      <c r="P1441" s="51">
        <v>107810</v>
      </c>
      <c r="Q1441" s="51">
        <v>104729</v>
      </c>
      <c r="R1441" s="51">
        <v>106042</v>
      </c>
      <c r="S1441" s="51">
        <v>106042</v>
      </c>
      <c r="T1441" s="51">
        <v>48033200</v>
      </c>
      <c r="U1441" s="53">
        <f t="shared" si="42"/>
        <v>1.4639467238211967E-2</v>
      </c>
      <c r="V1441" s="59">
        <f>U1441-('16. câmbio USD-BRL'!O888/'16. câmbio USD-BRL'!K888-1)</f>
        <v>2.9296582351529765E-2</v>
      </c>
    </row>
    <row r="1442" spans="14:22" x14ac:dyDescent="0.2">
      <c r="N1442" s="52">
        <v>44158</v>
      </c>
      <c r="O1442" s="51">
        <v>106050</v>
      </c>
      <c r="P1442" s="51">
        <v>111603</v>
      </c>
      <c r="Q1442" s="51">
        <v>106050</v>
      </c>
      <c r="R1442" s="51">
        <v>110575</v>
      </c>
      <c r="S1442" s="51">
        <v>110575</v>
      </c>
      <c r="T1442" s="51">
        <v>45142600</v>
      </c>
      <c r="U1442" s="53">
        <f t="shared" si="42"/>
        <v>4.2747213368288017E-2</v>
      </c>
      <c r="V1442" s="59">
        <f>U1442-('16. câmbio USD-BRL'!O889/'16. câmbio USD-BRL'!K889-1)</f>
        <v>4.9569789215997639E-2</v>
      </c>
    </row>
    <row r="1443" spans="14:22" x14ac:dyDescent="0.2">
      <c r="N1443" s="52">
        <v>44165</v>
      </c>
      <c r="O1443" s="51">
        <v>110598</v>
      </c>
      <c r="P1443" s="51">
        <v>113864</v>
      </c>
      <c r="Q1443" s="51">
        <v>108829</v>
      </c>
      <c r="R1443" s="51">
        <v>113682</v>
      </c>
      <c r="S1443" s="51">
        <v>113682</v>
      </c>
      <c r="T1443" s="51">
        <v>60806200</v>
      </c>
      <c r="U1443" s="53">
        <f t="shared" si="42"/>
        <v>2.8098575627402145E-2</v>
      </c>
      <c r="V1443" s="59">
        <f>U1443-('16. câmbio USD-BRL'!O890/'16. câmbio USD-BRL'!K890-1)</f>
        <v>6.3577617543569942E-2</v>
      </c>
    </row>
    <row r="1444" spans="14:22" x14ac:dyDescent="0.2">
      <c r="N1444" s="52">
        <v>44172</v>
      </c>
      <c r="O1444" s="51">
        <v>113751</v>
      </c>
      <c r="P1444" s="51">
        <v>115527</v>
      </c>
      <c r="Q1444" s="51">
        <v>112567</v>
      </c>
      <c r="R1444" s="51">
        <v>115323</v>
      </c>
      <c r="S1444" s="51">
        <v>115323</v>
      </c>
      <c r="T1444" s="51">
        <v>47051800</v>
      </c>
      <c r="U1444" s="53">
        <f t="shared" si="42"/>
        <v>1.4435002902834171E-2</v>
      </c>
      <c r="V1444" s="59">
        <f>U1444-('16. câmbio USD-BRL'!O891/'16. câmbio USD-BRL'!K891-1)</f>
        <v>3.2144245459327259E-2</v>
      </c>
    </row>
    <row r="1445" spans="14:22" x14ac:dyDescent="0.2">
      <c r="N1445" s="52">
        <v>44179</v>
      </c>
      <c r="O1445" s="51">
        <v>115137</v>
      </c>
      <c r="P1445" s="51">
        <v>119370</v>
      </c>
      <c r="Q1445" s="51">
        <v>114431</v>
      </c>
      <c r="R1445" s="51">
        <v>117679</v>
      </c>
      <c r="S1445" s="51">
        <v>117679</v>
      </c>
      <c r="T1445" s="51">
        <v>42531500</v>
      </c>
      <c r="U1445" s="53">
        <f t="shared" si="42"/>
        <v>2.0429576060282839E-2</v>
      </c>
      <c r="V1445" s="59">
        <f>U1445-('16. câmbio USD-BRL'!O892/'16. câmbio USD-BRL'!K892-1)</f>
        <v>1.3520226723580331E-2</v>
      </c>
    </row>
    <row r="1446" spans="14:22" x14ac:dyDescent="0.2">
      <c r="N1446" s="52">
        <v>44186</v>
      </c>
      <c r="O1446" s="51">
        <v>118021</v>
      </c>
      <c r="P1446" s="51">
        <v>118311</v>
      </c>
      <c r="Q1446" s="51">
        <v>114730</v>
      </c>
      <c r="R1446" s="51">
        <v>117857</v>
      </c>
      <c r="S1446" s="51">
        <v>117857</v>
      </c>
      <c r="T1446" s="51">
        <v>23778300</v>
      </c>
      <c r="U1446" s="53">
        <f t="shared" si="42"/>
        <v>1.5125893319962724E-3</v>
      </c>
      <c r="V1446" s="59">
        <f>U1446-('16. câmbio USD-BRL'!O893/'16. câmbio USD-BRL'!K893-1)</f>
        <v>-2.0894781771708892E-2</v>
      </c>
    </row>
    <row r="1447" spans="14:22" x14ac:dyDescent="0.2">
      <c r="N1447" s="52">
        <v>44193</v>
      </c>
      <c r="O1447" s="51">
        <v>117806</v>
      </c>
      <c r="P1447" s="51">
        <v>120150</v>
      </c>
      <c r="Q1447" s="51">
        <v>117805</v>
      </c>
      <c r="R1447" s="51">
        <v>119306</v>
      </c>
      <c r="S1447" s="51">
        <v>119306</v>
      </c>
      <c r="T1447" s="51">
        <v>22177100</v>
      </c>
      <c r="U1447" s="53">
        <f t="shared" si="42"/>
        <v>1.2294560357042794E-2</v>
      </c>
      <c r="V1447" s="59">
        <f>U1447-('16. câmbio USD-BRL'!O894/'16. câmbio USD-BRL'!K894-1)</f>
        <v>9.1064009877186436E-3</v>
      </c>
    </row>
    <row r="1448" spans="14:22" x14ac:dyDescent="0.2">
      <c r="N1448" s="52">
        <v>44200</v>
      </c>
      <c r="O1448" s="51">
        <v>119024</v>
      </c>
      <c r="P1448" s="51">
        <v>125324</v>
      </c>
      <c r="Q1448" s="51">
        <v>116756</v>
      </c>
      <c r="R1448" s="51">
        <v>125077</v>
      </c>
      <c r="S1448" s="51">
        <v>125077</v>
      </c>
      <c r="T1448" s="51">
        <v>52497300</v>
      </c>
      <c r="U1448" s="53">
        <f t="shared" si="42"/>
        <v>4.837141468157502E-2</v>
      </c>
      <c r="V1448" s="59">
        <f>U1448-('16. câmbio USD-BRL'!O895/'16. câmbio USD-BRL'!K895-1)</f>
        <v>2.0931901223419924E-3</v>
      </c>
    </row>
    <row r="1449" spans="14:22" x14ac:dyDescent="0.2">
      <c r="N1449" s="52">
        <v>44207</v>
      </c>
      <c r="O1449" s="51">
        <v>125075</v>
      </c>
      <c r="P1449" s="51">
        <v>125075</v>
      </c>
      <c r="Q1449" s="51">
        <v>120374</v>
      </c>
      <c r="R1449" s="51">
        <v>120502</v>
      </c>
      <c r="S1449" s="51">
        <v>120502</v>
      </c>
      <c r="T1449" s="51">
        <v>47140100</v>
      </c>
      <c r="U1449" s="53">
        <f t="shared" si="42"/>
        <v>-3.6577468279539782E-2</v>
      </c>
      <c r="V1449" s="59">
        <f>U1449-('16. câmbio USD-BRL'!O896/'16. câmbio USD-BRL'!K896-1)</f>
        <v>-1.3282590568418295E-2</v>
      </c>
    </row>
    <row r="1450" spans="14:22" x14ac:dyDescent="0.2">
      <c r="N1450" s="52">
        <v>44214</v>
      </c>
      <c r="O1450" s="51">
        <v>120351</v>
      </c>
      <c r="P1450" s="51">
        <v>122586</v>
      </c>
      <c r="Q1450" s="51">
        <v>116109</v>
      </c>
      <c r="R1450" s="51">
        <v>117172</v>
      </c>
      <c r="S1450" s="51">
        <v>117172</v>
      </c>
      <c r="T1450" s="51">
        <v>41003400</v>
      </c>
      <c r="U1450" s="53">
        <f t="shared" si="42"/>
        <v>-2.7634396109608161E-2</v>
      </c>
      <c r="V1450" s="59">
        <f>U1450-('16. câmbio USD-BRL'!O897/'16. câmbio USD-BRL'!K897-1)</f>
        <v>-3.895850379260879E-2</v>
      </c>
    </row>
    <row r="1451" spans="14:22" x14ac:dyDescent="0.2">
      <c r="N1451" s="52">
        <v>44221</v>
      </c>
      <c r="O1451" s="51">
        <v>117381</v>
      </c>
      <c r="P1451" s="51">
        <v>119314</v>
      </c>
      <c r="Q1451" s="51">
        <v>114887</v>
      </c>
      <c r="R1451" s="51">
        <v>116007</v>
      </c>
      <c r="S1451" s="51">
        <v>116007</v>
      </c>
      <c r="T1451" s="51">
        <v>46092900</v>
      </c>
      <c r="U1451" s="53">
        <f t="shared" si="42"/>
        <v>-9.9426484142969285E-3</v>
      </c>
      <c r="V1451" s="59">
        <f>U1451-('16. câmbio USD-BRL'!O898/'16. câmbio USD-BRL'!K898-1)</f>
        <v>-8.9913128855738655E-3</v>
      </c>
    </row>
    <row r="1452" spans="14:22" x14ac:dyDescent="0.2">
      <c r="N1452" s="52">
        <v>44228</v>
      </c>
      <c r="O1452" s="51">
        <v>115093</v>
      </c>
      <c r="P1452" s="51">
        <v>121117</v>
      </c>
      <c r="Q1452" s="51">
        <v>115093</v>
      </c>
      <c r="R1452" s="51">
        <v>119925</v>
      </c>
      <c r="S1452" s="51">
        <v>119925</v>
      </c>
      <c r="T1452" s="51">
        <v>45355800</v>
      </c>
      <c r="U1452" s="53">
        <f t="shared" si="42"/>
        <v>3.3773823993379803E-2</v>
      </c>
      <c r="V1452" s="59">
        <f>U1452-('16. câmbio USD-BRL'!O899/'16. câmbio USD-BRL'!K899-1)</f>
        <v>5.0547923026488473E-2</v>
      </c>
    </row>
    <row r="1453" spans="14:22" x14ac:dyDescent="0.2">
      <c r="N1453" s="52">
        <v>44235</v>
      </c>
      <c r="O1453" s="51">
        <v>120239</v>
      </c>
      <c r="P1453" s="51">
        <v>120844</v>
      </c>
      <c r="Q1453" s="51">
        <v>117970</v>
      </c>
      <c r="R1453" s="51">
        <v>119116</v>
      </c>
      <c r="S1453" s="51">
        <v>119116</v>
      </c>
      <c r="T1453" s="51">
        <v>40400500</v>
      </c>
      <c r="U1453" s="53">
        <f t="shared" si="42"/>
        <v>-6.7458828434437956E-3</v>
      </c>
      <c r="V1453" s="59">
        <f>U1453-('16. câmbio USD-BRL'!O900/'16. câmbio USD-BRL'!K900-1)</f>
        <v>-6.4293210766568354E-3</v>
      </c>
    </row>
    <row r="1454" spans="14:22" x14ac:dyDescent="0.2">
      <c r="N1454" s="52">
        <v>44242</v>
      </c>
      <c r="O1454" s="51">
        <v>119421</v>
      </c>
      <c r="P1454" s="51">
        <v>120845</v>
      </c>
      <c r="Q1454" s="51">
        <v>117867</v>
      </c>
      <c r="R1454" s="51">
        <v>118748</v>
      </c>
      <c r="S1454" s="51">
        <v>118748</v>
      </c>
      <c r="T1454" s="51">
        <v>29449500</v>
      </c>
      <c r="U1454" s="53">
        <f t="shared" si="42"/>
        <v>-3.0894254340306793E-3</v>
      </c>
      <c r="V1454" s="59">
        <f>U1454-('16. câmbio USD-BRL'!O901/'16. câmbio USD-BRL'!K901-1)</f>
        <v>-5.0958328248814633E-3</v>
      </c>
    </row>
    <row r="1455" spans="14:22" x14ac:dyDescent="0.2">
      <c r="N1455" s="52">
        <v>44249</v>
      </c>
      <c r="O1455" s="51">
        <v>118388</v>
      </c>
      <c r="P1455" s="51">
        <v>118388</v>
      </c>
      <c r="Q1455" s="51">
        <v>109827</v>
      </c>
      <c r="R1455" s="51">
        <v>110035</v>
      </c>
      <c r="S1455" s="51">
        <v>110035</v>
      </c>
      <c r="T1455" s="51">
        <v>75427900</v>
      </c>
      <c r="U1455" s="53">
        <f t="shared" si="42"/>
        <v>-7.3373867349344812E-2</v>
      </c>
      <c r="V1455" s="59">
        <f>U1455-('16. câmbio USD-BRL'!O902/'16. câmbio USD-BRL'!K902-1)</f>
        <v>-0.11347197578890034</v>
      </c>
    </row>
    <row r="1456" spans="14:22" x14ac:dyDescent="0.2">
      <c r="N1456" s="52">
        <v>44256</v>
      </c>
      <c r="O1456" s="51">
        <v>110036</v>
      </c>
      <c r="P1456" s="51">
        <v>115504</v>
      </c>
      <c r="Q1456" s="51">
        <v>107319</v>
      </c>
      <c r="R1456" s="51">
        <v>115202</v>
      </c>
      <c r="S1456" s="51">
        <v>115202</v>
      </c>
      <c r="T1456" s="51">
        <v>68683800</v>
      </c>
      <c r="U1456" s="53">
        <f t="shared" si="42"/>
        <v>4.6957786158949411E-2</v>
      </c>
      <c r="V1456" s="59">
        <f>U1456-('16. câmbio USD-BRL'!O903/'16. câmbio USD-BRL'!K903-1)</f>
        <v>3.1410877691149919E-2</v>
      </c>
    </row>
    <row r="1457" spans="14:22" x14ac:dyDescent="0.2">
      <c r="N1457" s="52">
        <v>44263</v>
      </c>
      <c r="O1457" s="51">
        <v>115202</v>
      </c>
      <c r="P1457" s="51">
        <v>115202</v>
      </c>
      <c r="Q1457" s="51">
        <v>109343</v>
      </c>
      <c r="R1457" s="51">
        <v>114160</v>
      </c>
      <c r="S1457" s="51">
        <v>114160</v>
      </c>
      <c r="T1457" s="51">
        <v>44849900</v>
      </c>
      <c r="U1457" s="53">
        <f t="shared" si="42"/>
        <v>-9.0449818579538821E-3</v>
      </c>
      <c r="V1457" s="59">
        <f>U1457-('16. câmbio USD-BRL'!O904/'16. câmbio USD-BRL'!K904-1)</f>
        <v>1.5520120935931248E-2</v>
      </c>
    </row>
    <row r="1458" spans="14:22" x14ac:dyDescent="0.2">
      <c r="N1458" s="52">
        <v>44270</v>
      </c>
      <c r="O1458" s="51">
        <v>114093</v>
      </c>
      <c r="P1458" s="51">
        <v>116751</v>
      </c>
      <c r="Q1458" s="51">
        <v>113370</v>
      </c>
      <c r="R1458" s="51">
        <v>116222</v>
      </c>
      <c r="S1458" s="51">
        <v>116222</v>
      </c>
      <c r="T1458" s="51">
        <v>30658900</v>
      </c>
      <c r="U1458" s="53">
        <f t="shared" si="42"/>
        <v>1.806236860546595E-2</v>
      </c>
      <c r="V1458" s="59">
        <f>U1458-('16. câmbio USD-BRL'!O905/'16. câmbio USD-BRL'!K905-1)</f>
        <v>1.9200701529999087E-2</v>
      </c>
    </row>
    <row r="1459" spans="14:22" x14ac:dyDescent="0.2">
      <c r="N1459" s="52">
        <v>44277</v>
      </c>
      <c r="O1459" s="51">
        <v>116222</v>
      </c>
      <c r="P1459" s="51">
        <v>116225</v>
      </c>
      <c r="Q1459" s="51">
        <v>110927</v>
      </c>
      <c r="R1459" s="51">
        <v>114781</v>
      </c>
      <c r="S1459" s="51">
        <v>114781</v>
      </c>
      <c r="T1459" s="51">
        <v>45262100</v>
      </c>
      <c r="U1459" s="53">
        <f t="shared" si="42"/>
        <v>-1.2398685274732868E-2</v>
      </c>
      <c r="V1459" s="59">
        <f>U1459-('16. câmbio USD-BRL'!O906/'16. câmbio USD-BRL'!K906-1)</f>
        <v>-6.0747290743554005E-2</v>
      </c>
    </row>
    <row r="1460" spans="14:22" x14ac:dyDescent="0.2">
      <c r="N1460" s="52">
        <v>44284</v>
      </c>
      <c r="O1460" s="51">
        <v>114776</v>
      </c>
      <c r="P1460" s="51">
        <v>117249</v>
      </c>
      <c r="Q1460" s="51">
        <v>114096</v>
      </c>
      <c r="R1460" s="51">
        <v>115253</v>
      </c>
      <c r="S1460" s="51">
        <v>115253</v>
      </c>
      <c r="T1460" s="51">
        <v>34273300</v>
      </c>
      <c r="U1460" s="53">
        <f t="shared" si="42"/>
        <v>4.1121788449307584E-3</v>
      </c>
      <c r="V1460" s="59">
        <f>U1460-('16. câmbio USD-BRL'!O907/'16. câmbio USD-BRL'!K907-1)</f>
        <v>1.210870209569137E-2</v>
      </c>
    </row>
    <row r="1461" spans="14:22" x14ac:dyDescent="0.2">
      <c r="N1461" s="52">
        <v>44291</v>
      </c>
      <c r="O1461" s="51">
        <v>115262</v>
      </c>
      <c r="P1461" s="51">
        <v>118850</v>
      </c>
      <c r="Q1461" s="51">
        <v>115262</v>
      </c>
      <c r="R1461" s="51">
        <v>117670</v>
      </c>
      <c r="S1461" s="51">
        <v>117670</v>
      </c>
      <c r="T1461" s="51">
        <v>30563500</v>
      </c>
      <c r="U1461" s="53">
        <f t="shared" si="42"/>
        <v>2.0971254544350337E-2</v>
      </c>
      <c r="V1461" s="59">
        <f>U1461-('16. câmbio USD-BRL'!O908/'16. câmbio USD-BRL'!K908-1)</f>
        <v>2.4666137744014272E-2</v>
      </c>
    </row>
    <row r="1462" spans="14:22" x14ac:dyDescent="0.2">
      <c r="N1462" s="52">
        <v>44298</v>
      </c>
      <c r="O1462" s="51">
        <v>117661</v>
      </c>
      <c r="P1462" s="51">
        <v>121409</v>
      </c>
      <c r="Q1462" s="51">
        <v>117661</v>
      </c>
      <c r="R1462" s="51">
        <v>121114</v>
      </c>
      <c r="S1462" s="51">
        <v>121114</v>
      </c>
      <c r="T1462" s="51">
        <v>41948400</v>
      </c>
      <c r="U1462" s="53">
        <f t="shared" si="42"/>
        <v>2.9268292682926855E-2</v>
      </c>
      <c r="V1462" s="59">
        <f>U1462-('16. câmbio USD-BRL'!O909/'16. câmbio USD-BRL'!K909-1)</f>
        <v>4.3051100503959105E-2</v>
      </c>
    </row>
    <row r="1463" spans="14:22" x14ac:dyDescent="0.2">
      <c r="N1463" s="52">
        <v>44305</v>
      </c>
      <c r="O1463" s="51">
        <v>121116</v>
      </c>
      <c r="P1463" s="51">
        <v>121974</v>
      </c>
      <c r="Q1463" s="51">
        <v>119203</v>
      </c>
      <c r="R1463" s="51">
        <v>120530</v>
      </c>
      <c r="S1463" s="51">
        <v>120530</v>
      </c>
      <c r="T1463" s="51">
        <v>34053700</v>
      </c>
      <c r="U1463" s="53">
        <f t="shared" si="42"/>
        <v>-4.82190333074628E-3</v>
      </c>
      <c r="V1463" s="59">
        <f>U1463-('16. câmbio USD-BRL'!O910/'16. câmbio USD-BRL'!K910-1)</f>
        <v>1.556345553805627E-2</v>
      </c>
    </row>
    <row r="1464" spans="14:22" x14ac:dyDescent="0.2">
      <c r="N1464" s="52">
        <v>44312</v>
      </c>
      <c r="O1464" s="51">
        <v>120534</v>
      </c>
      <c r="P1464" s="51">
        <v>121498</v>
      </c>
      <c r="Q1464" s="51">
        <v>118894</v>
      </c>
      <c r="R1464" s="51">
        <v>118894</v>
      </c>
      <c r="S1464" s="51">
        <v>118894</v>
      </c>
      <c r="T1464" s="51">
        <v>44132500</v>
      </c>
      <c r="U1464" s="53">
        <f t="shared" si="42"/>
        <v>-1.3573384219696338E-2</v>
      </c>
      <c r="V1464" s="59">
        <f>U1464-('16. câmbio USD-BRL'!O911/'16. câmbio USD-BRL'!K911-1)</f>
        <v>-6.1059288144637014E-3</v>
      </c>
    </row>
    <row r="1465" spans="14:22" x14ac:dyDescent="0.2">
      <c r="N1465" s="52">
        <v>44319</v>
      </c>
      <c r="O1465" s="51">
        <v>118951</v>
      </c>
      <c r="P1465" s="51">
        <v>122038</v>
      </c>
      <c r="Q1465" s="51">
        <v>117631</v>
      </c>
      <c r="R1465" s="51">
        <v>122038</v>
      </c>
      <c r="S1465" s="51">
        <v>122038</v>
      </c>
      <c r="T1465" s="51">
        <v>44357600</v>
      </c>
      <c r="U1465" s="53">
        <f t="shared" si="42"/>
        <v>2.6443722980133533E-2</v>
      </c>
      <c r="V1465" s="59">
        <f>U1465-('16. câmbio USD-BRL'!O912/'16. câmbio USD-BRL'!K912-1)</f>
        <v>6.4401147102787437E-2</v>
      </c>
    </row>
    <row r="1466" spans="14:22" x14ac:dyDescent="0.2">
      <c r="N1466" s="52">
        <v>44326</v>
      </c>
      <c r="O1466" s="51">
        <v>122038</v>
      </c>
      <c r="P1466" s="51">
        <v>122964</v>
      </c>
      <c r="Q1466" s="51">
        <v>119458</v>
      </c>
      <c r="R1466" s="51">
        <v>121881</v>
      </c>
      <c r="S1466" s="51">
        <v>121881</v>
      </c>
      <c r="T1466" s="51">
        <v>45105400</v>
      </c>
      <c r="U1466" s="53">
        <f t="shared" si="42"/>
        <v>-1.2864845376030498E-3</v>
      </c>
      <c r="V1466" s="59">
        <f>U1466-('16. câmbio USD-BRL'!O913/'16. câmbio USD-BRL'!K913-1)</f>
        <v>-7.7037193969395901E-3</v>
      </c>
    </row>
    <row r="1467" spans="14:22" x14ac:dyDescent="0.2">
      <c r="N1467" s="52">
        <v>44333</v>
      </c>
      <c r="O1467" s="51">
        <v>121880</v>
      </c>
      <c r="P1467" s="51">
        <v>123544</v>
      </c>
      <c r="Q1467" s="51">
        <v>121595</v>
      </c>
      <c r="R1467" s="51">
        <v>122592</v>
      </c>
      <c r="S1467" s="51">
        <v>122592</v>
      </c>
      <c r="T1467" s="51">
        <v>41473500</v>
      </c>
      <c r="U1467" s="53">
        <f t="shared" si="42"/>
        <v>5.8335589632509954E-3</v>
      </c>
      <c r="V1467" s="59">
        <f>U1467-('16. câmbio USD-BRL'!O914/'16. câmbio USD-BRL'!K914-1)</f>
        <v>-1.2118467756044637E-2</v>
      </c>
    </row>
    <row r="1468" spans="14:22" x14ac:dyDescent="0.2">
      <c r="N1468" s="52">
        <v>44340</v>
      </c>
      <c r="O1468" s="51">
        <v>122592</v>
      </c>
      <c r="P1468" s="51">
        <v>125698</v>
      </c>
      <c r="Q1468" s="51">
        <v>122526</v>
      </c>
      <c r="R1468" s="51">
        <v>125561</v>
      </c>
      <c r="S1468" s="51">
        <v>125561</v>
      </c>
      <c r="T1468" s="51">
        <v>34197700</v>
      </c>
      <c r="U1468" s="53">
        <f t="shared" si="42"/>
        <v>2.4218546071521851E-2</v>
      </c>
      <c r="V1468" s="59">
        <f>U1468-('16. câmbio USD-BRL'!O915/'16. câmbio USD-BRL'!K915-1)</f>
        <v>5.0100548010807211E-2</v>
      </c>
    </row>
    <row r="1469" spans="14:22" x14ac:dyDescent="0.2">
      <c r="N1469" s="52">
        <v>44347</v>
      </c>
      <c r="O1469" s="51">
        <v>125561</v>
      </c>
      <c r="P1469" s="51">
        <v>130137</v>
      </c>
      <c r="Q1469" s="51">
        <v>125540</v>
      </c>
      <c r="R1469" s="51">
        <v>130126</v>
      </c>
      <c r="S1469" s="51">
        <v>130126</v>
      </c>
      <c r="T1469" s="51">
        <v>41038500</v>
      </c>
      <c r="U1469" s="53">
        <f t="shared" si="42"/>
        <v>3.6356830544516106E-2</v>
      </c>
      <c r="V1469" s="59">
        <f>U1469-('16. câmbio USD-BRL'!O916/'16. câmbio USD-BRL'!K916-1)</f>
        <v>7.2879100920048345E-2</v>
      </c>
    </row>
    <row r="1470" spans="14:22" x14ac:dyDescent="0.2">
      <c r="N1470" s="52">
        <v>44354</v>
      </c>
      <c r="O1470" s="51">
        <v>130125</v>
      </c>
      <c r="P1470" s="51">
        <v>131190</v>
      </c>
      <c r="Q1470" s="51">
        <v>128678</v>
      </c>
      <c r="R1470" s="51">
        <v>129441</v>
      </c>
      <c r="S1470" s="51">
        <v>129441</v>
      </c>
      <c r="T1470" s="51">
        <v>46121800</v>
      </c>
      <c r="U1470" s="53">
        <f t="shared" si="42"/>
        <v>-5.2641286138050969E-3</v>
      </c>
      <c r="V1470" s="59">
        <f>U1470-('16. câmbio USD-BRL'!O917/'16. câmbio USD-BRL'!K917-1)</f>
        <v>-1.8825291814788425E-2</v>
      </c>
    </row>
    <row r="1471" spans="14:22" x14ac:dyDescent="0.2">
      <c r="N1471" s="52">
        <v>44361</v>
      </c>
      <c r="O1471" s="51">
        <v>129441</v>
      </c>
      <c r="P1471" s="51">
        <v>131084</v>
      </c>
      <c r="Q1471" s="51">
        <v>127576</v>
      </c>
      <c r="R1471" s="51">
        <v>128405</v>
      </c>
      <c r="S1471" s="51">
        <v>128405</v>
      </c>
      <c r="T1471" s="51">
        <v>50343300</v>
      </c>
      <c r="U1471" s="53">
        <f t="shared" si="42"/>
        <v>-8.0036464489613435E-3</v>
      </c>
      <c r="V1471" s="59">
        <f>U1471-('16. câmbio USD-BRL'!O918/'16. câmbio USD-BRL'!K918-1)</f>
        <v>-2.4924971202662238E-3</v>
      </c>
    </row>
    <row r="1472" spans="14:22" x14ac:dyDescent="0.2">
      <c r="N1472" s="52">
        <v>44368</v>
      </c>
      <c r="O1472" s="51">
        <v>128405</v>
      </c>
      <c r="P1472" s="51">
        <v>129901</v>
      </c>
      <c r="Q1472" s="51">
        <v>126697</v>
      </c>
      <c r="R1472" s="51">
        <v>127256</v>
      </c>
      <c r="S1472" s="51">
        <v>127256</v>
      </c>
      <c r="T1472" s="51">
        <v>41251300</v>
      </c>
      <c r="U1472" s="53">
        <f t="shared" si="42"/>
        <v>-8.9482496787508525E-3</v>
      </c>
      <c r="V1472" s="59">
        <f>U1472-('16. câmbio USD-BRL'!O919/'16. câmbio USD-BRL'!K919-1)</f>
        <v>2.3195238223288062E-2</v>
      </c>
    </row>
    <row r="1473" spans="14:22" x14ac:dyDescent="0.2">
      <c r="N1473" s="52">
        <v>44375</v>
      </c>
      <c r="O1473" s="51">
        <v>127255</v>
      </c>
      <c r="P1473" s="51">
        <v>128067</v>
      </c>
      <c r="Q1473" s="51">
        <v>124994</v>
      </c>
      <c r="R1473" s="51">
        <v>127622</v>
      </c>
      <c r="S1473" s="51">
        <v>127622</v>
      </c>
      <c r="T1473" s="51">
        <v>41758900</v>
      </c>
      <c r="U1473" s="53">
        <f t="shared" si="42"/>
        <v>2.8760922864148331E-3</v>
      </c>
      <c r="V1473" s="59">
        <f>U1473-('16. câmbio USD-BRL'!O920/'16. câmbio USD-BRL'!K920-1)</f>
        <v>-2.5703853182188929E-2</v>
      </c>
    </row>
    <row r="1474" spans="14:22" x14ac:dyDescent="0.2">
      <c r="N1474" s="52">
        <v>44382</v>
      </c>
      <c r="O1474" s="51">
        <v>127622</v>
      </c>
      <c r="P1474" s="51">
        <v>127633</v>
      </c>
      <c r="Q1474" s="51">
        <v>124310</v>
      </c>
      <c r="R1474" s="51">
        <v>125428</v>
      </c>
      <c r="S1474" s="51">
        <v>125428</v>
      </c>
      <c r="T1474" s="51">
        <v>29939700</v>
      </c>
      <c r="U1474" s="53">
        <f t="shared" si="42"/>
        <v>-1.7191393333437777E-2</v>
      </c>
      <c r="V1474" s="59">
        <f>U1474-('16. câmbio USD-BRL'!O921/'16. câmbio USD-BRL'!K921-1)</f>
        <v>-5.598643592994712E-2</v>
      </c>
    </row>
    <row r="1475" spans="14:22" x14ac:dyDescent="0.2">
      <c r="N1475" s="52">
        <v>44389</v>
      </c>
      <c r="O1475" s="51">
        <v>125428</v>
      </c>
      <c r="P1475" s="51">
        <v>129620</v>
      </c>
      <c r="Q1475" s="51">
        <v>125428</v>
      </c>
      <c r="R1475" s="51">
        <v>125960</v>
      </c>
      <c r="S1475" s="51">
        <v>125960</v>
      </c>
      <c r="T1475" s="51">
        <v>29348000</v>
      </c>
      <c r="U1475" s="53">
        <f t="shared" si="42"/>
        <v>4.241477182128417E-3</v>
      </c>
      <c r="V1475" s="59">
        <f>U1475-('16. câmbio USD-BRL'!O922/'16. câmbio USD-BRL'!K922-1)</f>
        <v>2.040309528766715E-2</v>
      </c>
    </row>
    <row r="1476" spans="14:22" x14ac:dyDescent="0.2">
      <c r="N1476" s="52">
        <v>44396</v>
      </c>
      <c r="O1476" s="51">
        <v>125958</v>
      </c>
      <c r="P1476" s="51">
        <v>126428</v>
      </c>
      <c r="Q1476" s="51">
        <v>123317</v>
      </c>
      <c r="R1476" s="51">
        <v>125053</v>
      </c>
      <c r="S1476" s="51">
        <v>125053</v>
      </c>
      <c r="T1476" s="51">
        <v>36518800</v>
      </c>
      <c r="U1476" s="53">
        <f t="shared" si="42"/>
        <v>-7.2006986344871349E-3</v>
      </c>
      <c r="V1476" s="59">
        <f>U1476-('16. câmbio USD-BRL'!O923/'16. câmbio USD-BRL'!K923-1)</f>
        <v>-2.4152979048148171E-2</v>
      </c>
    </row>
    <row r="1477" spans="14:22" x14ac:dyDescent="0.2">
      <c r="N1477" s="52">
        <v>44403</v>
      </c>
      <c r="O1477" s="51">
        <v>125058</v>
      </c>
      <c r="P1477" s="51">
        <v>126712</v>
      </c>
      <c r="Q1477" s="51">
        <v>121748</v>
      </c>
      <c r="R1477" s="51">
        <v>121801</v>
      </c>
      <c r="S1477" s="51">
        <v>121801</v>
      </c>
      <c r="T1477" s="51">
        <v>39565100</v>
      </c>
      <c r="U1477" s="53">
        <f t="shared" ref="U1477:U1540" si="43">S1477/S1476-1</f>
        <v>-2.6004973891070149E-2</v>
      </c>
      <c r="V1477" s="59">
        <f>U1477-('16. câmbio USD-BRL'!O924/'16. câmbio USD-BRL'!K924-1)</f>
        <v>-2.6889929643282517E-2</v>
      </c>
    </row>
    <row r="1478" spans="14:22" x14ac:dyDescent="0.2">
      <c r="N1478" s="52">
        <v>44410</v>
      </c>
      <c r="O1478" s="51">
        <v>121803</v>
      </c>
      <c r="P1478" s="51">
        <v>124536</v>
      </c>
      <c r="Q1478" s="51">
        <v>120807</v>
      </c>
      <c r="R1478" s="51">
        <v>122810</v>
      </c>
      <c r="S1478" s="51">
        <v>122810</v>
      </c>
      <c r="T1478" s="51">
        <v>45533100</v>
      </c>
      <c r="U1478" s="53">
        <f t="shared" si="43"/>
        <v>8.2840042364185074E-3</v>
      </c>
      <c r="V1478" s="59">
        <f>U1478-('16. câmbio USD-BRL'!O925/'16. câmbio USD-BRL'!K925-1)</f>
        <v>2.9422617336345436E-3</v>
      </c>
    </row>
    <row r="1479" spans="14:22" x14ac:dyDescent="0.2">
      <c r="N1479" s="52">
        <v>44417</v>
      </c>
      <c r="O1479" s="51">
        <v>122809</v>
      </c>
      <c r="P1479" s="51">
        <v>123597</v>
      </c>
      <c r="Q1479" s="51">
        <v>120045</v>
      </c>
      <c r="R1479" s="51">
        <v>121194</v>
      </c>
      <c r="S1479" s="51">
        <v>121194</v>
      </c>
      <c r="T1479" s="51">
        <v>45862500</v>
      </c>
      <c r="U1479" s="53">
        <f t="shared" si="43"/>
        <v>-1.3158537578373042E-2</v>
      </c>
      <c r="V1479" s="59">
        <f>U1479-('16. câmbio USD-BRL'!O926/'16. câmbio USD-BRL'!K926-1)</f>
        <v>-1.5355080410958233E-2</v>
      </c>
    </row>
    <row r="1480" spans="14:22" x14ac:dyDescent="0.2">
      <c r="N1480" s="52">
        <v>44424</v>
      </c>
      <c r="O1480" s="51">
        <v>121191</v>
      </c>
      <c r="P1480" s="51">
        <v>121191</v>
      </c>
      <c r="Q1480" s="51">
        <v>114801</v>
      </c>
      <c r="R1480" s="51">
        <v>118053</v>
      </c>
      <c r="S1480" s="51">
        <v>118053</v>
      </c>
      <c r="T1480" s="51">
        <v>52160900</v>
      </c>
      <c r="U1480" s="53">
        <f t="shared" si="43"/>
        <v>-2.5917124610129183E-2</v>
      </c>
      <c r="V1480" s="59">
        <f>U1480-('16. câmbio USD-BRL'!O927/'16. câmbio USD-BRL'!K927-1)</f>
        <v>-5.045795357630356E-2</v>
      </c>
    </row>
    <row r="1481" spans="14:22" x14ac:dyDescent="0.2">
      <c r="N1481" s="52">
        <v>44431</v>
      </c>
      <c r="O1481" s="51">
        <v>118053</v>
      </c>
      <c r="P1481" s="51">
        <v>120833</v>
      </c>
      <c r="Q1481" s="51">
        <v>117062</v>
      </c>
      <c r="R1481" s="51">
        <v>120678</v>
      </c>
      <c r="S1481" s="51">
        <v>120678</v>
      </c>
      <c r="T1481" s="51">
        <v>40304600</v>
      </c>
      <c r="U1481" s="53">
        <f t="shared" si="43"/>
        <v>2.2235775456786344E-2</v>
      </c>
      <c r="V1481" s="59">
        <f>U1481-('16. câmbio USD-BRL'!O928/'16. câmbio USD-BRL'!K928-1)</f>
        <v>5.5945881802719644E-2</v>
      </c>
    </row>
    <row r="1482" spans="14:22" x14ac:dyDescent="0.2">
      <c r="N1482" s="52">
        <v>44438</v>
      </c>
      <c r="O1482" s="51">
        <v>120677</v>
      </c>
      <c r="P1482" s="51">
        <v>120684</v>
      </c>
      <c r="Q1482" s="51">
        <v>115583</v>
      </c>
      <c r="R1482" s="51">
        <v>116933</v>
      </c>
      <c r="S1482" s="51">
        <v>116933</v>
      </c>
      <c r="T1482" s="51">
        <v>49830800</v>
      </c>
      <c r="U1482" s="53">
        <f t="shared" si="43"/>
        <v>-3.1032996900843601E-2</v>
      </c>
      <c r="V1482" s="59">
        <f>U1482-('16. câmbio USD-BRL'!O929/'16. câmbio USD-BRL'!K929-1)</f>
        <v>-2.8323021886428879E-2</v>
      </c>
    </row>
    <row r="1483" spans="14:22" x14ac:dyDescent="0.2">
      <c r="N1483" s="52">
        <v>44445</v>
      </c>
      <c r="O1483" s="51">
        <v>116926</v>
      </c>
      <c r="P1483" s="51">
        <v>117981</v>
      </c>
      <c r="Q1483" s="51">
        <v>112435</v>
      </c>
      <c r="R1483" s="51">
        <v>114286</v>
      </c>
      <c r="S1483" s="51">
        <v>114286</v>
      </c>
      <c r="T1483" s="51">
        <v>42412000</v>
      </c>
      <c r="U1483" s="53">
        <f t="shared" si="43"/>
        <v>-2.2636894631968718E-2</v>
      </c>
      <c r="V1483" s="59">
        <f>U1483-('16. câmbio USD-BRL'!O930/'16. câmbio USD-BRL'!K930-1)</f>
        <v>-3.2497270173615367E-2</v>
      </c>
    </row>
    <row r="1484" spans="14:22" x14ac:dyDescent="0.2">
      <c r="N1484" s="52">
        <v>44452</v>
      </c>
      <c r="O1484" s="51">
        <v>114300</v>
      </c>
      <c r="P1484" s="51">
        <v>117270</v>
      </c>
      <c r="Q1484" s="51">
        <v>111157</v>
      </c>
      <c r="R1484" s="51">
        <v>111439</v>
      </c>
      <c r="S1484" s="51">
        <v>111439</v>
      </c>
      <c r="T1484" s="51">
        <v>53257400</v>
      </c>
      <c r="U1484" s="53">
        <f t="shared" si="43"/>
        <v>-2.4911187722030714E-2</v>
      </c>
      <c r="V1484" s="59">
        <f>U1484-('16. câmbio USD-BRL'!O931/'16. câmbio USD-BRL'!K931-1)</f>
        <v>-3.2649090102483846E-2</v>
      </c>
    </row>
    <row r="1485" spans="14:22" x14ac:dyDescent="0.2">
      <c r="N1485" s="52">
        <v>44459</v>
      </c>
      <c r="O1485" s="51">
        <v>111435</v>
      </c>
      <c r="P1485" s="51">
        <v>114330</v>
      </c>
      <c r="Q1485" s="51">
        <v>107520</v>
      </c>
      <c r="R1485" s="51">
        <v>113283</v>
      </c>
      <c r="S1485" s="51">
        <v>113283</v>
      </c>
      <c r="T1485" s="51">
        <v>55504000</v>
      </c>
      <c r="U1485" s="53">
        <f t="shared" si="43"/>
        <v>1.6547169303385623E-2</v>
      </c>
      <c r="V1485" s="59">
        <f>U1485-('16. câmbio USD-BRL'!O932/'16. câmbio USD-BRL'!K932-1)</f>
        <v>1.4221851699030008E-2</v>
      </c>
    </row>
    <row r="1486" spans="14:22" x14ac:dyDescent="0.2">
      <c r="N1486" s="52">
        <v>44466</v>
      </c>
      <c r="O1486" s="51">
        <v>113283</v>
      </c>
      <c r="P1486" s="51">
        <v>114432</v>
      </c>
      <c r="Q1486" s="51">
        <v>109981</v>
      </c>
      <c r="R1486" s="51">
        <v>112900</v>
      </c>
      <c r="S1486" s="51">
        <v>112900</v>
      </c>
      <c r="T1486" s="51">
        <v>59242800</v>
      </c>
      <c r="U1486" s="53">
        <f t="shared" si="43"/>
        <v>-3.3809132879601966E-3</v>
      </c>
      <c r="V1486" s="59">
        <f>U1486-('16. câmbio USD-BRL'!O933/'16. câmbio USD-BRL'!K933-1)</f>
        <v>-8.5711922888783709E-3</v>
      </c>
    </row>
    <row r="1487" spans="14:22" x14ac:dyDescent="0.2">
      <c r="N1487" s="52">
        <v>44473</v>
      </c>
      <c r="O1487" s="51">
        <v>112900</v>
      </c>
      <c r="P1487" s="51">
        <v>114172</v>
      </c>
      <c r="Q1487" s="51">
        <v>108180</v>
      </c>
      <c r="R1487" s="51">
        <v>112833</v>
      </c>
      <c r="S1487" s="51">
        <v>112833</v>
      </c>
      <c r="T1487" s="51">
        <v>58989800</v>
      </c>
      <c r="U1487" s="53">
        <f t="shared" si="43"/>
        <v>-5.9344552701501296E-4</v>
      </c>
      <c r="V1487" s="59">
        <f>U1487-('16. câmbio USD-BRL'!O934/'16. câmbio USD-BRL'!K934-1)</f>
        <v>-2.6762639610252159E-2</v>
      </c>
    </row>
    <row r="1488" spans="14:22" x14ac:dyDescent="0.2">
      <c r="N1488" s="52">
        <v>44480</v>
      </c>
      <c r="O1488" s="51">
        <v>112834</v>
      </c>
      <c r="P1488" s="51">
        <v>114776</v>
      </c>
      <c r="Q1488" s="51">
        <v>111807</v>
      </c>
      <c r="R1488" s="51">
        <v>114648</v>
      </c>
      <c r="S1488" s="51">
        <v>114648</v>
      </c>
      <c r="T1488" s="51">
        <v>42147500</v>
      </c>
      <c r="U1488" s="53">
        <f t="shared" si="43"/>
        <v>1.6085719603307513E-2</v>
      </c>
      <c r="V1488" s="59">
        <f>U1488-('16. câmbio USD-BRL'!O935/'16. câmbio USD-BRL'!K935-1)</f>
        <v>2.5813134216207234E-2</v>
      </c>
    </row>
    <row r="1489" spans="14:22" x14ac:dyDescent="0.2">
      <c r="N1489" s="52">
        <v>44487</v>
      </c>
      <c r="O1489" s="51">
        <v>114647</v>
      </c>
      <c r="P1489" s="51">
        <v>114927</v>
      </c>
      <c r="Q1489" s="51">
        <v>102854</v>
      </c>
      <c r="R1489" s="51">
        <v>106296</v>
      </c>
      <c r="S1489" s="51">
        <v>106296</v>
      </c>
      <c r="T1489" s="51">
        <v>74739700</v>
      </c>
      <c r="U1489" s="53">
        <f t="shared" si="43"/>
        <v>-7.2849068453003984E-2</v>
      </c>
      <c r="V1489" s="59">
        <f>U1489-('16. câmbio USD-BRL'!O936/'16. câmbio USD-BRL'!K936-1)</f>
        <v>-0.1077428102088297</v>
      </c>
    </row>
    <row r="1490" spans="14:22" x14ac:dyDescent="0.2">
      <c r="N1490" s="52">
        <v>44494</v>
      </c>
      <c r="O1490" s="51">
        <v>106298</v>
      </c>
      <c r="P1490" s="51">
        <v>109372</v>
      </c>
      <c r="Q1490" s="51">
        <v>103430</v>
      </c>
      <c r="R1490" s="51">
        <v>103501</v>
      </c>
      <c r="S1490" s="51">
        <v>103501</v>
      </c>
      <c r="T1490" s="51">
        <v>57204300</v>
      </c>
      <c r="U1490" s="53">
        <f t="shared" si="43"/>
        <v>-2.6294498381877029E-2</v>
      </c>
      <c r="V1490" s="59">
        <f>U1490-('16. câmbio USD-BRL'!O937/'16. câmbio USD-BRL'!K937-1)</f>
        <v>-2.3550747054255416E-2</v>
      </c>
    </row>
    <row r="1491" spans="14:22" x14ac:dyDescent="0.2">
      <c r="N1491" s="52">
        <v>44501</v>
      </c>
      <c r="O1491" s="51">
        <v>103514</v>
      </c>
      <c r="P1491" s="51">
        <v>106754</v>
      </c>
      <c r="Q1491" s="51">
        <v>102835</v>
      </c>
      <c r="R1491" s="51">
        <v>104824</v>
      </c>
      <c r="S1491" s="51">
        <v>104824</v>
      </c>
      <c r="T1491" s="51">
        <v>50110700</v>
      </c>
      <c r="U1491" s="53">
        <f t="shared" si="43"/>
        <v>1.2782485193379767E-2</v>
      </c>
      <c r="V1491" s="59">
        <f>U1491-('16. câmbio USD-BRL'!O938/'16. câmbio USD-BRL'!K938-1)</f>
        <v>2.9533438968555092E-2</v>
      </c>
    </row>
    <row r="1492" spans="14:22" x14ac:dyDescent="0.2">
      <c r="N1492" s="52">
        <v>44508</v>
      </c>
      <c r="O1492" s="51">
        <v>104824</v>
      </c>
      <c r="P1492" s="51">
        <v>108669</v>
      </c>
      <c r="Q1492" s="51">
        <v>104182</v>
      </c>
      <c r="R1492" s="51">
        <v>106312</v>
      </c>
      <c r="S1492" s="51">
        <v>106312</v>
      </c>
      <c r="T1492" s="51">
        <v>58566100</v>
      </c>
      <c r="U1492" s="53">
        <f t="shared" si="43"/>
        <v>1.4195222468136981E-2</v>
      </c>
      <c r="V1492" s="59">
        <f>U1492-('16. câmbio USD-BRL'!O939/'16. câmbio USD-BRL'!K939-1)</f>
        <v>2.8819856852277281E-2</v>
      </c>
    </row>
    <row r="1493" spans="14:22" x14ac:dyDescent="0.2">
      <c r="N1493" s="52">
        <v>44515</v>
      </c>
      <c r="O1493" s="51">
        <v>106336</v>
      </c>
      <c r="P1493" s="51">
        <v>106971</v>
      </c>
      <c r="Q1493" s="51">
        <v>102014</v>
      </c>
      <c r="R1493" s="51">
        <v>103035</v>
      </c>
      <c r="S1493" s="51">
        <v>103035</v>
      </c>
      <c r="T1493" s="51">
        <v>46418800</v>
      </c>
      <c r="U1493" s="53">
        <f t="shared" si="43"/>
        <v>-3.0824366017006555E-2</v>
      </c>
      <c r="V1493" s="59">
        <f>U1493-('16. câmbio USD-BRL'!O940/'16. câmbio USD-BRL'!K940-1)</f>
        <v>-4.9226125547798261E-2</v>
      </c>
    </row>
    <row r="1494" spans="14:22" x14ac:dyDescent="0.2">
      <c r="N1494" s="52">
        <v>44522</v>
      </c>
      <c r="O1494" s="51">
        <v>103036</v>
      </c>
      <c r="P1494" s="51">
        <v>106400</v>
      </c>
      <c r="Q1494" s="51">
        <v>101495</v>
      </c>
      <c r="R1494" s="51">
        <v>102224</v>
      </c>
      <c r="S1494" s="51">
        <v>102224</v>
      </c>
      <c r="T1494" s="51">
        <v>52768500</v>
      </c>
      <c r="U1494" s="53">
        <f t="shared" si="43"/>
        <v>-7.871111758140481E-3</v>
      </c>
      <c r="V1494" s="59">
        <f>U1494-('16. câmbio USD-BRL'!O941/'16. câmbio USD-BRL'!K941-1)</f>
        <v>-7.9781170370676335E-3</v>
      </c>
    </row>
    <row r="1495" spans="14:22" x14ac:dyDescent="0.2">
      <c r="N1495" s="52">
        <v>44529</v>
      </c>
      <c r="O1495" s="51">
        <v>102227</v>
      </c>
      <c r="P1495" s="51">
        <v>106814</v>
      </c>
      <c r="Q1495" s="51">
        <v>100075</v>
      </c>
      <c r="R1495" s="51">
        <v>105070</v>
      </c>
      <c r="S1495" s="51">
        <v>105070</v>
      </c>
      <c r="T1495" s="51">
        <v>71669300</v>
      </c>
      <c r="U1495" s="53">
        <f t="shared" si="43"/>
        <v>2.7840820159649393E-2</v>
      </c>
      <c r="V1495" s="59">
        <f>U1495-('16. câmbio USD-BRL'!O942/'16. câmbio USD-BRL'!K942-1)</f>
        <v>1.1069058925867958E-2</v>
      </c>
    </row>
    <row r="1496" spans="14:22" x14ac:dyDescent="0.2">
      <c r="N1496" s="52">
        <v>44536</v>
      </c>
      <c r="O1496" s="51">
        <v>105070</v>
      </c>
      <c r="P1496" s="51">
        <v>108655</v>
      </c>
      <c r="Q1496" s="51">
        <v>105070</v>
      </c>
      <c r="R1496" s="51">
        <v>107758</v>
      </c>
      <c r="S1496" s="51">
        <v>107758</v>
      </c>
      <c r="T1496" s="51">
        <v>57616300</v>
      </c>
      <c r="U1496" s="53">
        <f t="shared" si="43"/>
        <v>2.5582944703530952E-2</v>
      </c>
      <c r="V1496" s="59">
        <f>U1496-('16. câmbio USD-BRL'!O943/'16. câmbio USD-BRL'!K943-1)</f>
        <v>3.2948525638050841E-2</v>
      </c>
    </row>
    <row r="1497" spans="14:22" x14ac:dyDescent="0.2">
      <c r="N1497" s="52">
        <v>44543</v>
      </c>
      <c r="O1497" s="51">
        <v>107758</v>
      </c>
      <c r="P1497" s="51">
        <v>109493</v>
      </c>
      <c r="Q1497" s="51">
        <v>105697</v>
      </c>
      <c r="R1497" s="51">
        <v>107201</v>
      </c>
      <c r="S1497" s="51">
        <v>107201</v>
      </c>
      <c r="T1497" s="51">
        <v>65468600</v>
      </c>
      <c r="U1497" s="53">
        <f t="shared" si="43"/>
        <v>-5.1689897733810941E-3</v>
      </c>
      <c r="V1497" s="59">
        <f>U1497-('16. câmbio USD-BRL'!O944/'16. câmbio USD-BRL'!K944-1)</f>
        <v>-2.0216966465144148E-2</v>
      </c>
    </row>
    <row r="1498" spans="14:22" x14ac:dyDescent="0.2">
      <c r="N1498" s="52">
        <v>44550</v>
      </c>
      <c r="O1498" s="51">
        <v>107171</v>
      </c>
      <c r="P1498" s="51">
        <v>107171</v>
      </c>
      <c r="Q1498" s="51">
        <v>104358</v>
      </c>
      <c r="R1498" s="51">
        <v>104891</v>
      </c>
      <c r="S1498" s="51">
        <v>104891</v>
      </c>
      <c r="T1498" s="51">
        <v>34948100</v>
      </c>
      <c r="U1498" s="53">
        <f t="shared" si="43"/>
        <v>-2.1548306452365162E-2</v>
      </c>
      <c r="V1498" s="59">
        <f>U1498-('16. câmbio USD-BRL'!O945/'16. câmbio USD-BRL'!K945-1)</f>
        <v>-1.7981521478545037E-2</v>
      </c>
    </row>
    <row r="1499" spans="14:22" x14ac:dyDescent="0.2">
      <c r="N1499" s="52">
        <v>44557</v>
      </c>
      <c r="O1499" s="51">
        <v>104892</v>
      </c>
      <c r="P1499" s="51">
        <v>105694</v>
      </c>
      <c r="Q1499" s="51">
        <v>103851</v>
      </c>
      <c r="R1499" s="51">
        <v>104822</v>
      </c>
      <c r="S1499" s="51">
        <v>104822</v>
      </c>
      <c r="T1499" s="51">
        <v>32832000</v>
      </c>
      <c r="U1499" s="53">
        <f t="shared" si="43"/>
        <v>-6.5782574291406437E-4</v>
      </c>
      <c r="V1499" s="59">
        <f>U1499-('16. câmbio USD-BRL'!O946/'16. câmbio USD-BRL'!K946-1)</f>
        <v>1.1001446661699887E-2</v>
      </c>
    </row>
    <row r="1500" spans="14:22" x14ac:dyDescent="0.2">
      <c r="N1500" s="52">
        <v>44564</v>
      </c>
      <c r="O1500" s="51">
        <v>104823</v>
      </c>
      <c r="P1500" s="51">
        <v>106125</v>
      </c>
      <c r="Q1500" s="51">
        <v>100850</v>
      </c>
      <c r="R1500" s="51">
        <v>102719</v>
      </c>
      <c r="S1500" s="51">
        <v>102719</v>
      </c>
      <c r="T1500" s="51">
        <v>46102500</v>
      </c>
      <c r="U1500" s="53">
        <f t="shared" si="43"/>
        <v>-2.0062582282345254E-2</v>
      </c>
      <c r="V1500" s="59">
        <f>U1500-('16. câmbio USD-BRL'!O947/'16. câmbio USD-BRL'!K947-1)</f>
        <v>-5.1487700401233294E-2</v>
      </c>
    </row>
    <row r="1501" spans="14:22" x14ac:dyDescent="0.2">
      <c r="N1501" s="52">
        <v>44571</v>
      </c>
      <c r="O1501" s="51">
        <v>102719</v>
      </c>
      <c r="P1501" s="51">
        <v>107062</v>
      </c>
      <c r="Q1501" s="51">
        <v>101038</v>
      </c>
      <c r="R1501" s="51">
        <v>106928</v>
      </c>
      <c r="S1501" s="51">
        <v>106928</v>
      </c>
      <c r="T1501" s="51">
        <v>58882100</v>
      </c>
      <c r="U1501" s="53">
        <f t="shared" si="43"/>
        <v>4.0975866198074362E-2</v>
      </c>
      <c r="V1501" s="59">
        <f>U1501-('16. câmbio USD-BRL'!O948/'16. câmbio USD-BRL'!K948-1)</f>
        <v>5.8500724152619865E-2</v>
      </c>
    </row>
    <row r="1502" spans="14:22" x14ac:dyDescent="0.2">
      <c r="N1502" s="52">
        <v>44578</v>
      </c>
      <c r="O1502" s="51">
        <v>106927</v>
      </c>
      <c r="P1502" s="51">
        <v>109873</v>
      </c>
      <c r="Q1502" s="51">
        <v>105786</v>
      </c>
      <c r="R1502" s="51">
        <v>108942</v>
      </c>
      <c r="S1502" s="51">
        <v>108942</v>
      </c>
      <c r="T1502" s="51">
        <v>57780600</v>
      </c>
      <c r="U1502" s="53">
        <f t="shared" si="43"/>
        <v>1.8835103995211711E-2</v>
      </c>
      <c r="V1502" s="59">
        <f>U1502-('16. câmbio USD-BRL'!O949/'16. câmbio USD-BRL'!K949-1)</f>
        <v>3.2356678860990362E-2</v>
      </c>
    </row>
    <row r="1503" spans="14:22" x14ac:dyDescent="0.2">
      <c r="N1503" s="52">
        <v>44585</v>
      </c>
      <c r="O1503" s="51">
        <v>108941</v>
      </c>
      <c r="P1503" s="51">
        <v>113057</v>
      </c>
      <c r="Q1503" s="51">
        <v>106624</v>
      </c>
      <c r="R1503" s="51">
        <v>111478</v>
      </c>
      <c r="S1503" s="51">
        <v>111478</v>
      </c>
      <c r="T1503" s="51">
        <v>70260600</v>
      </c>
      <c r="U1503" s="53">
        <f t="shared" si="43"/>
        <v>2.327844173964122E-2</v>
      </c>
      <c r="V1503" s="59">
        <f>U1503-('16. câmbio USD-BRL'!O950/'16. câmbio USD-BRL'!K950-1)</f>
        <v>3.9939609671017062E-2</v>
      </c>
    </row>
    <row r="1504" spans="14:22" x14ac:dyDescent="0.2">
      <c r="N1504" s="52">
        <v>44592</v>
      </c>
      <c r="O1504" s="51">
        <v>111910</v>
      </c>
      <c r="P1504" s="51">
        <v>113666</v>
      </c>
      <c r="Q1504" s="51">
        <v>110321</v>
      </c>
      <c r="R1504" s="51">
        <v>112245</v>
      </c>
      <c r="S1504" s="51">
        <v>112245</v>
      </c>
      <c r="T1504" s="51">
        <v>46115000</v>
      </c>
      <c r="U1504" s="53">
        <f t="shared" si="43"/>
        <v>6.8802813111106254E-3</v>
      </c>
      <c r="V1504" s="59">
        <f>U1504-('16. câmbio USD-BRL'!O951/'16. câmbio USD-BRL'!K951-1)</f>
        <v>1.4074391832031297E-2</v>
      </c>
    </row>
    <row r="1505" spans="14:22" x14ac:dyDescent="0.2">
      <c r="N1505" s="52">
        <v>44599</v>
      </c>
      <c r="O1505" s="51">
        <v>112247</v>
      </c>
      <c r="P1505" s="51">
        <v>114899</v>
      </c>
      <c r="Q1505" s="51">
        <v>110943</v>
      </c>
      <c r="R1505" s="51">
        <v>113572</v>
      </c>
      <c r="S1505" s="51">
        <v>113572</v>
      </c>
      <c r="T1505" s="51">
        <v>66495500</v>
      </c>
      <c r="U1505" s="53">
        <f t="shared" si="43"/>
        <v>1.1822352888770205E-2</v>
      </c>
      <c r="V1505" s="59">
        <f>U1505-('16. câmbio USD-BRL'!O952/'16. câmbio USD-BRL'!K952-1)</f>
        <v>2.6137249062402446E-2</v>
      </c>
    </row>
    <row r="1506" spans="14:22" x14ac:dyDescent="0.2">
      <c r="N1506" s="52">
        <v>44606</v>
      </c>
      <c r="O1506" s="51">
        <v>113643</v>
      </c>
      <c r="P1506" s="51">
        <v>115734</v>
      </c>
      <c r="Q1506" s="51">
        <v>112701</v>
      </c>
      <c r="R1506" s="51">
        <v>112768</v>
      </c>
      <c r="S1506" s="51">
        <v>112768</v>
      </c>
      <c r="T1506" s="51">
        <v>56567500</v>
      </c>
      <c r="U1506" s="53">
        <f t="shared" si="43"/>
        <v>-7.0792096643539359E-3</v>
      </c>
      <c r="V1506" s="59">
        <f>U1506-('16. câmbio USD-BRL'!O953/'16. câmbio USD-BRL'!K953-1)</f>
        <v>1.4442550168042856E-2</v>
      </c>
    </row>
    <row r="1507" spans="14:22" x14ac:dyDescent="0.2">
      <c r="N1507" s="52">
        <v>44613</v>
      </c>
      <c r="O1507" s="51">
        <v>112880</v>
      </c>
      <c r="P1507" s="51">
        <v>113721</v>
      </c>
      <c r="Q1507" s="51">
        <v>109125</v>
      </c>
      <c r="R1507" s="51">
        <v>113142</v>
      </c>
      <c r="S1507" s="51">
        <v>113142</v>
      </c>
      <c r="T1507" s="51">
        <v>67042900</v>
      </c>
      <c r="U1507" s="53">
        <f t="shared" si="43"/>
        <v>3.316543700340624E-3</v>
      </c>
      <c r="V1507" s="59">
        <f>U1507-('16. câmbio USD-BRL'!O954/'16. câmbio USD-BRL'!K954-1)</f>
        <v>-1.2282736814832607E-3</v>
      </c>
    </row>
    <row r="1508" spans="14:22" x14ac:dyDescent="0.2">
      <c r="N1508" s="52">
        <v>44620</v>
      </c>
      <c r="O1508" s="51">
        <v>113143</v>
      </c>
      <c r="P1508" s="51">
        <v>115948</v>
      </c>
      <c r="Q1508" s="51">
        <v>113143</v>
      </c>
      <c r="R1508" s="51">
        <v>114474</v>
      </c>
      <c r="S1508" s="51">
        <v>114474</v>
      </c>
      <c r="T1508" s="51">
        <v>22838700</v>
      </c>
      <c r="U1508" s="53">
        <f t="shared" si="43"/>
        <v>1.1772816460730695E-2</v>
      </c>
      <c r="V1508" s="59">
        <f>U1508-('16. câmbio USD-BRL'!O955/'16. câmbio USD-BRL'!K955-1)</f>
        <v>3.7375603917176758E-2</v>
      </c>
    </row>
    <row r="1509" spans="14:22" x14ac:dyDescent="0.2">
      <c r="N1509" s="52">
        <v>44627</v>
      </c>
      <c r="O1509" s="51">
        <v>114469</v>
      </c>
      <c r="P1509" s="51">
        <v>114627</v>
      </c>
      <c r="Q1509" s="51">
        <v>110969</v>
      </c>
      <c r="R1509" s="51">
        <v>111713</v>
      </c>
      <c r="S1509" s="51">
        <v>111713</v>
      </c>
      <c r="T1509" s="51">
        <v>69921400</v>
      </c>
      <c r="U1509" s="53">
        <f t="shared" si="43"/>
        <v>-2.4119013924559285E-2</v>
      </c>
      <c r="V1509" s="59">
        <f>U1509-('16. câmbio USD-BRL'!O956/'16. câmbio USD-BRL'!K956-1)</f>
        <v>-2.7005016810562221E-2</v>
      </c>
    </row>
    <row r="1510" spans="14:22" x14ac:dyDescent="0.2">
      <c r="N1510" s="52">
        <v>44634</v>
      </c>
      <c r="O1510" s="51">
        <v>111716</v>
      </c>
      <c r="P1510" s="51">
        <v>115311</v>
      </c>
      <c r="Q1510" s="51">
        <v>107781</v>
      </c>
      <c r="R1510" s="51">
        <v>115311</v>
      </c>
      <c r="S1510" s="51">
        <v>115311</v>
      </c>
      <c r="T1510" s="51">
        <v>71299900</v>
      </c>
      <c r="U1510" s="53">
        <f t="shared" si="43"/>
        <v>3.2207531800238165E-2</v>
      </c>
      <c r="V1510" s="59">
        <f>U1510-('16. câmbio USD-BRL'!O957/'16. câmbio USD-BRL'!K957-1)</f>
        <v>4.2221132951408058E-2</v>
      </c>
    </row>
    <row r="1511" spans="14:22" x14ac:dyDescent="0.2">
      <c r="N1511" s="52">
        <v>44641</v>
      </c>
      <c r="O1511" s="51">
        <v>115307</v>
      </c>
      <c r="P1511" s="51">
        <v>119729</v>
      </c>
      <c r="Q1511" s="51">
        <v>115208</v>
      </c>
      <c r="R1511" s="51">
        <v>119081</v>
      </c>
      <c r="S1511" s="51">
        <v>119081</v>
      </c>
      <c r="T1511" s="51">
        <v>60134000</v>
      </c>
      <c r="U1511" s="53">
        <f t="shared" si="43"/>
        <v>3.2694192227974872E-2</v>
      </c>
      <c r="V1511" s="59">
        <f>U1511-('16. câmbio USD-BRL'!O958/'16. câmbio USD-BRL'!K958-1)</f>
        <v>8.7718306381588063E-2</v>
      </c>
    </row>
    <row r="1512" spans="14:22" x14ac:dyDescent="0.2">
      <c r="N1512" s="52">
        <v>44648</v>
      </c>
      <c r="O1512" s="51">
        <v>119082</v>
      </c>
      <c r="P1512" s="51">
        <v>121579</v>
      </c>
      <c r="Q1512" s="51">
        <v>118061</v>
      </c>
      <c r="R1512" s="51">
        <v>121570</v>
      </c>
      <c r="S1512" s="51">
        <v>121570</v>
      </c>
      <c r="T1512" s="51">
        <v>57975900</v>
      </c>
      <c r="U1512" s="53">
        <f t="shared" si="43"/>
        <v>2.0901739152341614E-2</v>
      </c>
      <c r="V1512" s="59">
        <f>U1512-('16. câmbio USD-BRL'!O959/'16. câmbio USD-BRL'!K959-1)</f>
        <v>3.7964586161989278E-2</v>
      </c>
    </row>
    <row r="1513" spans="14:22" x14ac:dyDescent="0.2">
      <c r="N1513" s="52">
        <v>44655</v>
      </c>
      <c r="O1513" s="51">
        <v>121569</v>
      </c>
      <c r="P1513" s="51">
        <v>121628</v>
      </c>
      <c r="Q1513" s="51">
        <v>116791</v>
      </c>
      <c r="R1513" s="51">
        <v>118322</v>
      </c>
      <c r="S1513" s="51">
        <v>118322</v>
      </c>
      <c r="T1513" s="51">
        <v>56757500</v>
      </c>
      <c r="U1513" s="53">
        <f t="shared" si="43"/>
        <v>-2.6717117709961324E-2</v>
      </c>
      <c r="V1513" s="59">
        <f>U1513-('16. câmbio USD-BRL'!O960/'16. câmbio USD-BRL'!K960-1)</f>
        <v>-3.5370385768021984E-2</v>
      </c>
    </row>
    <row r="1514" spans="14:22" x14ac:dyDescent="0.2">
      <c r="N1514" s="52">
        <v>44662</v>
      </c>
      <c r="O1514" s="51">
        <v>118320</v>
      </c>
      <c r="P1514" s="51">
        <v>118615</v>
      </c>
      <c r="Q1514" s="51">
        <v>115624</v>
      </c>
      <c r="R1514" s="51">
        <v>116182</v>
      </c>
      <c r="S1514" s="51">
        <v>116182</v>
      </c>
      <c r="T1514" s="51">
        <v>43401100</v>
      </c>
      <c r="U1514" s="53">
        <f t="shared" si="43"/>
        <v>-1.8086239245448832E-2</v>
      </c>
      <c r="V1514" s="59">
        <f>U1514-('16. câmbio USD-BRL'!O961/'16. câmbio USD-BRL'!K961-1)</f>
        <v>-1.8639666235657382E-2</v>
      </c>
    </row>
    <row r="1515" spans="14:22" x14ac:dyDescent="0.2">
      <c r="N1515" s="52">
        <v>44669</v>
      </c>
      <c r="O1515" s="51">
        <v>116182</v>
      </c>
      <c r="P1515" s="51">
        <v>116191</v>
      </c>
      <c r="Q1515" s="51">
        <v>110591</v>
      </c>
      <c r="R1515" s="51">
        <v>111078</v>
      </c>
      <c r="S1515" s="51">
        <v>111078</v>
      </c>
      <c r="T1515" s="51">
        <v>30029900</v>
      </c>
      <c r="U1515" s="53">
        <f t="shared" si="43"/>
        <v>-4.3931073660291586E-2</v>
      </c>
      <c r="V1515" s="59">
        <f>U1515-('16. câmbio USD-BRL'!O962/'16. câmbio USD-BRL'!K962-1)</f>
        <v>-6.3989364091300516E-2</v>
      </c>
    </row>
    <row r="1516" spans="14:22" x14ac:dyDescent="0.2">
      <c r="N1516" s="52">
        <v>44676</v>
      </c>
      <c r="O1516" s="51">
        <v>111077</v>
      </c>
      <c r="P1516" s="51">
        <v>111819</v>
      </c>
      <c r="Q1516" s="51">
        <v>107876</v>
      </c>
      <c r="R1516" s="51">
        <v>107876</v>
      </c>
      <c r="S1516" s="51">
        <v>107876</v>
      </c>
      <c r="T1516" s="51">
        <v>59153600</v>
      </c>
      <c r="U1516" s="53">
        <f t="shared" si="43"/>
        <v>-2.8826590323916546E-2</v>
      </c>
      <c r="V1516" s="59">
        <f>U1516-('16. câmbio USD-BRL'!O963/'16. câmbio USD-BRL'!K963-1)</f>
        <v>-6.5342272672932133E-2</v>
      </c>
    </row>
    <row r="1517" spans="14:22" x14ac:dyDescent="0.2">
      <c r="N1517" s="52">
        <v>44683</v>
      </c>
      <c r="O1517" s="51">
        <v>107876</v>
      </c>
      <c r="P1517" s="51">
        <v>108382</v>
      </c>
      <c r="Q1517" s="51">
        <v>103923</v>
      </c>
      <c r="R1517" s="51">
        <v>105135</v>
      </c>
      <c r="S1517" s="51">
        <v>105135</v>
      </c>
      <c r="T1517" s="51">
        <v>64393100</v>
      </c>
      <c r="U1517" s="53">
        <f t="shared" si="43"/>
        <v>-2.5408802699395605E-2</v>
      </c>
      <c r="V1517" s="59">
        <f>U1517-('16. câmbio USD-BRL'!O964/'16. câmbio USD-BRL'!K964-1)</f>
        <v>-4.7254195252651399E-2</v>
      </c>
    </row>
    <row r="1518" spans="14:22" x14ac:dyDescent="0.2">
      <c r="N1518" s="52">
        <v>44690</v>
      </c>
      <c r="O1518" s="51">
        <v>105109</v>
      </c>
      <c r="P1518" s="51">
        <v>107773</v>
      </c>
      <c r="Q1518" s="51">
        <v>102386</v>
      </c>
      <c r="R1518" s="51">
        <v>106924</v>
      </c>
      <c r="S1518" s="51">
        <v>106924</v>
      </c>
      <c r="T1518" s="51">
        <v>66494100</v>
      </c>
      <c r="U1518" s="53">
        <f t="shared" si="43"/>
        <v>1.7016217244495202E-2</v>
      </c>
      <c r="V1518" s="59">
        <f>U1518-('16. câmbio USD-BRL'!O965/'16. câmbio USD-BRL'!K965-1)</f>
        <v>2.1504052847991062E-2</v>
      </c>
    </row>
    <row r="1519" spans="14:22" x14ac:dyDescent="0.2">
      <c r="N1519" s="52">
        <v>44697</v>
      </c>
      <c r="O1519" s="51">
        <v>108685</v>
      </c>
      <c r="P1519" s="51">
        <v>109774</v>
      </c>
      <c r="Q1519" s="51">
        <v>105760</v>
      </c>
      <c r="R1519" s="51">
        <v>108488</v>
      </c>
      <c r="S1519" s="51">
        <v>108488</v>
      </c>
      <c r="T1519" s="51">
        <v>66145900</v>
      </c>
      <c r="U1519" s="53">
        <f t="shared" si="43"/>
        <v>1.4627211851408584E-2</v>
      </c>
      <c r="V1519" s="59">
        <f>U1519-('16. câmbio USD-BRL'!O966/'16. câmbio USD-BRL'!K966-1)</f>
        <v>4.9975055988766948E-2</v>
      </c>
    </row>
    <row r="1520" spans="14:22" x14ac:dyDescent="0.2">
      <c r="N1520" s="52">
        <v>44704</v>
      </c>
      <c r="O1520" s="51">
        <v>108500</v>
      </c>
      <c r="P1520" s="51">
        <v>112102</v>
      </c>
      <c r="Q1520" s="51">
        <v>108399</v>
      </c>
      <c r="R1520" s="51">
        <v>111890</v>
      </c>
      <c r="S1520" s="51">
        <v>111890</v>
      </c>
      <c r="T1520" s="51">
        <v>46222200</v>
      </c>
      <c r="U1520" s="53">
        <f t="shared" si="43"/>
        <v>3.1358306909520017E-2</v>
      </c>
      <c r="V1520" s="59">
        <f>U1520-('16. câmbio USD-BRL'!O967/'16. câmbio USD-BRL'!K967-1)</f>
        <v>6.2258679845055509E-2</v>
      </c>
    </row>
    <row r="1521" spans="14:22" x14ac:dyDescent="0.2">
      <c r="N1521" s="46">
        <v>44704</v>
      </c>
      <c r="O1521" s="467">
        <v>108500</v>
      </c>
      <c r="P1521" s="467">
        <v>112441</v>
      </c>
      <c r="Q1521" s="467">
        <v>108399</v>
      </c>
      <c r="R1521" s="467">
        <v>111942</v>
      </c>
      <c r="S1521" s="467">
        <v>111942</v>
      </c>
      <c r="T1521" s="476">
        <v>56201500</v>
      </c>
      <c r="U1521" s="53">
        <f t="shared" si="43"/>
        <v>4.6474215747616121E-4</v>
      </c>
      <c r="V1521" s="59">
        <f>U1521-('16. câmbio USD-BRL'!O968/'16. câmbio USD-BRL'!K968-1)</f>
        <v>3.7787962799905594E-3</v>
      </c>
    </row>
    <row r="1522" spans="14:22" x14ac:dyDescent="0.2">
      <c r="N1522" s="46">
        <v>44711</v>
      </c>
      <c r="O1522" s="467">
        <v>111944</v>
      </c>
      <c r="P1522" s="467">
        <v>112709</v>
      </c>
      <c r="Q1522" s="467">
        <v>110655</v>
      </c>
      <c r="R1522" s="467">
        <v>111102</v>
      </c>
      <c r="S1522" s="467">
        <v>111102</v>
      </c>
      <c r="T1522" s="476">
        <v>51692700</v>
      </c>
      <c r="U1522" s="53">
        <f t="shared" si="43"/>
        <v>-7.5038859409336522E-3</v>
      </c>
      <c r="V1522" s="59">
        <f>U1522-('16. câmbio USD-BRL'!O969/'16. câmbio USD-BRL'!K969-1)</f>
        <v>-4.692652162571942E-2</v>
      </c>
    </row>
    <row r="1523" spans="14:22" x14ac:dyDescent="0.2">
      <c r="N1523" s="46">
        <v>44718</v>
      </c>
      <c r="O1523" s="467">
        <v>111102</v>
      </c>
      <c r="P1523" s="467">
        <v>111935</v>
      </c>
      <c r="Q1523" s="467">
        <v>104648</v>
      </c>
      <c r="R1523" s="467">
        <v>105481</v>
      </c>
      <c r="S1523" s="467">
        <v>105481</v>
      </c>
      <c r="T1523" s="476">
        <v>52854500</v>
      </c>
      <c r="U1523" s="53">
        <f t="shared" si="43"/>
        <v>-5.0593148638188312E-2</v>
      </c>
      <c r="V1523" s="59">
        <f>U1523-('16. câmbio USD-BRL'!O970/'16. câmbio USD-BRL'!K970-1)</f>
        <v>-8.430101380672772E-2</v>
      </c>
    </row>
    <row r="1524" spans="14:22" x14ac:dyDescent="0.2">
      <c r="N1524" s="46">
        <v>44725</v>
      </c>
      <c r="O1524" s="467">
        <v>105476</v>
      </c>
      <c r="P1524" s="467">
        <v>105478</v>
      </c>
      <c r="Q1524" s="467">
        <v>98402</v>
      </c>
      <c r="R1524" s="467">
        <v>99825</v>
      </c>
      <c r="S1524" s="467">
        <v>99825</v>
      </c>
      <c r="T1524" s="476">
        <v>60351900</v>
      </c>
      <c r="U1524" s="53">
        <f t="shared" si="43"/>
        <v>-5.3621031275774778E-2</v>
      </c>
      <c r="V1524" s="59">
        <f>U1524-('16. câmbio USD-BRL'!O971/'16. câmbio USD-BRL'!K971-1)</f>
        <v>-7.0953769382566145E-2</v>
      </c>
    </row>
    <row r="1525" spans="14:22" x14ac:dyDescent="0.2">
      <c r="N1525" s="46">
        <v>44732</v>
      </c>
      <c r="O1525" s="467">
        <v>99824</v>
      </c>
      <c r="P1525" s="467">
        <v>101069</v>
      </c>
      <c r="Q1525" s="467">
        <v>97775</v>
      </c>
      <c r="R1525" s="467">
        <v>98672</v>
      </c>
      <c r="S1525" s="467">
        <v>98672</v>
      </c>
      <c r="T1525" s="476">
        <v>56391100</v>
      </c>
      <c r="U1525" s="53">
        <f t="shared" si="43"/>
        <v>-1.1550212872526888E-2</v>
      </c>
      <c r="V1525" s="59">
        <f>U1525-('16. câmbio USD-BRL'!O972/'16. câmbio USD-BRL'!K972-1)</f>
        <v>-2.8644882235674185E-2</v>
      </c>
    </row>
    <row r="1526" spans="14:22" x14ac:dyDescent="0.2">
      <c r="N1526" s="46">
        <v>44739</v>
      </c>
      <c r="O1526" s="467">
        <v>98673</v>
      </c>
      <c r="P1526" s="467">
        <v>102237</v>
      </c>
      <c r="Q1526" s="467">
        <v>97231</v>
      </c>
      <c r="R1526" s="467">
        <v>98954</v>
      </c>
      <c r="S1526" s="467">
        <v>98954</v>
      </c>
      <c r="T1526" s="476">
        <v>57036500</v>
      </c>
      <c r="U1526" s="53">
        <f t="shared" si="43"/>
        <v>2.8579536241284398E-3</v>
      </c>
      <c r="V1526" s="59">
        <f>U1526-('16. câmbio USD-BRL'!O973/'16. câmbio USD-BRL'!K973-1)</f>
        <v>1.7827002583048035E-2</v>
      </c>
    </row>
    <row r="1527" spans="14:22" x14ac:dyDescent="0.2">
      <c r="N1527" s="46">
        <v>44746</v>
      </c>
      <c r="O1527" s="467">
        <v>98952</v>
      </c>
      <c r="P1527" s="467">
        <v>101577</v>
      </c>
      <c r="Q1527" s="467">
        <v>96499</v>
      </c>
      <c r="R1527" s="467">
        <v>100289</v>
      </c>
      <c r="S1527" s="467">
        <v>100289</v>
      </c>
      <c r="T1527" s="476">
        <v>55413000</v>
      </c>
      <c r="U1527" s="53">
        <f t="shared" si="43"/>
        <v>1.3491117084706072E-2</v>
      </c>
      <c r="V1527" s="59">
        <f>U1527-('16. câmbio USD-BRL'!O974/'16. câmbio USD-BRL'!K974-1)</f>
        <v>-1.6771539938514435E-2</v>
      </c>
    </row>
    <row r="1528" spans="14:22" x14ac:dyDescent="0.2">
      <c r="N1528" s="46">
        <v>44753</v>
      </c>
      <c r="O1528" s="467">
        <v>100282</v>
      </c>
      <c r="P1528" s="467">
        <v>100282</v>
      </c>
      <c r="Q1528" s="467">
        <v>95267</v>
      </c>
      <c r="R1528" s="467">
        <v>96551</v>
      </c>
      <c r="S1528" s="467">
        <v>96551</v>
      </c>
      <c r="T1528" s="476">
        <v>57594400</v>
      </c>
      <c r="U1528" s="53">
        <f t="shared" si="43"/>
        <v>-3.7272283101835724E-2</v>
      </c>
      <c r="V1528" s="59">
        <f>U1528-('16. câmbio USD-BRL'!O975/'16. câmbio USD-BRL'!K975-1)</f>
        <v>-5.2521539122981409E-2</v>
      </c>
    </row>
    <row r="1529" spans="14:22" x14ac:dyDescent="0.2">
      <c r="N1529" s="46">
        <v>44760</v>
      </c>
      <c r="O1529" s="467">
        <v>96553</v>
      </c>
      <c r="P1529" s="467">
        <v>99724</v>
      </c>
      <c r="Q1529" s="467">
        <v>96553</v>
      </c>
      <c r="R1529" s="467">
        <v>98925</v>
      </c>
      <c r="S1529" s="467">
        <v>98925</v>
      </c>
      <c r="T1529" s="476">
        <v>54069300</v>
      </c>
      <c r="U1529" s="53">
        <f t="shared" si="43"/>
        <v>2.4588041553168738E-2</v>
      </c>
      <c r="V1529" s="59">
        <f>U1529-('16. câmbio USD-BRL'!O976/'16. câmbio USD-BRL'!K976-1)</f>
        <v>8.3878161079429914E-2</v>
      </c>
    </row>
    <row r="1530" spans="14:22" x14ac:dyDescent="0.2">
      <c r="N1530" s="46">
        <v>44767</v>
      </c>
      <c r="O1530" s="467">
        <v>98926</v>
      </c>
      <c r="P1530" s="467">
        <v>103989</v>
      </c>
      <c r="Q1530" s="467">
        <v>98925</v>
      </c>
      <c r="R1530" s="467">
        <v>103165</v>
      </c>
      <c r="S1530" s="467">
        <v>103165</v>
      </c>
      <c r="T1530" s="476">
        <v>52085700</v>
      </c>
      <c r="U1530" s="53">
        <f t="shared" si="43"/>
        <v>4.2860753095779636E-2</v>
      </c>
      <c r="V1530" s="59">
        <f>U1530-('16. câmbio USD-BRL'!O977/'16. câmbio USD-BRL'!K977-1)</f>
        <v>4.4987918937363869E-2</v>
      </c>
    </row>
    <row r="1531" spans="14:22" x14ac:dyDescent="0.2">
      <c r="N1531" s="46">
        <v>44774</v>
      </c>
      <c r="O1531" s="467">
        <v>103165</v>
      </c>
      <c r="P1531" s="467">
        <v>107176</v>
      </c>
      <c r="Q1531" s="467">
        <v>101694</v>
      </c>
      <c r="R1531" s="467">
        <v>106472</v>
      </c>
      <c r="S1531" s="467">
        <v>106472</v>
      </c>
      <c r="T1531" s="476">
        <v>62577300</v>
      </c>
      <c r="U1531" s="53">
        <f t="shared" si="43"/>
        <v>3.2055445160664942E-2</v>
      </c>
      <c r="V1531" s="59">
        <f>U1531-('16. câmbio USD-BRL'!O978/'16. câmbio USD-BRL'!K978-1)</f>
        <v>4.952049569700856E-2</v>
      </c>
    </row>
    <row r="1532" spans="14:22" x14ac:dyDescent="0.2">
      <c r="N1532" s="46">
        <v>44781</v>
      </c>
      <c r="O1532" s="467">
        <v>106473</v>
      </c>
      <c r="P1532" s="467">
        <v>112764</v>
      </c>
      <c r="Q1532" s="467">
        <v>106473</v>
      </c>
      <c r="R1532" s="467">
        <v>112764</v>
      </c>
      <c r="S1532" s="467">
        <v>112764</v>
      </c>
      <c r="T1532" s="476">
        <v>71848400</v>
      </c>
      <c r="U1532" s="53">
        <f t="shared" si="43"/>
        <v>5.9095349011946796E-2</v>
      </c>
      <c r="V1532" s="59">
        <f>U1532-('16. câmbio USD-BRL'!O979/'16. câmbio USD-BRL'!K979-1)</f>
        <v>4.1617172102057065E-2</v>
      </c>
    </row>
    <row r="1533" spans="14:22" x14ac:dyDescent="0.2">
      <c r="N1533" s="46">
        <v>44788</v>
      </c>
      <c r="O1533" s="467">
        <v>112767</v>
      </c>
      <c r="P1533" s="467">
        <v>114375</v>
      </c>
      <c r="Q1533" s="467">
        <v>111067</v>
      </c>
      <c r="R1533" s="467">
        <v>111496</v>
      </c>
      <c r="S1533" s="467">
        <v>111496</v>
      </c>
      <c r="T1533" s="476">
        <v>66514900</v>
      </c>
      <c r="U1533" s="53">
        <f t="shared" si="43"/>
        <v>-1.1244723493313513E-2</v>
      </c>
      <c r="V1533" s="59">
        <f>U1533-('16. câmbio USD-BRL'!O980/'16. câmbio USD-BRL'!K980-1)</f>
        <v>1.0038458922908222E-2</v>
      </c>
    </row>
    <row r="1534" spans="14:22" x14ac:dyDescent="0.2">
      <c r="N1534" s="46">
        <v>44795</v>
      </c>
      <c r="O1534" s="467">
        <v>111487</v>
      </c>
      <c r="P1534" s="467">
        <v>114156</v>
      </c>
      <c r="Q1534" s="467">
        <v>109858</v>
      </c>
      <c r="R1534" s="467">
        <v>112299</v>
      </c>
      <c r="S1534" s="467">
        <v>112299</v>
      </c>
      <c r="T1534" s="476">
        <v>59659700</v>
      </c>
      <c r="U1534" s="53">
        <f t="shared" si="43"/>
        <v>7.2020520915547781E-3</v>
      </c>
      <c r="V1534" s="59">
        <f>U1534-('16. câmbio USD-BRL'!O981/'16. câmbio USD-BRL'!K981-1)</f>
        <v>-1.4151034328198309E-2</v>
      </c>
    </row>
    <row r="1535" spans="14:22" x14ac:dyDescent="0.2">
      <c r="N1535" s="46">
        <v>44802</v>
      </c>
      <c r="O1535" s="467">
        <v>112296</v>
      </c>
      <c r="P1535" s="467">
        <v>113222</v>
      </c>
      <c r="Q1535" s="467">
        <v>108217</v>
      </c>
      <c r="R1535" s="467">
        <v>110864</v>
      </c>
      <c r="S1535" s="467">
        <v>110864</v>
      </c>
      <c r="T1535" s="476">
        <v>67694600</v>
      </c>
      <c r="U1535" s="53">
        <f t="shared" si="43"/>
        <v>-1.2778386272362163E-2</v>
      </c>
      <c r="V1535" s="59">
        <f>U1535-('16. câmbio USD-BRL'!O982/'16. câmbio USD-BRL'!K982-1)</f>
        <v>-7.9243928474926895E-3</v>
      </c>
    </row>
    <row r="1536" spans="14:22" x14ac:dyDescent="0.2">
      <c r="N1536" s="46">
        <v>44809</v>
      </c>
      <c r="O1536" s="467">
        <v>110868</v>
      </c>
      <c r="P1536" s="467">
        <v>112671</v>
      </c>
      <c r="Q1536" s="467">
        <v>108619</v>
      </c>
      <c r="R1536" s="467">
        <v>112300</v>
      </c>
      <c r="S1536" s="467">
        <v>112300</v>
      </c>
      <c r="T1536" s="476">
        <v>49726300</v>
      </c>
      <c r="U1536" s="53">
        <f t="shared" si="43"/>
        <v>1.2952807042863279E-2</v>
      </c>
      <c r="V1536" s="59">
        <f>U1536-('16. câmbio USD-BRL'!O983/'16. câmbio USD-BRL'!K983-1)</f>
        <v>-6.7506692410688185E-3</v>
      </c>
    </row>
    <row r="1537" spans="14:22" x14ac:dyDescent="0.2">
      <c r="N1537" s="46">
        <v>44816</v>
      </c>
      <c r="O1537" s="467">
        <v>112307</v>
      </c>
      <c r="P1537" s="467">
        <v>114160</v>
      </c>
      <c r="Q1537" s="467">
        <v>108489</v>
      </c>
      <c r="R1537" s="467">
        <v>109280</v>
      </c>
      <c r="S1537" s="467">
        <v>109280</v>
      </c>
      <c r="T1537" s="476">
        <v>66416300</v>
      </c>
      <c r="U1537" s="53">
        <f t="shared" si="43"/>
        <v>-2.6892252894033852E-2</v>
      </c>
      <c r="V1537" s="59">
        <f>U1537-('16. câmbio USD-BRL'!O984/'16. câmbio USD-BRL'!K984-1)</f>
        <v>-2.8853896103510746E-2</v>
      </c>
    </row>
    <row r="1538" spans="14:22" x14ac:dyDescent="0.2">
      <c r="N1538" s="46">
        <v>44823</v>
      </c>
      <c r="O1538" s="467">
        <v>109283</v>
      </c>
      <c r="P1538" s="467">
        <v>114392</v>
      </c>
      <c r="Q1538" s="467">
        <v>108508</v>
      </c>
      <c r="R1538" s="467">
        <v>111716</v>
      </c>
      <c r="S1538" s="467">
        <v>111716</v>
      </c>
      <c r="T1538" s="476">
        <v>69118600</v>
      </c>
      <c r="U1538" s="53">
        <f t="shared" si="43"/>
        <v>2.229136163982437E-2</v>
      </c>
      <c r="V1538" s="59">
        <f>U1538-('16. câmbio USD-BRL'!O985/'16. câmbio USD-BRL'!K985-1)</f>
        <v>-6.0040669750689446E-3</v>
      </c>
    </row>
    <row r="1539" spans="14:22" x14ac:dyDescent="0.2">
      <c r="N1539" s="46">
        <v>44830</v>
      </c>
      <c r="O1539" s="467">
        <v>111713</v>
      </c>
      <c r="P1539" s="467">
        <v>111713</v>
      </c>
      <c r="Q1539" s="467">
        <v>106244</v>
      </c>
      <c r="R1539" s="467">
        <v>110037</v>
      </c>
      <c r="S1539" s="467">
        <v>110037</v>
      </c>
      <c r="T1539" s="476">
        <v>72309800</v>
      </c>
      <c r="U1539" s="53">
        <f t="shared" si="43"/>
        <v>-1.5029181137885317E-2</v>
      </c>
      <c r="V1539" s="59">
        <f>U1539-('16. câmbio USD-BRL'!O986/'16. câmbio USD-BRL'!K986-1)</f>
        <v>2.4070979547706428E-2</v>
      </c>
    </row>
    <row r="1540" spans="14:22" x14ac:dyDescent="0.2">
      <c r="N1540" s="46">
        <v>44837</v>
      </c>
      <c r="O1540" s="467">
        <v>110048</v>
      </c>
      <c r="P1540" s="467">
        <v>118382</v>
      </c>
      <c r="Q1540" s="467">
        <v>110048</v>
      </c>
      <c r="R1540" s="467">
        <v>116375</v>
      </c>
      <c r="S1540" s="467">
        <v>116375</v>
      </c>
      <c r="T1540" s="476">
        <v>78753800</v>
      </c>
      <c r="U1540" s="53">
        <f t="shared" si="43"/>
        <v>5.7598807673782559E-2</v>
      </c>
      <c r="V1540" s="59">
        <f>U1540-('16. câmbio USD-BRL'!O987/'16. câmbio USD-BRL'!K987-1)</f>
        <v>3.3649130850144537E-2</v>
      </c>
    </row>
    <row r="1541" spans="14:22" x14ac:dyDescent="0.2">
      <c r="N1541" s="46">
        <v>44844</v>
      </c>
      <c r="O1541" s="467">
        <v>116377</v>
      </c>
      <c r="P1541" s="467">
        <v>116841</v>
      </c>
      <c r="Q1541" s="467">
        <v>111631</v>
      </c>
      <c r="R1541" s="467">
        <v>112072</v>
      </c>
      <c r="S1541" s="467">
        <v>112072</v>
      </c>
      <c r="T1541" s="476">
        <v>52247600</v>
      </c>
      <c r="U1541" s="53">
        <f t="shared" ref="U1541:U1562" si="44">S1541/S1540-1</f>
        <v>-3.6975295381310391E-2</v>
      </c>
      <c r="V1541" s="59">
        <f>U1541-('16. câmbio USD-BRL'!O988/'16. câmbio USD-BRL'!K988-1)</f>
        <v>-5.1586493626145646E-3</v>
      </c>
    </row>
    <row r="1542" spans="14:22" x14ac:dyDescent="0.2">
      <c r="N1542" s="46">
        <v>44851</v>
      </c>
      <c r="O1542" s="467">
        <v>112107</v>
      </c>
      <c r="P1542" s="467">
        <v>120752</v>
      </c>
      <c r="Q1542" s="467">
        <v>112090</v>
      </c>
      <c r="R1542" s="467">
        <v>119929</v>
      </c>
      <c r="S1542" s="467">
        <v>119929</v>
      </c>
      <c r="T1542" s="476">
        <v>74602700</v>
      </c>
      <c r="U1542" s="53">
        <f t="shared" si="44"/>
        <v>7.010671711042904E-2</v>
      </c>
      <c r="V1542" s="59">
        <f>U1542-('16. câmbio USD-BRL'!O989/'16. câmbio USD-BRL'!K989-1)</f>
        <v>4.587849539605493E-2</v>
      </c>
    </row>
    <row r="1543" spans="14:22" x14ac:dyDescent="0.2">
      <c r="N1543" s="46">
        <v>44858</v>
      </c>
      <c r="O1543" s="467">
        <v>119922</v>
      </c>
      <c r="P1543" s="467">
        <v>119924</v>
      </c>
      <c r="Q1543" s="467">
        <v>112577</v>
      </c>
      <c r="R1543" s="467">
        <v>114539</v>
      </c>
      <c r="S1543" s="467">
        <v>114539</v>
      </c>
      <c r="T1543" s="476">
        <v>74017400</v>
      </c>
      <c r="U1543" s="53">
        <f t="shared" si="44"/>
        <v>-4.4943258094372496E-2</v>
      </c>
      <c r="V1543" s="59">
        <f>U1543-('16. câmbio USD-BRL'!O990/'16. câmbio USD-BRL'!K990-1)</f>
        <v>1.5349493368461697E-3</v>
      </c>
    </row>
    <row r="1544" spans="14:22" x14ac:dyDescent="0.2">
      <c r="N1544" s="46">
        <v>44865</v>
      </c>
      <c r="O1544" s="467">
        <v>114533</v>
      </c>
      <c r="P1544" s="467">
        <v>120039</v>
      </c>
      <c r="Q1544" s="467">
        <v>112113</v>
      </c>
      <c r="R1544" s="467">
        <v>118155</v>
      </c>
      <c r="S1544" s="467">
        <v>118155</v>
      </c>
      <c r="T1544" s="476">
        <v>71451700</v>
      </c>
      <c r="U1544" s="53">
        <f t="shared" si="44"/>
        <v>3.1570032914553181E-2</v>
      </c>
      <c r="V1544" s="59">
        <f>U1544-('16. câmbio USD-BRL'!O991/'16. câmbio USD-BRL'!K991-1)</f>
        <v>-8.0117004109030443E-3</v>
      </c>
    </row>
    <row r="1545" spans="14:22" x14ac:dyDescent="0.2">
      <c r="N1545" s="46">
        <v>44872</v>
      </c>
      <c r="O1545" s="467">
        <v>118148</v>
      </c>
      <c r="P1545" s="467">
        <v>118240</v>
      </c>
      <c r="Q1545" s="467">
        <v>108516</v>
      </c>
      <c r="R1545" s="467">
        <v>112253</v>
      </c>
      <c r="S1545" s="467">
        <v>112253</v>
      </c>
      <c r="T1545" s="476">
        <v>101061300</v>
      </c>
      <c r="U1545" s="53">
        <f t="shared" si="44"/>
        <v>-4.9951335110659745E-2</v>
      </c>
      <c r="V1545" s="59">
        <f>U1545-('16. câmbio USD-BRL'!O992/'16. câmbio USD-BRL'!K992-1)</f>
        <v>-6.9310695607714301E-2</v>
      </c>
    </row>
    <row r="1546" spans="14:22" x14ac:dyDescent="0.2">
      <c r="N1546" s="46">
        <v>44879</v>
      </c>
      <c r="O1546" s="467">
        <v>112256</v>
      </c>
      <c r="P1546" s="467">
        <v>114322</v>
      </c>
      <c r="Q1546" s="467">
        <v>107245</v>
      </c>
      <c r="R1546" s="467">
        <v>108880</v>
      </c>
      <c r="S1546" s="467">
        <v>108880</v>
      </c>
      <c r="T1546" s="476">
        <v>75320100</v>
      </c>
      <c r="U1546" s="53">
        <f t="shared" si="44"/>
        <v>-3.0048194703036879E-2</v>
      </c>
      <c r="V1546" s="59">
        <f>U1546-('16. câmbio USD-BRL'!O993/'16. câmbio USD-BRL'!K993-1)</f>
        <v>-3.5102735427397169E-2</v>
      </c>
    </row>
    <row r="1547" spans="14:22" x14ac:dyDescent="0.2">
      <c r="N1547" s="46">
        <v>44886</v>
      </c>
      <c r="O1547" s="467">
        <v>108868</v>
      </c>
      <c r="P1547" s="467">
        <v>112612</v>
      </c>
      <c r="Q1547" s="467">
        <v>107867</v>
      </c>
      <c r="R1547" s="467">
        <v>108977</v>
      </c>
      <c r="S1547" s="467">
        <v>108977</v>
      </c>
      <c r="T1547" s="476">
        <v>67512500</v>
      </c>
      <c r="U1547" s="53">
        <f t="shared" si="44"/>
        <v>8.9088905216749836E-4</v>
      </c>
      <c r="V1547" s="59">
        <f>U1547-('16. câmbio USD-BRL'!O994/'16. câmbio USD-BRL'!K994-1)</f>
        <v>3.6205671339308076E-2</v>
      </c>
    </row>
    <row r="1548" spans="14:22" x14ac:dyDescent="0.2">
      <c r="N1548" s="46">
        <v>44893</v>
      </c>
      <c r="O1548" s="467">
        <v>108977</v>
      </c>
      <c r="P1548" s="467">
        <v>113761</v>
      </c>
      <c r="Q1548" s="467">
        <v>108378</v>
      </c>
      <c r="R1548" s="467">
        <v>111924</v>
      </c>
      <c r="S1548" s="467">
        <v>111924</v>
      </c>
      <c r="T1548" s="476">
        <v>77093200</v>
      </c>
      <c r="U1548" s="53">
        <f t="shared" si="44"/>
        <v>2.7042403442928409E-2</v>
      </c>
      <c r="V1548" s="59">
        <f>U1548-('16. câmbio USD-BRL'!O995/'16. câmbio USD-BRL'!K995-1)</f>
        <v>2.3784450204139551E-2</v>
      </c>
    </row>
    <row r="1549" spans="14:22" x14ac:dyDescent="0.2">
      <c r="N1549" s="46">
        <v>44900</v>
      </c>
      <c r="O1549" s="467">
        <v>111922</v>
      </c>
      <c r="P1549" s="467">
        <v>112150</v>
      </c>
      <c r="Q1549" s="467">
        <v>106906</v>
      </c>
      <c r="R1549" s="467">
        <v>107689</v>
      </c>
      <c r="S1549" s="467">
        <v>107689</v>
      </c>
      <c r="T1549" s="476">
        <v>65168500</v>
      </c>
      <c r="U1549" s="53">
        <f t="shared" si="44"/>
        <v>-3.7838175905078431E-2</v>
      </c>
      <c r="V1549" s="59">
        <f>U1549-('16. câmbio USD-BRL'!O996/'16. câmbio USD-BRL'!K996-1)</f>
        <v>-5.1496246583206395E-2</v>
      </c>
    </row>
    <row r="1550" spans="14:22" x14ac:dyDescent="0.2">
      <c r="N1550" s="46">
        <v>44907</v>
      </c>
      <c r="O1550" s="467">
        <v>107518</v>
      </c>
      <c r="P1550" s="467">
        <v>107561</v>
      </c>
      <c r="Q1550" s="467">
        <v>101632</v>
      </c>
      <c r="R1550" s="467">
        <v>102825</v>
      </c>
      <c r="S1550" s="467">
        <v>102825</v>
      </c>
      <c r="T1550" s="476">
        <v>91930800</v>
      </c>
      <c r="U1550" s="53">
        <f t="shared" si="44"/>
        <v>-4.5167101560976475E-2</v>
      </c>
      <c r="V1550" s="59">
        <f>U1550-('16. câmbio USD-BRL'!O997/'16. câmbio USD-BRL'!K997-1)</f>
        <v>-1.8369777524417596E-2</v>
      </c>
    </row>
    <row r="1551" spans="14:22" x14ac:dyDescent="0.2">
      <c r="N1551" s="46">
        <v>44914</v>
      </c>
      <c r="O1551" s="467">
        <v>102859</v>
      </c>
      <c r="P1551" s="467">
        <v>109994</v>
      </c>
      <c r="Q1551" s="467">
        <v>102770</v>
      </c>
      <c r="R1551" s="467">
        <v>109698</v>
      </c>
      <c r="S1551" s="467">
        <v>109698</v>
      </c>
      <c r="T1551" s="476">
        <v>77875600</v>
      </c>
      <c r="U1551" s="53">
        <f t="shared" si="44"/>
        <v>6.6841721371261764E-2</v>
      </c>
      <c r="V1551" s="59">
        <f>U1551-('16. câmbio USD-BRL'!O998/'16. câmbio USD-BRL'!K998-1)</f>
        <v>4.3372906623861285E-2</v>
      </c>
    </row>
    <row r="1552" spans="14:22" x14ac:dyDescent="0.2">
      <c r="N1552" s="46">
        <v>44921</v>
      </c>
      <c r="O1552" s="467">
        <v>109699</v>
      </c>
      <c r="P1552" s="467">
        <v>111178</v>
      </c>
      <c r="Q1552" s="467">
        <v>107418</v>
      </c>
      <c r="R1552" s="467">
        <v>110031</v>
      </c>
      <c r="S1552" s="467">
        <v>110031</v>
      </c>
      <c r="T1552" s="476">
        <v>40960600</v>
      </c>
      <c r="U1552" s="53">
        <f t="shared" si="44"/>
        <v>3.0356068478913922E-3</v>
      </c>
      <c r="V1552" s="59">
        <f>U1552-('16. câmbio USD-BRL'!O999/'16. câmbio USD-BRL'!K999-1)</f>
        <v>1.4595534953084743E-2</v>
      </c>
    </row>
    <row r="1553" spans="14:22" x14ac:dyDescent="0.2">
      <c r="N1553" s="46">
        <v>44928</v>
      </c>
      <c r="O1553" s="467">
        <v>109734</v>
      </c>
      <c r="P1553" s="467">
        <v>109734</v>
      </c>
      <c r="Q1553" s="467">
        <v>103852</v>
      </c>
      <c r="R1553" s="467">
        <v>108836</v>
      </c>
      <c r="S1553" s="467">
        <v>108836</v>
      </c>
      <c r="T1553" s="476">
        <v>65187000</v>
      </c>
      <c r="U1553" s="53">
        <f t="shared" si="44"/>
        <v>-1.0860575655951554E-2</v>
      </c>
      <c r="V1553" s="59">
        <f>U1553-('16. câmbio USD-BRL'!O1000/'16. câmbio USD-BRL'!K1000-1)</f>
        <v>1.6644975220704072E-2</v>
      </c>
    </row>
    <row r="1554" spans="14:22" x14ac:dyDescent="0.2">
      <c r="N1554" s="46">
        <v>44935</v>
      </c>
      <c r="O1554" s="467">
        <v>108964</v>
      </c>
      <c r="P1554" s="467">
        <v>113129</v>
      </c>
      <c r="Q1554" s="467">
        <v>108134</v>
      </c>
      <c r="R1554" s="467">
        <v>110916</v>
      </c>
      <c r="S1554" s="467">
        <v>110916</v>
      </c>
      <c r="T1554" s="476">
        <v>75984700</v>
      </c>
      <c r="U1554" s="53">
        <f t="shared" si="44"/>
        <v>1.9111323459149565E-2</v>
      </c>
      <c r="V1554" s="59">
        <f>U1554-('16. câmbio USD-BRL'!O1001/'16. câmbio USD-BRL'!K1001-1)</f>
        <v>-5.6096795522464493E-3</v>
      </c>
    </row>
    <row r="1555" spans="14:22" x14ac:dyDescent="0.2">
      <c r="N1555" s="46">
        <v>44942</v>
      </c>
      <c r="O1555" s="467">
        <v>110908</v>
      </c>
      <c r="P1555" s="467">
        <v>113306</v>
      </c>
      <c r="Q1555" s="467">
        <v>108753</v>
      </c>
      <c r="R1555" s="467">
        <v>112301</v>
      </c>
      <c r="S1555" s="467">
        <v>112301</v>
      </c>
      <c r="T1555" s="476">
        <v>72035100</v>
      </c>
      <c r="U1555" s="53">
        <f t="shared" si="44"/>
        <v>1.2486927043888985E-2</v>
      </c>
      <c r="V1555" s="59">
        <f>U1555-('16. câmbio USD-BRL'!O1002/'16. câmbio USD-BRL'!K1002-1)</f>
        <v>3.1521558163878249E-2</v>
      </c>
    </row>
    <row r="1556" spans="14:22" x14ac:dyDescent="0.2">
      <c r="N1556" s="46">
        <v>44949</v>
      </c>
      <c r="O1556" s="467">
        <v>112041</v>
      </c>
      <c r="P1556" s="467">
        <v>114835</v>
      </c>
      <c r="Q1556" s="467">
        <v>111542</v>
      </c>
      <c r="R1556" s="467">
        <v>112502</v>
      </c>
      <c r="S1556" s="467">
        <v>112502</v>
      </c>
      <c r="T1556" s="476">
        <v>58200800</v>
      </c>
      <c r="U1556" s="53">
        <f t="shared" si="44"/>
        <v>1.7898326818104326E-3</v>
      </c>
      <c r="V1556" s="59">
        <f>U1556-('16. câmbio USD-BRL'!O1003/'16. câmbio USD-BRL'!K1003-1)</f>
        <v>-6.5513327317234804E-3</v>
      </c>
    </row>
    <row r="1557" spans="14:22" x14ac:dyDescent="0.2">
      <c r="N1557" s="46">
        <v>44956</v>
      </c>
      <c r="O1557" s="467">
        <v>112319</v>
      </c>
      <c r="P1557" s="467">
        <v>113598</v>
      </c>
      <c r="Q1557" s="467">
        <v>108185</v>
      </c>
      <c r="R1557" s="467">
        <v>108490</v>
      </c>
      <c r="S1557" s="467">
        <v>108490</v>
      </c>
      <c r="T1557" s="476">
        <v>70471500</v>
      </c>
      <c r="U1557" s="53">
        <f t="shared" si="44"/>
        <v>-3.5661588238431352E-2</v>
      </c>
      <c r="V1557" s="59">
        <f>U1557-('16. câmbio USD-BRL'!O1004/'16. câmbio USD-BRL'!K1004-1)</f>
        <v>-4.8031000642796529E-2</v>
      </c>
    </row>
    <row r="1558" spans="14:22" x14ac:dyDescent="0.2">
      <c r="N1558" s="46">
        <v>44963</v>
      </c>
      <c r="O1558" s="467">
        <v>108518</v>
      </c>
      <c r="P1558" s="467">
        <v>110175</v>
      </c>
      <c r="Q1558" s="467">
        <v>107234</v>
      </c>
      <c r="R1558" s="467">
        <v>108150</v>
      </c>
      <c r="S1558" s="467">
        <v>108150</v>
      </c>
      <c r="T1558" s="476">
        <v>65721900</v>
      </c>
      <c r="U1558" s="53">
        <f t="shared" si="44"/>
        <v>-3.1339293944142588E-3</v>
      </c>
      <c r="V1558" s="59">
        <f>U1558-('16. câmbio USD-BRL'!O1005/'16. câmbio USD-BRL'!K1005-1)</f>
        <v>6.6100046230403997E-3</v>
      </c>
    </row>
    <row r="1559" spans="14:22" x14ac:dyDescent="0.2">
      <c r="N1559" s="46">
        <v>44970</v>
      </c>
      <c r="O1559" s="467">
        <v>108074</v>
      </c>
      <c r="P1559" s="467">
        <v>110437</v>
      </c>
      <c r="Q1559" s="467">
        <v>107267</v>
      </c>
      <c r="R1559" s="467">
        <v>109303</v>
      </c>
      <c r="S1559" s="467">
        <v>109303</v>
      </c>
      <c r="T1559" s="476">
        <v>60422000</v>
      </c>
      <c r="U1559" s="53">
        <f t="shared" si="44"/>
        <v>1.0661118816458703E-2</v>
      </c>
      <c r="V1559" s="59">
        <f>U1559-('16. câmbio USD-BRL'!O1006/'16. câmbio USD-BRL'!K1006-1)</f>
        <v>2.4136162996151178E-3</v>
      </c>
    </row>
    <row r="1560" spans="14:22" x14ac:dyDescent="0.2">
      <c r="N1560" s="46">
        <v>44977</v>
      </c>
      <c r="O1560" s="467">
        <v>109174</v>
      </c>
      <c r="P1560" s="467">
        <v>109174</v>
      </c>
      <c r="Q1560" s="467">
        <v>105360</v>
      </c>
      <c r="R1560" s="467">
        <v>105873</v>
      </c>
      <c r="S1560" s="467">
        <v>105873</v>
      </c>
      <c r="T1560" s="476">
        <v>31036500</v>
      </c>
      <c r="U1560" s="53">
        <f t="shared" si="44"/>
        <v>-3.1380657438496606E-2</v>
      </c>
      <c r="V1560" s="59">
        <f>U1560-('16. câmbio USD-BRL'!O1007/'16. câmbio USD-BRL'!K1007-1)</f>
        <v>-2.8807593956796107E-2</v>
      </c>
    </row>
    <row r="1561" spans="14:22" x14ac:dyDescent="0.2">
      <c r="N1561" s="46">
        <v>44984</v>
      </c>
      <c r="O1561" s="467">
        <v>105807</v>
      </c>
      <c r="P1561" s="467">
        <v>106794</v>
      </c>
      <c r="Q1561" s="467">
        <v>103105</v>
      </c>
      <c r="R1561" s="467">
        <v>103866</v>
      </c>
      <c r="S1561" s="467">
        <v>103866</v>
      </c>
      <c r="T1561" s="476">
        <v>72936400</v>
      </c>
      <c r="U1561" s="53">
        <f t="shared" si="44"/>
        <v>-1.895667450624805E-2</v>
      </c>
      <c r="V1561" s="59">
        <f>U1561-('16. câmbio USD-BRL'!O1008/'16. câmbio USD-BRL'!K1008-1)</f>
        <v>-2.3037992849078814E-2</v>
      </c>
    </row>
    <row r="1562" spans="14:22" x14ac:dyDescent="0.2">
      <c r="N1562" s="46">
        <v>44991</v>
      </c>
      <c r="O1562" s="467">
        <v>103865</v>
      </c>
      <c r="P1562" s="467">
        <v>106724</v>
      </c>
      <c r="Q1562" s="467">
        <v>103170</v>
      </c>
      <c r="R1562" s="467">
        <v>103618</v>
      </c>
      <c r="S1562" s="467">
        <v>103618</v>
      </c>
      <c r="T1562" s="476">
        <v>79886600</v>
      </c>
      <c r="U1562" s="53">
        <f t="shared" si="44"/>
        <v>-2.3876918337087938E-3</v>
      </c>
      <c r="V1562" s="59">
        <f>U1562-('16. câmbio USD-BRL'!O1009/'16. câmbio USD-BRL'!K1009-1)</f>
        <v>-2.3876918337087938E-3</v>
      </c>
    </row>
    <row r="1563" spans="14:22" x14ac:dyDescent="0.2">
      <c r="N1563" s="46"/>
      <c r="O1563" s="467"/>
      <c r="P1563" s="467"/>
      <c r="Q1563" s="467"/>
      <c r="R1563" s="467"/>
      <c r="S1563" s="467"/>
      <c r="T1563" s="476"/>
      <c r="U1563" s="53"/>
      <c r="V1563" s="59"/>
    </row>
  </sheetData>
  <sortState xmlns:xlrd2="http://schemas.microsoft.com/office/spreadsheetml/2017/richdata2" ref="N1521:T1563">
    <sortCondition ref="N1521:N1563"/>
  </sortState>
  <mergeCells count="6">
    <mergeCell ref="A1:G1"/>
    <mergeCell ref="N1:T1"/>
    <mergeCell ref="I1:I2"/>
    <mergeCell ref="L1:L2"/>
    <mergeCell ref="J1:J2"/>
    <mergeCell ref="K1:K2"/>
  </mergeCells>
  <hyperlinks>
    <hyperlink ref="X1" r:id="rId1" xr:uid="{3C993430-15A7-4640-8A2B-48530272228D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B1000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17.83203125" customWidth="1"/>
  </cols>
  <sheetData>
    <row r="1" spans="1:2" x14ac:dyDescent="0.2">
      <c r="A1" s="25" t="s">
        <v>19</v>
      </c>
      <c r="B1" s="25" t="s">
        <v>100</v>
      </c>
    </row>
    <row r="2" spans="1:2" x14ac:dyDescent="0.2">
      <c r="A2" s="278">
        <f>'6. BETA'!H58</f>
        <v>0.83171236988068153</v>
      </c>
      <c r="B2" s="246">
        <f>'6. BETA'!D73</f>
        <v>0.21858796096161054</v>
      </c>
    </row>
    <row r="3" spans="1:2" x14ac:dyDescent="0.2">
      <c r="A3" s="4"/>
    </row>
    <row r="4" spans="1:2" x14ac:dyDescent="0.2">
      <c r="A4" s="4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EA3A-A14D-4817-95C9-608E60ED56A9}">
  <sheetPr>
    <tabColor theme="1"/>
  </sheetPr>
  <dimension ref="A1:D361"/>
  <sheetViews>
    <sheetView tabSelected="1" topLeftCell="A322" workbookViewId="0">
      <selection activeCell="B360" sqref="B360"/>
    </sheetView>
  </sheetViews>
  <sheetFormatPr baseColWidth="10" defaultColWidth="9.1640625" defaultRowHeight="15" x14ac:dyDescent="0.2"/>
  <cols>
    <col min="1" max="1" width="9.5" style="294" bestFit="1" customWidth="1"/>
    <col min="2" max="2" width="16.6640625" style="272" customWidth="1"/>
    <col min="3" max="3" width="16.6640625" style="270" customWidth="1"/>
    <col min="4" max="4" width="16.6640625" style="294" customWidth="1"/>
    <col min="5" max="16384" width="9.1640625" style="270"/>
  </cols>
  <sheetData>
    <row r="1" spans="1:4" x14ac:dyDescent="0.2">
      <c r="B1" s="274" t="s">
        <v>637</v>
      </c>
      <c r="C1" s="274" t="s">
        <v>3098</v>
      </c>
      <c r="D1" s="274" t="s">
        <v>3099</v>
      </c>
    </row>
    <row r="2" spans="1:4" x14ac:dyDescent="0.2">
      <c r="A2" s="295">
        <v>33970</v>
      </c>
      <c r="B2" s="271">
        <f>VLOOKUP(DATE(YEAR(A2),MONTH(A2),1),'15. S&amp;P500'!$A$3:$J$6350,8,)</f>
        <v>7.3389109056215984E-2</v>
      </c>
      <c r="C2" s="296">
        <f>VLOOKUP(DATE(YEAR(A2),MONTH(A2),1),'18. US 10Y Yield'!D:J,7,)</f>
        <v>6.9533333333333336E-2</v>
      </c>
      <c r="D2" s="298">
        <f t="shared" ref="D2:D53" si="0">B2-C2</f>
        <v>3.8557757228826484E-3</v>
      </c>
    </row>
    <row r="3" spans="1:4" x14ac:dyDescent="0.2">
      <c r="A3" s="295">
        <v>34001</v>
      </c>
      <c r="B3" s="271">
        <f>VLOOKUP(DATE(YEAR(A3),MONTH(A3),1),'15. S&amp;P500'!$A$3:$J$6350,8,)</f>
        <v>7.4339714078022867E-2</v>
      </c>
      <c r="C3" s="296">
        <f>VLOOKUP(DATE(YEAR(A3),MONTH(A3),1),'18. US 10Y Yield'!D:J,7,)</f>
        <v>6.8500000000000005E-2</v>
      </c>
      <c r="D3" s="298">
        <f t="shared" si="0"/>
        <v>5.8397140780228618E-3</v>
      </c>
    </row>
    <row r="4" spans="1:4" x14ac:dyDescent="0.2">
      <c r="A4" s="295">
        <v>34029</v>
      </c>
      <c r="B4" s="271">
        <f>VLOOKUP(DATE(YEAR(A4),MONTH(A4),1),'15. S&amp;P500'!$A$3:$J$6350,8,)</f>
        <v>0.11885357576358091</v>
      </c>
      <c r="C4" s="296">
        <f>VLOOKUP(DATE(YEAR(A4),MONTH(A4),1),'18. US 10Y Yield'!D:J,7,)</f>
        <v>6.7241666666666658E-2</v>
      </c>
      <c r="D4" s="298">
        <f t="shared" si="0"/>
        <v>5.1611909096914252E-2</v>
      </c>
    </row>
    <row r="5" spans="1:4" x14ac:dyDescent="0.2">
      <c r="A5" s="295">
        <v>34060</v>
      </c>
      <c r="B5" s="271">
        <f>VLOOKUP(DATE(YEAR(A5),MONTH(A5),1),'15. S&amp;P500'!$A$3:$J$6350,8,)</f>
        <v>6.082660561513431E-2</v>
      </c>
      <c r="C5" s="296">
        <f>VLOOKUP(DATE(YEAR(A5),MONTH(A5),1),'18. US 10Y Yield'!D:J,7,)</f>
        <v>6.5941666666666662E-2</v>
      </c>
      <c r="D5" s="298">
        <f t="shared" si="0"/>
        <v>-5.1150610515323519E-3</v>
      </c>
    </row>
    <row r="6" spans="1:4" x14ac:dyDescent="0.2">
      <c r="A6" s="295">
        <v>34090</v>
      </c>
      <c r="B6" s="271">
        <f>VLOOKUP(DATE(YEAR(A6),MONTH(A6),1),'15. S&amp;P500'!$A$3:$J$6350,8,)</f>
        <v>8.3881064162754315E-2</v>
      </c>
      <c r="C6" s="296">
        <f>VLOOKUP(DATE(YEAR(A6),MONTH(A6),1),'18. US 10Y Yield'!D:J,7,)</f>
        <v>6.4966666666666659E-2</v>
      </c>
      <c r="D6" s="298">
        <f t="shared" si="0"/>
        <v>1.8914397496087657E-2</v>
      </c>
    </row>
    <row r="7" spans="1:4" x14ac:dyDescent="0.2">
      <c r="A7" s="295">
        <v>34121</v>
      </c>
      <c r="B7" s="271">
        <f>VLOOKUP(DATE(YEAR(A7),MONTH(A7),1),'15. S&amp;P500'!$A$3:$J$6350,8,)</f>
        <v>0.10386142010094579</v>
      </c>
      <c r="C7" s="296">
        <f>VLOOKUP(DATE(YEAR(A7),MONTH(A7),1),'18. US 10Y Yield'!D:J,7,)</f>
        <v>6.3850000000000004E-2</v>
      </c>
      <c r="D7" s="298">
        <f t="shared" si="0"/>
        <v>4.0011420100945785E-2</v>
      </c>
    </row>
    <row r="8" spans="1:4" x14ac:dyDescent="0.2">
      <c r="A8" s="295">
        <v>34151</v>
      </c>
      <c r="B8" s="271">
        <f>VLOOKUP(DATE(YEAR(A8),MONTH(A8),1),'15. S&amp;P500'!$A$3:$J$6350,8,)</f>
        <v>5.638716673345745E-2</v>
      </c>
      <c r="C8" s="296">
        <f>VLOOKUP(DATE(YEAR(A8),MONTH(A8),1),'18. US 10Y Yield'!D:J,7,)</f>
        <v>6.3108333333333322E-2</v>
      </c>
      <c r="D8" s="298">
        <f t="shared" si="0"/>
        <v>-6.7211665998758718E-3</v>
      </c>
    </row>
    <row r="9" spans="1:4" x14ac:dyDescent="0.2">
      <c r="A9" s="295">
        <v>34182</v>
      </c>
      <c r="B9" s="271">
        <f>VLOOKUP(DATE(YEAR(A9),MONTH(A9),1),'15. S&amp;P500'!$A$3:$J$6350,8,)</f>
        <v>0.11962901239040646</v>
      </c>
      <c r="C9" s="296">
        <f>VLOOKUP(DATE(YEAR(A9),MONTH(A9),1),'18. US 10Y Yield'!D:J,7,)</f>
        <v>6.2133333333333339E-2</v>
      </c>
      <c r="D9" s="298">
        <f t="shared" si="0"/>
        <v>5.7495679057073125E-2</v>
      </c>
    </row>
    <row r="10" spans="1:4" x14ac:dyDescent="0.2">
      <c r="A10" s="295">
        <v>34213</v>
      </c>
      <c r="B10" s="271">
        <f>VLOOKUP(DATE(YEAR(A10),MONTH(A10),1),'15. S&amp;P500'!$A$3:$J$6350,8,)</f>
        <v>9.8444231689803763E-2</v>
      </c>
      <c r="C10" s="296">
        <f>VLOOKUP(DATE(YEAR(A10),MONTH(A10),1),'18. US 10Y Yield'!D:J,7,)</f>
        <v>6.1325000000000005E-2</v>
      </c>
      <c r="D10" s="298">
        <f t="shared" si="0"/>
        <v>3.7119231689803758E-2</v>
      </c>
    </row>
    <row r="11" spans="1:4" x14ac:dyDescent="0.2">
      <c r="A11" s="295">
        <v>34243</v>
      </c>
      <c r="B11" s="271">
        <f>VLOOKUP(DATE(YEAR(A11),MONTH(A11),1),'15. S&amp;P500'!$A$3:$J$6350,8,)</f>
        <v>0.11739275819241413</v>
      </c>
      <c r="C11" s="296">
        <f>VLOOKUP(DATE(YEAR(A11),MONTH(A11),1),'18. US 10Y Yield'!D:J,7,)</f>
        <v>6.0148333333333345E-2</v>
      </c>
      <c r="D11" s="298">
        <f t="shared" si="0"/>
        <v>5.7244424859080781E-2</v>
      </c>
    </row>
    <row r="12" spans="1:4" x14ac:dyDescent="0.2">
      <c r="A12" s="295">
        <v>34274</v>
      </c>
      <c r="B12" s="271">
        <f>VLOOKUP(DATE(YEAR(A12),MONTH(A12),1),'15. S&amp;P500'!$A$3:$J$6350,8,)</f>
        <v>7.0569143387040567E-2</v>
      </c>
      <c r="C12" s="296">
        <f>VLOOKUP(DATE(YEAR(A12),MONTH(A12),1),'18. US 10Y Yield'!D:J,7,)</f>
        <v>5.9185833333333333E-2</v>
      </c>
      <c r="D12" s="298">
        <f t="shared" si="0"/>
        <v>1.1383310053707234E-2</v>
      </c>
    </row>
    <row r="13" spans="1:4" x14ac:dyDescent="0.2">
      <c r="A13" s="295">
        <v>34304</v>
      </c>
      <c r="B13" s="271">
        <f>VLOOKUP(DATE(YEAR(A13),MONTH(A13),1),'15. S&amp;P500'!$A$3:$J$6350,8,)</f>
        <v>7.0551513621445405E-2</v>
      </c>
      <c r="C13" s="296">
        <f>VLOOKUP(DATE(YEAR(A13),MONTH(A13),1),'18. US 10Y Yield'!D:J,7,)</f>
        <v>5.8421666666666663E-2</v>
      </c>
      <c r="D13" s="298">
        <f t="shared" si="0"/>
        <v>1.2129846954778742E-2</v>
      </c>
    </row>
    <row r="14" spans="1:4" x14ac:dyDescent="0.2">
      <c r="A14" s="295">
        <v>34335</v>
      </c>
      <c r="B14" s="271">
        <f>VLOOKUP(DATE(YEAR(A14),MONTH(A14),1),'15. S&amp;P500'!$A$3:$J$6350,8,)</f>
        <v>9.7611559323579122E-2</v>
      </c>
      <c r="C14" s="296">
        <f>VLOOKUP(DATE(YEAR(A14),MONTH(A14),1),'18. US 10Y Yield'!D:J,7,)</f>
        <v>5.7794999999999999E-2</v>
      </c>
      <c r="D14" s="298">
        <f t="shared" si="0"/>
        <v>3.9816559323579123E-2</v>
      </c>
    </row>
    <row r="15" spans="1:4" x14ac:dyDescent="0.2">
      <c r="A15" s="295">
        <v>34366</v>
      </c>
      <c r="B15" s="271">
        <f>VLOOKUP(DATE(YEAR(A15),MONTH(A15),1),'15. S&amp;P500'!$A$3:$J$6350,8,)</f>
        <v>5.3588344084081418E-2</v>
      </c>
      <c r="C15" s="296">
        <f>VLOOKUP(DATE(YEAR(A15),MONTH(A15),1),'18. US 10Y Yield'!D:J,7,)</f>
        <v>5.7895000000000002E-2</v>
      </c>
      <c r="D15" s="298">
        <f t="shared" si="0"/>
        <v>-4.3066559159185835E-3</v>
      </c>
    </row>
    <row r="16" spans="1:4" x14ac:dyDescent="0.2">
      <c r="A16" s="295">
        <v>34394</v>
      </c>
      <c r="B16" s="271">
        <f>VLOOKUP(DATE(YEAR(A16),MONTH(A16),1),'15. S&amp;P500'!$A$3:$J$6350,8,)</f>
        <v>-1.3062634224101699E-2</v>
      </c>
      <c r="C16" s="296">
        <f>VLOOKUP(DATE(YEAR(A16),MONTH(A16),1),'18. US 10Y Yield'!D:J,7,)</f>
        <v>5.8515000000000005E-2</v>
      </c>
      <c r="D16" s="298">
        <f t="shared" si="0"/>
        <v>-7.1577634224101711E-2</v>
      </c>
    </row>
    <row r="17" spans="1:4" x14ac:dyDescent="0.2">
      <c r="A17" s="295">
        <v>34425</v>
      </c>
      <c r="B17" s="271">
        <f>VLOOKUP(DATE(YEAR(A17),MONTH(A17),1),'15. S&amp;P500'!$A$3:$J$6350,8,)</f>
        <v>2.4353120243531201E-2</v>
      </c>
      <c r="C17" s="296">
        <f>VLOOKUP(DATE(YEAR(A17),MONTH(A17),1),'18. US 10Y Yield'!D:J,7,)</f>
        <v>5.9335833333333324E-2</v>
      </c>
      <c r="D17" s="298">
        <f t="shared" si="0"/>
        <v>-3.4982713089802123E-2</v>
      </c>
    </row>
    <row r="18" spans="1:4" x14ac:dyDescent="0.2">
      <c r="A18" s="295">
        <v>34455</v>
      </c>
      <c r="B18" s="271">
        <f>VLOOKUP(DATE(YEAR(A18),MONTH(A18),1),'15. S&amp;P500'!$A$3:$J$6350,8,)</f>
        <v>1.4016304227104204E-2</v>
      </c>
      <c r="C18" s="296">
        <f>VLOOKUP(DATE(YEAR(A18),MONTH(A18),1),'18. US 10Y Yield'!D:J,7,)</f>
        <v>6.0162499999999994E-2</v>
      </c>
      <c r="D18" s="298">
        <f t="shared" si="0"/>
        <v>-4.614619577289579E-2</v>
      </c>
    </row>
    <row r="19" spans="1:4" x14ac:dyDescent="0.2">
      <c r="A19" s="295">
        <v>34486</v>
      </c>
      <c r="B19" s="271">
        <f>VLOOKUP(DATE(YEAR(A19),MONTH(A19),1),'15. S&amp;P500'!$A$3:$J$6350,8,)</f>
        <v>-1.3894746187823159E-2</v>
      </c>
      <c r="C19" s="296">
        <f>VLOOKUP(DATE(YEAR(A19),MONTH(A19),1),'18. US 10Y Yield'!D:J,7,)</f>
        <v>6.1436666666666653E-2</v>
      </c>
      <c r="D19" s="298">
        <f t="shared" si="0"/>
        <v>-7.5331412854489813E-2</v>
      </c>
    </row>
    <row r="20" spans="1:4" x14ac:dyDescent="0.2">
      <c r="A20" s="295">
        <v>34516</v>
      </c>
      <c r="B20" s="271">
        <f>VLOOKUP(DATE(YEAR(A20),MONTH(A20),1),'15. S&amp;P500'!$A$3:$J$6350,8,)</f>
        <v>2.2605047642425102E-2</v>
      </c>
      <c r="C20" s="296">
        <f>VLOOKUP(DATE(YEAR(A20),MONTH(A20),1),'18. US 10Y Yield'!D:J,7,)</f>
        <v>6.2490833333333322E-2</v>
      </c>
      <c r="D20" s="298">
        <f t="shared" si="0"/>
        <v>-3.988578569090822E-2</v>
      </c>
    </row>
    <row r="21" spans="1:4" x14ac:dyDescent="0.2">
      <c r="A21" s="295">
        <v>34547</v>
      </c>
      <c r="B21" s="271">
        <f>VLOOKUP(DATE(YEAR(A21),MONTH(A21),1),'15. S&amp;P500'!$A$3:$J$6350,8,)</f>
        <v>2.5735611355595767E-2</v>
      </c>
      <c r="C21" s="296">
        <f>VLOOKUP(DATE(YEAR(A21),MONTH(A21),1),'18. US 10Y Yield'!D:J,7,)</f>
        <v>6.3920000000000005E-2</v>
      </c>
      <c r="D21" s="298">
        <f t="shared" si="0"/>
        <v>-3.8184388644404238E-2</v>
      </c>
    </row>
    <row r="22" spans="1:4" x14ac:dyDescent="0.2">
      <c r="A22" s="295">
        <v>34578</v>
      </c>
      <c r="B22" s="271">
        <f>VLOOKUP(DATE(YEAR(A22),MONTH(A22),1),'15. S&amp;P500'!$A$3:$J$6350,8,)</f>
        <v>8.2365502364194487E-3</v>
      </c>
      <c r="C22" s="296">
        <f>VLOOKUP(DATE(YEAR(A22),MONTH(A22),1),'18. US 10Y Yield'!D:J,7,)</f>
        <v>6.5752500000000019E-2</v>
      </c>
      <c r="D22" s="298">
        <f t="shared" si="0"/>
        <v>-5.7515949763580571E-2</v>
      </c>
    </row>
    <row r="23" spans="1:4" x14ac:dyDescent="0.2">
      <c r="A23" s="295">
        <v>34608</v>
      </c>
      <c r="B23" s="271">
        <f>VLOOKUP(DATE(YEAR(A23),MONTH(A23),1),'15. S&amp;P500'!$A$3:$J$6350,8,)</f>
        <v>9.6616292242910351E-3</v>
      </c>
      <c r="C23" s="296">
        <f>VLOOKUP(DATE(YEAR(A23),MONTH(A23),1),'18. US 10Y Yield'!D:J,7,)</f>
        <v>6.7756666666666673E-2</v>
      </c>
      <c r="D23" s="298">
        <f t="shared" si="0"/>
        <v>-5.8095037442375638E-2</v>
      </c>
    </row>
    <row r="24" spans="1:4" x14ac:dyDescent="0.2">
      <c r="A24" s="295">
        <v>34639</v>
      </c>
      <c r="B24" s="271">
        <f>VLOOKUP(DATE(YEAR(A24),MONTH(A24),1),'15. S&amp;P500'!$A$3:$J$6350,8,)</f>
        <v>-1.7540440459949402E-2</v>
      </c>
      <c r="C24" s="296">
        <f>VLOOKUP(DATE(YEAR(A24),MONTH(A24),1),'18. US 10Y Yield'!D:J,7,)</f>
        <v>6.9500833333333345E-2</v>
      </c>
      <c r="D24" s="298">
        <f t="shared" si="0"/>
        <v>-8.7041273793282747E-2</v>
      </c>
    </row>
    <row r="25" spans="1:4" x14ac:dyDescent="0.2">
      <c r="A25" s="295">
        <v>34669</v>
      </c>
      <c r="B25" s="271">
        <f>VLOOKUP(DATE(YEAR(A25),MONTH(A25),1),'15. S&amp;P500'!$A$3:$J$6350,8,)</f>
        <v>-1.5392860971165212E-2</v>
      </c>
      <c r="C25" s="296">
        <f>VLOOKUP(DATE(YEAR(A25),MONTH(A25),1),'18. US 10Y Yield'!D:J,7,)</f>
        <v>7.1204166666666679E-2</v>
      </c>
      <c r="D25" s="298">
        <f t="shared" si="0"/>
        <v>-8.6597027637831892E-2</v>
      </c>
    </row>
    <row r="26" spans="1:4" x14ac:dyDescent="0.2">
      <c r="A26" s="295">
        <v>34700</v>
      </c>
      <c r="B26" s="271">
        <f>VLOOKUP(DATE(YEAR(A26),MONTH(A26),1),'15. S&amp;P500'!$A$3:$J$6350,8,)</f>
        <v>-2.3234567388550897E-2</v>
      </c>
      <c r="C26" s="296">
        <f>VLOOKUP(DATE(YEAR(A26),MONTH(A26),1),'18. US 10Y Yield'!D:J,7,)</f>
        <v>7.2833333333333347E-2</v>
      </c>
      <c r="D26" s="298">
        <f t="shared" si="0"/>
        <v>-9.6067900721884245E-2</v>
      </c>
    </row>
    <row r="27" spans="1:4" x14ac:dyDescent="0.2">
      <c r="A27" s="295">
        <v>34731</v>
      </c>
      <c r="B27" s="271">
        <f>VLOOKUP(DATE(YEAR(A27),MONTH(A27),1),'15. S&amp;P500'!$A$3:$J$6350,8,)</f>
        <v>4.3348888984030554E-2</v>
      </c>
      <c r="C27" s="296">
        <f>VLOOKUP(DATE(YEAR(A27),MONTH(A27),1),'18. US 10Y Yield'!D:J,7,)</f>
        <v>7.3716666666666666E-2</v>
      </c>
      <c r="D27" s="298">
        <f t="shared" si="0"/>
        <v>-3.0367777682636113E-2</v>
      </c>
    </row>
    <row r="28" spans="1:4" x14ac:dyDescent="0.2">
      <c r="A28" s="295">
        <v>34759</v>
      </c>
      <c r="B28" s="271">
        <f>VLOOKUP(DATE(YEAR(A28),MONTH(A28),1),'15. S&amp;P500'!$A$3:$J$6350,8,)</f>
        <v>0.12324741458599719</v>
      </c>
      <c r="C28" s="296">
        <f>VLOOKUP(DATE(YEAR(A28),MONTH(A28),1),'18. US 10Y Yield'!D:J,7,)</f>
        <v>7.4062500000000003E-2</v>
      </c>
      <c r="D28" s="298">
        <f t="shared" si="0"/>
        <v>4.9184914585997191E-2</v>
      </c>
    </row>
    <row r="29" spans="1:4" x14ac:dyDescent="0.2">
      <c r="A29" s="295">
        <v>34790</v>
      </c>
      <c r="B29" s="271">
        <f>VLOOKUP(DATE(YEAR(A29),MONTH(A29),1),'15. S&amp;P500'!$A$3:$J$6350,8,)</f>
        <v>0.14149165021844712</v>
      </c>
      <c r="C29" s="296">
        <f>VLOOKUP(DATE(YEAR(A29),MONTH(A29),1),'18. US 10Y Yield'!D:J,7,)</f>
        <v>7.4071666666666675E-2</v>
      </c>
      <c r="D29" s="298">
        <f t="shared" si="0"/>
        <v>6.7419983551780444E-2</v>
      </c>
    </row>
    <row r="30" spans="1:4" x14ac:dyDescent="0.2">
      <c r="A30" s="295">
        <v>34820</v>
      </c>
      <c r="B30" s="271">
        <f>VLOOKUP(DATE(YEAR(A30),MONTH(A30),1),'15. S&amp;P500'!$A$3:$J$6350,8,)</f>
        <v>0.16845564074479724</v>
      </c>
      <c r="C30" s="296">
        <f>VLOOKUP(DATE(YEAR(A30),MONTH(A30),1),'18. US 10Y Yield'!D:J,7,)</f>
        <v>7.3349999999999999E-2</v>
      </c>
      <c r="D30" s="298">
        <f t="shared" si="0"/>
        <v>9.5105640744797243E-2</v>
      </c>
    </row>
    <row r="31" spans="1:4" x14ac:dyDescent="0.2">
      <c r="A31" s="295">
        <v>34851</v>
      </c>
      <c r="B31" s="271">
        <f>VLOOKUP(DATE(YEAR(A31),MONTH(A31),1),'15. S&amp;P500'!$A$3:$J$6350,8,)</f>
        <v>0.22616877124271273</v>
      </c>
      <c r="C31" s="296">
        <f>VLOOKUP(DATE(YEAR(A31),MONTH(A31),1),'18. US 10Y Yield'!D:J,7,)</f>
        <v>7.241166666666668E-2</v>
      </c>
      <c r="D31" s="298">
        <f t="shared" si="0"/>
        <v>0.15375710457604605</v>
      </c>
    </row>
    <row r="32" spans="1:4" x14ac:dyDescent="0.2">
      <c r="A32" s="295">
        <v>34881</v>
      </c>
      <c r="B32" s="271">
        <f>VLOOKUP(DATE(YEAR(A32),MONTH(A32),1),'15. S&amp;P500'!$A$3:$J$6350,8,)</f>
        <v>0.22650896870772042</v>
      </c>
      <c r="C32" s="296">
        <f>VLOOKUP(DATE(YEAR(A32),MONTH(A32),1),'18. US 10Y Yield'!D:J,7,)</f>
        <v>7.1856666666666666E-2</v>
      </c>
      <c r="D32" s="298">
        <f t="shared" si="0"/>
        <v>0.15465230204105374</v>
      </c>
    </row>
    <row r="33" spans="1:4" x14ac:dyDescent="0.2">
      <c r="A33" s="295">
        <v>34912</v>
      </c>
      <c r="B33" s="271">
        <f>VLOOKUP(DATE(YEAR(A33),MONTH(A33),1),'15. S&amp;P500'!$A$3:$J$6350,8,)</f>
        <v>0.18168626048917957</v>
      </c>
      <c r="C33" s="296">
        <f>VLOOKUP(DATE(YEAR(A33),MONTH(A33),1),'18. US 10Y Yield'!D:J,7,)</f>
        <v>7.1113333333333334E-2</v>
      </c>
      <c r="D33" s="298">
        <f t="shared" si="0"/>
        <v>0.11057292715584624</v>
      </c>
    </row>
    <row r="34" spans="1:4" x14ac:dyDescent="0.2">
      <c r="A34" s="295">
        <v>34943</v>
      </c>
      <c r="B34" s="271">
        <f>VLOOKUP(DATE(YEAR(A34),MONTH(A34),1),'15. S&amp;P500'!$A$3:$J$6350,8,)</f>
        <v>0.26301571178491923</v>
      </c>
      <c r="C34" s="296">
        <f>VLOOKUP(DATE(YEAR(A34),MONTH(A34),1),'18. US 10Y Yield'!D:J,7,)</f>
        <v>6.991166666666665E-2</v>
      </c>
      <c r="D34" s="298">
        <f t="shared" si="0"/>
        <v>0.19310404511825258</v>
      </c>
    </row>
    <row r="35" spans="1:4" x14ac:dyDescent="0.2">
      <c r="A35" s="295">
        <v>34973</v>
      </c>
      <c r="B35" s="271">
        <f>VLOOKUP(DATE(YEAR(A35),MONTH(A35),1),'15. S&amp;P500'!$A$3:$J$6350,8,)</f>
        <v>0.23107864930665811</v>
      </c>
      <c r="C35" s="296">
        <f>VLOOKUP(DATE(YEAR(A35),MONTH(A35),1),'18. US 10Y Yield'!D:J,7,)</f>
        <v>6.8419999999999995E-2</v>
      </c>
      <c r="D35" s="298">
        <f t="shared" si="0"/>
        <v>0.16265864930665813</v>
      </c>
    </row>
    <row r="36" spans="1:4" x14ac:dyDescent="0.2">
      <c r="A36" s="295">
        <v>35004</v>
      </c>
      <c r="B36" s="271">
        <f>VLOOKUP(DATE(YEAR(A36),MONTH(A36),1),'15. S&amp;P500'!$A$3:$J$6350,8,)</f>
        <v>0.33432520002644983</v>
      </c>
      <c r="C36" s="296">
        <f>VLOOKUP(DATE(YEAR(A36),MONTH(A36),1),'18. US 10Y Yield'!D:J,7,)</f>
        <v>6.6634166666666675E-2</v>
      </c>
      <c r="D36" s="298">
        <f t="shared" si="0"/>
        <v>0.26769103335978317</v>
      </c>
    </row>
    <row r="37" spans="1:4" x14ac:dyDescent="0.2">
      <c r="A37" s="295">
        <v>35034</v>
      </c>
      <c r="B37" s="271">
        <f>VLOOKUP(DATE(YEAR(A37),MONTH(A37),1),'15. S&amp;P500'!$A$3:$J$6350,8,)</f>
        <v>0.34110653863740281</v>
      </c>
      <c r="C37" s="296">
        <f>VLOOKUP(DATE(YEAR(A37),MONTH(A37),1),'18. US 10Y Yield'!D:J,7,)</f>
        <v>6.4757500000000009E-2</v>
      </c>
      <c r="D37" s="298">
        <f t="shared" si="0"/>
        <v>0.27634903863740279</v>
      </c>
    </row>
    <row r="38" spans="1:4" x14ac:dyDescent="0.2">
      <c r="A38" s="295">
        <v>35065</v>
      </c>
      <c r="B38" s="271">
        <f>VLOOKUP(DATE(YEAR(A38),MONTH(A38),1),'15. S&amp;P500'!$A$3:$J$6350,8,)</f>
        <v>0.35202584924110369</v>
      </c>
      <c r="C38" s="296">
        <f>VLOOKUP(DATE(YEAR(A38),MONTH(A38),1),'18. US 10Y Yield'!D:J,7,)</f>
        <v>6.308083333333335E-2</v>
      </c>
      <c r="D38" s="298">
        <f t="shared" si="0"/>
        <v>0.28894501590777033</v>
      </c>
    </row>
    <row r="39" spans="1:4" x14ac:dyDescent="0.2">
      <c r="A39" s="295">
        <v>35096</v>
      </c>
      <c r="B39" s="271">
        <f>VLOOKUP(DATE(YEAR(A39),MONTH(A39),1),'15. S&amp;P500'!$A$3:$J$6350,8,)</f>
        <v>0.31399905619729584</v>
      </c>
      <c r="C39" s="296">
        <f>VLOOKUP(DATE(YEAR(A39),MONTH(A39),1),'18. US 10Y Yield'!D:J,7,)</f>
        <v>6.2165833333333323E-2</v>
      </c>
      <c r="D39" s="298">
        <f t="shared" si="0"/>
        <v>0.25183322286396254</v>
      </c>
    </row>
    <row r="40" spans="1:4" x14ac:dyDescent="0.2">
      <c r="A40" s="295">
        <v>35125</v>
      </c>
      <c r="B40" s="271">
        <f>VLOOKUP(DATE(YEAR(A40),MONTH(A40),1),'15. S&amp;P500'!$A$3:$J$6350,8,)</f>
        <v>0.28916937948113675</v>
      </c>
      <c r="C40" s="296">
        <f>VLOOKUP(DATE(YEAR(A40),MONTH(A40),1),'18. US 10Y Yield'!D:J,7,)</f>
        <v>6.1453333333333332E-2</v>
      </c>
      <c r="D40" s="298">
        <f t="shared" si="0"/>
        <v>0.22771604614780341</v>
      </c>
    </row>
    <row r="41" spans="1:4" x14ac:dyDescent="0.2">
      <c r="A41" s="295">
        <v>35156</v>
      </c>
      <c r="B41" s="271">
        <f>VLOOKUP(DATE(YEAR(A41),MONTH(A41),1),'15. S&amp;P500'!$A$3:$J$6350,8,)</f>
        <v>0.27094868955334062</v>
      </c>
      <c r="C41" s="296">
        <f>VLOOKUP(DATE(YEAR(A41),MONTH(A41),1),'18. US 10Y Yield'!D:J,7,)</f>
        <v>6.1109166666666673E-2</v>
      </c>
      <c r="D41" s="298">
        <f t="shared" si="0"/>
        <v>0.20983952288667396</v>
      </c>
    </row>
    <row r="42" spans="1:4" x14ac:dyDescent="0.2">
      <c r="A42" s="295">
        <v>35186</v>
      </c>
      <c r="B42" s="271">
        <f>VLOOKUP(DATE(YEAR(A42),MONTH(A42),1),'15. S&amp;P500'!$A$3:$J$6350,8,)</f>
        <v>0.25444319460067488</v>
      </c>
      <c r="C42" s="296">
        <f>VLOOKUP(DATE(YEAR(A42),MONTH(A42),1),'18. US 10Y Yield'!D:J,7,)</f>
        <v>6.1574166666666666E-2</v>
      </c>
      <c r="D42" s="298">
        <f t="shared" si="0"/>
        <v>0.19286902793400823</v>
      </c>
    </row>
    <row r="43" spans="1:4" x14ac:dyDescent="0.2">
      <c r="A43" s="295">
        <v>35217</v>
      </c>
      <c r="B43" s="271">
        <f>VLOOKUP(DATE(YEAR(A43),MONTH(A43),1),'15. S&amp;P500'!$A$3:$J$6350,8,)</f>
        <v>0.2310784763653051</v>
      </c>
      <c r="C43" s="296">
        <f>VLOOKUP(DATE(YEAR(A43),MONTH(A43),1),'18. US 10Y Yield'!D:J,7,)</f>
        <v>6.1997500000000011E-2</v>
      </c>
      <c r="D43" s="298">
        <f t="shared" si="0"/>
        <v>0.16908097636530509</v>
      </c>
    </row>
    <row r="44" spans="1:4" x14ac:dyDescent="0.2">
      <c r="A44" s="295">
        <v>35247</v>
      </c>
      <c r="B44" s="271">
        <f>VLOOKUP(DATE(YEAR(A44),MONTH(A44),1),'15. S&amp;P500'!$A$3:$J$6350,8,)</f>
        <v>0.13857951108422606</v>
      </c>
      <c r="C44" s="296">
        <f>VLOOKUP(DATE(YEAR(A44),MONTH(A44),1),'18. US 10Y Yield'!D:J,7,)</f>
        <v>6.2298333333333344E-2</v>
      </c>
      <c r="D44" s="298">
        <f t="shared" si="0"/>
        <v>7.6281177750892715E-2</v>
      </c>
    </row>
    <row r="45" spans="1:4" x14ac:dyDescent="0.2">
      <c r="A45" s="295">
        <v>35278</v>
      </c>
      <c r="B45" s="271">
        <f>VLOOKUP(DATE(YEAR(A45),MONTH(A45),1),'15. S&amp;P500'!$A$3:$J$6350,8,)</f>
        <v>0.16037232149213354</v>
      </c>
      <c r="C45" s="296">
        <f>VLOOKUP(DATE(YEAR(A45),MONTH(A45),1),'18. US 10Y Yield'!D:J,7,)</f>
        <v>6.2850833333333356E-2</v>
      </c>
      <c r="D45" s="298">
        <f t="shared" si="0"/>
        <v>9.7521488158800185E-2</v>
      </c>
    </row>
    <row r="46" spans="1:4" x14ac:dyDescent="0.2">
      <c r="A46" s="295">
        <v>35309</v>
      </c>
      <c r="B46" s="271">
        <f>VLOOKUP(DATE(YEAR(A46),MONTH(A46),1),'15. S&amp;P500'!$A$3:$J$6350,8,)</f>
        <v>0.17610923837716674</v>
      </c>
      <c r="C46" s="296">
        <f>VLOOKUP(DATE(YEAR(A46),MONTH(A46),1),'18. US 10Y Yield'!D:J,7,)</f>
        <v>6.3302499999999998E-2</v>
      </c>
      <c r="D46" s="298">
        <f t="shared" si="0"/>
        <v>0.11280673837716675</v>
      </c>
    </row>
    <row r="47" spans="1:4" x14ac:dyDescent="0.2">
      <c r="A47" s="295">
        <v>35339</v>
      </c>
      <c r="B47" s="271">
        <f>VLOOKUP(DATE(YEAR(A47),MONTH(A47),1),'15. S&amp;P500'!$A$3:$J$6350,8,)</f>
        <v>0.21284608770421332</v>
      </c>
      <c r="C47" s="296">
        <f>VLOOKUP(DATE(YEAR(A47),MONTH(A47),1),'18. US 10Y Yield'!D:J,7,)</f>
        <v>6.3590833333333333E-2</v>
      </c>
      <c r="D47" s="298">
        <f t="shared" si="0"/>
        <v>0.14925525437088</v>
      </c>
    </row>
    <row r="48" spans="1:4" x14ac:dyDescent="0.2">
      <c r="A48" s="295">
        <v>35370</v>
      </c>
      <c r="B48" s="271">
        <f>VLOOKUP(DATE(YEAR(A48),MONTH(A48),1),'15. S&amp;P500'!$A$3:$J$6350,8,)</f>
        <v>0.25050795381337032</v>
      </c>
      <c r="C48" s="296">
        <f>VLOOKUP(DATE(YEAR(A48),MONTH(A48),1),'18. US 10Y Yield'!D:J,7,)</f>
        <v>6.383666666666668E-2</v>
      </c>
      <c r="D48" s="298">
        <f t="shared" si="0"/>
        <v>0.18667128714670364</v>
      </c>
    </row>
    <row r="49" spans="1:4" x14ac:dyDescent="0.2">
      <c r="A49" s="295">
        <v>35400</v>
      </c>
      <c r="B49" s="271">
        <f>VLOOKUP(DATE(YEAR(A49),MONTH(A49),1),'15. S&amp;P500'!$A$3:$J$6350,8,)</f>
        <v>0.20263666325718832</v>
      </c>
      <c r="C49" s="296">
        <f>VLOOKUP(DATE(YEAR(A49),MONTH(A49),1),'18. US 10Y Yield'!D:J,7,)</f>
        <v>6.4530000000000004E-2</v>
      </c>
      <c r="D49" s="298">
        <f t="shared" si="0"/>
        <v>0.13810666325718832</v>
      </c>
    </row>
    <row r="50" spans="1:4" x14ac:dyDescent="0.2">
      <c r="A50" s="295">
        <v>35431</v>
      </c>
      <c r="B50" s="271">
        <f>VLOOKUP(DATE(YEAR(A50),MONTH(A50),1),'15. S&amp;P500'!$A$3:$J$6350,8,)</f>
        <v>0.23606175906418025</v>
      </c>
      <c r="C50" s="296">
        <f>VLOOKUP(DATE(YEAR(A50),MONTH(A50),1),'18. US 10Y Yield'!D:J,7,)</f>
        <v>6.5298333333333333E-2</v>
      </c>
      <c r="D50" s="298">
        <f t="shared" si="0"/>
        <v>0.17076342573084691</v>
      </c>
    </row>
    <row r="51" spans="1:4" x14ac:dyDescent="0.2">
      <c r="A51" s="295">
        <v>35462</v>
      </c>
      <c r="B51" s="271">
        <f>VLOOKUP(DATE(YEAR(A51),MONTH(A51),1),'15. S&amp;P500'!$A$3:$J$6350,8,)</f>
        <v>0.23482660087753549</v>
      </c>
      <c r="C51" s="296">
        <f>VLOOKUP(DATE(YEAR(A51),MONTH(A51),1),'18. US 10Y Yield'!D:J,7,)</f>
        <v>6.5650833333333325E-2</v>
      </c>
      <c r="D51" s="298">
        <f t="shared" si="0"/>
        <v>0.16917576754420216</v>
      </c>
    </row>
    <row r="52" spans="1:4" x14ac:dyDescent="0.2">
      <c r="A52" s="295">
        <v>35490</v>
      </c>
      <c r="B52" s="271">
        <f>VLOOKUP(DATE(YEAR(A52),MONTH(A52),1),'15. S&amp;P500'!$A$3:$J$6350,8,)</f>
        <v>0.17292021688613479</v>
      </c>
      <c r="C52" s="296">
        <f>VLOOKUP(DATE(YEAR(A52),MONTH(A52),1),'18. US 10Y Yield'!D:J,7,)</f>
        <v>6.6128333333333331E-2</v>
      </c>
      <c r="D52" s="298">
        <f t="shared" si="0"/>
        <v>0.10679188355280146</v>
      </c>
    </row>
    <row r="53" spans="1:4" x14ac:dyDescent="0.2">
      <c r="A53" s="295">
        <v>35521</v>
      </c>
      <c r="B53" s="271">
        <f>VLOOKUP(DATE(YEAR(A53),MONTH(A53),1),'15. S&amp;P500'!$A$3:$J$6350,8,)</f>
        <v>0.22497210205298335</v>
      </c>
      <c r="C53" s="296">
        <f>VLOOKUP(DATE(YEAR(A53),MONTH(A53),1),'18. US 10Y Yield'!D:J,7,)</f>
        <v>6.6185833333333333E-2</v>
      </c>
      <c r="D53" s="298">
        <f t="shared" si="0"/>
        <v>0.15878626871965001</v>
      </c>
    </row>
    <row r="54" spans="1:4" x14ac:dyDescent="0.2">
      <c r="A54" s="295">
        <v>35551</v>
      </c>
      <c r="B54" s="271">
        <f>VLOOKUP(DATE(YEAR(A54),MONTH(A54),1),'15. S&amp;P500'!$A$3:$J$6350,8,)</f>
        <v>0.26775466284074612</v>
      </c>
      <c r="C54" s="296">
        <f>VLOOKUP(DATE(YEAR(A54),MONTH(A54),1),'18. US 10Y Yield'!D:J,7,)</f>
        <v>6.6034999999999996E-2</v>
      </c>
      <c r="D54" s="298">
        <f t="shared" ref="D54:D117" si="1">B54-C54</f>
        <v>0.20171966284074611</v>
      </c>
    </row>
    <row r="55" spans="1:4" x14ac:dyDescent="0.2">
      <c r="A55" s="295">
        <v>35582</v>
      </c>
      <c r="B55" s="271">
        <f>VLOOKUP(DATE(YEAR(A55),MONTH(A55),1),'15. S&amp;P500'!$A$3:$J$6350,8,)</f>
        <v>0.31986341201556745</v>
      </c>
      <c r="C55" s="296">
        <f>VLOOKUP(DATE(YEAR(A55),MONTH(A55),1),'18. US 10Y Yield'!D:J,7,)</f>
        <v>6.5860833333333313E-2</v>
      </c>
      <c r="D55" s="298">
        <f t="shared" si="1"/>
        <v>0.25400257868223414</v>
      </c>
    </row>
    <row r="56" spans="1:4" x14ac:dyDescent="0.2">
      <c r="A56" s="295">
        <v>35612</v>
      </c>
      <c r="B56" s="271">
        <f>VLOOKUP(DATE(YEAR(A56),MONTH(A56),1),'15. S&amp;P500'!$A$3:$J$6350,8,)</f>
        <v>0.49122587702164222</v>
      </c>
      <c r="C56" s="296">
        <f>VLOOKUP(DATE(YEAR(A56),MONTH(A56),1),'18. US 10Y Yield'!D:J,7,)</f>
        <v>6.5205833333333324E-2</v>
      </c>
      <c r="D56" s="298">
        <f t="shared" si="1"/>
        <v>0.42602004368830892</v>
      </c>
    </row>
    <row r="57" spans="1:4" x14ac:dyDescent="0.2">
      <c r="A57" s="295">
        <v>35643</v>
      </c>
      <c r="B57" s="271">
        <f>VLOOKUP(DATE(YEAR(A57),MONTH(A57),1),'15. S&amp;P500'!$A$3:$J$6350,8,)</f>
        <v>0.37957637387076493</v>
      </c>
      <c r="C57" s="296">
        <f>VLOOKUP(DATE(YEAR(A57),MONTH(A57),1),'18. US 10Y Yield'!D:J,7,)</f>
        <v>6.4700833333333319E-2</v>
      </c>
      <c r="D57" s="298">
        <f t="shared" si="1"/>
        <v>0.31487554053743161</v>
      </c>
    </row>
    <row r="58" spans="1:4" x14ac:dyDescent="0.2">
      <c r="A58" s="295">
        <v>35674</v>
      </c>
      <c r="B58" s="271">
        <f>VLOOKUP(DATE(YEAR(A58),MONTH(A58),1),'15. S&amp;P500'!$A$3:$J$6350,8,)</f>
        <v>0.37820261009995182</v>
      </c>
      <c r="C58" s="296">
        <f>VLOOKUP(DATE(YEAR(A58),MONTH(A58),1),'18. US 10Y Yield'!D:J,7,)</f>
        <v>6.4207499999999987E-2</v>
      </c>
      <c r="D58" s="298">
        <f t="shared" si="1"/>
        <v>0.31399511009995185</v>
      </c>
    </row>
    <row r="59" spans="1:4" x14ac:dyDescent="0.2">
      <c r="A59" s="295">
        <v>35704</v>
      </c>
      <c r="B59" s="271">
        <f>VLOOKUP(DATE(YEAR(A59),MONTH(A59),1),'15. S&amp;P500'!$A$3:$J$6350,8,)</f>
        <v>0.29683667248004308</v>
      </c>
      <c r="C59" s="296">
        <f>VLOOKUP(DATE(YEAR(A59),MONTH(A59),1),'18. US 10Y Yield'!D:J,7,)</f>
        <v>6.3765833333333327E-2</v>
      </c>
      <c r="D59" s="298">
        <f t="shared" si="1"/>
        <v>0.23307083914670976</v>
      </c>
    </row>
    <row r="60" spans="1:4" x14ac:dyDescent="0.2">
      <c r="A60" s="295">
        <v>35735</v>
      </c>
      <c r="B60" s="271">
        <f>VLOOKUP(DATE(YEAR(A60),MONTH(A60),1),'15. S&amp;P500'!$A$3:$J$6350,8,)</f>
        <v>0.262053842699004</v>
      </c>
      <c r="C60" s="296">
        <f>VLOOKUP(DATE(YEAR(A60),MONTH(A60),1),'18. US 10Y Yield'!D:J,7,)</f>
        <v>6.3608333333333322E-2</v>
      </c>
      <c r="D60" s="298">
        <f t="shared" si="1"/>
        <v>0.19844550936567068</v>
      </c>
    </row>
    <row r="61" spans="1:4" x14ac:dyDescent="0.2">
      <c r="A61" s="295">
        <v>35765</v>
      </c>
      <c r="B61" s="271">
        <f>VLOOKUP(DATE(YEAR(A61),MONTH(A61),1),'15. S&amp;P500'!$A$3:$J$6350,8,)</f>
        <v>0.31008181008180991</v>
      </c>
      <c r="C61" s="296">
        <f>VLOOKUP(DATE(YEAR(A61),MONTH(A61),1),'18. US 10Y Yield'!D:J,7,)</f>
        <v>6.3051666666666673E-2</v>
      </c>
      <c r="D61" s="298">
        <f t="shared" si="1"/>
        <v>0.24703014341514323</v>
      </c>
    </row>
    <row r="62" spans="1:4" x14ac:dyDescent="0.2">
      <c r="A62" s="295">
        <v>35796</v>
      </c>
      <c r="B62" s="271">
        <f>VLOOKUP(DATE(YEAR(A62),MONTH(A62),1),'15. S&amp;P500'!$A$3:$J$6350,8,)</f>
        <v>0.24692174620942309</v>
      </c>
      <c r="C62" s="296">
        <f>VLOOKUP(DATE(YEAR(A62),MONTH(A62),1),'18. US 10Y Yield'!D:J,7,)</f>
        <v>6.2225833333333327E-2</v>
      </c>
      <c r="D62" s="298">
        <f t="shared" si="1"/>
        <v>0.18469591287608977</v>
      </c>
    </row>
    <row r="63" spans="1:4" x14ac:dyDescent="0.2">
      <c r="A63" s="295">
        <v>35827</v>
      </c>
      <c r="B63" s="271">
        <f>VLOOKUP(DATE(YEAR(A63),MONTH(A63),1),'15. S&amp;P500'!$A$3:$J$6350,8,)</f>
        <v>0.32690119116866012</v>
      </c>
      <c r="C63" s="296">
        <f>VLOOKUP(DATE(YEAR(A63),MONTH(A63),1),'18. US 10Y Yield'!D:J,7,)</f>
        <v>6.1460000000000001E-2</v>
      </c>
      <c r="D63" s="298">
        <f t="shared" si="1"/>
        <v>0.26544119116866011</v>
      </c>
    </row>
    <row r="64" spans="1:4" x14ac:dyDescent="0.2">
      <c r="A64" s="295">
        <v>35855</v>
      </c>
      <c r="B64" s="271">
        <f>VLOOKUP(DATE(YEAR(A64),MONTH(A64),1),'15. S&amp;P500'!$A$3:$J$6350,8,)</f>
        <v>0.45518543956043955</v>
      </c>
      <c r="C64" s="296">
        <f>VLOOKUP(DATE(YEAR(A64),MONTH(A64),1),'18. US 10Y Yield'!D:J,7,)</f>
        <v>6.0422500000000004E-2</v>
      </c>
      <c r="D64" s="298">
        <f t="shared" si="1"/>
        <v>0.39476293956043956</v>
      </c>
    </row>
    <row r="65" spans="1:4" x14ac:dyDescent="0.2">
      <c r="A65" s="295">
        <v>35886</v>
      </c>
      <c r="B65" s="271">
        <f>VLOOKUP(DATE(YEAR(A65),MONTH(A65),1),'15. S&amp;P500'!$A$3:$J$6350,8,)</f>
        <v>0.38736366585968507</v>
      </c>
      <c r="C65" s="296">
        <f>VLOOKUP(DATE(YEAR(A65),MONTH(A65),1),'18. US 10Y Yield'!D:J,7,)</f>
        <v>5.9559999999999995E-2</v>
      </c>
      <c r="D65" s="298">
        <f t="shared" si="1"/>
        <v>0.32780366585968507</v>
      </c>
    </row>
    <row r="66" spans="1:4" x14ac:dyDescent="0.2">
      <c r="A66" s="295">
        <v>35916</v>
      </c>
      <c r="B66" s="271">
        <f>VLOOKUP(DATE(YEAR(A66),MONTH(A66),1),'15. S&amp;P500'!$A$3:$J$6350,8,)</f>
        <v>0.28591974348092597</v>
      </c>
      <c r="C66" s="296">
        <f>VLOOKUP(DATE(YEAR(A66),MONTH(A66),1),'18. US 10Y Yield'!D:J,7,)</f>
        <v>5.862916666666667E-2</v>
      </c>
      <c r="D66" s="298">
        <f t="shared" si="1"/>
        <v>0.22729057681425929</v>
      </c>
    </row>
    <row r="67" spans="1:4" x14ac:dyDescent="0.2">
      <c r="A67" s="295">
        <v>35947</v>
      </c>
      <c r="B67" s="271">
        <f>VLOOKUP(DATE(YEAR(A67),MONTH(A67),1),'15. S&amp;P500'!$A$3:$J$6350,8,)</f>
        <v>0.28097250152518249</v>
      </c>
      <c r="C67" s="296">
        <f>VLOOKUP(DATE(YEAR(A67),MONTH(A67),1),'18. US 10Y Yield'!D:J,7,)</f>
        <v>5.7739166666666654E-2</v>
      </c>
      <c r="D67" s="298">
        <f t="shared" si="1"/>
        <v>0.22323333485851585</v>
      </c>
    </row>
    <row r="68" spans="1:4" x14ac:dyDescent="0.2">
      <c r="A68" s="295">
        <v>35977</v>
      </c>
      <c r="B68" s="271">
        <f>VLOOKUP(DATE(YEAR(A68),MONTH(A68),1),'15. S&amp;P500'!$A$3:$J$6350,8,)</f>
        <v>0.17432490490511476</v>
      </c>
      <c r="C68" s="296">
        <f>VLOOKUP(DATE(YEAR(A68),MONTH(A68),1),'18. US 10Y Yield'!D:J,7,)</f>
        <v>5.7314166666666652E-2</v>
      </c>
      <c r="D68" s="298">
        <f t="shared" si="1"/>
        <v>0.11701073823844811</v>
      </c>
    </row>
    <row r="69" spans="1:4" x14ac:dyDescent="0.2">
      <c r="A69" s="295">
        <v>36008</v>
      </c>
      <c r="B69" s="271">
        <f>VLOOKUP(DATE(YEAR(A69),MONTH(A69),1),'15. S&amp;P500'!$A$3:$J$6350,8,)</f>
        <v>6.4271181918240661E-2</v>
      </c>
      <c r="C69" s="296">
        <f>VLOOKUP(DATE(YEAR(A69),MONTH(A69),1),'18. US 10Y Yield'!D:J,7,)</f>
        <v>5.6232499999999998E-2</v>
      </c>
      <c r="D69" s="298">
        <f t="shared" si="1"/>
        <v>8.038681918240663E-3</v>
      </c>
    </row>
    <row r="70" spans="1:4" x14ac:dyDescent="0.2">
      <c r="A70" s="295">
        <v>36039</v>
      </c>
      <c r="B70" s="271">
        <f>VLOOKUP(DATE(YEAR(A70),MONTH(A70),1),'15. S&amp;P500'!$A$3:$J$6350,8,)</f>
        <v>7.36107592264168E-2</v>
      </c>
      <c r="C70" s="296">
        <f>VLOOKUP(DATE(YEAR(A70),MONTH(A70),1),'18. US 10Y Yield'!D:J,7,)</f>
        <v>5.481833333333333E-2</v>
      </c>
      <c r="D70" s="298">
        <f t="shared" si="1"/>
        <v>1.879242589308347E-2</v>
      </c>
    </row>
    <row r="71" spans="1:4" x14ac:dyDescent="0.2">
      <c r="A71" s="295">
        <v>36069</v>
      </c>
      <c r="B71" s="271">
        <f>VLOOKUP(DATE(YEAR(A71),MONTH(A71),1),'15. S&amp;P500'!$A$3:$J$6350,8,)</f>
        <v>0.20123111237453806</v>
      </c>
      <c r="C71" s="296">
        <f>VLOOKUP(DATE(YEAR(A71),MONTH(A71),1),'18. US 10Y Yield'!D:J,7,)</f>
        <v>5.3804999999999985E-2</v>
      </c>
      <c r="D71" s="298">
        <f t="shared" si="1"/>
        <v>0.14742611237453807</v>
      </c>
    </row>
    <row r="72" spans="1:4" x14ac:dyDescent="0.2">
      <c r="A72" s="295">
        <v>36100</v>
      </c>
      <c r="B72" s="271">
        <f>VLOOKUP(DATE(YEAR(A72),MONTH(A72),1),'15. S&amp;P500'!$A$3:$J$6350,8,)</f>
        <v>0.21795059660875049</v>
      </c>
      <c r="C72" s="296">
        <f>VLOOKUP(DATE(YEAR(A72),MONTH(A72),1),'18. US 10Y Yield'!D:J,7,)</f>
        <v>5.2867499999999998E-2</v>
      </c>
      <c r="D72" s="298">
        <f t="shared" si="1"/>
        <v>0.16508309660875048</v>
      </c>
    </row>
    <row r="73" spans="1:4" x14ac:dyDescent="0.2">
      <c r="A73" s="295">
        <v>36130</v>
      </c>
      <c r="B73" s="271">
        <f>VLOOKUP(DATE(YEAR(A73),MONTH(A73),1),'15. S&amp;P500'!$A$3:$J$6350,8,)</f>
        <v>0.26668590212586185</v>
      </c>
      <c r="C73" s="296">
        <f>VLOOKUP(DATE(YEAR(A73),MONTH(A73),1),'18. US 10Y Yield'!D:J,7,)</f>
        <v>5.1949999999999996E-2</v>
      </c>
      <c r="D73" s="298">
        <f t="shared" si="1"/>
        <v>0.21473590212586185</v>
      </c>
    </row>
    <row r="74" spans="1:4" x14ac:dyDescent="0.2">
      <c r="A74" s="295">
        <v>36161</v>
      </c>
      <c r="B74" s="271">
        <f>VLOOKUP(DATE(YEAR(A74),MONTH(A74),1),'15. S&amp;P500'!$A$3:$J$6350,8,)</f>
        <v>0.305382135716326</v>
      </c>
      <c r="C74" s="296">
        <f>VLOOKUP(DATE(YEAR(A74),MONTH(A74),1),'18. US 10Y Yield'!D:J,7,)</f>
        <v>5.1234166666666657E-2</v>
      </c>
      <c r="D74" s="298">
        <f t="shared" si="1"/>
        <v>0.25414796904965936</v>
      </c>
    </row>
    <row r="75" spans="1:4" x14ac:dyDescent="0.2">
      <c r="A75" s="295">
        <v>36192</v>
      </c>
      <c r="B75" s="271">
        <f>VLOOKUP(DATE(YEAR(A75),MONTH(A75),1),'15. S&amp;P500'!$A$3:$J$6350,8,)</f>
        <v>0.18010368422055767</v>
      </c>
      <c r="C75" s="296">
        <f>VLOOKUP(DATE(YEAR(A75),MONTH(A75),1),'18. US 10Y Yield'!D:J,7,)</f>
        <v>5.0947500000000007E-2</v>
      </c>
      <c r="D75" s="298">
        <f t="shared" si="1"/>
        <v>0.12915618422055766</v>
      </c>
    </row>
    <row r="76" spans="1:4" x14ac:dyDescent="0.2">
      <c r="A76" s="295">
        <v>36220</v>
      </c>
      <c r="B76" s="271">
        <f>VLOOKUP(DATE(YEAR(A76),MONTH(A76),1),'15. S&amp;P500'!$A$3:$J$6350,8,)</f>
        <v>0.16756977535738593</v>
      </c>
      <c r="C76" s="296">
        <f>VLOOKUP(DATE(YEAR(A76),MONTH(A76),1),'18. US 10Y Yield'!D:J,7,)</f>
        <v>5.0590833333333328E-2</v>
      </c>
      <c r="D76" s="298">
        <f t="shared" si="1"/>
        <v>0.1169789420240526</v>
      </c>
    </row>
    <row r="77" spans="1:4" x14ac:dyDescent="0.2">
      <c r="A77" s="295">
        <v>36251</v>
      </c>
      <c r="B77" s="271">
        <f>VLOOKUP(DATE(YEAR(A77),MONTH(A77),1),'15. S&amp;P500'!$A$3:$J$6350,8,)</f>
        <v>0.20097144142118295</v>
      </c>
      <c r="C77" s="296">
        <f>VLOOKUP(DATE(YEAR(A77),MONTH(A77),1),'18. US 10Y Yield'!D:J,7,)</f>
        <v>5.0326666666666665E-2</v>
      </c>
      <c r="D77" s="298">
        <f t="shared" si="1"/>
        <v>0.15064477475451629</v>
      </c>
    </row>
    <row r="78" spans="1:4" x14ac:dyDescent="0.2">
      <c r="A78" s="295">
        <v>36281</v>
      </c>
      <c r="B78" s="271">
        <f>VLOOKUP(DATE(YEAR(A78),MONTH(A78),1),'15. S&amp;P500'!$A$3:$J$6350,8,)</f>
        <v>0.19345079848187607</v>
      </c>
      <c r="C78" s="296">
        <f>VLOOKUP(DATE(YEAR(A78),MONTH(A78),1),'18. US 10Y Yield'!D:J,7,)</f>
        <v>5.0380833333333326E-2</v>
      </c>
      <c r="D78" s="298">
        <f t="shared" si="1"/>
        <v>0.14306996514854275</v>
      </c>
    </row>
    <row r="79" spans="1:4" x14ac:dyDescent="0.2">
      <c r="A79" s="295">
        <v>36312</v>
      </c>
      <c r="B79" s="271">
        <f>VLOOKUP(DATE(YEAR(A79),MONTH(A79),1),'15. S&amp;P500'!$A$3:$J$6350,8,)</f>
        <v>0.21067346362802519</v>
      </c>
      <c r="C79" s="296">
        <f>VLOOKUP(DATE(YEAR(A79),MONTH(A79),1),'18. US 10Y Yield'!D:J,7,)</f>
        <v>5.0694166666666665E-2</v>
      </c>
      <c r="D79" s="298">
        <f t="shared" si="1"/>
        <v>0.15997929696135854</v>
      </c>
    </row>
    <row r="80" spans="1:4" x14ac:dyDescent="0.2">
      <c r="A80" s="295">
        <v>36342</v>
      </c>
      <c r="B80" s="271">
        <f>VLOOKUP(DATE(YEAR(A80),MONTH(A80),1),'15. S&amp;P500'!$A$3:$J$6350,8,)</f>
        <v>0.18564787136266703</v>
      </c>
      <c r="C80" s="296">
        <f>VLOOKUP(DATE(YEAR(A80),MONTH(A80),1),'18. US 10Y Yield'!D:J,7,)</f>
        <v>5.1038333333333331E-2</v>
      </c>
      <c r="D80" s="298">
        <f t="shared" si="1"/>
        <v>0.1346095380293337</v>
      </c>
    </row>
    <row r="81" spans="1:4" x14ac:dyDescent="0.2">
      <c r="A81" s="295">
        <v>36373</v>
      </c>
      <c r="B81" s="271">
        <f>VLOOKUP(DATE(YEAR(A81),MONTH(A81),1),'15. S&amp;P500'!$A$3:$J$6350,8,)</f>
        <v>0.37933519973257579</v>
      </c>
      <c r="C81" s="296">
        <f>VLOOKUP(DATE(YEAR(A81),MONTH(A81),1),'18. US 10Y Yield'!D:J,7,)</f>
        <v>5.1827499999999999E-2</v>
      </c>
      <c r="D81" s="298">
        <f t="shared" si="1"/>
        <v>0.32750769973257576</v>
      </c>
    </row>
    <row r="82" spans="1:4" x14ac:dyDescent="0.2">
      <c r="A82" s="295">
        <v>36404</v>
      </c>
      <c r="B82" s="271">
        <f>VLOOKUP(DATE(YEAR(A82),MONTH(A82),1),'15. S&amp;P500'!$A$3:$J$6350,8,)</f>
        <v>0.26125603484724835</v>
      </c>
      <c r="C82" s="296">
        <f>VLOOKUP(DATE(YEAR(A82),MONTH(A82),1),'18. US 10Y Yield'!D:J,7,)</f>
        <v>5.3056666666666662E-2</v>
      </c>
      <c r="D82" s="298">
        <f t="shared" si="1"/>
        <v>0.20819936818058168</v>
      </c>
    </row>
    <row r="83" spans="1:4" x14ac:dyDescent="0.2">
      <c r="A83" s="295">
        <v>36434</v>
      </c>
      <c r="B83" s="271">
        <f>VLOOKUP(DATE(YEAR(A83),MONTH(A83),1),'15. S&amp;P500'!$A$3:$J$6350,8,)</f>
        <v>0.24052718286655672</v>
      </c>
      <c r="C83" s="296">
        <f>VLOOKUP(DATE(YEAR(A83),MONTH(A83),1),'18. US 10Y Yield'!D:J,7,)</f>
        <v>5.4223333333333346E-2</v>
      </c>
      <c r="D83" s="298">
        <f t="shared" si="1"/>
        <v>0.18630384953322338</v>
      </c>
    </row>
    <row r="84" spans="1:4" x14ac:dyDescent="0.2">
      <c r="A84" s="295">
        <v>36465</v>
      </c>
      <c r="B84" s="271">
        <f>VLOOKUP(DATE(YEAR(A84),MONTH(A84),1),'15. S&amp;P500'!$A$3:$J$6350,8,)</f>
        <v>0.19360105875578992</v>
      </c>
      <c r="C84" s="296">
        <f>VLOOKUP(DATE(YEAR(A84),MONTH(A84),1),'18. US 10Y Yield'!D:J,7,)</f>
        <v>5.5420833333333336E-2</v>
      </c>
      <c r="D84" s="298">
        <f t="shared" si="1"/>
        <v>0.13818022542245659</v>
      </c>
    </row>
    <row r="85" spans="1:4" x14ac:dyDescent="0.2">
      <c r="A85" s="295">
        <v>36495</v>
      </c>
      <c r="B85" s="271">
        <f>VLOOKUP(DATE(YEAR(A85),MONTH(A85),1),'15. S&amp;P500'!$A$3:$J$6350,8,)</f>
        <v>0.19526044759727634</v>
      </c>
      <c r="C85" s="296">
        <f>VLOOKUP(DATE(YEAR(A85),MONTH(A85),1),'18. US 10Y Yield'!D:J,7,)</f>
        <v>5.6918333333333342E-2</v>
      </c>
      <c r="D85" s="298">
        <f t="shared" si="1"/>
        <v>0.13834211426394299</v>
      </c>
    </row>
    <row r="86" spans="1:4" x14ac:dyDescent="0.2">
      <c r="A86" s="295">
        <v>36526</v>
      </c>
      <c r="B86" s="271">
        <f>VLOOKUP(DATE(YEAR(A86),MONTH(A86),1),'15. S&amp;P500'!$A$3:$J$6350,8,)</f>
        <v>8.9728361101559795E-2</v>
      </c>
      <c r="C86" s="296">
        <f>VLOOKUP(DATE(YEAR(A86),MONTH(A86),1),'18. US 10Y Yield'!D:J,7,)</f>
        <v>5.8596666666666665E-2</v>
      </c>
      <c r="D86" s="298">
        <f t="shared" si="1"/>
        <v>3.113169443489313E-2</v>
      </c>
    </row>
    <row r="87" spans="1:4" x14ac:dyDescent="0.2">
      <c r="A87" s="295">
        <v>36557</v>
      </c>
      <c r="B87" s="271">
        <f>VLOOKUP(DATE(YEAR(A87),MONTH(A87),1),'15. S&amp;P500'!$A$3:$J$6350,8,)</f>
        <v>0.10343769431411665</v>
      </c>
      <c r="C87" s="296">
        <f>VLOOKUP(DATE(YEAR(A87),MONTH(A87),1),'18. US 10Y Yield'!D:J,7,)</f>
        <v>5.9544166666666669E-2</v>
      </c>
      <c r="D87" s="298">
        <f t="shared" si="1"/>
        <v>4.3893527647449977E-2</v>
      </c>
    </row>
    <row r="88" spans="1:4" x14ac:dyDescent="0.2">
      <c r="A88" s="295">
        <v>36586</v>
      </c>
      <c r="B88" s="271">
        <f>VLOOKUP(DATE(YEAR(A88),MONTH(A88),1),'15. S&amp;P500'!$A$3:$J$6350,8,)</f>
        <v>0.16496808849708877</v>
      </c>
      <c r="C88" s="296">
        <f>VLOOKUP(DATE(YEAR(A88),MONTH(A88),1),'18. US 10Y Yield'!D:J,7,)</f>
        <v>6.0201666666666674E-2</v>
      </c>
      <c r="D88" s="298">
        <f t="shared" si="1"/>
        <v>0.10476642183042209</v>
      </c>
    </row>
    <row r="89" spans="1:4" x14ac:dyDescent="0.2">
      <c r="A89" s="295">
        <v>36617</v>
      </c>
      <c r="B89" s="271">
        <f>VLOOKUP(DATE(YEAR(A89),MONTH(A89),1),'15. S&amp;P500'!$A$3:$J$6350,8,)</f>
        <v>8.7815875013106837E-2</v>
      </c>
      <c r="C89" s="296">
        <f>VLOOKUP(DATE(YEAR(A89),MONTH(A89),1),'18. US 10Y Yield'!D:J,7,)</f>
        <v>6.0921666666666673E-2</v>
      </c>
      <c r="D89" s="298">
        <f t="shared" si="1"/>
        <v>2.6894208346440164E-2</v>
      </c>
    </row>
    <row r="90" spans="1:4" x14ac:dyDescent="0.2">
      <c r="A90" s="295">
        <v>36647</v>
      </c>
      <c r="B90" s="271">
        <f>VLOOKUP(DATE(YEAR(A90),MONTH(A90),1),'15. S&amp;P500'!$A$3:$J$6350,8,)</f>
        <v>9.1224728077182959E-2</v>
      </c>
      <c r="C90" s="296">
        <f>VLOOKUP(DATE(YEAR(A90),MONTH(A90),1),'18. US 10Y Yield'!D:J,7,)</f>
        <v>6.1483333333333334E-2</v>
      </c>
      <c r="D90" s="298">
        <f t="shared" si="1"/>
        <v>2.9741394743849625E-2</v>
      </c>
    </row>
    <row r="91" spans="1:4" x14ac:dyDescent="0.2">
      <c r="A91" s="295">
        <v>36678</v>
      </c>
      <c r="B91" s="271">
        <f>VLOOKUP(DATE(YEAR(A91),MONTH(A91),1),'15. S&amp;P500'!$A$3:$J$6350,8,)</f>
        <v>5.9655717522273388E-2</v>
      </c>
      <c r="C91" s="296">
        <f>VLOOKUP(DATE(YEAR(A91),MONTH(A91),1),'18. US 10Y Yield'!D:J,7,)</f>
        <v>6.1656666666666665E-2</v>
      </c>
      <c r="D91" s="298">
        <f t="shared" si="1"/>
        <v>-2.000949144393277E-3</v>
      </c>
    </row>
    <row r="92" spans="1:4" x14ac:dyDescent="0.2">
      <c r="A92" s="295">
        <v>36708</v>
      </c>
      <c r="B92" s="271">
        <f>VLOOKUP(DATE(YEAR(A92),MONTH(A92),1),'15. S&amp;P500'!$A$3:$J$6350,8,)</f>
        <v>7.6848395448250839E-2</v>
      </c>
      <c r="C92" s="296">
        <f>VLOOKUP(DATE(YEAR(A92),MONTH(A92),1),'18. US 10Y Yield'!D:J,7,)</f>
        <v>6.1758333333333325E-2</v>
      </c>
      <c r="D92" s="298">
        <f t="shared" si="1"/>
        <v>1.5090062114917514E-2</v>
      </c>
    </row>
    <row r="93" spans="1:4" x14ac:dyDescent="0.2">
      <c r="A93" s="295">
        <v>36739</v>
      </c>
      <c r="B93" s="271">
        <f>VLOOKUP(DATE(YEAR(A93),MONTH(A93),1),'15. S&amp;P500'!$A$3:$J$6350,8,)</f>
        <v>0.14940056497603016</v>
      </c>
      <c r="C93" s="296">
        <f>VLOOKUP(DATE(YEAR(A93),MONTH(A93),1),'18. US 10Y Yield'!D:J,7,)</f>
        <v>6.1549999999999987E-2</v>
      </c>
      <c r="D93" s="298">
        <f t="shared" si="1"/>
        <v>8.7850564976030165E-2</v>
      </c>
    </row>
    <row r="94" spans="1:4" x14ac:dyDescent="0.2">
      <c r="A94" s="295">
        <v>36770</v>
      </c>
      <c r="B94" s="271">
        <f>VLOOKUP(DATE(YEAR(A94),MONTH(A94),1),'15. S&amp;P500'!$A$3:$J$6350,8,)</f>
        <v>0.11990239414988579</v>
      </c>
      <c r="C94" s="296">
        <f>VLOOKUP(DATE(YEAR(A94),MONTH(A94),1),'18. US 10Y Yield'!D:J,7,)</f>
        <v>6.1460833333333333E-2</v>
      </c>
      <c r="D94" s="298">
        <f t="shared" si="1"/>
        <v>5.8441560816552461E-2</v>
      </c>
    </row>
    <row r="95" spans="1:4" x14ac:dyDescent="0.2">
      <c r="A95" s="295">
        <v>36800</v>
      </c>
      <c r="B95" s="271">
        <f>VLOOKUP(DATE(YEAR(A95),MONTH(A95),1),'15. S&amp;P500'!$A$3:$J$6350,8,)</f>
        <v>4.8769929490142472E-2</v>
      </c>
      <c r="C95" s="296">
        <f>VLOOKUP(DATE(YEAR(A95),MONTH(A95),1),'18. US 10Y Yield'!D:J,7,)</f>
        <v>6.1255833333333343E-2</v>
      </c>
      <c r="D95" s="298">
        <f t="shared" si="1"/>
        <v>-1.2485903843190871E-2</v>
      </c>
    </row>
    <row r="96" spans="1:4" x14ac:dyDescent="0.2">
      <c r="A96" s="295">
        <v>36831</v>
      </c>
      <c r="B96" s="271">
        <f>VLOOKUP(DATE(YEAR(A96),MONTH(A96),1),'15. S&amp;P500'!$A$3:$J$6350,8,)</f>
        <v>-5.3250390594063002E-2</v>
      </c>
      <c r="C96" s="296">
        <f>VLOOKUP(DATE(YEAR(A96),MONTH(A96),1),'18. US 10Y Yield'!D:J,7,)</f>
        <v>6.0652499999999991E-2</v>
      </c>
      <c r="D96" s="298">
        <f t="shared" si="1"/>
        <v>-0.113902890594063</v>
      </c>
    </row>
    <row r="97" spans="1:4" x14ac:dyDescent="0.2">
      <c r="A97" s="295">
        <v>36861</v>
      </c>
      <c r="B97" s="271">
        <f>VLOOKUP(DATE(YEAR(A97),MONTH(A97),1),'15. S&amp;P500'!$A$3:$J$6350,8,)</f>
        <v>-0.10139186659860477</v>
      </c>
      <c r="C97" s="296">
        <f>VLOOKUP(DATE(YEAR(A97),MONTH(A97),1),'18. US 10Y Yield'!D:J,7,)</f>
        <v>5.9548333333333321E-2</v>
      </c>
      <c r="D97" s="298">
        <f t="shared" si="1"/>
        <v>-0.16094019993193809</v>
      </c>
    </row>
    <row r="98" spans="1:4" x14ac:dyDescent="0.2">
      <c r="A98" s="295">
        <v>36892</v>
      </c>
      <c r="B98" s="271">
        <f>VLOOKUP(DATE(YEAR(A98),MONTH(A98),1),'15. S&amp;P500'!$A$3:$J$6350,8,)</f>
        <v>-2.0402162844398553E-2</v>
      </c>
      <c r="C98" s="296">
        <f>VLOOKUP(DATE(YEAR(A98),MONTH(A98),1),'18. US 10Y Yield'!D:J,7,)</f>
        <v>5.8308333333333337E-2</v>
      </c>
      <c r="D98" s="298">
        <f t="shared" si="1"/>
        <v>-7.871049617773189E-2</v>
      </c>
    </row>
    <row r="99" spans="1:4" x14ac:dyDescent="0.2">
      <c r="A99" s="295">
        <v>36923</v>
      </c>
      <c r="B99" s="271">
        <f>VLOOKUP(DATE(YEAR(A99),MONTH(A99),1),'15. S&amp;P500'!$A$3:$J$6350,8,)</f>
        <v>-9.2563047964754674E-2</v>
      </c>
      <c r="C99" s="296">
        <f>VLOOKUP(DATE(YEAR(A99),MONTH(A99),1),'18. US 10Y Yield'!D:J,7,)</f>
        <v>5.705749999999999E-2</v>
      </c>
      <c r="D99" s="298">
        <f t="shared" si="1"/>
        <v>-0.14962054796475466</v>
      </c>
    </row>
    <row r="100" spans="1:4" x14ac:dyDescent="0.2">
      <c r="A100" s="295">
        <v>36951</v>
      </c>
      <c r="B100" s="271">
        <f>VLOOKUP(DATE(YEAR(A100),MONTH(A100),1),'15. S&amp;P500'!$A$3:$J$6350,8,)</f>
        <v>-0.22571367561291356</v>
      </c>
      <c r="C100" s="296">
        <f>VLOOKUP(DATE(YEAR(A100),MONTH(A100),1),'18. US 10Y Yield'!D:J,7,)</f>
        <v>5.6134166666666666E-2</v>
      </c>
      <c r="D100" s="298">
        <f t="shared" si="1"/>
        <v>-0.28184784227958021</v>
      </c>
    </row>
    <row r="101" spans="1:4" x14ac:dyDescent="0.2">
      <c r="A101" s="295">
        <v>36982</v>
      </c>
      <c r="B101" s="271">
        <f>VLOOKUP(DATE(YEAR(A101),MONTH(A101),1),'15. S&amp;P500'!$A$3:$J$6350,8,)</f>
        <v>-0.13974511680425217</v>
      </c>
      <c r="C101" s="296">
        <f>VLOOKUP(DATE(YEAR(A101),MONTH(A101),1),'18. US 10Y Yield'!D:J,7,)</f>
        <v>5.5404166666666664E-2</v>
      </c>
      <c r="D101" s="298">
        <f t="shared" si="1"/>
        <v>-0.19514928347091884</v>
      </c>
    </row>
    <row r="102" spans="1:4" x14ac:dyDescent="0.2">
      <c r="A102" s="295">
        <v>37012</v>
      </c>
      <c r="B102" s="271">
        <f>VLOOKUP(DATE(YEAR(A102),MONTH(A102),1),'15. S&amp;P500'!$A$3:$J$6350,8,)</f>
        <v>-0.11599324229198926</v>
      </c>
      <c r="C102" s="296">
        <f>VLOOKUP(DATE(YEAR(A102),MONTH(A102),1),'18. US 10Y Yield'!D:J,7,)</f>
        <v>5.4677499999999997E-2</v>
      </c>
      <c r="D102" s="298">
        <f t="shared" si="1"/>
        <v>-0.17067074229198925</v>
      </c>
    </row>
    <row r="103" spans="1:4" x14ac:dyDescent="0.2">
      <c r="A103" s="295">
        <v>37043</v>
      </c>
      <c r="B103" s="271">
        <f>VLOOKUP(DATE(YEAR(A103),MONTH(A103),1),'15. S&amp;P500'!$A$3:$J$6350,8,)</f>
        <v>-0.15827031486319254</v>
      </c>
      <c r="C103" s="296">
        <f>VLOOKUP(DATE(YEAR(A103),MONTH(A103),1),'18. US 10Y Yield'!D:J,7,)</f>
        <v>5.4154166666666663E-2</v>
      </c>
      <c r="D103" s="298">
        <f t="shared" si="1"/>
        <v>-0.21242448152985921</v>
      </c>
    </row>
    <row r="104" spans="1:4" x14ac:dyDescent="0.2">
      <c r="A104" s="295">
        <v>37073</v>
      </c>
      <c r="B104" s="271">
        <f>VLOOKUP(DATE(YEAR(A104),MONTH(A104),1),'15. S&amp;P500'!$A$3:$J$6350,8,)</f>
        <v>-0.15347735230600412</v>
      </c>
      <c r="C104" s="296">
        <f>VLOOKUP(DATE(YEAR(A104),MONTH(A104),1),'18. US 10Y Yield'!D:J,7,)</f>
        <v>5.33275E-2</v>
      </c>
      <c r="D104" s="298">
        <f t="shared" si="1"/>
        <v>-0.20680485230600412</v>
      </c>
    </row>
    <row r="105" spans="1:4" x14ac:dyDescent="0.2">
      <c r="A105" s="295">
        <v>37104</v>
      </c>
      <c r="B105" s="271">
        <f>VLOOKUP(DATE(YEAR(A105),MONTH(A105),1),'15. S&amp;P500'!$A$3:$J$6350,8,)</f>
        <v>-0.25308365399820787</v>
      </c>
      <c r="C105" s="296">
        <f>VLOOKUP(DATE(YEAR(A105),MONTH(A105),1),'18. US 10Y Yield'!D:J,7,)</f>
        <v>5.2566666666666671E-2</v>
      </c>
      <c r="D105" s="298">
        <f t="shared" si="1"/>
        <v>-0.30565032066487452</v>
      </c>
    </row>
    <row r="106" spans="1:4" x14ac:dyDescent="0.2">
      <c r="A106" s="295">
        <v>37135</v>
      </c>
      <c r="B106" s="271">
        <f>VLOOKUP(DATE(YEAR(A106),MONTH(A106),1),'15. S&amp;P500'!$A$3:$J$6350,8,)</f>
        <v>-0.27536877571336082</v>
      </c>
      <c r="C106" s="296">
        <f>VLOOKUP(DATE(YEAR(A106),MONTH(A106),1),'18. US 10Y Yield'!D:J,7,)</f>
        <v>5.1564166666666668E-2</v>
      </c>
      <c r="D106" s="298">
        <f t="shared" si="1"/>
        <v>-0.32693294238002751</v>
      </c>
    </row>
    <row r="107" spans="1:4" x14ac:dyDescent="0.2">
      <c r="A107" s="295">
        <v>37165</v>
      </c>
      <c r="B107" s="271">
        <f>VLOOKUP(DATE(YEAR(A107),MONTH(A107),1),'15. S&amp;P500'!$A$3:$J$6350,8,)</f>
        <v>-0.25858402126766478</v>
      </c>
      <c r="C107" s="296">
        <f>VLOOKUP(DATE(YEAR(A107),MONTH(A107),1),'18. US 10Y Yield'!D:J,7,)</f>
        <v>5.0319166666666665E-2</v>
      </c>
      <c r="D107" s="298">
        <f t="shared" si="1"/>
        <v>-0.30890318793433147</v>
      </c>
    </row>
    <row r="108" spans="1:4" x14ac:dyDescent="0.2">
      <c r="A108" s="295">
        <v>37196</v>
      </c>
      <c r="B108" s="271">
        <f>VLOOKUP(DATE(YEAR(A108),MONTH(A108),1),'15. S&amp;P500'!$A$3:$J$6350,8,)</f>
        <v>-0.13346515076618881</v>
      </c>
      <c r="C108" s="296">
        <f>VLOOKUP(DATE(YEAR(A108),MONTH(A108),1),'18. US 10Y Yield'!D:J,7,)</f>
        <v>4.9739999999999999E-2</v>
      </c>
      <c r="D108" s="298">
        <f t="shared" si="1"/>
        <v>-0.18320515076618882</v>
      </c>
    </row>
    <row r="109" spans="1:4" x14ac:dyDescent="0.2">
      <c r="A109" s="295">
        <v>37226</v>
      </c>
      <c r="B109" s="271">
        <f>VLOOKUP(DATE(YEAR(A109),MONTH(A109),1),'15. S&amp;P500'!$A$3:$J$6350,8,)</f>
        <v>-0.1304268791468477</v>
      </c>
      <c r="C109" s="296">
        <f>VLOOKUP(DATE(YEAR(A109),MONTH(A109),1),'18. US 10Y Yield'!D:J,7,)</f>
        <v>4.9675000000000004E-2</v>
      </c>
      <c r="D109" s="298">
        <f t="shared" si="1"/>
        <v>-0.18010187914684769</v>
      </c>
    </row>
    <row r="110" spans="1:4" x14ac:dyDescent="0.2">
      <c r="A110" s="295">
        <v>37257</v>
      </c>
      <c r="B110" s="271">
        <f>VLOOKUP(DATE(YEAR(A110),MONTH(A110),1),'15. S&amp;P500'!$A$3:$J$6350,8,)</f>
        <v>-0.17262684753405899</v>
      </c>
      <c r="C110" s="296">
        <f>VLOOKUP(DATE(YEAR(A110),MONTH(A110),1),'18. US 10Y Yield'!D:J,7,)</f>
        <v>4.9546666666666662E-2</v>
      </c>
      <c r="D110" s="298">
        <f t="shared" si="1"/>
        <v>-0.22217351420072565</v>
      </c>
    </row>
    <row r="111" spans="1:4" x14ac:dyDescent="0.2">
      <c r="A111" s="295">
        <v>37288</v>
      </c>
      <c r="B111" s="271">
        <f>VLOOKUP(DATE(YEAR(A111),MONTH(A111),1),'15. S&amp;P500'!$A$3:$J$6350,8,)</f>
        <v>-0.1074326177073085</v>
      </c>
      <c r="C111" s="296">
        <f>VLOOKUP(DATE(YEAR(A111),MONTH(A111),1),'18. US 10Y Yield'!D:J,7,)</f>
        <v>4.9505833333333332E-2</v>
      </c>
      <c r="D111" s="298">
        <f t="shared" si="1"/>
        <v>-0.15693845104064183</v>
      </c>
    </row>
    <row r="112" spans="1:4" x14ac:dyDescent="0.2">
      <c r="A112" s="295">
        <v>37316</v>
      </c>
      <c r="B112" s="271">
        <f>VLOOKUP(DATE(YEAR(A112),MONTH(A112),1),'15. S&amp;P500'!$A$3:$J$6350,8,)</f>
        <v>-1.115199986210802E-2</v>
      </c>
      <c r="C112" s="296">
        <f>VLOOKUP(DATE(YEAR(A112),MONTH(A112),1),'18. US 10Y Yield'!D:J,7,)</f>
        <v>4.9915000000000001E-2</v>
      </c>
      <c r="D112" s="298">
        <f t="shared" si="1"/>
        <v>-6.1066999862108021E-2</v>
      </c>
    </row>
    <row r="113" spans="1:4" x14ac:dyDescent="0.2">
      <c r="A113" s="295">
        <v>37347</v>
      </c>
      <c r="B113" s="271">
        <f>VLOOKUP(DATE(YEAR(A113),MONTH(A113),1),'15. S&amp;P500'!$A$3:$J$6350,8,)</f>
        <v>-0.13809165559521708</v>
      </c>
      <c r="C113" s="296">
        <f>VLOOKUP(DATE(YEAR(A113),MONTH(A113),1),'18. US 10Y Yield'!D:J,7,)</f>
        <v>4.9709166666666665E-2</v>
      </c>
      <c r="D113" s="298">
        <f t="shared" si="1"/>
        <v>-0.18780082226188374</v>
      </c>
    </row>
    <row r="114" spans="1:4" x14ac:dyDescent="0.2">
      <c r="A114" s="295">
        <v>37377</v>
      </c>
      <c r="B114" s="271">
        <f>VLOOKUP(DATE(YEAR(A114),MONTH(A114),1),'15. S&amp;P500'!$A$3:$J$6350,8,)</f>
        <v>-0.15024446178592465</v>
      </c>
      <c r="C114" s="296">
        <f>VLOOKUP(DATE(YEAR(A114),MONTH(A114),1),'18. US 10Y Yield'!D:J,7,)</f>
        <v>4.9400833333333331E-2</v>
      </c>
      <c r="D114" s="298">
        <f t="shared" si="1"/>
        <v>-0.19964529511925799</v>
      </c>
    </row>
    <row r="115" spans="1:4" x14ac:dyDescent="0.2">
      <c r="A115" s="295">
        <v>37408</v>
      </c>
      <c r="B115" s="271">
        <f>VLOOKUP(DATE(YEAR(A115),MONTH(A115),1),'15. S&amp;P500'!$A$3:$J$6350,8,)</f>
        <v>-0.1915745111811693</v>
      </c>
      <c r="C115" s="296">
        <f>VLOOKUP(DATE(YEAR(A115),MONTH(A115),1),'18. US 10Y Yield'!D:J,7,)</f>
        <v>4.8929166666666669E-2</v>
      </c>
      <c r="D115" s="298">
        <f t="shared" si="1"/>
        <v>-0.24050367784783597</v>
      </c>
    </row>
    <row r="116" spans="1:4" x14ac:dyDescent="0.2">
      <c r="A116" s="295">
        <v>37438</v>
      </c>
      <c r="B116" s="271">
        <f>VLOOKUP(DATE(YEAR(A116),MONTH(A116),1),'15. S&amp;P500'!$A$3:$J$6350,8,)</f>
        <v>-0.24736012152935449</v>
      </c>
      <c r="C116" s="296">
        <f>VLOOKUP(DATE(YEAR(A116),MONTH(A116),1),'18. US 10Y Yield'!D:J,7,)</f>
        <v>4.8452500000000003E-2</v>
      </c>
      <c r="D116" s="298">
        <f t="shared" si="1"/>
        <v>-0.2958126215293545</v>
      </c>
    </row>
    <row r="117" spans="1:4" x14ac:dyDescent="0.2">
      <c r="A117" s="295">
        <v>37469</v>
      </c>
      <c r="B117" s="271">
        <f>VLOOKUP(DATE(YEAR(A117),MONTH(A117),1),'15. S&amp;P500'!$A$3:$J$6350,8,)</f>
        <v>-0.1918788263730834</v>
      </c>
      <c r="C117" s="296">
        <f>VLOOKUP(DATE(YEAR(A117),MONTH(A117),1),'18. US 10Y Yield'!D:J,7,)</f>
        <v>4.7886666666666668E-2</v>
      </c>
      <c r="D117" s="298">
        <f t="shared" si="1"/>
        <v>-0.23976549303975006</v>
      </c>
    </row>
    <row r="118" spans="1:4" x14ac:dyDescent="0.2">
      <c r="A118" s="295">
        <v>37500</v>
      </c>
      <c r="B118" s="271">
        <f>VLOOKUP(DATE(YEAR(A118),MONTH(A118),1),'15. S&amp;P500'!$A$3:$J$6350,8,)</f>
        <v>-0.21678482909677799</v>
      </c>
      <c r="C118" s="296">
        <f>VLOOKUP(DATE(YEAR(A118),MONTH(A118),1),'18. US 10Y Yield'!D:J,7,)</f>
        <v>4.707999999999999E-2</v>
      </c>
      <c r="D118" s="298">
        <f t="shared" ref="D118:D181" si="2">B118-C118</f>
        <v>-0.263864829096778</v>
      </c>
    </row>
    <row r="119" spans="1:4" x14ac:dyDescent="0.2">
      <c r="A119" s="295">
        <v>37530</v>
      </c>
      <c r="B119" s="271">
        <f>VLOOKUP(DATE(YEAR(A119),MONTH(A119),1),'15. S&amp;P500'!$A$3:$J$6350,8,)</f>
        <v>-0.1642038913736813</v>
      </c>
      <c r="C119" s="296">
        <f>VLOOKUP(DATE(YEAR(A119),MONTH(A119),1),'18. US 10Y Yield'!D:J,7,)</f>
        <v>4.6786666666666671E-2</v>
      </c>
      <c r="D119" s="298">
        <f t="shared" si="2"/>
        <v>-0.21099055804034797</v>
      </c>
    </row>
    <row r="120" spans="1:4" x14ac:dyDescent="0.2">
      <c r="A120" s="295">
        <v>37561</v>
      </c>
      <c r="B120" s="271">
        <f>VLOOKUP(DATE(YEAR(A120),MONTH(A120),1),'15. S&amp;P500'!$A$3:$J$6350,8,)</f>
        <v>-0.17827899425161275</v>
      </c>
      <c r="C120" s="296">
        <f>VLOOKUP(DATE(YEAR(A120),MONTH(A120),1),'18. US 10Y Yield'!D:J,7,)</f>
        <v>4.6344166666666672E-2</v>
      </c>
      <c r="D120" s="298">
        <f t="shared" si="2"/>
        <v>-0.22462316091827944</v>
      </c>
    </row>
    <row r="121" spans="1:4" x14ac:dyDescent="0.2">
      <c r="A121" s="295">
        <v>37591</v>
      </c>
      <c r="B121" s="271">
        <f>VLOOKUP(DATE(YEAR(A121),MONTH(A121),1),'15. S&amp;P500'!$A$3:$J$6350,8,)</f>
        <v>-0.23365967528395226</v>
      </c>
      <c r="C121" s="296">
        <f>VLOOKUP(DATE(YEAR(A121),MONTH(A121),1),'18. US 10Y Yield'!D:J,7,)</f>
        <v>4.5332499999999998E-2</v>
      </c>
      <c r="D121" s="298">
        <f t="shared" si="2"/>
        <v>-0.27899217528395226</v>
      </c>
    </row>
    <row r="122" spans="1:4" x14ac:dyDescent="0.2">
      <c r="A122" s="295">
        <v>37622</v>
      </c>
      <c r="B122" s="271">
        <f>VLOOKUP(DATE(YEAR(A122),MONTH(A122),1),'15. S&amp;P500'!$A$3:$J$6350,8,)</f>
        <v>-0.24287736683772787</v>
      </c>
      <c r="C122" s="296">
        <f>VLOOKUP(DATE(YEAR(A122),MONTH(A122),1),'18. US 10Y Yield'!D:J,7,)</f>
        <v>4.4457499999999997E-2</v>
      </c>
      <c r="D122" s="298">
        <f t="shared" si="2"/>
        <v>-0.28733486683772785</v>
      </c>
    </row>
    <row r="123" spans="1:4" x14ac:dyDescent="0.2">
      <c r="A123" s="295">
        <v>37653</v>
      </c>
      <c r="B123" s="271">
        <f>VLOOKUP(DATE(YEAR(A123),MONTH(A123),1),'15. S&amp;P500'!$A$3:$J$6350,8,)</f>
        <v>-0.23996819459127339</v>
      </c>
      <c r="C123" s="296">
        <f>VLOOKUP(DATE(YEAR(A123),MONTH(A123),1),'18. US 10Y Yield'!D:J,7,)</f>
        <v>4.348833333333333E-2</v>
      </c>
      <c r="D123" s="298">
        <f t="shared" si="2"/>
        <v>-0.28345652792460674</v>
      </c>
    </row>
    <row r="124" spans="1:4" x14ac:dyDescent="0.2">
      <c r="A124" s="295">
        <v>37681</v>
      </c>
      <c r="B124" s="271">
        <f>VLOOKUP(DATE(YEAR(A124),MONTH(A124),1),'15. S&amp;P500'!$A$3:$J$6350,8,)</f>
        <v>-0.26077445332450178</v>
      </c>
      <c r="C124" s="296">
        <f>VLOOKUP(DATE(YEAR(A124),MONTH(A124),1),'18. US 10Y Yield'!D:J,7,)</f>
        <v>4.2169166666666674E-2</v>
      </c>
      <c r="D124" s="298">
        <f t="shared" si="2"/>
        <v>-0.30294361999116848</v>
      </c>
    </row>
    <row r="125" spans="1:4" x14ac:dyDescent="0.2">
      <c r="A125" s="295">
        <v>37712</v>
      </c>
      <c r="B125" s="271">
        <f>VLOOKUP(DATE(YEAR(A125),MONTH(A125),1),'15. S&amp;P500'!$A$3:$J$6350,8,)</f>
        <v>-0.14857185306243736</v>
      </c>
      <c r="C125" s="296">
        <f>VLOOKUP(DATE(YEAR(A125),MONTH(A125),1),'18. US 10Y Yield'!D:J,7,)</f>
        <v>4.1140833333333335E-2</v>
      </c>
      <c r="D125" s="298">
        <f t="shared" si="2"/>
        <v>-0.18971268639577071</v>
      </c>
    </row>
    <row r="126" spans="1:4" x14ac:dyDescent="0.2">
      <c r="A126" s="295">
        <v>37742</v>
      </c>
      <c r="B126" s="271">
        <f>VLOOKUP(DATE(YEAR(A126),MONTH(A126),1),'15. S&amp;P500'!$A$3:$J$6350,8,)</f>
        <v>-9.7035065689600297E-2</v>
      </c>
      <c r="C126" s="296">
        <f>VLOOKUP(DATE(YEAR(A126),MONTH(A126),1),'18. US 10Y Yield'!D:J,7,)</f>
        <v>3.9730000000000001E-2</v>
      </c>
      <c r="D126" s="298">
        <f t="shared" si="2"/>
        <v>-0.13676506568960028</v>
      </c>
    </row>
    <row r="127" spans="1:4" x14ac:dyDescent="0.2">
      <c r="A127" s="295">
        <v>37773</v>
      </c>
      <c r="B127" s="271">
        <f>VLOOKUP(DATE(YEAR(A127),MONTH(A127),1),'15. S&amp;P500'!$A$3:$J$6350,8,)</f>
        <v>-1.5477561576852428E-2</v>
      </c>
      <c r="C127" s="296">
        <f>VLOOKUP(DATE(YEAR(A127),MONTH(A127),1),'18. US 10Y Yield'!D:J,7,)</f>
        <v>3.8650000000000004E-2</v>
      </c>
      <c r="D127" s="298">
        <f t="shared" si="2"/>
        <v>-5.4127561576852432E-2</v>
      </c>
    </row>
    <row r="128" spans="1:4" x14ac:dyDescent="0.2">
      <c r="A128" s="295">
        <v>37803</v>
      </c>
      <c r="B128" s="271">
        <f>VLOOKUP(DATE(YEAR(A128),MONTH(A128),1),'15. S&amp;P500'!$A$3:$J$6350,8,)</f>
        <v>8.9620675281367301E-2</v>
      </c>
      <c r="C128" s="296">
        <f>VLOOKUP(DATE(YEAR(A128),MONTH(A128),1),'18. US 10Y Yield'!D:J,7,)</f>
        <v>3.8657500000000004E-2</v>
      </c>
      <c r="D128" s="298">
        <f t="shared" si="2"/>
        <v>5.0963175281367297E-2</v>
      </c>
    </row>
    <row r="129" spans="1:4" x14ac:dyDescent="0.2">
      <c r="A129" s="295">
        <v>37834</v>
      </c>
      <c r="B129" s="271">
        <f>VLOOKUP(DATE(YEAR(A129),MONTH(A129),1),'15. S&amp;P500'!$A$3:$J$6350,8,)</f>
        <v>0.100363509338806</v>
      </c>
      <c r="C129" s="296">
        <f>VLOOKUP(DATE(YEAR(A129),MONTH(A129),1),'18. US 10Y Yield'!D:J,7,)</f>
        <v>3.892166666666666E-2</v>
      </c>
      <c r="D129" s="298">
        <f t="shared" si="2"/>
        <v>6.1441842672139341E-2</v>
      </c>
    </row>
    <row r="130" spans="1:4" x14ac:dyDescent="0.2">
      <c r="A130" s="295">
        <v>37865</v>
      </c>
      <c r="B130" s="271">
        <f>VLOOKUP(DATE(YEAR(A130),MONTH(A130),1),'15. S&amp;P500'!$A$3:$J$6350,8,)</f>
        <v>0.22162937886370337</v>
      </c>
      <c r="C130" s="296">
        <f>VLOOKUP(DATE(YEAR(A130),MONTH(A130),1),'18. US 10Y Yield'!D:J,7,)</f>
        <v>3.9196666666666664E-2</v>
      </c>
      <c r="D130" s="298">
        <f t="shared" si="2"/>
        <v>0.18243271219703672</v>
      </c>
    </row>
    <row r="131" spans="1:4" x14ac:dyDescent="0.2">
      <c r="A131" s="295">
        <v>37895</v>
      </c>
      <c r="B131" s="271">
        <f>VLOOKUP(DATE(YEAR(A131),MONTH(A131),1),'15. S&amp;P500'!$A$3:$J$6350,8,)</f>
        <v>0.18622425939306364</v>
      </c>
      <c r="C131" s="296">
        <f>VLOOKUP(DATE(YEAR(A131),MONTH(A131),1),'18. US 10Y Yield'!D:J,7,)</f>
        <v>3.9521666666666663E-2</v>
      </c>
      <c r="D131" s="298">
        <f t="shared" si="2"/>
        <v>0.14670259272639696</v>
      </c>
    </row>
    <row r="132" spans="1:4" x14ac:dyDescent="0.2">
      <c r="A132" s="295">
        <v>37926</v>
      </c>
      <c r="B132" s="271">
        <f>VLOOKUP(DATE(YEAR(A132),MONTH(A132),1),'15. S&amp;P500'!$A$3:$J$6350,8,)</f>
        <v>0.13018124339161186</v>
      </c>
      <c r="C132" s="296">
        <f>VLOOKUP(DATE(YEAR(A132),MONTH(A132),1),'18. US 10Y Yield'!D:J,7,)</f>
        <v>3.9610833333333331E-2</v>
      </c>
      <c r="D132" s="298">
        <f t="shared" si="2"/>
        <v>9.0570410058278525E-2</v>
      </c>
    </row>
    <row r="133" spans="1:4" x14ac:dyDescent="0.2">
      <c r="A133" s="295">
        <v>37956</v>
      </c>
      <c r="B133" s="271">
        <f>VLOOKUP(DATE(YEAR(A133),MONTH(A133),1),'15. S&amp;P500'!$A$3:$J$6350,8,)</f>
        <v>0.26380395990088878</v>
      </c>
      <c r="C133" s="296">
        <f>VLOOKUP(DATE(YEAR(A133),MONTH(A133),1),'18. US 10Y Yield'!D:J,7,)</f>
        <v>3.9976666666666667E-2</v>
      </c>
      <c r="D133" s="298">
        <f t="shared" si="2"/>
        <v>0.22382729323422212</v>
      </c>
    </row>
    <row r="134" spans="1:4" x14ac:dyDescent="0.2">
      <c r="A134" s="295">
        <v>37987</v>
      </c>
      <c r="B134" s="271">
        <f>VLOOKUP(DATE(YEAR(A134),MONTH(A134),1),'15. S&amp;P500'!$A$3:$J$6350,8,)</f>
        <v>0.32187682599041723</v>
      </c>
      <c r="C134" s="296">
        <f>VLOOKUP(DATE(YEAR(A134),MONTH(A134),1),'18. US 10Y Yield'!D:J,7,)</f>
        <v>4.0112499999999995E-2</v>
      </c>
      <c r="D134" s="298">
        <f t="shared" si="2"/>
        <v>0.28176432599041723</v>
      </c>
    </row>
    <row r="135" spans="1:4" x14ac:dyDescent="0.2">
      <c r="A135" s="295">
        <v>38018</v>
      </c>
      <c r="B135" s="271">
        <f>VLOOKUP(DATE(YEAR(A135),MONTH(A135),1),'15. S&amp;P500'!$A$3:$J$6350,8,)</f>
        <v>0.3611603162337278</v>
      </c>
      <c r="C135" s="296">
        <f>VLOOKUP(DATE(YEAR(A135),MONTH(A135),1),'18. US 10Y Yield'!D:J,7,)</f>
        <v>4.0352500000000006E-2</v>
      </c>
      <c r="D135" s="298">
        <f t="shared" si="2"/>
        <v>0.32080781623372778</v>
      </c>
    </row>
    <row r="136" spans="1:4" x14ac:dyDescent="0.2">
      <c r="A136" s="295">
        <v>38047</v>
      </c>
      <c r="B136" s="271">
        <f>VLOOKUP(DATE(YEAR(A136),MONTH(A136),1),'15. S&amp;P500'!$A$3:$J$6350,8,)</f>
        <v>0.32779598670093635</v>
      </c>
      <c r="C136" s="296">
        <f>VLOOKUP(DATE(YEAR(A136),MONTH(A136),1),'18. US 10Y Yield'!D:J,7,)</f>
        <v>4.0364166666666666E-2</v>
      </c>
      <c r="D136" s="298">
        <f t="shared" si="2"/>
        <v>0.2874318200342697</v>
      </c>
    </row>
    <row r="137" spans="1:4" x14ac:dyDescent="0.2">
      <c r="A137" s="295">
        <v>38078</v>
      </c>
      <c r="B137" s="271">
        <f>VLOOKUP(DATE(YEAR(A137),MONTH(A137),1),'15. S&amp;P500'!$A$3:$J$6350,8,)</f>
        <v>0.20762989137547438</v>
      </c>
      <c r="C137" s="296">
        <f>VLOOKUP(DATE(YEAR(A137),MONTH(A137),1),'18. US 10Y Yield'!D:J,7,)</f>
        <v>4.0900833333333331E-2</v>
      </c>
      <c r="D137" s="298">
        <f t="shared" si="2"/>
        <v>0.16672905804214105</v>
      </c>
    </row>
    <row r="138" spans="1:4" x14ac:dyDescent="0.2">
      <c r="A138" s="295">
        <v>38108</v>
      </c>
      <c r="B138" s="271">
        <f>VLOOKUP(DATE(YEAR(A138),MONTH(A138),1),'15. S&amp;P500'!$A$3:$J$6350,8,)</f>
        <v>0.16302576822092396</v>
      </c>
      <c r="C138" s="296">
        <f>VLOOKUP(DATE(YEAR(A138),MONTH(A138),1),'18. US 10Y Yield'!D:J,7,)</f>
        <v>4.1988333333333336E-2</v>
      </c>
      <c r="D138" s="298">
        <f t="shared" si="2"/>
        <v>0.12103743488759063</v>
      </c>
    </row>
    <row r="139" spans="1:4" x14ac:dyDescent="0.2">
      <c r="A139" s="295">
        <v>38139</v>
      </c>
      <c r="B139" s="271">
        <f>VLOOKUP(DATE(YEAR(A139),MONTH(A139),1),'15. S&amp;P500'!$A$3:$J$6350,8,)</f>
        <v>0.17069266290405327</v>
      </c>
      <c r="C139" s="296">
        <f>VLOOKUP(DATE(YEAR(A139),MONTH(A139),1),'18. US 10Y Yield'!D:J,7,)</f>
        <v>4.2895833333333334E-2</v>
      </c>
      <c r="D139" s="298">
        <f t="shared" si="2"/>
        <v>0.12779682957071994</v>
      </c>
    </row>
    <row r="140" spans="1:4" x14ac:dyDescent="0.2">
      <c r="A140" s="295">
        <v>38169</v>
      </c>
      <c r="B140" s="271">
        <f>VLOOKUP(DATE(YEAR(A140),MONTH(A140),1),'15. S&amp;P500'!$A$3:$J$6350,8,)</f>
        <v>0.10912898159706841</v>
      </c>
      <c r="C140" s="296">
        <f>VLOOKUP(DATE(YEAR(A140),MONTH(A140),1),'18. US 10Y Yield'!D:J,7,)</f>
        <v>4.2896666666666666E-2</v>
      </c>
      <c r="D140" s="298">
        <f t="shared" si="2"/>
        <v>6.6232314930401742E-2</v>
      </c>
    </row>
    <row r="141" spans="1:4" x14ac:dyDescent="0.2">
      <c r="A141" s="295">
        <v>38200</v>
      </c>
      <c r="B141" s="271">
        <f>VLOOKUP(DATE(YEAR(A141),MONTH(A141),1),'15. S&amp;P500'!$A$3:$J$6350,8,)</f>
        <v>9.5465322764655136E-2</v>
      </c>
      <c r="C141" s="296">
        <f>VLOOKUP(DATE(YEAR(A141),MONTH(A141),1),'18. US 10Y Yield'!D:J,7,)</f>
        <v>4.2628333333333331E-2</v>
      </c>
      <c r="D141" s="298">
        <f t="shared" si="2"/>
        <v>5.2836989431321806E-2</v>
      </c>
    </row>
    <row r="142" spans="1:4" x14ac:dyDescent="0.2">
      <c r="A142" s="295">
        <v>38231</v>
      </c>
      <c r="B142" s="271">
        <f>VLOOKUP(DATE(YEAR(A142),MONTH(A142),1),'15. S&amp;P500'!$A$3:$J$6350,8,)</f>
        <v>0.11908993242768351</v>
      </c>
      <c r="C142" s="296">
        <f>VLOOKUP(DATE(YEAR(A142),MONTH(A142),1),'18. US 10Y Yield'!D:J,7,)</f>
        <v>4.2779999999999999E-2</v>
      </c>
      <c r="D142" s="298">
        <f t="shared" si="2"/>
        <v>7.6309932427683511E-2</v>
      </c>
    </row>
    <row r="143" spans="1:4" x14ac:dyDescent="0.2">
      <c r="A143" s="295">
        <v>38261</v>
      </c>
      <c r="B143" s="271">
        <f>VLOOKUP(DATE(YEAR(A143),MONTH(A143),1),'15. S&amp;P500'!$A$3:$J$6350,8,)</f>
        <v>7.5653605657127088E-2</v>
      </c>
      <c r="C143" s="296">
        <f>VLOOKUP(DATE(YEAR(A143),MONTH(A143),1),'18. US 10Y Yield'!D:J,7,)</f>
        <v>4.2553333333333325E-2</v>
      </c>
      <c r="D143" s="298">
        <f t="shared" si="2"/>
        <v>3.3100272323793763E-2</v>
      </c>
    </row>
    <row r="144" spans="1:4" x14ac:dyDescent="0.2">
      <c r="A144" s="295">
        <v>38292</v>
      </c>
      <c r="B144" s="271">
        <f>VLOOKUP(DATE(YEAR(A144),MONTH(A144),1),'15. S&amp;P500'!$A$3:$J$6350,8,)</f>
        <v>0.10926100926100912</v>
      </c>
      <c r="C144" s="296">
        <f>VLOOKUP(DATE(YEAR(A144),MONTH(A144),1),'18. US 10Y Yield'!D:J,7,)</f>
        <v>4.2584999999999998E-2</v>
      </c>
      <c r="D144" s="298">
        <f t="shared" si="2"/>
        <v>6.6676009261009125E-2</v>
      </c>
    </row>
    <row r="145" spans="1:4" x14ac:dyDescent="0.2">
      <c r="A145" s="295">
        <v>38322</v>
      </c>
      <c r="B145" s="271">
        <f>VLOOKUP(DATE(YEAR(A145),MONTH(A145),1),'15. S&amp;P500'!$A$3:$J$6350,8,)</f>
        <v>8.9934527663860786E-2</v>
      </c>
      <c r="C145" s="296">
        <f>VLOOKUP(DATE(YEAR(A145),MONTH(A145),1),'18. US 10Y Yield'!D:J,7,)</f>
        <v>4.2550833333333322E-2</v>
      </c>
      <c r="D145" s="298">
        <f t="shared" si="2"/>
        <v>4.7383694330527464E-2</v>
      </c>
    </row>
    <row r="146" spans="1:4" x14ac:dyDescent="0.2">
      <c r="A146" s="295">
        <v>38353</v>
      </c>
      <c r="B146" s="271">
        <f>VLOOKUP(DATE(YEAR(A146),MONTH(A146),1),'15. S&amp;P500'!$A$3:$J$6350,8,)</f>
        <v>4.4327354061867164E-2</v>
      </c>
      <c r="C146" s="296">
        <f>VLOOKUP(DATE(YEAR(A146),MONTH(A146),1),'18. US 10Y Yield'!D:J,7,)</f>
        <v>4.254666666666667E-2</v>
      </c>
      <c r="D146" s="298">
        <f t="shared" si="2"/>
        <v>1.7806873952004934E-3</v>
      </c>
    </row>
    <row r="147" spans="1:4" x14ac:dyDescent="0.2">
      <c r="A147" s="295">
        <v>38384</v>
      </c>
      <c r="B147" s="271">
        <f>VLOOKUP(DATE(YEAR(A147),MONTH(A147),1),'15. S&amp;P500'!$A$3:$J$6350,8,)</f>
        <v>5.1234125805718955E-2</v>
      </c>
      <c r="C147" s="296">
        <f>VLOOKUP(DATE(YEAR(A147),MONTH(A147),1),'18. US 10Y Yield'!D:J,7,)</f>
        <v>4.2859166666666663E-2</v>
      </c>
      <c r="D147" s="298">
        <f t="shared" si="2"/>
        <v>8.3749591390522918E-3</v>
      </c>
    </row>
    <row r="148" spans="1:4" x14ac:dyDescent="0.2">
      <c r="A148" s="295">
        <v>38412</v>
      </c>
      <c r="B148" s="271">
        <f>VLOOKUP(DATE(YEAR(A148),MONTH(A148),1),'15. S&amp;P500'!$A$3:$J$6350,8,)</f>
        <v>4.828584367036326E-2</v>
      </c>
      <c r="C148" s="296">
        <f>VLOOKUP(DATE(YEAR(A148),MONTH(A148),1),'18. US 10Y Yield'!D:J,7,)</f>
        <v>4.3408333333333333E-2</v>
      </c>
      <c r="D148" s="298">
        <f t="shared" si="2"/>
        <v>4.8775103370299264E-3</v>
      </c>
    </row>
    <row r="149" spans="1:4" x14ac:dyDescent="0.2">
      <c r="A149" s="295">
        <v>38443</v>
      </c>
      <c r="B149" s="271">
        <f>VLOOKUP(DATE(YEAR(A149),MONTH(A149),1),'15. S&amp;P500'!$A$3:$J$6350,8,)</f>
        <v>4.4748487311478291E-2</v>
      </c>
      <c r="C149" s="296">
        <f>VLOOKUP(DATE(YEAR(A149),MONTH(A149),1),'18. US 10Y Yield'!D:J,7,)</f>
        <v>4.315833333333334E-2</v>
      </c>
      <c r="D149" s="298">
        <f t="shared" si="2"/>
        <v>1.5901539781449509E-3</v>
      </c>
    </row>
    <row r="150" spans="1:4" x14ac:dyDescent="0.2">
      <c r="A150" s="295">
        <v>38473</v>
      </c>
      <c r="B150" s="271">
        <f>VLOOKUP(DATE(YEAR(A150),MONTH(A150),1),'15. S&amp;P500'!$A$3:$J$6350,8,)</f>
        <v>6.3193775207909475E-2</v>
      </c>
      <c r="C150" s="296">
        <f>VLOOKUP(DATE(YEAR(A150),MONTH(A150),1),'18. US 10Y Yield'!D:J,7,)</f>
        <v>4.2617500000000003E-2</v>
      </c>
      <c r="D150" s="298">
        <f t="shared" si="2"/>
        <v>2.0576275207909472E-2</v>
      </c>
    </row>
    <row r="151" spans="1:4" x14ac:dyDescent="0.2">
      <c r="A151" s="295">
        <v>38504</v>
      </c>
      <c r="B151" s="271">
        <f>VLOOKUP(DATE(YEAR(A151),MONTH(A151),1),'15. S&amp;P500'!$A$3:$J$6350,8,)</f>
        <v>4.4256863363837162E-2</v>
      </c>
      <c r="C151" s="296">
        <f>VLOOKUP(DATE(YEAR(A151),MONTH(A151),1),'18. US 10Y Yield'!D:J,7,)</f>
        <v>4.2057499999999998E-2</v>
      </c>
      <c r="D151" s="298">
        <f t="shared" si="2"/>
        <v>2.1993633638371646E-3</v>
      </c>
    </row>
    <row r="152" spans="1:4" x14ac:dyDescent="0.2">
      <c r="A152" s="295">
        <v>38534</v>
      </c>
      <c r="B152" s="271">
        <f>VLOOKUP(DATE(YEAR(A152),MONTH(A152),1),'15. S&amp;P500'!$A$3:$J$6350,8,)</f>
        <v>0.1202301855280834</v>
      </c>
      <c r="C152" s="296">
        <f>VLOOKUP(DATE(YEAR(A152),MONTH(A152),1),'18. US 10Y Yield'!D:J,7,)</f>
        <v>4.1900000000000007E-2</v>
      </c>
      <c r="D152" s="298">
        <f t="shared" si="2"/>
        <v>7.8330185528083393E-2</v>
      </c>
    </row>
    <row r="153" spans="1:4" x14ac:dyDescent="0.2">
      <c r="A153" s="295">
        <v>38565</v>
      </c>
      <c r="B153" s="271">
        <f>VLOOKUP(DATE(YEAR(A153),MONTH(A153),1),'15. S&amp;P500'!$A$3:$J$6350,8,)</f>
        <v>0.1051311309135694</v>
      </c>
      <c r="C153" s="296">
        <f>VLOOKUP(DATE(YEAR(A153),MONTH(A153),1),'18. US 10Y Yield'!D:J,7,)</f>
        <v>4.1806666666666673E-2</v>
      </c>
      <c r="D153" s="298">
        <f t="shared" si="2"/>
        <v>6.3324464246902731E-2</v>
      </c>
    </row>
    <row r="154" spans="1:4" x14ac:dyDescent="0.2">
      <c r="A154" s="295">
        <v>38596</v>
      </c>
      <c r="B154" s="271">
        <f>VLOOKUP(DATE(YEAR(A154),MONTH(A154),1),'15. S&amp;P500'!$A$3:$J$6350,8,)</f>
        <v>0.10248703547524629</v>
      </c>
      <c r="C154" s="296">
        <f>VLOOKUP(DATE(YEAR(A154),MONTH(A154),1),'18. US 10Y Yield'!D:J,7,)</f>
        <v>4.1980833333333335E-2</v>
      </c>
      <c r="D154" s="298">
        <f t="shared" si="2"/>
        <v>6.0506202141912956E-2</v>
      </c>
    </row>
    <row r="155" spans="1:4" x14ac:dyDescent="0.2">
      <c r="A155" s="295">
        <v>38626</v>
      </c>
      <c r="B155" s="271">
        <f>VLOOKUP(DATE(YEAR(A155),MONTH(A155),1),'15. S&amp;P500'!$A$3:$J$6350,8,)</f>
        <v>6.7961422757034207E-2</v>
      </c>
      <c r="C155" s="296">
        <f>VLOOKUP(DATE(YEAR(A155),MONTH(A155),1),'18. US 10Y Yield'!D:J,7,)</f>
        <v>4.2422500000000009E-2</v>
      </c>
      <c r="D155" s="298">
        <f t="shared" si="2"/>
        <v>2.5538922757034198E-2</v>
      </c>
    </row>
    <row r="156" spans="1:4" x14ac:dyDescent="0.2">
      <c r="A156" s="295">
        <v>38657</v>
      </c>
      <c r="B156" s="271">
        <f>VLOOKUP(DATE(YEAR(A156),MONTH(A156),1),'15. S&amp;P500'!$A$3:$J$6350,8,)</f>
        <v>6.445621986335226E-2</v>
      </c>
      <c r="C156" s="296">
        <f>VLOOKUP(DATE(YEAR(A156),MONTH(A156),1),'18. US 10Y Yield'!D:J,7,)</f>
        <v>4.254083333333334E-2</v>
      </c>
      <c r="D156" s="298">
        <f t="shared" si="2"/>
        <v>2.191538653001892E-2</v>
      </c>
    </row>
    <row r="157" spans="1:4" x14ac:dyDescent="0.2">
      <c r="A157" s="295">
        <v>38687</v>
      </c>
      <c r="B157" s="271">
        <f>VLOOKUP(DATE(YEAR(A157),MONTH(A157),1),'15. S&amp;P500'!$A$3:$J$6350,8,)</f>
        <v>3.0010231698461842E-2</v>
      </c>
      <c r="C157" s="296">
        <f>VLOOKUP(DATE(YEAR(A157),MONTH(A157),1),'18. US 10Y Yield'!D:J,7,)</f>
        <v>4.2689999999999992E-2</v>
      </c>
      <c r="D157" s="298">
        <f t="shared" si="2"/>
        <v>-1.267976830153815E-2</v>
      </c>
    </row>
    <row r="158" spans="1:4" x14ac:dyDescent="0.2">
      <c r="A158" s="295">
        <v>38718</v>
      </c>
      <c r="B158" s="271">
        <f>VLOOKUP(DATE(YEAR(A158),MONTH(A158),1),'15. S&amp;P500'!$A$3:$J$6350,8,)</f>
        <v>8.3647260998755524E-2</v>
      </c>
      <c r="C158" s="296">
        <f>VLOOKUP(DATE(YEAR(A158),MONTH(A158),1),'18. US 10Y Yield'!D:J,7,)</f>
        <v>4.3018333333333339E-2</v>
      </c>
      <c r="D158" s="298">
        <f t="shared" si="2"/>
        <v>4.0628927665422185E-2</v>
      </c>
    </row>
    <row r="159" spans="1:4" x14ac:dyDescent="0.2">
      <c r="A159" s="295">
        <v>38749</v>
      </c>
      <c r="B159" s="271">
        <f>VLOOKUP(DATE(YEAR(A159),MONTH(A159),1),'15. S&amp;P500'!$A$3:$J$6350,8,)</f>
        <v>6.4024592888002774E-2</v>
      </c>
      <c r="C159" s="296">
        <f>VLOOKUP(DATE(YEAR(A159),MONTH(A159),1),'18. US 10Y Yield'!D:J,7,)</f>
        <v>4.3174999999999991E-2</v>
      </c>
      <c r="D159" s="298">
        <f t="shared" si="2"/>
        <v>2.0849592888002783E-2</v>
      </c>
    </row>
    <row r="160" spans="1:4" x14ac:dyDescent="0.2">
      <c r="A160" s="295">
        <v>38777</v>
      </c>
      <c r="B160" s="271">
        <f>VLOOKUP(DATE(YEAR(A160),MONTH(A160),1),'15. S&amp;P500'!$A$3:$J$6350,8,)</f>
        <v>9.6765176733667024E-2</v>
      </c>
      <c r="C160" s="296">
        <f>VLOOKUP(DATE(YEAR(A160),MONTH(A160),1),'18. US 10Y Yield'!D:J,7,)</f>
        <v>4.3472499999999997E-2</v>
      </c>
      <c r="D160" s="298">
        <f t="shared" si="2"/>
        <v>5.3292676733667027E-2</v>
      </c>
    </row>
    <row r="161" spans="1:4" x14ac:dyDescent="0.2">
      <c r="A161" s="295">
        <v>38808</v>
      </c>
      <c r="B161" s="271">
        <f>VLOOKUP(DATE(YEAR(A161),MONTH(A161),1),'15. S&amp;P500'!$A$3:$J$6350,8,)</f>
        <v>0.13291265073259284</v>
      </c>
      <c r="C161" s="296">
        <f>VLOOKUP(DATE(YEAR(A161),MONTH(A161),1),'18. US 10Y Yield'!D:J,7,)</f>
        <v>4.4195833333333337E-2</v>
      </c>
      <c r="D161" s="298">
        <f t="shared" si="2"/>
        <v>8.8716817399259504E-2</v>
      </c>
    </row>
    <row r="162" spans="1:4" x14ac:dyDescent="0.2">
      <c r="A162" s="295">
        <v>38838</v>
      </c>
      <c r="B162" s="271">
        <f>VLOOKUP(DATE(YEAR(A162),MONTH(A162),1),'15. S&amp;P500'!$A$3:$J$6350,8,)</f>
        <v>6.5958875367184255E-2</v>
      </c>
      <c r="C162" s="296">
        <f>VLOOKUP(DATE(YEAR(A162),MONTH(A162),1),'18. US 10Y Yield'!D:J,7,)</f>
        <v>4.5118333333333337E-2</v>
      </c>
      <c r="D162" s="298">
        <f t="shared" si="2"/>
        <v>2.0840542033850919E-2</v>
      </c>
    </row>
    <row r="163" spans="1:4" x14ac:dyDescent="0.2">
      <c r="A163" s="295">
        <v>38869</v>
      </c>
      <c r="B163" s="271">
        <f>VLOOKUP(DATE(YEAR(A163),MONTH(A163),1),'15. S&amp;P500'!$A$3:$J$6350,8,)</f>
        <v>6.6203318979627834E-2</v>
      </c>
      <c r="C163" s="296">
        <f>VLOOKUP(DATE(YEAR(A163),MONTH(A163),1),'18. US 10Y Yield'!D:J,7,)</f>
        <v>4.6112500000000001E-2</v>
      </c>
      <c r="D163" s="298">
        <f t="shared" si="2"/>
        <v>2.0090818979627834E-2</v>
      </c>
    </row>
    <row r="164" spans="1:4" x14ac:dyDescent="0.2">
      <c r="A164" s="295">
        <v>38899</v>
      </c>
      <c r="B164" s="271">
        <f>VLOOKUP(DATE(YEAR(A164),MONTH(A164),1),'15. S&amp;P500'!$A$3:$J$6350,8,)</f>
        <v>3.4419614642920759E-2</v>
      </c>
      <c r="C164" s="296">
        <f>VLOOKUP(DATE(YEAR(A164),MONTH(A164),1),'18. US 10Y Yield'!D:J,7,)</f>
        <v>4.6697499999999996E-2</v>
      </c>
      <c r="D164" s="298">
        <f t="shared" si="2"/>
        <v>-1.2277885357079237E-2</v>
      </c>
    </row>
    <row r="165" spans="1:4" x14ac:dyDescent="0.2">
      <c r="A165" s="295">
        <v>38930</v>
      </c>
      <c r="B165" s="271">
        <f>VLOOKUP(DATE(YEAR(A165),MONTH(A165),1),'15. S&amp;P500'!$A$3:$J$6350,8,)</f>
        <v>6.8415920283857679E-2</v>
      </c>
      <c r="C165" s="296">
        <f>VLOOKUP(DATE(YEAR(A165),MONTH(A165),1),'18. US 10Y Yield'!D:J,7,)</f>
        <v>4.7290833333333337E-2</v>
      </c>
      <c r="D165" s="298">
        <f t="shared" si="2"/>
        <v>2.1125086950524341E-2</v>
      </c>
    </row>
    <row r="166" spans="1:4" x14ac:dyDescent="0.2">
      <c r="A166" s="295">
        <v>38961</v>
      </c>
      <c r="B166" s="271">
        <f>VLOOKUP(DATE(YEAR(A166),MONTH(A166),1),'15. S&amp;P500'!$A$3:$J$6350,8,)</f>
        <v>8.7108666107860389E-2</v>
      </c>
      <c r="C166" s="296">
        <f>VLOOKUP(DATE(YEAR(A166),MONTH(A166),1),'18. US 10Y Yield'!D:J,7,)</f>
        <v>4.7545000000000004E-2</v>
      </c>
      <c r="D166" s="298">
        <f t="shared" si="2"/>
        <v>3.9563666107860385E-2</v>
      </c>
    </row>
    <row r="167" spans="1:4" x14ac:dyDescent="0.2">
      <c r="A167" s="295">
        <v>38991</v>
      </c>
      <c r="B167" s="271">
        <f>VLOOKUP(DATE(YEAR(A167),MONTH(A167),1),'15. S&amp;P500'!$A$3:$J$6350,8,)</f>
        <v>0.1416144025318764</v>
      </c>
      <c r="C167" s="296">
        <f>VLOOKUP(DATE(YEAR(A167),MONTH(A167),1),'18. US 10Y Yield'!D:J,7,)</f>
        <v>4.758416666666667E-2</v>
      </c>
      <c r="D167" s="298">
        <f t="shared" si="2"/>
        <v>9.4030235865209727E-2</v>
      </c>
    </row>
    <row r="168" spans="1:4" x14ac:dyDescent="0.2">
      <c r="A168" s="295">
        <v>39022</v>
      </c>
      <c r="B168" s="271">
        <f>VLOOKUP(DATE(YEAR(A168),MONTH(A168),1),'15. S&amp;P500'!$A$3:$J$6350,8,)</f>
        <v>0.12097032365464044</v>
      </c>
      <c r="C168" s="296">
        <f>VLOOKUP(DATE(YEAR(A168),MONTH(A168),1),'18. US 10Y Yield'!D:J,7,)</f>
        <v>4.754916666666667E-2</v>
      </c>
      <c r="D168" s="298">
        <f t="shared" si="2"/>
        <v>7.3421156987973774E-2</v>
      </c>
    </row>
    <row r="169" spans="1:4" x14ac:dyDescent="0.2">
      <c r="A169" s="295">
        <v>39052</v>
      </c>
      <c r="B169" s="271">
        <f>VLOOKUP(DATE(YEAR(A169),MONTH(A169),1),'15. S&amp;P500'!$A$3:$J$6350,8,)</f>
        <v>0.13619431382130753</v>
      </c>
      <c r="C169" s="296">
        <f>VLOOKUP(DATE(YEAR(A169),MONTH(A169),1),'18. US 10Y Yield'!D:J,7,)</f>
        <v>4.7811666666666669E-2</v>
      </c>
      <c r="D169" s="298">
        <f t="shared" si="2"/>
        <v>8.8382647154640864E-2</v>
      </c>
    </row>
    <row r="170" spans="1:4" x14ac:dyDescent="0.2">
      <c r="A170" s="295">
        <v>39083</v>
      </c>
      <c r="B170" s="271">
        <f>VLOOKUP(DATE(YEAR(A170),MONTH(A170),1),'15. S&amp;P500'!$A$3:$J$6350,8,)</f>
        <v>0.12355477782638591</v>
      </c>
      <c r="C170" s="296">
        <f>VLOOKUP(DATE(YEAR(A170),MONTH(A170),1),'18. US 10Y Yield'!D:J,7,)</f>
        <v>4.8060833333333337E-2</v>
      </c>
      <c r="D170" s="298">
        <f t="shared" si="2"/>
        <v>7.5493944493052578E-2</v>
      </c>
    </row>
    <row r="171" spans="1:4" x14ac:dyDescent="0.2">
      <c r="A171" s="295">
        <v>39114</v>
      </c>
      <c r="B171" s="271">
        <f>VLOOKUP(DATE(YEAR(A171),MONTH(A171),1),'15. S&amp;P500'!$A$3:$J$6350,8,)</f>
        <v>9.8511704902159769E-2</v>
      </c>
      <c r="C171" s="296">
        <f>VLOOKUP(DATE(YEAR(A171),MONTH(A171),1),'18. US 10Y Yield'!D:J,7,)</f>
        <v>4.806333333333334E-2</v>
      </c>
      <c r="D171" s="298">
        <f t="shared" si="2"/>
        <v>5.0448371568826429E-2</v>
      </c>
    </row>
    <row r="172" spans="1:4" x14ac:dyDescent="0.2">
      <c r="A172" s="295">
        <v>39142</v>
      </c>
      <c r="B172" s="271">
        <f>VLOOKUP(DATE(YEAR(A172),MONTH(A172),1),'15. S&amp;P500'!$A$3:$J$6350,8,)</f>
        <v>9.7333240657074604E-2</v>
      </c>
      <c r="C172" s="296">
        <f>VLOOKUP(DATE(YEAR(A172),MONTH(A172),1),'18. US 10Y Yield'!D:J,7,)</f>
        <v>4.7892499999999991E-2</v>
      </c>
      <c r="D172" s="298">
        <f t="shared" si="2"/>
        <v>4.9440740657074614E-2</v>
      </c>
    </row>
    <row r="173" spans="1:4" x14ac:dyDescent="0.2">
      <c r="A173" s="295">
        <v>39173</v>
      </c>
      <c r="B173" s="271">
        <f>VLOOKUP(DATE(YEAR(A173),MONTH(A173),1),'15. S&amp;P500'!$A$3:$J$6350,8,)</f>
        <v>0.13105347891439867</v>
      </c>
      <c r="C173" s="296">
        <f>VLOOKUP(DATE(YEAR(A173),MONTH(A173),1),'18. US 10Y Yield'!D:J,7,)</f>
        <v>4.7526666666666675E-2</v>
      </c>
      <c r="D173" s="298">
        <f t="shared" si="2"/>
        <v>8.3526812247731994E-2</v>
      </c>
    </row>
    <row r="174" spans="1:4" x14ac:dyDescent="0.2">
      <c r="A174" s="295">
        <v>39203</v>
      </c>
      <c r="B174" s="271">
        <f>VLOOKUP(DATE(YEAR(A174),MONTH(A174),1),'15. S&amp;P500'!$A$3:$J$6350,8,)</f>
        <v>0.20512719571054028</v>
      </c>
      <c r="C174" s="296">
        <f>VLOOKUP(DATE(YEAR(A174),MONTH(A174),1),'18. US 10Y Yield'!D:J,7,)</f>
        <v>4.7340833333333332E-2</v>
      </c>
      <c r="D174" s="298">
        <f t="shared" si="2"/>
        <v>0.15778636237720695</v>
      </c>
    </row>
    <row r="175" spans="1:4" x14ac:dyDescent="0.2">
      <c r="A175" s="295">
        <v>39234</v>
      </c>
      <c r="B175" s="271">
        <f>VLOOKUP(DATE(YEAR(A175),MONTH(A175),1),'15. S&amp;P500'!$A$3:$J$6350,8,)</f>
        <v>0.18355377105967552</v>
      </c>
      <c r="C175" s="296">
        <f>VLOOKUP(DATE(YEAR(A175),MONTH(A175),1),'18. US 10Y Yield'!D:J,7,)</f>
        <v>4.7253333333333335E-2</v>
      </c>
      <c r="D175" s="298">
        <f t="shared" si="2"/>
        <v>0.13630043772634218</v>
      </c>
    </row>
    <row r="176" spans="1:4" x14ac:dyDescent="0.2">
      <c r="A176" s="295">
        <v>39264</v>
      </c>
      <c r="B176" s="271">
        <f>VLOOKUP(DATE(YEAR(A176),MONTH(A176),1),'15. S&amp;P500'!$A$3:$J$6350,8,)</f>
        <v>0.13990412482571712</v>
      </c>
      <c r="C176" s="296">
        <f>VLOOKUP(DATE(YEAR(A176),MONTH(A176),1),'18. US 10Y Yield'!D:J,7,)</f>
        <v>4.7072500000000003E-2</v>
      </c>
      <c r="D176" s="298">
        <f t="shared" si="2"/>
        <v>9.2831624825717121E-2</v>
      </c>
    </row>
    <row r="177" spans="1:4" x14ac:dyDescent="0.2">
      <c r="A177" s="295">
        <v>39295</v>
      </c>
      <c r="B177" s="271">
        <f>VLOOKUP(DATE(YEAR(A177),MONTH(A177),1),'15. S&amp;P500'!$A$3:$J$6350,8,)</f>
        <v>0.1305164823365188</v>
      </c>
      <c r="C177" s="296">
        <f>VLOOKUP(DATE(YEAR(A177),MONTH(A177),1),'18. US 10Y Yield'!D:J,7,)</f>
        <v>4.691E-2</v>
      </c>
      <c r="D177" s="298">
        <f t="shared" si="2"/>
        <v>8.3606482336518795E-2</v>
      </c>
    </row>
    <row r="178" spans="1:4" x14ac:dyDescent="0.2">
      <c r="A178" s="295">
        <v>39326</v>
      </c>
      <c r="B178" s="271">
        <f>VLOOKUP(DATE(YEAR(A178),MONTH(A178),1),'15. S&amp;P500'!$A$3:$J$6350,8,)</f>
        <v>0.14290526630984024</v>
      </c>
      <c r="C178" s="296">
        <f>VLOOKUP(DATE(YEAR(A178),MONTH(A178),1),'18. US 10Y Yield'!D:J,7,)</f>
        <v>4.6865000000000004E-2</v>
      </c>
      <c r="D178" s="298">
        <f t="shared" si="2"/>
        <v>9.6040266309840236E-2</v>
      </c>
    </row>
    <row r="179" spans="1:4" x14ac:dyDescent="0.2">
      <c r="A179" s="295">
        <v>39356</v>
      </c>
      <c r="B179" s="271">
        <f>VLOOKUP(DATE(YEAR(A179),MONTH(A179),1),'15. S&amp;P500'!$A$3:$J$6350,8,)</f>
        <v>0.12441760889443665</v>
      </c>
      <c r="C179" s="296">
        <f>VLOOKUP(DATE(YEAR(A179),MONTH(A179),1),'18. US 10Y Yield'!D:J,7,)</f>
        <v>4.675583333333333E-2</v>
      </c>
      <c r="D179" s="298">
        <f t="shared" si="2"/>
        <v>7.7661775561103319E-2</v>
      </c>
    </row>
    <row r="180" spans="1:4" x14ac:dyDescent="0.2">
      <c r="A180" s="295">
        <v>39387</v>
      </c>
      <c r="B180" s="271">
        <f>VLOOKUP(DATE(YEAR(A180),MONTH(A180),1),'15. S&amp;P500'!$A$3:$J$6350,8,)</f>
        <v>5.748127628281563E-2</v>
      </c>
      <c r="C180" s="296">
        <f>VLOOKUP(DATE(YEAR(A180),MONTH(A180),1),'18. US 10Y Yield'!D:J,7,)</f>
        <v>4.6350833333333334E-2</v>
      </c>
      <c r="D180" s="298">
        <f t="shared" si="2"/>
        <v>1.1130442949482296E-2</v>
      </c>
    </row>
    <row r="181" spans="1:4" x14ac:dyDescent="0.2">
      <c r="A181" s="295">
        <v>39417</v>
      </c>
      <c r="B181" s="271">
        <f>VLOOKUP(DATE(YEAR(A181),MONTH(A181),1),'15. S&amp;P500'!$A$3:$J$6350,8,)</f>
        <v>3.5295776633998521E-2</v>
      </c>
      <c r="C181" s="296">
        <f>VLOOKUP(DATE(YEAR(A181),MONTH(A181),1),'18. US 10Y Yield'!D:J,7,)</f>
        <v>4.5788333333333327E-2</v>
      </c>
      <c r="D181" s="298">
        <f t="shared" si="2"/>
        <v>-1.0492556699334805E-2</v>
      </c>
    </row>
    <row r="182" spans="1:4" x14ac:dyDescent="0.2">
      <c r="A182" s="295">
        <v>39448</v>
      </c>
      <c r="B182" s="271">
        <f>VLOOKUP(DATE(YEAR(A182),MONTH(A182),1),'15. S&amp;P500'!$A$3:$J$6350,8,)</f>
        <v>-4.1502113694515508E-2</v>
      </c>
      <c r="C182" s="296">
        <f>VLOOKUP(DATE(YEAR(A182),MONTH(A182),1),'18. US 10Y Yield'!D:J,7,)</f>
        <v>4.4799166666666668E-2</v>
      </c>
      <c r="D182" s="298">
        <f t="shared" ref="D182:D245" si="3">B182-C182</f>
        <v>-8.6301280361182175E-2</v>
      </c>
    </row>
    <row r="183" spans="1:4" x14ac:dyDescent="0.2">
      <c r="A183" s="295">
        <v>39479</v>
      </c>
      <c r="B183" s="271">
        <f>VLOOKUP(DATE(YEAR(A183),MONTH(A183),1),'15. S&amp;P500'!$A$3:$J$6350,8,)</f>
        <v>-5.4157603673533061E-2</v>
      </c>
      <c r="C183" s="296">
        <f>VLOOKUP(DATE(YEAR(A183),MONTH(A183),1),'18. US 10Y Yield'!D:J,7,)</f>
        <v>4.3952500000000005E-2</v>
      </c>
      <c r="D183" s="298">
        <f t="shared" si="3"/>
        <v>-9.8110103673533067E-2</v>
      </c>
    </row>
    <row r="184" spans="1:4" x14ac:dyDescent="0.2">
      <c r="A184" s="295">
        <v>39508</v>
      </c>
      <c r="B184" s="271">
        <f>VLOOKUP(DATE(YEAR(A184),MONTH(A184),1),'15. S&amp;P500'!$A$3:$J$6350,8,)</f>
        <v>-6.9084920400320882E-2</v>
      </c>
      <c r="C184" s="296">
        <f>VLOOKUP(DATE(YEAR(A184),MONTH(A184),1),'18. US 10Y Yield'!D:J,7,)</f>
        <v>4.2939166666666667E-2</v>
      </c>
      <c r="D184" s="298">
        <f t="shared" si="3"/>
        <v>-0.11202408706698755</v>
      </c>
    </row>
    <row r="185" spans="1:4" x14ac:dyDescent="0.2">
      <c r="A185" s="295">
        <v>39539</v>
      </c>
      <c r="B185" s="271">
        <f>VLOOKUP(DATE(YEAR(A185),MONTH(A185),1),'15. S&amp;P500'!$A$3:$J$6350,8,)</f>
        <v>-6.5287343915486629E-2</v>
      </c>
      <c r="C185" s="296">
        <f>VLOOKUP(DATE(YEAR(A185),MONTH(A185),1),'18. US 10Y Yield'!D:J,7,)</f>
        <v>4.2213333333333339E-2</v>
      </c>
      <c r="D185" s="298">
        <f t="shared" si="3"/>
        <v>-0.10750067724881997</v>
      </c>
    </row>
    <row r="186" spans="1:4" x14ac:dyDescent="0.2">
      <c r="A186" s="295">
        <v>39569</v>
      </c>
      <c r="B186" s="271">
        <f>VLOOKUP(DATE(YEAR(A186),MONTH(A186),1),'15. S&amp;P500'!$A$3:$J$6350,8,)</f>
        <v>-8.5089702212175267E-2</v>
      </c>
      <c r="C186" s="296">
        <f>VLOOKUP(DATE(YEAR(A186),MONTH(A186),1),'18. US 10Y Yield'!D:J,7,)</f>
        <v>4.1510000000000005E-2</v>
      </c>
      <c r="D186" s="298">
        <f t="shared" si="3"/>
        <v>-0.12659970221217526</v>
      </c>
    </row>
    <row r="187" spans="1:4" x14ac:dyDescent="0.2">
      <c r="A187" s="295">
        <v>39600</v>
      </c>
      <c r="B187" s="271">
        <f>VLOOKUP(DATE(YEAR(A187),MONTH(A187),1),'15. S&amp;P500'!$A$3:$J$6350,8,)</f>
        <v>-0.1485681976918215</v>
      </c>
      <c r="C187" s="296">
        <f>VLOOKUP(DATE(YEAR(A187),MONTH(A187),1),'18. US 10Y Yield'!D:J,7,)</f>
        <v>4.0631666666666663E-2</v>
      </c>
      <c r="D187" s="298">
        <f t="shared" si="3"/>
        <v>-0.18919986435848818</v>
      </c>
    </row>
    <row r="188" spans="1:4" x14ac:dyDescent="0.2">
      <c r="A188" s="295">
        <v>39630</v>
      </c>
      <c r="B188" s="271">
        <f>VLOOKUP(DATE(YEAR(A188),MONTH(A188),1),'15. S&amp;P500'!$A$3:$J$6350,8,)</f>
        <v>-0.12911006205034103</v>
      </c>
      <c r="C188" s="296">
        <f>VLOOKUP(DATE(YEAR(A188),MONTH(A188),1),'18. US 10Y Yield'!D:J,7,)</f>
        <v>3.9971666666666662E-2</v>
      </c>
      <c r="D188" s="298">
        <f t="shared" si="3"/>
        <v>-0.16908172871700769</v>
      </c>
    </row>
    <row r="189" spans="1:4" x14ac:dyDescent="0.2">
      <c r="A189" s="295">
        <v>39661</v>
      </c>
      <c r="B189" s="271">
        <f>VLOOKUP(DATE(YEAR(A189),MONTH(A189),1),'15. S&amp;P500'!$A$3:$J$6350,8,)</f>
        <v>-0.12968880385891357</v>
      </c>
      <c r="C189" s="296">
        <f>VLOOKUP(DATE(YEAR(A189),MONTH(A189),1),'18. US 10Y Yield'!D:J,7,)</f>
        <v>3.9368333333333332E-2</v>
      </c>
      <c r="D189" s="298">
        <f t="shared" si="3"/>
        <v>-0.16905713719224691</v>
      </c>
    </row>
    <row r="190" spans="1:4" x14ac:dyDescent="0.2">
      <c r="A190" s="295">
        <v>39692</v>
      </c>
      <c r="B190" s="271">
        <f>VLOOKUP(DATE(YEAR(A190),MONTH(A190),1),'15. S&amp;P500'!$A$3:$J$6350,8,)</f>
        <v>-0.23605043392827907</v>
      </c>
      <c r="C190" s="296">
        <f>VLOOKUP(DATE(YEAR(A190),MONTH(A190),1),'18. US 10Y Yield'!D:J,7,)</f>
        <v>3.874166666666666E-2</v>
      </c>
      <c r="D190" s="298">
        <f t="shared" si="3"/>
        <v>-0.27479210059494574</v>
      </c>
    </row>
    <row r="191" spans="1:4" x14ac:dyDescent="0.2">
      <c r="A191" s="295">
        <v>39722</v>
      </c>
      <c r="B191" s="271">
        <f>VLOOKUP(DATE(YEAR(A191),MONTH(A191),1),'15. S&amp;P500'!$A$3:$J$6350,8,)</f>
        <v>-0.37474989995998409</v>
      </c>
      <c r="C191" s="296">
        <f>VLOOKUP(DATE(YEAR(A191),MONTH(A191),1),'18. US 10Y Yield'!D:J,7,)</f>
        <v>3.8320833333333332E-2</v>
      </c>
      <c r="D191" s="298">
        <f t="shared" si="3"/>
        <v>-0.41307073329331745</v>
      </c>
    </row>
    <row r="192" spans="1:4" x14ac:dyDescent="0.2">
      <c r="A192" s="295">
        <v>39753</v>
      </c>
      <c r="B192" s="271">
        <f>VLOOKUP(DATE(YEAR(A192),MONTH(A192),1),'15. S&amp;P500'!$A$3:$J$6350,8,)</f>
        <v>-0.3948985241098073</v>
      </c>
      <c r="C192" s="296">
        <f>VLOOKUP(DATE(YEAR(A192),MONTH(A192),1),'18. US 10Y Yield'!D:J,7,)</f>
        <v>3.7474999999999994E-2</v>
      </c>
      <c r="D192" s="298">
        <f t="shared" si="3"/>
        <v>-0.43237352410980728</v>
      </c>
    </row>
    <row r="193" spans="1:4" x14ac:dyDescent="0.2">
      <c r="A193" s="295">
        <v>39783</v>
      </c>
      <c r="B193" s="271">
        <f>VLOOKUP(DATE(YEAR(A193),MONTH(A193),1),'15. S&amp;P500'!$A$3:$J$6350,8,)</f>
        <v>-0.38485793674575708</v>
      </c>
      <c r="C193" s="296">
        <f>VLOOKUP(DATE(YEAR(A193),MONTH(A193),1),'18. US 10Y Yield'!D:J,7,)</f>
        <v>3.5982500000000001E-2</v>
      </c>
      <c r="D193" s="298">
        <f t="shared" si="3"/>
        <v>-0.42084043674575711</v>
      </c>
    </row>
    <row r="194" spans="1:4" x14ac:dyDescent="0.2">
      <c r="A194" s="295">
        <v>39814</v>
      </c>
      <c r="B194" s="271">
        <f>VLOOKUP(DATE(YEAR(A194),MONTH(A194),1),'15. S&amp;P500'!$A$3:$J$6350,8,)</f>
        <v>-0.40090674984585251</v>
      </c>
      <c r="C194" s="296">
        <f>VLOOKUP(DATE(YEAR(A194),MONTH(A194),1),'18. US 10Y Yield'!D:J,7,)</f>
        <v>3.5319999999999997E-2</v>
      </c>
      <c r="D194" s="298">
        <f t="shared" si="3"/>
        <v>-0.43622674984585252</v>
      </c>
    </row>
    <row r="195" spans="1:4" x14ac:dyDescent="0.2">
      <c r="A195" s="295">
        <v>39845</v>
      </c>
      <c r="B195" s="271">
        <f>VLOOKUP(DATE(YEAR(A195),MONTH(A195),1),'15. S&amp;P500'!$A$3:$J$6350,8,)</f>
        <v>-0.44756243283256802</v>
      </c>
      <c r="C195" s="296">
        <f>VLOOKUP(DATE(YEAR(A195),MONTH(A195),1),'18. US 10Y Yield'!D:J,7,)</f>
        <v>3.4909166666666665E-2</v>
      </c>
      <c r="D195" s="298">
        <f t="shared" si="3"/>
        <v>-0.48247159949923468</v>
      </c>
    </row>
    <row r="196" spans="1:4" x14ac:dyDescent="0.2">
      <c r="A196" s="295">
        <v>39873</v>
      </c>
      <c r="B196" s="271">
        <f>VLOOKUP(DATE(YEAR(A196),MONTH(A196),1),'15. S&amp;P500'!$A$3:$J$6350,8,)</f>
        <v>-0.39678687533076284</v>
      </c>
      <c r="C196" s="296">
        <f>VLOOKUP(DATE(YEAR(A196),MONTH(A196),1),'18. US 10Y Yield'!D:J,7,)</f>
        <v>3.4286666666666667E-2</v>
      </c>
      <c r="D196" s="298">
        <f t="shared" si="3"/>
        <v>-0.43107354199742953</v>
      </c>
    </row>
    <row r="197" spans="1:4" x14ac:dyDescent="0.2">
      <c r="A197" s="295">
        <v>39904</v>
      </c>
      <c r="B197" s="271">
        <f>VLOOKUP(DATE(YEAR(A197),MONTH(A197),1),'15. S&amp;P500'!$A$3:$J$6350,8,)</f>
        <v>-0.37008061547788307</v>
      </c>
      <c r="C197" s="296">
        <f>VLOOKUP(DATE(YEAR(A197),MONTH(A197),1),'18. US 10Y Yield'!D:J,7,)</f>
        <v>3.3757500000000003E-2</v>
      </c>
      <c r="D197" s="298">
        <f t="shared" si="3"/>
        <v>-0.40383811547788306</v>
      </c>
    </row>
    <row r="198" spans="1:4" x14ac:dyDescent="0.2">
      <c r="A198" s="295">
        <v>39934</v>
      </c>
      <c r="B198" s="271">
        <f>VLOOKUP(DATE(YEAR(A198),MONTH(A198),1),'15. S&amp;P500'!$A$3:$J$6350,8,)</f>
        <v>-0.34364958082806096</v>
      </c>
      <c r="C198" s="296">
        <f>VLOOKUP(DATE(YEAR(A198),MONTH(A198),1),'18. US 10Y Yield'!D:J,7,)</f>
        <v>3.3273333333333342E-2</v>
      </c>
      <c r="D198" s="298">
        <f t="shared" si="3"/>
        <v>-0.37692291416139428</v>
      </c>
    </row>
    <row r="199" spans="1:4" x14ac:dyDescent="0.2">
      <c r="A199" s="295">
        <v>39965</v>
      </c>
      <c r="B199" s="271">
        <f>VLOOKUP(DATE(YEAR(A199),MONTH(A199),1),'15. S&amp;P500'!$A$3:$J$6350,8,)</f>
        <v>-0.28178124999999998</v>
      </c>
      <c r="C199" s="296">
        <f>VLOOKUP(DATE(YEAR(A199),MONTH(A199),1),'18. US 10Y Yield'!D:J,7,)</f>
        <v>3.2893333333333337E-2</v>
      </c>
      <c r="D199" s="298">
        <f t="shared" si="3"/>
        <v>-0.31467458333333331</v>
      </c>
    </row>
    <row r="200" spans="1:4" x14ac:dyDescent="0.2">
      <c r="A200" s="295">
        <v>39995</v>
      </c>
      <c r="B200" s="271">
        <f>VLOOKUP(DATE(YEAR(A200),MONTH(A200),1),'15. S&amp;P500'!$A$3:$J$6350,8,)</f>
        <v>-0.2208493111773896</v>
      </c>
      <c r="C200" s="296">
        <f>VLOOKUP(DATE(YEAR(A200),MONTH(A200),1),'18. US 10Y Yield'!D:J,7,)</f>
        <v>3.2494999999999996E-2</v>
      </c>
      <c r="D200" s="298">
        <f t="shared" si="3"/>
        <v>-0.25334431117738959</v>
      </c>
    </row>
    <row r="201" spans="1:4" x14ac:dyDescent="0.2">
      <c r="A201" s="295">
        <v>40026</v>
      </c>
      <c r="B201" s="271">
        <f>VLOOKUP(DATE(YEAR(A201),MONTH(A201),1),'15. S&amp;P500'!$A$3:$J$6350,8,)</f>
        <v>-0.20439964765401486</v>
      </c>
      <c r="C201" s="296">
        <f>VLOOKUP(DATE(YEAR(A201),MONTH(A201),1),'18. US 10Y Yield'!D:J,7,)</f>
        <v>3.2151666666666662E-2</v>
      </c>
      <c r="D201" s="298">
        <f t="shared" si="3"/>
        <v>-0.23655131432068152</v>
      </c>
    </row>
    <row r="202" spans="1:4" x14ac:dyDescent="0.2">
      <c r="A202" s="295">
        <v>40057</v>
      </c>
      <c r="B202" s="271">
        <f>VLOOKUP(DATE(YEAR(A202),MONTH(A202),1),'15. S&amp;P500'!$A$3:$J$6350,8,)</f>
        <v>-9.3693199355259105E-2</v>
      </c>
      <c r="C202" s="296">
        <f>VLOOKUP(DATE(YEAR(A202),MONTH(A202),1),'18. US 10Y Yield'!D:J,7,)</f>
        <v>3.1718333333333334E-2</v>
      </c>
      <c r="D202" s="298">
        <f t="shared" si="3"/>
        <v>-0.12541153268859245</v>
      </c>
    </row>
    <row r="203" spans="1:4" x14ac:dyDescent="0.2">
      <c r="A203" s="295">
        <v>40087</v>
      </c>
      <c r="B203" s="271">
        <f>VLOOKUP(DATE(YEAR(A203),MONTH(A203),1),'15. S&amp;P500'!$A$3:$J$6350,8,)</f>
        <v>6.961548387096772E-2</v>
      </c>
      <c r="C203" s="296">
        <f>VLOOKUP(DATE(YEAR(A203),MONTH(A203),1),'18. US 10Y Yield'!D:J,7,)</f>
        <v>3.123666666666667E-2</v>
      </c>
      <c r="D203" s="298">
        <f t="shared" si="3"/>
        <v>3.8378817204301051E-2</v>
      </c>
    </row>
    <row r="204" spans="1:4" x14ac:dyDescent="0.2">
      <c r="A204" s="295">
        <v>40118</v>
      </c>
      <c r="B204" s="271">
        <f>VLOOKUP(DATE(YEAR(A204),MONTH(A204),1),'15. S&amp;P500'!$A$3:$J$6350,8,)</f>
        <v>0.22247389092207448</v>
      </c>
      <c r="C204" s="296">
        <f>VLOOKUP(DATE(YEAR(A204),MONTH(A204),1),'18. US 10Y Yield'!D:J,7,)</f>
        <v>3.1440000000000003E-2</v>
      </c>
      <c r="D204" s="298">
        <f t="shared" si="3"/>
        <v>0.19103389092207448</v>
      </c>
    </row>
    <row r="205" spans="1:4" x14ac:dyDescent="0.2">
      <c r="A205" s="295">
        <v>40148</v>
      </c>
      <c r="B205" s="271">
        <f>VLOOKUP(DATE(YEAR(A205),MONTH(A205),1),'15. S&amp;P500'!$A$3:$J$6350,8,)</f>
        <v>0.23454193191253792</v>
      </c>
      <c r="C205" s="296">
        <f>VLOOKUP(DATE(YEAR(A205),MONTH(A205),1),'18. US 10Y Yield'!D:J,7,)</f>
        <v>3.2772500000000003E-2</v>
      </c>
      <c r="D205" s="298">
        <f t="shared" si="3"/>
        <v>0.20176943191253791</v>
      </c>
    </row>
    <row r="206" spans="1:4" x14ac:dyDescent="0.2">
      <c r="A206" s="295">
        <v>40179</v>
      </c>
      <c r="B206" s="271">
        <f>VLOOKUP(DATE(YEAR(A206),MONTH(A206),1),'15. S&amp;P500'!$A$3:$J$6350,8,)</f>
        <v>0.30027364750326901</v>
      </c>
      <c r="C206" s="296">
        <f>VLOOKUP(DATE(YEAR(A206),MONTH(A206),1),'18. US 10Y Yield'!D:J,7,)</f>
        <v>3.3409999999999995E-2</v>
      </c>
      <c r="D206" s="298">
        <f t="shared" si="3"/>
        <v>0.26686364750326902</v>
      </c>
    </row>
    <row r="207" spans="1:4" x14ac:dyDescent="0.2">
      <c r="A207" s="295">
        <v>40210</v>
      </c>
      <c r="B207" s="271">
        <f>VLOOKUP(DATE(YEAR(A207),MONTH(A207),1),'15. S&amp;P500'!$A$3:$J$6350,8,)</f>
        <v>0.50252350052374539</v>
      </c>
      <c r="C207" s="296">
        <f>VLOOKUP(DATE(YEAR(A207),MONTH(A207),1),'18. US 10Y Yield'!D:J,7,)</f>
        <v>3.3871666666666668E-2</v>
      </c>
      <c r="D207" s="298">
        <f t="shared" si="3"/>
        <v>0.4686518338570787</v>
      </c>
    </row>
    <row r="208" spans="1:4" x14ac:dyDescent="0.2">
      <c r="A208" s="295">
        <v>40238</v>
      </c>
      <c r="B208" s="271">
        <f>VLOOKUP(DATE(YEAR(A208),MONTH(A208),1),'15. S&amp;P500'!$A$3:$J$6350,8,)</f>
        <v>0.4656898993570382</v>
      </c>
      <c r="C208" s="296">
        <f>VLOOKUP(DATE(YEAR(A208),MONTH(A208),1),'18. US 10Y Yield'!D:J,7,)</f>
        <v>3.4828333333333329E-2</v>
      </c>
      <c r="D208" s="298">
        <f t="shared" si="3"/>
        <v>0.43086156602370485</v>
      </c>
    </row>
    <row r="209" spans="1:4" x14ac:dyDescent="0.2">
      <c r="A209" s="295">
        <v>40269</v>
      </c>
      <c r="B209" s="271">
        <f>VLOOKUP(DATE(YEAR(A209),MONTH(A209),1),'15. S&amp;P500'!$A$3:$J$6350,8,)</f>
        <v>0.35962007768013682</v>
      </c>
      <c r="C209" s="296">
        <f>VLOOKUP(DATE(YEAR(A209),MONTH(A209),1),'18. US 10Y Yield'!D:J,7,)</f>
        <v>3.5277499999999989E-2</v>
      </c>
      <c r="D209" s="298">
        <f t="shared" si="3"/>
        <v>0.32434257768013686</v>
      </c>
    </row>
    <row r="210" spans="1:4" x14ac:dyDescent="0.2">
      <c r="A210" s="295">
        <v>40299</v>
      </c>
      <c r="B210" s="271">
        <f>VLOOKUP(DATE(YEAR(A210),MONTH(A210),1),'15. S&amp;P500'!$A$3:$J$6350,8,)</f>
        <v>0.18524925473812481</v>
      </c>
      <c r="C210" s="296">
        <f>VLOOKUP(DATE(YEAR(A210),MONTH(A210),1),'18. US 10Y Yield'!D:J,7,)</f>
        <v>3.5140833333333329E-2</v>
      </c>
      <c r="D210" s="298">
        <f t="shared" si="3"/>
        <v>0.15010842140479147</v>
      </c>
    </row>
    <row r="211" spans="1:4" x14ac:dyDescent="0.2">
      <c r="A211" s="295">
        <v>40330</v>
      </c>
      <c r="B211" s="271">
        <f>VLOOKUP(DATE(YEAR(A211),MONTH(A211),1),'15. S&amp;P500'!$A$3:$J$6350,8,)</f>
        <v>0.12116564417177922</v>
      </c>
      <c r="C211" s="296">
        <f>VLOOKUP(DATE(YEAR(A211),MONTH(A211),1),'18. US 10Y Yield'!D:J,7,)</f>
        <v>3.4664166666666663E-2</v>
      </c>
      <c r="D211" s="298">
        <f t="shared" si="3"/>
        <v>8.6501477505112556E-2</v>
      </c>
    </row>
    <row r="212" spans="1:4" x14ac:dyDescent="0.2">
      <c r="A212" s="295">
        <v>40360</v>
      </c>
      <c r="B212" s="271">
        <f>VLOOKUP(DATE(YEAR(A212),MONTH(A212),1),'15. S&amp;P500'!$A$3:$J$6350,8,)</f>
        <v>0.11556689755741867</v>
      </c>
      <c r="C212" s="296">
        <f>VLOOKUP(DATE(YEAR(A212),MONTH(A212),1),'18. US 10Y Yield'!D:J,7,)</f>
        <v>3.4169166666666667E-2</v>
      </c>
      <c r="D212" s="298">
        <f t="shared" si="3"/>
        <v>8.1397730890752001E-2</v>
      </c>
    </row>
    <row r="213" spans="1:4" x14ac:dyDescent="0.2">
      <c r="A213" s="295">
        <v>40391</v>
      </c>
      <c r="B213" s="271">
        <f>VLOOKUP(DATE(YEAR(A213),MONTH(A213),1),'15. S&amp;P500'!$A$3:$J$6350,8,)</f>
        <v>2.8129960220258265E-2</v>
      </c>
      <c r="C213" s="296">
        <f>VLOOKUP(DATE(YEAR(A213),MONTH(A213),1),'18. US 10Y Yield'!D:J,7,)</f>
        <v>3.3399166666666667E-2</v>
      </c>
      <c r="D213" s="298">
        <f t="shared" si="3"/>
        <v>-5.2692064464084018E-3</v>
      </c>
    </row>
    <row r="214" spans="1:4" x14ac:dyDescent="0.2">
      <c r="A214" s="295">
        <v>40422</v>
      </c>
      <c r="B214" s="271">
        <f>VLOOKUP(DATE(YEAR(A214),MONTH(A214),1),'15. S&amp;P500'!$A$3:$J$6350,8,)</f>
        <v>7.9577704620274803E-2</v>
      </c>
      <c r="C214" s="296">
        <f>VLOOKUP(DATE(YEAR(A214),MONTH(A214),1),'18. US 10Y Yield'!D:J,7,)</f>
        <v>3.2740833333333337E-2</v>
      </c>
      <c r="D214" s="298">
        <f t="shared" si="3"/>
        <v>4.6836871286941466E-2</v>
      </c>
    </row>
    <row r="215" spans="1:4" x14ac:dyDescent="0.2">
      <c r="A215" s="295">
        <v>40452</v>
      </c>
      <c r="B215" s="271">
        <f>VLOOKUP(DATE(YEAR(A215),MONTH(A215),1),'15. S&amp;P500'!$A$3:$J$6350,8,)</f>
        <v>0.14193342919734797</v>
      </c>
      <c r="C215" s="296">
        <f>VLOOKUP(DATE(YEAR(A215),MONTH(A215),1),'18. US 10Y Yield'!D:J,7,)</f>
        <v>3.2090833333333339E-2</v>
      </c>
      <c r="D215" s="298">
        <f t="shared" si="3"/>
        <v>0.10984259586401462</v>
      </c>
    </row>
    <row r="216" spans="1:4" x14ac:dyDescent="0.2">
      <c r="A216" s="295">
        <v>40483</v>
      </c>
      <c r="B216" s="271">
        <f>VLOOKUP(DATE(YEAR(A216),MONTH(A216),1),'15. S&amp;P500'!$A$3:$J$6350,8,)</f>
        <v>7.7507917818971483E-2</v>
      </c>
      <c r="C216" s="296">
        <f>VLOOKUP(DATE(YEAR(A216),MONTH(A216),1),'18. US 10Y Yield'!D:J,7,)</f>
        <v>3.1754166666666667E-2</v>
      </c>
      <c r="D216" s="298">
        <f t="shared" si="3"/>
        <v>4.5753751152304817E-2</v>
      </c>
    </row>
    <row r="217" spans="1:4" x14ac:dyDescent="0.2">
      <c r="A217" s="295">
        <v>40513</v>
      </c>
      <c r="B217" s="271">
        <f>VLOOKUP(DATE(YEAR(A217),MONTH(A217),1),'15. S&amp;P500'!$A$3:$J$6350,8,)</f>
        <v>0.12782710070845682</v>
      </c>
      <c r="C217" s="296">
        <f>VLOOKUP(DATE(YEAR(A217),MONTH(A217),1),'18. US 10Y Yield'!D:J,7,)</f>
        <v>3.1305833333333338E-2</v>
      </c>
      <c r="D217" s="298">
        <f t="shared" si="3"/>
        <v>9.6521267375123482E-2</v>
      </c>
    </row>
    <row r="218" spans="1:4" x14ac:dyDescent="0.2">
      <c r="A218" s="295">
        <v>40544</v>
      </c>
      <c r="B218" s="271">
        <f>VLOOKUP(DATE(YEAR(A218),MONTH(A218),1),'15. S&amp;P500'!$A$3:$J$6350,8,)</f>
        <v>0.19764962239377204</v>
      </c>
      <c r="C218" s="296">
        <f>VLOOKUP(DATE(YEAR(A218),MONTH(A218),1),'18. US 10Y Yield'!D:J,7,)</f>
        <v>3.111333333333334E-2</v>
      </c>
      <c r="D218" s="298">
        <f t="shared" si="3"/>
        <v>0.16653628906043871</v>
      </c>
    </row>
    <row r="219" spans="1:4" x14ac:dyDescent="0.2">
      <c r="A219" s="295">
        <v>40575</v>
      </c>
      <c r="B219" s="271">
        <f>VLOOKUP(DATE(YEAR(A219),MONTH(A219),1),'15. S&amp;P500'!$A$3:$J$6350,8,)</f>
        <v>0.20165868409854326</v>
      </c>
      <c r="C219" s="296">
        <f>VLOOKUP(DATE(YEAR(A219),MONTH(A219),1),'18. US 10Y Yield'!D:J,7,)</f>
        <v>3.09625E-2</v>
      </c>
      <c r="D219" s="298">
        <f t="shared" si="3"/>
        <v>0.17069618409854326</v>
      </c>
    </row>
    <row r="220" spans="1:4" x14ac:dyDescent="0.2">
      <c r="A220" s="295">
        <v>40603</v>
      </c>
      <c r="B220" s="271">
        <f>VLOOKUP(DATE(YEAR(A220),MONTH(A220),1),'15. S&amp;P500'!$A$3:$J$6350,8,)</f>
        <v>0.133740369239715</v>
      </c>
      <c r="C220" s="296">
        <f>VLOOKUP(DATE(YEAR(A220),MONTH(A220),1),'18. US 10Y Yield'!D:J,7,)</f>
        <v>3.0646666666666669E-2</v>
      </c>
      <c r="D220" s="298">
        <f t="shared" si="3"/>
        <v>0.10309370257304833</v>
      </c>
    </row>
    <row r="221" spans="1:4" x14ac:dyDescent="0.2">
      <c r="A221" s="295">
        <v>40634</v>
      </c>
      <c r="B221" s="271">
        <f>VLOOKUP(DATE(YEAR(A221),MONTH(A221),1),'15. S&amp;P500'!$A$3:$J$6350,8,)</f>
        <v>0.14908695615535628</v>
      </c>
      <c r="C221" s="296">
        <f>VLOOKUP(DATE(YEAR(A221),MONTH(A221),1),'18. US 10Y Yield'!D:J,7,)</f>
        <v>3.0340833333333331E-2</v>
      </c>
      <c r="D221" s="298">
        <f t="shared" si="3"/>
        <v>0.11874612282202295</v>
      </c>
    </row>
    <row r="222" spans="1:4" x14ac:dyDescent="0.2">
      <c r="A222" s="295">
        <v>40664</v>
      </c>
      <c r="B222" s="271">
        <f>VLOOKUP(DATE(YEAR(A222),MONTH(A222),1),'15. S&amp;P500'!$A$3:$J$6350,8,)</f>
        <v>0.23479681662551277</v>
      </c>
      <c r="C222" s="296">
        <f>VLOOKUP(DATE(YEAR(A222),MONTH(A222),1),'18. US 10Y Yield'!D:J,7,)</f>
        <v>3.0131666666666668E-2</v>
      </c>
      <c r="D222" s="298">
        <f t="shared" si="3"/>
        <v>0.2046651499588461</v>
      </c>
    </row>
    <row r="223" spans="1:4" x14ac:dyDescent="0.2">
      <c r="A223" s="295">
        <v>40695</v>
      </c>
      <c r="B223" s="271">
        <f>VLOOKUP(DATE(YEAR(A223),MONTH(A223),1),'15. S&amp;P500'!$A$3:$J$6350,8,)</f>
        <v>0.28129153690174746</v>
      </c>
      <c r="C223" s="296">
        <f>VLOOKUP(DATE(YEAR(A223),MONTH(A223),1),'18. US 10Y Yield'!D:J,7,)</f>
        <v>3.030416666666667E-2</v>
      </c>
      <c r="D223" s="298">
        <f t="shared" si="3"/>
        <v>0.25098737023508078</v>
      </c>
    </row>
    <row r="224" spans="1:4" x14ac:dyDescent="0.2">
      <c r="A224" s="295">
        <v>40725</v>
      </c>
      <c r="B224" s="271">
        <f>VLOOKUP(DATE(YEAR(A224),MONTH(A224),1),'15. S&amp;P500'!$A$3:$J$6350,8,)</f>
        <v>0.17309368191721131</v>
      </c>
      <c r="C224" s="296">
        <f>VLOOKUP(DATE(YEAR(A224),MONTH(A224),1),'18. US 10Y Yield'!D:J,7,)</f>
        <v>3.0219166666666665E-2</v>
      </c>
      <c r="D224" s="298">
        <f t="shared" si="3"/>
        <v>0.14287451525054465</v>
      </c>
    </row>
    <row r="225" spans="1:4" x14ac:dyDescent="0.2">
      <c r="A225" s="295">
        <v>40756</v>
      </c>
      <c r="B225" s="271">
        <f>VLOOKUP(DATE(YEAR(A225),MONTH(A225),1),'15. S&amp;P500'!$A$3:$J$6350,8,)</f>
        <v>0.16158882334442004</v>
      </c>
      <c r="C225" s="296">
        <f>VLOOKUP(DATE(YEAR(A225),MONTH(A225),1),'18. US 10Y Yield'!D:J,7,)</f>
        <v>3.0003333333333337E-2</v>
      </c>
      <c r="D225" s="298">
        <f t="shared" si="3"/>
        <v>0.13158549001108671</v>
      </c>
    </row>
    <row r="226" spans="1:4" x14ac:dyDescent="0.2">
      <c r="A226" s="295">
        <v>40787</v>
      </c>
      <c r="B226" s="271">
        <f>VLOOKUP(DATE(YEAR(A226),MONTH(A226),1),'15. S&amp;P500'!$A$3:$J$6350,8,)</f>
        <v>-8.5699263932702552E-3</v>
      </c>
      <c r="C226" s="296">
        <f>VLOOKUP(DATE(YEAR(A226),MONTH(A226),1),'18. US 10Y Yield'!D:J,7,)</f>
        <v>2.9509166666666666E-2</v>
      </c>
      <c r="D226" s="298">
        <f t="shared" si="3"/>
        <v>-3.8079093059936925E-2</v>
      </c>
    </row>
    <row r="227" spans="1:4" x14ac:dyDescent="0.2">
      <c r="A227" s="295">
        <v>40817</v>
      </c>
      <c r="B227" s="271">
        <f>VLOOKUP(DATE(YEAR(A227),MONTH(A227),1),'15. S&amp;P500'!$A$3:$J$6350,8,)</f>
        <v>5.9192400655815325E-2</v>
      </c>
      <c r="C227" s="296">
        <f>VLOOKUP(DATE(YEAR(A227),MONTH(A227),1),'18. US 10Y Yield'!D:J,7,)</f>
        <v>2.9144999999999997E-2</v>
      </c>
      <c r="D227" s="298">
        <f t="shared" si="3"/>
        <v>3.0047400655815328E-2</v>
      </c>
    </row>
    <row r="228" spans="1:4" x14ac:dyDescent="0.2">
      <c r="A228" s="295">
        <v>40848</v>
      </c>
      <c r="B228" s="271">
        <f>VLOOKUP(DATE(YEAR(A228),MONTH(A228),1),'15. S&amp;P500'!$A$3:$J$6350,8,)</f>
        <v>5.6253441192664511E-2</v>
      </c>
      <c r="C228" s="296">
        <f>VLOOKUP(DATE(YEAR(A228),MONTH(A228),1),'18. US 10Y Yield'!D:J,7,)</f>
        <v>2.8537499999999997E-2</v>
      </c>
      <c r="D228" s="298">
        <f t="shared" si="3"/>
        <v>2.7715941192664514E-2</v>
      </c>
    </row>
    <row r="229" spans="1:4" x14ac:dyDescent="0.2">
      <c r="A229" s="295">
        <v>40878</v>
      </c>
      <c r="B229" s="271">
        <f>VLOOKUP(DATE(YEAR(A229),MONTH(A229),1),'15. S&amp;P500'!$A$3:$J$6350,8,)</f>
        <v>-3.1805604147616684E-5</v>
      </c>
      <c r="C229" s="296">
        <f>VLOOKUP(DATE(YEAR(A229),MONTH(A229),1),'18. US 10Y Yield'!D:J,7,)</f>
        <v>2.7342499999999999E-2</v>
      </c>
      <c r="D229" s="298">
        <f t="shared" si="3"/>
        <v>-2.7374305604147615E-2</v>
      </c>
    </row>
    <row r="230" spans="1:4" x14ac:dyDescent="0.2">
      <c r="A230" s="295">
        <v>40909</v>
      </c>
      <c r="B230" s="271">
        <f>VLOOKUP(DATE(YEAR(A230),MONTH(A230),1),'15. S&amp;P500'!$A$3:$J$6350,8,)</f>
        <v>2.0441327403352805E-2</v>
      </c>
      <c r="C230" s="296">
        <f>VLOOKUP(DATE(YEAR(A230),MONTH(A230),1),'18. US 10Y Yield'!D:J,7,)</f>
        <v>2.6026666666666663E-2</v>
      </c>
      <c r="D230" s="298">
        <f t="shared" si="3"/>
        <v>-5.5853392633138585E-3</v>
      </c>
    </row>
    <row r="231" spans="1:4" x14ac:dyDescent="0.2">
      <c r="A231" s="295">
        <v>40940</v>
      </c>
      <c r="B231" s="271">
        <f>VLOOKUP(DATE(YEAR(A231),MONTH(A231),1),'15. S&amp;P500'!$A$3:$J$6350,8,)</f>
        <v>2.8977863504166645E-2</v>
      </c>
      <c r="C231" s="296">
        <f>VLOOKUP(DATE(YEAR(A231),MONTH(A231),1),'18. US 10Y Yield'!D:J,7,)</f>
        <v>2.4829166666666666E-2</v>
      </c>
      <c r="D231" s="298">
        <f t="shared" si="3"/>
        <v>4.1486968374999794E-3</v>
      </c>
    </row>
    <row r="232" spans="1:4" x14ac:dyDescent="0.2">
      <c r="A232" s="295">
        <v>40969</v>
      </c>
      <c r="B232" s="271">
        <f>VLOOKUP(DATE(YEAR(A232),MONTH(A232),1),'15. S&amp;P500'!$A$3:$J$6350,8,)</f>
        <v>6.2330766387847625E-2</v>
      </c>
      <c r="C232" s="296">
        <f>VLOOKUP(DATE(YEAR(A232),MONTH(A232),1),'18. US 10Y Yield'!D:J,7,)</f>
        <v>2.3797499999999999E-2</v>
      </c>
      <c r="D232" s="298">
        <f t="shared" si="3"/>
        <v>3.8533266387847626E-2</v>
      </c>
    </row>
    <row r="233" spans="1:4" x14ac:dyDescent="0.2">
      <c r="A233" s="295">
        <v>41000</v>
      </c>
      <c r="B233" s="271">
        <f>VLOOKUP(DATE(YEAR(A233),MONTH(A233),1),'15. S&amp;P500'!$A$3:$J$6350,8,)</f>
        <v>2.515381964051322E-2</v>
      </c>
      <c r="C233" s="296">
        <f>VLOOKUP(DATE(YEAR(A233),MONTH(A233),1),'18. US 10Y Yield'!D:J,7,)</f>
        <v>2.2646666666666662E-2</v>
      </c>
      <c r="D233" s="298">
        <f t="shared" si="3"/>
        <v>2.5071529738465576E-3</v>
      </c>
    </row>
    <row r="234" spans="1:4" x14ac:dyDescent="0.2">
      <c r="A234" s="295">
        <v>41030</v>
      </c>
      <c r="B234" s="271">
        <f>VLOOKUP(DATE(YEAR(A234),MONTH(A234),1),'15. S&amp;P500'!$A$3:$J$6350,8,)</f>
        <v>-2.5921796015462517E-2</v>
      </c>
      <c r="C234" s="296">
        <f>VLOOKUP(DATE(YEAR(A234),MONTH(A234),1),'18. US 10Y Yield'!D:J,7,)</f>
        <v>2.1422500000000001E-2</v>
      </c>
      <c r="D234" s="298">
        <f t="shared" si="3"/>
        <v>-4.7344296015462514E-2</v>
      </c>
    </row>
    <row r="235" spans="1:4" x14ac:dyDescent="0.2">
      <c r="A235" s="295">
        <v>41061</v>
      </c>
      <c r="B235" s="271">
        <f>VLOOKUP(DATE(YEAR(A235),MONTH(A235),1),'15. S&amp;P500'!$A$3:$J$6350,8,)</f>
        <v>3.1439302156530236E-2</v>
      </c>
      <c r="C235" s="296">
        <f>VLOOKUP(DATE(YEAR(A235),MONTH(A235),1),'18. US 10Y Yield'!D:J,7,)</f>
        <v>2.0173333333333331E-2</v>
      </c>
      <c r="D235" s="298">
        <f t="shared" si="3"/>
        <v>1.1265968823196904E-2</v>
      </c>
    </row>
    <row r="236" spans="1:4" x14ac:dyDescent="0.2">
      <c r="A236" s="295">
        <v>41091</v>
      </c>
      <c r="B236" s="271">
        <f>VLOOKUP(DATE(YEAR(A236),MONTH(A236),1),'15. S&amp;P500'!$A$3:$J$6350,8,)</f>
        <v>6.7353824248614913E-2</v>
      </c>
      <c r="C236" s="296">
        <f>VLOOKUP(DATE(YEAR(A236),MONTH(A236),1),'18. US 10Y Yield'!D:J,7,)</f>
        <v>1.9079166666666668E-2</v>
      </c>
      <c r="D236" s="298">
        <f t="shared" si="3"/>
        <v>4.8274657581948245E-2</v>
      </c>
    </row>
    <row r="237" spans="1:4" x14ac:dyDescent="0.2">
      <c r="A237" s="295">
        <v>41122</v>
      </c>
      <c r="B237" s="271">
        <f>VLOOKUP(DATE(YEAR(A237),MONTH(A237),1),'15. S&amp;P500'!$A$3:$J$6350,8,)</f>
        <v>0.15398436282191152</v>
      </c>
      <c r="C237" s="296">
        <f>VLOOKUP(DATE(YEAR(A237),MONTH(A237),1),'18. US 10Y Yield'!D:J,7,)</f>
        <v>1.85325E-2</v>
      </c>
      <c r="D237" s="298">
        <f t="shared" si="3"/>
        <v>0.13545186282191152</v>
      </c>
    </row>
    <row r="238" spans="1:4" x14ac:dyDescent="0.2">
      <c r="A238" s="295">
        <v>41153</v>
      </c>
      <c r="B238" s="271">
        <f>VLOOKUP(DATE(YEAR(A238),MONTH(A238),1),'15. S&amp;P500'!$A$3:$J$6350,8,)</f>
        <v>0.27332909087695101</v>
      </c>
      <c r="C238" s="296">
        <f>VLOOKUP(DATE(YEAR(A238),MONTH(A238),1),'18. US 10Y Yield'!D:J,7,)</f>
        <v>1.8293333333333335E-2</v>
      </c>
      <c r="D238" s="298">
        <f t="shared" si="3"/>
        <v>0.25503575754361768</v>
      </c>
    </row>
    <row r="239" spans="1:4" x14ac:dyDescent="0.2">
      <c r="A239" s="295">
        <v>41183</v>
      </c>
      <c r="B239" s="271">
        <f>VLOOKUP(DATE(YEAR(A239),MONTH(A239),1),'15. S&amp;P500'!$A$3:$J$6350,8,)</f>
        <v>0.12675337110029528</v>
      </c>
      <c r="C239" s="296">
        <f>VLOOKUP(DATE(YEAR(A239),MONTH(A239),1),'18. US 10Y Yield'!D:J,7,)</f>
        <v>1.7885833333333333E-2</v>
      </c>
      <c r="D239" s="298">
        <f t="shared" si="3"/>
        <v>0.10886753776696194</v>
      </c>
    </row>
    <row r="240" spans="1:4" x14ac:dyDescent="0.2">
      <c r="A240" s="295">
        <v>41214</v>
      </c>
      <c r="B240" s="271">
        <f>VLOOKUP(DATE(YEAR(A240),MONTH(A240),1),'15. S&amp;P500'!$A$3:$J$6350,8,)</f>
        <v>0.13570603708218387</v>
      </c>
      <c r="C240" s="296">
        <f>VLOOKUP(DATE(YEAR(A240),MONTH(A240),1),'18. US 10Y Yield'!D:J,7,)</f>
        <v>1.7500833333333337E-2</v>
      </c>
      <c r="D240" s="298">
        <f t="shared" si="3"/>
        <v>0.11820520374885053</v>
      </c>
    </row>
    <row r="241" spans="1:4" x14ac:dyDescent="0.2">
      <c r="A241" s="295">
        <v>41244</v>
      </c>
      <c r="B241" s="271">
        <f>VLOOKUP(DATE(YEAR(A241),MONTH(A241),1),'15. S&amp;P500'!$A$3:$J$6350,8,)</f>
        <v>0.13405693384223927</v>
      </c>
      <c r="C241" s="296">
        <f>VLOOKUP(DATE(YEAR(A241),MONTH(A241),1),'18. US 10Y Yield'!D:J,7,)</f>
        <v>1.7405E-2</v>
      </c>
      <c r="D241" s="298">
        <f t="shared" si="3"/>
        <v>0.11665193384223926</v>
      </c>
    </row>
    <row r="242" spans="1:4" x14ac:dyDescent="0.2">
      <c r="A242" s="295">
        <v>41275</v>
      </c>
      <c r="B242" s="271">
        <f>VLOOKUP(DATE(YEAR(A242),MONTH(A242),1),'15. S&amp;P500'!$A$3:$J$6350,8,)</f>
        <v>0.14149541682858247</v>
      </c>
      <c r="C242" s="296">
        <f>VLOOKUP(DATE(YEAR(A242),MONTH(A242),1),'18. US 10Y Yield'!D:J,7,)</f>
        <v>1.7559999999999999E-2</v>
      </c>
      <c r="D242" s="298">
        <f t="shared" si="3"/>
        <v>0.12393541682858247</v>
      </c>
    </row>
    <row r="243" spans="1:4" x14ac:dyDescent="0.2">
      <c r="A243" s="295">
        <v>41306</v>
      </c>
      <c r="B243" s="271">
        <f>VLOOKUP(DATE(YEAR(A243),MONTH(A243),1),'15. S&amp;P500'!$A$3:$J$6350,8,)</f>
        <v>0.10910315740144094</v>
      </c>
      <c r="C243" s="296">
        <f>VLOOKUP(DATE(YEAR(A243),MONTH(A243),1),'18. US 10Y Yield'!D:J,7,)</f>
        <v>1.7485833333333332E-2</v>
      </c>
      <c r="D243" s="298">
        <f t="shared" si="3"/>
        <v>9.1617324068107603E-2</v>
      </c>
    </row>
    <row r="244" spans="1:4" x14ac:dyDescent="0.2">
      <c r="A244" s="295">
        <v>41334</v>
      </c>
      <c r="B244" s="271">
        <f>VLOOKUP(DATE(YEAR(A244),MONTH(A244),1),'15. S&amp;P500'!$A$3:$J$6350,8,)</f>
        <v>0.11410963669797725</v>
      </c>
      <c r="C244" s="296">
        <f>VLOOKUP(DATE(YEAR(A244),MONTH(A244),1),'18. US 10Y Yield'!D:J,7,)</f>
        <v>1.7182500000000003E-2</v>
      </c>
      <c r="D244" s="298">
        <f t="shared" si="3"/>
        <v>9.6927136697977243E-2</v>
      </c>
    </row>
    <row r="245" spans="1:4" x14ac:dyDescent="0.2">
      <c r="A245" s="295">
        <v>41365</v>
      </c>
      <c r="B245" s="271">
        <f>VLOOKUP(DATE(YEAR(A245),MONTH(A245),1),'15. S&amp;P500'!$A$3:$J$6350,8,)</f>
        <v>0.14282750677797562</v>
      </c>
      <c r="C245" s="296">
        <f>VLOOKUP(DATE(YEAR(A245),MONTH(A245),1),'18. US 10Y Yield'!D:J,7,)</f>
        <v>1.6982500000000001E-2</v>
      </c>
      <c r="D245" s="298">
        <f t="shared" si="3"/>
        <v>0.12584500677797561</v>
      </c>
    </row>
    <row r="246" spans="1:4" x14ac:dyDescent="0.2">
      <c r="A246" s="295">
        <v>41395</v>
      </c>
      <c r="B246" s="271">
        <f>VLOOKUP(DATE(YEAR(A246),MONTH(A246),1),'15. S&amp;P500'!$A$3:$J$6350,8,)</f>
        <v>0.24452618805949644</v>
      </c>
      <c r="C246" s="296">
        <f>VLOOKUP(DATE(YEAR(A246),MONTH(A246),1),'18. US 10Y Yield'!D:J,7,)</f>
        <v>1.7468333333333332E-2</v>
      </c>
      <c r="D246" s="298">
        <f t="shared" ref="D246:D309" si="4">B246-C246</f>
        <v>0.22705785472616311</v>
      </c>
    </row>
    <row r="247" spans="1:4" x14ac:dyDescent="0.2">
      <c r="A247" s="295">
        <v>41426</v>
      </c>
      <c r="B247" s="271">
        <f>VLOOKUP(DATE(YEAR(A247),MONTH(A247),1),'15. S&amp;P500'!$A$3:$J$6350,8,)</f>
        <v>0.17921536383391068</v>
      </c>
      <c r="C247" s="296">
        <f>VLOOKUP(DATE(YEAR(A247),MONTH(A247),1),'18. US 10Y Yield'!D:J,7,)</f>
        <v>1.8150833333333335E-2</v>
      </c>
      <c r="D247" s="298">
        <f t="shared" si="4"/>
        <v>0.16106453050057734</v>
      </c>
    </row>
    <row r="248" spans="1:4" x14ac:dyDescent="0.2">
      <c r="A248" s="295">
        <v>41456</v>
      </c>
      <c r="B248" s="271">
        <f>VLOOKUP(DATE(YEAR(A248),MONTH(A248),1),'15. S&amp;P500'!$A$3:$J$6350,8,)</f>
        <v>0.22214569498013526</v>
      </c>
      <c r="C248" s="296">
        <f>VLOOKUP(DATE(YEAR(A248),MONTH(A248),1),'18. US 10Y Yield'!D:J,7,)</f>
        <v>1.9068333333333333E-2</v>
      </c>
      <c r="D248" s="298">
        <f t="shared" si="4"/>
        <v>0.20307736164680193</v>
      </c>
    </row>
    <row r="249" spans="1:4" x14ac:dyDescent="0.2">
      <c r="A249" s="295">
        <v>41487</v>
      </c>
      <c r="B249" s="271">
        <f>VLOOKUP(DATE(YEAR(A249),MONTH(A249),1),'15. S&amp;P500'!$A$3:$J$6350,8,)</f>
        <v>0.16095067468611823</v>
      </c>
      <c r="C249" s="296">
        <f>VLOOKUP(DATE(YEAR(A249),MONTH(A249),1),'18. US 10Y Yield'!D:J,7,)</f>
        <v>2.0057500000000002E-2</v>
      </c>
      <c r="D249" s="298">
        <f t="shared" si="4"/>
        <v>0.14089317468611823</v>
      </c>
    </row>
    <row r="250" spans="1:4" x14ac:dyDescent="0.2">
      <c r="A250" s="295">
        <v>41518</v>
      </c>
      <c r="B250" s="271">
        <f>VLOOKUP(DATE(YEAR(A250),MONTH(A250),1),'15. S&amp;P500'!$A$3:$J$6350,8,)</f>
        <v>0.16719998334108421</v>
      </c>
      <c r="C250" s="296">
        <f>VLOOKUP(DATE(YEAR(A250),MONTH(A250),1),'18. US 10Y Yield'!D:J,7,)</f>
        <v>2.0872499999999995E-2</v>
      </c>
      <c r="D250" s="298">
        <f t="shared" si="4"/>
        <v>0.14632748334108422</v>
      </c>
    </row>
    <row r="251" spans="1:4" x14ac:dyDescent="0.2">
      <c r="A251" s="295">
        <v>41548</v>
      </c>
      <c r="B251" s="271">
        <f>VLOOKUP(DATE(YEAR(A251),MONTH(A251),1),'15. S&amp;P500'!$A$3:$J$6350,8,)</f>
        <v>0.24386755041921582</v>
      </c>
      <c r="C251" s="296">
        <f>VLOOKUP(DATE(YEAR(A251),MONTH(A251),1),'18. US 10Y Yield'!D:J,7,)</f>
        <v>2.1585833333333332E-2</v>
      </c>
      <c r="D251" s="298">
        <f t="shared" si="4"/>
        <v>0.22228171708588249</v>
      </c>
    </row>
    <row r="252" spans="1:4" x14ac:dyDescent="0.2">
      <c r="A252" s="295">
        <v>41579</v>
      </c>
      <c r="B252" s="271">
        <f>VLOOKUP(DATE(YEAR(A252),MONTH(A252),1),'15. S&amp;P500'!$A$3:$J$6350,8,)</f>
        <v>0.27512745554943563</v>
      </c>
      <c r="C252" s="296">
        <f>VLOOKUP(DATE(YEAR(A252),MONTH(A252),1),'18. US 10Y Yield'!D:J,7,)</f>
        <v>2.2531666666666665E-2</v>
      </c>
      <c r="D252" s="298">
        <f t="shared" si="4"/>
        <v>0.25259578888276896</v>
      </c>
    </row>
    <row r="253" spans="1:4" x14ac:dyDescent="0.2">
      <c r="A253" s="295">
        <v>41609</v>
      </c>
      <c r="B253" s="271">
        <f>VLOOKUP(DATE(YEAR(A253),MONTH(A253),1),'15. S&amp;P500'!$A$3:$J$6350,8,)</f>
        <v>0.29601245275874866</v>
      </c>
      <c r="C253" s="296">
        <f>VLOOKUP(DATE(YEAR(A253),MONTH(A253),1),'18. US 10Y Yield'!D:J,7,)</f>
        <v>2.3590000000000003E-2</v>
      </c>
      <c r="D253" s="298">
        <f t="shared" si="4"/>
        <v>0.27242245275874866</v>
      </c>
    </row>
    <row r="254" spans="1:4" x14ac:dyDescent="0.2">
      <c r="A254" s="295">
        <v>41640</v>
      </c>
      <c r="B254" s="271">
        <f>VLOOKUP(DATE(YEAR(A254),MONTH(A254),1),'15. S&amp;P500'!$A$3:$J$6350,8,)</f>
        <v>0.18989259800682201</v>
      </c>
      <c r="C254" s="296">
        <f>VLOOKUP(DATE(YEAR(A254),MONTH(A254),1),'18. US 10Y Yield'!D:J,7,)</f>
        <v>2.4159166666666669E-2</v>
      </c>
      <c r="D254" s="298">
        <f t="shared" si="4"/>
        <v>0.16573343134015533</v>
      </c>
    </row>
    <row r="255" spans="1:4" x14ac:dyDescent="0.2">
      <c r="A255" s="295">
        <v>41671</v>
      </c>
      <c r="B255" s="271">
        <f>VLOOKUP(DATE(YEAR(A255),MONTH(A255),1),'15. S&amp;P500'!$A$3:$J$6350,8,)</f>
        <v>0.22761903504370551</v>
      </c>
      <c r="C255" s="296">
        <f>VLOOKUP(DATE(YEAR(A255),MONTH(A255),1),'18. US 10Y Yield'!D:J,7,)</f>
        <v>2.4800833333333334E-2</v>
      </c>
      <c r="D255" s="298">
        <f t="shared" si="4"/>
        <v>0.20281820171037218</v>
      </c>
    </row>
    <row r="256" spans="1:4" x14ac:dyDescent="0.2">
      <c r="A256" s="295">
        <v>41699</v>
      </c>
      <c r="B256" s="271">
        <f>VLOOKUP(DATE(YEAR(A256),MONTH(A256),1),'15. S&amp;P500'!$A$3:$J$6350,8,)</f>
        <v>0.19318884265130398</v>
      </c>
      <c r="C256" s="296">
        <f>VLOOKUP(DATE(YEAR(A256),MONTH(A256),1),'18. US 10Y Yield'!D:J,7,)</f>
        <v>2.5526666666666666E-2</v>
      </c>
      <c r="D256" s="298">
        <f t="shared" si="4"/>
        <v>0.16766217598463731</v>
      </c>
    </row>
    <row r="257" spans="1:4" x14ac:dyDescent="0.2">
      <c r="A257" s="295">
        <v>41730</v>
      </c>
      <c r="B257" s="271">
        <f>VLOOKUP(DATE(YEAR(A257),MONTH(A257),1),'15. S&amp;P500'!$A$3:$J$6350,8,)</f>
        <v>0.17925975074644618</v>
      </c>
      <c r="C257" s="296">
        <f>VLOOKUP(DATE(YEAR(A257),MONTH(A257),1),'18. US 10Y Yield'!D:J,7,)</f>
        <v>2.63375E-2</v>
      </c>
      <c r="D257" s="298">
        <f t="shared" si="4"/>
        <v>0.15292225074644616</v>
      </c>
    </row>
    <row r="258" spans="1:4" x14ac:dyDescent="0.2">
      <c r="A258" s="295">
        <v>41760</v>
      </c>
      <c r="B258" s="271">
        <f>VLOOKUP(DATE(YEAR(A258),MONTH(A258),1),'15. S&amp;P500'!$A$3:$J$6350,8,)</f>
        <v>0.17956878472349969</v>
      </c>
      <c r="C258" s="296">
        <f>VLOOKUP(DATE(YEAR(A258),MONTH(A258),1),'18. US 10Y Yield'!D:J,7,)</f>
        <v>2.6581666666666667E-2</v>
      </c>
      <c r="D258" s="298">
        <f t="shared" si="4"/>
        <v>0.15298711805683302</v>
      </c>
    </row>
    <row r="259" spans="1:4" x14ac:dyDescent="0.2">
      <c r="A259" s="295">
        <v>41791</v>
      </c>
      <c r="B259" s="271">
        <f>VLOOKUP(DATE(YEAR(A259),MONTH(A259),1),'15. S&amp;P500'!$A$3:$J$6350,8,)</f>
        <v>0.22035386109520139</v>
      </c>
      <c r="C259" s="296">
        <f>VLOOKUP(DATE(YEAR(A259),MONTH(A259),1),'18. US 10Y Yield'!D:J,7,)</f>
        <v>2.6613333333333333E-2</v>
      </c>
      <c r="D259" s="298">
        <f t="shared" si="4"/>
        <v>0.19374052776186806</v>
      </c>
    </row>
    <row r="260" spans="1:4" x14ac:dyDescent="0.2">
      <c r="A260" s="295">
        <v>41821</v>
      </c>
      <c r="B260" s="271">
        <f>VLOOKUP(DATE(YEAR(A260),MONTH(A260),1),'15. S&amp;P500'!$A$3:$J$6350,8,)</f>
        <v>0.14530203532000985</v>
      </c>
      <c r="C260" s="296">
        <f>VLOOKUP(DATE(YEAR(A260),MONTH(A260),1),'18. US 10Y Yield'!D:J,7,)</f>
        <v>2.6582500000000002E-2</v>
      </c>
      <c r="D260" s="298">
        <f t="shared" si="4"/>
        <v>0.11871953532000984</v>
      </c>
    </row>
    <row r="261" spans="1:4" x14ac:dyDescent="0.2">
      <c r="A261" s="295">
        <v>41852</v>
      </c>
      <c r="B261" s="271">
        <f>VLOOKUP(DATE(YEAR(A261),MONTH(A261),1),'15. S&amp;P500'!$A$3:$J$6350,8,)</f>
        <v>0.22682596740907668</v>
      </c>
      <c r="C261" s="296">
        <f>VLOOKUP(DATE(YEAR(A261),MONTH(A261),1),'18. US 10Y Yield'!D:J,7,)</f>
        <v>2.6244166666666669E-2</v>
      </c>
      <c r="D261" s="298">
        <f t="shared" si="4"/>
        <v>0.20058180074241</v>
      </c>
    </row>
    <row r="262" spans="1:4" x14ac:dyDescent="0.2">
      <c r="A262" s="295">
        <v>41883</v>
      </c>
      <c r="B262" s="271">
        <f>VLOOKUP(DATE(YEAR(A262),MONTH(A262),1),'15. S&amp;P500'!$A$3:$J$6350,8,)</f>
        <v>0.1729000029734471</v>
      </c>
      <c r="C262" s="296">
        <f>VLOOKUP(DATE(YEAR(A262),MONTH(A262),1),'18. US 10Y Yield'!D:J,7,)</f>
        <v>2.6154999999999998E-2</v>
      </c>
      <c r="D262" s="298">
        <f t="shared" si="4"/>
        <v>0.14674500297344711</v>
      </c>
    </row>
    <row r="263" spans="1:4" x14ac:dyDescent="0.2">
      <c r="A263" s="295">
        <v>41913</v>
      </c>
      <c r="B263" s="271">
        <f>VLOOKUP(DATE(YEAR(A263),MONTH(A263),1),'15. S&amp;P500'!$A$3:$J$6350,8,)</f>
        <v>0.14887790770491982</v>
      </c>
      <c r="C263" s="296">
        <f>VLOOKUP(DATE(YEAR(A263),MONTH(A263),1),'18. US 10Y Yield'!D:J,7,)</f>
        <v>2.5982499999999999E-2</v>
      </c>
      <c r="D263" s="298">
        <f t="shared" si="4"/>
        <v>0.12289540770491983</v>
      </c>
    </row>
    <row r="264" spans="1:4" x14ac:dyDescent="0.2">
      <c r="A264" s="295">
        <v>41944</v>
      </c>
      <c r="B264" s="271">
        <f>VLOOKUP(DATE(YEAR(A264),MONTH(A264),1),'15. S&amp;P500'!$A$3:$J$6350,8,)</f>
        <v>0.14494880413775535</v>
      </c>
      <c r="C264" s="296">
        <f>VLOOKUP(DATE(YEAR(A264),MONTH(A264),1),'18. US 10Y Yield'!D:J,7,)</f>
        <v>2.5526666666666666E-2</v>
      </c>
      <c r="D264" s="298">
        <f t="shared" si="4"/>
        <v>0.11942213747108868</v>
      </c>
    </row>
    <row r="265" spans="1:4" x14ac:dyDescent="0.2">
      <c r="A265" s="295">
        <v>41974</v>
      </c>
      <c r="B265" s="271">
        <f>VLOOKUP(DATE(YEAR(A265),MONTH(A265),1),'15. S&amp;P500'!$A$3:$J$6350,8,)</f>
        <v>0.11390638187366098</v>
      </c>
      <c r="C265" s="296">
        <f>VLOOKUP(DATE(YEAR(A265),MONTH(A265),1),'18. US 10Y Yield'!D:J,7,)</f>
        <v>2.4813333333333333E-2</v>
      </c>
      <c r="D265" s="298">
        <f t="shared" si="4"/>
        <v>8.9093048540327652E-2</v>
      </c>
    </row>
    <row r="266" spans="1:4" x14ac:dyDescent="0.2">
      <c r="A266" s="295">
        <v>42005</v>
      </c>
      <c r="B266" s="271">
        <f>VLOOKUP(DATE(YEAR(A266),MONTH(A266),1),'15. S&amp;P500'!$A$3:$J$6350,8,)</f>
        <v>0.11915246916004252</v>
      </c>
      <c r="C266" s="296">
        <f>VLOOKUP(DATE(YEAR(A266),MONTH(A266),1),'18. US 10Y Yield'!D:J,7,)</f>
        <v>2.3985833333333331E-2</v>
      </c>
      <c r="D266" s="298">
        <f t="shared" si="4"/>
        <v>9.5166635826709187E-2</v>
      </c>
    </row>
    <row r="267" spans="1:4" x14ac:dyDescent="0.2">
      <c r="A267" s="295">
        <v>42036</v>
      </c>
      <c r="B267" s="271">
        <f>VLOOKUP(DATE(YEAR(A267),MONTH(A267),1),'15. S&amp;P500'!$A$3:$J$6350,8,)</f>
        <v>0.13178628088951028</v>
      </c>
      <c r="C267" s="296">
        <f>VLOOKUP(DATE(YEAR(A267),MONTH(A267),1),'18. US 10Y Yield'!D:J,7,)</f>
        <v>2.3439166666666667E-2</v>
      </c>
      <c r="D267" s="298">
        <f t="shared" si="4"/>
        <v>0.10834711422284361</v>
      </c>
    </row>
    <row r="268" spans="1:4" x14ac:dyDescent="0.2">
      <c r="A268" s="295">
        <v>42064</v>
      </c>
      <c r="B268" s="271">
        <f>VLOOKUP(DATE(YEAR(A268),MONTH(A268),1),'15. S&amp;P500'!$A$3:$J$6350,8,)</f>
        <v>0.10444150100943195</v>
      </c>
      <c r="C268" s="296">
        <f>VLOOKUP(DATE(YEAR(A268),MONTH(A268),1),'18. US 10Y Yield'!D:J,7,)</f>
        <v>2.2781666666666665E-2</v>
      </c>
      <c r="D268" s="298">
        <f t="shared" si="4"/>
        <v>8.1659834342765275E-2</v>
      </c>
    </row>
    <row r="269" spans="1:4" x14ac:dyDescent="0.2">
      <c r="A269" s="295">
        <v>42095</v>
      </c>
      <c r="B269" s="271">
        <f>VLOOKUP(DATE(YEAR(A269),MONTH(A269),1),'15. S&amp;P500'!$A$3:$J$6350,8,)</f>
        <v>0.10698797738793497</v>
      </c>
      <c r="C269" s="296">
        <f>VLOOKUP(DATE(YEAR(A269),MONTH(A269),1),'18. US 10Y Yield'!D:J,7,)</f>
        <v>2.2280000000000001E-2</v>
      </c>
      <c r="D269" s="298">
        <f t="shared" si="4"/>
        <v>8.470797738793498E-2</v>
      </c>
    </row>
    <row r="270" spans="1:4" x14ac:dyDescent="0.2">
      <c r="A270" s="295">
        <v>42125</v>
      </c>
      <c r="B270" s="271">
        <f>VLOOKUP(DATE(YEAR(A270),MONTH(A270),1),'15. S&amp;P500'!$A$3:$J$6350,8,)</f>
        <v>9.5561897929370865E-2</v>
      </c>
      <c r="C270" s="296">
        <f>VLOOKUP(DATE(YEAR(A270),MONTH(A270),1),'18. US 10Y Yield'!D:J,7,)</f>
        <v>2.1978333333333332E-2</v>
      </c>
      <c r="D270" s="298">
        <f t="shared" si="4"/>
        <v>7.3583564596037529E-2</v>
      </c>
    </row>
    <row r="271" spans="1:4" x14ac:dyDescent="0.2">
      <c r="A271" s="295">
        <v>42156</v>
      </c>
      <c r="B271" s="271">
        <f>VLOOKUP(DATE(YEAR(A271),MONTH(A271),1),'15. S&amp;P500'!$A$3:$J$6350,8,)</f>
        <v>5.2483637124214999E-2</v>
      </c>
      <c r="C271" s="296">
        <f>VLOOKUP(DATE(YEAR(A271),MONTH(A271),1),'18. US 10Y Yield'!D:J,7,)</f>
        <v>2.18275E-2</v>
      </c>
      <c r="D271" s="298">
        <f t="shared" si="4"/>
        <v>3.0656137124214999E-2</v>
      </c>
    </row>
    <row r="272" spans="1:4" x14ac:dyDescent="0.2">
      <c r="A272" s="295">
        <v>42186</v>
      </c>
      <c r="B272" s="271">
        <f>VLOOKUP(DATE(YEAR(A272),MONTH(A272),1),'15. S&amp;P500'!$A$3:$J$6350,8,)</f>
        <v>8.9694251218489063E-2</v>
      </c>
      <c r="C272" s="296">
        <f>VLOOKUP(DATE(YEAR(A272),MONTH(A272),1),'18. US 10Y Yield'!D:J,7,)</f>
        <v>2.1534999999999999E-2</v>
      </c>
      <c r="D272" s="298">
        <f t="shared" si="4"/>
        <v>6.8159251218489064E-2</v>
      </c>
    </row>
    <row r="273" spans="1:4" x14ac:dyDescent="0.2">
      <c r="A273" s="295">
        <v>42217</v>
      </c>
      <c r="B273" s="271">
        <f>VLOOKUP(DATE(YEAR(A273),MONTH(A273),1),'15. S&amp;P500'!$A$3:$J$6350,8,)</f>
        <v>-1.5568766628231367E-2</v>
      </c>
      <c r="C273" s="296">
        <f>VLOOKUP(DATE(YEAR(A273),MONTH(A273),1),'18. US 10Y Yield'!D:J,7,)</f>
        <v>2.1415833333333335E-2</v>
      </c>
      <c r="D273" s="298">
        <f t="shared" si="4"/>
        <v>-3.6984599961564703E-2</v>
      </c>
    </row>
    <row r="274" spans="1:4" x14ac:dyDescent="0.2">
      <c r="A274" s="295">
        <v>42248</v>
      </c>
      <c r="B274" s="271">
        <f>VLOOKUP(DATE(YEAR(A274),MONTH(A274),1),'15. S&amp;P500'!$A$3:$J$6350,8,)</f>
        <v>-2.6497117563847095E-2</v>
      </c>
      <c r="C274" s="296">
        <f>VLOOKUP(DATE(YEAR(A274),MONTH(A274),1),'18. US 10Y Yield'!D:J,7,)</f>
        <v>2.1042499999999999E-2</v>
      </c>
      <c r="D274" s="298">
        <f t="shared" si="4"/>
        <v>-4.7539617563847093E-2</v>
      </c>
    </row>
    <row r="275" spans="1:4" x14ac:dyDescent="0.2">
      <c r="A275" s="295">
        <v>42278</v>
      </c>
      <c r="B275" s="271">
        <f>VLOOKUP(DATE(YEAR(A275),MONTH(A275),1),'15. S&amp;P500'!$A$3:$J$6350,8,)</f>
        <v>3.0380813161219988E-2</v>
      </c>
      <c r="C275" s="296">
        <f>VLOOKUP(DATE(YEAR(A275),MONTH(A275),1),'18. US 10Y Yield'!D:J,7,)</f>
        <v>2.0889166666666667E-2</v>
      </c>
      <c r="D275" s="298">
        <f t="shared" si="4"/>
        <v>9.4916464945533213E-3</v>
      </c>
    </row>
    <row r="276" spans="1:4" x14ac:dyDescent="0.2">
      <c r="A276" s="295">
        <v>42309</v>
      </c>
      <c r="B276" s="271">
        <f>VLOOKUP(DATE(YEAR(A276),MONTH(A276),1),'15. S&amp;P500'!$A$3:$J$6350,8,)</f>
        <v>6.2150554276538816E-3</v>
      </c>
      <c r="C276" s="296">
        <f>VLOOKUP(DATE(YEAR(A276),MONTH(A276),1),'18. US 10Y Yield'!D:J,7,)</f>
        <v>2.0909166666666666E-2</v>
      </c>
      <c r="D276" s="298">
        <f t="shared" si="4"/>
        <v>-1.4694111239012785E-2</v>
      </c>
    </row>
    <row r="277" spans="1:4" x14ac:dyDescent="0.2">
      <c r="A277" s="295">
        <v>42339</v>
      </c>
      <c r="B277" s="271">
        <f>VLOOKUP(DATE(YEAR(A277),MONTH(A277),1),'15. S&amp;P500'!$A$3:$J$6350,8,)</f>
        <v>-7.26601583369757E-3</v>
      </c>
      <c r="C277" s="296">
        <f>VLOOKUP(DATE(YEAR(A277),MONTH(A277),1),'18. US 10Y Yield'!D:J,7,)</f>
        <v>2.0991666666666665E-2</v>
      </c>
      <c r="D277" s="298">
        <f t="shared" si="4"/>
        <v>-2.8257682500364235E-2</v>
      </c>
    </row>
    <row r="278" spans="1:4" x14ac:dyDescent="0.2">
      <c r="A278" s="295">
        <v>42370</v>
      </c>
      <c r="B278" s="271">
        <f>VLOOKUP(DATE(YEAR(A278),MONTH(A278),1),'15. S&amp;P500'!$A$3:$J$6350,8,)</f>
        <v>-2.7443746585195883E-2</v>
      </c>
      <c r="C278" s="296">
        <f>VLOOKUP(DATE(YEAR(A278),MONTH(A278),1),'18. US 10Y Yield'!D:J,7,)</f>
        <v>2.1205000000000002E-2</v>
      </c>
      <c r="D278" s="298">
        <f t="shared" si="4"/>
        <v>-4.8648746585195884E-2</v>
      </c>
    </row>
    <row r="279" spans="1:4" x14ac:dyDescent="0.2">
      <c r="A279" s="295">
        <v>42401</v>
      </c>
      <c r="B279" s="271">
        <f>VLOOKUP(DATE(YEAR(A279),MONTH(A279),1),'15. S&amp;P500'!$A$3:$J$6350,8,)</f>
        <v>-8.1857923497267726E-2</v>
      </c>
      <c r="C279" s="296">
        <f>VLOOKUP(DATE(YEAR(A279),MONTH(A279),1),'18. US 10Y Yield'!D:J,7,)</f>
        <v>2.0986666666666667E-2</v>
      </c>
      <c r="D279" s="298">
        <f t="shared" si="4"/>
        <v>-0.10284459016393439</v>
      </c>
    </row>
    <row r="280" spans="1:4" x14ac:dyDescent="0.2">
      <c r="A280" s="295">
        <v>42430</v>
      </c>
      <c r="B280" s="271">
        <f>VLOOKUP(DATE(YEAR(A280),MONTH(A280),1),'15. S&amp;P500'!$A$3:$J$6350,8,)</f>
        <v>-3.9412154418272394E-3</v>
      </c>
      <c r="C280" s="296">
        <f>VLOOKUP(DATE(YEAR(A280),MONTH(A280),1),'18. US 10Y Yield'!D:J,7,)</f>
        <v>2.0863333333333334E-2</v>
      </c>
      <c r="D280" s="298">
        <f t="shared" si="4"/>
        <v>-2.4804548775160574E-2</v>
      </c>
    </row>
    <row r="281" spans="1:4" x14ac:dyDescent="0.2">
      <c r="A281" s="295">
        <v>42461</v>
      </c>
      <c r="B281" s="271">
        <f>VLOOKUP(DATE(YEAR(A281),MONTH(A281),1),'15. S&amp;P500'!$A$3:$J$6350,8,)</f>
        <v>-9.690675182569275E-3</v>
      </c>
      <c r="C281" s="296">
        <f>VLOOKUP(DATE(YEAR(A281),MONTH(A281),1),'18. US 10Y Yield'!D:J,7,)</f>
        <v>2.0674166666666671E-2</v>
      </c>
      <c r="D281" s="298">
        <f t="shared" si="4"/>
        <v>-3.0364841849235946E-2</v>
      </c>
    </row>
    <row r="282" spans="1:4" x14ac:dyDescent="0.2">
      <c r="A282" s="295">
        <v>42491</v>
      </c>
      <c r="B282" s="271">
        <f>VLOOKUP(DATE(YEAR(A282),MONTH(A282),1),'15. S&amp;P500'!$A$3:$J$6350,8,)</f>
        <v>-4.9492500201669953E-3</v>
      </c>
      <c r="C282" s="296">
        <f>VLOOKUP(DATE(YEAR(A282),MONTH(A282),1),'18. US 10Y Yield'!D:J,7,)</f>
        <v>2.0456666666666665E-2</v>
      </c>
      <c r="D282" s="298">
        <f t="shared" si="4"/>
        <v>-2.540591668683366E-2</v>
      </c>
    </row>
    <row r="283" spans="1:4" x14ac:dyDescent="0.2">
      <c r="A283" s="295">
        <v>42522</v>
      </c>
      <c r="B283" s="271">
        <f>VLOOKUP(DATE(YEAR(A283),MONTH(A283),1),'15. S&amp;P500'!$A$3:$J$6350,8,)</f>
        <v>1.7328208384429278E-2</v>
      </c>
      <c r="C283" s="296">
        <f>VLOOKUP(DATE(YEAR(A283),MONTH(A283),1),'18. US 10Y Yield'!D:J,7,)</f>
        <v>1.9750833333333332E-2</v>
      </c>
      <c r="D283" s="298">
        <f t="shared" si="4"/>
        <v>-2.4226249489040542E-3</v>
      </c>
    </row>
    <row r="284" spans="1:4" x14ac:dyDescent="0.2">
      <c r="A284" s="295">
        <v>42552</v>
      </c>
      <c r="B284" s="271">
        <f>VLOOKUP(DATE(YEAR(A284),MONTH(A284),1),'15. S&amp;P500'!$A$3:$J$6350,8,)</f>
        <v>3.3158415088599735E-2</v>
      </c>
      <c r="C284" s="296">
        <f>VLOOKUP(DATE(YEAR(A284),MONTH(A284),1),'18. US 10Y Yield'!D:J,7,)</f>
        <v>1.9128333333333331E-2</v>
      </c>
      <c r="D284" s="298">
        <f t="shared" si="4"/>
        <v>1.4030081755266405E-2</v>
      </c>
    </row>
    <row r="285" spans="1:4" x14ac:dyDescent="0.2">
      <c r="A285" s="295">
        <v>42583</v>
      </c>
      <c r="B285" s="271">
        <f>VLOOKUP(DATE(YEAR(A285),MONTH(A285),1),'15. S&amp;P500'!$A$3:$J$6350,8,)</f>
        <v>0.10078694642476838</v>
      </c>
      <c r="C285" s="296">
        <f>VLOOKUP(DATE(YEAR(A285),MONTH(A285),1),'18. US 10Y Yield'!D:J,7,)</f>
        <v>1.8601666666666666E-2</v>
      </c>
      <c r="D285" s="298">
        <f t="shared" si="4"/>
        <v>8.2185279758101706E-2</v>
      </c>
    </row>
    <row r="286" spans="1:4" x14ac:dyDescent="0.2">
      <c r="A286" s="295">
        <v>42614</v>
      </c>
      <c r="B286" s="271">
        <f>VLOOKUP(DATE(YEAR(A286),MONTH(A286),1),'15. S&amp;P500'!$A$3:$J$6350,8,)</f>
        <v>0.12928964651593988</v>
      </c>
      <c r="C286" s="296">
        <f>VLOOKUP(DATE(YEAR(A286),MONTH(A286),1),'18. US 10Y Yield'!D:J,7,)</f>
        <v>1.8224999999999998E-2</v>
      </c>
      <c r="D286" s="298">
        <f t="shared" si="4"/>
        <v>0.11106464651593989</v>
      </c>
    </row>
    <row r="287" spans="1:4" x14ac:dyDescent="0.2">
      <c r="A287" s="295">
        <v>42644</v>
      </c>
      <c r="B287" s="271">
        <f>VLOOKUP(DATE(YEAR(A287),MONTH(A287),1),'15. S&amp;P500'!$A$3:$J$6350,8,)</f>
        <v>2.250211603570329E-2</v>
      </c>
      <c r="C287" s="296">
        <f>VLOOKUP(DATE(YEAR(A287),MONTH(A287),1),'18. US 10Y Yield'!D:J,7,)</f>
        <v>1.7960833333333329E-2</v>
      </c>
      <c r="D287" s="298">
        <f t="shared" si="4"/>
        <v>4.5412827023699615E-3</v>
      </c>
    </row>
    <row r="288" spans="1:4" x14ac:dyDescent="0.2">
      <c r="A288" s="295">
        <v>42675</v>
      </c>
      <c r="B288" s="271">
        <f>VLOOKUP(DATE(YEAR(A288),MONTH(A288),1),'15. S&amp;P500'!$A$3:$J$6350,8,)</f>
        <v>5.691185872015625E-2</v>
      </c>
      <c r="C288" s="296">
        <f>VLOOKUP(DATE(YEAR(A288),MONTH(A288),1),'18. US 10Y Yield'!D:J,7,)</f>
        <v>1.8085833333333332E-2</v>
      </c>
      <c r="D288" s="298">
        <f t="shared" si="4"/>
        <v>3.8826025386822921E-2</v>
      </c>
    </row>
    <row r="289" spans="1:4" x14ac:dyDescent="0.2">
      <c r="A289" s="295">
        <v>42705</v>
      </c>
      <c r="B289" s="271">
        <f>VLOOKUP(DATE(YEAR(A289),MONTH(A289),1),'15. S&amp;P500'!$A$3:$J$6350,8,)</f>
        <v>9.5350157049619799E-2</v>
      </c>
      <c r="C289" s="296">
        <f>VLOOKUP(DATE(YEAR(A289),MONTH(A289),1),'18. US 10Y Yield'!D:J,7,)</f>
        <v>1.8233333333333334E-2</v>
      </c>
      <c r="D289" s="298">
        <f t="shared" si="4"/>
        <v>7.7116823716286462E-2</v>
      </c>
    </row>
    <row r="290" spans="1:4" x14ac:dyDescent="0.2">
      <c r="A290" s="295">
        <v>42736</v>
      </c>
      <c r="B290" s="271">
        <f>VLOOKUP(DATE(YEAR(A290),MONTH(A290),1),'15. S&amp;P500'!$A$3:$J$6350,8,)</f>
        <v>0.17452995505710622</v>
      </c>
      <c r="C290" s="296">
        <f>VLOOKUP(DATE(YEAR(A290),MONTH(A290),1),'18. US 10Y Yield'!D:J,7,)</f>
        <v>1.8666666666666668E-2</v>
      </c>
      <c r="D290" s="298">
        <f t="shared" si="4"/>
        <v>0.15586328839043956</v>
      </c>
    </row>
    <row r="291" spans="1:4" x14ac:dyDescent="0.2">
      <c r="A291" s="295">
        <v>42767</v>
      </c>
      <c r="B291" s="271">
        <f>VLOOKUP(DATE(YEAR(A291),MONTH(A291),1),'15. S&amp;P500'!$A$3:$J$6350,8,)</f>
        <v>0.22327052162527217</v>
      </c>
      <c r="C291" s="296">
        <f>VLOOKUP(DATE(YEAR(A291),MONTH(A291),1),'18. US 10Y Yield'!D:J,7,)</f>
        <v>1.9181666666666666E-2</v>
      </c>
      <c r="D291" s="298">
        <f t="shared" si="4"/>
        <v>0.20408885495860551</v>
      </c>
    </row>
    <row r="292" spans="1:4" x14ac:dyDescent="0.2">
      <c r="A292" s="295">
        <v>42795</v>
      </c>
      <c r="B292" s="271">
        <f>VLOOKUP(DATE(YEAR(A292),MONTH(A292),1),'15. S&amp;P500'!$A$3:$J$6350,8,)</f>
        <v>0.1470962354471923</v>
      </c>
      <c r="C292" s="296">
        <f>VLOOKUP(DATE(YEAR(A292),MONTH(A292),1),'18. US 10Y Yield'!D:J,7,)</f>
        <v>1.9690000000000003E-2</v>
      </c>
      <c r="D292" s="298">
        <f t="shared" si="4"/>
        <v>0.12740623544719229</v>
      </c>
    </row>
    <row r="293" spans="1:4" x14ac:dyDescent="0.2">
      <c r="A293" s="295">
        <v>42826</v>
      </c>
      <c r="B293" s="271">
        <f>VLOOKUP(DATE(YEAR(A293),MONTH(A293),1),'15. S&amp;P500'!$A$3:$J$6350,8,)</f>
        <v>0.15440856049968499</v>
      </c>
      <c r="C293" s="296">
        <f>VLOOKUP(DATE(YEAR(A293),MONTH(A293),1),'18. US 10Y Yield'!D:J,7,)</f>
        <v>2.0075833333333334E-2</v>
      </c>
      <c r="D293" s="298">
        <f t="shared" si="4"/>
        <v>0.13433272716635164</v>
      </c>
    </row>
    <row r="294" spans="1:4" x14ac:dyDescent="0.2">
      <c r="A294" s="295">
        <v>42856</v>
      </c>
      <c r="B294" s="271">
        <f>VLOOKUP(DATE(YEAR(A294),MONTH(A294),1),'15. S&amp;P500'!$A$3:$J$6350,8,)</f>
        <v>0.15014115672211203</v>
      </c>
      <c r="C294" s="296">
        <f>VLOOKUP(DATE(YEAR(A294),MONTH(A294),1),'18. US 10Y Yield'!D:J,7,)</f>
        <v>2.0377500000000003E-2</v>
      </c>
      <c r="D294" s="298">
        <f t="shared" si="4"/>
        <v>0.12976365672211204</v>
      </c>
    </row>
    <row r="295" spans="1:4" x14ac:dyDescent="0.2">
      <c r="A295" s="295">
        <v>42887</v>
      </c>
      <c r="B295" s="271">
        <f>VLOOKUP(DATE(YEAR(A295),MONTH(A295),1),'15. S&amp;P500'!$A$3:$J$6350,8,)</f>
        <v>0.15463156189550498</v>
      </c>
      <c r="C295" s="296">
        <f>VLOOKUP(DATE(YEAR(A295),MONTH(A295),1),'18. US 10Y Yield'!D:J,7,)</f>
        <v>2.1055833333333336E-2</v>
      </c>
      <c r="D295" s="298">
        <f t="shared" si="4"/>
        <v>0.13357572856217165</v>
      </c>
    </row>
    <row r="296" spans="1:4" x14ac:dyDescent="0.2">
      <c r="A296" s="295">
        <v>42917</v>
      </c>
      <c r="B296" s="271">
        <f>VLOOKUP(DATE(YEAR(A296),MONTH(A296),1),'15. S&amp;P500'!$A$3:$J$6350,8,)</f>
        <v>0.13650165623849841</v>
      </c>
      <c r="C296" s="296">
        <f>VLOOKUP(DATE(YEAR(A296),MONTH(A296),1),'18. US 10Y Yield'!D:J,7,)</f>
        <v>2.1750833333333334E-2</v>
      </c>
      <c r="D296" s="298">
        <f t="shared" si="4"/>
        <v>0.11475082290516508</v>
      </c>
    </row>
    <row r="297" spans="1:4" x14ac:dyDescent="0.2">
      <c r="A297" s="295">
        <v>42948</v>
      </c>
      <c r="B297" s="271">
        <f>VLOOKUP(DATE(YEAR(A297),MONTH(A297),1),'15. S&amp;P500'!$A$3:$J$6350,8,)</f>
        <v>0.13851079020705237</v>
      </c>
      <c r="C297" s="296">
        <f>VLOOKUP(DATE(YEAR(A297),MONTH(A297),1),'18. US 10Y Yield'!D:J,7,)</f>
        <v>2.2211666666666664E-2</v>
      </c>
      <c r="D297" s="298">
        <f t="shared" si="4"/>
        <v>0.11629912354038571</v>
      </c>
    </row>
    <row r="298" spans="1:4" x14ac:dyDescent="0.2">
      <c r="A298" s="295">
        <v>42979</v>
      </c>
      <c r="B298" s="271">
        <f>VLOOKUP(DATE(YEAR(A298),MONTH(A298),1),'15. S&amp;P500'!$A$3:$J$6350,8,)</f>
        <v>0.16192171639140884</v>
      </c>
      <c r="C298" s="296">
        <f>VLOOKUP(DATE(YEAR(A298),MONTH(A298),1),'18. US 10Y Yield'!D:J,7,)</f>
        <v>2.281E-2</v>
      </c>
      <c r="D298" s="298">
        <f t="shared" si="4"/>
        <v>0.13911171639140885</v>
      </c>
    </row>
    <row r="299" spans="1:4" x14ac:dyDescent="0.2">
      <c r="A299" s="295">
        <v>43009</v>
      </c>
      <c r="B299" s="271">
        <f>VLOOKUP(DATE(YEAR(A299),MONTH(A299),1),'15. S&amp;P500'!$A$3:$J$6350,8,)</f>
        <v>0.21123156879806237</v>
      </c>
      <c r="C299" s="296">
        <f>VLOOKUP(DATE(YEAR(A299),MONTH(A299),1),'18. US 10Y Yield'!D:J,7,)</f>
        <v>2.326166666666667E-2</v>
      </c>
      <c r="D299" s="298">
        <f t="shared" si="4"/>
        <v>0.18796990213139569</v>
      </c>
    </row>
    <row r="300" spans="1:4" x14ac:dyDescent="0.2">
      <c r="A300" s="295">
        <v>43040</v>
      </c>
      <c r="B300" s="271">
        <f>VLOOKUP(DATE(YEAR(A300),MONTH(A300),1),'15. S&amp;P500'!$A$3:$J$6350,8,)</f>
        <v>0.20409676143004618</v>
      </c>
      <c r="C300" s="296">
        <f>VLOOKUP(DATE(YEAR(A300),MONTH(A300),1),'18. US 10Y Yield'!D:J,7,)</f>
        <v>2.33025E-2</v>
      </c>
      <c r="D300" s="298">
        <f t="shared" si="4"/>
        <v>0.18079426143004618</v>
      </c>
    </row>
    <row r="301" spans="1:4" x14ac:dyDescent="0.2">
      <c r="A301" s="295">
        <v>43070</v>
      </c>
      <c r="B301" s="271">
        <f>VLOOKUP(DATE(YEAR(A301),MONTH(A301),1),'15. S&amp;P500'!$A$3:$J$6350,8,)</f>
        <v>0.19419964892376829</v>
      </c>
      <c r="C301" s="296">
        <f>VLOOKUP(DATE(YEAR(A301),MONTH(A301),1),'18. US 10Y Yield'!D:J,7,)</f>
        <v>2.3268333333333335E-2</v>
      </c>
      <c r="D301" s="298">
        <f t="shared" si="4"/>
        <v>0.17093131559043495</v>
      </c>
    </row>
    <row r="302" spans="1:4" x14ac:dyDescent="0.2">
      <c r="A302" s="295">
        <v>43101</v>
      </c>
      <c r="B302" s="271">
        <f>VLOOKUP(DATE(YEAR(A302),MONTH(A302),1),'15. S&amp;P500'!$A$3:$J$6350,8,)</f>
        <v>0.23912728676931994</v>
      </c>
      <c r="C302" s="296">
        <f>VLOOKUP(DATE(YEAR(A302),MONTH(A302),1),'18. US 10Y Yield'!D:J,7,)</f>
        <v>2.3492499999999999E-2</v>
      </c>
      <c r="D302" s="298">
        <f t="shared" si="4"/>
        <v>0.21563478676931994</v>
      </c>
    </row>
    <row r="303" spans="1:4" x14ac:dyDescent="0.2">
      <c r="A303" s="295">
        <v>43132</v>
      </c>
      <c r="B303" s="271">
        <f>VLOOKUP(DATE(YEAR(A303),MONTH(A303),1),'15. S&amp;P500'!$A$3:$J$6350,8,)</f>
        <v>0.14815707975833892</v>
      </c>
      <c r="C303" s="296">
        <f>VLOOKUP(DATE(YEAR(A303),MONTH(A303),1),'18. US 10Y Yield'!D:J,7,)</f>
        <v>2.3917499999999994E-2</v>
      </c>
      <c r="D303" s="298">
        <f t="shared" si="4"/>
        <v>0.12423957975833892</v>
      </c>
    </row>
    <row r="304" spans="1:4" x14ac:dyDescent="0.2">
      <c r="A304" s="295">
        <v>43160</v>
      </c>
      <c r="B304" s="271">
        <f>VLOOKUP(DATE(YEAR(A304),MONTH(A304),1),'15. S&amp;P500'!$A$3:$J$6350,8,)</f>
        <v>0.11772448703189542</v>
      </c>
      <c r="C304" s="296">
        <f>VLOOKUP(DATE(YEAR(A304),MONTH(A304),1),'18. US 10Y Yield'!D:J,7,)</f>
        <v>2.4204999999999997E-2</v>
      </c>
      <c r="D304" s="298">
        <f t="shared" si="4"/>
        <v>9.3519487031895415E-2</v>
      </c>
    </row>
    <row r="305" spans="1:4" x14ac:dyDescent="0.2">
      <c r="A305" s="295">
        <v>43191</v>
      </c>
      <c r="B305" s="271">
        <f>VLOOKUP(DATE(YEAR(A305),MONTH(A305),1),'15. S&amp;P500'!$A$3:$J$6350,8,)</f>
        <v>0.11066605150574627</v>
      </c>
      <c r="C305" s="296">
        <f>VLOOKUP(DATE(YEAR(A305),MONTH(A305),1),'18. US 10Y Yield'!D:J,7,)</f>
        <v>2.4750000000000001E-2</v>
      </c>
      <c r="D305" s="298">
        <f t="shared" si="4"/>
        <v>8.5916051505746271E-2</v>
      </c>
    </row>
    <row r="306" spans="1:4" x14ac:dyDescent="0.2">
      <c r="A306" s="295">
        <v>43221</v>
      </c>
      <c r="B306" s="271">
        <f>VLOOKUP(DATE(YEAR(A306),MONTH(A306),1),'15. S&amp;P500'!$A$3:$J$6350,8,)</f>
        <v>0.12168090223069905</v>
      </c>
      <c r="C306" s="296">
        <f>VLOOKUP(DATE(YEAR(A306),MONTH(A306),1),'18. US 10Y Yield'!D:J,7,)</f>
        <v>2.5271666666666665E-2</v>
      </c>
      <c r="D306" s="298">
        <f t="shared" si="4"/>
        <v>9.6409235564032386E-2</v>
      </c>
    </row>
    <row r="307" spans="1:4" x14ac:dyDescent="0.2">
      <c r="A307" s="295">
        <v>43252</v>
      </c>
      <c r="B307" s="271">
        <f>VLOOKUP(DATE(YEAR(A307),MONTH(A307),1),'15. S&amp;P500'!$A$3:$J$6350,8,)</f>
        <v>0.12171279313034122</v>
      </c>
      <c r="C307" s="296">
        <f>VLOOKUP(DATE(YEAR(A307),MONTH(A307),1),'18. US 10Y Yield'!D:J,7,)</f>
        <v>2.5727499999999997E-2</v>
      </c>
      <c r="D307" s="298">
        <f t="shared" si="4"/>
        <v>9.5985293130341223E-2</v>
      </c>
    </row>
    <row r="308" spans="1:4" x14ac:dyDescent="0.2">
      <c r="A308" s="295">
        <v>43282</v>
      </c>
      <c r="B308" s="271">
        <f>VLOOKUP(DATE(YEAR(A308),MONTH(A308),1),'15. S&amp;P500'!$A$3:$J$6350,8,)</f>
        <v>0.14005991175160903</v>
      </c>
      <c r="C308" s="296">
        <f>VLOOKUP(DATE(YEAR(A308),MONTH(A308),1),'18. US 10Y Yield'!D:J,7,)</f>
        <v>2.6287499999999998E-2</v>
      </c>
      <c r="D308" s="298">
        <f t="shared" si="4"/>
        <v>0.11377241175160904</v>
      </c>
    </row>
    <row r="309" spans="1:4" x14ac:dyDescent="0.2">
      <c r="A309" s="295">
        <v>43313</v>
      </c>
      <c r="B309" s="271">
        <f>VLOOKUP(DATE(YEAR(A309),MONTH(A309),1),'15. S&amp;P500'!$A$3:$J$6350,8,)</f>
        <v>0.17392025569963376</v>
      </c>
      <c r="C309" s="296">
        <f>VLOOKUP(DATE(YEAR(A309),MONTH(A309),1),'18. US 10Y Yield'!D:J,7,)</f>
        <v>2.6897500000000001E-2</v>
      </c>
      <c r="D309" s="298">
        <f t="shared" si="4"/>
        <v>0.14702275569963377</v>
      </c>
    </row>
    <row r="310" spans="1:4" x14ac:dyDescent="0.2">
      <c r="A310" s="295">
        <v>43344</v>
      </c>
      <c r="B310" s="271">
        <f>VLOOKUP(DATE(YEAR(A310),MONTH(A310),1),'15. S&amp;P500'!$A$3:$J$6350,8,)</f>
        <v>0.1566350184173757</v>
      </c>
      <c r="C310" s="296">
        <f>VLOOKUP(DATE(YEAR(A310),MONTH(A310),1),'18. US 10Y Yield'!D:J,7,)</f>
        <v>2.750583333333333E-2</v>
      </c>
      <c r="D310" s="298">
        <f t="shared" ref="D310:D361" si="5">B310-C310</f>
        <v>0.12912918508404236</v>
      </c>
    </row>
    <row r="311" spans="1:4" x14ac:dyDescent="0.2">
      <c r="A311" s="295">
        <v>43374</v>
      </c>
      <c r="B311" s="271">
        <f>VLOOKUP(DATE(YEAR(A311),MONTH(A311),1),'15. S&amp;P500'!$A$3:$J$6350,8,)</f>
        <v>5.2996590635508545E-2</v>
      </c>
      <c r="C311" s="296">
        <f>VLOOKUP(DATE(YEAR(A311),MONTH(A311),1),'18. US 10Y Yield'!D:J,7,)</f>
        <v>2.8158333333333334E-2</v>
      </c>
      <c r="D311" s="298">
        <f t="shared" si="5"/>
        <v>2.4838257302175211E-2</v>
      </c>
    </row>
    <row r="312" spans="1:4" x14ac:dyDescent="0.2">
      <c r="A312" s="295">
        <v>43405</v>
      </c>
      <c r="B312" s="271">
        <f>VLOOKUP(DATE(YEAR(A312),MONTH(A312),1),'15. S&amp;P500'!$A$3:$J$6350,8,)</f>
        <v>4.2525627176515979E-2</v>
      </c>
      <c r="C312" s="296">
        <f>VLOOKUP(DATE(YEAR(A312),MONTH(A312),1),'18. US 10Y Yield'!D:J,7,)</f>
        <v>2.8655000000000003E-2</v>
      </c>
      <c r="D312" s="298">
        <f t="shared" si="5"/>
        <v>1.3870627176515975E-2</v>
      </c>
    </row>
    <row r="313" spans="1:4" x14ac:dyDescent="0.2">
      <c r="A313" s="295">
        <v>43435</v>
      </c>
      <c r="B313" s="271">
        <f>VLOOKUP(DATE(YEAR(A313),MONTH(A313),1),'15. S&amp;P500'!$A$3:$J$6350,8,)</f>
        <v>-6.2372597349650949E-2</v>
      </c>
      <c r="C313" s="296">
        <f>VLOOKUP(DATE(YEAR(A313),MONTH(A313),1),'18. US 10Y Yield'!D:J,7,)</f>
        <v>2.8889166666666667E-2</v>
      </c>
      <c r="D313" s="298">
        <f t="shared" si="5"/>
        <v>-9.1261764016317609E-2</v>
      </c>
    </row>
    <row r="314" spans="1:4" x14ac:dyDescent="0.2">
      <c r="A314" s="295">
        <v>43466</v>
      </c>
      <c r="B314" s="271">
        <f>VLOOKUP(DATE(YEAR(A314),MONTH(A314),1),'15. S&amp;P500'!$A$3:$J$6350,8,)</f>
        <v>-4.2393078854455535E-2</v>
      </c>
      <c r="C314" s="296">
        <f>VLOOKUP(DATE(YEAR(A314),MONTH(A314),1),'18. US 10Y Yield'!D:J,7,)</f>
        <v>2.8818333333333331E-2</v>
      </c>
      <c r="D314" s="298">
        <f t="shared" si="5"/>
        <v>-7.1211412187788869E-2</v>
      </c>
    </row>
    <row r="315" spans="1:4" x14ac:dyDescent="0.2">
      <c r="A315" s="295">
        <v>43497</v>
      </c>
      <c r="B315" s="271">
        <f>VLOOKUP(DATE(YEAR(A315),MONTH(A315),1),'15. S&amp;P500'!$A$3:$J$6350,8,)</f>
        <v>2.6037003054723451E-2</v>
      </c>
      <c r="C315" s="296">
        <f>VLOOKUP(DATE(YEAR(A315),MONTH(A315),1),'18. US 10Y Yield'!D:J,7,)</f>
        <v>2.8687499999999998E-2</v>
      </c>
      <c r="D315" s="298">
        <f t="shared" si="5"/>
        <v>-2.6504969452765467E-3</v>
      </c>
    </row>
    <row r="316" spans="1:4" x14ac:dyDescent="0.2">
      <c r="A316" s="295">
        <v>43525</v>
      </c>
      <c r="B316" s="271">
        <f>VLOOKUP(DATE(YEAR(A316),MONTH(A316),1),'15. S&amp;P500'!$A$3:$J$6350,8,)</f>
        <v>7.3282668211612112E-2</v>
      </c>
      <c r="C316" s="296">
        <f>VLOOKUP(DATE(YEAR(A316),MONTH(A316),1),'18. US 10Y Yield'!D:J,7,)</f>
        <v>2.8414999999999999E-2</v>
      </c>
      <c r="D316" s="298">
        <f t="shared" si="5"/>
        <v>4.4867668211612116E-2</v>
      </c>
    </row>
    <row r="317" spans="1:4" x14ac:dyDescent="0.2">
      <c r="A317" s="295">
        <v>43556</v>
      </c>
      <c r="B317" s="271">
        <f>VLOOKUP(DATE(YEAR(A317),MONTH(A317),1),'15. S&amp;P500'!$A$3:$J$6350,8,)</f>
        <v>0.11245255943052435</v>
      </c>
      <c r="C317" s="296">
        <f>VLOOKUP(DATE(YEAR(A317),MONTH(A317),1),'18. US 10Y Yield'!D:J,7,)</f>
        <v>2.8059166666666666E-2</v>
      </c>
      <c r="D317" s="298">
        <f t="shared" si="5"/>
        <v>8.4393392763857683E-2</v>
      </c>
    </row>
    <row r="318" spans="1:4" x14ac:dyDescent="0.2">
      <c r="A318" s="295">
        <v>43586</v>
      </c>
      <c r="B318" s="271">
        <f>VLOOKUP(DATE(YEAR(A318),MONTH(A318),1),'15. S&amp;P500'!$A$3:$J$6350,8,)</f>
        <v>1.7295870652467293E-2</v>
      </c>
      <c r="C318" s="296">
        <f>VLOOKUP(DATE(YEAR(A318),MONTH(A318),1),'18. US 10Y Yield'!D:J,7,)</f>
        <v>2.74925E-2</v>
      </c>
      <c r="D318" s="298">
        <f t="shared" si="5"/>
        <v>-1.0196629347532706E-2</v>
      </c>
    </row>
    <row r="319" spans="1:4" x14ac:dyDescent="0.2">
      <c r="A319" s="295">
        <v>43617</v>
      </c>
      <c r="B319" s="271">
        <f>VLOOKUP(DATE(YEAR(A319),MONTH(A319),1),'15. S&amp;P500'!$A$3:$J$6350,8,)</f>
        <v>8.2177922799324676E-2</v>
      </c>
      <c r="C319" s="296">
        <f>VLOOKUP(DATE(YEAR(A319),MONTH(A319),1),'18. US 10Y Yield'!D:J,7,)</f>
        <v>2.6784999999999996E-2</v>
      </c>
      <c r="D319" s="298">
        <f t="shared" si="5"/>
        <v>5.539292279932468E-2</v>
      </c>
    </row>
    <row r="320" spans="1:4" x14ac:dyDescent="0.2">
      <c r="A320" s="295">
        <v>43647</v>
      </c>
      <c r="B320" s="271">
        <f>VLOOKUP(DATE(YEAR(A320),MONTH(A320),1),'15. S&amp;P500'!$A$3:$J$6350,8,)</f>
        <v>5.8264596330633633E-2</v>
      </c>
      <c r="C320" s="296">
        <f>VLOOKUP(DATE(YEAR(A320),MONTH(A320),1),'18. US 10Y Yield'!D:J,7,)</f>
        <v>2.5999166666666667E-2</v>
      </c>
      <c r="D320" s="298">
        <f t="shared" si="5"/>
        <v>3.2265429663966963E-2</v>
      </c>
    </row>
    <row r="321" spans="1:4" x14ac:dyDescent="0.2">
      <c r="A321" s="295">
        <v>43678</v>
      </c>
      <c r="B321" s="271">
        <f>VLOOKUP(DATE(YEAR(A321),MONTH(A321),1),'15. S&amp;P500'!$A$3:$J$6350,8,)</f>
        <v>8.5954947751523125E-3</v>
      </c>
      <c r="C321" s="296">
        <f>VLOOKUP(DATE(YEAR(A321),MONTH(A321),1),'18. US 10Y Yield'!D:J,7,)</f>
        <v>2.4876666666666668E-2</v>
      </c>
      <c r="D321" s="298">
        <f t="shared" si="5"/>
        <v>-1.6281171891514356E-2</v>
      </c>
    </row>
    <row r="322" spans="1:4" x14ac:dyDescent="0.2">
      <c r="A322" s="295">
        <v>43709</v>
      </c>
      <c r="B322" s="271">
        <f>VLOOKUP(DATE(YEAR(A322),MONTH(A322),1),'15. S&amp;P500'!$A$3:$J$6350,8,)</f>
        <v>2.1537553449234359E-2</v>
      </c>
      <c r="C322" s="296">
        <f>VLOOKUP(DATE(YEAR(A322),MONTH(A322),1),'18. US 10Y Yield'!D:J,7,)</f>
        <v>2.3725833333333335E-2</v>
      </c>
      <c r="D322" s="298">
        <f t="shared" si="5"/>
        <v>-2.1882798840989759E-3</v>
      </c>
    </row>
    <row r="323" spans="1:4" x14ac:dyDescent="0.2">
      <c r="A323" s="295">
        <v>43739</v>
      </c>
      <c r="B323" s="271">
        <f>VLOOKUP(DATE(YEAR(A323),MONTH(A323),1),'15. S&amp;P500'!$A$3:$J$6350,8,)</f>
        <v>0.12015163695634534</v>
      </c>
      <c r="C323" s="296">
        <f>VLOOKUP(DATE(YEAR(A323),MONTH(A323),1),'18. US 10Y Yield'!D:J,7,)</f>
        <v>2.2502499999999998E-2</v>
      </c>
      <c r="D323" s="298">
        <f t="shared" si="5"/>
        <v>9.7649136956345348E-2</v>
      </c>
    </row>
    <row r="324" spans="1:4" x14ac:dyDescent="0.2">
      <c r="A324" s="295">
        <v>43770</v>
      </c>
      <c r="B324" s="271">
        <f>VLOOKUP(DATE(YEAR(A324),MONTH(A324),1),'15. S&amp;P500'!$A$3:$J$6350,8,)</f>
        <v>0.13796613976675354</v>
      </c>
      <c r="C324" s="296">
        <f>VLOOKUP(DATE(YEAR(A324),MONTH(A324),1),'18. US 10Y Yield'!D:J,7,)</f>
        <v>2.1471666666666667E-2</v>
      </c>
      <c r="D324" s="298">
        <f t="shared" si="5"/>
        <v>0.11649447310008687</v>
      </c>
    </row>
    <row r="325" spans="1:4" x14ac:dyDescent="0.2">
      <c r="A325" s="295">
        <v>43800</v>
      </c>
      <c r="B325" s="271">
        <f>VLOOKUP(DATE(YEAR(A325),MONTH(A325),1),'15. S&amp;P500'!$A$3:$J$6350,8,)</f>
        <v>0.28878074077028959</v>
      </c>
      <c r="C325" s="296">
        <f>VLOOKUP(DATE(YEAR(A325),MONTH(A325),1),'18. US 10Y Yield'!D:J,7,)</f>
        <v>2.08325E-2</v>
      </c>
      <c r="D325" s="298">
        <f t="shared" si="5"/>
        <v>0.26794824077028961</v>
      </c>
    </row>
    <row r="326" spans="1:4" x14ac:dyDescent="0.2">
      <c r="A326" s="295">
        <v>43831</v>
      </c>
      <c r="B326" s="271">
        <f>VLOOKUP(DATE(YEAR(A326),MONTH(A326),1),'15. S&amp;P500'!$A$3:$J$6350,8,)</f>
        <v>0.19282570910839092</v>
      </c>
      <c r="C326" s="296">
        <f>VLOOKUP(DATE(YEAR(A326),MONTH(A326),1),'18. US 10Y Yield'!D:J,7,)</f>
        <v>1.9903333333333332E-2</v>
      </c>
      <c r="D326" s="298">
        <f t="shared" si="5"/>
        <v>0.17292237577505759</v>
      </c>
    </row>
    <row r="327" spans="1:4" x14ac:dyDescent="0.2">
      <c r="A327" s="295">
        <v>43862</v>
      </c>
      <c r="B327" s="271">
        <f>VLOOKUP(DATE(YEAR(A327),MONTH(A327),1),'15. S&amp;P500'!$A$3:$J$6350,8,)</f>
        <v>6.0955507112613105E-2</v>
      </c>
      <c r="C327" s="296">
        <f>VLOOKUP(DATE(YEAR(A327),MONTH(A327),1),'18. US 10Y Yield'!D:J,7,)</f>
        <v>1.8583333333333334E-2</v>
      </c>
      <c r="D327" s="298">
        <f t="shared" si="5"/>
        <v>4.2372173779279772E-2</v>
      </c>
    </row>
    <row r="328" spans="1:4" x14ac:dyDescent="0.2">
      <c r="A328" s="295">
        <v>43891</v>
      </c>
      <c r="B328" s="271">
        <f>VLOOKUP(DATE(YEAR(A328),MONTH(A328),1),'15. S&amp;P500'!$A$3:$J$6350,8,)</f>
        <v>-8.813505503810326E-2</v>
      </c>
      <c r="C328" s="296">
        <f>VLOOKUP(DATE(YEAR(A328),MONTH(A328),1),'18. US 10Y Yield'!D:J,7,)</f>
        <v>1.7153333333333333E-2</v>
      </c>
      <c r="D328" s="298">
        <f t="shared" si="5"/>
        <v>-0.10528838837143659</v>
      </c>
    </row>
    <row r="329" spans="1:4" x14ac:dyDescent="0.2">
      <c r="A329" s="295">
        <v>43922</v>
      </c>
      <c r="B329" s="271">
        <f>VLOOKUP(DATE(YEAR(A329),MONTH(A329),1),'15. S&amp;P500'!$A$3:$J$6350,8,)</f>
        <v>-1.1338060920012438E-2</v>
      </c>
      <c r="C329" s="296">
        <f>VLOOKUP(DATE(YEAR(A329),MONTH(A329),1),'18. US 10Y Yield'!D:J,7,)</f>
        <v>1.5580833333333332E-2</v>
      </c>
      <c r="D329" s="298">
        <f t="shared" si="5"/>
        <v>-2.691889425334577E-2</v>
      </c>
    </row>
    <row r="330" spans="1:4" x14ac:dyDescent="0.2">
      <c r="A330" s="295">
        <v>43952</v>
      </c>
      <c r="B330" s="271">
        <f>VLOOKUP(DATE(YEAR(A330),MONTH(A330),1),'15. S&amp;P500'!$A$3:$J$6350,8,)</f>
        <v>0.10619317892778501</v>
      </c>
      <c r="C330" s="296">
        <f>VLOOKUP(DATE(YEAR(A330),MONTH(A330),1),'18. US 10Y Yield'!D:J,7,)</f>
        <v>1.4335833333333336E-2</v>
      </c>
      <c r="D330" s="298">
        <f t="shared" si="5"/>
        <v>9.1857345594451675E-2</v>
      </c>
    </row>
    <row r="331" spans="1:4" x14ac:dyDescent="0.2">
      <c r="A331" s="295">
        <v>43983</v>
      </c>
      <c r="B331" s="271">
        <f>VLOOKUP(DATE(YEAR(A331),MONTH(A331),1),'15. S&amp;P500'!$A$3:$J$6350,8,)</f>
        <v>5.3889508321548929E-2</v>
      </c>
      <c r="C331" s="296">
        <f>VLOOKUP(DATE(YEAR(A331),MONTH(A331),1),'18. US 10Y Yield'!D:J,7,)</f>
        <v>1.3213333333333334E-2</v>
      </c>
      <c r="D331" s="298">
        <f t="shared" si="5"/>
        <v>4.0676174988215595E-2</v>
      </c>
    </row>
    <row r="332" spans="1:4" x14ac:dyDescent="0.2">
      <c r="A332" s="295">
        <v>44013</v>
      </c>
      <c r="B332" s="271">
        <f>VLOOKUP(DATE(YEAR(A332),MONTH(A332),1),'15. S&amp;P500'!$A$3:$J$6350,8,)</f>
        <v>9.7551318959327338E-2</v>
      </c>
      <c r="C332" s="296">
        <f>VLOOKUP(DATE(YEAR(A332),MONTH(A332),1),'18. US 10Y Yield'!D:J,7,)</f>
        <v>1.1975833333333335E-2</v>
      </c>
      <c r="D332" s="298">
        <f t="shared" si="5"/>
        <v>8.5575485625993999E-2</v>
      </c>
    </row>
    <row r="333" spans="1:4" x14ac:dyDescent="0.2">
      <c r="A333" s="295">
        <v>44044</v>
      </c>
      <c r="B333" s="271">
        <f>VLOOKUP(DATE(YEAR(A333),MONTH(A333),1),'15. S&amp;P500'!$A$3:$J$6350,8,)</f>
        <v>0.19609015670810459</v>
      </c>
      <c r="C333" s="296">
        <f>VLOOKUP(DATE(YEAR(A333),MONTH(A333),1),'18. US 10Y Yield'!D:J,7,)</f>
        <v>1.1298333333333332E-2</v>
      </c>
      <c r="D333" s="298">
        <f t="shared" si="5"/>
        <v>0.18479182337477126</v>
      </c>
    </row>
    <row r="334" spans="1:4" x14ac:dyDescent="0.2">
      <c r="A334" s="295">
        <v>44075</v>
      </c>
      <c r="B334" s="271">
        <f>VLOOKUP(DATE(YEAR(A334),MONTH(A334),1),'15. S&amp;P500'!$A$3:$J$6350,8,)</f>
        <v>0.12975940122415808</v>
      </c>
      <c r="C334" s="296">
        <f>VLOOKUP(DATE(YEAR(A334),MONTH(A334),1),'18. US 10Y Yield'!D:J,7,)</f>
        <v>1.0466666666666666E-2</v>
      </c>
      <c r="D334" s="298">
        <f t="shared" si="5"/>
        <v>0.11929273455749141</v>
      </c>
    </row>
    <row r="335" spans="1:4" x14ac:dyDescent="0.2">
      <c r="A335" s="295">
        <v>44105</v>
      </c>
      <c r="B335" s="271">
        <f>VLOOKUP(DATE(YEAR(A335),MONTH(A335),1),'15. S&amp;P500'!$A$3:$J$6350,8,)</f>
        <v>7.6508776781363919E-2</v>
      </c>
      <c r="C335" s="296">
        <f>VLOOKUP(DATE(YEAR(A335),MONTH(A335),1),'18. US 10Y Yield'!D:J,7,)</f>
        <v>9.7741666666666654E-3</v>
      </c>
      <c r="D335" s="298">
        <f t="shared" si="5"/>
        <v>6.6734610114697251E-2</v>
      </c>
    </row>
    <row r="336" spans="1:4" x14ac:dyDescent="0.2">
      <c r="A336" s="295">
        <v>44136</v>
      </c>
      <c r="B336" s="271">
        <f>VLOOKUP(DATE(YEAR(A336),MONTH(A336),1),'15. S&amp;P500'!$A$3:$J$6350,8,)</f>
        <v>0.15302548886016476</v>
      </c>
      <c r="C336" s="296">
        <f>VLOOKUP(DATE(YEAR(A336),MONTH(A336),1),'18. US 10Y Yield'!D:J,7,)</f>
        <v>8.9974999999999968E-3</v>
      </c>
      <c r="D336" s="298">
        <f t="shared" si="5"/>
        <v>0.14402798886016477</v>
      </c>
    </row>
    <row r="337" spans="1:4" x14ac:dyDescent="0.2">
      <c r="A337" s="295">
        <v>44166</v>
      </c>
      <c r="B337" s="271">
        <f>VLOOKUP(DATE(YEAR(A337),MONTH(A337),1),'15. S&amp;P500'!$A$3:$J$6350,8,)</f>
        <v>0.16258921994069531</v>
      </c>
      <c r="C337" s="296">
        <f>VLOOKUP(DATE(YEAR(A337),MONTH(A337),1),'18. US 10Y Yield'!D:J,7,)</f>
        <v>8.1624999999999979E-3</v>
      </c>
      <c r="D337" s="298">
        <f t="shared" si="5"/>
        <v>0.15442671994069532</v>
      </c>
    </row>
    <row r="338" spans="1:4" x14ac:dyDescent="0.2">
      <c r="A338" s="295">
        <v>44197</v>
      </c>
      <c r="B338" s="271">
        <f>VLOOKUP(DATE(YEAR(A338),MONTH(A338),1),'15. S&amp;P500'!$A$3:$J$6350,8,)</f>
        <v>0.15151665467893549</v>
      </c>
      <c r="C338" s="296">
        <f>VLOOKUP(DATE(YEAR(A338),MONTH(A338),1),'18. US 10Y Yield'!D:J,7,)</f>
        <v>7.8066666666666675E-3</v>
      </c>
      <c r="D338" s="298">
        <f t="shared" si="5"/>
        <v>0.14370998801226884</v>
      </c>
    </row>
    <row r="339" spans="1:4" x14ac:dyDescent="0.2">
      <c r="A339" s="295">
        <v>44228</v>
      </c>
      <c r="B339" s="271">
        <f>VLOOKUP(DATE(YEAR(A339),MONTH(A339),1),'15. S&amp;P500'!$A$3:$J$6350,8,)</f>
        <v>0.29006979845779957</v>
      </c>
      <c r="C339" s="296">
        <f>VLOOKUP(DATE(YEAR(A339),MONTH(A339),1),'18. US 10Y Yield'!D:J,7,)</f>
        <v>8.0841666666666666E-3</v>
      </c>
      <c r="D339" s="298">
        <f t="shared" si="5"/>
        <v>0.2819856317911329</v>
      </c>
    </row>
    <row r="340" spans="1:4" x14ac:dyDescent="0.2">
      <c r="A340" s="295">
        <v>44256</v>
      </c>
      <c r="B340" s="271">
        <f>VLOOKUP(DATE(YEAR(A340),MONTH(A340),1),'15. S&amp;P500'!$A$3:$J$6350,8,)</f>
        <v>0.5371451564851677</v>
      </c>
      <c r="C340" s="296">
        <f>VLOOKUP(DATE(YEAR(A340),MONTH(A340),1),'18. US 10Y Yield'!D:J,7,)</f>
        <v>8.9575000000000002E-3</v>
      </c>
      <c r="D340" s="298">
        <f t="shared" si="5"/>
        <v>0.52818765648516774</v>
      </c>
    </row>
    <row r="341" spans="1:4" x14ac:dyDescent="0.2">
      <c r="A341" s="295">
        <v>44287</v>
      </c>
      <c r="B341" s="271">
        <f>VLOOKUP(DATE(YEAR(A341),MONTH(A341),1),'15. S&amp;P500'!$A$3:$J$6350,8,)</f>
        <v>0.43562935418190318</v>
      </c>
      <c r="C341" s="296">
        <f>VLOOKUP(DATE(YEAR(A341),MONTH(A341),1),'18. US 10Y Yield'!D:J,7,)</f>
        <v>9.7983333333333342E-3</v>
      </c>
      <c r="D341" s="298">
        <f t="shared" si="5"/>
        <v>0.42583102084856983</v>
      </c>
    </row>
    <row r="342" spans="1:4" x14ac:dyDescent="0.2">
      <c r="A342" s="295">
        <v>44317</v>
      </c>
      <c r="B342" s="271">
        <f>VLOOKUP(DATE(YEAR(A342),MONTH(A342),1),'15. S&amp;P500'!$A$3:$J$6350,8,)</f>
        <v>0.38097302837096092</v>
      </c>
      <c r="C342" s="296">
        <f>VLOOKUP(DATE(YEAR(A342),MONTH(A342),1),'18. US 10Y Yield'!D:J,7,)</f>
        <v>1.0575833333333333E-2</v>
      </c>
      <c r="D342" s="298">
        <f t="shared" si="5"/>
        <v>0.37039719503762758</v>
      </c>
    </row>
    <row r="343" spans="1:4" x14ac:dyDescent="0.2">
      <c r="A343" s="295">
        <v>44348</v>
      </c>
      <c r="B343" s="271">
        <f>VLOOKUP(DATE(YEAR(A343),MONTH(A343),1),'15. S&amp;P500'!$A$3:$J$6350,8,)</f>
        <v>0.38616064948762863</v>
      </c>
      <c r="C343" s="296">
        <f>VLOOKUP(DATE(YEAR(A343),MONTH(A343),1),'18. US 10Y Yield'!D:J,7,)</f>
        <v>1.1234166666666667E-2</v>
      </c>
      <c r="D343" s="298">
        <f t="shared" si="5"/>
        <v>0.37492648282096197</v>
      </c>
    </row>
    <row r="344" spans="1:4" x14ac:dyDescent="0.2">
      <c r="A344" s="295">
        <v>44378</v>
      </c>
      <c r="B344" s="271">
        <f>VLOOKUP(DATE(YEAR(A344),MONTH(A344),1),'15. S&amp;P500'!$A$3:$J$6350,8,)</f>
        <v>0.34365599550001225</v>
      </c>
      <c r="C344" s="296">
        <f>VLOOKUP(DATE(YEAR(A344),MONTH(A344),1),'18. US 10Y Yield'!D:J,7,)</f>
        <v>1.1819999999999999E-2</v>
      </c>
      <c r="D344" s="298">
        <f t="shared" si="5"/>
        <v>0.33183599550001225</v>
      </c>
    </row>
    <row r="345" spans="1:4" x14ac:dyDescent="0.2">
      <c r="A345" s="295">
        <v>44409</v>
      </c>
      <c r="B345" s="271">
        <f>VLOOKUP(DATE(YEAR(A345),MONTH(A345),1),'15. S&amp;P500'!$A$3:$J$6350,8,)</f>
        <v>0.2920798443566428</v>
      </c>
      <c r="C345" s="296">
        <f>VLOOKUP(DATE(YEAR(A345),MONTH(A345),1),'18. US 10Y Yield'!D:J,7,)</f>
        <v>1.2329166666666667E-2</v>
      </c>
      <c r="D345" s="298">
        <f t="shared" si="5"/>
        <v>0.27975067768997613</v>
      </c>
    </row>
    <row r="346" spans="1:4" x14ac:dyDescent="0.2">
      <c r="A346" s="295">
        <v>44440</v>
      </c>
      <c r="B346" s="271">
        <f>VLOOKUP(DATE(YEAR(A346),MONTH(A346),1),'15. S&amp;P500'!$A$3:$J$6350,8,)</f>
        <v>0.28086232530478727</v>
      </c>
      <c r="C346" s="296">
        <f>VLOOKUP(DATE(YEAR(A346),MONTH(A346),1),'18. US 10Y Yield'!D:J,7,)</f>
        <v>1.3039166666666666E-2</v>
      </c>
      <c r="D346" s="298">
        <f t="shared" si="5"/>
        <v>0.26782315863812062</v>
      </c>
    </row>
    <row r="347" spans="1:4" x14ac:dyDescent="0.2">
      <c r="A347" s="295">
        <v>44470</v>
      </c>
      <c r="B347" s="271">
        <f>VLOOKUP(DATE(YEAR(A347),MONTH(A347),1),'15. S&amp;P500'!$A$3:$J$6350,8,)</f>
        <v>0.4083903167011218</v>
      </c>
      <c r="C347" s="296">
        <f>VLOOKUP(DATE(YEAR(A347),MONTH(A347),1),'18. US 10Y Yield'!D:J,7,)</f>
        <v>1.362E-2</v>
      </c>
      <c r="D347" s="298">
        <f t="shared" si="5"/>
        <v>0.39477031670112178</v>
      </c>
    </row>
    <row r="348" spans="1:4" x14ac:dyDescent="0.2">
      <c r="A348" s="295">
        <v>44501</v>
      </c>
      <c r="B348" s="271">
        <f>VLOOKUP(DATE(YEAR(A348),MONTH(A348),1),'15. S&amp;P500'!$A$3:$J$6350,8,)</f>
        <v>0.26103439611445678</v>
      </c>
      <c r="C348" s="296">
        <f>VLOOKUP(DATE(YEAR(A348),MONTH(A348),1),'18. US 10Y Yield'!D:J,7,)</f>
        <v>1.4119166666666667E-2</v>
      </c>
      <c r="D348" s="298">
        <f t="shared" si="5"/>
        <v>0.24691522944779012</v>
      </c>
    </row>
    <row r="349" spans="1:4" x14ac:dyDescent="0.2">
      <c r="A349" s="295">
        <v>44531</v>
      </c>
      <c r="B349" s="271">
        <f>VLOOKUP(DATE(YEAR(A349),MONTH(A349),1),'15. S&amp;P500'!$A$3:$J$6350,8,)</f>
        <v>0.268927362908572</v>
      </c>
      <c r="C349" s="296">
        <f>VLOOKUP(DATE(YEAR(A349),MONTH(A349),1),'18. US 10Y Yield'!D:J,7,)</f>
        <v>1.4615E-2</v>
      </c>
      <c r="D349" s="298">
        <f t="shared" si="5"/>
        <v>0.25431236290857201</v>
      </c>
    </row>
    <row r="350" spans="1:4" x14ac:dyDescent="0.2">
      <c r="A350" s="295">
        <v>44562</v>
      </c>
      <c r="B350" s="271">
        <f>VLOOKUP(DATE(YEAR(A350),MONTH(A350),1),'15. S&amp;P500'!$A$3:$J$6350,8,)</f>
        <v>0.21573996295339026</v>
      </c>
      <c r="C350" s="296">
        <f>VLOOKUP(DATE(YEAR(A350),MONTH(A350),1),'18. US 10Y Yield'!D:J,7,)</f>
        <v>1.5189166666666667E-2</v>
      </c>
      <c r="D350" s="298">
        <f t="shared" si="5"/>
        <v>0.20055079628672359</v>
      </c>
    </row>
    <row r="351" spans="1:4" x14ac:dyDescent="0.2">
      <c r="A351" s="295">
        <v>44593</v>
      </c>
      <c r="B351" s="271">
        <f>VLOOKUP(DATE(YEAR(A351),MONTH(A351),1),'15. S&amp;P500'!$A$3:$J$6350,8,)</f>
        <v>0.14762998045209441</v>
      </c>
      <c r="C351" s="296">
        <f>VLOOKUP(DATE(YEAR(A351),MONTH(A351),1),'18. US 10Y Yield'!D:J,7,)</f>
        <v>1.5504999999999998E-2</v>
      </c>
      <c r="D351" s="298">
        <f t="shared" si="5"/>
        <v>0.13212498045209442</v>
      </c>
    </row>
    <row r="352" spans="1:4" x14ac:dyDescent="0.2">
      <c r="A352" s="295">
        <v>44621</v>
      </c>
      <c r="B352" s="271">
        <f>VLOOKUP(DATE(YEAR(A352),MONTH(A352),1),'15. S&amp;P500'!$A$3:$J$6350,8,)</f>
        <v>0.14033109398951393</v>
      </c>
      <c r="C352" s="296">
        <f>VLOOKUP(DATE(YEAR(A352),MONTH(A352),1),'18. US 10Y Yield'!D:J,7,)</f>
        <v>1.5989166666666665E-2</v>
      </c>
      <c r="D352" s="298">
        <f t="shared" si="5"/>
        <v>0.12434192732284727</v>
      </c>
    </row>
    <row r="353" spans="1:4" x14ac:dyDescent="0.2">
      <c r="A353" s="295">
        <v>44652</v>
      </c>
      <c r="B353" s="271">
        <f>VLOOKUP(DATE(YEAR(A353),MONTH(A353),1),'15. S&amp;P500'!$A$3:$J$6350,8,)</f>
        <v>-1.1776607982933007E-2</v>
      </c>
      <c r="C353" s="296">
        <f>VLOOKUP(DATE(YEAR(A353),MONTH(A353),1),'18. US 10Y Yield'!D:J,7,)</f>
        <v>1.7035833333333333E-2</v>
      </c>
      <c r="D353" s="298">
        <f t="shared" si="5"/>
        <v>-2.8812441316266341E-2</v>
      </c>
    </row>
    <row r="354" spans="1:4" x14ac:dyDescent="0.2">
      <c r="A354" s="295">
        <v>44682</v>
      </c>
      <c r="B354" s="271">
        <f>VLOOKUP(DATE(YEAR(A354),MONTH(A354),1),'15. S&amp;P500'!$A$3:$J$6350,8,)</f>
        <v>-1.7116583533732466E-2</v>
      </c>
      <c r="C354" s="296">
        <f>VLOOKUP(DATE(YEAR(A354),MONTH(A354),1),'18. US 10Y Yield'!D:J,7,)</f>
        <v>1.8088333333333335E-2</v>
      </c>
      <c r="D354" s="298">
        <f t="shared" si="5"/>
        <v>-3.5204916867065797E-2</v>
      </c>
    </row>
    <row r="355" spans="1:4" x14ac:dyDescent="0.2">
      <c r="A355" s="295">
        <v>44713</v>
      </c>
      <c r="B355" s="271">
        <f>VLOOKUP(DATE(YEAR(A355),MONTH(A355),1),'15. S&amp;P500'!$A$3:$J$6350,8,)</f>
        <v>-0.11916695753344964</v>
      </c>
      <c r="C355" s="296">
        <f>VLOOKUP(DATE(YEAR(A355),MONTH(A355),1),'18. US 10Y Yield'!D:J,7,)</f>
        <v>1.9362500000000001E-2</v>
      </c>
      <c r="D355" s="298">
        <f t="shared" si="5"/>
        <v>-0.13852945753344964</v>
      </c>
    </row>
    <row r="356" spans="1:4" x14ac:dyDescent="0.2">
      <c r="A356" s="295">
        <v>44743</v>
      </c>
      <c r="B356" s="271">
        <f>VLOOKUP(DATE(YEAR(A356),MONTH(A356),1),'15. S&amp;P500'!$A$3:$J$6350,8,)</f>
        <v>-6.0285398360961584E-2</v>
      </c>
      <c r="C356" s="296">
        <f>VLOOKUP(DATE(YEAR(A356),MONTH(A356),1),'18. US 10Y Yield'!D:J,7,)</f>
        <v>2.0531666666666667E-2</v>
      </c>
      <c r="D356" s="298">
        <f t="shared" si="5"/>
        <v>-8.0817065027628254E-2</v>
      </c>
    </row>
    <row r="357" spans="1:4" x14ac:dyDescent="0.2">
      <c r="A357" s="295">
        <v>44774</v>
      </c>
      <c r="B357" s="271">
        <f>VLOOKUP(DATE(YEAR(A357),MONTH(A357),1),'15. S&amp;P500'!$A$3:$J$6350,8,)</f>
        <v>-0.12551849788178693</v>
      </c>
      <c r="C357" s="296">
        <f>VLOOKUP(DATE(YEAR(A357),MONTH(A357),1),'18. US 10Y Yield'!D:J,7,)</f>
        <v>2.2055833333333337E-2</v>
      </c>
      <c r="D357" s="298">
        <f t="shared" si="5"/>
        <v>-0.14757433121512026</v>
      </c>
    </row>
    <row r="358" spans="1:4" x14ac:dyDescent="0.2">
      <c r="A358" s="295">
        <v>44805</v>
      </c>
      <c r="B358" s="271">
        <f>VLOOKUP(DATE(YEAR(A358),MONTH(A358),1),'15. S&amp;P500'!$A$3:$J$6350,8,)</f>
        <v>-0.16759449709114715</v>
      </c>
      <c r="C358" s="296">
        <f>VLOOKUP(DATE(YEAR(A358),MONTH(A358),1),'18. US 10Y Yield'!D:J,7,)</f>
        <v>2.395166666666667E-2</v>
      </c>
      <c r="D358" s="298">
        <f t="shared" si="5"/>
        <v>-0.19154616375781383</v>
      </c>
    </row>
    <row r="359" spans="1:4" x14ac:dyDescent="0.2">
      <c r="A359" s="295">
        <v>44835</v>
      </c>
      <c r="B359" s="271">
        <f>VLOOKUP(DATE(YEAR(A359),MONTH(A359),1),'15. S&amp;P500'!$A$3:$J$6350,8,)</f>
        <v>-0.20027011886098434</v>
      </c>
      <c r="C359" s="296">
        <f>VLOOKUP(DATE(YEAR(A359),MONTH(A359),1),'18. US 10Y Yield'!D:J,7,)</f>
        <v>2.6175833333333332E-2</v>
      </c>
      <c r="D359" s="298">
        <f t="shared" si="5"/>
        <v>-0.22644595219431768</v>
      </c>
    </row>
    <row r="360" spans="1:4" x14ac:dyDescent="0.2">
      <c r="A360" s="295">
        <v>44866</v>
      </c>
      <c r="B360" s="271">
        <f>VLOOKUP(DATE(YEAR(A360),MONTH(A360),1),'15. S&amp;P500'!$A$3:$J$6350,8,)</f>
        <v>-0.1066104663893146</v>
      </c>
      <c r="C360" s="296">
        <f>VLOOKUP(DATE(YEAR(A360),MONTH(A360),1),'18. US 10Y Yield'!D:J,7,)</f>
        <v>2.8059166666666666E-2</v>
      </c>
      <c r="D360" s="298">
        <f t="shared" si="5"/>
        <v>-0.13466963305598126</v>
      </c>
    </row>
    <row r="361" spans="1:4" x14ac:dyDescent="0.2">
      <c r="A361" s="295">
        <v>44896</v>
      </c>
      <c r="B361" s="271">
        <f>VLOOKUP(DATE(YEAR(A361),MONTH(A361),1),'15. S&amp;P500'!$A$3:$J$6350,8,)</f>
        <v>-0.19442824232404154</v>
      </c>
      <c r="C361" s="296">
        <f>VLOOKUP(DATE(YEAR(A361),MONTH(A361),1),'18. US 10Y Yield'!D:J,7,)</f>
        <v>3.0031666666666665E-2</v>
      </c>
      <c r="D361" s="298">
        <f t="shared" si="5"/>
        <v>-0.22445990899070822</v>
      </c>
    </row>
  </sheetData>
  <phoneticPr fontId="5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8305-39D9-4F1F-9963-240B2862D078}">
  <sheetPr>
    <tabColor theme="7" tint="0.79998168889431442"/>
  </sheetPr>
  <dimension ref="A1:T1190"/>
  <sheetViews>
    <sheetView workbookViewId="0">
      <selection activeCell="A1179" sqref="A1179:XFD1179"/>
    </sheetView>
  </sheetViews>
  <sheetFormatPr baseColWidth="10" defaultColWidth="9.1640625" defaultRowHeight="15" x14ac:dyDescent="0.2"/>
  <cols>
    <col min="1" max="1" width="15.1640625" style="29" customWidth="1"/>
    <col min="2" max="7" width="9.1640625" style="29"/>
    <col min="8" max="8" width="21.5" style="50" bestFit="1" customWidth="1"/>
    <col min="9" max="9" width="17.6640625" style="29" customWidth="1"/>
    <col min="10" max="10" width="10.6640625" style="29" bestFit="1" customWidth="1"/>
    <col min="11" max="16384" width="9.1640625" style="29"/>
  </cols>
  <sheetData>
    <row r="1" spans="1:20" x14ac:dyDescent="0.2">
      <c r="A1" s="529" t="s">
        <v>102</v>
      </c>
      <c r="B1" s="529"/>
      <c r="C1" s="529"/>
      <c r="D1" s="529"/>
      <c r="E1" s="529"/>
      <c r="F1" s="529"/>
      <c r="G1" s="529"/>
      <c r="I1"/>
      <c r="J1" s="529" t="s">
        <v>633</v>
      </c>
      <c r="K1" s="529"/>
      <c r="L1" s="529"/>
      <c r="M1" s="529"/>
      <c r="N1" s="529"/>
      <c r="O1" s="529"/>
      <c r="P1" s="529"/>
      <c r="Q1" s="50"/>
      <c r="S1" s="47" t="s">
        <v>61</v>
      </c>
      <c r="T1" s="154" t="s">
        <v>121</v>
      </c>
    </row>
    <row r="2" spans="1:20" ht="24" customHeight="1" x14ac:dyDescent="0.2">
      <c r="A2" s="51" t="s">
        <v>115</v>
      </c>
      <c r="B2" s="51" t="s">
        <v>116</v>
      </c>
      <c r="C2" s="51" t="s">
        <v>117</v>
      </c>
      <c r="D2" s="51" t="s">
        <v>118</v>
      </c>
      <c r="E2" s="51" t="s">
        <v>119</v>
      </c>
      <c r="F2" s="51" t="s">
        <v>122</v>
      </c>
      <c r="G2" s="51" t="s">
        <v>120</v>
      </c>
      <c r="H2" s="470" t="s">
        <v>3092</v>
      </c>
      <c r="I2" s="289"/>
      <c r="J2" s="51" t="s">
        <v>115</v>
      </c>
      <c r="K2" s="51" t="s">
        <v>116</v>
      </c>
      <c r="L2" s="51" t="s">
        <v>117</v>
      </c>
      <c r="M2" s="51" t="s">
        <v>118</v>
      </c>
      <c r="N2" s="51" t="s">
        <v>119</v>
      </c>
      <c r="O2" s="51" t="s">
        <v>122</v>
      </c>
      <c r="P2" s="51" t="s">
        <v>120</v>
      </c>
      <c r="T2" s="290" t="s">
        <v>635</v>
      </c>
    </row>
    <row r="3" spans="1:20" x14ac:dyDescent="0.2">
      <c r="A3" s="56">
        <v>44986</v>
      </c>
      <c r="B3" s="467">
        <v>3858.5</v>
      </c>
      <c r="C3" s="467">
        <v>3958.2</v>
      </c>
      <c r="D3" s="467">
        <v>4078.6</v>
      </c>
      <c r="E3" s="467">
        <v>3810.54</v>
      </c>
      <c r="G3" s="468">
        <v>-2.81E-2</v>
      </c>
      <c r="H3" s="53">
        <f t="shared" ref="H3:H17" si="0">B3/B15-1</f>
        <v>-0.14831108001262572</v>
      </c>
      <c r="I3" s="292"/>
      <c r="J3" s="52">
        <v>36688</v>
      </c>
      <c r="K3" s="57">
        <v>1464.46</v>
      </c>
      <c r="L3" s="57">
        <v>1456.95</v>
      </c>
      <c r="M3" s="57">
        <v>1483.62</v>
      </c>
      <c r="N3" s="57">
        <v>1442.38</v>
      </c>
      <c r="O3" s="51" t="s">
        <v>124</v>
      </c>
      <c r="P3" s="58">
        <v>5.1999999999999998E-3</v>
      </c>
      <c r="Q3" s="59"/>
    </row>
    <row r="4" spans="1:20" x14ac:dyDescent="0.2">
      <c r="A4" s="56">
        <v>44958</v>
      </c>
      <c r="B4" s="467">
        <v>3970.15</v>
      </c>
      <c r="C4" s="467">
        <v>4063.85</v>
      </c>
      <c r="D4" s="467">
        <v>4195.34</v>
      </c>
      <c r="E4" s="467">
        <v>3942.86</v>
      </c>
      <c r="G4" s="468">
        <v>-2.6100000000000002E-2</v>
      </c>
      <c r="H4" s="53">
        <f t="shared" si="0"/>
        <v>-9.2286095125737599E-2</v>
      </c>
      <c r="I4" s="292"/>
      <c r="J4" s="52">
        <v>36695</v>
      </c>
      <c r="K4" s="57">
        <v>1441.48</v>
      </c>
      <c r="L4" s="57">
        <v>1464.46</v>
      </c>
      <c r="M4" s="57">
        <v>1488.93</v>
      </c>
      <c r="N4" s="57">
        <v>1438.31</v>
      </c>
      <c r="O4" s="51" t="s">
        <v>125</v>
      </c>
      <c r="P4" s="58">
        <v>-1.5699999999999999E-2</v>
      </c>
    </row>
    <row r="5" spans="1:20" x14ac:dyDescent="0.2">
      <c r="A5" s="56">
        <v>44927</v>
      </c>
      <c r="B5" s="467">
        <v>4076.6</v>
      </c>
      <c r="C5" s="467">
        <v>3858.38</v>
      </c>
      <c r="D5" s="467">
        <v>4094.32</v>
      </c>
      <c r="E5" s="467">
        <v>3793.67</v>
      </c>
      <c r="G5" s="468">
        <v>6.1800000000000001E-2</v>
      </c>
      <c r="H5" s="53">
        <f t="shared" si="0"/>
        <v>-9.7208534951445658E-2</v>
      </c>
      <c r="I5" s="292"/>
      <c r="J5" s="52">
        <v>36702</v>
      </c>
      <c r="K5" s="57">
        <v>1454.6</v>
      </c>
      <c r="L5" s="57">
        <v>1441.48</v>
      </c>
      <c r="M5" s="57">
        <v>1467.63</v>
      </c>
      <c r="N5" s="57">
        <v>1434.63</v>
      </c>
      <c r="O5" s="51" t="s">
        <v>126</v>
      </c>
      <c r="P5" s="58">
        <v>9.1000000000000004E-3</v>
      </c>
    </row>
    <row r="6" spans="1:20" x14ac:dyDescent="0.2">
      <c r="A6" s="56">
        <v>44896</v>
      </c>
      <c r="B6" s="467">
        <v>3839.5</v>
      </c>
      <c r="C6" s="467">
        <v>4089.5</v>
      </c>
      <c r="D6" s="467">
        <v>4103.05</v>
      </c>
      <c r="E6" s="467">
        <v>3764.14</v>
      </c>
      <c r="G6" s="468">
        <v>-5.8999999999999997E-2</v>
      </c>
      <c r="H6" s="53">
        <f t="shared" si="0"/>
        <v>-0.19442824232404154</v>
      </c>
      <c r="I6" s="292"/>
      <c r="J6" s="52">
        <v>36709</v>
      </c>
      <c r="K6" s="57">
        <v>1478.9</v>
      </c>
      <c r="L6" s="57">
        <v>1454.6</v>
      </c>
      <c r="M6" s="57">
        <v>1484.12</v>
      </c>
      <c r="N6" s="57">
        <v>1439.56</v>
      </c>
      <c r="O6" s="51" t="s">
        <v>127</v>
      </c>
      <c r="P6" s="58">
        <v>1.67E-2</v>
      </c>
    </row>
    <row r="7" spans="1:20" x14ac:dyDescent="0.2">
      <c r="A7" s="56">
        <v>44866</v>
      </c>
      <c r="B7" s="467">
        <v>4080.11</v>
      </c>
      <c r="C7" s="467">
        <v>3911.5</v>
      </c>
      <c r="D7" s="467">
        <v>4080.11</v>
      </c>
      <c r="E7" s="467">
        <v>3695.6</v>
      </c>
      <c r="G7" s="469">
        <v>5.3800000000000001E-2</v>
      </c>
      <c r="H7" s="53">
        <f t="shared" si="0"/>
        <v>-0.1066104663893146</v>
      </c>
      <c r="I7" s="292"/>
      <c r="J7" s="52">
        <v>36716</v>
      </c>
      <c r="K7" s="57">
        <v>1509.98</v>
      </c>
      <c r="L7" s="57">
        <v>1478.9</v>
      </c>
      <c r="M7" s="57">
        <v>1509.99</v>
      </c>
      <c r="N7" s="57">
        <v>1470.48</v>
      </c>
      <c r="O7" s="51" t="s">
        <v>128</v>
      </c>
      <c r="P7" s="58">
        <v>2.1000000000000001E-2</v>
      </c>
    </row>
    <row r="8" spans="1:20" x14ac:dyDescent="0.2">
      <c r="A8" s="56">
        <v>44835</v>
      </c>
      <c r="B8" s="57">
        <v>3683.06</v>
      </c>
      <c r="C8" s="57">
        <v>3624.07</v>
      </c>
      <c r="D8" s="57">
        <v>3807.35</v>
      </c>
      <c r="E8" s="57">
        <v>3490</v>
      </c>
      <c r="F8" s="51"/>
      <c r="G8" s="58">
        <v>2.7199999999999998E-2</v>
      </c>
      <c r="H8" s="53">
        <f t="shared" si="0"/>
        <v>-0.20027011886098434</v>
      </c>
      <c r="I8" s="292"/>
      <c r="J8" s="52">
        <v>36723</v>
      </c>
      <c r="K8" s="57">
        <v>1480.19</v>
      </c>
      <c r="L8" s="57">
        <v>1509.98</v>
      </c>
      <c r="M8" s="57">
        <v>1517.32</v>
      </c>
      <c r="N8" s="57">
        <v>1477.91</v>
      </c>
      <c r="O8" s="51" t="s">
        <v>129</v>
      </c>
      <c r="P8" s="58">
        <v>-1.9699999999999999E-2</v>
      </c>
    </row>
    <row r="9" spans="1:20" x14ac:dyDescent="0.2">
      <c r="A9" s="56">
        <v>44805</v>
      </c>
      <c r="B9" s="57">
        <v>3585.62</v>
      </c>
      <c r="C9" s="57">
        <v>3929.9</v>
      </c>
      <c r="D9" s="57">
        <v>4119.6899999999996</v>
      </c>
      <c r="E9" s="57">
        <v>3585.4</v>
      </c>
      <c r="F9" s="51"/>
      <c r="G9" s="58">
        <v>-9.3399999999999997E-2</v>
      </c>
      <c r="H9" s="53">
        <f t="shared" si="0"/>
        <v>-0.16759449709114715</v>
      </c>
      <c r="I9" s="292"/>
      <c r="J9" s="52">
        <v>36730</v>
      </c>
      <c r="K9" s="57">
        <v>1419.89</v>
      </c>
      <c r="L9" s="57">
        <v>1480.19</v>
      </c>
      <c r="M9" s="57">
        <v>1485.88</v>
      </c>
      <c r="N9" s="57">
        <v>1413.89</v>
      </c>
      <c r="O9" s="51" t="s">
        <v>130</v>
      </c>
      <c r="P9" s="58">
        <v>-4.07E-2</v>
      </c>
    </row>
    <row r="10" spans="1:20" x14ac:dyDescent="0.2">
      <c r="A10" s="56">
        <v>44774</v>
      </c>
      <c r="B10" s="57">
        <v>3955</v>
      </c>
      <c r="C10" s="57">
        <v>4103.38</v>
      </c>
      <c r="D10" s="57">
        <v>4325.5</v>
      </c>
      <c r="E10" s="57">
        <v>3954.9</v>
      </c>
      <c r="F10" s="51"/>
      <c r="G10" s="58">
        <v>-4.24E-2</v>
      </c>
      <c r="H10" s="53">
        <f t="shared" si="0"/>
        <v>-0.12551849788178693</v>
      </c>
      <c r="I10" s="292"/>
      <c r="J10" s="52">
        <v>36737</v>
      </c>
      <c r="K10" s="57">
        <v>1462.93</v>
      </c>
      <c r="L10" s="57">
        <v>1419.89</v>
      </c>
      <c r="M10" s="57">
        <v>1462.93</v>
      </c>
      <c r="N10" s="57">
        <v>1418.71</v>
      </c>
      <c r="O10" s="51" t="s">
        <v>131</v>
      </c>
      <c r="P10" s="58">
        <v>3.0300000000000001E-2</v>
      </c>
    </row>
    <row r="11" spans="1:20" x14ac:dyDescent="0.2">
      <c r="A11" s="56">
        <v>44743</v>
      </c>
      <c r="B11" s="57">
        <v>4130.29</v>
      </c>
      <c r="C11" s="57">
        <v>3779.27</v>
      </c>
      <c r="D11" s="57">
        <v>4140</v>
      </c>
      <c r="E11" s="57">
        <v>3720.25</v>
      </c>
      <c r="F11" s="51"/>
      <c r="G11" s="58">
        <v>9.11E-2</v>
      </c>
      <c r="H11" s="53">
        <f t="shared" si="0"/>
        <v>-6.0285398360961584E-2</v>
      </c>
      <c r="I11" s="292"/>
      <c r="J11" s="52">
        <v>36744</v>
      </c>
      <c r="K11" s="57">
        <v>1471.84</v>
      </c>
      <c r="L11" s="57">
        <v>1462.93</v>
      </c>
      <c r="M11" s="57">
        <v>1490.33</v>
      </c>
      <c r="N11" s="57">
        <v>1453.06</v>
      </c>
      <c r="O11" s="51" t="s">
        <v>132</v>
      </c>
      <c r="P11" s="58">
        <v>6.1000000000000004E-3</v>
      </c>
    </row>
    <row r="12" spans="1:20" x14ac:dyDescent="0.2">
      <c r="A12" s="56">
        <v>44713</v>
      </c>
      <c r="B12" s="57">
        <v>3785.38</v>
      </c>
      <c r="C12" s="57">
        <v>4156.1000000000004</v>
      </c>
      <c r="D12" s="57">
        <v>4177.6000000000004</v>
      </c>
      <c r="E12" s="57">
        <v>3636.82</v>
      </c>
      <c r="F12" s="51"/>
      <c r="G12" s="58">
        <v>-8.3900000000000002E-2</v>
      </c>
      <c r="H12" s="53">
        <f t="shared" si="0"/>
        <v>-0.11916695753344964</v>
      </c>
      <c r="I12" s="292"/>
      <c r="J12" s="52">
        <v>36751</v>
      </c>
      <c r="K12" s="57">
        <v>1491.72</v>
      </c>
      <c r="L12" s="57">
        <v>1471.84</v>
      </c>
      <c r="M12" s="57">
        <v>1499.47</v>
      </c>
      <c r="N12" s="57">
        <v>1468.56</v>
      </c>
      <c r="O12" s="51" t="s">
        <v>133</v>
      </c>
      <c r="P12" s="58">
        <v>1.35E-2</v>
      </c>
    </row>
    <row r="13" spans="1:20" x14ac:dyDescent="0.2">
      <c r="A13" s="56">
        <v>44682</v>
      </c>
      <c r="B13" s="57">
        <v>4132.1499999999996</v>
      </c>
      <c r="C13" s="57">
        <v>4132.7</v>
      </c>
      <c r="D13" s="57">
        <v>4307.8999999999996</v>
      </c>
      <c r="E13" s="57">
        <v>3810.5</v>
      </c>
      <c r="F13" s="51"/>
      <c r="G13" s="58">
        <v>1E-4</v>
      </c>
      <c r="H13" s="53">
        <f t="shared" si="0"/>
        <v>-1.7116583533732466E-2</v>
      </c>
      <c r="I13" s="292"/>
      <c r="J13" s="52">
        <v>36758</v>
      </c>
      <c r="K13" s="57">
        <v>1506.45</v>
      </c>
      <c r="L13" s="57">
        <v>1491.72</v>
      </c>
      <c r="M13" s="57">
        <v>1513.47</v>
      </c>
      <c r="N13" s="57">
        <v>1489.52</v>
      </c>
      <c r="O13" s="51" t="s">
        <v>134</v>
      </c>
      <c r="P13" s="58">
        <v>9.9000000000000008E-3</v>
      </c>
    </row>
    <row r="14" spans="1:20" x14ac:dyDescent="0.2">
      <c r="A14" s="56">
        <v>44652</v>
      </c>
      <c r="B14" s="57">
        <v>4131.93</v>
      </c>
      <c r="C14" s="57">
        <v>4547.8999999999996</v>
      </c>
      <c r="D14" s="57">
        <v>4593.8999999999996</v>
      </c>
      <c r="E14" s="57">
        <v>4123.87</v>
      </c>
      <c r="F14" s="51"/>
      <c r="G14" s="58">
        <v>-8.7999999999999995E-2</v>
      </c>
      <c r="H14" s="53">
        <f t="shared" si="0"/>
        <v>-1.1776607982933007E-2</v>
      </c>
      <c r="I14" s="292"/>
      <c r="J14" s="52">
        <v>36765</v>
      </c>
      <c r="K14" s="57">
        <v>1520.77</v>
      </c>
      <c r="L14" s="57">
        <v>1506.45</v>
      </c>
      <c r="M14" s="57">
        <v>1530.09</v>
      </c>
      <c r="N14" s="57">
        <v>1500.09</v>
      </c>
      <c r="O14" s="51" t="s">
        <v>135</v>
      </c>
      <c r="P14" s="58">
        <v>9.4999999999999998E-3</v>
      </c>
    </row>
    <row r="15" spans="1:20" x14ac:dyDescent="0.2">
      <c r="A15" s="56">
        <v>44621</v>
      </c>
      <c r="B15" s="57">
        <v>4530.41</v>
      </c>
      <c r="C15" s="57">
        <v>4358.08</v>
      </c>
      <c r="D15" s="57">
        <v>4637.8999999999996</v>
      </c>
      <c r="E15" s="57">
        <v>4157.2</v>
      </c>
      <c r="F15" s="51"/>
      <c r="G15" s="58">
        <v>3.5799999999999998E-2</v>
      </c>
      <c r="H15" s="53">
        <f t="shared" si="0"/>
        <v>0.14033109398951393</v>
      </c>
      <c r="I15" s="292"/>
      <c r="J15" s="52">
        <v>36772</v>
      </c>
      <c r="K15" s="57">
        <v>1494.5</v>
      </c>
      <c r="L15" s="57">
        <v>1520.77</v>
      </c>
      <c r="M15" s="57">
        <v>1520.77</v>
      </c>
      <c r="N15" s="57">
        <v>1489.88</v>
      </c>
      <c r="O15" s="51" t="s">
        <v>136</v>
      </c>
      <c r="P15" s="58">
        <v>-1.7299999999999999E-2</v>
      </c>
    </row>
    <row r="16" spans="1:20" x14ac:dyDescent="0.2">
      <c r="A16" s="56">
        <v>44593</v>
      </c>
      <c r="B16" s="57">
        <v>4373.79</v>
      </c>
      <c r="C16" s="57">
        <v>4521.3500000000004</v>
      </c>
      <c r="D16" s="57">
        <v>4595.1000000000004</v>
      </c>
      <c r="E16" s="57">
        <v>4114.5</v>
      </c>
      <c r="F16" s="51"/>
      <c r="G16" s="58">
        <v>-3.1399999999999997E-2</v>
      </c>
      <c r="H16" s="53">
        <f t="shared" si="0"/>
        <v>0.14762998045209441</v>
      </c>
      <c r="I16" s="292"/>
      <c r="J16" s="52">
        <v>36779</v>
      </c>
      <c r="K16" s="57">
        <v>1465.81</v>
      </c>
      <c r="L16" s="57">
        <v>1494.5</v>
      </c>
      <c r="M16" s="57">
        <v>1506.76</v>
      </c>
      <c r="N16" s="57">
        <v>1460.22</v>
      </c>
      <c r="O16" s="51" t="s">
        <v>137</v>
      </c>
      <c r="P16" s="58">
        <v>-1.9199999999999998E-2</v>
      </c>
    </row>
    <row r="17" spans="1:16" x14ac:dyDescent="0.2">
      <c r="A17" s="56">
        <v>44562</v>
      </c>
      <c r="B17" s="57">
        <v>4515.55</v>
      </c>
      <c r="C17" s="57">
        <v>4781</v>
      </c>
      <c r="D17" s="57">
        <v>4817.88</v>
      </c>
      <c r="E17" s="57">
        <v>4221.54</v>
      </c>
      <c r="F17" s="51"/>
      <c r="G17" s="58">
        <v>-5.2600000000000001E-2</v>
      </c>
      <c r="H17" s="53">
        <f t="shared" si="0"/>
        <v>0.21573996295339026</v>
      </c>
      <c r="I17" s="292"/>
      <c r="J17" s="52">
        <v>36786</v>
      </c>
      <c r="K17" s="57">
        <v>1448.72</v>
      </c>
      <c r="L17" s="57">
        <v>1465.81</v>
      </c>
      <c r="M17" s="57">
        <v>1467.77</v>
      </c>
      <c r="N17" s="57">
        <v>1421.88</v>
      </c>
      <c r="O17" s="51" t="s">
        <v>138</v>
      </c>
      <c r="P17" s="58">
        <v>-1.17E-2</v>
      </c>
    </row>
    <row r="18" spans="1:16" x14ac:dyDescent="0.2">
      <c r="A18" s="56">
        <v>44531</v>
      </c>
      <c r="B18" s="57">
        <v>4766.18</v>
      </c>
      <c r="C18" s="57">
        <v>4623.8</v>
      </c>
      <c r="D18" s="57">
        <v>4808.5200000000004</v>
      </c>
      <c r="E18" s="57">
        <v>4494.2</v>
      </c>
      <c r="F18" s="51"/>
      <c r="G18" s="58">
        <v>4.36E-2</v>
      </c>
      <c r="H18" s="53">
        <f t="shared" ref="H18:H81" si="1">B18/B30-1</f>
        <v>0.268927362908572</v>
      </c>
      <c r="I18" s="292"/>
      <c r="J18" s="52">
        <v>36793</v>
      </c>
      <c r="K18" s="57">
        <v>1436.51</v>
      </c>
      <c r="L18" s="57">
        <v>1448.72</v>
      </c>
      <c r="M18" s="57">
        <v>1461.69</v>
      </c>
      <c r="N18" s="57">
        <v>1419.44</v>
      </c>
      <c r="O18" s="51" t="s">
        <v>139</v>
      </c>
      <c r="P18" s="58">
        <v>-8.3999999999999995E-3</v>
      </c>
    </row>
    <row r="19" spans="1:16" x14ac:dyDescent="0.2">
      <c r="A19" s="56">
        <v>44501</v>
      </c>
      <c r="B19" s="57">
        <v>4567</v>
      </c>
      <c r="C19" s="57">
        <v>4616.47</v>
      </c>
      <c r="D19" s="57">
        <v>4743.74</v>
      </c>
      <c r="E19" s="57">
        <v>4560.26</v>
      </c>
      <c r="F19" s="51"/>
      <c r="G19" s="58">
        <v>-8.3000000000000001E-3</v>
      </c>
      <c r="H19" s="53">
        <f t="shared" si="1"/>
        <v>0.26103439611445678</v>
      </c>
      <c r="I19" s="292"/>
      <c r="J19" s="52">
        <v>36800</v>
      </c>
      <c r="K19" s="57">
        <v>1408.99</v>
      </c>
      <c r="L19" s="57">
        <v>1436.52</v>
      </c>
      <c r="M19" s="57">
        <v>1454.82</v>
      </c>
      <c r="N19" s="57">
        <v>1397.06</v>
      </c>
      <c r="O19" s="51" t="s">
        <v>140</v>
      </c>
      <c r="P19" s="58">
        <v>-1.9199999999999998E-2</v>
      </c>
    </row>
    <row r="20" spans="1:16" x14ac:dyDescent="0.2">
      <c r="A20" s="56">
        <v>44470</v>
      </c>
      <c r="B20" s="57">
        <v>4605.38</v>
      </c>
      <c r="C20" s="57">
        <v>4324.71</v>
      </c>
      <c r="D20" s="57">
        <v>4608.7</v>
      </c>
      <c r="E20" s="57">
        <v>4278.7</v>
      </c>
      <c r="F20" s="51"/>
      <c r="G20" s="58">
        <v>6.9099999999999995E-2</v>
      </c>
      <c r="H20" s="53">
        <f t="shared" si="1"/>
        <v>0.4083903167011218</v>
      </c>
      <c r="I20" s="292"/>
      <c r="J20" s="52">
        <v>36807</v>
      </c>
      <c r="K20" s="57">
        <v>1374.17</v>
      </c>
      <c r="L20" s="57">
        <v>1408.99</v>
      </c>
      <c r="M20" s="57">
        <v>1409.69</v>
      </c>
      <c r="N20" s="57">
        <v>1327.08</v>
      </c>
      <c r="O20" s="51" t="s">
        <v>141</v>
      </c>
      <c r="P20" s="58">
        <v>-2.47E-2</v>
      </c>
    </row>
    <row r="21" spans="1:16" x14ac:dyDescent="0.2">
      <c r="A21" s="56">
        <v>44440</v>
      </c>
      <c r="B21" s="57">
        <v>4307.54</v>
      </c>
      <c r="C21" s="57">
        <v>4531.04</v>
      </c>
      <c r="D21" s="57">
        <v>4544.58</v>
      </c>
      <c r="E21" s="57">
        <v>4304.8999999999996</v>
      </c>
      <c r="F21" s="51"/>
      <c r="G21" s="58">
        <v>-4.7600000000000003E-2</v>
      </c>
      <c r="H21" s="53">
        <f t="shared" si="1"/>
        <v>0.28086232530478727</v>
      </c>
      <c r="I21" s="292"/>
      <c r="J21" s="52">
        <v>36814</v>
      </c>
      <c r="K21" s="57">
        <v>1396.93</v>
      </c>
      <c r="L21" s="57">
        <v>1374.17</v>
      </c>
      <c r="M21" s="57">
        <v>1408.47</v>
      </c>
      <c r="N21" s="57">
        <v>1305.79</v>
      </c>
      <c r="O21" s="51" t="s">
        <v>142</v>
      </c>
      <c r="P21" s="58">
        <v>1.66E-2</v>
      </c>
    </row>
    <row r="22" spans="1:16" x14ac:dyDescent="0.2">
      <c r="A22" s="56">
        <v>44409</v>
      </c>
      <c r="B22" s="57">
        <v>4522.68</v>
      </c>
      <c r="C22" s="57">
        <v>4415.8999999999996</v>
      </c>
      <c r="D22" s="57">
        <v>4537.8</v>
      </c>
      <c r="E22" s="51">
        <v>4369.2</v>
      </c>
      <c r="F22" s="51"/>
      <c r="G22" s="58">
        <v>2.9000000000000001E-2</v>
      </c>
      <c r="H22" s="53">
        <f t="shared" si="1"/>
        <v>0.2920798443566428</v>
      </c>
      <c r="I22" s="292"/>
      <c r="J22" s="52">
        <v>36821</v>
      </c>
      <c r="K22" s="57">
        <v>1379.58</v>
      </c>
      <c r="L22" s="57">
        <v>1396.93</v>
      </c>
      <c r="M22" s="57">
        <v>1415.64</v>
      </c>
      <c r="N22" s="57">
        <v>1337.81</v>
      </c>
      <c r="O22" s="51" t="s">
        <v>143</v>
      </c>
      <c r="P22" s="58">
        <v>-1.24E-2</v>
      </c>
    </row>
    <row r="23" spans="1:16" x14ac:dyDescent="0.2">
      <c r="A23" s="56">
        <v>44378</v>
      </c>
      <c r="B23" s="57">
        <v>4395.26</v>
      </c>
      <c r="C23" s="57">
        <v>4304.1000000000004</v>
      </c>
      <c r="D23" s="57">
        <v>4430.2</v>
      </c>
      <c r="E23" s="57">
        <v>4232.8</v>
      </c>
      <c r="F23" s="51"/>
      <c r="G23" s="58">
        <v>2.2700000000000001E-2</v>
      </c>
      <c r="H23" s="53">
        <f t="shared" si="1"/>
        <v>0.34365599550001225</v>
      </c>
      <c r="I23" s="292"/>
      <c r="J23" s="52">
        <v>36828</v>
      </c>
      <c r="K23" s="57">
        <v>1426.69</v>
      </c>
      <c r="L23" s="57">
        <v>1379.58</v>
      </c>
      <c r="M23" s="57">
        <v>1433.4</v>
      </c>
      <c r="N23" s="57">
        <v>1376.86</v>
      </c>
      <c r="O23" s="51" t="s">
        <v>144</v>
      </c>
      <c r="P23" s="58">
        <v>3.4099999999999998E-2</v>
      </c>
    </row>
    <row r="24" spans="1:16" x14ac:dyDescent="0.2">
      <c r="A24" s="56">
        <v>44348</v>
      </c>
      <c r="B24" s="57">
        <v>4297.5</v>
      </c>
      <c r="C24" s="57">
        <v>4216.5200000000004</v>
      </c>
      <c r="D24" s="57">
        <v>4302.43</v>
      </c>
      <c r="E24" s="57">
        <v>4164.3999999999996</v>
      </c>
      <c r="F24" s="51"/>
      <c r="G24" s="58">
        <v>2.2200000000000001E-2</v>
      </c>
      <c r="H24" s="53">
        <f t="shared" si="1"/>
        <v>0.38616064948762863</v>
      </c>
      <c r="I24" s="292"/>
      <c r="J24" s="52">
        <v>36835</v>
      </c>
      <c r="K24" s="57">
        <v>1365.98</v>
      </c>
      <c r="L24" s="57">
        <v>1428.76</v>
      </c>
      <c r="M24" s="57">
        <v>1438.46</v>
      </c>
      <c r="N24" s="57">
        <v>1365.97</v>
      </c>
      <c r="O24" s="51" t="s">
        <v>145</v>
      </c>
      <c r="P24" s="58">
        <v>-4.2599999999999999E-2</v>
      </c>
    </row>
    <row r="25" spans="1:16" x14ac:dyDescent="0.2">
      <c r="A25" s="56">
        <v>44317</v>
      </c>
      <c r="B25" s="57">
        <v>4204.1099999999997</v>
      </c>
      <c r="C25" s="57">
        <v>4191.9799999999996</v>
      </c>
      <c r="D25" s="57">
        <v>4238.04</v>
      </c>
      <c r="E25" s="57">
        <v>4056.88</v>
      </c>
      <c r="F25" s="51"/>
      <c r="G25" s="58">
        <v>5.4999999999999997E-3</v>
      </c>
      <c r="H25" s="53">
        <f t="shared" si="1"/>
        <v>0.38097302837096092</v>
      </c>
      <c r="I25" s="292"/>
      <c r="J25" s="52">
        <v>36842</v>
      </c>
      <c r="K25" s="57">
        <v>1367.72</v>
      </c>
      <c r="L25" s="57">
        <v>1365.98</v>
      </c>
      <c r="M25" s="57">
        <v>1395.96</v>
      </c>
      <c r="N25" s="57">
        <v>1328.62</v>
      </c>
      <c r="O25" s="51" t="s">
        <v>146</v>
      </c>
      <c r="P25" s="58">
        <v>1.2999999999999999E-3</v>
      </c>
    </row>
    <row r="26" spans="1:16" x14ac:dyDescent="0.2">
      <c r="A26" s="56">
        <v>44287</v>
      </c>
      <c r="B26" s="57">
        <v>4181.17</v>
      </c>
      <c r="C26" s="57">
        <v>3992.78</v>
      </c>
      <c r="D26" s="57">
        <v>4218.78</v>
      </c>
      <c r="E26" s="57">
        <v>3992.78</v>
      </c>
      <c r="F26" s="51"/>
      <c r="G26" s="58">
        <v>5.2400000000000002E-2</v>
      </c>
      <c r="H26" s="53">
        <f t="shared" si="1"/>
        <v>0.43562935418190318</v>
      </c>
      <c r="I26" s="292"/>
      <c r="J26" s="52">
        <v>36849</v>
      </c>
      <c r="K26" s="57">
        <v>1341.77</v>
      </c>
      <c r="L26" s="57">
        <v>1367.72</v>
      </c>
      <c r="M26" s="57">
        <v>1367.72</v>
      </c>
      <c r="N26" s="57">
        <v>1321.89</v>
      </c>
      <c r="O26" s="51" t="s">
        <v>147</v>
      </c>
      <c r="P26" s="58">
        <v>-1.9E-2</v>
      </c>
    </row>
    <row r="27" spans="1:16" x14ac:dyDescent="0.2">
      <c r="A27" s="56">
        <v>44256</v>
      </c>
      <c r="B27" s="57">
        <v>3972.89</v>
      </c>
      <c r="C27" s="57">
        <v>3842.51</v>
      </c>
      <c r="D27" s="57">
        <v>3994.41</v>
      </c>
      <c r="E27" s="57">
        <v>3723.34</v>
      </c>
      <c r="F27" s="51"/>
      <c r="G27" s="58">
        <v>4.24E-2</v>
      </c>
      <c r="H27" s="53">
        <f t="shared" si="1"/>
        <v>0.5371451564851677</v>
      </c>
      <c r="I27" s="292"/>
      <c r="J27" s="52">
        <v>36856</v>
      </c>
      <c r="K27" s="57">
        <v>1315.23</v>
      </c>
      <c r="L27" s="57">
        <v>1341.77</v>
      </c>
      <c r="M27" s="57">
        <v>1362.5</v>
      </c>
      <c r="N27" s="57">
        <v>1294.9000000000001</v>
      </c>
      <c r="O27" s="51" t="s">
        <v>129</v>
      </c>
      <c r="P27" s="58">
        <v>-1.9800000000000002E-2</v>
      </c>
    </row>
    <row r="28" spans="1:16" x14ac:dyDescent="0.2">
      <c r="A28" s="56">
        <v>44228</v>
      </c>
      <c r="B28" s="57">
        <v>3811.15</v>
      </c>
      <c r="C28" s="57">
        <v>3731.17</v>
      </c>
      <c r="D28" s="57">
        <v>3950.43</v>
      </c>
      <c r="E28" s="57">
        <v>3725.62</v>
      </c>
      <c r="F28" s="51"/>
      <c r="G28" s="58">
        <v>2.6100000000000002E-2</v>
      </c>
      <c r="H28" s="53">
        <f t="shared" si="1"/>
        <v>0.29006979845779957</v>
      </c>
      <c r="I28" s="292"/>
      <c r="J28" s="52">
        <v>36863</v>
      </c>
      <c r="K28" s="57">
        <v>1369.89</v>
      </c>
      <c r="L28" s="57">
        <v>1315.18</v>
      </c>
      <c r="M28" s="57">
        <v>1380.33</v>
      </c>
      <c r="N28" s="57">
        <v>1310.23</v>
      </c>
      <c r="O28" s="51" t="s">
        <v>148</v>
      </c>
      <c r="P28" s="58">
        <v>4.1599999999999998E-2</v>
      </c>
    </row>
    <row r="29" spans="1:16" x14ac:dyDescent="0.2">
      <c r="A29" s="56">
        <v>44197</v>
      </c>
      <c r="B29" s="57">
        <v>3714.24</v>
      </c>
      <c r="C29" s="57">
        <v>3764.61</v>
      </c>
      <c r="D29" s="57">
        <v>3870.9</v>
      </c>
      <c r="E29" s="57">
        <v>3662.71</v>
      </c>
      <c r="F29" s="51"/>
      <c r="G29" s="58">
        <v>-1.11E-2</v>
      </c>
      <c r="H29" s="53">
        <f t="shared" si="1"/>
        <v>0.15151665467893549</v>
      </c>
      <c r="I29" s="292"/>
      <c r="J29" s="52">
        <v>36870</v>
      </c>
      <c r="K29" s="57">
        <v>1312.15</v>
      </c>
      <c r="L29" s="57">
        <v>1369.89</v>
      </c>
      <c r="M29" s="57">
        <v>1389.05</v>
      </c>
      <c r="N29" s="57">
        <v>1305.3800000000001</v>
      </c>
      <c r="O29" s="51" t="s">
        <v>149</v>
      </c>
      <c r="P29" s="58">
        <v>-4.2099999999999999E-2</v>
      </c>
    </row>
    <row r="30" spans="1:16" x14ac:dyDescent="0.2">
      <c r="A30" s="56">
        <v>44166</v>
      </c>
      <c r="B30" s="57">
        <v>3756.07</v>
      </c>
      <c r="C30" s="57">
        <v>3645.87</v>
      </c>
      <c r="D30" s="57">
        <v>3760.2</v>
      </c>
      <c r="E30" s="57">
        <v>3633.4</v>
      </c>
      <c r="F30" s="51"/>
      <c r="G30" s="58">
        <v>3.7100000000000001E-2</v>
      </c>
      <c r="H30" s="53">
        <f t="shared" si="1"/>
        <v>0.16258921994069531</v>
      </c>
      <c r="I30" s="292"/>
      <c r="J30" s="52">
        <v>36877</v>
      </c>
      <c r="K30" s="57">
        <v>1305.95</v>
      </c>
      <c r="L30" s="57">
        <v>1312.15</v>
      </c>
      <c r="M30" s="57">
        <v>1346.44</v>
      </c>
      <c r="N30" s="57">
        <v>1254.07</v>
      </c>
      <c r="O30" s="51" t="s">
        <v>150</v>
      </c>
      <c r="P30" s="58">
        <v>-4.7000000000000002E-3</v>
      </c>
    </row>
    <row r="31" spans="1:16" x14ac:dyDescent="0.2">
      <c r="A31" s="56">
        <v>44136</v>
      </c>
      <c r="B31" s="51">
        <v>3621.63</v>
      </c>
      <c r="C31" s="57">
        <v>3296.2</v>
      </c>
      <c r="D31" s="57">
        <v>3645.99</v>
      </c>
      <c r="E31" s="51">
        <v>3279.74</v>
      </c>
      <c r="F31" s="51"/>
      <c r="G31" s="58">
        <v>0.1075</v>
      </c>
      <c r="H31" s="53">
        <f t="shared" si="1"/>
        <v>0.15302548886016476</v>
      </c>
      <c r="I31" s="292"/>
      <c r="J31" s="52">
        <v>36884</v>
      </c>
      <c r="K31" s="57">
        <v>1320.28</v>
      </c>
      <c r="L31" s="57">
        <v>1305.97</v>
      </c>
      <c r="M31" s="57">
        <v>1340.1</v>
      </c>
      <c r="N31" s="57">
        <v>1301.6400000000001</v>
      </c>
      <c r="O31" s="51" t="s">
        <v>151</v>
      </c>
      <c r="P31" s="58">
        <v>1.0999999999999999E-2</v>
      </c>
    </row>
    <row r="32" spans="1:16" x14ac:dyDescent="0.2">
      <c r="A32" s="56">
        <v>44105</v>
      </c>
      <c r="B32" s="51">
        <v>3269.96</v>
      </c>
      <c r="C32" s="51">
        <v>3385.87</v>
      </c>
      <c r="D32" s="51">
        <v>3549.85</v>
      </c>
      <c r="E32" s="51">
        <v>3233.94</v>
      </c>
      <c r="F32" s="51"/>
      <c r="G32" s="58">
        <v>-2.7699999999999999E-2</v>
      </c>
      <c r="H32" s="53">
        <f t="shared" si="1"/>
        <v>7.6508776781363919E-2</v>
      </c>
      <c r="I32" s="292"/>
      <c r="J32" s="52">
        <v>36891</v>
      </c>
      <c r="K32" s="57">
        <v>1298.3499999999999</v>
      </c>
      <c r="L32" s="57">
        <v>1320.28</v>
      </c>
      <c r="M32" s="57">
        <v>1350.24</v>
      </c>
      <c r="N32" s="57">
        <v>1274.6199999999999</v>
      </c>
      <c r="O32" s="51" t="s">
        <v>152</v>
      </c>
      <c r="P32" s="58">
        <v>-1.66E-2</v>
      </c>
    </row>
    <row r="33" spans="1:16" x14ac:dyDescent="0.2">
      <c r="A33" s="56">
        <v>44075</v>
      </c>
      <c r="B33" s="51">
        <v>3363</v>
      </c>
      <c r="C33" s="51">
        <v>3507.44</v>
      </c>
      <c r="D33" s="51">
        <v>3588.11</v>
      </c>
      <c r="E33" s="51">
        <v>3209.45</v>
      </c>
      <c r="F33" s="51"/>
      <c r="G33" s="58">
        <v>-3.9199999999999999E-2</v>
      </c>
      <c r="H33" s="53">
        <f t="shared" si="1"/>
        <v>0.12975940122415808</v>
      </c>
      <c r="I33" s="292"/>
      <c r="J33" s="52">
        <v>36898</v>
      </c>
      <c r="K33" s="57">
        <v>1318.55</v>
      </c>
      <c r="L33" s="57">
        <v>1298.3499999999999</v>
      </c>
      <c r="M33" s="57">
        <v>1333.21</v>
      </c>
      <c r="N33" s="57">
        <v>1276.29</v>
      </c>
      <c r="O33" s="51" t="s">
        <v>153</v>
      </c>
      <c r="P33" s="58">
        <v>1.5599999999999999E-2</v>
      </c>
    </row>
    <row r="34" spans="1:16" x14ac:dyDescent="0.2">
      <c r="A34" s="56">
        <v>44044</v>
      </c>
      <c r="B34" s="51">
        <v>3500.31</v>
      </c>
      <c r="C34" s="51">
        <v>3288.26</v>
      </c>
      <c r="D34" s="51">
        <v>3514.77</v>
      </c>
      <c r="E34" s="51">
        <v>3284.53</v>
      </c>
      <c r="F34" s="51"/>
      <c r="G34" s="58">
        <v>7.0099999999999996E-2</v>
      </c>
      <c r="H34" s="53">
        <f t="shared" si="1"/>
        <v>0.19609015670810459</v>
      </c>
      <c r="I34" s="292"/>
      <c r="J34" s="52">
        <v>36905</v>
      </c>
      <c r="K34" s="57">
        <v>1342.54</v>
      </c>
      <c r="L34" s="57">
        <v>1318.32</v>
      </c>
      <c r="M34" s="57">
        <v>1354.55</v>
      </c>
      <c r="N34" s="57">
        <v>1313.33</v>
      </c>
      <c r="O34" s="51" t="s">
        <v>154</v>
      </c>
      <c r="P34" s="58">
        <v>1.8200000000000001E-2</v>
      </c>
    </row>
    <row r="35" spans="1:16" x14ac:dyDescent="0.2">
      <c r="A35" s="56">
        <v>44013</v>
      </c>
      <c r="B35" s="51">
        <v>3271.12</v>
      </c>
      <c r="C35" s="51">
        <v>3105.92</v>
      </c>
      <c r="D35" s="51">
        <v>3279.99</v>
      </c>
      <c r="E35" s="51">
        <v>3101.17</v>
      </c>
      <c r="F35" s="51"/>
      <c r="G35" s="58">
        <v>5.5100000000000003E-2</v>
      </c>
      <c r="H35" s="53">
        <f t="shared" si="1"/>
        <v>9.7551318959327338E-2</v>
      </c>
      <c r="I35" s="292"/>
      <c r="J35" s="52">
        <v>36912</v>
      </c>
      <c r="K35" s="57">
        <v>1354.95</v>
      </c>
      <c r="L35" s="57">
        <v>1342.54</v>
      </c>
      <c r="M35" s="57">
        <v>1369.75</v>
      </c>
      <c r="N35" s="57">
        <v>1333.84</v>
      </c>
      <c r="O35" s="51" t="s">
        <v>155</v>
      </c>
      <c r="P35" s="58">
        <v>9.1999999999999998E-3</v>
      </c>
    </row>
    <row r="36" spans="1:16" x14ac:dyDescent="0.2">
      <c r="A36" s="56">
        <v>43983</v>
      </c>
      <c r="B36" s="51">
        <v>3100.29</v>
      </c>
      <c r="C36" s="51">
        <v>3038.78</v>
      </c>
      <c r="D36" s="51">
        <v>3233.13</v>
      </c>
      <c r="E36" s="51">
        <v>2965.66</v>
      </c>
      <c r="F36" s="51"/>
      <c r="G36" s="58">
        <v>1.84E-2</v>
      </c>
      <c r="H36" s="53">
        <f t="shared" si="1"/>
        <v>5.3889508321548929E-2</v>
      </c>
      <c r="I36" s="292"/>
      <c r="J36" s="52">
        <v>36919</v>
      </c>
      <c r="K36" s="57">
        <v>1349.47</v>
      </c>
      <c r="L36" s="57">
        <v>1354.92</v>
      </c>
      <c r="M36" s="57">
        <v>1383.37</v>
      </c>
      <c r="N36" s="57">
        <v>1348.72</v>
      </c>
      <c r="O36" s="51" t="s">
        <v>139</v>
      </c>
      <c r="P36" s="58">
        <v>-4.0000000000000001E-3</v>
      </c>
    </row>
    <row r="37" spans="1:16" x14ac:dyDescent="0.2">
      <c r="A37" s="56">
        <v>43952</v>
      </c>
      <c r="B37" s="51">
        <v>3044.31</v>
      </c>
      <c r="C37" s="51">
        <v>2869.09</v>
      </c>
      <c r="D37" s="51">
        <v>3068.67</v>
      </c>
      <c r="E37" s="51">
        <v>2766.64</v>
      </c>
      <c r="F37" s="51"/>
      <c r="G37" s="58">
        <v>4.53E-2</v>
      </c>
      <c r="H37" s="53">
        <f t="shared" si="1"/>
        <v>0.10619317892778501</v>
      </c>
      <c r="I37" s="292"/>
      <c r="J37" s="52">
        <v>36926</v>
      </c>
      <c r="K37" s="57">
        <v>1314.76</v>
      </c>
      <c r="L37" s="57">
        <v>1349.47</v>
      </c>
      <c r="M37" s="57">
        <v>1363.55</v>
      </c>
      <c r="N37" s="57">
        <v>1309.98</v>
      </c>
      <c r="O37" s="51" t="s">
        <v>154</v>
      </c>
      <c r="P37" s="58">
        <v>-2.5700000000000001E-2</v>
      </c>
    </row>
    <row r="38" spans="1:16" x14ac:dyDescent="0.2">
      <c r="A38" s="56">
        <v>43922</v>
      </c>
      <c r="B38" s="51">
        <v>2912.43</v>
      </c>
      <c r="C38" s="51">
        <v>2498.08</v>
      </c>
      <c r="D38" s="51">
        <v>2954.86</v>
      </c>
      <c r="E38" s="51">
        <v>2447.4899999999998</v>
      </c>
      <c r="F38" s="51"/>
      <c r="G38" s="58">
        <v>0.1268</v>
      </c>
      <c r="H38" s="53">
        <f t="shared" si="1"/>
        <v>-1.1338060920012438E-2</v>
      </c>
      <c r="I38" s="292"/>
      <c r="J38" s="52">
        <v>36933</v>
      </c>
      <c r="K38" s="57">
        <v>1301.53</v>
      </c>
      <c r="L38" s="57">
        <v>1314.76</v>
      </c>
      <c r="M38" s="57">
        <v>1336.62</v>
      </c>
      <c r="N38" s="57">
        <v>1293.18</v>
      </c>
      <c r="O38" s="51" t="s">
        <v>156</v>
      </c>
      <c r="P38" s="58">
        <v>-1.01E-2</v>
      </c>
    </row>
    <row r="39" spans="1:16" x14ac:dyDescent="0.2">
      <c r="A39" s="56">
        <v>43891</v>
      </c>
      <c r="B39" s="51">
        <v>2584.59</v>
      </c>
      <c r="C39" s="51">
        <v>2974.28</v>
      </c>
      <c r="D39" s="51">
        <v>3136.72</v>
      </c>
      <c r="E39" s="51">
        <v>2191.86</v>
      </c>
      <c r="F39" s="51"/>
      <c r="G39" s="58">
        <v>-0.12509999999999999</v>
      </c>
      <c r="H39" s="53">
        <f t="shared" si="1"/>
        <v>-8.813505503810326E-2</v>
      </c>
      <c r="I39" s="292"/>
      <c r="J39" s="52">
        <v>36940</v>
      </c>
      <c r="K39" s="57">
        <v>1245.8599999999999</v>
      </c>
      <c r="L39" s="57">
        <v>1301.53</v>
      </c>
      <c r="M39" s="57">
        <v>1307.1600000000001</v>
      </c>
      <c r="N39" s="57">
        <v>1215.44</v>
      </c>
      <c r="O39" s="51" t="s">
        <v>157</v>
      </c>
      <c r="P39" s="58">
        <v>-4.2799999999999998E-2</v>
      </c>
    </row>
    <row r="40" spans="1:16" x14ac:dyDescent="0.2">
      <c r="A40" s="56">
        <v>43862</v>
      </c>
      <c r="B40" s="51">
        <v>2954.22</v>
      </c>
      <c r="C40" s="51">
        <v>3235.66</v>
      </c>
      <c r="D40" s="51">
        <v>3393.52</v>
      </c>
      <c r="E40" s="51">
        <v>2855.84</v>
      </c>
      <c r="F40" s="51"/>
      <c r="G40" s="58">
        <v>-8.4099999999999994E-2</v>
      </c>
      <c r="H40" s="53">
        <f t="shared" si="1"/>
        <v>6.0955507112613105E-2</v>
      </c>
      <c r="I40" s="292"/>
      <c r="J40" s="52">
        <v>36947</v>
      </c>
      <c r="K40" s="57">
        <v>1234.18</v>
      </c>
      <c r="L40" s="57">
        <v>1245.8599999999999</v>
      </c>
      <c r="M40" s="57">
        <v>1272.76</v>
      </c>
      <c r="N40" s="57">
        <v>1214.5</v>
      </c>
      <c r="O40" s="51" t="s">
        <v>155</v>
      </c>
      <c r="P40" s="58">
        <v>-9.4000000000000004E-3</v>
      </c>
    </row>
    <row r="41" spans="1:16" x14ac:dyDescent="0.2">
      <c r="A41" s="56">
        <v>43831</v>
      </c>
      <c r="B41" s="51">
        <v>3225.52</v>
      </c>
      <c r="C41" s="51">
        <v>3244.67</v>
      </c>
      <c r="D41" s="51">
        <v>3337.77</v>
      </c>
      <c r="E41" s="51">
        <v>3214.64</v>
      </c>
      <c r="F41" s="51"/>
      <c r="G41" s="58">
        <v>-1.6000000000000001E-3</v>
      </c>
      <c r="H41" s="53">
        <f t="shared" si="1"/>
        <v>0.19282570910839092</v>
      </c>
      <c r="I41" s="292"/>
      <c r="J41" s="52">
        <v>36954</v>
      </c>
      <c r="K41" s="57">
        <v>1233.42</v>
      </c>
      <c r="L41" s="57">
        <v>1234.18</v>
      </c>
      <c r="M41" s="57">
        <v>1267.42</v>
      </c>
      <c r="N41" s="57">
        <v>1228.42</v>
      </c>
      <c r="O41" s="51" t="s">
        <v>158</v>
      </c>
      <c r="P41" s="58">
        <v>-5.9999999999999995E-4</v>
      </c>
    </row>
    <row r="42" spans="1:16" x14ac:dyDescent="0.2">
      <c r="A42" s="56">
        <v>43800</v>
      </c>
      <c r="B42" s="51">
        <v>3230.78</v>
      </c>
      <c r="C42" s="51">
        <v>3143.85</v>
      </c>
      <c r="D42" s="51">
        <v>3247.93</v>
      </c>
      <c r="E42" s="51">
        <v>3070.33</v>
      </c>
      <c r="F42" s="51"/>
      <c r="G42" s="58">
        <v>2.86E-2</v>
      </c>
      <c r="H42" s="53">
        <f t="shared" si="1"/>
        <v>0.28878074077028959</v>
      </c>
      <c r="I42" s="292"/>
      <c r="J42" s="52">
        <v>36961</v>
      </c>
      <c r="K42" s="57">
        <v>1150.53</v>
      </c>
      <c r="L42" s="57">
        <v>1233.42</v>
      </c>
      <c r="M42" s="57">
        <v>1233.42</v>
      </c>
      <c r="N42" s="57">
        <v>1148.6400000000001</v>
      </c>
      <c r="O42" s="51" t="s">
        <v>159</v>
      </c>
      <c r="P42" s="58">
        <v>-6.7199999999999996E-2</v>
      </c>
    </row>
    <row r="43" spans="1:16" x14ac:dyDescent="0.2">
      <c r="A43" s="56">
        <v>43770</v>
      </c>
      <c r="B43" s="51">
        <v>3140.98</v>
      </c>
      <c r="C43" s="51">
        <v>3050.72</v>
      </c>
      <c r="D43" s="57">
        <v>3154.26</v>
      </c>
      <c r="E43" s="51">
        <v>3050.72</v>
      </c>
      <c r="F43" s="51"/>
      <c r="G43" s="58">
        <v>3.4000000000000002E-2</v>
      </c>
      <c r="H43" s="53">
        <f t="shared" si="1"/>
        <v>0.13796613976675354</v>
      </c>
      <c r="I43" s="292"/>
      <c r="J43" s="52">
        <v>36968</v>
      </c>
      <c r="K43" s="57">
        <v>1139.83</v>
      </c>
      <c r="L43" s="57">
        <v>1150.53</v>
      </c>
      <c r="M43" s="57">
        <v>1180.56</v>
      </c>
      <c r="N43" s="57">
        <v>1081.19</v>
      </c>
      <c r="O43" s="51" t="s">
        <v>160</v>
      </c>
      <c r="P43" s="58">
        <v>-9.2999999999999992E-3</v>
      </c>
    </row>
    <row r="44" spans="1:16" x14ac:dyDescent="0.2">
      <c r="A44" s="56">
        <v>43739</v>
      </c>
      <c r="B44" s="51">
        <v>3037.56</v>
      </c>
      <c r="C44" s="51">
        <v>2983.69</v>
      </c>
      <c r="D44" s="57">
        <v>3050.1</v>
      </c>
      <c r="E44" s="51">
        <v>2855.94</v>
      </c>
      <c r="F44" s="51"/>
      <c r="G44" s="58">
        <v>2.0400000000000001E-2</v>
      </c>
      <c r="H44" s="53">
        <f t="shared" si="1"/>
        <v>0.12015163695634534</v>
      </c>
      <c r="I44" s="292"/>
      <c r="J44" s="52">
        <v>36975</v>
      </c>
      <c r="K44" s="57">
        <v>1160.33</v>
      </c>
      <c r="L44" s="57">
        <v>1139.83</v>
      </c>
      <c r="M44" s="57">
        <v>1183.3499999999999</v>
      </c>
      <c r="N44" s="57">
        <v>1136.26</v>
      </c>
      <c r="O44" s="51" t="s">
        <v>161</v>
      </c>
      <c r="P44" s="58">
        <v>1.7999999999999999E-2</v>
      </c>
    </row>
    <row r="45" spans="1:16" x14ac:dyDescent="0.2">
      <c r="A45" s="56">
        <v>43709</v>
      </c>
      <c r="B45" s="57">
        <v>2976.74</v>
      </c>
      <c r="C45" s="51">
        <v>2909.01</v>
      </c>
      <c r="D45" s="57">
        <v>3021.99</v>
      </c>
      <c r="E45" s="51">
        <v>2891.85</v>
      </c>
      <c r="F45" s="51"/>
      <c r="G45" s="58">
        <v>1.72E-2</v>
      </c>
      <c r="H45" s="53">
        <f t="shared" si="1"/>
        <v>2.1537553449234359E-2</v>
      </c>
      <c r="I45" s="292"/>
      <c r="J45" s="52">
        <v>36982</v>
      </c>
      <c r="K45" s="57">
        <v>1128.43</v>
      </c>
      <c r="L45" s="57">
        <v>1160.33</v>
      </c>
      <c r="M45" s="57">
        <v>1169.51</v>
      </c>
      <c r="N45" s="57">
        <v>1091.99</v>
      </c>
      <c r="O45" s="51" t="s">
        <v>162</v>
      </c>
      <c r="P45" s="58">
        <v>-2.75E-2</v>
      </c>
    </row>
    <row r="46" spans="1:16" x14ac:dyDescent="0.2">
      <c r="A46" s="56">
        <v>43678</v>
      </c>
      <c r="B46" s="51">
        <v>2926.46</v>
      </c>
      <c r="C46" s="57">
        <v>2980.32</v>
      </c>
      <c r="D46" s="57">
        <v>3013.59</v>
      </c>
      <c r="E46" s="51">
        <v>2822.12</v>
      </c>
      <c r="F46" s="51"/>
      <c r="G46" s="58">
        <v>-1.8100000000000002E-2</v>
      </c>
      <c r="H46" s="53">
        <f t="shared" si="1"/>
        <v>8.5954947751523125E-3</v>
      </c>
      <c r="I46" s="292"/>
      <c r="J46" s="52">
        <v>36989</v>
      </c>
      <c r="K46" s="57">
        <v>1183.5</v>
      </c>
      <c r="L46" s="57">
        <v>1128.43</v>
      </c>
      <c r="M46" s="57">
        <v>1183.51</v>
      </c>
      <c r="N46" s="57">
        <v>1126.3800000000001</v>
      </c>
      <c r="O46" s="51" t="s">
        <v>163</v>
      </c>
      <c r="P46" s="58">
        <v>4.8800000000000003E-2</v>
      </c>
    </row>
    <row r="47" spans="1:16" x14ac:dyDescent="0.2">
      <c r="A47" s="56">
        <v>43647</v>
      </c>
      <c r="B47" s="57">
        <v>2980.38</v>
      </c>
      <c r="C47" s="51">
        <v>2971.41</v>
      </c>
      <c r="D47" s="57">
        <v>3027.98</v>
      </c>
      <c r="E47" s="51">
        <v>2952.22</v>
      </c>
      <c r="F47" s="51"/>
      <c r="G47" s="58">
        <v>1.3100000000000001E-2</v>
      </c>
      <c r="H47" s="53">
        <f t="shared" si="1"/>
        <v>5.8264596330633633E-2</v>
      </c>
      <c r="I47" s="292"/>
      <c r="J47" s="52">
        <v>36996</v>
      </c>
      <c r="K47" s="57">
        <v>1242.98</v>
      </c>
      <c r="L47" s="57">
        <v>1183.5</v>
      </c>
      <c r="M47" s="57">
        <v>1253.71</v>
      </c>
      <c r="N47" s="57">
        <v>1167.3800000000001</v>
      </c>
      <c r="O47" s="51" t="s">
        <v>164</v>
      </c>
      <c r="P47" s="58">
        <v>5.0299999999999997E-2</v>
      </c>
    </row>
    <row r="48" spans="1:16" x14ac:dyDescent="0.2">
      <c r="A48" s="56">
        <v>43617</v>
      </c>
      <c r="B48" s="57">
        <v>2941.76</v>
      </c>
      <c r="C48" s="57">
        <v>2751.53</v>
      </c>
      <c r="D48" s="57">
        <v>2964.15</v>
      </c>
      <c r="E48" s="57">
        <v>2728.81</v>
      </c>
      <c r="F48" s="51"/>
      <c r="G48" s="58">
        <v>6.8900000000000003E-2</v>
      </c>
      <c r="H48" s="53">
        <f t="shared" si="1"/>
        <v>8.2177922799324676E-2</v>
      </c>
      <c r="I48" s="292"/>
      <c r="J48" s="52">
        <v>37003</v>
      </c>
      <c r="K48" s="57">
        <v>1253.05</v>
      </c>
      <c r="L48" s="57">
        <v>1242.98</v>
      </c>
      <c r="M48" s="57">
        <v>1253.07</v>
      </c>
      <c r="N48" s="57">
        <v>1207.3800000000001</v>
      </c>
      <c r="O48" s="51" t="s">
        <v>165</v>
      </c>
      <c r="P48" s="58">
        <v>8.0999999999999996E-3</v>
      </c>
    </row>
    <row r="49" spans="1:16" x14ac:dyDescent="0.2">
      <c r="A49" s="56">
        <v>43586</v>
      </c>
      <c r="B49" s="57">
        <v>2752.06</v>
      </c>
      <c r="C49" s="57">
        <v>2952.33</v>
      </c>
      <c r="D49" s="57">
        <v>2954.13</v>
      </c>
      <c r="E49" s="57">
        <v>2750.52</v>
      </c>
      <c r="F49" s="51"/>
      <c r="G49" s="58">
        <v>-6.5799999999999997E-2</v>
      </c>
      <c r="H49" s="53">
        <f t="shared" si="1"/>
        <v>1.7295870652467293E-2</v>
      </c>
      <c r="I49" s="292"/>
      <c r="J49" s="52">
        <v>37010</v>
      </c>
      <c r="K49" s="57">
        <v>1266.6099999999999</v>
      </c>
      <c r="L49" s="57">
        <v>1253.05</v>
      </c>
      <c r="M49" s="57">
        <v>1272.93</v>
      </c>
      <c r="N49" s="57">
        <v>1232</v>
      </c>
      <c r="O49" s="51" t="s">
        <v>166</v>
      </c>
      <c r="P49" s="58">
        <v>1.0800000000000001E-2</v>
      </c>
    </row>
    <row r="50" spans="1:16" x14ac:dyDescent="0.2">
      <c r="A50" s="56">
        <v>43556</v>
      </c>
      <c r="B50" s="57">
        <v>2945.83</v>
      </c>
      <c r="C50" s="57">
        <v>2848.63</v>
      </c>
      <c r="D50" s="57">
        <v>2949.52</v>
      </c>
      <c r="E50" s="57">
        <v>2848.63</v>
      </c>
      <c r="F50" s="51"/>
      <c r="G50" s="58">
        <v>3.9300000000000002E-2</v>
      </c>
      <c r="H50" s="53">
        <f t="shared" si="1"/>
        <v>0.11245255943052435</v>
      </c>
      <c r="I50" s="292"/>
      <c r="J50" s="52">
        <v>37017</v>
      </c>
      <c r="K50" s="57">
        <v>1245.67</v>
      </c>
      <c r="L50" s="57">
        <v>1266.6099999999999</v>
      </c>
      <c r="M50" s="57">
        <v>1270</v>
      </c>
      <c r="N50" s="57">
        <v>1240.79</v>
      </c>
      <c r="O50" s="51" t="s">
        <v>167</v>
      </c>
      <c r="P50" s="58">
        <v>-1.6500000000000001E-2</v>
      </c>
    </row>
    <row r="51" spans="1:16" x14ac:dyDescent="0.2">
      <c r="A51" s="56">
        <v>43525</v>
      </c>
      <c r="B51" s="57">
        <v>2834.4</v>
      </c>
      <c r="C51" s="57">
        <v>2798.22</v>
      </c>
      <c r="D51" s="57">
        <v>2860.31</v>
      </c>
      <c r="E51" s="57">
        <v>2722.27</v>
      </c>
      <c r="F51" s="51"/>
      <c r="G51" s="58">
        <v>1.7899999999999999E-2</v>
      </c>
      <c r="H51" s="53">
        <f t="shared" si="1"/>
        <v>7.3282668211612112E-2</v>
      </c>
      <c r="I51" s="292"/>
      <c r="J51" s="52">
        <v>37024</v>
      </c>
      <c r="K51" s="57">
        <v>1291.96</v>
      </c>
      <c r="L51" s="57">
        <v>1245.67</v>
      </c>
      <c r="M51" s="57">
        <v>1296.48</v>
      </c>
      <c r="N51" s="57">
        <v>1241.02</v>
      </c>
      <c r="O51" s="51" t="s">
        <v>168</v>
      </c>
      <c r="P51" s="58">
        <v>3.7199999999999997E-2</v>
      </c>
    </row>
    <row r="52" spans="1:16" x14ac:dyDescent="0.2">
      <c r="A52" s="56">
        <v>43497</v>
      </c>
      <c r="B52" s="57">
        <v>2784.49</v>
      </c>
      <c r="C52" s="57">
        <v>2702.32</v>
      </c>
      <c r="D52" s="57">
        <v>2813.49</v>
      </c>
      <c r="E52" s="57">
        <v>2681.83</v>
      </c>
      <c r="F52" s="51"/>
      <c r="G52" s="58">
        <v>2.9700000000000001E-2</v>
      </c>
      <c r="H52" s="53">
        <f t="shared" si="1"/>
        <v>2.6037003054723451E-2</v>
      </c>
      <c r="I52" s="292"/>
      <c r="J52" s="52">
        <v>37031</v>
      </c>
      <c r="K52" s="57">
        <v>1277.8900000000001</v>
      </c>
      <c r="L52" s="57">
        <v>1291.96</v>
      </c>
      <c r="M52" s="57">
        <v>1315.93</v>
      </c>
      <c r="N52" s="57">
        <v>1276.42</v>
      </c>
      <c r="O52" s="51" t="s">
        <v>169</v>
      </c>
      <c r="P52" s="58">
        <v>-1.09E-2</v>
      </c>
    </row>
    <row r="53" spans="1:16" x14ac:dyDescent="0.2">
      <c r="A53" s="56">
        <v>43466</v>
      </c>
      <c r="B53" s="57">
        <v>2704.1</v>
      </c>
      <c r="C53" s="57">
        <v>2476.96</v>
      </c>
      <c r="D53" s="57">
        <v>2708.95</v>
      </c>
      <c r="E53" s="57">
        <v>2443.96</v>
      </c>
      <c r="F53" s="51"/>
      <c r="G53" s="58">
        <v>7.8700000000000006E-2</v>
      </c>
      <c r="H53" s="53">
        <f t="shared" si="1"/>
        <v>-4.2393078854455535E-2</v>
      </c>
      <c r="I53" s="292"/>
      <c r="J53" s="52">
        <v>37038</v>
      </c>
      <c r="K53" s="57">
        <v>1260.67</v>
      </c>
      <c r="L53" s="57">
        <v>1277.8900000000001</v>
      </c>
      <c r="M53" s="57">
        <v>1278.42</v>
      </c>
      <c r="N53" s="57">
        <v>1245.96</v>
      </c>
      <c r="O53" s="51" t="s">
        <v>170</v>
      </c>
      <c r="P53" s="58">
        <v>-1.35E-2</v>
      </c>
    </row>
    <row r="54" spans="1:16" x14ac:dyDescent="0.2">
      <c r="A54" s="56">
        <v>43435</v>
      </c>
      <c r="B54" s="57">
        <v>2506.85</v>
      </c>
      <c r="C54" s="57">
        <v>2790.5</v>
      </c>
      <c r="D54" s="57">
        <v>2800.18</v>
      </c>
      <c r="E54" s="57">
        <v>2346.58</v>
      </c>
      <c r="F54" s="51"/>
      <c r="G54" s="58">
        <v>-9.1800000000000007E-2</v>
      </c>
      <c r="H54" s="53">
        <f t="shared" si="1"/>
        <v>-6.2372597349650949E-2</v>
      </c>
      <c r="I54" s="292"/>
      <c r="J54" s="52">
        <v>37045</v>
      </c>
      <c r="K54" s="57">
        <v>1264.96</v>
      </c>
      <c r="L54" s="57">
        <v>1260.67</v>
      </c>
      <c r="M54" s="57">
        <v>1286.6199999999999</v>
      </c>
      <c r="N54" s="57">
        <v>1256.3599999999999</v>
      </c>
      <c r="O54" s="51" t="s">
        <v>125</v>
      </c>
      <c r="P54" s="58">
        <v>3.3999999999999998E-3</v>
      </c>
    </row>
    <row r="55" spans="1:16" x14ac:dyDescent="0.2">
      <c r="A55" s="56">
        <v>43405</v>
      </c>
      <c r="B55" s="57">
        <v>2760.17</v>
      </c>
      <c r="C55" s="57">
        <v>2717.58</v>
      </c>
      <c r="D55" s="57">
        <v>2815.15</v>
      </c>
      <c r="E55" s="57">
        <v>2631.09</v>
      </c>
      <c r="F55" s="51"/>
      <c r="G55" s="58">
        <v>1.7899999999999999E-2</v>
      </c>
      <c r="H55" s="53">
        <f t="shared" si="1"/>
        <v>4.2525627176515979E-2</v>
      </c>
      <c r="I55" s="292"/>
      <c r="J55" s="52">
        <v>37052</v>
      </c>
      <c r="K55" s="57">
        <v>1214.3599999999999</v>
      </c>
      <c r="L55" s="57">
        <v>1264.96</v>
      </c>
      <c r="M55" s="57">
        <v>1264.96</v>
      </c>
      <c r="N55" s="57">
        <v>1203.03</v>
      </c>
      <c r="O55" s="51" t="s">
        <v>171</v>
      </c>
      <c r="P55" s="58">
        <v>-0.04</v>
      </c>
    </row>
    <row r="56" spans="1:16" x14ac:dyDescent="0.2">
      <c r="A56" s="56">
        <v>43374</v>
      </c>
      <c r="B56" s="57">
        <v>2711.74</v>
      </c>
      <c r="C56" s="57">
        <v>2926.29</v>
      </c>
      <c r="D56" s="57">
        <v>2939.86</v>
      </c>
      <c r="E56" s="57">
        <v>2603.54</v>
      </c>
      <c r="F56" s="51"/>
      <c r="G56" s="58">
        <v>-6.9400000000000003E-2</v>
      </c>
      <c r="H56" s="53">
        <f t="shared" si="1"/>
        <v>5.2996590635508545E-2</v>
      </c>
      <c r="I56" s="292"/>
      <c r="J56" s="52">
        <v>37059</v>
      </c>
      <c r="K56" s="57">
        <v>1225.3499999999999</v>
      </c>
      <c r="L56" s="57">
        <v>1214.3599999999999</v>
      </c>
      <c r="M56" s="57">
        <v>1240.24</v>
      </c>
      <c r="N56" s="57">
        <v>1207.71</v>
      </c>
      <c r="O56" s="51" t="s">
        <v>172</v>
      </c>
      <c r="P56" s="58">
        <v>9.1000000000000004E-3</v>
      </c>
    </row>
    <row r="57" spans="1:16" x14ac:dyDescent="0.2">
      <c r="A57" s="56">
        <v>43344</v>
      </c>
      <c r="B57" s="57">
        <v>2913.98</v>
      </c>
      <c r="C57" s="57">
        <v>2896.96</v>
      </c>
      <c r="D57" s="57">
        <v>2940.91</v>
      </c>
      <c r="E57" s="57">
        <v>2864.12</v>
      </c>
      <c r="F57" s="51"/>
      <c r="G57" s="58">
        <v>4.3E-3</v>
      </c>
      <c r="H57" s="53">
        <f t="shared" si="1"/>
        <v>0.1566350184173757</v>
      </c>
      <c r="I57" s="292"/>
      <c r="J57" s="52">
        <v>37066</v>
      </c>
      <c r="K57" s="57">
        <v>1224.3800000000001</v>
      </c>
      <c r="L57" s="57">
        <v>1225.3499999999999</v>
      </c>
      <c r="M57" s="57">
        <v>1237.29</v>
      </c>
      <c r="N57" s="57">
        <v>1204.6400000000001</v>
      </c>
      <c r="O57" s="51" t="s">
        <v>152</v>
      </c>
      <c r="P57" s="58">
        <v>-8.0000000000000004E-4</v>
      </c>
    </row>
    <row r="58" spans="1:16" x14ac:dyDescent="0.2">
      <c r="A58" s="56">
        <v>43313</v>
      </c>
      <c r="B58" s="57">
        <v>2901.52</v>
      </c>
      <c r="C58" s="57">
        <v>2821.17</v>
      </c>
      <c r="D58" s="57">
        <v>2916.5</v>
      </c>
      <c r="E58" s="57">
        <v>2796.34</v>
      </c>
      <c r="F58" s="51"/>
      <c r="G58" s="58">
        <v>3.0300000000000001E-2</v>
      </c>
      <c r="H58" s="53">
        <f t="shared" si="1"/>
        <v>0.17392025569963376</v>
      </c>
      <c r="I58" s="292"/>
      <c r="J58" s="52">
        <v>37073</v>
      </c>
      <c r="K58" s="57">
        <v>1190.5899999999999</v>
      </c>
      <c r="L58" s="57">
        <v>1224.42</v>
      </c>
      <c r="M58" s="57">
        <v>1239.78</v>
      </c>
      <c r="N58" s="57">
        <v>1188.74</v>
      </c>
      <c r="O58" s="51" t="s">
        <v>173</v>
      </c>
      <c r="P58" s="58">
        <v>-2.76E-2</v>
      </c>
    </row>
    <row r="59" spans="1:16" x14ac:dyDescent="0.2">
      <c r="A59" s="56">
        <v>43282</v>
      </c>
      <c r="B59" s="57">
        <v>2816.29</v>
      </c>
      <c r="C59" s="57">
        <v>2704.95</v>
      </c>
      <c r="D59" s="57">
        <v>2848.03</v>
      </c>
      <c r="E59" s="57">
        <v>2698.95</v>
      </c>
      <c r="F59" s="51"/>
      <c r="G59" s="58">
        <v>3.5999999999999997E-2</v>
      </c>
      <c r="H59" s="53">
        <f t="shared" si="1"/>
        <v>0.14005991175160903</v>
      </c>
      <c r="I59" s="292"/>
      <c r="J59" s="52">
        <v>37080</v>
      </c>
      <c r="K59" s="57">
        <v>1215.68</v>
      </c>
      <c r="L59" s="57">
        <v>1190.5899999999999</v>
      </c>
      <c r="M59" s="57">
        <v>1218.54</v>
      </c>
      <c r="N59" s="57">
        <v>1168.46</v>
      </c>
      <c r="O59" s="51" t="s">
        <v>174</v>
      </c>
      <c r="P59" s="58">
        <v>2.1100000000000001E-2</v>
      </c>
    </row>
    <row r="60" spans="1:16" x14ac:dyDescent="0.2">
      <c r="A60" s="56">
        <v>43252</v>
      </c>
      <c r="B60" s="57">
        <v>2718.37</v>
      </c>
      <c r="C60" s="57">
        <v>2718.7</v>
      </c>
      <c r="D60" s="57">
        <v>2791.47</v>
      </c>
      <c r="E60" s="57">
        <v>2691.99</v>
      </c>
      <c r="F60" s="51"/>
      <c r="G60" s="58">
        <v>4.7999999999999996E-3</v>
      </c>
      <c r="H60" s="53">
        <f t="shared" si="1"/>
        <v>0.12171279313034122</v>
      </c>
      <c r="I60" s="292"/>
      <c r="J60" s="52">
        <v>37087</v>
      </c>
      <c r="K60" s="57">
        <v>1210.8499999999999</v>
      </c>
      <c r="L60" s="57">
        <v>1215.68</v>
      </c>
      <c r="M60" s="57">
        <v>1225.04</v>
      </c>
      <c r="N60" s="57">
        <v>1196.1400000000001</v>
      </c>
      <c r="O60" s="51" t="s">
        <v>175</v>
      </c>
      <c r="P60" s="58">
        <v>-4.0000000000000001E-3</v>
      </c>
    </row>
    <row r="61" spans="1:16" x14ac:dyDescent="0.2">
      <c r="A61" s="56">
        <v>43221</v>
      </c>
      <c r="B61" s="57">
        <v>2705.27</v>
      </c>
      <c r="C61" s="57">
        <v>2643.64</v>
      </c>
      <c r="D61" s="57">
        <v>2742.24</v>
      </c>
      <c r="E61" s="57">
        <v>2594.62</v>
      </c>
      <c r="F61" s="51"/>
      <c r="G61" s="58">
        <v>2.1600000000000001E-2</v>
      </c>
      <c r="H61" s="53">
        <f t="shared" si="1"/>
        <v>0.12168090223069905</v>
      </c>
      <c r="I61" s="292"/>
      <c r="J61" s="52">
        <v>37094</v>
      </c>
      <c r="K61" s="57">
        <v>1205.82</v>
      </c>
      <c r="L61" s="57">
        <v>1210.8499999999999</v>
      </c>
      <c r="M61" s="57">
        <v>1215.22</v>
      </c>
      <c r="N61" s="57">
        <v>1165.54</v>
      </c>
      <c r="O61" s="51" t="s">
        <v>176</v>
      </c>
      <c r="P61" s="58">
        <v>-4.1999999999999997E-3</v>
      </c>
    </row>
    <row r="62" spans="1:16" x14ac:dyDescent="0.2">
      <c r="A62" s="56">
        <v>43191</v>
      </c>
      <c r="B62" s="57">
        <v>2648.05</v>
      </c>
      <c r="C62" s="57">
        <v>2633.45</v>
      </c>
      <c r="D62" s="57">
        <v>2717.49</v>
      </c>
      <c r="E62" s="57">
        <v>2553.8000000000002</v>
      </c>
      <c r="F62" s="51"/>
      <c r="G62" s="58">
        <v>2.7000000000000001E-3</v>
      </c>
      <c r="H62" s="53">
        <f t="shared" si="1"/>
        <v>0.11066605150574627</v>
      </c>
      <c r="I62" s="292"/>
      <c r="J62" s="52">
        <v>37101</v>
      </c>
      <c r="K62" s="57">
        <v>1214.3499999999999</v>
      </c>
      <c r="L62" s="57">
        <v>1205.82</v>
      </c>
      <c r="M62" s="57">
        <v>1226.27</v>
      </c>
      <c r="N62" s="57">
        <v>1200.4100000000001</v>
      </c>
      <c r="O62" s="51" t="s">
        <v>177</v>
      </c>
      <c r="P62" s="58">
        <v>7.1000000000000004E-3</v>
      </c>
    </row>
    <row r="63" spans="1:16" x14ac:dyDescent="0.2">
      <c r="A63" s="56">
        <v>43160</v>
      </c>
      <c r="B63" s="57">
        <v>2640.87</v>
      </c>
      <c r="C63" s="57">
        <v>2715.22</v>
      </c>
      <c r="D63" s="57">
        <v>2801.9</v>
      </c>
      <c r="E63" s="57">
        <v>2585.89</v>
      </c>
      <c r="F63" s="51"/>
      <c r="G63" s="58">
        <v>-2.69E-2</v>
      </c>
      <c r="H63" s="53">
        <f t="shared" si="1"/>
        <v>0.11772448703189542</v>
      </c>
      <c r="I63" s="292"/>
      <c r="J63" s="52">
        <v>37108</v>
      </c>
      <c r="K63" s="57">
        <v>1190.1600000000001</v>
      </c>
      <c r="L63" s="57">
        <v>1214.3499999999999</v>
      </c>
      <c r="M63" s="57">
        <v>1214.3499999999999</v>
      </c>
      <c r="N63" s="57">
        <v>1169.55</v>
      </c>
      <c r="O63" s="51" t="s">
        <v>178</v>
      </c>
      <c r="P63" s="58">
        <v>-1.9900000000000001E-2</v>
      </c>
    </row>
    <row r="64" spans="1:16" x14ac:dyDescent="0.2">
      <c r="A64" s="56">
        <v>43132</v>
      </c>
      <c r="B64" s="57">
        <v>2713.83</v>
      </c>
      <c r="C64" s="57">
        <v>2816.45</v>
      </c>
      <c r="D64" s="57">
        <v>2835.96</v>
      </c>
      <c r="E64" s="57">
        <v>2532.69</v>
      </c>
      <c r="F64" s="51"/>
      <c r="G64" s="58">
        <v>-3.8899999999999997E-2</v>
      </c>
      <c r="H64" s="53">
        <f t="shared" si="1"/>
        <v>0.14815707975833892</v>
      </c>
      <c r="I64" s="292"/>
      <c r="J64" s="52">
        <v>37115</v>
      </c>
      <c r="K64" s="57">
        <v>1161.97</v>
      </c>
      <c r="L64" s="57">
        <v>1190.1600000000001</v>
      </c>
      <c r="M64" s="57">
        <v>1198.79</v>
      </c>
      <c r="N64" s="57">
        <v>1156.07</v>
      </c>
      <c r="O64" s="51" t="s">
        <v>124</v>
      </c>
      <c r="P64" s="58">
        <v>-2.3699999999999999E-2</v>
      </c>
    </row>
    <row r="65" spans="1:16" x14ac:dyDescent="0.2">
      <c r="A65" s="56">
        <v>43101</v>
      </c>
      <c r="B65" s="57">
        <v>2823.81</v>
      </c>
      <c r="C65" s="57">
        <v>2683.73</v>
      </c>
      <c r="D65" s="57">
        <v>2872.87</v>
      </c>
      <c r="E65" s="57">
        <v>2682.36</v>
      </c>
      <c r="F65" s="51"/>
      <c r="G65" s="58">
        <v>5.62E-2</v>
      </c>
      <c r="H65" s="53">
        <f t="shared" si="1"/>
        <v>0.23912728676931994</v>
      </c>
      <c r="I65" s="292"/>
      <c r="J65" s="52">
        <v>37122</v>
      </c>
      <c r="K65" s="57">
        <v>1184.93</v>
      </c>
      <c r="L65" s="57">
        <v>1161.97</v>
      </c>
      <c r="M65" s="57">
        <v>1185.1500000000001</v>
      </c>
      <c r="N65" s="57">
        <v>1153.3399999999999</v>
      </c>
      <c r="O65" s="51" t="s">
        <v>179</v>
      </c>
      <c r="P65" s="58">
        <v>1.9800000000000002E-2</v>
      </c>
    </row>
    <row r="66" spans="1:16" x14ac:dyDescent="0.2">
      <c r="A66" s="56">
        <v>43070</v>
      </c>
      <c r="B66" s="57">
        <v>2673.61</v>
      </c>
      <c r="C66" s="57">
        <v>2645.1</v>
      </c>
      <c r="D66" s="57">
        <v>2694.97</v>
      </c>
      <c r="E66" s="57">
        <v>2605.52</v>
      </c>
      <c r="F66" s="51"/>
      <c r="G66" s="58">
        <v>9.7999999999999997E-3</v>
      </c>
      <c r="H66" s="53">
        <f t="shared" si="1"/>
        <v>0.19419964892376829</v>
      </c>
      <c r="I66" s="292"/>
      <c r="J66" s="52">
        <v>37129</v>
      </c>
      <c r="K66" s="57">
        <v>1133.58</v>
      </c>
      <c r="L66" s="57">
        <v>1184.93</v>
      </c>
      <c r="M66" s="57">
        <v>1186.8499999999999</v>
      </c>
      <c r="N66" s="57">
        <v>1124.8699999999999</v>
      </c>
      <c r="O66" s="51" t="s">
        <v>180</v>
      </c>
      <c r="P66" s="58">
        <v>-4.3299999999999998E-2</v>
      </c>
    </row>
    <row r="67" spans="1:16" x14ac:dyDescent="0.2">
      <c r="A67" s="56">
        <v>43040</v>
      </c>
      <c r="B67" s="57">
        <v>2647.58</v>
      </c>
      <c r="C67" s="57">
        <v>2583.21</v>
      </c>
      <c r="D67" s="57">
        <v>2657.74</v>
      </c>
      <c r="E67" s="57">
        <v>2557.4499999999998</v>
      </c>
      <c r="F67" s="51"/>
      <c r="G67" s="58">
        <v>2.81E-2</v>
      </c>
      <c r="H67" s="53">
        <f t="shared" si="1"/>
        <v>0.20409676143004618</v>
      </c>
      <c r="I67" s="292"/>
      <c r="J67" s="52">
        <v>37136</v>
      </c>
      <c r="K67" s="57">
        <v>1085.78</v>
      </c>
      <c r="L67" s="57">
        <v>1133.58</v>
      </c>
      <c r="M67" s="57">
        <v>1155.4000000000001</v>
      </c>
      <c r="N67" s="57">
        <v>1082.1199999999999</v>
      </c>
      <c r="O67" s="51" t="s">
        <v>158</v>
      </c>
      <c r="P67" s="58">
        <v>-4.2200000000000001E-2</v>
      </c>
    </row>
    <row r="68" spans="1:16" x14ac:dyDescent="0.2">
      <c r="A68" s="56">
        <v>43009</v>
      </c>
      <c r="B68" s="57">
        <v>2575.2600000000002</v>
      </c>
      <c r="C68" s="57">
        <v>2521.1999999999998</v>
      </c>
      <c r="D68" s="57">
        <v>2582.98</v>
      </c>
      <c r="E68" s="57">
        <v>2520.4</v>
      </c>
      <c r="F68" s="51"/>
      <c r="G68" s="58">
        <v>2.2200000000000001E-2</v>
      </c>
      <c r="H68" s="53">
        <f t="shared" si="1"/>
        <v>0.21123156879806237</v>
      </c>
      <c r="I68" s="292"/>
      <c r="J68" s="52">
        <v>37143</v>
      </c>
      <c r="K68" s="57">
        <v>1092.54</v>
      </c>
      <c r="L68" s="57">
        <v>1085.78</v>
      </c>
      <c r="M68" s="57">
        <v>1096.94</v>
      </c>
      <c r="N68" s="57">
        <v>1073.1500000000001</v>
      </c>
      <c r="O68" s="51" t="s">
        <v>181</v>
      </c>
      <c r="P68" s="58">
        <v>6.1999999999999998E-3</v>
      </c>
    </row>
    <row r="69" spans="1:16" x14ac:dyDescent="0.2">
      <c r="A69" s="56">
        <v>42979</v>
      </c>
      <c r="B69" s="57">
        <v>2519.36</v>
      </c>
      <c r="C69" s="57">
        <v>2474.42</v>
      </c>
      <c r="D69" s="57">
        <v>2519.44</v>
      </c>
      <c r="E69" s="57">
        <v>2446.5500000000002</v>
      </c>
      <c r="F69" s="51"/>
      <c r="G69" s="58">
        <v>1.9300000000000001E-2</v>
      </c>
      <c r="H69" s="53">
        <f t="shared" si="1"/>
        <v>0.16192171639140884</v>
      </c>
      <c r="I69" s="292"/>
      <c r="J69" s="52">
        <v>37150</v>
      </c>
      <c r="K69" s="51">
        <v>965.8</v>
      </c>
      <c r="L69" s="57">
        <v>1092.54</v>
      </c>
      <c r="M69" s="57">
        <v>1092.54</v>
      </c>
      <c r="N69" s="51">
        <v>944.75</v>
      </c>
      <c r="O69" s="51" t="s">
        <v>182</v>
      </c>
      <c r="P69" s="58">
        <v>-0.11600000000000001</v>
      </c>
    </row>
    <row r="70" spans="1:16" x14ac:dyDescent="0.2">
      <c r="A70" s="56">
        <v>42948</v>
      </c>
      <c r="B70" s="57">
        <v>2471.65</v>
      </c>
      <c r="C70" s="57">
        <v>2477.1</v>
      </c>
      <c r="D70" s="57">
        <v>2490.87</v>
      </c>
      <c r="E70" s="57">
        <v>2417.35</v>
      </c>
      <c r="F70" s="51"/>
      <c r="G70" s="58">
        <v>5.0000000000000001E-4</v>
      </c>
      <c r="H70" s="53">
        <f t="shared" si="1"/>
        <v>0.13851079020705237</v>
      </c>
      <c r="I70" s="292"/>
      <c r="J70" s="52">
        <v>37157</v>
      </c>
      <c r="K70" s="57">
        <v>1040.94</v>
      </c>
      <c r="L70" s="51">
        <v>965.8</v>
      </c>
      <c r="M70" s="57">
        <v>1040.94</v>
      </c>
      <c r="N70" s="51">
        <v>965.8</v>
      </c>
      <c r="O70" s="51" t="s">
        <v>183</v>
      </c>
      <c r="P70" s="58">
        <v>7.7799999999999994E-2</v>
      </c>
    </row>
    <row r="71" spans="1:16" x14ac:dyDescent="0.2">
      <c r="A71" s="56">
        <v>42917</v>
      </c>
      <c r="B71" s="57">
        <v>2470.3000000000002</v>
      </c>
      <c r="C71" s="57">
        <v>2431.39</v>
      </c>
      <c r="D71" s="57">
        <v>2484.04</v>
      </c>
      <c r="E71" s="57">
        <v>2407.6999999999998</v>
      </c>
      <c r="F71" s="51"/>
      <c r="G71" s="58">
        <v>1.9300000000000001E-2</v>
      </c>
      <c r="H71" s="53">
        <f t="shared" si="1"/>
        <v>0.13650165623849841</v>
      </c>
      <c r="I71" s="292"/>
      <c r="J71" s="52">
        <v>37164</v>
      </c>
      <c r="K71" s="57">
        <v>1071.3800000000001</v>
      </c>
      <c r="L71" s="57">
        <v>1040.94</v>
      </c>
      <c r="M71" s="57">
        <v>1084.1199999999999</v>
      </c>
      <c r="N71" s="57">
        <v>1026.76</v>
      </c>
      <c r="O71" s="51" t="s">
        <v>184</v>
      </c>
      <c r="P71" s="58">
        <v>2.92E-2</v>
      </c>
    </row>
    <row r="72" spans="1:16" x14ac:dyDescent="0.2">
      <c r="A72" s="56">
        <v>42887</v>
      </c>
      <c r="B72" s="57">
        <v>2423.41</v>
      </c>
      <c r="C72" s="57">
        <v>2415.65</v>
      </c>
      <c r="D72" s="57">
        <v>2453.8200000000002</v>
      </c>
      <c r="E72" s="57">
        <v>2405.6999999999998</v>
      </c>
      <c r="F72" s="51"/>
      <c r="G72" s="58">
        <v>4.7999999999999996E-3</v>
      </c>
      <c r="H72" s="53">
        <f t="shared" si="1"/>
        <v>0.15463156189550498</v>
      </c>
      <c r="I72" s="292"/>
      <c r="J72" s="52">
        <v>37171</v>
      </c>
      <c r="K72" s="57">
        <v>1091.6500000000001</v>
      </c>
      <c r="L72" s="57">
        <v>1071.3699999999999</v>
      </c>
      <c r="M72" s="57">
        <v>1099.1600000000001</v>
      </c>
      <c r="N72" s="57">
        <v>1052.76</v>
      </c>
      <c r="O72" s="51" t="s">
        <v>185</v>
      </c>
      <c r="P72" s="58">
        <v>1.89E-2</v>
      </c>
    </row>
    <row r="73" spans="1:16" x14ac:dyDescent="0.2">
      <c r="A73" s="56">
        <v>42856</v>
      </c>
      <c r="B73" s="57">
        <v>2411.8000000000002</v>
      </c>
      <c r="C73" s="57">
        <v>2388.5</v>
      </c>
      <c r="D73" s="57">
        <v>2418.71</v>
      </c>
      <c r="E73" s="57">
        <v>2352.7199999999998</v>
      </c>
      <c r="F73" s="51"/>
      <c r="G73" s="58">
        <v>1.1599999999999999E-2</v>
      </c>
      <c r="H73" s="53">
        <f t="shared" si="1"/>
        <v>0.15014115672211203</v>
      </c>
      <c r="I73" s="292"/>
      <c r="J73" s="52">
        <v>37178</v>
      </c>
      <c r="K73" s="57">
        <v>1073.48</v>
      </c>
      <c r="L73" s="57">
        <v>1091.6500000000001</v>
      </c>
      <c r="M73" s="57">
        <v>1107.1199999999999</v>
      </c>
      <c r="N73" s="57">
        <v>1057.24</v>
      </c>
      <c r="O73" s="51" t="s">
        <v>186</v>
      </c>
      <c r="P73" s="58">
        <v>-1.66E-2</v>
      </c>
    </row>
    <row r="74" spans="1:16" x14ac:dyDescent="0.2">
      <c r="A74" s="56">
        <v>42826</v>
      </c>
      <c r="B74" s="57">
        <v>2384.1999999999998</v>
      </c>
      <c r="C74" s="57">
        <v>2362.34</v>
      </c>
      <c r="D74" s="57">
        <v>2398.16</v>
      </c>
      <c r="E74" s="57">
        <v>2328.9499999999998</v>
      </c>
      <c r="F74" s="51"/>
      <c r="G74" s="58">
        <v>9.1000000000000004E-3</v>
      </c>
      <c r="H74" s="53">
        <f t="shared" si="1"/>
        <v>0.15440856049968499</v>
      </c>
      <c r="I74" s="292"/>
      <c r="J74" s="52">
        <v>37185</v>
      </c>
      <c r="K74" s="57">
        <v>1104.6099999999999</v>
      </c>
      <c r="L74" s="57">
        <v>1073.48</v>
      </c>
      <c r="M74" s="57">
        <v>1110.6099999999999</v>
      </c>
      <c r="N74" s="57">
        <v>1065.6400000000001</v>
      </c>
      <c r="O74" s="51" t="s">
        <v>187</v>
      </c>
      <c r="P74" s="58">
        <v>2.9000000000000001E-2</v>
      </c>
    </row>
    <row r="75" spans="1:16" x14ac:dyDescent="0.2">
      <c r="A75" s="56">
        <v>42795</v>
      </c>
      <c r="B75" s="57">
        <v>2362.7199999999998</v>
      </c>
      <c r="C75" s="57">
        <v>2380.13</v>
      </c>
      <c r="D75" s="57">
        <v>2400.98</v>
      </c>
      <c r="E75" s="57">
        <v>2322.25</v>
      </c>
      <c r="F75" s="51"/>
      <c r="G75" s="58">
        <v>-4.0000000000000002E-4</v>
      </c>
      <c r="H75" s="53">
        <f t="shared" si="1"/>
        <v>0.1470962354471923</v>
      </c>
      <c r="I75" s="292"/>
      <c r="J75" s="52">
        <v>37192</v>
      </c>
      <c r="K75" s="57">
        <v>1087.2</v>
      </c>
      <c r="L75" s="57">
        <v>1104.6099999999999</v>
      </c>
      <c r="M75" s="57">
        <v>1104.6099999999999</v>
      </c>
      <c r="N75" s="57">
        <v>1053.6099999999999</v>
      </c>
      <c r="O75" s="51" t="s">
        <v>188</v>
      </c>
      <c r="P75" s="58">
        <v>-1.5800000000000002E-2</v>
      </c>
    </row>
    <row r="76" spans="1:16" x14ac:dyDescent="0.2">
      <c r="A76" s="56">
        <v>42767</v>
      </c>
      <c r="B76" s="57">
        <v>2363.64</v>
      </c>
      <c r="C76" s="57">
        <v>2285.59</v>
      </c>
      <c r="D76" s="57">
        <v>2371.54</v>
      </c>
      <c r="E76" s="57">
        <v>2271.65</v>
      </c>
      <c r="F76" s="51"/>
      <c r="G76" s="58">
        <v>3.7199999999999997E-2</v>
      </c>
      <c r="H76" s="53">
        <f t="shared" si="1"/>
        <v>0.22327052162527217</v>
      </c>
      <c r="I76" s="292"/>
      <c r="J76" s="52">
        <v>37199</v>
      </c>
      <c r="K76" s="57">
        <v>1120.31</v>
      </c>
      <c r="L76" s="57">
        <v>1087.2</v>
      </c>
      <c r="M76" s="57">
        <v>1135.75</v>
      </c>
      <c r="N76" s="57">
        <v>1087.2</v>
      </c>
      <c r="O76" s="51" t="s">
        <v>189</v>
      </c>
      <c r="P76" s="58">
        <v>3.0499999999999999E-2</v>
      </c>
    </row>
    <row r="77" spans="1:16" x14ac:dyDescent="0.2">
      <c r="A77" s="56">
        <v>42736</v>
      </c>
      <c r="B77" s="57">
        <v>2278.87</v>
      </c>
      <c r="C77" s="57">
        <v>2251.5700000000002</v>
      </c>
      <c r="D77" s="57">
        <v>2300.9899999999998</v>
      </c>
      <c r="E77" s="57">
        <v>2245.13</v>
      </c>
      <c r="F77" s="51"/>
      <c r="G77" s="58">
        <v>1.7899999999999999E-2</v>
      </c>
      <c r="H77" s="53">
        <f t="shared" si="1"/>
        <v>0.17452995505710622</v>
      </c>
      <c r="I77" s="292"/>
      <c r="J77" s="52">
        <v>37206</v>
      </c>
      <c r="K77" s="57">
        <v>1138.6500000000001</v>
      </c>
      <c r="L77" s="57">
        <v>1120.31</v>
      </c>
      <c r="M77" s="57">
        <v>1148.28</v>
      </c>
      <c r="N77" s="57">
        <v>1098.32</v>
      </c>
      <c r="O77" s="51" t="s">
        <v>190</v>
      </c>
      <c r="P77" s="58">
        <v>1.6400000000000001E-2</v>
      </c>
    </row>
    <row r="78" spans="1:16" x14ac:dyDescent="0.2">
      <c r="A78" s="56">
        <v>42705</v>
      </c>
      <c r="B78" s="57">
        <v>2238.83</v>
      </c>
      <c r="C78" s="57">
        <v>2200.17</v>
      </c>
      <c r="D78" s="57">
        <v>2277.5300000000002</v>
      </c>
      <c r="E78" s="57">
        <v>2187.44</v>
      </c>
      <c r="F78" s="51"/>
      <c r="G78" s="58">
        <v>1.8200000000000001E-2</v>
      </c>
      <c r="H78" s="53">
        <f t="shared" si="1"/>
        <v>9.5350157049619799E-2</v>
      </c>
      <c r="I78" s="292"/>
      <c r="J78" s="52">
        <v>37213</v>
      </c>
      <c r="K78" s="57">
        <v>1150.3399999999999</v>
      </c>
      <c r="L78" s="57">
        <v>1138.6500000000001</v>
      </c>
      <c r="M78" s="57">
        <v>1152.45</v>
      </c>
      <c r="N78" s="57">
        <v>1129.78</v>
      </c>
      <c r="O78" s="51" t="s">
        <v>191</v>
      </c>
      <c r="P78" s="58">
        <v>1.03E-2</v>
      </c>
    </row>
    <row r="79" spans="1:16" x14ac:dyDescent="0.2">
      <c r="A79" s="56">
        <v>42675</v>
      </c>
      <c r="B79" s="57">
        <v>2198.81</v>
      </c>
      <c r="C79" s="57">
        <v>2128.6799999999998</v>
      </c>
      <c r="D79" s="57">
        <v>2214.1</v>
      </c>
      <c r="E79" s="57">
        <v>2083.79</v>
      </c>
      <c r="F79" s="51"/>
      <c r="G79" s="58">
        <v>3.4200000000000001E-2</v>
      </c>
      <c r="H79" s="53">
        <f t="shared" si="1"/>
        <v>5.691185872015625E-2</v>
      </c>
      <c r="I79" s="292"/>
      <c r="J79" s="52">
        <v>37220</v>
      </c>
      <c r="K79" s="57">
        <v>1139.45</v>
      </c>
      <c r="L79" s="57">
        <v>1150.3399999999999</v>
      </c>
      <c r="M79" s="57">
        <v>1163.3800000000001</v>
      </c>
      <c r="N79" s="57">
        <v>1125.51</v>
      </c>
      <c r="O79" s="51" t="s">
        <v>185</v>
      </c>
      <c r="P79" s="58">
        <v>-9.4999999999999998E-3</v>
      </c>
    </row>
    <row r="80" spans="1:16" x14ac:dyDescent="0.2">
      <c r="A80" s="56">
        <v>42644</v>
      </c>
      <c r="B80" s="57">
        <v>2126.15</v>
      </c>
      <c r="C80" s="57">
        <v>2164.33</v>
      </c>
      <c r="D80" s="57">
        <v>2169.6</v>
      </c>
      <c r="E80" s="57">
        <v>2114.7199999999998</v>
      </c>
      <c r="F80" s="51"/>
      <c r="G80" s="58">
        <v>-1.9400000000000001E-2</v>
      </c>
      <c r="H80" s="53">
        <f t="shared" si="1"/>
        <v>2.250211603570329E-2</v>
      </c>
      <c r="I80" s="292"/>
      <c r="J80" s="52">
        <v>37227</v>
      </c>
      <c r="K80" s="57">
        <v>1158.31</v>
      </c>
      <c r="L80" s="57">
        <v>1139.45</v>
      </c>
      <c r="M80" s="57">
        <v>1173.6199999999999</v>
      </c>
      <c r="N80" s="57">
        <v>1125.78</v>
      </c>
      <c r="O80" s="51" t="s">
        <v>192</v>
      </c>
      <c r="P80" s="58">
        <v>1.66E-2</v>
      </c>
    </row>
    <row r="81" spans="1:16" x14ac:dyDescent="0.2">
      <c r="A81" s="56">
        <v>42614</v>
      </c>
      <c r="B81" s="57">
        <v>2168.27</v>
      </c>
      <c r="C81" s="57">
        <v>2171.33</v>
      </c>
      <c r="D81" s="57">
        <v>2187.87</v>
      </c>
      <c r="E81" s="57">
        <v>2119.12</v>
      </c>
      <c r="F81" s="51"/>
      <c r="G81" s="58">
        <v>-1.1999999999999999E-3</v>
      </c>
      <c r="H81" s="53">
        <f t="shared" si="1"/>
        <v>0.12928964651593988</v>
      </c>
      <c r="I81" s="292"/>
      <c r="J81" s="52">
        <v>37234</v>
      </c>
      <c r="K81" s="57">
        <v>1123.0899999999999</v>
      </c>
      <c r="L81" s="57">
        <v>1158.31</v>
      </c>
      <c r="M81" s="57">
        <v>1158.31</v>
      </c>
      <c r="N81" s="57">
        <v>1114.53</v>
      </c>
      <c r="O81" s="51" t="s">
        <v>193</v>
      </c>
      <c r="P81" s="58">
        <v>-3.04E-2</v>
      </c>
    </row>
    <row r="82" spans="1:16" x14ac:dyDescent="0.2">
      <c r="A82" s="56">
        <v>42583</v>
      </c>
      <c r="B82" s="57">
        <v>2170.9499999999998</v>
      </c>
      <c r="C82" s="57">
        <v>2173.15</v>
      </c>
      <c r="D82" s="57">
        <v>2193.81</v>
      </c>
      <c r="E82" s="57">
        <v>2147.58</v>
      </c>
      <c r="F82" s="51"/>
      <c r="G82" s="58">
        <v>-1.1999999999999999E-3</v>
      </c>
      <c r="H82" s="53">
        <f t="shared" ref="H82:H145" si="2">B82/B94-1</f>
        <v>0.10078694642476838</v>
      </c>
      <c r="I82" s="292"/>
      <c r="J82" s="52">
        <v>37241</v>
      </c>
      <c r="K82" s="57">
        <v>1144.8900000000001</v>
      </c>
      <c r="L82" s="57">
        <v>1123.0899999999999</v>
      </c>
      <c r="M82" s="57">
        <v>1152.44</v>
      </c>
      <c r="N82" s="57">
        <v>1122.6600000000001</v>
      </c>
      <c r="O82" s="51" t="s">
        <v>194</v>
      </c>
      <c r="P82" s="58">
        <v>1.9400000000000001E-2</v>
      </c>
    </row>
    <row r="83" spans="1:16" x14ac:dyDescent="0.2">
      <c r="A83" s="56">
        <v>42552</v>
      </c>
      <c r="B83" s="57">
        <v>2173.6</v>
      </c>
      <c r="C83" s="57">
        <v>2099.34</v>
      </c>
      <c r="D83" s="57">
        <v>2177.09</v>
      </c>
      <c r="E83" s="57">
        <v>2074.02</v>
      </c>
      <c r="F83" s="51"/>
      <c r="G83" s="58">
        <v>3.56E-2</v>
      </c>
      <c r="H83" s="53">
        <f t="shared" si="2"/>
        <v>3.3158415088599735E-2</v>
      </c>
      <c r="I83" s="292"/>
      <c r="J83" s="52">
        <v>37248</v>
      </c>
      <c r="K83" s="57">
        <v>1161.02</v>
      </c>
      <c r="L83" s="57">
        <v>1144.8900000000001</v>
      </c>
      <c r="M83" s="57">
        <v>1164.6400000000001</v>
      </c>
      <c r="N83" s="57">
        <v>1144.6199999999999</v>
      </c>
      <c r="O83" s="51" t="s">
        <v>195</v>
      </c>
      <c r="P83" s="58">
        <v>1.41E-2</v>
      </c>
    </row>
    <row r="84" spans="1:16" x14ac:dyDescent="0.2">
      <c r="A84" s="56">
        <v>42522</v>
      </c>
      <c r="B84" s="57">
        <v>2098.86</v>
      </c>
      <c r="C84" s="57">
        <v>2093.94</v>
      </c>
      <c r="D84" s="57">
        <v>2120.5500000000002</v>
      </c>
      <c r="E84" s="57">
        <v>1991.68</v>
      </c>
      <c r="F84" s="51"/>
      <c r="G84" s="58">
        <v>8.9999999999999998E-4</v>
      </c>
      <c r="H84" s="53">
        <f t="shared" si="2"/>
        <v>1.7328208384429278E-2</v>
      </c>
      <c r="I84" s="292"/>
      <c r="J84" s="52">
        <v>37255</v>
      </c>
      <c r="K84" s="57">
        <v>1172.51</v>
      </c>
      <c r="L84" s="57">
        <v>1161.02</v>
      </c>
      <c r="M84" s="57">
        <v>1176.55</v>
      </c>
      <c r="N84" s="57">
        <v>1136.23</v>
      </c>
      <c r="O84" s="51" t="s">
        <v>196</v>
      </c>
      <c r="P84" s="58">
        <v>9.9000000000000008E-3</v>
      </c>
    </row>
    <row r="85" spans="1:16" x14ac:dyDescent="0.2">
      <c r="A85" s="56">
        <v>42491</v>
      </c>
      <c r="B85" s="57">
        <v>2096.96</v>
      </c>
      <c r="C85" s="57">
        <v>2067.17</v>
      </c>
      <c r="D85" s="57">
        <v>2103.48</v>
      </c>
      <c r="E85" s="57">
        <v>2025.91</v>
      </c>
      <c r="F85" s="51"/>
      <c r="G85" s="58">
        <v>1.5299999999999999E-2</v>
      </c>
      <c r="H85" s="53">
        <f t="shared" si="2"/>
        <v>-4.9492500201669953E-3</v>
      </c>
      <c r="I85" s="292"/>
      <c r="J85" s="52">
        <v>37262</v>
      </c>
      <c r="K85" s="57">
        <v>1145.5999999999999</v>
      </c>
      <c r="L85" s="57">
        <v>1172.51</v>
      </c>
      <c r="M85" s="57">
        <v>1176.97</v>
      </c>
      <c r="N85" s="57">
        <v>1145.45</v>
      </c>
      <c r="O85" s="51" t="s">
        <v>197</v>
      </c>
      <c r="P85" s="58">
        <v>-2.3E-2</v>
      </c>
    </row>
    <row r="86" spans="1:16" x14ac:dyDescent="0.2">
      <c r="A86" s="56">
        <v>42461</v>
      </c>
      <c r="B86" s="57">
        <v>2065.3000000000002</v>
      </c>
      <c r="C86" s="57">
        <v>2056.62</v>
      </c>
      <c r="D86" s="57">
        <v>2111.0500000000002</v>
      </c>
      <c r="E86" s="57">
        <v>2033.8</v>
      </c>
      <c r="F86" s="51"/>
      <c r="G86" s="58">
        <v>2.7000000000000001E-3</v>
      </c>
      <c r="H86" s="53">
        <f t="shared" si="2"/>
        <v>-9.690675182569275E-3</v>
      </c>
      <c r="I86" s="292"/>
      <c r="J86" s="52">
        <v>37269</v>
      </c>
      <c r="K86" s="57">
        <v>1127.58</v>
      </c>
      <c r="L86" s="57">
        <v>1145.5999999999999</v>
      </c>
      <c r="M86" s="57">
        <v>1148.81</v>
      </c>
      <c r="N86" s="57">
        <v>1124.45</v>
      </c>
      <c r="O86" s="51" t="s">
        <v>198</v>
      </c>
      <c r="P86" s="58">
        <v>-1.5699999999999999E-2</v>
      </c>
    </row>
    <row r="87" spans="1:16" x14ac:dyDescent="0.2">
      <c r="A87" s="56">
        <v>42430</v>
      </c>
      <c r="B87" s="57">
        <v>2059.7399999999998</v>
      </c>
      <c r="C87" s="57">
        <v>1937.09</v>
      </c>
      <c r="D87" s="57">
        <v>2072.21</v>
      </c>
      <c r="E87" s="57">
        <v>1937.09</v>
      </c>
      <c r="F87" s="51"/>
      <c r="G87" s="58">
        <v>6.6000000000000003E-2</v>
      </c>
      <c r="H87" s="53">
        <f t="shared" si="2"/>
        <v>-3.9412154418272394E-3</v>
      </c>
      <c r="I87" s="292"/>
      <c r="J87" s="52">
        <v>37276</v>
      </c>
      <c r="K87" s="57">
        <v>1133.28</v>
      </c>
      <c r="L87" s="57">
        <v>1127.58</v>
      </c>
      <c r="M87" s="57">
        <v>1139.5</v>
      </c>
      <c r="N87" s="57">
        <v>1117.43</v>
      </c>
      <c r="O87" s="51" t="s">
        <v>199</v>
      </c>
      <c r="P87" s="58">
        <v>5.1000000000000004E-3</v>
      </c>
    </row>
    <row r="88" spans="1:16" x14ac:dyDescent="0.2">
      <c r="A88" s="56">
        <v>42401</v>
      </c>
      <c r="B88" s="57">
        <v>1932.23</v>
      </c>
      <c r="C88" s="57">
        <v>1936.94</v>
      </c>
      <c r="D88" s="57">
        <v>1962.96</v>
      </c>
      <c r="E88" s="57">
        <v>1810.1</v>
      </c>
      <c r="F88" s="51"/>
      <c r="G88" s="58">
        <v>-4.1000000000000003E-3</v>
      </c>
      <c r="H88" s="53">
        <f t="shared" si="2"/>
        <v>-8.1857923497267726E-2</v>
      </c>
      <c r="I88" s="292"/>
      <c r="J88" s="52">
        <v>37283</v>
      </c>
      <c r="K88" s="57">
        <v>1122.2</v>
      </c>
      <c r="L88" s="57">
        <v>1133.28</v>
      </c>
      <c r="M88" s="57">
        <v>1138.6300000000001</v>
      </c>
      <c r="N88" s="57">
        <v>1081.6600000000001</v>
      </c>
      <c r="O88" s="51" t="s">
        <v>200</v>
      </c>
      <c r="P88" s="58">
        <v>-9.7999999999999997E-3</v>
      </c>
    </row>
    <row r="89" spans="1:16" x14ac:dyDescent="0.2">
      <c r="A89" s="56">
        <v>42370</v>
      </c>
      <c r="B89" s="57">
        <v>1940.24</v>
      </c>
      <c r="C89" s="57">
        <v>2038.2</v>
      </c>
      <c r="D89" s="57">
        <v>2038.2</v>
      </c>
      <c r="E89" s="57">
        <v>1812.29</v>
      </c>
      <c r="F89" s="51"/>
      <c r="G89" s="58">
        <v>-5.0700000000000002E-2</v>
      </c>
      <c r="H89" s="53">
        <f t="shared" si="2"/>
        <v>-2.7443746585195883E-2</v>
      </c>
      <c r="I89" s="292"/>
      <c r="J89" s="52">
        <v>37290</v>
      </c>
      <c r="K89" s="57">
        <v>1096.22</v>
      </c>
      <c r="L89" s="57">
        <v>1122.2</v>
      </c>
      <c r="M89" s="57">
        <v>1122.2</v>
      </c>
      <c r="N89" s="57">
        <v>1077.78</v>
      </c>
      <c r="O89" s="51" t="s">
        <v>201</v>
      </c>
      <c r="P89" s="58">
        <v>-2.3199999999999998E-2</v>
      </c>
    </row>
    <row r="90" spans="1:16" x14ac:dyDescent="0.2">
      <c r="A90" s="56">
        <v>42339</v>
      </c>
      <c r="B90" s="57">
        <v>2043.94</v>
      </c>
      <c r="C90" s="57">
        <v>2082.9299999999998</v>
      </c>
      <c r="D90" s="57">
        <v>2104.27</v>
      </c>
      <c r="E90" s="57">
        <v>1993.26</v>
      </c>
      <c r="F90" s="51"/>
      <c r="G90" s="58">
        <v>-1.7500000000000002E-2</v>
      </c>
      <c r="H90" s="53">
        <f t="shared" si="2"/>
        <v>-7.26601583369757E-3</v>
      </c>
      <c r="I90" s="292"/>
      <c r="J90" s="52">
        <v>37297</v>
      </c>
      <c r="K90" s="57">
        <v>1104.18</v>
      </c>
      <c r="L90" s="57">
        <v>1096.22</v>
      </c>
      <c r="M90" s="57">
        <v>1124.72</v>
      </c>
      <c r="N90" s="57">
        <v>1094.68</v>
      </c>
      <c r="O90" s="51" t="s">
        <v>149</v>
      </c>
      <c r="P90" s="58">
        <v>7.3000000000000001E-3</v>
      </c>
    </row>
    <row r="91" spans="1:16" x14ac:dyDescent="0.2">
      <c r="A91" s="56">
        <v>42309</v>
      </c>
      <c r="B91" s="57">
        <v>2080.41</v>
      </c>
      <c r="C91" s="57">
        <v>2080.7600000000002</v>
      </c>
      <c r="D91" s="57">
        <v>2116.48</v>
      </c>
      <c r="E91" s="57">
        <v>2019.39</v>
      </c>
      <c r="F91" s="51"/>
      <c r="G91" s="58">
        <v>5.0000000000000001E-4</v>
      </c>
      <c r="H91" s="53">
        <f t="shared" si="2"/>
        <v>6.2150554276538816E-3</v>
      </c>
      <c r="I91" s="292"/>
      <c r="J91" s="52">
        <v>37304</v>
      </c>
      <c r="K91" s="57">
        <v>1089.8399999999999</v>
      </c>
      <c r="L91" s="57">
        <v>1104.18</v>
      </c>
      <c r="M91" s="57">
        <v>1104.18</v>
      </c>
      <c r="N91" s="57">
        <v>1074.3599999999999</v>
      </c>
      <c r="O91" s="51" t="s">
        <v>202</v>
      </c>
      <c r="P91" s="58">
        <v>-1.2999999999999999E-2</v>
      </c>
    </row>
    <row r="92" spans="1:16" x14ac:dyDescent="0.2">
      <c r="A92" s="56">
        <v>42278</v>
      </c>
      <c r="B92" s="57">
        <v>2079.36</v>
      </c>
      <c r="C92" s="57">
        <v>1919.65</v>
      </c>
      <c r="D92" s="57">
        <v>2094.3200000000002</v>
      </c>
      <c r="E92" s="57">
        <v>1893.7</v>
      </c>
      <c r="F92" s="51"/>
      <c r="G92" s="58">
        <v>8.3000000000000004E-2</v>
      </c>
      <c r="H92" s="53">
        <f t="shared" si="2"/>
        <v>3.0380813161219988E-2</v>
      </c>
      <c r="I92" s="292"/>
      <c r="J92" s="52">
        <v>37311</v>
      </c>
      <c r="K92" s="57">
        <v>1131.78</v>
      </c>
      <c r="L92" s="57">
        <v>1089.8399999999999</v>
      </c>
      <c r="M92" s="57">
        <v>1131.79</v>
      </c>
      <c r="N92" s="57">
        <v>1089.8399999999999</v>
      </c>
      <c r="O92" s="51" t="s">
        <v>203</v>
      </c>
      <c r="P92" s="58">
        <v>3.85E-2</v>
      </c>
    </row>
    <row r="93" spans="1:16" x14ac:dyDescent="0.2">
      <c r="A93" s="56">
        <v>42248</v>
      </c>
      <c r="B93" s="57">
        <v>1920.03</v>
      </c>
      <c r="C93" s="57">
        <v>1970.09</v>
      </c>
      <c r="D93" s="57">
        <v>2020.86</v>
      </c>
      <c r="E93" s="57">
        <v>1871.91</v>
      </c>
      <c r="F93" s="51"/>
      <c r="G93" s="58">
        <v>-2.64E-2</v>
      </c>
      <c r="H93" s="53">
        <f t="shared" si="2"/>
        <v>-2.6497117563847095E-2</v>
      </c>
      <c r="I93" s="292"/>
      <c r="J93" s="52">
        <v>37318</v>
      </c>
      <c r="K93" s="57">
        <v>1164.31</v>
      </c>
      <c r="L93" s="57">
        <v>1131.78</v>
      </c>
      <c r="M93" s="57">
        <v>1172.76</v>
      </c>
      <c r="N93" s="57">
        <v>1130.93</v>
      </c>
      <c r="O93" s="51" t="s">
        <v>204</v>
      </c>
      <c r="P93" s="58">
        <v>2.87E-2</v>
      </c>
    </row>
    <row r="94" spans="1:16" x14ac:dyDescent="0.2">
      <c r="A94" s="56">
        <v>42217</v>
      </c>
      <c r="B94" s="57">
        <v>1972.18</v>
      </c>
      <c r="C94" s="57">
        <v>2104.4899999999998</v>
      </c>
      <c r="D94" s="57">
        <v>2112.66</v>
      </c>
      <c r="E94" s="57">
        <v>1867.01</v>
      </c>
      <c r="F94" s="51"/>
      <c r="G94" s="58">
        <v>-6.2600000000000003E-2</v>
      </c>
      <c r="H94" s="53">
        <f t="shared" si="2"/>
        <v>-1.5568766628231367E-2</v>
      </c>
      <c r="I94" s="292"/>
      <c r="J94" s="52">
        <v>37325</v>
      </c>
      <c r="K94" s="57">
        <v>1166.1600000000001</v>
      </c>
      <c r="L94" s="57">
        <v>1164.31</v>
      </c>
      <c r="M94" s="57">
        <v>1173.03</v>
      </c>
      <c r="N94" s="57">
        <v>1151.01</v>
      </c>
      <c r="O94" s="51" t="s">
        <v>152</v>
      </c>
      <c r="P94" s="58">
        <v>1.6000000000000001E-3</v>
      </c>
    </row>
    <row r="95" spans="1:16" x14ac:dyDescent="0.2">
      <c r="A95" s="56">
        <v>42186</v>
      </c>
      <c r="B95" s="57">
        <v>2103.84</v>
      </c>
      <c r="C95" s="57">
        <v>2067</v>
      </c>
      <c r="D95" s="57">
        <v>2132.8200000000002</v>
      </c>
      <c r="E95" s="57">
        <v>2044.02</v>
      </c>
      <c r="F95" s="51"/>
      <c r="G95" s="58">
        <v>1.9699999999999999E-2</v>
      </c>
      <c r="H95" s="53">
        <f t="shared" si="2"/>
        <v>8.9694251218489063E-2</v>
      </c>
      <c r="I95" s="292"/>
      <c r="J95" s="52">
        <v>37332</v>
      </c>
      <c r="K95" s="57">
        <v>1148.7</v>
      </c>
      <c r="L95" s="57">
        <v>1166.1600000000001</v>
      </c>
      <c r="M95" s="57">
        <v>1173.94</v>
      </c>
      <c r="N95" s="57">
        <v>1139.48</v>
      </c>
      <c r="O95" s="51" t="s">
        <v>205</v>
      </c>
      <c r="P95" s="58">
        <v>-1.4999999999999999E-2</v>
      </c>
    </row>
    <row r="96" spans="1:16" x14ac:dyDescent="0.2">
      <c r="A96" s="56">
        <v>42156</v>
      </c>
      <c r="B96" s="57">
        <v>2063.11</v>
      </c>
      <c r="C96" s="57">
        <v>2108.64</v>
      </c>
      <c r="D96" s="57">
        <v>2129.87</v>
      </c>
      <c r="E96" s="57">
        <v>2056.3200000000002</v>
      </c>
      <c r="F96" s="51"/>
      <c r="G96" s="58">
        <v>-2.1000000000000001E-2</v>
      </c>
      <c r="H96" s="53">
        <f t="shared" si="2"/>
        <v>5.2483637124214999E-2</v>
      </c>
      <c r="I96" s="292"/>
      <c r="J96" s="52">
        <v>37339</v>
      </c>
      <c r="K96" s="57">
        <v>1147.3900000000001</v>
      </c>
      <c r="L96" s="57">
        <v>1148.7</v>
      </c>
      <c r="M96" s="57">
        <v>1154.45</v>
      </c>
      <c r="N96" s="57">
        <v>1131.6099999999999</v>
      </c>
      <c r="O96" s="51" t="s">
        <v>206</v>
      </c>
      <c r="P96" s="58">
        <v>-1.1000000000000001E-3</v>
      </c>
    </row>
    <row r="97" spans="1:16" x14ac:dyDescent="0.2">
      <c r="A97" s="56">
        <v>42125</v>
      </c>
      <c r="B97" s="57">
        <v>2107.39</v>
      </c>
      <c r="C97" s="57">
        <v>2087.38</v>
      </c>
      <c r="D97" s="57">
        <v>2134.7199999999998</v>
      </c>
      <c r="E97" s="57">
        <v>2067.9299999999998</v>
      </c>
      <c r="F97" s="51"/>
      <c r="G97" s="58">
        <v>1.0500000000000001E-2</v>
      </c>
      <c r="H97" s="53">
        <f t="shared" si="2"/>
        <v>9.5561897929370865E-2</v>
      </c>
      <c r="I97" s="292"/>
      <c r="J97" s="52">
        <v>37346</v>
      </c>
      <c r="K97" s="57">
        <v>1122.73</v>
      </c>
      <c r="L97" s="57">
        <v>1147.3900000000001</v>
      </c>
      <c r="M97" s="57">
        <v>1147.8399999999999</v>
      </c>
      <c r="N97" s="57">
        <v>1119.49</v>
      </c>
      <c r="O97" s="51" t="s">
        <v>207</v>
      </c>
      <c r="P97" s="58">
        <v>-2.1499999999999998E-2</v>
      </c>
    </row>
    <row r="98" spans="1:16" x14ac:dyDescent="0.2">
      <c r="A98" s="56">
        <v>42095</v>
      </c>
      <c r="B98" s="57">
        <v>2085.5100000000002</v>
      </c>
      <c r="C98" s="57">
        <v>2067.63</v>
      </c>
      <c r="D98" s="57">
        <v>2125.92</v>
      </c>
      <c r="E98" s="57">
        <v>2048.38</v>
      </c>
      <c r="F98" s="51"/>
      <c r="G98" s="58">
        <v>8.5000000000000006E-3</v>
      </c>
      <c r="H98" s="53">
        <f t="shared" si="2"/>
        <v>0.10698797738793497</v>
      </c>
      <c r="I98" s="292"/>
      <c r="J98" s="52">
        <v>37353</v>
      </c>
      <c r="K98" s="57">
        <v>1111.01</v>
      </c>
      <c r="L98" s="57">
        <v>1122.73</v>
      </c>
      <c r="M98" s="57">
        <v>1131.76</v>
      </c>
      <c r="N98" s="57">
        <v>1102.42</v>
      </c>
      <c r="O98" s="51" t="s">
        <v>152</v>
      </c>
      <c r="P98" s="58">
        <v>-1.04E-2</v>
      </c>
    </row>
    <row r="99" spans="1:16" x14ac:dyDescent="0.2">
      <c r="A99" s="56">
        <v>42064</v>
      </c>
      <c r="B99" s="57">
        <v>2067.89</v>
      </c>
      <c r="C99" s="57">
        <v>2105.23</v>
      </c>
      <c r="D99" s="57">
        <v>2117.52</v>
      </c>
      <c r="E99" s="57">
        <v>2039.69</v>
      </c>
      <c r="F99" s="51"/>
      <c r="G99" s="58">
        <v>-1.7399999999999999E-2</v>
      </c>
      <c r="H99" s="53">
        <f t="shared" si="2"/>
        <v>0.10444150100943195</v>
      </c>
      <c r="I99" s="292"/>
      <c r="J99" s="52">
        <v>37360</v>
      </c>
      <c r="K99" s="57">
        <v>1125.17</v>
      </c>
      <c r="L99" s="57">
        <v>1111.01</v>
      </c>
      <c r="M99" s="57">
        <v>1133</v>
      </c>
      <c r="N99" s="57">
        <v>1099.4100000000001</v>
      </c>
      <c r="O99" s="51" t="s">
        <v>172</v>
      </c>
      <c r="P99" s="58">
        <v>1.2699999999999999E-2</v>
      </c>
    </row>
    <row r="100" spans="1:16" x14ac:dyDescent="0.2">
      <c r="A100" s="56">
        <v>42036</v>
      </c>
      <c r="B100" s="57">
        <v>2104.5</v>
      </c>
      <c r="C100" s="57">
        <v>1996.67</v>
      </c>
      <c r="D100" s="57">
        <v>2119.59</v>
      </c>
      <c r="E100" s="57">
        <v>1980.9</v>
      </c>
      <c r="F100" s="51"/>
      <c r="G100" s="58">
        <v>5.4899999999999997E-2</v>
      </c>
      <c r="H100" s="53">
        <f t="shared" si="2"/>
        <v>0.13178628088951028</v>
      </c>
      <c r="I100" s="292"/>
      <c r="J100" s="52">
        <v>37367</v>
      </c>
      <c r="K100" s="57">
        <v>1076.32</v>
      </c>
      <c r="L100" s="57">
        <v>1125.17</v>
      </c>
      <c r="M100" s="57">
        <v>1125.17</v>
      </c>
      <c r="N100" s="57">
        <v>1076.31</v>
      </c>
      <c r="O100" s="51" t="s">
        <v>208</v>
      </c>
      <c r="P100" s="58">
        <v>-4.3400000000000001E-2</v>
      </c>
    </row>
    <row r="101" spans="1:16" x14ac:dyDescent="0.2">
      <c r="A101" s="56">
        <v>42005</v>
      </c>
      <c r="B101" s="57">
        <v>1994.99</v>
      </c>
      <c r="C101" s="57">
        <v>2058.9</v>
      </c>
      <c r="D101" s="57">
        <v>2072.36</v>
      </c>
      <c r="E101" s="57">
        <v>1988.12</v>
      </c>
      <c r="F101" s="51"/>
      <c r="G101" s="58">
        <v>-3.1E-2</v>
      </c>
      <c r="H101" s="53">
        <f t="shared" si="2"/>
        <v>0.11915246916004252</v>
      </c>
      <c r="I101" s="292"/>
      <c r="J101" s="52">
        <v>37374</v>
      </c>
      <c r="K101" s="57">
        <v>1073.43</v>
      </c>
      <c r="L101" s="57">
        <v>1076.32</v>
      </c>
      <c r="M101" s="57">
        <v>1091.42</v>
      </c>
      <c r="N101" s="57">
        <v>1063.46</v>
      </c>
      <c r="O101" s="51" t="s">
        <v>209</v>
      </c>
      <c r="P101" s="58">
        <v>-2.7000000000000001E-3</v>
      </c>
    </row>
    <row r="102" spans="1:16" x14ac:dyDescent="0.2">
      <c r="A102" s="56">
        <v>41974</v>
      </c>
      <c r="B102" s="57">
        <v>2058.9</v>
      </c>
      <c r="C102" s="57">
        <v>2065.7800000000002</v>
      </c>
      <c r="D102" s="57">
        <v>2093.5500000000002</v>
      </c>
      <c r="E102" s="57">
        <v>1972.56</v>
      </c>
      <c r="F102" s="51"/>
      <c r="G102" s="58">
        <v>-4.1999999999999997E-3</v>
      </c>
      <c r="H102" s="53">
        <f t="shared" si="2"/>
        <v>0.11390638187366098</v>
      </c>
      <c r="I102" s="292"/>
      <c r="J102" s="52">
        <v>37381</v>
      </c>
      <c r="K102" s="57">
        <v>1054.99</v>
      </c>
      <c r="L102" s="57">
        <v>1073.43</v>
      </c>
      <c r="M102" s="57">
        <v>1088.92</v>
      </c>
      <c r="N102" s="57">
        <v>1048.96</v>
      </c>
      <c r="O102" s="51" t="s">
        <v>210</v>
      </c>
      <c r="P102" s="58">
        <v>-1.72E-2</v>
      </c>
    </row>
    <row r="103" spans="1:16" x14ac:dyDescent="0.2">
      <c r="A103" s="56">
        <v>41944</v>
      </c>
      <c r="B103" s="57">
        <v>2067.56</v>
      </c>
      <c r="C103" s="57">
        <v>2018.21</v>
      </c>
      <c r="D103" s="57">
        <v>2075.7600000000002</v>
      </c>
      <c r="E103" s="57">
        <v>2001.01</v>
      </c>
      <c r="F103" s="51"/>
      <c r="G103" s="58">
        <v>2.4500000000000001E-2</v>
      </c>
      <c r="H103" s="53">
        <f t="shared" si="2"/>
        <v>0.14494880413775535</v>
      </c>
      <c r="I103" s="292"/>
      <c r="J103" s="52">
        <v>37388</v>
      </c>
      <c r="K103" s="57">
        <v>1106.5899999999999</v>
      </c>
      <c r="L103" s="57">
        <v>1054.99</v>
      </c>
      <c r="M103" s="57">
        <v>1106.5899999999999</v>
      </c>
      <c r="N103" s="57">
        <v>1053.9000000000001</v>
      </c>
      <c r="O103" s="51" t="s">
        <v>211</v>
      </c>
      <c r="P103" s="58">
        <v>4.8899999999999999E-2</v>
      </c>
    </row>
    <row r="104" spans="1:16" x14ac:dyDescent="0.2">
      <c r="A104" s="56">
        <v>41913</v>
      </c>
      <c r="B104" s="57">
        <v>2018.05</v>
      </c>
      <c r="C104" s="57">
        <v>1971.44</v>
      </c>
      <c r="D104" s="57">
        <v>2018.19</v>
      </c>
      <c r="E104" s="57">
        <v>1820.66</v>
      </c>
      <c r="F104" s="51"/>
      <c r="G104" s="58">
        <v>2.3199999999999998E-2</v>
      </c>
      <c r="H104" s="53">
        <f t="shared" si="2"/>
        <v>0.14887790770491982</v>
      </c>
      <c r="I104" s="292"/>
      <c r="J104" s="52">
        <v>37395</v>
      </c>
      <c r="K104" s="57">
        <v>1083.82</v>
      </c>
      <c r="L104" s="57">
        <v>1106.5899999999999</v>
      </c>
      <c r="M104" s="57">
        <v>1106.5899999999999</v>
      </c>
      <c r="N104" s="57">
        <v>1075.6400000000001</v>
      </c>
      <c r="O104" s="51" t="s">
        <v>212</v>
      </c>
      <c r="P104" s="58">
        <v>-2.06E-2</v>
      </c>
    </row>
    <row r="105" spans="1:16" x14ac:dyDescent="0.2">
      <c r="A105" s="56">
        <v>41883</v>
      </c>
      <c r="B105" s="57">
        <v>1972.29</v>
      </c>
      <c r="C105" s="57">
        <v>2004.07</v>
      </c>
      <c r="D105" s="57">
        <v>2019.26</v>
      </c>
      <c r="E105" s="57">
        <v>1964.04</v>
      </c>
      <c r="F105" s="51"/>
      <c r="G105" s="58">
        <v>-1.55E-2</v>
      </c>
      <c r="H105" s="53">
        <f t="shared" si="2"/>
        <v>0.1729000029734471</v>
      </c>
      <c r="I105" s="292"/>
      <c r="J105" s="52">
        <v>37402</v>
      </c>
      <c r="K105" s="57">
        <v>1067.1400000000001</v>
      </c>
      <c r="L105" s="57">
        <v>1083.82</v>
      </c>
      <c r="M105" s="57">
        <v>1085.98</v>
      </c>
      <c r="N105" s="57">
        <v>1054.26</v>
      </c>
      <c r="O105" s="51" t="s">
        <v>213</v>
      </c>
      <c r="P105" s="58">
        <v>-1.54E-2</v>
      </c>
    </row>
    <row r="106" spans="1:16" x14ac:dyDescent="0.2">
      <c r="A106" s="56">
        <v>41852</v>
      </c>
      <c r="B106" s="57">
        <v>2003.37</v>
      </c>
      <c r="C106" s="57">
        <v>1929.8</v>
      </c>
      <c r="D106" s="57">
        <v>2005.04</v>
      </c>
      <c r="E106" s="57">
        <v>1904.78</v>
      </c>
      <c r="F106" s="51"/>
      <c r="G106" s="58">
        <v>3.7699999999999997E-2</v>
      </c>
      <c r="H106" s="53">
        <f t="shared" si="2"/>
        <v>0.22682596740907668</v>
      </c>
      <c r="I106" s="292"/>
      <c r="J106" s="52">
        <v>37409</v>
      </c>
      <c r="K106" s="57">
        <v>1027.53</v>
      </c>
      <c r="L106" s="57">
        <v>1067.1400000000001</v>
      </c>
      <c r="M106" s="57">
        <v>1070.74</v>
      </c>
      <c r="N106" s="57">
        <v>1012.49</v>
      </c>
      <c r="O106" s="51" t="s">
        <v>184</v>
      </c>
      <c r="P106" s="58">
        <v>-3.7100000000000001E-2</v>
      </c>
    </row>
    <row r="107" spans="1:16" x14ac:dyDescent="0.2">
      <c r="A107" s="56">
        <v>41821</v>
      </c>
      <c r="B107" s="51">
        <v>1930.67</v>
      </c>
      <c r="C107" s="57">
        <v>1962.29</v>
      </c>
      <c r="D107" s="57">
        <v>1991.39</v>
      </c>
      <c r="E107" s="51">
        <v>1930.67</v>
      </c>
      <c r="F107" s="51"/>
      <c r="G107" s="58">
        <v>-1.5100000000000001E-2</v>
      </c>
      <c r="H107" s="53">
        <f t="shared" si="2"/>
        <v>0.14530203532000985</v>
      </c>
      <c r="I107" s="292"/>
      <c r="J107" s="52">
        <v>37416</v>
      </c>
      <c r="K107" s="57">
        <v>1007.27</v>
      </c>
      <c r="L107" s="57">
        <v>1027.53</v>
      </c>
      <c r="M107" s="57">
        <v>1039.04</v>
      </c>
      <c r="N107" s="51">
        <v>981.63</v>
      </c>
      <c r="O107" s="51" t="s">
        <v>214</v>
      </c>
      <c r="P107" s="58">
        <v>-1.9699999999999999E-2</v>
      </c>
    </row>
    <row r="108" spans="1:16" x14ac:dyDescent="0.2">
      <c r="A108" s="56">
        <v>41791</v>
      </c>
      <c r="B108" s="51">
        <v>1960.23</v>
      </c>
      <c r="C108" s="51">
        <v>1923.87</v>
      </c>
      <c r="D108" s="57">
        <v>1968.17</v>
      </c>
      <c r="E108" s="51">
        <v>1915.98</v>
      </c>
      <c r="F108" s="51"/>
      <c r="G108" s="58">
        <v>1.9099999999999999E-2</v>
      </c>
      <c r="H108" s="53">
        <f t="shared" si="2"/>
        <v>0.22035386109520139</v>
      </c>
      <c r="I108" s="292"/>
      <c r="J108" s="52">
        <v>37423</v>
      </c>
      <c r="K108" s="51">
        <v>989.14</v>
      </c>
      <c r="L108" s="57">
        <v>1007.27</v>
      </c>
      <c r="M108" s="57">
        <v>1040.83</v>
      </c>
      <c r="N108" s="51">
        <v>985.65</v>
      </c>
      <c r="O108" s="51" t="s">
        <v>189</v>
      </c>
      <c r="P108" s="58">
        <v>-1.7999999999999999E-2</v>
      </c>
    </row>
    <row r="109" spans="1:16" x14ac:dyDescent="0.2">
      <c r="A109" s="56">
        <v>41760</v>
      </c>
      <c r="B109" s="51">
        <v>1923.57</v>
      </c>
      <c r="C109" s="51">
        <v>1884.39</v>
      </c>
      <c r="D109" s="51">
        <v>1924.03</v>
      </c>
      <c r="E109" s="51">
        <v>1859.79</v>
      </c>
      <c r="F109" s="51"/>
      <c r="G109" s="58">
        <v>2.1000000000000001E-2</v>
      </c>
      <c r="H109" s="53">
        <f t="shared" si="2"/>
        <v>0.17956878472349969</v>
      </c>
      <c r="I109" s="292"/>
      <c r="J109" s="52">
        <v>37430</v>
      </c>
      <c r="K109" s="51">
        <v>989.82</v>
      </c>
      <c r="L109" s="51">
        <v>989.14</v>
      </c>
      <c r="M109" s="57">
        <v>1005.88</v>
      </c>
      <c r="N109" s="51">
        <v>952.92</v>
      </c>
      <c r="O109" s="51" t="s">
        <v>215</v>
      </c>
      <c r="P109" s="58">
        <v>6.9999999999999999E-4</v>
      </c>
    </row>
    <row r="110" spans="1:16" x14ac:dyDescent="0.2">
      <c r="A110" s="56">
        <v>41730</v>
      </c>
      <c r="B110" s="51">
        <v>1883.95</v>
      </c>
      <c r="C110" s="51">
        <v>1873.96</v>
      </c>
      <c r="D110" s="51">
        <v>1897.28</v>
      </c>
      <c r="E110" s="51">
        <v>1814.36</v>
      </c>
      <c r="F110" s="51"/>
      <c r="G110" s="58">
        <v>6.1999999999999998E-3</v>
      </c>
      <c r="H110" s="53">
        <f t="shared" si="2"/>
        <v>0.17925975074644618</v>
      </c>
      <c r="I110" s="292"/>
      <c r="J110" s="52">
        <v>37437</v>
      </c>
      <c r="K110" s="51">
        <v>989.03</v>
      </c>
      <c r="L110" s="51">
        <v>989.82</v>
      </c>
      <c r="M110" s="51">
        <v>994.46</v>
      </c>
      <c r="N110" s="51">
        <v>934.87</v>
      </c>
      <c r="O110" s="51" t="s">
        <v>216</v>
      </c>
      <c r="P110" s="58">
        <v>-8.0000000000000004E-4</v>
      </c>
    </row>
    <row r="111" spans="1:16" x14ac:dyDescent="0.2">
      <c r="A111" s="56">
        <v>41699</v>
      </c>
      <c r="B111" s="51">
        <v>1872.34</v>
      </c>
      <c r="C111" s="51">
        <v>1857.68</v>
      </c>
      <c r="D111" s="51">
        <v>1883.97</v>
      </c>
      <c r="E111" s="51">
        <v>1834.44</v>
      </c>
      <c r="F111" s="51"/>
      <c r="G111" s="58">
        <v>6.8999999999999999E-3</v>
      </c>
      <c r="H111" s="53">
        <f t="shared" si="2"/>
        <v>0.19318884265130398</v>
      </c>
      <c r="I111" s="292"/>
      <c r="J111" s="52">
        <v>37444</v>
      </c>
      <c r="K111" s="51">
        <v>921.39</v>
      </c>
      <c r="L111" s="51">
        <v>989.03</v>
      </c>
      <c r="M111" s="51">
        <v>993.56</v>
      </c>
      <c r="N111" s="51">
        <v>900.94</v>
      </c>
      <c r="O111" s="51" t="s">
        <v>217</v>
      </c>
      <c r="P111" s="58">
        <v>-6.8400000000000002E-2</v>
      </c>
    </row>
    <row r="112" spans="1:16" x14ac:dyDescent="0.2">
      <c r="A112" s="56">
        <v>41671</v>
      </c>
      <c r="B112" s="51">
        <v>1859.45</v>
      </c>
      <c r="C112" s="51">
        <v>1782.68</v>
      </c>
      <c r="D112" s="51">
        <v>1867.92</v>
      </c>
      <c r="E112" s="51">
        <v>1737.92</v>
      </c>
      <c r="F112" s="51"/>
      <c r="G112" s="58">
        <v>4.3099999999999999E-2</v>
      </c>
      <c r="H112" s="53">
        <f t="shared" si="2"/>
        <v>0.22761903504370551</v>
      </c>
      <c r="I112" s="292"/>
      <c r="J112" s="52">
        <v>37451</v>
      </c>
      <c r="K112" s="51">
        <v>847.75</v>
      </c>
      <c r="L112" s="51">
        <v>921.39</v>
      </c>
      <c r="M112" s="51">
        <v>926.52</v>
      </c>
      <c r="N112" s="51">
        <v>842.07</v>
      </c>
      <c r="O112" s="51" t="s">
        <v>218</v>
      </c>
      <c r="P112" s="58">
        <v>-7.9899999999999999E-2</v>
      </c>
    </row>
    <row r="113" spans="1:16" x14ac:dyDescent="0.2">
      <c r="A113" s="56">
        <v>41640</v>
      </c>
      <c r="B113" s="51">
        <v>1782.59</v>
      </c>
      <c r="C113" s="51">
        <v>1845.86</v>
      </c>
      <c r="D113" s="51">
        <v>1850.84</v>
      </c>
      <c r="E113" s="51">
        <v>1770.45</v>
      </c>
      <c r="F113" s="51"/>
      <c r="G113" s="58">
        <v>-3.56E-2</v>
      </c>
      <c r="H113" s="53">
        <f t="shared" si="2"/>
        <v>0.18989259800682201</v>
      </c>
      <c r="I113" s="292"/>
      <c r="J113" s="52">
        <v>37458</v>
      </c>
      <c r="K113" s="51">
        <v>852.84</v>
      </c>
      <c r="L113" s="51">
        <v>847.76</v>
      </c>
      <c r="M113" s="51">
        <v>854.13</v>
      </c>
      <c r="N113" s="51">
        <v>775.68</v>
      </c>
      <c r="O113" s="51" t="s">
        <v>219</v>
      </c>
      <c r="P113" s="58">
        <v>6.0000000000000001E-3</v>
      </c>
    </row>
    <row r="114" spans="1:16" x14ac:dyDescent="0.2">
      <c r="A114" s="56">
        <v>41609</v>
      </c>
      <c r="B114" s="51">
        <v>1848.36</v>
      </c>
      <c r="C114" s="51">
        <v>1806.55</v>
      </c>
      <c r="D114" s="51">
        <v>1849.44</v>
      </c>
      <c r="E114" s="51">
        <v>1767.99</v>
      </c>
      <c r="F114" s="51"/>
      <c r="G114" s="58">
        <v>2.3599999999999999E-2</v>
      </c>
      <c r="H114" s="53">
        <f t="shared" si="2"/>
        <v>0.29601245275874866</v>
      </c>
      <c r="I114" s="292"/>
      <c r="J114" s="52">
        <v>37465</v>
      </c>
      <c r="K114" s="51">
        <v>864.24</v>
      </c>
      <c r="L114" s="51">
        <v>852.84</v>
      </c>
      <c r="M114" s="51">
        <v>911.64</v>
      </c>
      <c r="N114" s="51">
        <v>852.84</v>
      </c>
      <c r="O114" s="51" t="s">
        <v>220</v>
      </c>
      <c r="P114" s="58">
        <v>1.34E-2</v>
      </c>
    </row>
    <row r="115" spans="1:16" x14ac:dyDescent="0.2">
      <c r="A115" s="56">
        <v>41579</v>
      </c>
      <c r="B115" s="51">
        <v>1805.81</v>
      </c>
      <c r="C115" s="51">
        <v>1758.7</v>
      </c>
      <c r="D115" s="51">
        <v>1813.55</v>
      </c>
      <c r="E115" s="51">
        <v>1746.2</v>
      </c>
      <c r="F115" s="51"/>
      <c r="G115" s="58">
        <v>2.8000000000000001E-2</v>
      </c>
      <c r="H115" s="53">
        <f t="shared" si="2"/>
        <v>0.27512745554943563</v>
      </c>
      <c r="I115" s="292"/>
      <c r="J115" s="52">
        <v>37472</v>
      </c>
      <c r="K115" s="51">
        <v>908.64</v>
      </c>
      <c r="L115" s="51">
        <v>864.24</v>
      </c>
      <c r="M115" s="51">
        <v>913.95</v>
      </c>
      <c r="N115" s="51">
        <v>833.44</v>
      </c>
      <c r="O115" s="51" t="s">
        <v>221</v>
      </c>
      <c r="P115" s="58">
        <v>5.1400000000000001E-2</v>
      </c>
    </row>
    <row r="116" spans="1:16" x14ac:dyDescent="0.2">
      <c r="A116" s="56">
        <v>41548</v>
      </c>
      <c r="B116" s="51">
        <v>1756.54</v>
      </c>
      <c r="C116" s="51">
        <v>1682.41</v>
      </c>
      <c r="D116" s="51">
        <v>1775.22</v>
      </c>
      <c r="E116" s="51">
        <v>1646.47</v>
      </c>
      <c r="F116" s="51"/>
      <c r="G116" s="58">
        <v>4.4600000000000001E-2</v>
      </c>
      <c r="H116" s="53">
        <f t="shared" si="2"/>
        <v>0.24386755041921582</v>
      </c>
      <c r="I116" s="292"/>
      <c r="J116" s="52">
        <v>37479</v>
      </c>
      <c r="K116" s="51">
        <v>928.77</v>
      </c>
      <c r="L116" s="51">
        <v>908.64</v>
      </c>
      <c r="M116" s="51">
        <v>935.38</v>
      </c>
      <c r="N116" s="51">
        <v>876.2</v>
      </c>
      <c r="O116" s="51" t="s">
        <v>222</v>
      </c>
      <c r="P116" s="58">
        <v>2.2200000000000001E-2</v>
      </c>
    </row>
    <row r="117" spans="1:16" x14ac:dyDescent="0.2">
      <c r="A117" s="56">
        <v>41518</v>
      </c>
      <c r="B117" s="57">
        <v>1681.55</v>
      </c>
      <c r="C117" s="51">
        <v>1635.95</v>
      </c>
      <c r="D117" s="57">
        <v>1729.86</v>
      </c>
      <c r="E117" s="51">
        <v>1633.41</v>
      </c>
      <c r="F117" s="51"/>
      <c r="G117" s="58">
        <v>2.9700000000000001E-2</v>
      </c>
      <c r="H117" s="53">
        <f t="shared" si="2"/>
        <v>0.16719998334108421</v>
      </c>
      <c r="I117" s="292"/>
      <c r="J117" s="52">
        <v>37486</v>
      </c>
      <c r="K117" s="51">
        <v>940.86</v>
      </c>
      <c r="L117" s="51">
        <v>928.77</v>
      </c>
      <c r="M117" s="51">
        <v>965</v>
      </c>
      <c r="N117" s="51">
        <v>927.21</v>
      </c>
      <c r="O117" s="51" t="s">
        <v>223</v>
      </c>
      <c r="P117" s="58">
        <v>1.2999999999999999E-2</v>
      </c>
    </row>
    <row r="118" spans="1:16" x14ac:dyDescent="0.2">
      <c r="A118" s="56">
        <v>41487</v>
      </c>
      <c r="B118" s="57">
        <v>1632.97</v>
      </c>
      <c r="C118" s="57">
        <v>1689.42</v>
      </c>
      <c r="D118" s="57">
        <v>1709.67</v>
      </c>
      <c r="E118" s="51">
        <v>1627.47</v>
      </c>
      <c r="F118" s="51"/>
      <c r="G118" s="58">
        <v>-3.1300000000000001E-2</v>
      </c>
      <c r="H118" s="53">
        <f t="shared" si="2"/>
        <v>0.16095067468611823</v>
      </c>
      <c r="I118" s="292"/>
      <c r="J118" s="52">
        <v>37493</v>
      </c>
      <c r="K118" s="51">
        <v>916.07</v>
      </c>
      <c r="L118" s="51">
        <v>940.86</v>
      </c>
      <c r="M118" s="51">
        <v>955.82</v>
      </c>
      <c r="N118" s="51">
        <v>903.33</v>
      </c>
      <c r="O118" s="51" t="s">
        <v>139</v>
      </c>
      <c r="P118" s="58">
        <v>-2.63E-2</v>
      </c>
    </row>
    <row r="119" spans="1:16" x14ac:dyDescent="0.2">
      <c r="A119" s="56">
        <v>41456</v>
      </c>
      <c r="B119" s="57">
        <v>1685.73</v>
      </c>
      <c r="C119" s="57">
        <v>1609.78</v>
      </c>
      <c r="D119" s="57">
        <v>1698.78</v>
      </c>
      <c r="E119" s="57">
        <v>1604.57</v>
      </c>
      <c r="F119" s="51"/>
      <c r="G119" s="58">
        <v>4.9500000000000002E-2</v>
      </c>
      <c r="H119" s="53">
        <f t="shared" si="2"/>
        <v>0.22214569498013526</v>
      </c>
      <c r="I119" s="292"/>
      <c r="J119" s="52">
        <v>37500</v>
      </c>
      <c r="K119" s="51">
        <v>893.92</v>
      </c>
      <c r="L119" s="51">
        <v>916.07</v>
      </c>
      <c r="M119" s="51">
        <v>916.07</v>
      </c>
      <c r="N119" s="51">
        <v>870.5</v>
      </c>
      <c r="O119" s="51" t="s">
        <v>224</v>
      </c>
      <c r="P119" s="58">
        <v>-2.4199999999999999E-2</v>
      </c>
    </row>
    <row r="120" spans="1:16" x14ac:dyDescent="0.2">
      <c r="A120" s="56">
        <v>41426</v>
      </c>
      <c r="B120" s="57">
        <v>1606.28</v>
      </c>
      <c r="C120" s="57">
        <v>1631.71</v>
      </c>
      <c r="D120" s="57">
        <v>1654.19</v>
      </c>
      <c r="E120" s="57">
        <v>1560.33</v>
      </c>
      <c r="F120" s="51"/>
      <c r="G120" s="58">
        <v>-1.4999999999999999E-2</v>
      </c>
      <c r="H120" s="53">
        <f t="shared" si="2"/>
        <v>0.17921536383391068</v>
      </c>
      <c r="I120" s="292"/>
      <c r="J120" s="52">
        <v>37507</v>
      </c>
      <c r="K120" s="51">
        <v>889.81</v>
      </c>
      <c r="L120" s="51">
        <v>893.92</v>
      </c>
      <c r="M120" s="51">
        <v>924.02</v>
      </c>
      <c r="N120" s="51">
        <v>877.05</v>
      </c>
      <c r="O120" s="51" t="s">
        <v>225</v>
      </c>
      <c r="P120" s="58">
        <v>-4.5999999999999999E-3</v>
      </c>
    </row>
    <row r="121" spans="1:16" x14ac:dyDescent="0.2">
      <c r="A121" s="56">
        <v>41395</v>
      </c>
      <c r="B121" s="57">
        <v>1630.74</v>
      </c>
      <c r="C121" s="57">
        <v>1597.55</v>
      </c>
      <c r="D121" s="57">
        <v>1687.18</v>
      </c>
      <c r="E121" s="57">
        <v>1581.28</v>
      </c>
      <c r="F121" s="51"/>
      <c r="G121" s="58">
        <v>2.0799999999999999E-2</v>
      </c>
      <c r="H121" s="53">
        <f t="shared" si="2"/>
        <v>0.24452618805949644</v>
      </c>
      <c r="I121" s="292"/>
      <c r="J121" s="52">
        <v>37514</v>
      </c>
      <c r="K121" s="51">
        <v>845.39</v>
      </c>
      <c r="L121" s="51">
        <v>889.81</v>
      </c>
      <c r="M121" s="51">
        <v>902.68</v>
      </c>
      <c r="N121" s="51">
        <v>839.09</v>
      </c>
      <c r="O121" s="51" t="s">
        <v>226</v>
      </c>
      <c r="P121" s="58">
        <v>-4.99E-2</v>
      </c>
    </row>
    <row r="122" spans="1:16" x14ac:dyDescent="0.2">
      <c r="A122" s="56">
        <v>41365</v>
      </c>
      <c r="B122" s="57">
        <v>1597.57</v>
      </c>
      <c r="C122" s="57">
        <v>1569.18</v>
      </c>
      <c r="D122" s="57">
        <v>1597.57</v>
      </c>
      <c r="E122" s="57">
        <v>1536.03</v>
      </c>
      <c r="F122" s="51"/>
      <c r="G122" s="58">
        <v>1.8100000000000002E-2</v>
      </c>
      <c r="H122" s="53">
        <f t="shared" si="2"/>
        <v>0.14282750677797562</v>
      </c>
      <c r="I122" s="292"/>
      <c r="J122" s="52">
        <v>37521</v>
      </c>
      <c r="K122" s="51">
        <v>827.37</v>
      </c>
      <c r="L122" s="51">
        <v>845.39</v>
      </c>
      <c r="M122" s="51">
        <v>856.6</v>
      </c>
      <c r="N122" s="51">
        <v>817.38</v>
      </c>
      <c r="O122" s="51" t="s">
        <v>227</v>
      </c>
      <c r="P122" s="58">
        <v>-2.1299999999999999E-2</v>
      </c>
    </row>
    <row r="123" spans="1:16" x14ac:dyDescent="0.2">
      <c r="A123" s="56">
        <v>41334</v>
      </c>
      <c r="B123" s="57">
        <v>1569.19</v>
      </c>
      <c r="C123" s="57">
        <v>1514.68</v>
      </c>
      <c r="D123" s="57">
        <v>1570.28</v>
      </c>
      <c r="E123" s="57">
        <v>1501.48</v>
      </c>
      <c r="F123" s="51"/>
      <c r="G123" s="58">
        <v>3.5999999999999997E-2</v>
      </c>
      <c r="H123" s="53">
        <f t="shared" si="2"/>
        <v>0.11410963669797725</v>
      </c>
      <c r="I123" s="292"/>
      <c r="J123" s="52">
        <v>37528</v>
      </c>
      <c r="K123" s="51">
        <v>800.58</v>
      </c>
      <c r="L123" s="51">
        <v>827.37</v>
      </c>
      <c r="M123" s="51">
        <v>851.93</v>
      </c>
      <c r="N123" s="51">
        <v>794.1</v>
      </c>
      <c r="O123" s="51" t="s">
        <v>228</v>
      </c>
      <c r="P123" s="58">
        <v>-3.2399999999999998E-2</v>
      </c>
    </row>
    <row r="124" spans="1:16" x14ac:dyDescent="0.2">
      <c r="A124" s="56">
        <v>41306</v>
      </c>
      <c r="B124" s="57">
        <v>1514.68</v>
      </c>
      <c r="C124" s="57">
        <v>1498.11</v>
      </c>
      <c r="D124" s="57">
        <v>1530.94</v>
      </c>
      <c r="E124" s="57">
        <v>1485.01</v>
      </c>
      <c r="F124" s="51"/>
      <c r="G124" s="58">
        <v>1.11E-2</v>
      </c>
      <c r="H124" s="53">
        <f t="shared" si="2"/>
        <v>0.10910315740144094</v>
      </c>
      <c r="I124" s="292"/>
      <c r="J124" s="52">
        <v>37535</v>
      </c>
      <c r="K124" s="51">
        <v>835.32</v>
      </c>
      <c r="L124" s="51">
        <v>800.58</v>
      </c>
      <c r="M124" s="51">
        <v>843.27</v>
      </c>
      <c r="N124" s="51">
        <v>768.63</v>
      </c>
      <c r="O124" s="51" t="s">
        <v>229</v>
      </c>
      <c r="P124" s="58">
        <v>4.3400000000000001E-2</v>
      </c>
    </row>
    <row r="125" spans="1:16" x14ac:dyDescent="0.2">
      <c r="A125" s="56">
        <v>41275</v>
      </c>
      <c r="B125" s="57">
        <v>1498.11</v>
      </c>
      <c r="C125" s="57">
        <v>1426.19</v>
      </c>
      <c r="D125" s="57">
        <v>1509.94</v>
      </c>
      <c r="E125" s="57">
        <v>1426.19</v>
      </c>
      <c r="F125" s="51"/>
      <c r="G125" s="58">
        <v>5.04E-2</v>
      </c>
      <c r="H125" s="53">
        <f t="shared" si="2"/>
        <v>0.14149541682858247</v>
      </c>
      <c r="I125" s="292"/>
      <c r="J125" s="52">
        <v>37542</v>
      </c>
      <c r="K125" s="51">
        <v>884.39</v>
      </c>
      <c r="L125" s="51">
        <v>835.32</v>
      </c>
      <c r="M125" s="51">
        <v>886.68</v>
      </c>
      <c r="N125" s="51">
        <v>828.37</v>
      </c>
      <c r="O125" s="51" t="s">
        <v>200</v>
      </c>
      <c r="P125" s="58">
        <v>5.8700000000000002E-2</v>
      </c>
    </row>
    <row r="126" spans="1:16" x14ac:dyDescent="0.2">
      <c r="A126" s="56">
        <v>41244</v>
      </c>
      <c r="B126" s="57">
        <v>1426.19</v>
      </c>
      <c r="C126" s="57">
        <v>1416.34</v>
      </c>
      <c r="D126" s="57">
        <v>1448</v>
      </c>
      <c r="E126" s="57">
        <v>1398.11</v>
      </c>
      <c r="F126" s="51"/>
      <c r="G126" s="58">
        <v>7.1000000000000004E-3</v>
      </c>
      <c r="H126" s="53">
        <f t="shared" si="2"/>
        <v>0.13405693384223927</v>
      </c>
      <c r="I126" s="292"/>
      <c r="J126" s="52">
        <v>37549</v>
      </c>
      <c r="K126" s="51">
        <v>897.65</v>
      </c>
      <c r="L126" s="51">
        <v>884.39</v>
      </c>
      <c r="M126" s="51">
        <v>902.94</v>
      </c>
      <c r="N126" s="51">
        <v>873.06</v>
      </c>
      <c r="O126" s="51" t="s">
        <v>230</v>
      </c>
      <c r="P126" s="58">
        <v>1.4999999999999999E-2</v>
      </c>
    </row>
    <row r="127" spans="1:16" x14ac:dyDescent="0.2">
      <c r="A127" s="56">
        <v>41214</v>
      </c>
      <c r="B127" s="57">
        <v>1416.18</v>
      </c>
      <c r="C127" s="57">
        <v>1412.2</v>
      </c>
      <c r="D127" s="57">
        <v>1434.27</v>
      </c>
      <c r="E127" s="57">
        <v>1343.35</v>
      </c>
      <c r="F127" s="51"/>
      <c r="G127" s="58">
        <v>2.8E-3</v>
      </c>
      <c r="H127" s="53">
        <f t="shared" si="2"/>
        <v>0.13570603708218387</v>
      </c>
      <c r="I127" s="292"/>
      <c r="J127" s="52">
        <v>37556</v>
      </c>
      <c r="K127" s="51">
        <v>900.96</v>
      </c>
      <c r="L127" s="51">
        <v>897.65</v>
      </c>
      <c r="M127" s="51">
        <v>907.44</v>
      </c>
      <c r="N127" s="51">
        <v>867.91</v>
      </c>
      <c r="O127" s="51" t="s">
        <v>231</v>
      </c>
      <c r="P127" s="58">
        <v>3.7000000000000002E-3</v>
      </c>
    </row>
    <row r="128" spans="1:16" x14ac:dyDescent="0.2">
      <c r="A128" s="56">
        <v>41183</v>
      </c>
      <c r="B128" s="57">
        <v>1412.16</v>
      </c>
      <c r="C128" s="57">
        <v>1440.9</v>
      </c>
      <c r="D128" s="57">
        <v>1470.96</v>
      </c>
      <c r="E128" s="57">
        <v>1403.28</v>
      </c>
      <c r="F128" s="51"/>
      <c r="G128" s="58">
        <v>-1.9800000000000002E-2</v>
      </c>
      <c r="H128" s="53">
        <f t="shared" si="2"/>
        <v>0.12675337110029528</v>
      </c>
      <c r="I128" s="292"/>
      <c r="J128" s="52">
        <v>37563</v>
      </c>
      <c r="K128" s="51">
        <v>894.74</v>
      </c>
      <c r="L128" s="51">
        <v>900.96</v>
      </c>
      <c r="M128" s="51">
        <v>925.66</v>
      </c>
      <c r="N128" s="51">
        <v>891.62</v>
      </c>
      <c r="O128" s="51" t="s">
        <v>232</v>
      </c>
      <c r="P128" s="58">
        <v>-6.8999999999999999E-3</v>
      </c>
    </row>
    <row r="129" spans="1:16" x14ac:dyDescent="0.2">
      <c r="A129" s="56">
        <v>41153</v>
      </c>
      <c r="B129" s="57">
        <v>1440.67</v>
      </c>
      <c r="C129" s="57">
        <v>1406.54</v>
      </c>
      <c r="D129" s="57">
        <v>1474.51</v>
      </c>
      <c r="E129" s="57">
        <v>1396.56</v>
      </c>
      <c r="F129" s="51"/>
      <c r="G129" s="58">
        <v>2.4199999999999999E-2</v>
      </c>
      <c r="H129" s="53">
        <f t="shared" si="2"/>
        <v>0.27332909087695101</v>
      </c>
      <c r="I129" s="292"/>
      <c r="J129" s="52">
        <v>37570</v>
      </c>
      <c r="K129" s="51">
        <v>909.83</v>
      </c>
      <c r="L129" s="51">
        <v>894.74</v>
      </c>
      <c r="M129" s="51">
        <v>910.21</v>
      </c>
      <c r="N129" s="51">
        <v>872.05</v>
      </c>
      <c r="O129" s="51" t="s">
        <v>198</v>
      </c>
      <c r="P129" s="58">
        <v>1.6899999999999998E-2</v>
      </c>
    </row>
    <row r="130" spans="1:16" x14ac:dyDescent="0.2">
      <c r="A130" s="56">
        <v>41122</v>
      </c>
      <c r="B130" s="57">
        <v>1406.58</v>
      </c>
      <c r="C130" s="57">
        <v>1379.32</v>
      </c>
      <c r="D130" s="57">
        <v>1426.68</v>
      </c>
      <c r="E130" s="57">
        <v>1354.65</v>
      </c>
      <c r="F130" s="51"/>
      <c r="G130" s="58">
        <v>1.9800000000000002E-2</v>
      </c>
      <c r="H130" s="53">
        <f t="shared" si="2"/>
        <v>0.15398436282191152</v>
      </c>
      <c r="I130" s="292"/>
      <c r="J130" s="52">
        <v>37577</v>
      </c>
      <c r="K130" s="51">
        <v>930.55</v>
      </c>
      <c r="L130" s="51">
        <v>909.83</v>
      </c>
      <c r="M130" s="51">
        <v>937.28</v>
      </c>
      <c r="N130" s="51">
        <v>893.09</v>
      </c>
      <c r="O130" s="51" t="s">
        <v>233</v>
      </c>
      <c r="P130" s="58">
        <v>2.2800000000000001E-2</v>
      </c>
    </row>
    <row r="131" spans="1:16" x14ac:dyDescent="0.2">
      <c r="A131" s="56">
        <v>41091</v>
      </c>
      <c r="B131" s="57">
        <v>1379.32</v>
      </c>
      <c r="C131" s="57">
        <v>1362.33</v>
      </c>
      <c r="D131" s="57">
        <v>1391.74</v>
      </c>
      <c r="E131" s="57">
        <v>1325.41</v>
      </c>
      <c r="F131" s="51"/>
      <c r="G131" s="58">
        <v>1.26E-2</v>
      </c>
      <c r="H131" s="53">
        <f t="shared" si="2"/>
        <v>6.7353824248614913E-2</v>
      </c>
      <c r="I131" s="292"/>
      <c r="J131" s="52">
        <v>37584</v>
      </c>
      <c r="K131" s="51">
        <v>936.31</v>
      </c>
      <c r="L131" s="51">
        <v>930.55</v>
      </c>
      <c r="M131" s="51">
        <v>941.82</v>
      </c>
      <c r="N131" s="51">
        <v>912.1</v>
      </c>
      <c r="O131" s="51" t="s">
        <v>234</v>
      </c>
      <c r="P131" s="58">
        <v>6.1999999999999998E-3</v>
      </c>
    </row>
    <row r="132" spans="1:16" x14ac:dyDescent="0.2">
      <c r="A132" s="56">
        <v>41061</v>
      </c>
      <c r="B132" s="57">
        <v>1362.16</v>
      </c>
      <c r="C132" s="57">
        <v>1309.8699999999999</v>
      </c>
      <c r="D132" s="57">
        <v>1363.46</v>
      </c>
      <c r="E132" s="57">
        <v>1266.74</v>
      </c>
      <c r="F132" s="51"/>
      <c r="G132" s="58">
        <v>3.9600000000000003E-2</v>
      </c>
      <c r="H132" s="53">
        <f t="shared" si="2"/>
        <v>3.1439302156530236E-2</v>
      </c>
      <c r="I132" s="292"/>
      <c r="J132" s="52">
        <v>37591</v>
      </c>
      <c r="K132" s="51">
        <v>912.23</v>
      </c>
      <c r="L132" s="51">
        <v>936.31</v>
      </c>
      <c r="M132" s="51">
        <v>954.28</v>
      </c>
      <c r="N132" s="51">
        <v>895.96</v>
      </c>
      <c r="O132" s="51" t="s">
        <v>235</v>
      </c>
      <c r="P132" s="58">
        <v>-2.5700000000000001E-2</v>
      </c>
    </row>
    <row r="133" spans="1:16" x14ac:dyDescent="0.2">
      <c r="A133" s="56">
        <v>41030</v>
      </c>
      <c r="B133" s="57">
        <v>1310.33</v>
      </c>
      <c r="C133" s="57">
        <v>1397.86</v>
      </c>
      <c r="D133" s="57">
        <v>1415.32</v>
      </c>
      <c r="E133" s="57">
        <v>1291.98</v>
      </c>
      <c r="F133" s="51"/>
      <c r="G133" s="58">
        <v>-6.2700000000000006E-2</v>
      </c>
      <c r="H133" s="53">
        <f t="shared" si="2"/>
        <v>-2.5921796015462517E-2</v>
      </c>
      <c r="I133" s="292"/>
      <c r="J133" s="52">
        <v>37598</v>
      </c>
      <c r="K133" s="51">
        <v>889.48</v>
      </c>
      <c r="L133" s="51">
        <v>912.23</v>
      </c>
      <c r="M133" s="51">
        <v>912.23</v>
      </c>
      <c r="N133" s="51">
        <v>888.48</v>
      </c>
      <c r="O133" s="51" t="s">
        <v>236</v>
      </c>
      <c r="P133" s="58">
        <v>-2.4899999999999999E-2</v>
      </c>
    </row>
    <row r="134" spans="1:16" x14ac:dyDescent="0.2">
      <c r="A134" s="56">
        <v>41000</v>
      </c>
      <c r="B134" s="57">
        <v>1397.91</v>
      </c>
      <c r="C134" s="57">
        <v>1408.47</v>
      </c>
      <c r="D134" s="57">
        <v>1422.38</v>
      </c>
      <c r="E134" s="57">
        <v>1357.38</v>
      </c>
      <c r="F134" s="51"/>
      <c r="G134" s="58">
        <v>-7.4999999999999997E-3</v>
      </c>
      <c r="H134" s="53">
        <f t="shared" si="2"/>
        <v>2.515381964051322E-2</v>
      </c>
      <c r="I134" s="292"/>
      <c r="J134" s="52">
        <v>37605</v>
      </c>
      <c r="K134" s="51">
        <v>895.76</v>
      </c>
      <c r="L134" s="51">
        <v>889.48</v>
      </c>
      <c r="M134" s="51">
        <v>911.22</v>
      </c>
      <c r="N134" s="51">
        <v>880.32</v>
      </c>
      <c r="O134" s="51" t="s">
        <v>237</v>
      </c>
      <c r="P134" s="58">
        <v>7.1000000000000004E-3</v>
      </c>
    </row>
    <row r="135" spans="1:16" x14ac:dyDescent="0.2">
      <c r="A135" s="56">
        <v>40969</v>
      </c>
      <c r="B135" s="57">
        <v>1408.47</v>
      </c>
      <c r="C135" s="57">
        <v>1365.9</v>
      </c>
      <c r="D135" s="57">
        <v>1419.15</v>
      </c>
      <c r="E135" s="57">
        <v>1340.03</v>
      </c>
      <c r="F135" s="51"/>
      <c r="G135" s="58">
        <v>3.1300000000000001E-2</v>
      </c>
      <c r="H135" s="53">
        <f t="shared" si="2"/>
        <v>6.2330766387847625E-2</v>
      </c>
      <c r="I135" s="292"/>
      <c r="J135" s="52">
        <v>37612</v>
      </c>
      <c r="K135" s="51">
        <v>875.4</v>
      </c>
      <c r="L135" s="51">
        <v>895.74</v>
      </c>
      <c r="M135" s="51">
        <v>903.89</v>
      </c>
      <c r="N135" s="51">
        <v>873.62</v>
      </c>
      <c r="O135" s="51" t="s">
        <v>238</v>
      </c>
      <c r="P135" s="58">
        <v>-2.2700000000000001E-2</v>
      </c>
    </row>
    <row r="136" spans="1:16" x14ac:dyDescent="0.2">
      <c r="A136" s="56">
        <v>40940</v>
      </c>
      <c r="B136" s="57">
        <v>1365.68</v>
      </c>
      <c r="C136" s="57">
        <v>1312.45</v>
      </c>
      <c r="D136" s="57">
        <v>1378.04</v>
      </c>
      <c r="E136" s="57">
        <v>1312.45</v>
      </c>
      <c r="F136" s="51"/>
      <c r="G136" s="58">
        <v>4.0599999999999997E-2</v>
      </c>
      <c r="H136" s="53">
        <f t="shared" si="2"/>
        <v>2.8977863504166645E-2</v>
      </c>
      <c r="I136" s="292"/>
      <c r="J136" s="52">
        <v>37619</v>
      </c>
      <c r="K136" s="51">
        <v>908.59</v>
      </c>
      <c r="L136" s="51">
        <v>875.4</v>
      </c>
      <c r="M136" s="51">
        <v>911.25</v>
      </c>
      <c r="N136" s="51">
        <v>869.45</v>
      </c>
      <c r="O136" s="51" t="s">
        <v>239</v>
      </c>
      <c r="P136" s="58">
        <v>3.7900000000000003E-2</v>
      </c>
    </row>
    <row r="137" spans="1:16" x14ac:dyDescent="0.2">
      <c r="A137" s="56">
        <v>40909</v>
      </c>
      <c r="B137" s="57">
        <v>1312.41</v>
      </c>
      <c r="C137" s="57">
        <v>1258.8599999999999</v>
      </c>
      <c r="D137" s="57">
        <v>1333.47</v>
      </c>
      <c r="E137" s="57">
        <v>1258.8599999999999</v>
      </c>
      <c r="F137" s="51"/>
      <c r="G137" s="58">
        <v>4.36E-2</v>
      </c>
      <c r="H137" s="53">
        <f t="shared" si="2"/>
        <v>2.0441327403352805E-2</v>
      </c>
      <c r="I137" s="292"/>
      <c r="J137" s="52">
        <v>37626</v>
      </c>
      <c r="K137" s="51">
        <v>927.57</v>
      </c>
      <c r="L137" s="51">
        <v>908.59</v>
      </c>
      <c r="M137" s="51">
        <v>932.89</v>
      </c>
      <c r="N137" s="51">
        <v>908.32</v>
      </c>
      <c r="O137" s="51" t="s">
        <v>240</v>
      </c>
      <c r="P137" s="58">
        <v>2.0899999999999998E-2</v>
      </c>
    </row>
    <row r="138" spans="1:16" x14ac:dyDescent="0.2">
      <c r="A138" s="56">
        <v>40878</v>
      </c>
      <c r="B138" s="57">
        <v>1257.5999999999999</v>
      </c>
      <c r="C138" s="57">
        <v>1246.9100000000001</v>
      </c>
      <c r="D138" s="57">
        <v>1269.3699999999999</v>
      </c>
      <c r="E138" s="57">
        <v>1202.3699999999999</v>
      </c>
      <c r="F138" s="51"/>
      <c r="G138" s="58">
        <v>8.5000000000000006E-3</v>
      </c>
      <c r="H138" s="53">
        <f t="shared" si="2"/>
        <v>-3.1805604147616684E-5</v>
      </c>
      <c r="I138" s="292"/>
      <c r="J138" s="52">
        <v>37633</v>
      </c>
      <c r="K138" s="51">
        <v>901.78</v>
      </c>
      <c r="L138" s="51">
        <v>927.57</v>
      </c>
      <c r="M138" s="51">
        <v>935.05</v>
      </c>
      <c r="N138" s="51">
        <v>899.02</v>
      </c>
      <c r="O138" s="51" t="s">
        <v>241</v>
      </c>
      <c r="P138" s="58">
        <v>-2.7799999999999998E-2</v>
      </c>
    </row>
    <row r="139" spans="1:16" x14ac:dyDescent="0.2">
      <c r="A139" s="56">
        <v>40848</v>
      </c>
      <c r="B139" s="57">
        <v>1246.96</v>
      </c>
      <c r="C139" s="57">
        <v>1251</v>
      </c>
      <c r="D139" s="57">
        <v>1277.55</v>
      </c>
      <c r="E139" s="57">
        <v>1158.6600000000001</v>
      </c>
      <c r="F139" s="51"/>
      <c r="G139" s="58">
        <v>-5.1000000000000004E-3</v>
      </c>
      <c r="H139" s="53">
        <f t="shared" si="2"/>
        <v>5.6253441192664511E-2</v>
      </c>
      <c r="I139" s="292"/>
      <c r="J139" s="52">
        <v>37640</v>
      </c>
      <c r="K139" s="51">
        <v>861.4</v>
      </c>
      <c r="L139" s="51">
        <v>901.78</v>
      </c>
      <c r="M139" s="51">
        <v>906</v>
      </c>
      <c r="N139" s="51">
        <v>859.71</v>
      </c>
      <c r="O139" s="51" t="s">
        <v>242</v>
      </c>
      <c r="P139" s="58">
        <v>-4.48E-2</v>
      </c>
    </row>
    <row r="140" spans="1:16" x14ac:dyDescent="0.2">
      <c r="A140" s="56">
        <v>40817</v>
      </c>
      <c r="B140" s="57">
        <v>1253.3</v>
      </c>
      <c r="C140" s="57">
        <v>1131.21</v>
      </c>
      <c r="D140" s="57">
        <v>1292.6600000000001</v>
      </c>
      <c r="E140" s="57">
        <v>1074.77</v>
      </c>
      <c r="F140" s="51"/>
      <c r="G140" s="58">
        <v>0.1077</v>
      </c>
      <c r="H140" s="53">
        <f t="shared" si="2"/>
        <v>5.9192400655815325E-2</v>
      </c>
      <c r="I140" s="292"/>
      <c r="J140" s="52">
        <v>37647</v>
      </c>
      <c r="K140" s="51">
        <v>855.7</v>
      </c>
      <c r="L140" s="51">
        <v>861.4</v>
      </c>
      <c r="M140" s="51">
        <v>868.72</v>
      </c>
      <c r="N140" s="51">
        <v>840.34</v>
      </c>
      <c r="O140" s="51" t="s">
        <v>243</v>
      </c>
      <c r="P140" s="58">
        <v>-6.6E-3</v>
      </c>
    </row>
    <row r="141" spans="1:16" x14ac:dyDescent="0.2">
      <c r="A141" s="56">
        <v>40787</v>
      </c>
      <c r="B141" s="57">
        <v>1131.42</v>
      </c>
      <c r="C141" s="57">
        <v>1219.1199999999999</v>
      </c>
      <c r="D141" s="57">
        <v>1229.29</v>
      </c>
      <c r="E141" s="57">
        <v>1114.22</v>
      </c>
      <c r="F141" s="51"/>
      <c r="G141" s="58">
        <v>-7.1800000000000003E-2</v>
      </c>
      <c r="H141" s="53">
        <f t="shared" si="2"/>
        <v>-8.5699263932702552E-3</v>
      </c>
      <c r="I141" s="292"/>
      <c r="J141" s="52">
        <v>37654</v>
      </c>
      <c r="K141" s="51">
        <v>829.69</v>
      </c>
      <c r="L141" s="51">
        <v>855.7</v>
      </c>
      <c r="M141" s="51">
        <v>864.64</v>
      </c>
      <c r="N141" s="51">
        <v>826.7</v>
      </c>
      <c r="O141" s="51" t="s">
        <v>198</v>
      </c>
      <c r="P141" s="58">
        <v>-3.04E-2</v>
      </c>
    </row>
    <row r="142" spans="1:16" x14ac:dyDescent="0.2">
      <c r="A142" s="56">
        <v>40756</v>
      </c>
      <c r="B142" s="57">
        <v>1218.8900000000001</v>
      </c>
      <c r="C142" s="57">
        <v>1292.5899999999999</v>
      </c>
      <c r="D142" s="57">
        <v>1307.3800000000001</v>
      </c>
      <c r="E142" s="57">
        <v>1101.54</v>
      </c>
      <c r="F142" s="51"/>
      <c r="G142" s="58">
        <v>-5.6800000000000003E-2</v>
      </c>
      <c r="H142" s="53">
        <f t="shared" si="2"/>
        <v>0.16158882334442004</v>
      </c>
      <c r="I142" s="292"/>
      <c r="J142" s="52">
        <v>37661</v>
      </c>
      <c r="K142" s="51">
        <v>834.89</v>
      </c>
      <c r="L142" s="51">
        <v>829.69</v>
      </c>
      <c r="M142" s="51">
        <v>843.02</v>
      </c>
      <c r="N142" s="51">
        <v>806.29</v>
      </c>
      <c r="O142" s="51" t="s">
        <v>162</v>
      </c>
      <c r="P142" s="58">
        <v>6.3E-3</v>
      </c>
    </row>
    <row r="143" spans="1:16" x14ac:dyDescent="0.2">
      <c r="A143" s="56">
        <v>40725</v>
      </c>
      <c r="B143" s="57">
        <v>1292.28</v>
      </c>
      <c r="C143" s="57">
        <v>1320.64</v>
      </c>
      <c r="D143" s="57">
        <v>1356.48</v>
      </c>
      <c r="E143" s="57">
        <v>1282.8599999999999</v>
      </c>
      <c r="F143" s="51"/>
      <c r="G143" s="58">
        <v>-2.1499999999999998E-2</v>
      </c>
      <c r="H143" s="53">
        <f t="shared" si="2"/>
        <v>0.17309368191721131</v>
      </c>
      <c r="I143" s="292"/>
      <c r="J143" s="52">
        <v>37668</v>
      </c>
      <c r="K143" s="51">
        <v>848.17</v>
      </c>
      <c r="L143" s="51">
        <v>834.89</v>
      </c>
      <c r="M143" s="51">
        <v>852.87</v>
      </c>
      <c r="N143" s="51">
        <v>831.48</v>
      </c>
      <c r="O143" s="51" t="s">
        <v>157</v>
      </c>
      <c r="P143" s="58">
        <v>1.5900000000000001E-2</v>
      </c>
    </row>
    <row r="144" spans="1:16" x14ac:dyDescent="0.2">
      <c r="A144" s="56">
        <v>40695</v>
      </c>
      <c r="B144" s="57">
        <v>1320.64</v>
      </c>
      <c r="C144" s="57">
        <v>1345.2</v>
      </c>
      <c r="D144" s="57">
        <v>1345.2</v>
      </c>
      <c r="E144" s="57">
        <v>1258.07</v>
      </c>
      <c r="F144" s="51"/>
      <c r="G144" s="58">
        <v>-1.83E-2</v>
      </c>
      <c r="H144" s="53">
        <f t="shared" si="2"/>
        <v>0.28129153690174746</v>
      </c>
      <c r="I144" s="292"/>
      <c r="J144" s="52">
        <v>37675</v>
      </c>
      <c r="K144" s="51">
        <v>841.15</v>
      </c>
      <c r="L144" s="51">
        <v>848.17</v>
      </c>
      <c r="M144" s="51">
        <v>848.17</v>
      </c>
      <c r="N144" s="51">
        <v>818.54</v>
      </c>
      <c r="O144" s="51" t="s">
        <v>244</v>
      </c>
      <c r="P144" s="58">
        <v>-8.3000000000000001E-3</v>
      </c>
    </row>
    <row r="145" spans="1:16" x14ac:dyDescent="0.2">
      <c r="A145" s="56">
        <v>40664</v>
      </c>
      <c r="B145" s="57">
        <v>1345.2</v>
      </c>
      <c r="C145" s="57">
        <v>1365.21</v>
      </c>
      <c r="D145" s="57">
        <v>1370.58</v>
      </c>
      <c r="E145" s="57">
        <v>1311.8</v>
      </c>
      <c r="F145" s="51"/>
      <c r="G145" s="58">
        <v>-1.35E-2</v>
      </c>
      <c r="H145" s="53">
        <f t="shared" si="2"/>
        <v>0.23479681662551277</v>
      </c>
      <c r="I145" s="292"/>
      <c r="J145" s="52">
        <v>37682</v>
      </c>
      <c r="K145" s="51">
        <v>828.89</v>
      </c>
      <c r="L145" s="51">
        <v>841.15</v>
      </c>
      <c r="M145" s="51">
        <v>852.34</v>
      </c>
      <c r="N145" s="51">
        <v>811.23</v>
      </c>
      <c r="O145" s="51" t="s">
        <v>150</v>
      </c>
      <c r="P145" s="58">
        <v>-1.46E-2</v>
      </c>
    </row>
    <row r="146" spans="1:16" x14ac:dyDescent="0.2">
      <c r="A146" s="56">
        <v>40634</v>
      </c>
      <c r="B146" s="57">
        <v>1363.61</v>
      </c>
      <c r="C146" s="57">
        <v>1329.48</v>
      </c>
      <c r="D146" s="57">
        <v>1364.56</v>
      </c>
      <c r="E146" s="57">
        <v>1294.7</v>
      </c>
      <c r="F146" s="51"/>
      <c r="G146" s="58">
        <v>2.8500000000000001E-2</v>
      </c>
      <c r="H146" s="53">
        <f t="shared" ref="H146:H209" si="3">B146/B158-1</f>
        <v>0.14908695615535628</v>
      </c>
      <c r="I146" s="292"/>
      <c r="J146" s="52">
        <v>37689</v>
      </c>
      <c r="K146" s="51">
        <v>833.27</v>
      </c>
      <c r="L146" s="51">
        <v>828.89</v>
      </c>
      <c r="M146" s="51">
        <v>841.39</v>
      </c>
      <c r="N146" s="51">
        <v>788.9</v>
      </c>
      <c r="O146" s="51" t="s">
        <v>245</v>
      </c>
      <c r="P146" s="58">
        <v>5.3E-3</v>
      </c>
    </row>
    <row r="147" spans="1:16" x14ac:dyDescent="0.2">
      <c r="A147" s="56">
        <v>40603</v>
      </c>
      <c r="B147" s="57">
        <v>1325.83</v>
      </c>
      <c r="C147" s="57">
        <v>1328.64</v>
      </c>
      <c r="D147" s="57">
        <v>1332.28</v>
      </c>
      <c r="E147" s="57">
        <v>1249.05</v>
      </c>
      <c r="F147" s="51"/>
      <c r="G147" s="58">
        <v>-1E-3</v>
      </c>
      <c r="H147" s="53">
        <f t="shared" si="3"/>
        <v>0.133740369239715</v>
      </c>
      <c r="I147" s="292"/>
      <c r="J147" s="52">
        <v>37696</v>
      </c>
      <c r="K147" s="51">
        <v>895.79</v>
      </c>
      <c r="L147" s="51">
        <v>833.27</v>
      </c>
      <c r="M147" s="51">
        <v>895.9</v>
      </c>
      <c r="N147" s="51">
        <v>827.17</v>
      </c>
      <c r="O147" s="51" t="s">
        <v>246</v>
      </c>
      <c r="P147" s="58">
        <v>7.4999999999999997E-2</v>
      </c>
    </row>
    <row r="148" spans="1:16" x14ac:dyDescent="0.2">
      <c r="A148" s="56">
        <v>40575</v>
      </c>
      <c r="B148" s="57">
        <v>1327.22</v>
      </c>
      <c r="C148" s="57">
        <v>1289.1400000000001</v>
      </c>
      <c r="D148" s="57">
        <v>1344.07</v>
      </c>
      <c r="E148" s="57">
        <v>1289.1400000000001</v>
      </c>
      <c r="F148" s="51"/>
      <c r="G148" s="58">
        <v>3.2000000000000001E-2</v>
      </c>
      <c r="H148" s="53">
        <f t="shared" si="3"/>
        <v>0.20165868409854326</v>
      </c>
      <c r="I148" s="292"/>
      <c r="J148" s="52">
        <v>37703</v>
      </c>
      <c r="K148" s="51">
        <v>863.5</v>
      </c>
      <c r="L148" s="51">
        <v>895.79</v>
      </c>
      <c r="M148" s="51">
        <v>895.79</v>
      </c>
      <c r="N148" s="51">
        <v>858.09</v>
      </c>
      <c r="O148" s="51" t="s">
        <v>223</v>
      </c>
      <c r="P148" s="58">
        <v>-3.5999999999999997E-2</v>
      </c>
    </row>
    <row r="149" spans="1:16" x14ac:dyDescent="0.2">
      <c r="A149" s="56">
        <v>40544</v>
      </c>
      <c r="B149" s="57">
        <v>1286.1199999999999</v>
      </c>
      <c r="C149" s="57">
        <v>1257.6199999999999</v>
      </c>
      <c r="D149" s="57">
        <v>1302.67</v>
      </c>
      <c r="E149" s="57">
        <v>1257.6199999999999</v>
      </c>
      <c r="F149" s="51"/>
      <c r="G149" s="58">
        <v>2.2599999999999999E-2</v>
      </c>
      <c r="H149" s="53">
        <f t="shared" si="3"/>
        <v>0.19764962239377204</v>
      </c>
      <c r="I149" s="292"/>
      <c r="J149" s="52">
        <v>37710</v>
      </c>
      <c r="K149" s="51">
        <v>878.85</v>
      </c>
      <c r="L149" s="51">
        <v>863.5</v>
      </c>
      <c r="M149" s="51">
        <v>885.89</v>
      </c>
      <c r="N149" s="51">
        <v>843.68</v>
      </c>
      <c r="O149" s="51" t="s">
        <v>247</v>
      </c>
      <c r="P149" s="58">
        <v>1.78E-2</v>
      </c>
    </row>
    <row r="150" spans="1:16" x14ac:dyDescent="0.2">
      <c r="A150" s="56">
        <v>40513</v>
      </c>
      <c r="B150" s="57">
        <v>1257.6400000000001</v>
      </c>
      <c r="C150" s="57">
        <v>1186.5999999999999</v>
      </c>
      <c r="D150" s="57">
        <v>1262.5999999999999</v>
      </c>
      <c r="E150" s="57">
        <v>1186.5999999999999</v>
      </c>
      <c r="F150" s="51"/>
      <c r="G150" s="58">
        <v>6.5299999999999997E-2</v>
      </c>
      <c r="H150" s="53">
        <f t="shared" si="3"/>
        <v>0.12782710070845682</v>
      </c>
      <c r="I150" s="292"/>
      <c r="J150" s="52">
        <v>37717</v>
      </c>
      <c r="K150" s="51">
        <v>868.3</v>
      </c>
      <c r="L150" s="51">
        <v>878.85</v>
      </c>
      <c r="M150" s="51">
        <v>904.89</v>
      </c>
      <c r="N150" s="51">
        <v>862.76</v>
      </c>
      <c r="O150" s="51" t="s">
        <v>248</v>
      </c>
      <c r="P150" s="58">
        <v>-1.2E-2</v>
      </c>
    </row>
    <row r="151" spans="1:16" x14ac:dyDescent="0.2">
      <c r="A151" s="56">
        <v>40483</v>
      </c>
      <c r="B151" s="57">
        <v>1180.55</v>
      </c>
      <c r="C151" s="57">
        <v>1185.71</v>
      </c>
      <c r="D151" s="57">
        <v>1227.08</v>
      </c>
      <c r="E151" s="57">
        <v>1173</v>
      </c>
      <c r="F151" s="51"/>
      <c r="G151" s="58">
        <v>-2.3E-3</v>
      </c>
      <c r="H151" s="53">
        <f t="shared" si="3"/>
        <v>7.7507917818971483E-2</v>
      </c>
      <c r="I151" s="292"/>
      <c r="J151" s="52">
        <v>37724</v>
      </c>
      <c r="K151" s="51">
        <v>893.58</v>
      </c>
      <c r="L151" s="51">
        <v>868.3</v>
      </c>
      <c r="M151" s="51">
        <v>896.77</v>
      </c>
      <c r="N151" s="51">
        <v>868.3</v>
      </c>
      <c r="O151" s="51" t="s">
        <v>249</v>
      </c>
      <c r="P151" s="58">
        <v>2.9100000000000001E-2</v>
      </c>
    </row>
    <row r="152" spans="1:16" x14ac:dyDescent="0.2">
      <c r="A152" s="56">
        <v>40452</v>
      </c>
      <c r="B152" s="57">
        <v>1183.26</v>
      </c>
      <c r="C152" s="57">
        <v>1143.49</v>
      </c>
      <c r="D152" s="57">
        <v>1196.1400000000001</v>
      </c>
      <c r="E152" s="57">
        <v>1131.8699999999999</v>
      </c>
      <c r="F152" s="51"/>
      <c r="G152" s="58">
        <v>3.6900000000000002E-2</v>
      </c>
      <c r="H152" s="53">
        <f t="shared" si="3"/>
        <v>0.14193342919734797</v>
      </c>
      <c r="I152" s="292"/>
      <c r="J152" s="52">
        <v>37731</v>
      </c>
      <c r="K152" s="51">
        <v>898.81</v>
      </c>
      <c r="L152" s="51">
        <v>893.58</v>
      </c>
      <c r="M152" s="51">
        <v>919.74</v>
      </c>
      <c r="N152" s="51">
        <v>886.7</v>
      </c>
      <c r="O152" s="51" t="s">
        <v>250</v>
      </c>
      <c r="P152" s="58">
        <v>5.8999999999999999E-3</v>
      </c>
    </row>
    <row r="153" spans="1:16" x14ac:dyDescent="0.2">
      <c r="A153" s="56">
        <v>40422</v>
      </c>
      <c r="B153" s="57">
        <v>1141.2</v>
      </c>
      <c r="C153" s="57">
        <v>1049.72</v>
      </c>
      <c r="D153" s="57">
        <v>1157.1600000000001</v>
      </c>
      <c r="E153" s="57">
        <v>1049.72</v>
      </c>
      <c r="F153" s="51"/>
      <c r="G153" s="58">
        <v>8.7599999999999997E-2</v>
      </c>
      <c r="H153" s="53">
        <f t="shared" si="3"/>
        <v>7.9577704620274803E-2</v>
      </c>
      <c r="I153" s="292"/>
      <c r="J153" s="52">
        <v>37738</v>
      </c>
      <c r="K153" s="51">
        <v>930.08</v>
      </c>
      <c r="L153" s="51">
        <v>898.81</v>
      </c>
      <c r="M153" s="51">
        <v>930.56</v>
      </c>
      <c r="N153" s="51">
        <v>898.81</v>
      </c>
      <c r="O153" s="51" t="s">
        <v>251</v>
      </c>
      <c r="P153" s="58">
        <v>3.4799999999999998E-2</v>
      </c>
    </row>
    <row r="154" spans="1:16" x14ac:dyDescent="0.2">
      <c r="A154" s="56">
        <v>40391</v>
      </c>
      <c r="B154" s="57">
        <v>1049.33</v>
      </c>
      <c r="C154" s="57">
        <v>1107.53</v>
      </c>
      <c r="D154" s="57">
        <v>1129.24</v>
      </c>
      <c r="E154" s="57">
        <v>1039.7</v>
      </c>
      <c r="F154" s="51"/>
      <c r="G154" s="58">
        <v>-4.7399999999999998E-2</v>
      </c>
      <c r="H154" s="53">
        <f t="shared" si="3"/>
        <v>2.8129960220258265E-2</v>
      </c>
      <c r="I154" s="292"/>
      <c r="J154" s="52">
        <v>37745</v>
      </c>
      <c r="K154" s="51">
        <v>933.41</v>
      </c>
      <c r="L154" s="51">
        <v>930.08</v>
      </c>
      <c r="M154" s="51">
        <v>939.61</v>
      </c>
      <c r="N154" s="51">
        <v>919.72</v>
      </c>
      <c r="O154" s="51" t="s">
        <v>252</v>
      </c>
      <c r="P154" s="58">
        <v>3.5999999999999999E-3</v>
      </c>
    </row>
    <row r="155" spans="1:16" x14ac:dyDescent="0.2">
      <c r="A155" s="56">
        <v>40360</v>
      </c>
      <c r="B155" s="57">
        <v>1101.5999999999999</v>
      </c>
      <c r="C155" s="57">
        <v>1031.0999999999999</v>
      </c>
      <c r="D155" s="57">
        <v>1120.95</v>
      </c>
      <c r="E155" s="57">
        <v>1010.91</v>
      </c>
      <c r="F155" s="51"/>
      <c r="G155" s="58">
        <v>6.88E-2</v>
      </c>
      <c r="H155" s="53">
        <f t="shared" si="3"/>
        <v>0.11556689755741867</v>
      </c>
      <c r="I155" s="292"/>
      <c r="J155" s="52">
        <v>37752</v>
      </c>
      <c r="K155" s="51">
        <v>944.3</v>
      </c>
      <c r="L155" s="51">
        <v>933.41</v>
      </c>
      <c r="M155" s="51">
        <v>948.65</v>
      </c>
      <c r="N155" s="51">
        <v>929.3</v>
      </c>
      <c r="O155" s="51" t="s">
        <v>253</v>
      </c>
      <c r="P155" s="58">
        <v>1.17E-2</v>
      </c>
    </row>
    <row r="156" spans="1:16" x14ac:dyDescent="0.2">
      <c r="A156" s="56">
        <v>40330</v>
      </c>
      <c r="B156" s="57">
        <v>1030.71</v>
      </c>
      <c r="C156" s="57">
        <v>1087.3</v>
      </c>
      <c r="D156" s="57">
        <v>1131.23</v>
      </c>
      <c r="E156" s="57">
        <v>1028.33</v>
      </c>
      <c r="F156" s="51"/>
      <c r="G156" s="58">
        <v>-5.3900000000000003E-2</v>
      </c>
      <c r="H156" s="53">
        <f t="shared" si="3"/>
        <v>0.12116564417177922</v>
      </c>
      <c r="I156" s="292"/>
      <c r="J156" s="52">
        <v>37759</v>
      </c>
      <c r="K156" s="51">
        <v>933.22</v>
      </c>
      <c r="L156" s="51">
        <v>944.3</v>
      </c>
      <c r="M156" s="51">
        <v>944.3</v>
      </c>
      <c r="N156" s="51">
        <v>912.05</v>
      </c>
      <c r="O156" s="51" t="s">
        <v>254</v>
      </c>
      <c r="P156" s="58">
        <v>-1.17E-2</v>
      </c>
    </row>
    <row r="157" spans="1:16" x14ac:dyDescent="0.2">
      <c r="A157" s="56">
        <v>40299</v>
      </c>
      <c r="B157" s="57">
        <v>1089.4100000000001</v>
      </c>
      <c r="C157" s="57">
        <v>1188.58</v>
      </c>
      <c r="D157" s="57">
        <v>1205.1300000000001</v>
      </c>
      <c r="E157" s="57">
        <v>1040.78</v>
      </c>
      <c r="F157" s="51"/>
      <c r="G157" s="58">
        <v>-8.2000000000000003E-2</v>
      </c>
      <c r="H157" s="53">
        <f t="shared" si="3"/>
        <v>0.18524925473812481</v>
      </c>
      <c r="I157" s="292"/>
      <c r="J157" s="52">
        <v>37766</v>
      </c>
      <c r="K157" s="51">
        <v>963.59</v>
      </c>
      <c r="L157" s="51">
        <v>933.22</v>
      </c>
      <c r="M157" s="51">
        <v>965.38</v>
      </c>
      <c r="N157" s="51">
        <v>927.33</v>
      </c>
      <c r="O157" s="51" t="s">
        <v>150</v>
      </c>
      <c r="P157" s="58">
        <v>3.2500000000000001E-2</v>
      </c>
    </row>
    <row r="158" spans="1:16" x14ac:dyDescent="0.2">
      <c r="A158" s="56">
        <v>40269</v>
      </c>
      <c r="B158" s="57">
        <v>1186.69</v>
      </c>
      <c r="C158" s="57">
        <v>1171.23</v>
      </c>
      <c r="D158" s="57">
        <v>1219.8</v>
      </c>
      <c r="E158" s="57">
        <v>1170.69</v>
      </c>
      <c r="F158" s="51"/>
      <c r="G158" s="58">
        <v>1.4800000000000001E-2</v>
      </c>
      <c r="H158" s="53">
        <f t="shared" si="3"/>
        <v>0.35962007768013682</v>
      </c>
      <c r="I158" s="292"/>
      <c r="J158" s="52">
        <v>37773</v>
      </c>
      <c r="K158" s="51">
        <v>987.76</v>
      </c>
      <c r="L158" s="51">
        <v>963.59</v>
      </c>
      <c r="M158" s="57">
        <v>1007.69</v>
      </c>
      <c r="N158" s="51">
        <v>963.59</v>
      </c>
      <c r="O158" s="51" t="s">
        <v>255</v>
      </c>
      <c r="P158" s="58">
        <v>2.5100000000000001E-2</v>
      </c>
    </row>
    <row r="159" spans="1:16" x14ac:dyDescent="0.2">
      <c r="A159" s="56">
        <v>40238</v>
      </c>
      <c r="B159" s="57">
        <v>1169.43</v>
      </c>
      <c r="C159" s="57">
        <v>1105.3599999999999</v>
      </c>
      <c r="D159" s="57">
        <v>1180.69</v>
      </c>
      <c r="E159" s="57">
        <v>1105.3599999999999</v>
      </c>
      <c r="F159" s="51"/>
      <c r="G159" s="58">
        <v>5.8799999999999998E-2</v>
      </c>
      <c r="H159" s="53">
        <f t="shared" si="3"/>
        <v>0.4656898993570382</v>
      </c>
      <c r="I159" s="292"/>
      <c r="J159" s="52">
        <v>37780</v>
      </c>
      <c r="K159" s="51">
        <v>988.61</v>
      </c>
      <c r="L159" s="51">
        <v>987.76</v>
      </c>
      <c r="M159" s="57">
        <v>1002.74</v>
      </c>
      <c r="N159" s="51">
        <v>972.59</v>
      </c>
      <c r="O159" s="51" t="s">
        <v>256</v>
      </c>
      <c r="P159" s="58">
        <v>8.9999999999999998E-4</v>
      </c>
    </row>
    <row r="160" spans="1:16" x14ac:dyDescent="0.2">
      <c r="A160" s="56">
        <v>40210</v>
      </c>
      <c r="B160" s="57">
        <v>1104.49</v>
      </c>
      <c r="C160" s="57">
        <v>1073.8900000000001</v>
      </c>
      <c r="D160" s="57">
        <v>1112.42</v>
      </c>
      <c r="E160" s="57">
        <v>1044.5</v>
      </c>
      <c r="F160" s="51"/>
      <c r="G160" s="58">
        <v>2.8500000000000001E-2</v>
      </c>
      <c r="H160" s="53">
        <f t="shared" si="3"/>
        <v>0.50252350052374539</v>
      </c>
      <c r="I160" s="292"/>
      <c r="J160" s="52">
        <v>37787</v>
      </c>
      <c r="K160" s="51">
        <v>995.69</v>
      </c>
      <c r="L160" s="51">
        <v>988.61</v>
      </c>
      <c r="M160" s="57">
        <v>1015.33</v>
      </c>
      <c r="N160" s="51">
        <v>988.61</v>
      </c>
      <c r="O160" s="51" t="s">
        <v>251</v>
      </c>
      <c r="P160" s="58">
        <v>7.1999999999999998E-3</v>
      </c>
    </row>
    <row r="161" spans="1:16" x14ac:dyDescent="0.2">
      <c r="A161" s="56">
        <v>40179</v>
      </c>
      <c r="B161" s="57">
        <v>1073.8699999999999</v>
      </c>
      <c r="C161" s="57">
        <v>1116.56</v>
      </c>
      <c r="D161" s="57">
        <v>1150.45</v>
      </c>
      <c r="E161" s="57">
        <v>1071.5899999999999</v>
      </c>
      <c r="F161" s="51"/>
      <c r="G161" s="58">
        <v>-3.6999999999999998E-2</v>
      </c>
      <c r="H161" s="53">
        <f t="shared" si="3"/>
        <v>0.30027364750326901</v>
      </c>
      <c r="I161" s="292"/>
      <c r="J161" s="52">
        <v>37794</v>
      </c>
      <c r="K161" s="51">
        <v>976.22</v>
      </c>
      <c r="L161" s="51">
        <v>995.69</v>
      </c>
      <c r="M161" s="51">
        <v>995.69</v>
      </c>
      <c r="N161" s="51">
        <v>973.8</v>
      </c>
      <c r="O161" s="51" t="s">
        <v>257</v>
      </c>
      <c r="P161" s="58">
        <v>-1.9599999999999999E-2</v>
      </c>
    </row>
    <row r="162" spans="1:16" x14ac:dyDescent="0.2">
      <c r="A162" s="56">
        <v>40148</v>
      </c>
      <c r="B162" s="57">
        <v>1115.0999999999999</v>
      </c>
      <c r="C162" s="57">
        <v>1098.8900000000001</v>
      </c>
      <c r="D162" s="57">
        <v>1130.3800000000001</v>
      </c>
      <c r="E162" s="57">
        <v>1085.8900000000001</v>
      </c>
      <c r="F162" s="51"/>
      <c r="G162" s="58">
        <v>1.78E-2</v>
      </c>
      <c r="H162" s="53">
        <f t="shared" si="3"/>
        <v>0.23454193191253792</v>
      </c>
      <c r="I162" s="292"/>
      <c r="J162" s="52">
        <v>37801</v>
      </c>
      <c r="K162" s="51">
        <v>985.7</v>
      </c>
      <c r="L162" s="51">
        <v>976.22</v>
      </c>
      <c r="M162" s="51">
        <v>995</v>
      </c>
      <c r="N162" s="51">
        <v>962.1</v>
      </c>
      <c r="O162" s="51" t="s">
        <v>146</v>
      </c>
      <c r="P162" s="58">
        <v>9.7000000000000003E-3</v>
      </c>
    </row>
    <row r="163" spans="1:16" x14ac:dyDescent="0.2">
      <c r="A163" s="56">
        <v>40118</v>
      </c>
      <c r="B163" s="57">
        <v>1095.6300000000001</v>
      </c>
      <c r="C163" s="57">
        <v>1036.18</v>
      </c>
      <c r="D163" s="57">
        <v>1113.69</v>
      </c>
      <c r="E163" s="57">
        <v>1029.3800000000001</v>
      </c>
      <c r="F163" s="51"/>
      <c r="G163" s="58">
        <v>5.74E-2</v>
      </c>
      <c r="H163" s="53">
        <f t="shared" si="3"/>
        <v>0.22247389092207448</v>
      </c>
      <c r="I163" s="292"/>
      <c r="J163" s="52">
        <v>37808</v>
      </c>
      <c r="K163" s="51">
        <v>998.14</v>
      </c>
      <c r="L163" s="51">
        <v>985.7</v>
      </c>
      <c r="M163" s="57">
        <v>1010.43</v>
      </c>
      <c r="N163" s="51">
        <v>983.63</v>
      </c>
      <c r="O163" s="51" t="s">
        <v>258</v>
      </c>
      <c r="P163" s="58">
        <v>1.26E-2</v>
      </c>
    </row>
    <row r="164" spans="1:16" x14ac:dyDescent="0.2">
      <c r="A164" s="56">
        <v>40087</v>
      </c>
      <c r="B164" s="57">
        <v>1036.19</v>
      </c>
      <c r="C164" s="57">
        <v>1054.9100000000001</v>
      </c>
      <c r="D164" s="57">
        <v>1101.3599999999999</v>
      </c>
      <c r="E164" s="57">
        <v>1019.95</v>
      </c>
      <c r="F164" s="51"/>
      <c r="G164" s="58">
        <v>-1.9800000000000002E-2</v>
      </c>
      <c r="H164" s="53">
        <f t="shared" si="3"/>
        <v>6.961548387096772E-2</v>
      </c>
      <c r="I164" s="292"/>
      <c r="J164" s="52">
        <v>37815</v>
      </c>
      <c r="K164" s="51">
        <v>993.32</v>
      </c>
      <c r="L164" s="51">
        <v>998.14</v>
      </c>
      <c r="M164" s="57">
        <v>1015.41</v>
      </c>
      <c r="N164" s="51">
        <v>978.6</v>
      </c>
      <c r="O164" s="51" t="s">
        <v>245</v>
      </c>
      <c r="P164" s="58">
        <v>-4.7999999999999996E-3</v>
      </c>
    </row>
    <row r="165" spans="1:16" x14ac:dyDescent="0.2">
      <c r="A165" s="56">
        <v>40057</v>
      </c>
      <c r="B165" s="57">
        <v>1057.08</v>
      </c>
      <c r="C165" s="57">
        <v>1019.52</v>
      </c>
      <c r="D165" s="57">
        <v>1080.1500000000001</v>
      </c>
      <c r="E165" s="57">
        <v>991.97</v>
      </c>
      <c r="F165" s="51"/>
      <c r="G165" s="58">
        <v>3.5700000000000003E-2</v>
      </c>
      <c r="H165" s="53">
        <f t="shared" si="3"/>
        <v>-9.3693199355259105E-2</v>
      </c>
      <c r="I165" s="292"/>
      <c r="J165" s="52">
        <v>37822</v>
      </c>
      <c r="K165" s="51">
        <v>998.68</v>
      </c>
      <c r="L165" s="51">
        <v>993.32</v>
      </c>
      <c r="M165" s="51">
        <v>998.89</v>
      </c>
      <c r="N165" s="51">
        <v>975.63</v>
      </c>
      <c r="O165" s="51" t="s">
        <v>259</v>
      </c>
      <c r="P165" s="58">
        <v>5.4000000000000003E-3</v>
      </c>
    </row>
    <row r="166" spans="1:16" x14ac:dyDescent="0.2">
      <c r="A166" s="56">
        <v>40026</v>
      </c>
      <c r="B166" s="57">
        <v>1020.62</v>
      </c>
      <c r="C166" s="57">
        <v>990.22</v>
      </c>
      <c r="D166" s="57">
        <v>1039.47</v>
      </c>
      <c r="E166" s="57">
        <v>978.51</v>
      </c>
      <c r="F166" s="51"/>
      <c r="G166" s="58">
        <v>3.3599999999999998E-2</v>
      </c>
      <c r="H166" s="53">
        <f t="shared" si="3"/>
        <v>-0.20439964765401486</v>
      </c>
      <c r="I166" s="292"/>
      <c r="J166" s="52">
        <v>37829</v>
      </c>
      <c r="K166" s="51">
        <v>980.15</v>
      </c>
      <c r="L166" s="51">
        <v>998.68</v>
      </c>
      <c r="M166" s="57">
        <v>1004.59</v>
      </c>
      <c r="N166" s="51">
        <v>978.86</v>
      </c>
      <c r="O166" s="51" t="s">
        <v>260</v>
      </c>
      <c r="P166" s="58">
        <v>-1.8599999999999998E-2</v>
      </c>
    </row>
    <row r="167" spans="1:16" x14ac:dyDescent="0.2">
      <c r="A167" s="56">
        <v>39995</v>
      </c>
      <c r="B167" s="57">
        <v>987.48</v>
      </c>
      <c r="C167" s="57">
        <v>920.82</v>
      </c>
      <c r="D167" s="57">
        <v>996.68</v>
      </c>
      <c r="E167" s="57">
        <v>869.32</v>
      </c>
      <c r="F167" s="51"/>
      <c r="G167" s="58">
        <v>7.4099999999999999E-2</v>
      </c>
      <c r="H167" s="53">
        <f t="shared" si="3"/>
        <v>-0.2208493111773896</v>
      </c>
      <c r="I167" s="292"/>
      <c r="J167" s="52">
        <v>37836</v>
      </c>
      <c r="K167" s="51">
        <v>977.59</v>
      </c>
      <c r="L167" s="51">
        <v>980.15</v>
      </c>
      <c r="M167" s="51">
        <v>985.75</v>
      </c>
      <c r="N167" s="51">
        <v>960.84</v>
      </c>
      <c r="O167" s="51" t="s">
        <v>222</v>
      </c>
      <c r="P167" s="58">
        <v>-2.5999999999999999E-3</v>
      </c>
    </row>
    <row r="168" spans="1:16" x14ac:dyDescent="0.2">
      <c r="A168" s="56">
        <v>39965</v>
      </c>
      <c r="B168" s="57">
        <v>919.32</v>
      </c>
      <c r="C168" s="57">
        <v>923.26</v>
      </c>
      <c r="D168" s="57">
        <v>956.23</v>
      </c>
      <c r="E168" s="57">
        <v>888.86</v>
      </c>
      <c r="F168" s="51"/>
      <c r="G168" s="58">
        <v>2.0000000000000001E-4</v>
      </c>
      <c r="H168" s="53">
        <f t="shared" si="3"/>
        <v>-0.28178124999999998</v>
      </c>
      <c r="I168" s="292"/>
      <c r="J168" s="52">
        <v>37843</v>
      </c>
      <c r="K168" s="51">
        <v>990.67</v>
      </c>
      <c r="L168" s="51">
        <v>977.59</v>
      </c>
      <c r="M168" s="51">
        <v>992.5</v>
      </c>
      <c r="N168" s="51">
        <v>974.21</v>
      </c>
      <c r="O168" s="51" t="s">
        <v>261</v>
      </c>
      <c r="P168" s="58">
        <v>1.34E-2</v>
      </c>
    </row>
    <row r="169" spans="1:16" x14ac:dyDescent="0.2">
      <c r="A169" s="56">
        <v>39934</v>
      </c>
      <c r="B169" s="57">
        <v>919.14</v>
      </c>
      <c r="C169" s="57">
        <v>872.74</v>
      </c>
      <c r="D169" s="57">
        <v>930.17</v>
      </c>
      <c r="E169" s="57">
        <v>866.1</v>
      </c>
      <c r="F169" s="51"/>
      <c r="G169" s="58">
        <v>5.3100000000000001E-2</v>
      </c>
      <c r="H169" s="53">
        <f t="shared" si="3"/>
        <v>-0.34364958082806096</v>
      </c>
      <c r="I169" s="292"/>
      <c r="J169" s="52">
        <v>37850</v>
      </c>
      <c r="K169" s="51">
        <v>993.06</v>
      </c>
      <c r="L169" s="51">
        <v>990.67</v>
      </c>
      <c r="M169" s="57">
        <v>1011.01</v>
      </c>
      <c r="N169" s="51">
        <v>990.67</v>
      </c>
      <c r="O169" s="51" t="s">
        <v>262</v>
      </c>
      <c r="P169" s="58">
        <v>2.3999999999999998E-3</v>
      </c>
    </row>
    <row r="170" spans="1:16" x14ac:dyDescent="0.2">
      <c r="A170" s="56">
        <v>39904</v>
      </c>
      <c r="B170" s="57">
        <v>872.81</v>
      </c>
      <c r="C170" s="57">
        <v>793.59</v>
      </c>
      <c r="D170" s="57">
        <v>888.7</v>
      </c>
      <c r="E170" s="57">
        <v>783.32</v>
      </c>
      <c r="F170" s="51"/>
      <c r="G170" s="58">
        <v>9.3899999999999997E-2</v>
      </c>
      <c r="H170" s="53">
        <f t="shared" si="3"/>
        <v>-0.37008061547788307</v>
      </c>
      <c r="I170" s="292"/>
      <c r="J170" s="52">
        <v>37857</v>
      </c>
      <c r="K170" s="57">
        <v>1008.01</v>
      </c>
      <c r="L170" s="51">
        <v>993.06</v>
      </c>
      <c r="M170" s="57">
        <v>1008.85</v>
      </c>
      <c r="N170" s="51">
        <v>983.57</v>
      </c>
      <c r="O170" s="51" t="s">
        <v>263</v>
      </c>
      <c r="P170" s="58">
        <v>1.5100000000000001E-2</v>
      </c>
    </row>
    <row r="171" spans="1:16" x14ac:dyDescent="0.2">
      <c r="A171" s="56">
        <v>39873</v>
      </c>
      <c r="B171" s="57">
        <v>797.87</v>
      </c>
      <c r="C171" s="57">
        <v>729.57</v>
      </c>
      <c r="D171" s="57">
        <v>832.98</v>
      </c>
      <c r="E171" s="57">
        <v>666.79</v>
      </c>
      <c r="F171" s="51"/>
      <c r="G171" s="58">
        <v>8.5400000000000004E-2</v>
      </c>
      <c r="H171" s="53">
        <f t="shared" si="3"/>
        <v>-0.39678687533076284</v>
      </c>
      <c r="I171" s="292"/>
      <c r="J171" s="52">
        <v>37864</v>
      </c>
      <c r="K171" s="57">
        <v>1021.39</v>
      </c>
      <c r="L171" s="57">
        <v>1008.01</v>
      </c>
      <c r="M171" s="57">
        <v>1029.3399999999999</v>
      </c>
      <c r="N171" s="57">
        <v>1005.73</v>
      </c>
      <c r="O171" s="51" t="s">
        <v>264</v>
      </c>
      <c r="P171" s="58">
        <v>1.3299999999999999E-2</v>
      </c>
    </row>
    <row r="172" spans="1:16" x14ac:dyDescent="0.2">
      <c r="A172" s="56">
        <v>39845</v>
      </c>
      <c r="B172" s="57">
        <v>735.09</v>
      </c>
      <c r="C172" s="57">
        <v>823.09</v>
      </c>
      <c r="D172" s="57">
        <v>875.01</v>
      </c>
      <c r="E172" s="57">
        <v>734.52</v>
      </c>
      <c r="F172" s="51"/>
      <c r="G172" s="58">
        <v>-0.1099</v>
      </c>
      <c r="H172" s="53">
        <f t="shared" si="3"/>
        <v>-0.44756243283256802</v>
      </c>
      <c r="I172" s="292"/>
      <c r="J172" s="52">
        <v>37871</v>
      </c>
      <c r="K172" s="57">
        <v>1018.63</v>
      </c>
      <c r="L172" s="57">
        <v>1021.39</v>
      </c>
      <c r="M172" s="57">
        <v>1032.4100000000001</v>
      </c>
      <c r="N172" s="57">
        <v>1007.71</v>
      </c>
      <c r="O172" s="51" t="s">
        <v>198</v>
      </c>
      <c r="P172" s="58">
        <v>-2.7000000000000001E-3</v>
      </c>
    </row>
    <row r="173" spans="1:16" x14ac:dyDescent="0.2">
      <c r="A173" s="56">
        <v>39814</v>
      </c>
      <c r="B173" s="57">
        <v>825.88</v>
      </c>
      <c r="C173" s="57">
        <v>902.99</v>
      </c>
      <c r="D173" s="57">
        <v>943.85</v>
      </c>
      <c r="E173" s="57">
        <v>804.3</v>
      </c>
      <c r="F173" s="51"/>
      <c r="G173" s="58">
        <v>-8.5699999999999998E-2</v>
      </c>
      <c r="H173" s="53">
        <f t="shared" si="3"/>
        <v>-0.40090674984585251</v>
      </c>
      <c r="I173" s="292"/>
      <c r="J173" s="52">
        <v>37878</v>
      </c>
      <c r="K173" s="57">
        <v>1036.3</v>
      </c>
      <c r="L173" s="57">
        <v>1018.63</v>
      </c>
      <c r="M173" s="57">
        <v>1040.29</v>
      </c>
      <c r="N173" s="57">
        <v>1013.59</v>
      </c>
      <c r="O173" s="51" t="s">
        <v>265</v>
      </c>
      <c r="P173" s="58">
        <v>1.7299999999999999E-2</v>
      </c>
    </row>
    <row r="174" spans="1:16" x14ac:dyDescent="0.2">
      <c r="A174" s="56">
        <v>39783</v>
      </c>
      <c r="B174" s="57">
        <v>903.25</v>
      </c>
      <c r="C174" s="57">
        <v>888.61</v>
      </c>
      <c r="D174" s="57">
        <v>918.85</v>
      </c>
      <c r="E174" s="57">
        <v>815.69</v>
      </c>
      <c r="F174" s="51"/>
      <c r="G174" s="58">
        <v>7.7999999999999996E-3</v>
      </c>
      <c r="H174" s="53">
        <f t="shared" si="3"/>
        <v>-0.38485793674575708</v>
      </c>
      <c r="I174" s="292"/>
      <c r="J174" s="52">
        <v>37885</v>
      </c>
      <c r="K174" s="51">
        <v>996.85</v>
      </c>
      <c r="L174" s="57">
        <v>1036.3</v>
      </c>
      <c r="M174" s="57">
        <v>1036.3</v>
      </c>
      <c r="N174" s="51">
        <v>996.08</v>
      </c>
      <c r="O174" s="51" t="s">
        <v>237</v>
      </c>
      <c r="P174" s="58">
        <v>-3.8100000000000002E-2</v>
      </c>
    </row>
    <row r="175" spans="1:16" x14ac:dyDescent="0.2">
      <c r="A175" s="56">
        <v>39753</v>
      </c>
      <c r="B175" s="57">
        <v>896.24</v>
      </c>
      <c r="C175" s="57">
        <v>968.67</v>
      </c>
      <c r="D175" s="57">
        <v>1007.51</v>
      </c>
      <c r="E175" s="57">
        <v>741.02</v>
      </c>
      <c r="F175" s="51"/>
      <c r="G175" s="58">
        <v>-7.4800000000000005E-2</v>
      </c>
      <c r="H175" s="53">
        <f t="shared" si="3"/>
        <v>-0.3948985241098073</v>
      </c>
      <c r="I175" s="292"/>
      <c r="J175" s="52">
        <v>37892</v>
      </c>
      <c r="K175" s="57">
        <v>1029.8499999999999</v>
      </c>
      <c r="L175" s="51">
        <v>996.85</v>
      </c>
      <c r="M175" s="57">
        <v>1039.31</v>
      </c>
      <c r="N175" s="51">
        <v>990.36</v>
      </c>
      <c r="O175" s="51" t="s">
        <v>266</v>
      </c>
      <c r="P175" s="58">
        <v>3.3099999999999997E-2</v>
      </c>
    </row>
    <row r="176" spans="1:16" x14ac:dyDescent="0.2">
      <c r="A176" s="56">
        <v>39722</v>
      </c>
      <c r="B176" s="57">
        <v>968.75</v>
      </c>
      <c r="C176" s="57">
        <v>1164.17</v>
      </c>
      <c r="D176" s="57">
        <v>1167.03</v>
      </c>
      <c r="E176" s="57">
        <v>839.8</v>
      </c>
      <c r="F176" s="51"/>
      <c r="G176" s="58">
        <v>-0.1694</v>
      </c>
      <c r="H176" s="53">
        <f t="shared" si="3"/>
        <v>-0.37474989995998409</v>
      </c>
      <c r="I176" s="292"/>
      <c r="J176" s="52">
        <v>37899</v>
      </c>
      <c r="K176" s="57">
        <v>1038.06</v>
      </c>
      <c r="L176" s="57">
        <v>1029.8499999999999</v>
      </c>
      <c r="M176" s="57">
        <v>1048.28</v>
      </c>
      <c r="N176" s="57">
        <v>1026.27</v>
      </c>
      <c r="O176" s="51" t="s">
        <v>186</v>
      </c>
      <c r="P176" s="58">
        <v>8.0000000000000002E-3</v>
      </c>
    </row>
    <row r="177" spans="1:16" x14ac:dyDescent="0.2">
      <c r="A177" s="56">
        <v>39692</v>
      </c>
      <c r="B177" s="57">
        <v>1166.3599999999999</v>
      </c>
      <c r="C177" s="57">
        <v>1287.83</v>
      </c>
      <c r="D177" s="57">
        <v>1303.04</v>
      </c>
      <c r="E177" s="57">
        <v>1106.3900000000001</v>
      </c>
      <c r="F177" s="51"/>
      <c r="G177" s="58">
        <v>-9.0800000000000006E-2</v>
      </c>
      <c r="H177" s="53">
        <f t="shared" si="3"/>
        <v>-0.23605043392827907</v>
      </c>
      <c r="I177" s="292"/>
      <c r="J177" s="52">
        <v>37906</v>
      </c>
      <c r="K177" s="57">
        <v>1039.32</v>
      </c>
      <c r="L177" s="57">
        <v>1038.06</v>
      </c>
      <c r="M177" s="57">
        <v>1053.79</v>
      </c>
      <c r="N177" s="57">
        <v>1036.57</v>
      </c>
      <c r="O177" s="51" t="s">
        <v>190</v>
      </c>
      <c r="P177" s="58">
        <v>1.1999999999999999E-3</v>
      </c>
    </row>
    <row r="178" spans="1:16" x14ac:dyDescent="0.2">
      <c r="A178" s="56">
        <v>39661</v>
      </c>
      <c r="B178" s="57">
        <v>1282.83</v>
      </c>
      <c r="C178" s="57">
        <v>1269.42</v>
      </c>
      <c r="D178" s="57">
        <v>1313.15</v>
      </c>
      <c r="E178" s="57">
        <v>1247.45</v>
      </c>
      <c r="F178" s="51"/>
      <c r="G178" s="58">
        <v>1.2200000000000001E-2</v>
      </c>
      <c r="H178" s="53">
        <f t="shared" si="3"/>
        <v>-0.12968880385891357</v>
      </c>
      <c r="I178" s="292"/>
      <c r="J178" s="52">
        <v>37913</v>
      </c>
      <c r="K178" s="57">
        <v>1028.9100000000001</v>
      </c>
      <c r="L178" s="57">
        <v>1039.32</v>
      </c>
      <c r="M178" s="57">
        <v>1048.57</v>
      </c>
      <c r="N178" s="57">
        <v>1018.32</v>
      </c>
      <c r="O178" s="51" t="s">
        <v>267</v>
      </c>
      <c r="P178" s="58">
        <v>-0.01</v>
      </c>
    </row>
    <row r="179" spans="1:16" x14ac:dyDescent="0.2">
      <c r="A179" s="56">
        <v>39630</v>
      </c>
      <c r="B179" s="57">
        <v>1267.3800000000001</v>
      </c>
      <c r="C179" s="57">
        <v>1276.69</v>
      </c>
      <c r="D179" s="57">
        <v>1292.17</v>
      </c>
      <c r="E179" s="57">
        <v>1200.44</v>
      </c>
      <c r="F179" s="51"/>
      <c r="G179" s="58">
        <v>-9.9000000000000008E-3</v>
      </c>
      <c r="H179" s="53">
        <f t="shared" si="3"/>
        <v>-0.12911006205034103</v>
      </c>
      <c r="I179" s="292"/>
      <c r="J179" s="52">
        <v>37920</v>
      </c>
      <c r="K179" s="57">
        <v>1050.71</v>
      </c>
      <c r="L179" s="57">
        <v>1028.9100000000001</v>
      </c>
      <c r="M179" s="57">
        <v>1053.0899999999999</v>
      </c>
      <c r="N179" s="57">
        <v>1028.9100000000001</v>
      </c>
      <c r="O179" s="51" t="s">
        <v>268</v>
      </c>
      <c r="P179" s="58">
        <v>2.12E-2</v>
      </c>
    </row>
    <row r="180" spans="1:16" x14ac:dyDescent="0.2">
      <c r="A180" s="56">
        <v>39600</v>
      </c>
      <c r="B180" s="57">
        <v>1280</v>
      </c>
      <c r="C180" s="57">
        <v>1399.62</v>
      </c>
      <c r="D180" s="57">
        <v>1404.05</v>
      </c>
      <c r="E180" s="57">
        <v>1272</v>
      </c>
      <c r="F180" s="51"/>
      <c r="G180" s="58">
        <v>-8.5999999999999993E-2</v>
      </c>
      <c r="H180" s="53">
        <f t="shared" si="3"/>
        <v>-0.1485681976918215</v>
      </c>
      <c r="I180" s="292"/>
      <c r="J180" s="52">
        <v>37927</v>
      </c>
      <c r="K180" s="57">
        <v>1053.21</v>
      </c>
      <c r="L180" s="57">
        <v>1050.71</v>
      </c>
      <c r="M180" s="57">
        <v>1062.3900000000001</v>
      </c>
      <c r="N180" s="57">
        <v>1044.8800000000001</v>
      </c>
      <c r="O180" s="51" t="s">
        <v>269</v>
      </c>
      <c r="P180" s="58">
        <v>2.3999999999999998E-3</v>
      </c>
    </row>
    <row r="181" spans="1:16" x14ac:dyDescent="0.2">
      <c r="A181" s="56">
        <v>39569</v>
      </c>
      <c r="B181" s="57">
        <v>1400.38</v>
      </c>
      <c r="C181" s="57">
        <v>1385.97</v>
      </c>
      <c r="D181" s="57">
        <v>1440.24</v>
      </c>
      <c r="E181" s="57">
        <v>1373.07</v>
      </c>
      <c r="F181" s="51"/>
      <c r="G181" s="58">
        <v>1.0699999999999999E-2</v>
      </c>
      <c r="H181" s="53">
        <f t="shared" si="3"/>
        <v>-8.5089702212175267E-2</v>
      </c>
      <c r="I181" s="292"/>
      <c r="J181" s="52">
        <v>37934</v>
      </c>
      <c r="K181" s="57">
        <v>1050.3499999999999</v>
      </c>
      <c r="L181" s="57">
        <v>1053.21</v>
      </c>
      <c r="M181" s="57">
        <v>1063.6500000000001</v>
      </c>
      <c r="N181" s="57">
        <v>1043.46</v>
      </c>
      <c r="O181" s="51" t="s">
        <v>270</v>
      </c>
      <c r="P181" s="58">
        <v>-2.7000000000000001E-3</v>
      </c>
    </row>
    <row r="182" spans="1:16" x14ac:dyDescent="0.2">
      <c r="A182" s="56">
        <v>39539</v>
      </c>
      <c r="B182" s="57">
        <v>1385.59</v>
      </c>
      <c r="C182" s="57">
        <v>1326.41</v>
      </c>
      <c r="D182" s="57">
        <v>1404.57</v>
      </c>
      <c r="E182" s="57">
        <v>1324.35</v>
      </c>
      <c r="F182" s="51"/>
      <c r="G182" s="58">
        <v>4.7500000000000001E-2</v>
      </c>
      <c r="H182" s="53">
        <f t="shared" si="3"/>
        <v>-6.5287343915486629E-2</v>
      </c>
      <c r="I182" s="292"/>
      <c r="J182" s="52">
        <v>37941</v>
      </c>
      <c r="K182" s="57">
        <v>1035.28</v>
      </c>
      <c r="L182" s="57">
        <v>1050.3499999999999</v>
      </c>
      <c r="M182" s="57">
        <v>1050.3499999999999</v>
      </c>
      <c r="N182" s="57">
        <v>1031.2</v>
      </c>
      <c r="O182" s="51" t="s">
        <v>271</v>
      </c>
      <c r="P182" s="58">
        <v>-1.43E-2</v>
      </c>
    </row>
    <row r="183" spans="1:16" x14ac:dyDescent="0.2">
      <c r="A183" s="56">
        <v>39508</v>
      </c>
      <c r="B183" s="57">
        <v>1322.7</v>
      </c>
      <c r="C183" s="57">
        <v>1330.45</v>
      </c>
      <c r="D183" s="57">
        <v>1359.68</v>
      </c>
      <c r="E183" s="57">
        <v>1256.98</v>
      </c>
      <c r="F183" s="51"/>
      <c r="G183" s="58">
        <v>-6.0000000000000001E-3</v>
      </c>
      <c r="H183" s="53">
        <f t="shared" si="3"/>
        <v>-6.9084920400320882E-2</v>
      </c>
      <c r="I183" s="292"/>
      <c r="J183" s="52">
        <v>37948</v>
      </c>
      <c r="K183" s="57">
        <v>1058.2</v>
      </c>
      <c r="L183" s="57">
        <v>1035.28</v>
      </c>
      <c r="M183" s="57">
        <v>1060.6300000000001</v>
      </c>
      <c r="N183" s="57">
        <v>1035.28</v>
      </c>
      <c r="O183" s="51" t="s">
        <v>272</v>
      </c>
      <c r="P183" s="58">
        <v>2.2100000000000002E-2</v>
      </c>
    </row>
    <row r="184" spans="1:16" x14ac:dyDescent="0.2">
      <c r="A184" s="56">
        <v>39479</v>
      </c>
      <c r="B184" s="57">
        <v>1330.63</v>
      </c>
      <c r="C184" s="57">
        <v>1378.6</v>
      </c>
      <c r="D184" s="57">
        <v>1396.02</v>
      </c>
      <c r="E184" s="57">
        <v>1316.75</v>
      </c>
      <c r="F184" s="51"/>
      <c r="G184" s="58">
        <v>-3.4799999999999998E-2</v>
      </c>
      <c r="H184" s="53">
        <f t="shared" si="3"/>
        <v>-5.4157603673533061E-2</v>
      </c>
      <c r="I184" s="292"/>
      <c r="J184" s="52">
        <v>37955</v>
      </c>
      <c r="K184" s="57">
        <v>1061.5</v>
      </c>
      <c r="L184" s="57">
        <v>1058.2</v>
      </c>
      <c r="M184" s="57">
        <v>1074.3</v>
      </c>
      <c r="N184" s="57">
        <v>1058.2</v>
      </c>
      <c r="O184" s="51" t="s">
        <v>256</v>
      </c>
      <c r="P184" s="58">
        <v>3.0999999999999999E-3</v>
      </c>
    </row>
    <row r="185" spans="1:16" x14ac:dyDescent="0.2">
      <c r="A185" s="56">
        <v>39448</v>
      </c>
      <c r="B185" s="57">
        <v>1378.55</v>
      </c>
      <c r="C185" s="57">
        <v>1467.97</v>
      </c>
      <c r="D185" s="57">
        <v>1471.77</v>
      </c>
      <c r="E185" s="57">
        <v>1270.05</v>
      </c>
      <c r="F185" s="51"/>
      <c r="G185" s="58">
        <v>-6.1199999999999997E-2</v>
      </c>
      <c r="H185" s="53">
        <f t="shared" si="3"/>
        <v>-4.1502113694515508E-2</v>
      </c>
      <c r="I185" s="292"/>
      <c r="J185" s="52">
        <v>37962</v>
      </c>
      <c r="K185" s="57">
        <v>1074.1400000000001</v>
      </c>
      <c r="L185" s="57">
        <v>1061.5</v>
      </c>
      <c r="M185" s="57">
        <v>1074.76</v>
      </c>
      <c r="N185" s="57">
        <v>1053.4100000000001</v>
      </c>
      <c r="O185" s="51" t="s">
        <v>159</v>
      </c>
      <c r="P185" s="58">
        <v>1.1900000000000001E-2</v>
      </c>
    </row>
    <row r="186" spans="1:16" x14ac:dyDescent="0.2">
      <c r="A186" s="56">
        <v>39417</v>
      </c>
      <c r="B186" s="57">
        <v>1468.36</v>
      </c>
      <c r="C186" s="57">
        <v>1479.63</v>
      </c>
      <c r="D186" s="57">
        <v>1523.57</v>
      </c>
      <c r="E186" s="57">
        <v>1435.65</v>
      </c>
      <c r="F186" s="51"/>
      <c r="G186" s="58">
        <v>-8.6E-3</v>
      </c>
      <c r="H186" s="53">
        <f t="shared" si="3"/>
        <v>3.5295776633998521E-2</v>
      </c>
      <c r="I186" s="292"/>
      <c r="J186" s="52">
        <v>37969</v>
      </c>
      <c r="K186" s="57">
        <v>1088.6600000000001</v>
      </c>
      <c r="L186" s="57">
        <v>1074.1400000000001</v>
      </c>
      <c r="M186" s="57">
        <v>1091.06</v>
      </c>
      <c r="N186" s="57">
        <v>1068</v>
      </c>
      <c r="O186" s="51" t="s">
        <v>273</v>
      </c>
      <c r="P186" s="58">
        <v>1.35E-2</v>
      </c>
    </row>
    <row r="187" spans="1:16" x14ac:dyDescent="0.2">
      <c r="A187" s="56">
        <v>39387</v>
      </c>
      <c r="B187" s="57">
        <v>1481.14</v>
      </c>
      <c r="C187" s="57">
        <v>1545.79</v>
      </c>
      <c r="D187" s="57">
        <v>1545.79</v>
      </c>
      <c r="E187" s="57">
        <v>1406.1</v>
      </c>
      <c r="F187" s="51"/>
      <c r="G187" s="58">
        <v>-4.3999999999999997E-2</v>
      </c>
      <c r="H187" s="53">
        <f t="shared" si="3"/>
        <v>5.748127628281563E-2</v>
      </c>
      <c r="I187" s="292"/>
      <c r="J187" s="52">
        <v>37976</v>
      </c>
      <c r="K187" s="57">
        <v>1095.8900000000001</v>
      </c>
      <c r="L187" s="57">
        <v>1088.6600000000001</v>
      </c>
      <c r="M187" s="57">
        <v>1098.47</v>
      </c>
      <c r="N187" s="57">
        <v>1086.1400000000001</v>
      </c>
      <c r="O187" s="51" t="s">
        <v>274</v>
      </c>
      <c r="P187" s="58">
        <v>6.6E-3</v>
      </c>
    </row>
    <row r="188" spans="1:16" x14ac:dyDescent="0.2">
      <c r="A188" s="56">
        <v>39356</v>
      </c>
      <c r="B188" s="57">
        <v>1549.38</v>
      </c>
      <c r="C188" s="57">
        <v>1527.29</v>
      </c>
      <c r="D188" s="57">
        <v>1576.09</v>
      </c>
      <c r="E188" s="57">
        <v>1489.56</v>
      </c>
      <c r="F188" s="51"/>
      <c r="G188" s="58">
        <v>1.4800000000000001E-2</v>
      </c>
      <c r="H188" s="53">
        <f t="shared" si="3"/>
        <v>0.12441760889443665</v>
      </c>
      <c r="I188" s="292"/>
      <c r="J188" s="52">
        <v>37983</v>
      </c>
      <c r="K188" s="57">
        <v>1108.48</v>
      </c>
      <c r="L188" s="57">
        <v>1095.8900000000001</v>
      </c>
      <c r="M188" s="57">
        <v>1118.8499999999999</v>
      </c>
      <c r="N188" s="57">
        <v>1095.8900000000001</v>
      </c>
      <c r="O188" s="51" t="s">
        <v>275</v>
      </c>
      <c r="P188" s="58">
        <v>1.15E-2</v>
      </c>
    </row>
    <row r="189" spans="1:16" x14ac:dyDescent="0.2">
      <c r="A189" s="56">
        <v>39326</v>
      </c>
      <c r="B189" s="57">
        <v>1526.75</v>
      </c>
      <c r="C189" s="57">
        <v>1473.96</v>
      </c>
      <c r="D189" s="57">
        <v>1538.74</v>
      </c>
      <c r="E189" s="57">
        <v>1439.29</v>
      </c>
      <c r="F189" s="51"/>
      <c r="G189" s="58">
        <v>3.5799999999999998E-2</v>
      </c>
      <c r="H189" s="53">
        <f t="shared" si="3"/>
        <v>0.14290526630984024</v>
      </c>
      <c r="I189" s="292"/>
      <c r="J189" s="52">
        <v>37990</v>
      </c>
      <c r="K189" s="57">
        <v>1121.8599999999999</v>
      </c>
      <c r="L189" s="57">
        <v>1108.48</v>
      </c>
      <c r="M189" s="57">
        <v>1131.92</v>
      </c>
      <c r="N189" s="57">
        <v>1108.48</v>
      </c>
      <c r="O189" s="51" t="s">
        <v>276</v>
      </c>
      <c r="P189" s="58">
        <v>1.21E-2</v>
      </c>
    </row>
    <row r="190" spans="1:16" x14ac:dyDescent="0.2">
      <c r="A190" s="56">
        <v>39295</v>
      </c>
      <c r="B190" s="57">
        <v>1473.99</v>
      </c>
      <c r="C190" s="57">
        <v>1455.18</v>
      </c>
      <c r="D190" s="57">
        <v>1503.89</v>
      </c>
      <c r="E190" s="57">
        <v>1370.6</v>
      </c>
      <c r="F190" s="51"/>
      <c r="G190" s="58">
        <v>1.29E-2</v>
      </c>
      <c r="H190" s="53">
        <f t="shared" si="3"/>
        <v>0.1305164823365188</v>
      </c>
      <c r="I190" s="292"/>
      <c r="J190" s="52">
        <v>37997</v>
      </c>
      <c r="K190" s="57">
        <v>1139.83</v>
      </c>
      <c r="L190" s="57">
        <v>1121.8599999999999</v>
      </c>
      <c r="M190" s="57">
        <v>1139.83</v>
      </c>
      <c r="N190" s="57">
        <v>1115.19</v>
      </c>
      <c r="O190" s="51" t="s">
        <v>217</v>
      </c>
      <c r="P190" s="58">
        <v>1.6E-2</v>
      </c>
    </row>
    <row r="191" spans="1:16" x14ac:dyDescent="0.2">
      <c r="A191" s="56">
        <v>39264</v>
      </c>
      <c r="B191" s="57">
        <v>1455.27</v>
      </c>
      <c r="C191" s="57">
        <v>1504.66</v>
      </c>
      <c r="D191" s="57">
        <v>1555.9</v>
      </c>
      <c r="E191" s="57">
        <v>1454.25</v>
      </c>
      <c r="F191" s="51"/>
      <c r="G191" s="58">
        <v>-3.2000000000000001E-2</v>
      </c>
      <c r="H191" s="53">
        <f t="shared" si="3"/>
        <v>0.13990412482571712</v>
      </c>
      <c r="I191" s="292"/>
      <c r="J191" s="52">
        <v>38004</v>
      </c>
      <c r="K191" s="57">
        <v>1141.55</v>
      </c>
      <c r="L191" s="57">
        <v>1139.83</v>
      </c>
      <c r="M191" s="57">
        <v>1150.51</v>
      </c>
      <c r="N191" s="57">
        <v>1134.6199999999999</v>
      </c>
      <c r="O191" s="51" t="s">
        <v>277</v>
      </c>
      <c r="P191" s="58">
        <v>1.5E-3</v>
      </c>
    </row>
    <row r="192" spans="1:16" x14ac:dyDescent="0.2">
      <c r="A192" s="56">
        <v>39234</v>
      </c>
      <c r="B192" s="57">
        <v>1503.35</v>
      </c>
      <c r="C192" s="57">
        <v>1530.62</v>
      </c>
      <c r="D192" s="57">
        <v>1540.56</v>
      </c>
      <c r="E192" s="57">
        <v>1484.18</v>
      </c>
      <c r="F192" s="51"/>
      <c r="G192" s="58">
        <v>-1.78E-2</v>
      </c>
      <c r="H192" s="53">
        <f t="shared" si="3"/>
        <v>0.18355377105967552</v>
      </c>
      <c r="I192" s="292"/>
      <c r="J192" s="52">
        <v>38011</v>
      </c>
      <c r="K192" s="57">
        <v>1131.1300000000001</v>
      </c>
      <c r="L192" s="57">
        <v>1141.55</v>
      </c>
      <c r="M192" s="57">
        <v>1155.3800000000001</v>
      </c>
      <c r="N192" s="57">
        <v>1122.3800000000001</v>
      </c>
      <c r="O192" s="51" t="s">
        <v>278</v>
      </c>
      <c r="P192" s="58">
        <v>-9.1000000000000004E-3</v>
      </c>
    </row>
    <row r="193" spans="1:16" x14ac:dyDescent="0.2">
      <c r="A193" s="56">
        <v>39203</v>
      </c>
      <c r="B193" s="57">
        <v>1530.62</v>
      </c>
      <c r="C193" s="57">
        <v>1482.37</v>
      </c>
      <c r="D193" s="57">
        <v>1535.56</v>
      </c>
      <c r="E193" s="57">
        <v>1476.7</v>
      </c>
      <c r="F193" s="51"/>
      <c r="G193" s="58">
        <v>3.2500000000000001E-2</v>
      </c>
      <c r="H193" s="53">
        <f t="shared" si="3"/>
        <v>0.20512719571054028</v>
      </c>
      <c r="I193" s="292"/>
      <c r="J193" s="52">
        <v>38018</v>
      </c>
      <c r="K193" s="57">
        <v>1142.76</v>
      </c>
      <c r="L193" s="57">
        <v>1131.1300000000001</v>
      </c>
      <c r="M193" s="57">
        <v>1142.79</v>
      </c>
      <c r="N193" s="57">
        <v>1124.44</v>
      </c>
      <c r="O193" s="51" t="s">
        <v>279</v>
      </c>
      <c r="P193" s="58">
        <v>1.03E-2</v>
      </c>
    </row>
    <row r="194" spans="1:16" x14ac:dyDescent="0.2">
      <c r="A194" s="56">
        <v>39173</v>
      </c>
      <c r="B194" s="57">
        <v>1482.37</v>
      </c>
      <c r="C194" s="57">
        <v>1420.83</v>
      </c>
      <c r="D194" s="57">
        <v>1498.02</v>
      </c>
      <c r="E194" s="57">
        <v>1416.37</v>
      </c>
      <c r="F194" s="51"/>
      <c r="G194" s="58">
        <v>4.3299999999999998E-2</v>
      </c>
      <c r="H194" s="53">
        <f t="shared" si="3"/>
        <v>0.13105347891439867</v>
      </c>
      <c r="I194" s="292"/>
      <c r="J194" s="52">
        <v>38025</v>
      </c>
      <c r="K194" s="57">
        <v>1145.81</v>
      </c>
      <c r="L194" s="57">
        <v>1142.76</v>
      </c>
      <c r="M194" s="57">
        <v>1158.8900000000001</v>
      </c>
      <c r="N194" s="57">
        <v>1138.7</v>
      </c>
      <c r="O194" s="51" t="s">
        <v>280</v>
      </c>
      <c r="P194" s="58">
        <v>2.7000000000000001E-3</v>
      </c>
    </row>
    <row r="195" spans="1:16" x14ac:dyDescent="0.2">
      <c r="A195" s="56">
        <v>39142</v>
      </c>
      <c r="B195" s="57">
        <v>1420.86</v>
      </c>
      <c r="C195" s="57">
        <v>1406.8</v>
      </c>
      <c r="D195" s="57">
        <v>1438.89</v>
      </c>
      <c r="E195" s="57">
        <v>1363.98</v>
      </c>
      <c r="F195" s="51"/>
      <c r="G195" s="58">
        <v>0.01</v>
      </c>
      <c r="H195" s="53">
        <f t="shared" si="3"/>
        <v>9.7333240657074604E-2</v>
      </c>
      <c r="I195" s="292"/>
      <c r="J195" s="52">
        <v>38032</v>
      </c>
      <c r="K195" s="57">
        <v>1144.1099999999999</v>
      </c>
      <c r="L195" s="57">
        <v>1145.81</v>
      </c>
      <c r="M195" s="57">
        <v>1158.98</v>
      </c>
      <c r="N195" s="57">
        <v>1139</v>
      </c>
      <c r="O195" s="51" t="s">
        <v>168</v>
      </c>
      <c r="P195" s="58">
        <v>-1.5E-3</v>
      </c>
    </row>
    <row r="196" spans="1:16" x14ac:dyDescent="0.2">
      <c r="A196" s="56">
        <v>39114</v>
      </c>
      <c r="B196" s="57">
        <v>1406.82</v>
      </c>
      <c r="C196" s="57">
        <v>1437.9</v>
      </c>
      <c r="D196" s="57">
        <v>1461.57</v>
      </c>
      <c r="E196" s="57">
        <v>1389.42</v>
      </c>
      <c r="F196" s="51"/>
      <c r="G196" s="58">
        <v>-2.18E-2</v>
      </c>
      <c r="H196" s="53">
        <f t="shared" si="3"/>
        <v>9.8511704902159769E-2</v>
      </c>
      <c r="I196" s="292"/>
      <c r="J196" s="52">
        <v>38039</v>
      </c>
      <c r="K196" s="57">
        <v>1144.94</v>
      </c>
      <c r="L196" s="57">
        <v>1144.1099999999999</v>
      </c>
      <c r="M196" s="57">
        <v>1151.68</v>
      </c>
      <c r="N196" s="57">
        <v>1134.43</v>
      </c>
      <c r="O196" s="51" t="s">
        <v>253</v>
      </c>
      <c r="P196" s="58">
        <v>6.9999999999999999E-4</v>
      </c>
    </row>
    <row r="197" spans="1:16" x14ac:dyDescent="0.2">
      <c r="A197" s="56">
        <v>39083</v>
      </c>
      <c r="B197" s="57">
        <v>1438.24</v>
      </c>
      <c r="C197" s="57">
        <v>1418.03</v>
      </c>
      <c r="D197" s="57">
        <v>1441.61</v>
      </c>
      <c r="E197" s="57">
        <v>1403.97</v>
      </c>
      <c r="F197" s="51"/>
      <c r="G197" s="58">
        <v>1.41E-2</v>
      </c>
      <c r="H197" s="53">
        <f t="shared" si="3"/>
        <v>0.12355477782638591</v>
      </c>
      <c r="I197" s="292"/>
      <c r="J197" s="52">
        <v>38046</v>
      </c>
      <c r="K197" s="57">
        <v>1156.8599999999999</v>
      </c>
      <c r="L197" s="57">
        <v>1144.94</v>
      </c>
      <c r="M197" s="57">
        <v>1163.23</v>
      </c>
      <c r="N197" s="57">
        <v>1143.78</v>
      </c>
      <c r="O197" s="51" t="s">
        <v>281</v>
      </c>
      <c r="P197" s="58">
        <v>1.04E-2</v>
      </c>
    </row>
    <row r="198" spans="1:16" x14ac:dyDescent="0.2">
      <c r="A198" s="56">
        <v>39052</v>
      </c>
      <c r="B198" s="57">
        <v>1418.3</v>
      </c>
      <c r="C198" s="57">
        <v>1400.63</v>
      </c>
      <c r="D198" s="57">
        <v>1431.81</v>
      </c>
      <c r="E198" s="57">
        <v>1385.93</v>
      </c>
      <c r="F198" s="51"/>
      <c r="G198" s="58">
        <v>1.26E-2</v>
      </c>
      <c r="H198" s="53">
        <f t="shared" si="3"/>
        <v>0.13619431382130753</v>
      </c>
      <c r="I198" s="292"/>
      <c r="J198" s="52">
        <v>38053</v>
      </c>
      <c r="K198" s="57">
        <v>1120.57</v>
      </c>
      <c r="L198" s="57">
        <v>1156.8599999999999</v>
      </c>
      <c r="M198" s="57">
        <v>1159.94</v>
      </c>
      <c r="N198" s="57">
        <v>1105.8699999999999</v>
      </c>
      <c r="O198" s="51" t="s">
        <v>282</v>
      </c>
      <c r="P198" s="58">
        <v>-3.1399999999999997E-2</v>
      </c>
    </row>
    <row r="199" spans="1:16" x14ac:dyDescent="0.2">
      <c r="A199" s="56">
        <v>39022</v>
      </c>
      <c r="B199" s="57">
        <v>1400.63</v>
      </c>
      <c r="C199" s="57">
        <v>1377.76</v>
      </c>
      <c r="D199" s="57">
        <v>1407.89</v>
      </c>
      <c r="E199" s="57">
        <v>1360.98</v>
      </c>
      <c r="F199" s="51"/>
      <c r="G199" s="58">
        <v>1.6500000000000001E-2</v>
      </c>
      <c r="H199" s="53">
        <f t="shared" si="3"/>
        <v>0.12097032365464044</v>
      </c>
      <c r="I199" s="292"/>
      <c r="J199" s="52">
        <v>38060</v>
      </c>
      <c r="K199" s="57">
        <v>1109.78</v>
      </c>
      <c r="L199" s="57">
        <v>1120.57</v>
      </c>
      <c r="M199" s="57">
        <v>1125.76</v>
      </c>
      <c r="N199" s="57">
        <v>1102.6099999999999</v>
      </c>
      <c r="O199" s="51" t="s">
        <v>283</v>
      </c>
      <c r="P199" s="58">
        <v>-9.5999999999999992E-3</v>
      </c>
    </row>
    <row r="200" spans="1:16" x14ac:dyDescent="0.2">
      <c r="A200" s="56">
        <v>38991</v>
      </c>
      <c r="B200" s="57">
        <v>1377.94</v>
      </c>
      <c r="C200" s="57">
        <v>1335.82</v>
      </c>
      <c r="D200" s="57">
        <v>1389.45</v>
      </c>
      <c r="E200" s="57">
        <v>1327.1</v>
      </c>
      <c r="F200" s="51"/>
      <c r="G200" s="58">
        <v>3.15E-2</v>
      </c>
      <c r="H200" s="53">
        <f t="shared" si="3"/>
        <v>0.1416144025318764</v>
      </c>
      <c r="I200" s="292"/>
      <c r="J200" s="52">
        <v>38067</v>
      </c>
      <c r="K200" s="57">
        <v>1108.06</v>
      </c>
      <c r="L200" s="57">
        <v>1109.78</v>
      </c>
      <c r="M200" s="57">
        <v>1115.27</v>
      </c>
      <c r="N200" s="57">
        <v>1087.1600000000001</v>
      </c>
      <c r="O200" s="51" t="s">
        <v>260</v>
      </c>
      <c r="P200" s="58">
        <v>-1.5E-3</v>
      </c>
    </row>
    <row r="201" spans="1:16" x14ac:dyDescent="0.2">
      <c r="A201" s="56">
        <v>38961</v>
      </c>
      <c r="B201" s="57">
        <v>1335.85</v>
      </c>
      <c r="C201" s="57">
        <v>1303.8</v>
      </c>
      <c r="D201" s="57">
        <v>1340.28</v>
      </c>
      <c r="E201" s="57">
        <v>1290.93</v>
      </c>
      <c r="F201" s="51"/>
      <c r="G201" s="58">
        <v>2.46E-2</v>
      </c>
      <c r="H201" s="53">
        <f t="shared" si="3"/>
        <v>8.7108666107860389E-2</v>
      </c>
      <c r="I201" s="292"/>
      <c r="J201" s="52">
        <v>38074</v>
      </c>
      <c r="K201" s="57">
        <v>1141.81</v>
      </c>
      <c r="L201" s="57">
        <v>1108.06</v>
      </c>
      <c r="M201" s="57">
        <v>1144.81</v>
      </c>
      <c r="N201" s="57">
        <v>1108.06</v>
      </c>
      <c r="O201" s="51" t="s">
        <v>240</v>
      </c>
      <c r="P201" s="58">
        <v>3.0499999999999999E-2</v>
      </c>
    </row>
    <row r="202" spans="1:16" x14ac:dyDescent="0.2">
      <c r="A202" s="56">
        <v>38930</v>
      </c>
      <c r="B202" s="57">
        <v>1303.82</v>
      </c>
      <c r="C202" s="57">
        <v>1278.53</v>
      </c>
      <c r="D202" s="57">
        <v>1306.74</v>
      </c>
      <c r="E202" s="57">
        <v>1261.3</v>
      </c>
      <c r="F202" s="51"/>
      <c r="G202" s="58">
        <v>2.1299999999999999E-2</v>
      </c>
      <c r="H202" s="53">
        <f t="shared" si="3"/>
        <v>6.8415920283857679E-2</v>
      </c>
      <c r="I202" s="292"/>
      <c r="J202" s="52">
        <v>38081</v>
      </c>
      <c r="K202" s="57">
        <v>1139.32</v>
      </c>
      <c r="L202" s="57">
        <v>1141.81</v>
      </c>
      <c r="M202" s="57">
        <v>1150.57</v>
      </c>
      <c r="N202" s="57">
        <v>1134.52</v>
      </c>
      <c r="O202" s="51" t="s">
        <v>284</v>
      </c>
      <c r="P202" s="58">
        <v>-2.2000000000000001E-3</v>
      </c>
    </row>
    <row r="203" spans="1:16" x14ac:dyDescent="0.2">
      <c r="A203" s="56">
        <v>38899</v>
      </c>
      <c r="B203" s="57">
        <v>1276.6600000000001</v>
      </c>
      <c r="C203" s="57">
        <v>1270.06</v>
      </c>
      <c r="D203" s="57">
        <v>1280.42</v>
      </c>
      <c r="E203" s="57">
        <v>1224.54</v>
      </c>
      <c r="F203" s="51"/>
      <c r="G203" s="58">
        <v>5.1000000000000004E-3</v>
      </c>
      <c r="H203" s="53">
        <f t="shared" si="3"/>
        <v>3.4419614642920759E-2</v>
      </c>
      <c r="I203" s="292"/>
      <c r="J203" s="52">
        <v>38088</v>
      </c>
      <c r="K203" s="57">
        <v>1134.6099999999999</v>
      </c>
      <c r="L203" s="57">
        <v>1139.32</v>
      </c>
      <c r="M203" s="57">
        <v>1147.78</v>
      </c>
      <c r="N203" s="57">
        <v>1120.75</v>
      </c>
      <c r="O203" s="51" t="s">
        <v>247</v>
      </c>
      <c r="P203" s="58">
        <v>-4.1000000000000003E-3</v>
      </c>
    </row>
    <row r="204" spans="1:16" x14ac:dyDescent="0.2">
      <c r="A204" s="56">
        <v>38869</v>
      </c>
      <c r="B204" s="57">
        <v>1270.2</v>
      </c>
      <c r="C204" s="57">
        <v>1270.05</v>
      </c>
      <c r="D204" s="57">
        <v>1290.68</v>
      </c>
      <c r="E204" s="57">
        <v>1219.29</v>
      </c>
      <c r="F204" s="51"/>
      <c r="G204" s="58">
        <v>1E-4</v>
      </c>
      <c r="H204" s="53">
        <f t="shared" si="3"/>
        <v>6.6203318979627834E-2</v>
      </c>
      <c r="I204" s="292"/>
      <c r="J204" s="52">
        <v>38095</v>
      </c>
      <c r="K204" s="57">
        <v>1140.5999999999999</v>
      </c>
      <c r="L204" s="57">
        <v>1134.56</v>
      </c>
      <c r="M204" s="57">
        <v>1142.77</v>
      </c>
      <c r="N204" s="57">
        <v>1116.03</v>
      </c>
      <c r="O204" s="51" t="s">
        <v>245</v>
      </c>
      <c r="P204" s="58">
        <v>5.3E-3</v>
      </c>
    </row>
    <row r="205" spans="1:16" x14ac:dyDescent="0.2">
      <c r="A205" s="56">
        <v>38838</v>
      </c>
      <c r="B205" s="57">
        <v>1270.0899999999999</v>
      </c>
      <c r="C205" s="57">
        <v>1310.6099999999999</v>
      </c>
      <c r="D205" s="57">
        <v>1326.7</v>
      </c>
      <c r="E205" s="57">
        <v>1245.3399999999999</v>
      </c>
      <c r="F205" s="51"/>
      <c r="G205" s="58">
        <v>-3.09E-2</v>
      </c>
      <c r="H205" s="53">
        <f t="shared" si="3"/>
        <v>6.5958875367184255E-2</v>
      </c>
      <c r="I205" s="292"/>
      <c r="J205" s="52">
        <v>38102</v>
      </c>
      <c r="K205" s="57">
        <v>1107.3</v>
      </c>
      <c r="L205" s="57">
        <v>1140.5999999999999</v>
      </c>
      <c r="M205" s="57">
        <v>1146.56</v>
      </c>
      <c r="N205" s="57">
        <v>1107.23</v>
      </c>
      <c r="O205" s="51" t="s">
        <v>285</v>
      </c>
      <c r="P205" s="58">
        <v>-2.92E-2</v>
      </c>
    </row>
    <row r="206" spans="1:16" x14ac:dyDescent="0.2">
      <c r="A206" s="56">
        <v>38808</v>
      </c>
      <c r="B206" s="57">
        <v>1310.6099999999999</v>
      </c>
      <c r="C206" s="57">
        <v>1302.8800000000001</v>
      </c>
      <c r="D206" s="57">
        <v>1318.16</v>
      </c>
      <c r="E206" s="57">
        <v>1280.74</v>
      </c>
      <c r="F206" s="51"/>
      <c r="G206" s="58">
        <v>1.2200000000000001E-2</v>
      </c>
      <c r="H206" s="53">
        <f t="shared" si="3"/>
        <v>0.13291265073259284</v>
      </c>
      <c r="I206" s="292"/>
      <c r="J206" s="52">
        <v>38109</v>
      </c>
      <c r="K206" s="57">
        <v>1098.7</v>
      </c>
      <c r="L206" s="57">
        <v>1107.3</v>
      </c>
      <c r="M206" s="57">
        <v>1127.74</v>
      </c>
      <c r="N206" s="57">
        <v>1098.6300000000001</v>
      </c>
      <c r="O206" s="51" t="s">
        <v>286</v>
      </c>
      <c r="P206" s="58">
        <v>-7.7999999999999996E-3</v>
      </c>
    </row>
    <row r="207" spans="1:16" x14ac:dyDescent="0.2">
      <c r="A207" s="56">
        <v>38777</v>
      </c>
      <c r="B207" s="57">
        <v>1294.83</v>
      </c>
      <c r="C207" s="57">
        <v>1280.6600000000001</v>
      </c>
      <c r="D207" s="57">
        <v>1310.88</v>
      </c>
      <c r="E207" s="57">
        <v>1268.42</v>
      </c>
      <c r="F207" s="51"/>
      <c r="G207" s="58">
        <v>1.11E-2</v>
      </c>
      <c r="H207" s="53">
        <f t="shared" si="3"/>
        <v>9.6765176733667024E-2</v>
      </c>
      <c r="I207" s="292"/>
      <c r="J207" s="52">
        <v>38116</v>
      </c>
      <c r="K207" s="57">
        <v>1095.7</v>
      </c>
      <c r="L207" s="57">
        <v>1098.7</v>
      </c>
      <c r="M207" s="57">
        <v>1102.77</v>
      </c>
      <c r="N207" s="57">
        <v>1076.32</v>
      </c>
      <c r="O207" s="51" t="s">
        <v>287</v>
      </c>
      <c r="P207" s="58">
        <v>-2.7000000000000001E-3</v>
      </c>
    </row>
    <row r="208" spans="1:16" x14ac:dyDescent="0.2">
      <c r="A208" s="56">
        <v>38749</v>
      </c>
      <c r="B208" s="57">
        <v>1280.6600000000001</v>
      </c>
      <c r="C208" s="57">
        <v>1280.08</v>
      </c>
      <c r="D208" s="57">
        <v>1297.57</v>
      </c>
      <c r="E208" s="57">
        <v>1253.6099999999999</v>
      </c>
      <c r="F208" s="51"/>
      <c r="G208" s="58">
        <v>5.0000000000000001E-4</v>
      </c>
      <c r="H208" s="53">
        <f t="shared" si="3"/>
        <v>6.4024592888002774E-2</v>
      </c>
      <c r="I208" s="292"/>
      <c r="J208" s="52">
        <v>38123</v>
      </c>
      <c r="K208" s="57">
        <v>1093.56</v>
      </c>
      <c r="L208" s="57">
        <v>1095.7</v>
      </c>
      <c r="M208" s="57">
        <v>1105.93</v>
      </c>
      <c r="N208" s="57">
        <v>1079.3599999999999</v>
      </c>
      <c r="O208" s="51" t="s">
        <v>160</v>
      </c>
      <c r="P208" s="58">
        <v>-2E-3</v>
      </c>
    </row>
    <row r="209" spans="1:16" x14ac:dyDescent="0.2">
      <c r="A209" s="56">
        <v>38718</v>
      </c>
      <c r="B209" s="57">
        <v>1280.08</v>
      </c>
      <c r="C209" s="57">
        <v>1248.29</v>
      </c>
      <c r="D209" s="57">
        <v>1294.9000000000001</v>
      </c>
      <c r="E209" s="57">
        <v>1245.74</v>
      </c>
      <c r="F209" s="51"/>
      <c r="G209" s="58">
        <v>2.5499999999999998E-2</v>
      </c>
      <c r="H209" s="53">
        <f t="shared" si="3"/>
        <v>8.3647260998755524E-2</v>
      </c>
      <c r="I209" s="292"/>
      <c r="J209" s="52">
        <v>38130</v>
      </c>
      <c r="K209" s="57">
        <v>1120.68</v>
      </c>
      <c r="L209" s="57">
        <v>1093.56</v>
      </c>
      <c r="M209" s="57">
        <v>1123.95</v>
      </c>
      <c r="N209" s="57">
        <v>1090.74</v>
      </c>
      <c r="O209" s="51" t="s">
        <v>288</v>
      </c>
      <c r="P209" s="58">
        <v>2.4799999999999999E-2</v>
      </c>
    </row>
    <row r="210" spans="1:16" x14ac:dyDescent="0.2">
      <c r="A210" s="56">
        <v>38687</v>
      </c>
      <c r="B210" s="57">
        <v>1248.29</v>
      </c>
      <c r="C210" s="57">
        <v>1249.48</v>
      </c>
      <c r="D210" s="57">
        <v>1275.8</v>
      </c>
      <c r="E210" s="57">
        <v>1246.5899999999999</v>
      </c>
      <c r="F210" s="51"/>
      <c r="G210" s="58">
        <v>-1E-3</v>
      </c>
      <c r="H210" s="53">
        <f t="shared" ref="H210:H273" si="4">B210/B222-1</f>
        <v>3.0010231698461842E-2</v>
      </c>
      <c r="I210" s="292"/>
      <c r="J210" s="52">
        <v>38137</v>
      </c>
      <c r="K210" s="57">
        <v>1122.5</v>
      </c>
      <c r="L210" s="57">
        <v>1120.68</v>
      </c>
      <c r="M210" s="57">
        <v>1129.17</v>
      </c>
      <c r="N210" s="57">
        <v>1113.32</v>
      </c>
      <c r="O210" s="51" t="s">
        <v>289</v>
      </c>
      <c r="P210" s="58">
        <v>1.6000000000000001E-3</v>
      </c>
    </row>
    <row r="211" spans="1:16" x14ac:dyDescent="0.2">
      <c r="A211" s="56">
        <v>38657</v>
      </c>
      <c r="B211" s="57">
        <v>1249.48</v>
      </c>
      <c r="C211" s="57">
        <v>1207.01</v>
      </c>
      <c r="D211" s="57">
        <v>1270.6400000000001</v>
      </c>
      <c r="E211" s="57">
        <v>1201.07</v>
      </c>
      <c r="F211" s="51"/>
      <c r="G211" s="58">
        <v>3.5200000000000002E-2</v>
      </c>
      <c r="H211" s="53">
        <f t="shared" si="4"/>
        <v>6.445621986335226E-2</v>
      </c>
      <c r="I211" s="292"/>
      <c r="J211" s="52">
        <v>38144</v>
      </c>
      <c r="K211" s="57">
        <v>1136.47</v>
      </c>
      <c r="L211" s="57">
        <v>1122.5</v>
      </c>
      <c r="M211" s="57">
        <v>1142.18</v>
      </c>
      <c r="N211" s="57">
        <v>1122.5</v>
      </c>
      <c r="O211" s="51" t="s">
        <v>289</v>
      </c>
      <c r="P211" s="58">
        <v>1.24E-2</v>
      </c>
    </row>
    <row r="212" spans="1:16" x14ac:dyDescent="0.2">
      <c r="A212" s="56">
        <v>38626</v>
      </c>
      <c r="B212" s="57">
        <v>1207.01</v>
      </c>
      <c r="C212" s="57">
        <v>1228.81</v>
      </c>
      <c r="D212" s="57">
        <v>1233.3399999999999</v>
      </c>
      <c r="E212" s="57">
        <v>1168.2</v>
      </c>
      <c r="F212" s="51"/>
      <c r="G212" s="58">
        <v>-1.77E-2</v>
      </c>
      <c r="H212" s="53">
        <f t="shared" si="4"/>
        <v>6.7961422757034207E-2</v>
      </c>
      <c r="I212" s="292"/>
      <c r="J212" s="52">
        <v>38151</v>
      </c>
      <c r="K212" s="57">
        <v>1135.02</v>
      </c>
      <c r="L212" s="57">
        <v>1136.47</v>
      </c>
      <c r="M212" s="57">
        <v>1138.96</v>
      </c>
      <c r="N212" s="57">
        <v>1122.1600000000001</v>
      </c>
      <c r="O212" s="51" t="s">
        <v>270</v>
      </c>
      <c r="P212" s="58">
        <v>-1.2999999999999999E-3</v>
      </c>
    </row>
    <row r="213" spans="1:16" x14ac:dyDescent="0.2">
      <c r="A213" s="56">
        <v>38596</v>
      </c>
      <c r="B213" s="57">
        <v>1228.81</v>
      </c>
      <c r="C213" s="57">
        <v>1220.33</v>
      </c>
      <c r="D213" s="57">
        <v>1243.1300000000001</v>
      </c>
      <c r="E213" s="57">
        <v>1205.3499999999999</v>
      </c>
      <c r="F213" s="51"/>
      <c r="G213" s="58">
        <v>6.8999999999999999E-3</v>
      </c>
      <c r="H213" s="53">
        <f t="shared" si="4"/>
        <v>0.10248703547524629</v>
      </c>
      <c r="I213" s="292"/>
      <c r="J213" s="52">
        <v>38158</v>
      </c>
      <c r="K213" s="57">
        <v>1134.43</v>
      </c>
      <c r="L213" s="57">
        <v>1135.02</v>
      </c>
      <c r="M213" s="57">
        <v>1146.3399999999999</v>
      </c>
      <c r="N213" s="57">
        <v>1124.3699999999999</v>
      </c>
      <c r="O213" s="51" t="s">
        <v>290</v>
      </c>
      <c r="P213" s="58">
        <v>-5.0000000000000001E-4</v>
      </c>
    </row>
    <row r="214" spans="1:16" x14ac:dyDescent="0.2">
      <c r="A214" s="56">
        <v>38565</v>
      </c>
      <c r="B214" s="57">
        <v>1220.33</v>
      </c>
      <c r="C214" s="57">
        <v>1234.18</v>
      </c>
      <c r="D214" s="57">
        <v>1245.8599999999999</v>
      </c>
      <c r="E214" s="57">
        <v>1201.07</v>
      </c>
      <c r="F214" s="51"/>
      <c r="G214" s="58">
        <v>-1.12E-2</v>
      </c>
      <c r="H214" s="53">
        <f t="shared" si="4"/>
        <v>0.1051311309135694</v>
      </c>
      <c r="I214" s="292"/>
      <c r="J214" s="52">
        <v>38165</v>
      </c>
      <c r="K214" s="57">
        <v>1125.3800000000001</v>
      </c>
      <c r="L214" s="57">
        <v>1134.43</v>
      </c>
      <c r="M214" s="57">
        <v>1144.2</v>
      </c>
      <c r="N214" s="57">
        <v>1123.06</v>
      </c>
      <c r="O214" s="51" t="s">
        <v>291</v>
      </c>
      <c r="P214" s="58">
        <v>-8.0000000000000002E-3</v>
      </c>
    </row>
    <row r="215" spans="1:16" x14ac:dyDescent="0.2">
      <c r="A215" s="56">
        <v>38534</v>
      </c>
      <c r="B215" s="57">
        <v>1234.18</v>
      </c>
      <c r="C215" s="57">
        <v>1191.33</v>
      </c>
      <c r="D215" s="57">
        <v>1245.1500000000001</v>
      </c>
      <c r="E215" s="57">
        <v>1183.55</v>
      </c>
      <c r="F215" s="51"/>
      <c r="G215" s="58">
        <v>3.5999999999999997E-2</v>
      </c>
      <c r="H215" s="53">
        <f t="shared" si="4"/>
        <v>0.1202301855280834</v>
      </c>
      <c r="I215" s="292"/>
      <c r="J215" s="52">
        <v>38172</v>
      </c>
      <c r="K215" s="57">
        <v>1112.81</v>
      </c>
      <c r="L215" s="57">
        <v>1125.3800000000001</v>
      </c>
      <c r="M215" s="57">
        <v>1125.3800000000001</v>
      </c>
      <c r="N215" s="57">
        <v>1108.72</v>
      </c>
      <c r="O215" s="51" t="s">
        <v>292</v>
      </c>
      <c r="P215" s="58">
        <v>-1.12E-2</v>
      </c>
    </row>
    <row r="216" spans="1:16" x14ac:dyDescent="0.2">
      <c r="A216" s="56">
        <v>38504</v>
      </c>
      <c r="B216" s="57">
        <v>1191.33</v>
      </c>
      <c r="C216" s="57">
        <v>1191.5</v>
      </c>
      <c r="D216" s="57">
        <v>1219.5899999999999</v>
      </c>
      <c r="E216" s="57">
        <v>1188.3</v>
      </c>
      <c r="F216" s="51"/>
      <c r="G216" s="58">
        <v>-1E-4</v>
      </c>
      <c r="H216" s="53">
        <f t="shared" si="4"/>
        <v>4.4256863363837162E-2</v>
      </c>
      <c r="I216" s="292"/>
      <c r="J216" s="52">
        <v>38179</v>
      </c>
      <c r="K216" s="57">
        <v>1101.3900000000001</v>
      </c>
      <c r="L216" s="57">
        <v>1112.81</v>
      </c>
      <c r="M216" s="57">
        <v>1119.5999999999999</v>
      </c>
      <c r="N216" s="57">
        <v>1101.07</v>
      </c>
      <c r="O216" s="51" t="s">
        <v>222</v>
      </c>
      <c r="P216" s="58">
        <v>-1.03E-2</v>
      </c>
    </row>
    <row r="217" spans="1:16" x14ac:dyDescent="0.2">
      <c r="A217" s="56">
        <v>38473</v>
      </c>
      <c r="B217" s="57">
        <v>1191.5</v>
      </c>
      <c r="C217" s="57">
        <v>1156.8499999999999</v>
      </c>
      <c r="D217" s="57">
        <v>1199.56</v>
      </c>
      <c r="E217" s="57">
        <v>1146.18</v>
      </c>
      <c r="F217" s="51"/>
      <c r="G217" s="58">
        <v>0.03</v>
      </c>
      <c r="H217" s="53">
        <f t="shared" si="4"/>
        <v>6.3193775207909475E-2</v>
      </c>
      <c r="I217" s="292"/>
      <c r="J217" s="52">
        <v>38186</v>
      </c>
      <c r="K217" s="57">
        <v>1086.2</v>
      </c>
      <c r="L217" s="57">
        <v>1101.3900000000001</v>
      </c>
      <c r="M217" s="57">
        <v>1116.27</v>
      </c>
      <c r="N217" s="57">
        <v>1083.56</v>
      </c>
      <c r="O217" s="51" t="s">
        <v>293</v>
      </c>
      <c r="P217" s="58">
        <v>-1.38E-2</v>
      </c>
    </row>
    <row r="218" spans="1:16" x14ac:dyDescent="0.2">
      <c r="A218" s="56">
        <v>38443</v>
      </c>
      <c r="B218" s="57">
        <v>1156.8499999999999</v>
      </c>
      <c r="C218" s="57">
        <v>1180.5899999999999</v>
      </c>
      <c r="D218" s="57">
        <v>1191.8800000000001</v>
      </c>
      <c r="E218" s="57">
        <v>1136.1500000000001</v>
      </c>
      <c r="F218" s="51"/>
      <c r="G218" s="58">
        <v>-2.01E-2</v>
      </c>
      <c r="H218" s="53">
        <f t="shared" si="4"/>
        <v>4.4748487311478291E-2</v>
      </c>
      <c r="I218" s="292"/>
      <c r="J218" s="52">
        <v>38193</v>
      </c>
      <c r="K218" s="57">
        <v>1101.72</v>
      </c>
      <c r="L218" s="57">
        <v>1086.2</v>
      </c>
      <c r="M218" s="57">
        <v>1103.73</v>
      </c>
      <c r="N218" s="57">
        <v>1078.78</v>
      </c>
      <c r="O218" s="51" t="s">
        <v>294</v>
      </c>
      <c r="P218" s="58">
        <v>1.43E-2</v>
      </c>
    </row>
    <row r="219" spans="1:16" x14ac:dyDescent="0.2">
      <c r="A219" s="56">
        <v>38412</v>
      </c>
      <c r="B219" s="57">
        <v>1180.5899999999999</v>
      </c>
      <c r="C219" s="57">
        <v>1203.5999999999999</v>
      </c>
      <c r="D219" s="57">
        <v>1229.1099999999999</v>
      </c>
      <c r="E219" s="57">
        <v>1163.69</v>
      </c>
      <c r="F219" s="51"/>
      <c r="G219" s="58">
        <v>-1.9099999999999999E-2</v>
      </c>
      <c r="H219" s="53">
        <f t="shared" si="4"/>
        <v>4.828584367036326E-2</v>
      </c>
      <c r="I219" s="292"/>
      <c r="J219" s="52">
        <v>38200</v>
      </c>
      <c r="K219" s="57">
        <v>1063.97</v>
      </c>
      <c r="L219" s="57">
        <v>1101.72</v>
      </c>
      <c r="M219" s="57">
        <v>1108.5999999999999</v>
      </c>
      <c r="N219" s="57">
        <v>1062.23</v>
      </c>
      <c r="O219" s="51" t="s">
        <v>257</v>
      </c>
      <c r="P219" s="58">
        <v>-3.4299999999999997E-2</v>
      </c>
    </row>
    <row r="220" spans="1:16" x14ac:dyDescent="0.2">
      <c r="A220" s="56">
        <v>38384</v>
      </c>
      <c r="B220" s="57">
        <v>1203.5999999999999</v>
      </c>
      <c r="C220" s="57">
        <v>1181.27</v>
      </c>
      <c r="D220" s="57">
        <v>1212.44</v>
      </c>
      <c r="E220" s="57">
        <v>1180.95</v>
      </c>
      <c r="F220" s="51"/>
      <c r="G220" s="58">
        <v>1.89E-2</v>
      </c>
      <c r="H220" s="53">
        <f t="shared" si="4"/>
        <v>5.1234125805718955E-2</v>
      </c>
      <c r="I220" s="292"/>
      <c r="J220" s="52">
        <v>38207</v>
      </c>
      <c r="K220" s="57">
        <v>1064.8</v>
      </c>
      <c r="L220" s="57">
        <v>1063.97</v>
      </c>
      <c r="M220" s="57">
        <v>1079.04</v>
      </c>
      <c r="N220" s="57">
        <v>1060.72</v>
      </c>
      <c r="O220" s="51" t="s">
        <v>295</v>
      </c>
      <c r="P220" s="58">
        <v>8.0000000000000004E-4</v>
      </c>
    </row>
    <row r="221" spans="1:16" x14ac:dyDescent="0.2">
      <c r="A221" s="56">
        <v>38353</v>
      </c>
      <c r="B221" s="57">
        <v>1181.27</v>
      </c>
      <c r="C221" s="57">
        <v>1211.92</v>
      </c>
      <c r="D221" s="57">
        <v>1217.9000000000001</v>
      </c>
      <c r="E221" s="57">
        <v>1163.75</v>
      </c>
      <c r="F221" s="51"/>
      <c r="G221" s="58">
        <v>-2.53E-2</v>
      </c>
      <c r="H221" s="53">
        <f t="shared" si="4"/>
        <v>4.4327354061867164E-2</v>
      </c>
      <c r="I221" s="292"/>
      <c r="J221" s="52">
        <v>38214</v>
      </c>
      <c r="K221" s="57">
        <v>1098.3499999999999</v>
      </c>
      <c r="L221" s="57">
        <v>1064.8</v>
      </c>
      <c r="M221" s="57">
        <v>1100.26</v>
      </c>
      <c r="N221" s="57">
        <v>1064.8</v>
      </c>
      <c r="O221" s="51" t="s">
        <v>174</v>
      </c>
      <c r="P221" s="58">
        <v>3.15E-2</v>
      </c>
    </row>
    <row r="222" spans="1:16" x14ac:dyDescent="0.2">
      <c r="A222" s="56">
        <v>38322</v>
      </c>
      <c r="B222" s="57">
        <v>1211.92</v>
      </c>
      <c r="C222" s="57">
        <v>1173.78</v>
      </c>
      <c r="D222" s="57">
        <v>1217.33</v>
      </c>
      <c r="E222" s="57">
        <v>1173.76</v>
      </c>
      <c r="F222" s="51"/>
      <c r="G222" s="58">
        <v>3.2500000000000001E-2</v>
      </c>
      <c r="H222" s="53">
        <f t="shared" si="4"/>
        <v>8.9934527663860786E-2</v>
      </c>
      <c r="I222" s="292"/>
      <c r="J222" s="52">
        <v>38221</v>
      </c>
      <c r="K222" s="57">
        <v>1107.77</v>
      </c>
      <c r="L222" s="57">
        <v>1098.3499999999999</v>
      </c>
      <c r="M222" s="57">
        <v>1109.68</v>
      </c>
      <c r="N222" s="57">
        <v>1092.82</v>
      </c>
      <c r="O222" s="51" t="s">
        <v>296</v>
      </c>
      <c r="P222" s="58">
        <v>8.6E-3</v>
      </c>
    </row>
    <row r="223" spans="1:16" x14ac:dyDescent="0.2">
      <c r="A223" s="56">
        <v>38292</v>
      </c>
      <c r="B223" s="57">
        <v>1173.82</v>
      </c>
      <c r="C223" s="57">
        <v>1130.2</v>
      </c>
      <c r="D223" s="57">
        <v>1188.46</v>
      </c>
      <c r="E223" s="57">
        <v>1127.53</v>
      </c>
      <c r="F223" s="51"/>
      <c r="G223" s="58">
        <v>3.8600000000000002E-2</v>
      </c>
      <c r="H223" s="53">
        <f t="shared" si="4"/>
        <v>0.10926100926100912</v>
      </c>
      <c r="I223" s="292"/>
      <c r="J223" s="52">
        <v>38228</v>
      </c>
      <c r="K223" s="57">
        <v>1113.6300000000001</v>
      </c>
      <c r="L223" s="57">
        <v>1107.77</v>
      </c>
      <c r="M223" s="57">
        <v>1120.8</v>
      </c>
      <c r="N223" s="57">
        <v>1094.72</v>
      </c>
      <c r="O223" s="51" t="s">
        <v>297</v>
      </c>
      <c r="P223" s="58">
        <v>5.3E-3</v>
      </c>
    </row>
    <row r="224" spans="1:16" x14ac:dyDescent="0.2">
      <c r="A224" s="56">
        <v>38261</v>
      </c>
      <c r="B224" s="57">
        <v>1130.2</v>
      </c>
      <c r="C224" s="57">
        <v>1114.58</v>
      </c>
      <c r="D224" s="57">
        <v>1142.05</v>
      </c>
      <c r="E224" s="57">
        <v>1090.19</v>
      </c>
      <c r="F224" s="51"/>
      <c r="G224" s="58">
        <v>1.4E-2</v>
      </c>
      <c r="H224" s="53">
        <f t="shared" si="4"/>
        <v>7.5653605657127088E-2</v>
      </c>
      <c r="I224" s="292"/>
      <c r="J224" s="52">
        <v>38235</v>
      </c>
      <c r="K224" s="57">
        <v>1123.92</v>
      </c>
      <c r="L224" s="57">
        <v>1113.6300000000001</v>
      </c>
      <c r="M224" s="57">
        <v>1125.26</v>
      </c>
      <c r="N224" s="57">
        <v>1113.6199999999999</v>
      </c>
      <c r="O224" s="51" t="s">
        <v>298</v>
      </c>
      <c r="P224" s="58">
        <v>9.1999999999999998E-3</v>
      </c>
    </row>
    <row r="225" spans="1:16" x14ac:dyDescent="0.2">
      <c r="A225" s="56">
        <v>38231</v>
      </c>
      <c r="B225" s="57">
        <v>1114.58</v>
      </c>
      <c r="C225" s="57">
        <v>1104.24</v>
      </c>
      <c r="D225" s="57">
        <v>1131.54</v>
      </c>
      <c r="E225" s="57">
        <v>1099.1099999999999</v>
      </c>
      <c r="F225" s="51"/>
      <c r="G225" s="58">
        <v>9.4000000000000004E-3</v>
      </c>
      <c r="H225" s="53">
        <f t="shared" si="4"/>
        <v>0.11908993242768351</v>
      </c>
      <c r="I225" s="292"/>
      <c r="J225" s="52">
        <v>38242</v>
      </c>
      <c r="K225" s="57">
        <v>1128.55</v>
      </c>
      <c r="L225" s="57">
        <v>1123.92</v>
      </c>
      <c r="M225" s="57">
        <v>1130.1400000000001</v>
      </c>
      <c r="N225" s="57">
        <v>1119.82</v>
      </c>
      <c r="O225" s="51" t="s">
        <v>210</v>
      </c>
      <c r="P225" s="58">
        <v>4.1000000000000003E-3</v>
      </c>
    </row>
    <row r="226" spans="1:16" x14ac:dyDescent="0.2">
      <c r="A226" s="56">
        <v>38200</v>
      </c>
      <c r="B226" s="57">
        <v>1104.24</v>
      </c>
      <c r="C226" s="57">
        <v>1101.72</v>
      </c>
      <c r="D226" s="57">
        <v>1109.68</v>
      </c>
      <c r="E226" s="57">
        <v>1060.72</v>
      </c>
      <c r="F226" s="51"/>
      <c r="G226" s="58">
        <v>2.3E-3</v>
      </c>
      <c r="H226" s="53">
        <f t="shared" si="4"/>
        <v>9.5465322764655136E-2</v>
      </c>
      <c r="I226" s="292"/>
      <c r="J226" s="52">
        <v>38249</v>
      </c>
      <c r="K226" s="57">
        <v>1110.1099999999999</v>
      </c>
      <c r="L226" s="57">
        <v>1128.55</v>
      </c>
      <c r="M226" s="57">
        <v>1131.54</v>
      </c>
      <c r="N226" s="57">
        <v>1108.05</v>
      </c>
      <c r="O226" s="51" t="s">
        <v>248</v>
      </c>
      <c r="P226" s="58">
        <v>-1.6299999999999999E-2</v>
      </c>
    </row>
    <row r="227" spans="1:16" x14ac:dyDescent="0.2">
      <c r="A227" s="56">
        <v>38169</v>
      </c>
      <c r="B227" s="57">
        <v>1101.72</v>
      </c>
      <c r="C227" s="57">
        <v>1140.8399999999999</v>
      </c>
      <c r="D227" s="57">
        <v>1140.8399999999999</v>
      </c>
      <c r="E227" s="57">
        <v>1078.78</v>
      </c>
      <c r="F227" s="51"/>
      <c r="G227" s="58">
        <v>-3.4299999999999997E-2</v>
      </c>
      <c r="H227" s="53">
        <f t="shared" si="4"/>
        <v>0.10912898159706841</v>
      </c>
      <c r="I227" s="292"/>
      <c r="J227" s="52">
        <v>38256</v>
      </c>
      <c r="K227" s="57">
        <v>1131.5</v>
      </c>
      <c r="L227" s="57">
        <v>1110.1099999999999</v>
      </c>
      <c r="M227" s="57">
        <v>1131.6400000000001</v>
      </c>
      <c r="N227" s="57">
        <v>1101.29</v>
      </c>
      <c r="O227" s="51" t="s">
        <v>299</v>
      </c>
      <c r="P227" s="58">
        <v>1.9300000000000001E-2</v>
      </c>
    </row>
    <row r="228" spans="1:16" x14ac:dyDescent="0.2">
      <c r="A228" s="56">
        <v>38139</v>
      </c>
      <c r="B228" s="57">
        <v>1140.8399999999999</v>
      </c>
      <c r="C228" s="57">
        <v>1120.68</v>
      </c>
      <c r="D228" s="57">
        <v>1146.3399999999999</v>
      </c>
      <c r="E228" s="57">
        <v>1113.32</v>
      </c>
      <c r="F228" s="51"/>
      <c r="G228" s="58">
        <v>1.7999999999999999E-2</v>
      </c>
      <c r="H228" s="53">
        <f t="shared" si="4"/>
        <v>0.17069266290405327</v>
      </c>
      <c r="I228" s="292"/>
      <c r="J228" s="52">
        <v>38263</v>
      </c>
      <c r="K228" s="57">
        <v>1122.1400000000001</v>
      </c>
      <c r="L228" s="57">
        <v>1131.5</v>
      </c>
      <c r="M228" s="57">
        <v>1142.05</v>
      </c>
      <c r="N228" s="57">
        <v>1120.19</v>
      </c>
      <c r="O228" s="51" t="s">
        <v>300</v>
      </c>
      <c r="P228" s="58">
        <v>-8.3000000000000001E-3</v>
      </c>
    </row>
    <row r="229" spans="1:16" x14ac:dyDescent="0.2">
      <c r="A229" s="56">
        <v>38108</v>
      </c>
      <c r="B229" s="57">
        <v>1120.68</v>
      </c>
      <c r="C229" s="57">
        <v>1107.3</v>
      </c>
      <c r="D229" s="57">
        <v>1127.74</v>
      </c>
      <c r="E229" s="57">
        <v>1076.32</v>
      </c>
      <c r="F229" s="51"/>
      <c r="G229" s="58">
        <v>1.21E-2</v>
      </c>
      <c r="H229" s="53">
        <f t="shared" si="4"/>
        <v>0.16302576822092396</v>
      </c>
      <c r="I229" s="292"/>
      <c r="J229" s="52">
        <v>38270</v>
      </c>
      <c r="K229" s="57">
        <v>1108.2</v>
      </c>
      <c r="L229" s="57">
        <v>1122.1400000000001</v>
      </c>
      <c r="M229" s="57">
        <v>1127.01</v>
      </c>
      <c r="N229" s="57">
        <v>1102.06</v>
      </c>
      <c r="O229" s="51" t="s">
        <v>301</v>
      </c>
      <c r="P229" s="58">
        <v>-1.24E-2</v>
      </c>
    </row>
    <row r="230" spans="1:16" x14ac:dyDescent="0.2">
      <c r="A230" s="56">
        <v>38078</v>
      </c>
      <c r="B230" s="57">
        <v>1107.3</v>
      </c>
      <c r="C230" s="57">
        <v>1126.21</v>
      </c>
      <c r="D230" s="57">
        <v>1150.57</v>
      </c>
      <c r="E230" s="57">
        <v>1107.23</v>
      </c>
      <c r="F230" s="51"/>
      <c r="G230" s="58">
        <v>-1.6799999999999999E-2</v>
      </c>
      <c r="H230" s="53">
        <f t="shared" si="4"/>
        <v>0.20762989137547438</v>
      </c>
      <c r="I230" s="292"/>
      <c r="J230" s="52">
        <v>38277</v>
      </c>
      <c r="K230" s="57">
        <v>1095.74</v>
      </c>
      <c r="L230" s="57">
        <v>1108.2</v>
      </c>
      <c r="M230" s="57">
        <v>1117.96</v>
      </c>
      <c r="N230" s="57">
        <v>1094.25</v>
      </c>
      <c r="O230" s="51" t="s">
        <v>200</v>
      </c>
      <c r="P230" s="58">
        <v>-1.12E-2</v>
      </c>
    </row>
    <row r="231" spans="1:16" x14ac:dyDescent="0.2">
      <c r="A231" s="56">
        <v>38047</v>
      </c>
      <c r="B231" s="57">
        <v>1126.21</v>
      </c>
      <c r="C231" s="57">
        <v>1144.94</v>
      </c>
      <c r="D231" s="57">
        <v>1163.23</v>
      </c>
      <c r="E231" s="57">
        <v>1087.06</v>
      </c>
      <c r="F231" s="51"/>
      <c r="G231" s="58">
        <v>-1.6400000000000001E-2</v>
      </c>
      <c r="H231" s="53">
        <f t="shared" si="4"/>
        <v>0.32779598670093635</v>
      </c>
      <c r="I231" s="292"/>
      <c r="J231" s="52">
        <v>38284</v>
      </c>
      <c r="K231" s="57">
        <v>1130.2</v>
      </c>
      <c r="L231" s="57">
        <v>1095.74</v>
      </c>
      <c r="M231" s="57">
        <v>1131.4000000000001</v>
      </c>
      <c r="N231" s="57">
        <v>1090.29</v>
      </c>
      <c r="O231" s="51" t="s">
        <v>200</v>
      </c>
      <c r="P231" s="58">
        <v>3.1399999999999997E-2</v>
      </c>
    </row>
    <row r="232" spans="1:16" x14ac:dyDescent="0.2">
      <c r="A232" s="56">
        <v>38018</v>
      </c>
      <c r="B232" s="57">
        <v>1144.94</v>
      </c>
      <c r="C232" s="57">
        <v>1131.1300000000001</v>
      </c>
      <c r="D232" s="57">
        <v>1158.98</v>
      </c>
      <c r="E232" s="57">
        <v>1124.44</v>
      </c>
      <c r="F232" s="51"/>
      <c r="G232" s="58">
        <v>1.2200000000000001E-2</v>
      </c>
      <c r="H232" s="53">
        <f t="shared" si="4"/>
        <v>0.3611603162337278</v>
      </c>
      <c r="I232" s="292"/>
      <c r="J232" s="52">
        <v>38291</v>
      </c>
      <c r="K232" s="57">
        <v>1166.17</v>
      </c>
      <c r="L232" s="57">
        <v>1130.2</v>
      </c>
      <c r="M232" s="57">
        <v>1170.8699999999999</v>
      </c>
      <c r="N232" s="57">
        <v>1127.5999999999999</v>
      </c>
      <c r="O232" s="51" t="s">
        <v>302</v>
      </c>
      <c r="P232" s="58">
        <v>3.1800000000000002E-2</v>
      </c>
    </row>
    <row r="233" spans="1:16" x14ac:dyDescent="0.2">
      <c r="A233" s="56">
        <v>37987</v>
      </c>
      <c r="B233" s="57">
        <v>1131.1300000000001</v>
      </c>
      <c r="C233" s="57">
        <v>1111.92</v>
      </c>
      <c r="D233" s="57">
        <v>1155.3800000000001</v>
      </c>
      <c r="E233" s="57">
        <v>1105.08</v>
      </c>
      <c r="F233" s="51"/>
      <c r="G233" s="58">
        <v>1.7299999999999999E-2</v>
      </c>
      <c r="H233" s="53">
        <f t="shared" si="4"/>
        <v>0.32187682599041723</v>
      </c>
      <c r="I233" s="292"/>
      <c r="J233" s="52">
        <v>38298</v>
      </c>
      <c r="K233" s="57">
        <v>1184.17</v>
      </c>
      <c r="L233" s="57">
        <v>1166.17</v>
      </c>
      <c r="M233" s="57">
        <v>1184.17</v>
      </c>
      <c r="N233" s="57">
        <v>1162.32</v>
      </c>
      <c r="O233" s="51" t="s">
        <v>303</v>
      </c>
      <c r="P233" s="58">
        <v>1.54E-2</v>
      </c>
    </row>
    <row r="234" spans="1:16" x14ac:dyDescent="0.2">
      <c r="A234" s="56">
        <v>37956</v>
      </c>
      <c r="B234" s="57">
        <v>1111.92</v>
      </c>
      <c r="C234" s="57">
        <v>1058.2</v>
      </c>
      <c r="D234" s="57">
        <v>1112.56</v>
      </c>
      <c r="E234" s="57">
        <v>1053.4100000000001</v>
      </c>
      <c r="F234" s="51"/>
      <c r="G234" s="58">
        <v>5.0799999999999998E-2</v>
      </c>
      <c r="H234" s="53">
        <f t="shared" si="4"/>
        <v>0.26380395990088878</v>
      </c>
      <c r="I234" s="292"/>
      <c r="J234" s="52">
        <v>38305</v>
      </c>
      <c r="K234" s="57">
        <v>1170.3399999999999</v>
      </c>
      <c r="L234" s="57">
        <v>1184.17</v>
      </c>
      <c r="M234" s="57">
        <v>1188.46</v>
      </c>
      <c r="N234" s="57">
        <v>1169.19</v>
      </c>
      <c r="O234" s="51" t="s">
        <v>240</v>
      </c>
      <c r="P234" s="58">
        <v>-1.17E-2</v>
      </c>
    </row>
    <row r="235" spans="1:16" x14ac:dyDescent="0.2">
      <c r="A235" s="56">
        <v>37926</v>
      </c>
      <c r="B235" s="57">
        <v>1058.2</v>
      </c>
      <c r="C235" s="57">
        <v>1050.71</v>
      </c>
      <c r="D235" s="57">
        <v>1063.6500000000001</v>
      </c>
      <c r="E235" s="57">
        <v>1031.2</v>
      </c>
      <c r="F235" s="51"/>
      <c r="G235" s="58">
        <v>7.1000000000000004E-3</v>
      </c>
      <c r="H235" s="53">
        <f t="shared" si="4"/>
        <v>0.13018124339161186</v>
      </c>
      <c r="I235" s="292"/>
      <c r="J235" s="52">
        <v>38312</v>
      </c>
      <c r="K235" s="57">
        <v>1182.6500000000001</v>
      </c>
      <c r="L235" s="57">
        <v>1170.3399999999999</v>
      </c>
      <c r="M235" s="57">
        <v>1186.6199999999999</v>
      </c>
      <c r="N235" s="57">
        <v>1167.8900000000001</v>
      </c>
      <c r="O235" s="51" t="s">
        <v>304</v>
      </c>
      <c r="P235" s="58">
        <v>1.0500000000000001E-2</v>
      </c>
    </row>
    <row r="236" spans="1:16" x14ac:dyDescent="0.2">
      <c r="A236" s="56">
        <v>37895</v>
      </c>
      <c r="B236" s="57">
        <v>1050.71</v>
      </c>
      <c r="C236" s="57">
        <v>995.97</v>
      </c>
      <c r="D236" s="57">
        <v>1053.79</v>
      </c>
      <c r="E236" s="57">
        <v>995.97</v>
      </c>
      <c r="F236" s="51"/>
      <c r="G236" s="58">
        <v>5.5E-2</v>
      </c>
      <c r="H236" s="53">
        <f t="shared" si="4"/>
        <v>0.18622425939306364</v>
      </c>
      <c r="I236" s="292"/>
      <c r="J236" s="52">
        <v>38319</v>
      </c>
      <c r="K236" s="57">
        <v>1191.17</v>
      </c>
      <c r="L236" s="57">
        <v>1182.6500000000001</v>
      </c>
      <c r="M236" s="57">
        <v>1197.46</v>
      </c>
      <c r="N236" s="57">
        <v>1172.3699999999999</v>
      </c>
      <c r="O236" s="51" t="s">
        <v>246</v>
      </c>
      <c r="P236" s="58">
        <v>7.1999999999999998E-3</v>
      </c>
    </row>
    <row r="237" spans="1:16" x14ac:dyDescent="0.2">
      <c r="A237" s="56">
        <v>37865</v>
      </c>
      <c r="B237" s="57">
        <v>995.97</v>
      </c>
      <c r="C237" s="57">
        <v>1008.01</v>
      </c>
      <c r="D237" s="57">
        <v>1040.29</v>
      </c>
      <c r="E237" s="57">
        <v>990.36</v>
      </c>
      <c r="F237" s="51"/>
      <c r="G237" s="58">
        <v>-1.1900000000000001E-2</v>
      </c>
      <c r="H237" s="53">
        <f t="shared" si="4"/>
        <v>0.22162937886370337</v>
      </c>
      <c r="I237" s="292"/>
      <c r="J237" s="52">
        <v>38326</v>
      </c>
      <c r="K237" s="57">
        <v>1188</v>
      </c>
      <c r="L237" s="57">
        <v>1191.17</v>
      </c>
      <c r="M237" s="57">
        <v>1192.4100000000001</v>
      </c>
      <c r="N237" s="57">
        <v>1173.79</v>
      </c>
      <c r="O237" s="51" t="s">
        <v>305</v>
      </c>
      <c r="P237" s="58">
        <v>-2.7000000000000001E-3</v>
      </c>
    </row>
    <row r="238" spans="1:16" x14ac:dyDescent="0.2">
      <c r="A238" s="56">
        <v>37834</v>
      </c>
      <c r="B238" s="57">
        <v>1008.01</v>
      </c>
      <c r="C238" s="57">
        <v>990.31</v>
      </c>
      <c r="D238" s="57">
        <v>1011.01</v>
      </c>
      <c r="E238" s="57">
        <v>960.84</v>
      </c>
      <c r="F238" s="51"/>
      <c r="G238" s="58">
        <v>1.4800000000000001E-2</v>
      </c>
      <c r="H238" s="53">
        <f t="shared" si="4"/>
        <v>0.100363509338806</v>
      </c>
      <c r="I238" s="292"/>
      <c r="J238" s="52">
        <v>38333</v>
      </c>
      <c r="K238" s="57">
        <v>1194.2</v>
      </c>
      <c r="L238" s="57">
        <v>1188</v>
      </c>
      <c r="M238" s="57">
        <v>1207.97</v>
      </c>
      <c r="N238" s="57">
        <v>1188</v>
      </c>
      <c r="O238" s="51" t="s">
        <v>306</v>
      </c>
      <c r="P238" s="58">
        <v>5.1999999999999998E-3</v>
      </c>
    </row>
    <row r="239" spans="1:16" x14ac:dyDescent="0.2">
      <c r="A239" s="56">
        <v>37803</v>
      </c>
      <c r="B239" s="57">
        <v>993.32</v>
      </c>
      <c r="C239" s="57">
        <v>974.5</v>
      </c>
      <c r="D239" s="57">
        <v>1015.41</v>
      </c>
      <c r="E239" s="57">
        <v>962.1</v>
      </c>
      <c r="F239" s="51"/>
      <c r="G239" s="58">
        <v>1.9300000000000001E-2</v>
      </c>
      <c r="H239" s="53">
        <f t="shared" si="4"/>
        <v>8.9620675281367301E-2</v>
      </c>
      <c r="I239" s="292"/>
      <c r="J239" s="52">
        <v>38340</v>
      </c>
      <c r="K239" s="57">
        <v>1210.1300000000001</v>
      </c>
      <c r="L239" s="57">
        <v>1194.2</v>
      </c>
      <c r="M239" s="57">
        <v>1213.6600000000001</v>
      </c>
      <c r="N239" s="57">
        <v>1193.3599999999999</v>
      </c>
      <c r="O239" s="51" t="s">
        <v>224</v>
      </c>
      <c r="P239" s="58">
        <v>1.3299999999999999E-2</v>
      </c>
    </row>
    <row r="240" spans="1:16" x14ac:dyDescent="0.2">
      <c r="A240" s="56">
        <v>37773</v>
      </c>
      <c r="B240" s="57">
        <v>974.5</v>
      </c>
      <c r="C240" s="57">
        <v>963.59</v>
      </c>
      <c r="D240" s="57">
        <v>1015.33</v>
      </c>
      <c r="E240" s="57">
        <v>963.59</v>
      </c>
      <c r="F240" s="51"/>
      <c r="G240" s="58">
        <v>1.1299999999999999E-2</v>
      </c>
      <c r="H240" s="53">
        <f t="shared" si="4"/>
        <v>-1.5477561576852428E-2</v>
      </c>
      <c r="I240" s="292"/>
      <c r="J240" s="52">
        <v>38347</v>
      </c>
      <c r="K240" s="57">
        <v>1211.92</v>
      </c>
      <c r="L240" s="57">
        <v>1210.1300000000001</v>
      </c>
      <c r="M240" s="57">
        <v>1217.33</v>
      </c>
      <c r="N240" s="57">
        <v>1204.92</v>
      </c>
      <c r="O240" s="51" t="s">
        <v>307</v>
      </c>
      <c r="P240" s="58">
        <v>1.5E-3</v>
      </c>
    </row>
    <row r="241" spans="1:16" x14ac:dyDescent="0.2">
      <c r="A241" s="56">
        <v>37742</v>
      </c>
      <c r="B241" s="57">
        <v>963.59</v>
      </c>
      <c r="C241" s="57">
        <v>916.92</v>
      </c>
      <c r="D241" s="57">
        <v>965.38</v>
      </c>
      <c r="E241" s="57">
        <v>902.83</v>
      </c>
      <c r="F241" s="51"/>
      <c r="G241" s="58">
        <v>5.0900000000000001E-2</v>
      </c>
      <c r="H241" s="53">
        <f t="shared" si="4"/>
        <v>-9.7035065689600297E-2</v>
      </c>
      <c r="I241" s="292"/>
      <c r="J241" s="52">
        <v>38354</v>
      </c>
      <c r="K241" s="57">
        <v>1186.19</v>
      </c>
      <c r="L241" s="57">
        <v>1211.92</v>
      </c>
      <c r="M241" s="57">
        <v>1217.8</v>
      </c>
      <c r="N241" s="57">
        <v>1182.1600000000001</v>
      </c>
      <c r="O241" s="51" t="s">
        <v>308</v>
      </c>
      <c r="P241" s="58">
        <v>-2.12E-2</v>
      </c>
    </row>
    <row r="242" spans="1:16" x14ac:dyDescent="0.2">
      <c r="A242" s="56">
        <v>37712</v>
      </c>
      <c r="B242" s="57">
        <v>916.92</v>
      </c>
      <c r="C242" s="57">
        <v>848.18</v>
      </c>
      <c r="D242" s="57">
        <v>924.24</v>
      </c>
      <c r="E242" s="57">
        <v>847.85</v>
      </c>
      <c r="F242" s="51"/>
      <c r="G242" s="58">
        <v>8.1000000000000003E-2</v>
      </c>
      <c r="H242" s="53">
        <f t="shared" si="4"/>
        <v>-0.14857185306243736</v>
      </c>
      <c r="I242" s="292"/>
      <c r="J242" s="52">
        <v>38361</v>
      </c>
      <c r="K242" s="57">
        <v>1184.52</v>
      </c>
      <c r="L242" s="57">
        <v>1186.19</v>
      </c>
      <c r="M242" s="57">
        <v>1194.78</v>
      </c>
      <c r="N242" s="57">
        <v>1175.6400000000001</v>
      </c>
      <c r="O242" s="51" t="s">
        <v>299</v>
      </c>
      <c r="P242" s="58">
        <v>-1.4E-3</v>
      </c>
    </row>
    <row r="243" spans="1:16" x14ac:dyDescent="0.2">
      <c r="A243" s="56">
        <v>37681</v>
      </c>
      <c r="B243" s="57">
        <v>848.18</v>
      </c>
      <c r="C243" s="57">
        <v>841.15</v>
      </c>
      <c r="D243" s="57">
        <v>895.9</v>
      </c>
      <c r="E243" s="57">
        <v>788.9</v>
      </c>
      <c r="F243" s="51"/>
      <c r="G243" s="58">
        <v>8.3999999999999995E-3</v>
      </c>
      <c r="H243" s="53">
        <f t="shared" si="4"/>
        <v>-0.26077445332450178</v>
      </c>
      <c r="I243" s="292"/>
      <c r="J243" s="52">
        <v>38368</v>
      </c>
      <c r="K243" s="57">
        <v>1167.8699999999999</v>
      </c>
      <c r="L243" s="57">
        <v>1184.52</v>
      </c>
      <c r="M243" s="57">
        <v>1195.98</v>
      </c>
      <c r="N243" s="57">
        <v>1167.82</v>
      </c>
      <c r="O243" s="51" t="s">
        <v>309</v>
      </c>
      <c r="P243" s="58">
        <v>-1.41E-2</v>
      </c>
    </row>
    <row r="244" spans="1:16" x14ac:dyDescent="0.2">
      <c r="A244" s="56">
        <v>37653</v>
      </c>
      <c r="B244" s="57">
        <v>841.15</v>
      </c>
      <c r="C244" s="57">
        <v>855.7</v>
      </c>
      <c r="D244" s="57">
        <v>864.64</v>
      </c>
      <c r="E244" s="57">
        <v>806.29</v>
      </c>
      <c r="F244" s="51"/>
      <c r="G244" s="58">
        <v>-1.7000000000000001E-2</v>
      </c>
      <c r="H244" s="53">
        <f t="shared" si="4"/>
        <v>-0.23996819459127339</v>
      </c>
      <c r="I244" s="292"/>
      <c r="J244" s="52">
        <v>38375</v>
      </c>
      <c r="K244" s="57">
        <v>1171.3599999999999</v>
      </c>
      <c r="L244" s="57">
        <v>1167.8699999999999</v>
      </c>
      <c r="M244" s="57">
        <v>1177.5</v>
      </c>
      <c r="N244" s="57">
        <v>1163.75</v>
      </c>
      <c r="O244" s="51" t="s">
        <v>183</v>
      </c>
      <c r="P244" s="58">
        <v>3.0000000000000001E-3</v>
      </c>
    </row>
    <row r="245" spans="1:16" x14ac:dyDescent="0.2">
      <c r="A245" s="56">
        <v>37622</v>
      </c>
      <c r="B245" s="57">
        <v>855.7</v>
      </c>
      <c r="C245" s="57">
        <v>879.82</v>
      </c>
      <c r="D245" s="57">
        <v>935.05</v>
      </c>
      <c r="E245" s="57">
        <v>840.34</v>
      </c>
      <c r="F245" s="51"/>
      <c r="G245" s="58">
        <v>-2.7400000000000001E-2</v>
      </c>
      <c r="H245" s="53">
        <f t="shared" si="4"/>
        <v>-0.24287736683772787</v>
      </c>
      <c r="I245" s="292"/>
      <c r="J245" s="52">
        <v>38382</v>
      </c>
      <c r="K245" s="57">
        <v>1203.03</v>
      </c>
      <c r="L245" s="57">
        <v>1171.3599999999999</v>
      </c>
      <c r="M245" s="57">
        <v>1203.47</v>
      </c>
      <c r="N245" s="57">
        <v>1171.3599999999999</v>
      </c>
      <c r="O245" s="51" t="s">
        <v>310</v>
      </c>
      <c r="P245" s="58">
        <v>2.7E-2</v>
      </c>
    </row>
    <row r="246" spans="1:16" x14ac:dyDescent="0.2">
      <c r="A246" s="56">
        <v>37591</v>
      </c>
      <c r="B246" s="57">
        <v>879.82</v>
      </c>
      <c r="C246" s="57">
        <v>936.31</v>
      </c>
      <c r="D246" s="57">
        <v>954.28</v>
      </c>
      <c r="E246" s="57">
        <v>869.45</v>
      </c>
      <c r="F246" s="51"/>
      <c r="G246" s="58">
        <v>-6.0299999999999999E-2</v>
      </c>
      <c r="H246" s="53">
        <f t="shared" si="4"/>
        <v>-0.23365967528395226</v>
      </c>
      <c r="I246" s="292"/>
      <c r="J246" s="52">
        <v>38389</v>
      </c>
      <c r="K246" s="57">
        <v>1205.3</v>
      </c>
      <c r="L246" s="57">
        <v>1203.03</v>
      </c>
      <c r="M246" s="57">
        <v>1208.3800000000001</v>
      </c>
      <c r="N246" s="57">
        <v>1191.54</v>
      </c>
      <c r="O246" s="51" t="s">
        <v>252</v>
      </c>
      <c r="P246" s="58">
        <v>1.9E-3</v>
      </c>
    </row>
    <row r="247" spans="1:16" x14ac:dyDescent="0.2">
      <c r="A247" s="56">
        <v>37561</v>
      </c>
      <c r="B247" s="57">
        <v>936.31</v>
      </c>
      <c r="C247" s="57">
        <v>885.76</v>
      </c>
      <c r="D247" s="57">
        <v>941.82</v>
      </c>
      <c r="E247" s="57">
        <v>872.05</v>
      </c>
      <c r="F247" s="51"/>
      <c r="G247" s="58">
        <v>5.7099999999999998E-2</v>
      </c>
      <c r="H247" s="53">
        <f t="shared" si="4"/>
        <v>-0.17827899425161275</v>
      </c>
      <c r="I247" s="292"/>
      <c r="J247" s="52">
        <v>38396</v>
      </c>
      <c r="K247" s="57">
        <v>1201.5899999999999</v>
      </c>
      <c r="L247" s="57">
        <v>1205.3</v>
      </c>
      <c r="M247" s="57">
        <v>1212.44</v>
      </c>
      <c r="N247" s="57">
        <v>1197.3499999999999</v>
      </c>
      <c r="O247" s="51" t="s">
        <v>311</v>
      </c>
      <c r="P247" s="58">
        <v>-3.0999999999999999E-3</v>
      </c>
    </row>
    <row r="248" spans="1:16" x14ac:dyDescent="0.2">
      <c r="A248" s="56">
        <v>37530</v>
      </c>
      <c r="B248" s="57">
        <v>885.76</v>
      </c>
      <c r="C248" s="57">
        <v>815.28</v>
      </c>
      <c r="D248" s="57">
        <v>907.44</v>
      </c>
      <c r="E248" s="57">
        <v>768.63</v>
      </c>
      <c r="F248" s="51"/>
      <c r="G248" s="58">
        <v>8.6400000000000005E-2</v>
      </c>
      <c r="H248" s="53">
        <f t="shared" si="4"/>
        <v>-0.1642038913736813</v>
      </c>
      <c r="I248" s="292"/>
      <c r="J248" s="52">
        <v>38403</v>
      </c>
      <c r="K248" s="57">
        <v>1211.3699999999999</v>
      </c>
      <c r="L248" s="57">
        <v>1201.5899999999999</v>
      </c>
      <c r="M248" s="57">
        <v>1212.1500000000001</v>
      </c>
      <c r="N248" s="57">
        <v>1184.1600000000001</v>
      </c>
      <c r="O248" s="51" t="s">
        <v>153</v>
      </c>
      <c r="P248" s="58">
        <v>8.0999999999999996E-3</v>
      </c>
    </row>
    <row r="249" spans="1:16" x14ac:dyDescent="0.2">
      <c r="A249" s="56">
        <v>37500</v>
      </c>
      <c r="B249" s="57">
        <v>815.28</v>
      </c>
      <c r="C249" s="57">
        <v>916.07</v>
      </c>
      <c r="D249" s="57">
        <v>924.02</v>
      </c>
      <c r="E249" s="57">
        <v>800.2</v>
      </c>
      <c r="F249" s="51"/>
      <c r="G249" s="58">
        <v>-0.11</v>
      </c>
      <c r="H249" s="53">
        <f t="shared" si="4"/>
        <v>-0.21678482909677799</v>
      </c>
      <c r="I249" s="292"/>
      <c r="J249" s="52">
        <v>38410</v>
      </c>
      <c r="K249" s="57">
        <v>1222.1199999999999</v>
      </c>
      <c r="L249" s="57">
        <v>1211.3699999999999</v>
      </c>
      <c r="M249" s="57">
        <v>1224.76</v>
      </c>
      <c r="N249" s="57">
        <v>1198.1300000000001</v>
      </c>
      <c r="O249" s="51" t="s">
        <v>302</v>
      </c>
      <c r="P249" s="58">
        <v>8.8999999999999999E-3</v>
      </c>
    </row>
    <row r="250" spans="1:16" x14ac:dyDescent="0.2">
      <c r="A250" s="56">
        <v>37469</v>
      </c>
      <c r="B250" s="57">
        <v>916.07</v>
      </c>
      <c r="C250" s="57">
        <v>911.62</v>
      </c>
      <c r="D250" s="57">
        <v>965</v>
      </c>
      <c r="E250" s="57">
        <v>833.44</v>
      </c>
      <c r="F250" s="51"/>
      <c r="G250" s="58">
        <v>4.8999999999999998E-3</v>
      </c>
      <c r="H250" s="53">
        <f t="shared" si="4"/>
        <v>-0.1918788263730834</v>
      </c>
      <c r="I250" s="292"/>
      <c r="J250" s="52">
        <v>38417</v>
      </c>
      <c r="K250" s="57">
        <v>1200.08</v>
      </c>
      <c r="L250" s="57">
        <v>1222.1199999999999</v>
      </c>
      <c r="M250" s="57">
        <v>1229.1099999999999</v>
      </c>
      <c r="N250" s="57">
        <v>1198.1500000000001</v>
      </c>
      <c r="O250" s="51" t="s">
        <v>312</v>
      </c>
      <c r="P250" s="58">
        <v>-1.7999999999999999E-2</v>
      </c>
    </row>
    <row r="251" spans="1:16" x14ac:dyDescent="0.2">
      <c r="A251" s="56">
        <v>37438</v>
      </c>
      <c r="B251" s="57">
        <v>911.62</v>
      </c>
      <c r="C251" s="57">
        <v>989.82</v>
      </c>
      <c r="D251" s="57">
        <v>994.46</v>
      </c>
      <c r="E251" s="57">
        <v>775.68</v>
      </c>
      <c r="F251" s="51"/>
      <c r="G251" s="58">
        <v>-7.9000000000000001E-2</v>
      </c>
      <c r="H251" s="53">
        <f t="shared" si="4"/>
        <v>-0.24736012152935449</v>
      </c>
      <c r="I251" s="292"/>
      <c r="J251" s="52">
        <v>38424</v>
      </c>
      <c r="K251" s="57">
        <v>1189.6500000000001</v>
      </c>
      <c r="L251" s="57">
        <v>1200.08</v>
      </c>
      <c r="M251" s="57">
        <v>1210.54</v>
      </c>
      <c r="N251" s="57">
        <v>1182.78</v>
      </c>
      <c r="O251" s="51" t="s">
        <v>313</v>
      </c>
      <c r="P251" s="58">
        <v>-8.6999999999999994E-3</v>
      </c>
    </row>
    <row r="252" spans="1:16" x14ac:dyDescent="0.2">
      <c r="A252" s="56">
        <v>37408</v>
      </c>
      <c r="B252" s="57">
        <v>989.82</v>
      </c>
      <c r="C252" s="57">
        <v>1067.1400000000001</v>
      </c>
      <c r="D252" s="57">
        <v>1070.74</v>
      </c>
      <c r="E252" s="57">
        <v>952.92</v>
      </c>
      <c r="F252" s="51"/>
      <c r="G252" s="58">
        <v>-7.2499999999999995E-2</v>
      </c>
      <c r="H252" s="53">
        <f t="shared" si="4"/>
        <v>-0.1915745111811693</v>
      </c>
      <c r="I252" s="292"/>
      <c r="J252" s="52">
        <v>38431</v>
      </c>
      <c r="K252" s="57">
        <v>1171.42</v>
      </c>
      <c r="L252" s="57">
        <v>1189.6500000000001</v>
      </c>
      <c r="M252" s="57">
        <v>1189.6500000000001</v>
      </c>
      <c r="N252" s="57">
        <v>1168.7</v>
      </c>
      <c r="O252" s="51" t="s">
        <v>287</v>
      </c>
      <c r="P252" s="58">
        <v>-1.5299999999999999E-2</v>
      </c>
    </row>
    <row r="253" spans="1:16" x14ac:dyDescent="0.2">
      <c r="A253" s="56">
        <v>37377</v>
      </c>
      <c r="B253" s="57">
        <v>1067.1400000000001</v>
      </c>
      <c r="C253" s="57">
        <v>1076.92</v>
      </c>
      <c r="D253" s="57">
        <v>1106.5899999999999</v>
      </c>
      <c r="E253" s="57">
        <v>1048.96</v>
      </c>
      <c r="F253" s="51"/>
      <c r="G253" s="58">
        <v>-9.1000000000000004E-3</v>
      </c>
      <c r="H253" s="53">
        <f t="shared" si="4"/>
        <v>-0.15024446178592465</v>
      </c>
      <c r="I253" s="292"/>
      <c r="J253" s="52">
        <v>38438</v>
      </c>
      <c r="K253" s="57">
        <v>1172.92</v>
      </c>
      <c r="L253" s="57">
        <v>1171.42</v>
      </c>
      <c r="M253" s="57">
        <v>1189.8</v>
      </c>
      <c r="N253" s="57">
        <v>1163.69</v>
      </c>
      <c r="O253" s="51" t="s">
        <v>314</v>
      </c>
      <c r="P253" s="58">
        <v>1.2999999999999999E-3</v>
      </c>
    </row>
    <row r="254" spans="1:16" x14ac:dyDescent="0.2">
      <c r="A254" s="56">
        <v>37347</v>
      </c>
      <c r="B254" s="57">
        <v>1076.92</v>
      </c>
      <c r="C254" s="57">
        <v>1147.3900000000001</v>
      </c>
      <c r="D254" s="57">
        <v>1147.8399999999999</v>
      </c>
      <c r="E254" s="57">
        <v>1063.46</v>
      </c>
      <c r="F254" s="51"/>
      <c r="G254" s="58">
        <v>-6.1400000000000003E-2</v>
      </c>
      <c r="H254" s="53">
        <f t="shared" si="4"/>
        <v>-0.13809165559521708</v>
      </c>
      <c r="I254" s="292"/>
      <c r="J254" s="52">
        <v>38445</v>
      </c>
      <c r="K254" s="57">
        <v>1181.2</v>
      </c>
      <c r="L254" s="57">
        <v>1172.79</v>
      </c>
      <c r="M254" s="57">
        <v>1191.8800000000001</v>
      </c>
      <c r="N254" s="57">
        <v>1167.72</v>
      </c>
      <c r="O254" s="51" t="s">
        <v>315</v>
      </c>
      <c r="P254" s="58">
        <v>7.1000000000000004E-3</v>
      </c>
    </row>
    <row r="255" spans="1:16" x14ac:dyDescent="0.2">
      <c r="A255" s="56">
        <v>37316</v>
      </c>
      <c r="B255" s="57">
        <v>1147.3900000000001</v>
      </c>
      <c r="C255" s="57">
        <v>1106.73</v>
      </c>
      <c r="D255" s="57">
        <v>1173.94</v>
      </c>
      <c r="E255" s="57">
        <v>1106.73</v>
      </c>
      <c r="F255" s="51"/>
      <c r="G255" s="58">
        <v>3.6700000000000003E-2</v>
      </c>
      <c r="H255" s="53">
        <f t="shared" si="4"/>
        <v>-1.115199986210802E-2</v>
      </c>
      <c r="I255" s="292"/>
      <c r="J255" s="52">
        <v>38452</v>
      </c>
      <c r="K255" s="57">
        <v>1142.6199999999999</v>
      </c>
      <c r="L255" s="57">
        <v>1181.2</v>
      </c>
      <c r="M255" s="57">
        <v>1190.17</v>
      </c>
      <c r="N255" s="57">
        <v>1141.92</v>
      </c>
      <c r="O255" s="51" t="s">
        <v>316</v>
      </c>
      <c r="P255" s="58">
        <v>-3.27E-2</v>
      </c>
    </row>
    <row r="256" spans="1:16" x14ac:dyDescent="0.2">
      <c r="A256" s="56">
        <v>37288</v>
      </c>
      <c r="B256" s="57">
        <v>1106.73</v>
      </c>
      <c r="C256" s="57">
        <v>1130.2</v>
      </c>
      <c r="D256" s="57">
        <v>1130.2</v>
      </c>
      <c r="E256" s="57">
        <v>1074.3599999999999</v>
      </c>
      <c r="F256" s="51"/>
      <c r="G256" s="58">
        <v>-2.0799999999999999E-2</v>
      </c>
      <c r="H256" s="53">
        <f t="shared" si="4"/>
        <v>-0.1074326177073085</v>
      </c>
      <c r="I256" s="292"/>
      <c r="J256" s="52">
        <v>38459</v>
      </c>
      <c r="K256" s="57">
        <v>1152.1199999999999</v>
      </c>
      <c r="L256" s="57">
        <v>1142.6199999999999</v>
      </c>
      <c r="M256" s="57">
        <v>1159.95</v>
      </c>
      <c r="N256" s="57">
        <v>1136.1500000000001</v>
      </c>
      <c r="O256" s="51" t="s">
        <v>317</v>
      </c>
      <c r="P256" s="58">
        <v>8.3000000000000001E-3</v>
      </c>
    </row>
    <row r="257" spans="1:16" x14ac:dyDescent="0.2">
      <c r="A257" s="56">
        <v>37257</v>
      </c>
      <c r="B257" s="57">
        <v>1130.2</v>
      </c>
      <c r="C257" s="57">
        <v>1148.08</v>
      </c>
      <c r="D257" s="57">
        <v>1176.97</v>
      </c>
      <c r="E257" s="57">
        <v>1081.6600000000001</v>
      </c>
      <c r="F257" s="51"/>
      <c r="G257" s="58">
        <v>-1.5599999999999999E-2</v>
      </c>
      <c r="H257" s="53">
        <f t="shared" si="4"/>
        <v>-0.17262684753405899</v>
      </c>
      <c r="I257" s="292"/>
      <c r="J257" s="52">
        <v>38466</v>
      </c>
      <c r="K257" s="57">
        <v>1156.8499999999999</v>
      </c>
      <c r="L257" s="57">
        <v>1152.1199999999999</v>
      </c>
      <c r="M257" s="57">
        <v>1164.8</v>
      </c>
      <c r="N257" s="57">
        <v>1139.19</v>
      </c>
      <c r="O257" s="51" t="s">
        <v>314</v>
      </c>
      <c r="P257" s="58">
        <v>4.1000000000000003E-3</v>
      </c>
    </row>
    <row r="258" spans="1:16" x14ac:dyDescent="0.2">
      <c r="A258" s="56">
        <v>37226</v>
      </c>
      <c r="B258" s="57">
        <v>1148.08</v>
      </c>
      <c r="C258" s="57">
        <v>1139.45</v>
      </c>
      <c r="D258" s="57">
        <v>1173.6199999999999</v>
      </c>
      <c r="E258" s="57">
        <v>1114.53</v>
      </c>
      <c r="F258" s="51"/>
      <c r="G258" s="58">
        <v>7.6E-3</v>
      </c>
      <c r="H258" s="53">
        <f t="shared" si="4"/>
        <v>-0.1304268791468477</v>
      </c>
      <c r="I258" s="292"/>
      <c r="J258" s="52">
        <v>38473</v>
      </c>
      <c r="K258" s="57">
        <v>1171.3499999999999</v>
      </c>
      <c r="L258" s="57">
        <v>1156.8499999999999</v>
      </c>
      <c r="M258" s="57">
        <v>1178.6199999999999</v>
      </c>
      <c r="N258" s="57">
        <v>1154.71</v>
      </c>
      <c r="O258" s="51" t="s">
        <v>318</v>
      </c>
      <c r="P258" s="58">
        <v>1.2500000000000001E-2</v>
      </c>
    </row>
    <row r="259" spans="1:16" x14ac:dyDescent="0.2">
      <c r="A259" s="56">
        <v>37196</v>
      </c>
      <c r="B259" s="57">
        <v>1139.45</v>
      </c>
      <c r="C259" s="57">
        <v>1059.78</v>
      </c>
      <c r="D259" s="57">
        <v>1163.3800000000001</v>
      </c>
      <c r="E259" s="57">
        <v>1054.31</v>
      </c>
      <c r="F259" s="51"/>
      <c r="G259" s="58">
        <v>7.5200000000000003E-2</v>
      </c>
      <c r="H259" s="53">
        <f t="shared" si="4"/>
        <v>-0.13346515076618881</v>
      </c>
      <c r="I259" s="292"/>
      <c r="J259" s="52">
        <v>38480</v>
      </c>
      <c r="K259" s="57">
        <v>1154.05</v>
      </c>
      <c r="L259" s="57">
        <v>1171.3499999999999</v>
      </c>
      <c r="M259" s="57">
        <v>1178.8699999999999</v>
      </c>
      <c r="N259" s="57">
        <v>1146.18</v>
      </c>
      <c r="O259" s="51" t="s">
        <v>319</v>
      </c>
      <c r="P259" s="58">
        <v>-1.4800000000000001E-2</v>
      </c>
    </row>
    <row r="260" spans="1:16" x14ac:dyDescent="0.2">
      <c r="A260" s="56">
        <v>37165</v>
      </c>
      <c r="B260" s="57">
        <v>1059.78</v>
      </c>
      <c r="C260" s="57">
        <v>1040.94</v>
      </c>
      <c r="D260" s="57">
        <v>1110.6099999999999</v>
      </c>
      <c r="E260" s="57">
        <v>1026.76</v>
      </c>
      <c r="F260" s="51"/>
      <c r="G260" s="58">
        <v>1.8100000000000002E-2</v>
      </c>
      <c r="H260" s="53">
        <f t="shared" si="4"/>
        <v>-0.25858402126766478</v>
      </c>
      <c r="I260" s="292"/>
      <c r="J260" s="52">
        <v>38487</v>
      </c>
      <c r="K260" s="57">
        <v>1189.28</v>
      </c>
      <c r="L260" s="57">
        <v>1154.05</v>
      </c>
      <c r="M260" s="57">
        <v>1191.22</v>
      </c>
      <c r="N260" s="57">
        <v>1153.6400000000001</v>
      </c>
      <c r="O260" s="51" t="s">
        <v>320</v>
      </c>
      <c r="P260" s="58">
        <v>3.0499999999999999E-2</v>
      </c>
    </row>
    <row r="261" spans="1:16" x14ac:dyDescent="0.2">
      <c r="A261" s="56">
        <v>37135</v>
      </c>
      <c r="B261" s="57">
        <v>1040.94</v>
      </c>
      <c r="C261" s="57">
        <v>1133.58</v>
      </c>
      <c r="D261" s="57">
        <v>1155.4000000000001</v>
      </c>
      <c r="E261" s="57">
        <v>944.75</v>
      </c>
      <c r="F261" s="51"/>
      <c r="G261" s="58">
        <v>-8.1699999999999995E-2</v>
      </c>
      <c r="H261" s="53">
        <f t="shared" si="4"/>
        <v>-0.27536877571336082</v>
      </c>
      <c r="I261" s="292"/>
      <c r="J261" s="52">
        <v>38494</v>
      </c>
      <c r="K261" s="57">
        <v>1198.78</v>
      </c>
      <c r="L261" s="57">
        <v>1189.28</v>
      </c>
      <c r="M261" s="57">
        <v>1199.56</v>
      </c>
      <c r="N261" s="57">
        <v>1185.96</v>
      </c>
      <c r="O261" s="51" t="s">
        <v>321</v>
      </c>
      <c r="P261" s="58">
        <v>8.0000000000000002E-3</v>
      </c>
    </row>
    <row r="262" spans="1:16" x14ac:dyDescent="0.2">
      <c r="A262" s="56">
        <v>37104</v>
      </c>
      <c r="B262" s="57">
        <v>1133.58</v>
      </c>
      <c r="C262" s="57">
        <v>1211.23</v>
      </c>
      <c r="D262" s="57">
        <v>1226.27</v>
      </c>
      <c r="E262" s="57">
        <v>1124.8699999999999</v>
      </c>
      <c r="F262" s="51"/>
      <c r="G262" s="58">
        <v>-6.4100000000000004E-2</v>
      </c>
      <c r="H262" s="53">
        <f t="shared" si="4"/>
        <v>-0.25308365399820787</v>
      </c>
      <c r="I262" s="292"/>
      <c r="J262" s="52">
        <v>38501</v>
      </c>
      <c r="K262" s="57">
        <v>1196.02</v>
      </c>
      <c r="L262" s="57">
        <v>1198.78</v>
      </c>
      <c r="M262" s="57">
        <v>1205.6400000000001</v>
      </c>
      <c r="N262" s="57">
        <v>1191.03</v>
      </c>
      <c r="O262" s="51" t="s">
        <v>269</v>
      </c>
      <c r="P262" s="58">
        <v>-2.3E-3</v>
      </c>
    </row>
    <row r="263" spans="1:16" x14ac:dyDescent="0.2">
      <c r="A263" s="56">
        <v>37073</v>
      </c>
      <c r="B263" s="57">
        <v>1211.23</v>
      </c>
      <c r="C263" s="57">
        <v>1224.42</v>
      </c>
      <c r="D263" s="57">
        <v>1239.78</v>
      </c>
      <c r="E263" s="57">
        <v>1165.54</v>
      </c>
      <c r="F263" s="51"/>
      <c r="G263" s="58">
        <v>-1.0699999999999999E-2</v>
      </c>
      <c r="H263" s="53">
        <f t="shared" si="4"/>
        <v>-0.15347735230600412</v>
      </c>
      <c r="I263" s="292"/>
      <c r="J263" s="52">
        <v>38508</v>
      </c>
      <c r="K263" s="57">
        <v>1198.1099999999999</v>
      </c>
      <c r="L263" s="57">
        <v>1196.02</v>
      </c>
      <c r="M263" s="57">
        <v>1208.8499999999999</v>
      </c>
      <c r="N263" s="57">
        <v>1191.0899999999999</v>
      </c>
      <c r="O263" s="51" t="s">
        <v>322</v>
      </c>
      <c r="P263" s="58">
        <v>1.6999999999999999E-3</v>
      </c>
    </row>
    <row r="264" spans="1:16" x14ac:dyDescent="0.2">
      <c r="A264" s="56">
        <v>37043</v>
      </c>
      <c r="B264" s="57">
        <v>1224.3800000000001</v>
      </c>
      <c r="C264" s="57">
        <v>1255.82</v>
      </c>
      <c r="D264" s="57">
        <v>1286.6199999999999</v>
      </c>
      <c r="E264" s="57">
        <v>1203.03</v>
      </c>
      <c r="F264" s="51"/>
      <c r="G264" s="58">
        <v>-2.5000000000000001E-2</v>
      </c>
      <c r="H264" s="53">
        <f t="shared" si="4"/>
        <v>-0.15827031486319254</v>
      </c>
      <c r="I264" s="292"/>
      <c r="J264" s="52">
        <v>38515</v>
      </c>
      <c r="K264" s="57">
        <v>1216.96</v>
      </c>
      <c r="L264" s="57">
        <v>1198.1099999999999</v>
      </c>
      <c r="M264" s="57">
        <v>1219.55</v>
      </c>
      <c r="N264" s="57">
        <v>1194.51</v>
      </c>
      <c r="O264" s="51" t="s">
        <v>323</v>
      </c>
      <c r="P264" s="58">
        <v>1.5699999999999999E-2</v>
      </c>
    </row>
    <row r="265" spans="1:16" x14ac:dyDescent="0.2">
      <c r="A265" s="56">
        <v>37012</v>
      </c>
      <c r="B265" s="57">
        <v>1255.82</v>
      </c>
      <c r="C265" s="57">
        <v>1249.46</v>
      </c>
      <c r="D265" s="57">
        <v>1315.93</v>
      </c>
      <c r="E265" s="57">
        <v>1232</v>
      </c>
      <c r="F265" s="51"/>
      <c r="G265" s="58">
        <v>5.1000000000000004E-3</v>
      </c>
      <c r="H265" s="53">
        <f t="shared" si="4"/>
        <v>-0.11599324229198926</v>
      </c>
      <c r="I265" s="292"/>
      <c r="J265" s="52">
        <v>38522</v>
      </c>
      <c r="K265" s="57">
        <v>1191.57</v>
      </c>
      <c r="L265" s="57">
        <v>1216.96</v>
      </c>
      <c r="M265" s="57">
        <v>1219.5899999999999</v>
      </c>
      <c r="N265" s="57">
        <v>1191.45</v>
      </c>
      <c r="O265" s="51" t="s">
        <v>324</v>
      </c>
      <c r="P265" s="58">
        <v>-2.0899999999999998E-2</v>
      </c>
    </row>
    <row r="266" spans="1:16" x14ac:dyDescent="0.2">
      <c r="A266" s="56">
        <v>36982</v>
      </c>
      <c r="B266" s="57">
        <v>1249.46</v>
      </c>
      <c r="C266" s="57">
        <v>1160.33</v>
      </c>
      <c r="D266" s="57">
        <v>1269.3</v>
      </c>
      <c r="E266" s="57">
        <v>1091.99</v>
      </c>
      <c r="F266" s="51"/>
      <c r="G266" s="58">
        <v>7.6799999999999993E-2</v>
      </c>
      <c r="H266" s="53">
        <f t="shared" si="4"/>
        <v>-0.13974511680425217</v>
      </c>
      <c r="I266" s="292"/>
      <c r="J266" s="52">
        <v>38529</v>
      </c>
      <c r="K266" s="57">
        <v>1194.44</v>
      </c>
      <c r="L266" s="57">
        <v>1191.57</v>
      </c>
      <c r="M266" s="57">
        <v>1204.07</v>
      </c>
      <c r="N266" s="57">
        <v>1188.3</v>
      </c>
      <c r="O266" s="51" t="s">
        <v>325</v>
      </c>
      <c r="P266" s="58">
        <v>2.3999999999999998E-3</v>
      </c>
    </row>
    <row r="267" spans="1:16" x14ac:dyDescent="0.2">
      <c r="A267" s="56">
        <v>36951</v>
      </c>
      <c r="B267" s="57">
        <v>1160.33</v>
      </c>
      <c r="C267" s="57">
        <v>1239.94</v>
      </c>
      <c r="D267" s="57">
        <v>1267.42</v>
      </c>
      <c r="E267" s="57">
        <v>1081.19</v>
      </c>
      <c r="F267" s="51"/>
      <c r="G267" s="58">
        <v>-6.4199999999999993E-2</v>
      </c>
      <c r="H267" s="53">
        <f t="shared" si="4"/>
        <v>-0.22571367561291356</v>
      </c>
      <c r="I267" s="292"/>
      <c r="J267" s="52">
        <v>38536</v>
      </c>
      <c r="K267" s="57">
        <v>1211.8599999999999</v>
      </c>
      <c r="L267" s="57">
        <v>1194.44</v>
      </c>
      <c r="M267" s="57">
        <v>1212.73</v>
      </c>
      <c r="N267" s="57">
        <v>1183.55</v>
      </c>
      <c r="O267" s="51" t="s">
        <v>251</v>
      </c>
      <c r="P267" s="58">
        <v>1.46E-2</v>
      </c>
    </row>
    <row r="268" spans="1:16" x14ac:dyDescent="0.2">
      <c r="A268" s="56">
        <v>36923</v>
      </c>
      <c r="B268" s="57">
        <v>1239.94</v>
      </c>
      <c r="C268" s="57">
        <v>1366.01</v>
      </c>
      <c r="D268" s="57">
        <v>1376.38</v>
      </c>
      <c r="E268" s="57">
        <v>1215.44</v>
      </c>
      <c r="F268" s="51"/>
      <c r="G268" s="58">
        <v>-9.2299999999999993E-2</v>
      </c>
      <c r="H268" s="53">
        <f t="shared" si="4"/>
        <v>-9.2563047964754674E-2</v>
      </c>
      <c r="I268" s="292"/>
      <c r="J268" s="52">
        <v>38543</v>
      </c>
      <c r="K268" s="57">
        <v>1227.92</v>
      </c>
      <c r="L268" s="57">
        <v>1211.8599999999999</v>
      </c>
      <c r="M268" s="57">
        <v>1233.1600000000001</v>
      </c>
      <c r="N268" s="57">
        <v>1211.8599999999999</v>
      </c>
      <c r="O268" s="51" t="s">
        <v>326</v>
      </c>
      <c r="P268" s="58">
        <v>1.3299999999999999E-2</v>
      </c>
    </row>
    <row r="269" spans="1:16" x14ac:dyDescent="0.2">
      <c r="A269" s="56">
        <v>36892</v>
      </c>
      <c r="B269" s="57">
        <v>1366.01</v>
      </c>
      <c r="C269" s="57">
        <v>1320.28</v>
      </c>
      <c r="D269" s="57">
        <v>1383.37</v>
      </c>
      <c r="E269" s="57">
        <v>1274.6199999999999</v>
      </c>
      <c r="F269" s="51"/>
      <c r="G269" s="58">
        <v>3.4599999999999999E-2</v>
      </c>
      <c r="H269" s="53">
        <f t="shared" si="4"/>
        <v>-2.0402162844398553E-2</v>
      </c>
      <c r="I269" s="292"/>
      <c r="J269" s="52">
        <v>38550</v>
      </c>
      <c r="K269" s="57">
        <v>1233.68</v>
      </c>
      <c r="L269" s="57">
        <v>1227.92</v>
      </c>
      <c r="M269" s="57">
        <v>1236.56</v>
      </c>
      <c r="N269" s="57">
        <v>1221.1300000000001</v>
      </c>
      <c r="O269" s="51" t="s">
        <v>327</v>
      </c>
      <c r="P269" s="58">
        <v>4.7000000000000002E-3</v>
      </c>
    </row>
    <row r="270" spans="1:16" x14ac:dyDescent="0.2">
      <c r="A270" s="56">
        <v>36861</v>
      </c>
      <c r="B270" s="57">
        <v>1320.28</v>
      </c>
      <c r="C270" s="57">
        <v>1314.95</v>
      </c>
      <c r="D270" s="57">
        <v>1389.05</v>
      </c>
      <c r="E270" s="57">
        <v>1254.07</v>
      </c>
      <c r="F270" s="51"/>
      <c r="G270" s="58">
        <v>4.1000000000000003E-3</v>
      </c>
      <c r="H270" s="53">
        <f t="shared" si="4"/>
        <v>-0.10139186659860477</v>
      </c>
      <c r="I270" s="292"/>
      <c r="J270" s="52">
        <v>38557</v>
      </c>
      <c r="K270" s="57">
        <v>1234.18</v>
      </c>
      <c r="L270" s="57">
        <v>1233.68</v>
      </c>
      <c r="M270" s="57">
        <v>1245.1500000000001</v>
      </c>
      <c r="N270" s="57">
        <v>1228.1500000000001</v>
      </c>
      <c r="O270" s="51" t="s">
        <v>328</v>
      </c>
      <c r="P270" s="58">
        <v>4.0000000000000002E-4</v>
      </c>
    </row>
    <row r="271" spans="1:16" x14ac:dyDescent="0.2">
      <c r="A271" s="56">
        <v>36831</v>
      </c>
      <c r="B271" s="169">
        <v>1314.95</v>
      </c>
      <c r="C271" s="169">
        <v>1429.4</v>
      </c>
      <c r="D271" s="169">
        <v>1438.46</v>
      </c>
      <c r="E271" s="169">
        <v>1294.9000000000001</v>
      </c>
      <c r="F271" s="169"/>
      <c r="G271" s="169">
        <v>-8.0100000000000005E-2</v>
      </c>
      <c r="H271" s="53">
        <f t="shared" si="4"/>
        <v>-5.3250390594063002E-2</v>
      </c>
      <c r="I271" s="292"/>
      <c r="J271" s="52">
        <v>38564</v>
      </c>
      <c r="K271" s="57">
        <v>1226.42</v>
      </c>
      <c r="L271" s="57">
        <v>1234.18</v>
      </c>
      <c r="M271" s="57">
        <v>1245.8599999999999</v>
      </c>
      <c r="N271" s="57">
        <v>1225.6199999999999</v>
      </c>
      <c r="O271" s="51" t="s">
        <v>329</v>
      </c>
      <c r="P271" s="58">
        <v>-6.3E-3</v>
      </c>
    </row>
    <row r="272" spans="1:16" x14ac:dyDescent="0.2">
      <c r="A272" s="56">
        <v>36800</v>
      </c>
      <c r="B272" s="169">
        <v>1429.4</v>
      </c>
      <c r="C272" s="169">
        <v>1436.52</v>
      </c>
      <c r="D272" s="169">
        <v>1454.82</v>
      </c>
      <c r="E272" s="169">
        <v>1305.79</v>
      </c>
      <c r="F272" s="169"/>
      <c r="G272" s="169">
        <v>-4.8999999999999998E-3</v>
      </c>
      <c r="H272" s="53">
        <f t="shared" si="4"/>
        <v>4.8769929490142472E-2</v>
      </c>
      <c r="I272" s="292"/>
      <c r="J272" s="52">
        <v>38571</v>
      </c>
      <c r="K272" s="57">
        <v>1230.3900000000001</v>
      </c>
      <c r="L272" s="57">
        <v>1226.42</v>
      </c>
      <c r="M272" s="57">
        <v>1242.69</v>
      </c>
      <c r="N272" s="57">
        <v>1222.67</v>
      </c>
      <c r="O272" s="51" t="s">
        <v>330</v>
      </c>
      <c r="P272" s="58">
        <v>3.2000000000000002E-3</v>
      </c>
    </row>
    <row r="273" spans="1:16" x14ac:dyDescent="0.2">
      <c r="A273" s="56">
        <v>36770</v>
      </c>
      <c r="B273" s="169">
        <v>1436.51</v>
      </c>
      <c r="C273" s="169">
        <v>1517.68</v>
      </c>
      <c r="D273" s="169">
        <v>1530.09</v>
      </c>
      <c r="E273" s="169">
        <v>1419.44</v>
      </c>
      <c r="F273" s="169"/>
      <c r="G273" s="169">
        <v>-5.3499999999999999E-2</v>
      </c>
      <c r="H273" s="53">
        <f t="shared" si="4"/>
        <v>0.11990239414988579</v>
      </c>
      <c r="I273" s="292"/>
      <c r="J273" s="52">
        <v>38578</v>
      </c>
      <c r="K273" s="57">
        <v>1219.71</v>
      </c>
      <c r="L273" s="57">
        <v>1230.4000000000001</v>
      </c>
      <c r="M273" s="57">
        <v>1236.24</v>
      </c>
      <c r="N273" s="57">
        <v>1215.93</v>
      </c>
      <c r="O273" s="51" t="s">
        <v>331</v>
      </c>
      <c r="P273" s="58">
        <v>-8.6999999999999994E-3</v>
      </c>
    </row>
    <row r="274" spans="1:16" x14ac:dyDescent="0.2">
      <c r="A274" s="56">
        <v>36739</v>
      </c>
      <c r="B274" s="169">
        <v>1517.68</v>
      </c>
      <c r="C274" s="169">
        <v>1430.83</v>
      </c>
      <c r="D274" s="169">
        <v>1525.21</v>
      </c>
      <c r="E274" s="169">
        <v>1425.43</v>
      </c>
      <c r="F274" s="169"/>
      <c r="G274" s="169">
        <v>6.0699999999999997E-2</v>
      </c>
      <c r="H274" s="53">
        <f t="shared" ref="H274:H337" si="5">B274/B286-1</f>
        <v>0.14940056497603016</v>
      </c>
      <c r="I274" s="292"/>
      <c r="J274" s="52">
        <v>38585</v>
      </c>
      <c r="K274" s="57">
        <v>1205.0999999999999</v>
      </c>
      <c r="L274" s="57">
        <v>1219.71</v>
      </c>
      <c r="M274" s="57">
        <v>1228.96</v>
      </c>
      <c r="N274" s="57">
        <v>1204.23</v>
      </c>
      <c r="O274" s="51" t="s">
        <v>332</v>
      </c>
      <c r="P274" s="58">
        <v>-1.2E-2</v>
      </c>
    </row>
    <row r="275" spans="1:16" x14ac:dyDescent="0.2">
      <c r="A275" s="56">
        <v>36708</v>
      </c>
      <c r="B275" s="169">
        <v>1430.83</v>
      </c>
      <c r="C275" s="169">
        <v>1454.6</v>
      </c>
      <c r="D275" s="169">
        <v>1517.32</v>
      </c>
      <c r="E275" s="169">
        <v>1413.89</v>
      </c>
      <c r="F275" s="169"/>
      <c r="G275" s="169">
        <v>-1.6299999999999999E-2</v>
      </c>
      <c r="H275" s="53">
        <f t="shared" si="5"/>
        <v>7.6848395448250839E-2</v>
      </c>
      <c r="I275" s="292"/>
      <c r="J275" s="52">
        <v>38592</v>
      </c>
      <c r="K275" s="57">
        <v>1218.02</v>
      </c>
      <c r="L275" s="57">
        <v>1205.0999999999999</v>
      </c>
      <c r="M275" s="57">
        <v>1227.29</v>
      </c>
      <c r="N275" s="57">
        <v>1201.07</v>
      </c>
      <c r="O275" s="51" t="s">
        <v>333</v>
      </c>
      <c r="P275" s="58">
        <v>1.0699999999999999E-2</v>
      </c>
    </row>
    <row r="276" spans="1:16" x14ac:dyDescent="0.2">
      <c r="A276" s="56">
        <v>36678</v>
      </c>
      <c r="B276" s="169">
        <v>1454.6</v>
      </c>
      <c r="C276" s="169">
        <v>1420.6</v>
      </c>
      <c r="D276" s="169">
        <v>1488.93</v>
      </c>
      <c r="E276" s="169">
        <v>1420.6</v>
      </c>
      <c r="F276" s="169"/>
      <c r="G276" s="169">
        <v>2.3900000000000001E-2</v>
      </c>
      <c r="H276" s="53">
        <f t="shared" si="5"/>
        <v>5.9655717522273388E-2</v>
      </c>
      <c r="I276" s="292"/>
      <c r="J276" s="52">
        <v>38599</v>
      </c>
      <c r="K276" s="57">
        <v>1241.48</v>
      </c>
      <c r="L276" s="57">
        <v>1218.02</v>
      </c>
      <c r="M276" s="57">
        <v>1243.1300000000001</v>
      </c>
      <c r="N276" s="57">
        <v>1218.02</v>
      </c>
      <c r="O276" s="51" t="s">
        <v>334</v>
      </c>
      <c r="P276" s="58">
        <v>1.9300000000000001E-2</v>
      </c>
    </row>
    <row r="277" spans="1:16" x14ac:dyDescent="0.2">
      <c r="A277" s="56">
        <v>36647</v>
      </c>
      <c r="B277" s="169">
        <v>1420.6</v>
      </c>
      <c r="C277" s="169">
        <v>1452.43</v>
      </c>
      <c r="D277" s="169">
        <v>1481.51</v>
      </c>
      <c r="E277" s="169">
        <v>1361.09</v>
      </c>
      <c r="F277" s="169"/>
      <c r="G277" s="169">
        <v>-2.1899999999999999E-2</v>
      </c>
      <c r="H277" s="53">
        <f t="shared" si="5"/>
        <v>9.1224728077182959E-2</v>
      </c>
      <c r="I277" s="292"/>
      <c r="J277" s="52">
        <v>38606</v>
      </c>
      <c r="K277" s="57">
        <v>1237.9100000000001</v>
      </c>
      <c r="L277" s="57">
        <v>1241.48</v>
      </c>
      <c r="M277" s="57">
        <v>1242.5999999999999</v>
      </c>
      <c r="N277" s="57">
        <v>1224.8499999999999</v>
      </c>
      <c r="O277" s="51" t="s">
        <v>335</v>
      </c>
      <c r="P277" s="58">
        <v>-2.8999999999999998E-3</v>
      </c>
    </row>
    <row r="278" spans="1:16" x14ac:dyDescent="0.2">
      <c r="A278" s="56">
        <v>36617</v>
      </c>
      <c r="B278" s="169">
        <v>1452.43</v>
      </c>
      <c r="C278" s="169">
        <v>1498.58</v>
      </c>
      <c r="D278" s="169">
        <v>1527.19</v>
      </c>
      <c r="E278" s="169">
        <v>1339.4</v>
      </c>
      <c r="F278" s="169"/>
      <c r="G278" s="169">
        <v>-3.0800000000000001E-2</v>
      </c>
      <c r="H278" s="53">
        <f t="shared" si="5"/>
        <v>8.7815875013106837E-2</v>
      </c>
      <c r="I278" s="292"/>
      <c r="J278" s="52">
        <v>38613</v>
      </c>
      <c r="K278" s="57">
        <v>1215.29</v>
      </c>
      <c r="L278" s="57">
        <v>1237.9100000000001</v>
      </c>
      <c r="M278" s="57">
        <v>1237.9100000000001</v>
      </c>
      <c r="N278" s="57">
        <v>1205.3499999999999</v>
      </c>
      <c r="O278" s="51" t="s">
        <v>336</v>
      </c>
      <c r="P278" s="58">
        <v>-1.83E-2</v>
      </c>
    </row>
    <row r="279" spans="1:16" x14ac:dyDescent="0.2">
      <c r="A279" s="56">
        <v>36586</v>
      </c>
      <c r="B279" s="169">
        <v>1498.58</v>
      </c>
      <c r="C279" s="169">
        <v>1366.42</v>
      </c>
      <c r="D279" s="169">
        <v>1552.87</v>
      </c>
      <c r="E279" s="169">
        <v>1346.62</v>
      </c>
      <c r="F279" s="169"/>
      <c r="G279" s="169">
        <v>9.6699999999999994E-2</v>
      </c>
      <c r="H279" s="53">
        <f t="shared" si="5"/>
        <v>0.16496808849708877</v>
      </c>
      <c r="I279" s="292"/>
      <c r="J279" s="52">
        <v>38620</v>
      </c>
      <c r="K279" s="57">
        <v>1228.81</v>
      </c>
      <c r="L279" s="57">
        <v>1215.29</v>
      </c>
      <c r="M279" s="57">
        <v>1229.57</v>
      </c>
      <c r="N279" s="57">
        <v>1211.1099999999999</v>
      </c>
      <c r="O279" s="51" t="s">
        <v>337</v>
      </c>
      <c r="P279" s="58">
        <v>1.11E-2</v>
      </c>
    </row>
    <row r="280" spans="1:16" x14ac:dyDescent="0.2">
      <c r="A280" s="56">
        <v>36557</v>
      </c>
      <c r="B280" s="169">
        <v>1366.42</v>
      </c>
      <c r="C280" s="169">
        <v>1394.46</v>
      </c>
      <c r="D280" s="169">
        <v>1444.55</v>
      </c>
      <c r="E280" s="169">
        <v>1325.07</v>
      </c>
      <c r="F280" s="169"/>
      <c r="G280" s="169">
        <v>-2.01E-2</v>
      </c>
      <c r="H280" s="53">
        <f t="shared" si="5"/>
        <v>0.10343769431411665</v>
      </c>
      <c r="I280" s="292"/>
      <c r="J280" s="52">
        <v>38627</v>
      </c>
      <c r="K280" s="57">
        <v>1195.9000000000001</v>
      </c>
      <c r="L280" s="57">
        <v>1228.81</v>
      </c>
      <c r="M280" s="57">
        <v>1233.3399999999999</v>
      </c>
      <c r="N280" s="57">
        <v>1181.92</v>
      </c>
      <c r="O280" s="51" t="s">
        <v>338</v>
      </c>
      <c r="P280" s="58">
        <v>-2.6800000000000001E-2</v>
      </c>
    </row>
    <row r="281" spans="1:16" x14ac:dyDescent="0.2">
      <c r="A281" s="56">
        <v>36526</v>
      </c>
      <c r="B281" s="169">
        <v>1394.46</v>
      </c>
      <c r="C281" s="169">
        <v>1469.25</v>
      </c>
      <c r="D281" s="169">
        <v>1478</v>
      </c>
      <c r="E281" s="169">
        <v>1350.14</v>
      </c>
      <c r="F281" s="169"/>
      <c r="G281" s="169">
        <v>-5.0900000000000001E-2</v>
      </c>
      <c r="H281" s="53">
        <f t="shared" si="5"/>
        <v>8.9728361101559795E-2</v>
      </c>
      <c r="I281" s="292"/>
      <c r="J281" s="52">
        <v>38634</v>
      </c>
      <c r="K281" s="57">
        <v>1186.57</v>
      </c>
      <c r="L281" s="57">
        <v>1195.9000000000001</v>
      </c>
      <c r="M281" s="57">
        <v>1196.52</v>
      </c>
      <c r="N281" s="57">
        <v>1168.2</v>
      </c>
      <c r="O281" s="51" t="s">
        <v>339</v>
      </c>
      <c r="P281" s="58">
        <v>-7.7999999999999996E-3</v>
      </c>
    </row>
    <row r="282" spans="1:16" x14ac:dyDescent="0.2">
      <c r="A282" s="56">
        <v>36495</v>
      </c>
      <c r="B282" s="169">
        <v>1469.25</v>
      </c>
      <c r="C282" s="169">
        <v>1388.91</v>
      </c>
      <c r="D282" s="169">
        <v>1473.1</v>
      </c>
      <c r="E282" s="169">
        <v>1387.38</v>
      </c>
      <c r="F282" s="169"/>
      <c r="G282" s="169">
        <v>5.7799999999999997E-2</v>
      </c>
      <c r="H282" s="53">
        <f t="shared" si="5"/>
        <v>0.19526044759727634</v>
      </c>
      <c r="I282" s="292"/>
      <c r="J282" s="52">
        <v>38641</v>
      </c>
      <c r="K282" s="57">
        <v>1179.5899999999999</v>
      </c>
      <c r="L282" s="57">
        <v>1186.57</v>
      </c>
      <c r="M282" s="57">
        <v>1197.3</v>
      </c>
      <c r="N282" s="57">
        <v>1170.55</v>
      </c>
      <c r="O282" s="51" t="s">
        <v>340</v>
      </c>
      <c r="P282" s="58">
        <v>-5.8999999999999999E-3</v>
      </c>
    </row>
    <row r="283" spans="1:16" x14ac:dyDescent="0.2">
      <c r="A283" s="56">
        <v>36465</v>
      </c>
      <c r="B283" s="169">
        <v>1388.91</v>
      </c>
      <c r="C283" s="169">
        <v>1362.93</v>
      </c>
      <c r="D283" s="169">
        <v>1425.31</v>
      </c>
      <c r="E283" s="169">
        <v>1346.41</v>
      </c>
      <c r="F283" s="169"/>
      <c r="G283" s="169">
        <v>1.9099999999999999E-2</v>
      </c>
      <c r="H283" s="53">
        <f t="shared" si="5"/>
        <v>0.19360105875578992</v>
      </c>
      <c r="I283" s="292"/>
      <c r="J283" s="52">
        <v>38648</v>
      </c>
      <c r="K283" s="57">
        <v>1198.4100000000001</v>
      </c>
      <c r="L283" s="57">
        <v>1179.5899999999999</v>
      </c>
      <c r="M283" s="57">
        <v>1204.01</v>
      </c>
      <c r="N283" s="57">
        <v>1178.8900000000001</v>
      </c>
      <c r="O283" s="51" t="s">
        <v>341</v>
      </c>
      <c r="P283" s="58">
        <v>1.6E-2</v>
      </c>
    </row>
    <row r="284" spans="1:16" x14ac:dyDescent="0.2">
      <c r="A284" s="56">
        <v>36434</v>
      </c>
      <c r="B284" s="169">
        <v>1362.93</v>
      </c>
      <c r="C284" s="169">
        <v>1282.71</v>
      </c>
      <c r="D284" s="169">
        <v>1373.17</v>
      </c>
      <c r="E284" s="169">
        <v>1233.7</v>
      </c>
      <c r="F284" s="169"/>
      <c r="G284" s="169">
        <v>6.25E-2</v>
      </c>
      <c r="H284" s="53">
        <f t="shared" si="5"/>
        <v>0.24052718286655672</v>
      </c>
      <c r="I284" s="292"/>
      <c r="J284" s="52">
        <v>38655</v>
      </c>
      <c r="K284" s="57">
        <v>1220.1400000000001</v>
      </c>
      <c r="L284" s="57">
        <v>1198.4100000000001</v>
      </c>
      <c r="M284" s="57">
        <v>1224.7</v>
      </c>
      <c r="N284" s="57">
        <v>1198.4100000000001</v>
      </c>
      <c r="O284" s="51" t="s">
        <v>342</v>
      </c>
      <c r="P284" s="58">
        <v>1.8100000000000002E-2</v>
      </c>
    </row>
    <row r="285" spans="1:16" x14ac:dyDescent="0.2">
      <c r="A285" s="56">
        <v>36404</v>
      </c>
      <c r="B285" s="169">
        <v>1282.71</v>
      </c>
      <c r="C285" s="169">
        <v>1320.41</v>
      </c>
      <c r="D285" s="169">
        <v>1361.39</v>
      </c>
      <c r="E285" s="169">
        <v>1256.26</v>
      </c>
      <c r="F285" s="169"/>
      <c r="G285" s="169">
        <v>-2.86E-2</v>
      </c>
      <c r="H285" s="53">
        <f t="shared" si="5"/>
        <v>0.26125603484724835</v>
      </c>
      <c r="I285" s="292"/>
      <c r="J285" s="52">
        <v>38662</v>
      </c>
      <c r="K285" s="57">
        <v>1234.72</v>
      </c>
      <c r="L285" s="57">
        <v>1220.1400000000001</v>
      </c>
      <c r="M285" s="57">
        <v>1235.7</v>
      </c>
      <c r="N285" s="57">
        <v>1215.05</v>
      </c>
      <c r="O285" s="51" t="s">
        <v>343</v>
      </c>
      <c r="P285" s="58">
        <v>1.1900000000000001E-2</v>
      </c>
    </row>
    <row r="286" spans="1:16" x14ac:dyDescent="0.2">
      <c r="A286" s="56">
        <v>36373</v>
      </c>
      <c r="B286" s="169">
        <v>1320.41</v>
      </c>
      <c r="C286" s="169">
        <v>1328.72</v>
      </c>
      <c r="D286" s="169">
        <v>1382.84</v>
      </c>
      <c r="E286" s="169">
        <v>1267.73</v>
      </c>
      <c r="F286" s="169"/>
      <c r="G286" s="169">
        <v>-6.3E-3</v>
      </c>
      <c r="H286" s="53">
        <f t="shared" si="5"/>
        <v>0.37933519973257579</v>
      </c>
      <c r="I286" s="292"/>
      <c r="J286" s="52">
        <v>38669</v>
      </c>
      <c r="K286" s="57">
        <v>1248.27</v>
      </c>
      <c r="L286" s="57">
        <v>1234.72</v>
      </c>
      <c r="M286" s="57">
        <v>1249.58</v>
      </c>
      <c r="N286" s="57">
        <v>1226.4100000000001</v>
      </c>
      <c r="O286" s="51" t="s">
        <v>344</v>
      </c>
      <c r="P286" s="58">
        <v>1.0999999999999999E-2</v>
      </c>
    </row>
    <row r="287" spans="1:16" x14ac:dyDescent="0.2">
      <c r="A287" s="56">
        <v>36342</v>
      </c>
      <c r="B287" s="169">
        <v>1328.72</v>
      </c>
      <c r="C287" s="169">
        <v>1372.71</v>
      </c>
      <c r="D287" s="169">
        <v>1420.33</v>
      </c>
      <c r="E287" s="169">
        <v>1328.49</v>
      </c>
      <c r="F287" s="169"/>
      <c r="G287" s="169">
        <v>-3.2000000000000001E-2</v>
      </c>
      <c r="H287" s="53">
        <f t="shared" si="5"/>
        <v>0.18564787136266703</v>
      </c>
      <c r="I287" s="292"/>
      <c r="J287" s="52">
        <v>38676</v>
      </c>
      <c r="K287" s="57">
        <v>1268.25</v>
      </c>
      <c r="L287" s="57">
        <v>1248.27</v>
      </c>
      <c r="M287" s="57">
        <v>1270.6400000000001</v>
      </c>
      <c r="N287" s="57">
        <v>1246.9000000000001</v>
      </c>
      <c r="O287" s="51" t="s">
        <v>345</v>
      </c>
      <c r="P287" s="58">
        <v>1.6E-2</v>
      </c>
    </row>
    <row r="288" spans="1:16" x14ac:dyDescent="0.2">
      <c r="A288" s="56">
        <v>36312</v>
      </c>
      <c r="B288" s="169">
        <v>1372.71</v>
      </c>
      <c r="C288" s="169">
        <v>1301.8399999999999</v>
      </c>
      <c r="D288" s="169">
        <v>1372.93</v>
      </c>
      <c r="E288" s="169">
        <v>1277.47</v>
      </c>
      <c r="F288" s="169"/>
      <c r="G288" s="169">
        <v>5.4399999999999997E-2</v>
      </c>
      <c r="H288" s="53">
        <f t="shared" si="5"/>
        <v>0.21067346362802519</v>
      </c>
      <c r="I288" s="292"/>
      <c r="J288" s="52">
        <v>38683</v>
      </c>
      <c r="K288" s="57">
        <v>1265.08</v>
      </c>
      <c r="L288" s="57">
        <v>1268.25</v>
      </c>
      <c r="M288" s="57">
        <v>1268.44</v>
      </c>
      <c r="N288" s="57">
        <v>1249.3900000000001</v>
      </c>
      <c r="O288" s="51" t="s">
        <v>346</v>
      </c>
      <c r="P288" s="58">
        <v>-2.5000000000000001E-3</v>
      </c>
    </row>
    <row r="289" spans="1:16" x14ac:dyDescent="0.2">
      <c r="A289" s="56">
        <v>36281</v>
      </c>
      <c r="B289" s="169">
        <v>1301.8399999999999</v>
      </c>
      <c r="C289" s="169">
        <v>1335.18</v>
      </c>
      <c r="D289" s="169">
        <v>1375.98</v>
      </c>
      <c r="E289" s="169">
        <v>1277.31</v>
      </c>
      <c r="F289" s="169"/>
      <c r="G289" s="169">
        <v>-2.5000000000000001E-2</v>
      </c>
      <c r="H289" s="53">
        <f t="shared" si="5"/>
        <v>0.19345079848187607</v>
      </c>
      <c r="I289" s="292"/>
      <c r="J289" s="52">
        <v>38690</v>
      </c>
      <c r="K289" s="57">
        <v>1259.3699999999999</v>
      </c>
      <c r="L289" s="57">
        <v>1265.08</v>
      </c>
      <c r="M289" s="57">
        <v>1272.8900000000001</v>
      </c>
      <c r="N289" s="57">
        <v>1250.9100000000001</v>
      </c>
      <c r="O289" s="51" t="s">
        <v>316</v>
      </c>
      <c r="P289" s="58">
        <v>-4.4999999999999997E-3</v>
      </c>
    </row>
    <row r="290" spans="1:16" x14ac:dyDescent="0.2">
      <c r="A290" s="56">
        <v>36251</v>
      </c>
      <c r="B290" s="169">
        <v>1335.18</v>
      </c>
      <c r="C290" s="169">
        <v>1286.3699999999999</v>
      </c>
      <c r="D290" s="169">
        <v>1371.56</v>
      </c>
      <c r="E290" s="169">
        <v>1282.56</v>
      </c>
      <c r="F290" s="169"/>
      <c r="G290" s="169">
        <v>3.7900000000000003E-2</v>
      </c>
      <c r="H290" s="53">
        <f t="shared" si="5"/>
        <v>0.20097144142118295</v>
      </c>
      <c r="I290" s="292"/>
      <c r="J290" s="52">
        <v>38697</v>
      </c>
      <c r="K290" s="57">
        <v>1267.32</v>
      </c>
      <c r="L290" s="57">
        <v>1259.3699999999999</v>
      </c>
      <c r="M290" s="57">
        <v>1275.8</v>
      </c>
      <c r="N290" s="57">
        <v>1255.52</v>
      </c>
      <c r="O290" s="51" t="s">
        <v>347</v>
      </c>
      <c r="P290" s="58">
        <v>6.3E-3</v>
      </c>
    </row>
    <row r="291" spans="1:16" x14ac:dyDescent="0.2">
      <c r="A291" s="56">
        <v>36220</v>
      </c>
      <c r="B291" s="169">
        <v>1286.3699999999999</v>
      </c>
      <c r="C291" s="169">
        <v>1238.33</v>
      </c>
      <c r="D291" s="169">
        <v>1323.82</v>
      </c>
      <c r="E291" s="169">
        <v>1216.03</v>
      </c>
      <c r="F291" s="169"/>
      <c r="G291" s="169">
        <v>3.8800000000000001E-2</v>
      </c>
      <c r="H291" s="53">
        <f t="shared" si="5"/>
        <v>0.16756977535738593</v>
      </c>
      <c r="I291" s="292"/>
      <c r="J291" s="52">
        <v>38704</v>
      </c>
      <c r="K291" s="57">
        <v>1268.6600000000001</v>
      </c>
      <c r="L291" s="57">
        <v>1267.32</v>
      </c>
      <c r="M291" s="57">
        <v>1270.51</v>
      </c>
      <c r="N291" s="57">
        <v>1257.21</v>
      </c>
      <c r="O291" s="51" t="s">
        <v>348</v>
      </c>
      <c r="P291" s="58">
        <v>1.1000000000000001E-3</v>
      </c>
    </row>
    <row r="292" spans="1:16" x14ac:dyDescent="0.2">
      <c r="A292" s="56">
        <v>36192</v>
      </c>
      <c r="B292" s="169">
        <v>1238.33</v>
      </c>
      <c r="C292" s="169">
        <v>1279.6400000000001</v>
      </c>
      <c r="D292" s="169">
        <v>1283.8399999999999</v>
      </c>
      <c r="E292" s="169">
        <v>1211.8900000000001</v>
      </c>
      <c r="F292" s="169"/>
      <c r="G292" s="169">
        <v>-3.2300000000000002E-2</v>
      </c>
      <c r="H292" s="53">
        <f t="shared" si="5"/>
        <v>0.18010368422055767</v>
      </c>
      <c r="I292" s="292"/>
      <c r="J292" s="52">
        <v>38711</v>
      </c>
      <c r="K292" s="57">
        <v>1248.29</v>
      </c>
      <c r="L292" s="57">
        <v>1268.6600000000001</v>
      </c>
      <c r="M292" s="57">
        <v>1271.83</v>
      </c>
      <c r="N292" s="57">
        <v>1246.5899999999999</v>
      </c>
      <c r="O292" s="51" t="s">
        <v>349</v>
      </c>
      <c r="P292" s="58">
        <v>-1.61E-2</v>
      </c>
    </row>
    <row r="293" spans="1:16" x14ac:dyDescent="0.2">
      <c r="A293" s="56">
        <v>36161</v>
      </c>
      <c r="B293" s="169">
        <v>1279.6400000000001</v>
      </c>
      <c r="C293" s="169">
        <v>1229.23</v>
      </c>
      <c r="D293" s="169">
        <v>1280.3699999999999</v>
      </c>
      <c r="E293" s="169">
        <v>1205.46</v>
      </c>
      <c r="F293" s="169"/>
      <c r="G293" s="169">
        <v>4.1000000000000002E-2</v>
      </c>
      <c r="H293" s="53">
        <f t="shared" si="5"/>
        <v>0.305382135716326</v>
      </c>
      <c r="I293" s="292"/>
      <c r="J293" s="52">
        <v>38718</v>
      </c>
      <c r="K293" s="57">
        <v>1285.45</v>
      </c>
      <c r="L293" s="57">
        <v>1248.29</v>
      </c>
      <c r="M293" s="57">
        <v>1286.0899999999999</v>
      </c>
      <c r="N293" s="57">
        <v>1245.74</v>
      </c>
      <c r="O293" s="51" t="s">
        <v>350</v>
      </c>
      <c r="P293" s="58">
        <v>2.98E-2</v>
      </c>
    </row>
    <row r="294" spans="1:16" x14ac:dyDescent="0.2">
      <c r="A294" s="56">
        <v>36130</v>
      </c>
      <c r="B294" s="169">
        <v>1229.23</v>
      </c>
      <c r="C294" s="169">
        <v>1163.6300000000001</v>
      </c>
      <c r="D294" s="169">
        <v>1244.93</v>
      </c>
      <c r="E294" s="169">
        <v>1136.8900000000001</v>
      </c>
      <c r="F294" s="169"/>
      <c r="G294" s="169">
        <v>5.6399999999999999E-2</v>
      </c>
      <c r="H294" s="53">
        <f t="shared" si="5"/>
        <v>0.26668590212586185</v>
      </c>
      <c r="I294" s="292"/>
      <c r="J294" s="52">
        <v>38725</v>
      </c>
      <c r="K294" s="57">
        <v>1287.6099999999999</v>
      </c>
      <c r="L294" s="57">
        <v>1285.45</v>
      </c>
      <c r="M294" s="57">
        <v>1294.9000000000001</v>
      </c>
      <c r="N294" s="57">
        <v>1282.78</v>
      </c>
      <c r="O294" s="51" t="s">
        <v>351</v>
      </c>
      <c r="P294" s="58">
        <v>1.6999999999999999E-3</v>
      </c>
    </row>
    <row r="295" spans="1:16" x14ac:dyDescent="0.2">
      <c r="A295" s="56">
        <v>36100</v>
      </c>
      <c r="B295" s="169">
        <v>1163.6300000000001</v>
      </c>
      <c r="C295" s="169">
        <v>1098.67</v>
      </c>
      <c r="D295" s="169">
        <v>1192.97</v>
      </c>
      <c r="E295" s="169">
        <v>1098.67</v>
      </c>
      <c r="F295" s="169"/>
      <c r="G295" s="169">
        <v>5.91E-2</v>
      </c>
      <c r="H295" s="53">
        <f t="shared" si="5"/>
        <v>0.21795059660875049</v>
      </c>
      <c r="I295" s="292"/>
      <c r="J295" s="52">
        <v>38732</v>
      </c>
      <c r="K295" s="57">
        <v>1261.49</v>
      </c>
      <c r="L295" s="57">
        <v>1287.6099999999999</v>
      </c>
      <c r="M295" s="57">
        <v>1287.79</v>
      </c>
      <c r="N295" s="57">
        <v>1260.92</v>
      </c>
      <c r="O295" s="51" t="s">
        <v>352</v>
      </c>
      <c r="P295" s="58">
        <v>-2.0299999999999999E-2</v>
      </c>
    </row>
    <row r="296" spans="1:16" x14ac:dyDescent="0.2">
      <c r="A296" s="56">
        <v>36069</v>
      </c>
      <c r="B296" s="169">
        <v>1098.67</v>
      </c>
      <c r="C296" s="169">
        <v>1017.01</v>
      </c>
      <c r="D296" s="169">
        <v>1103.78</v>
      </c>
      <c r="E296" s="169">
        <v>923.32</v>
      </c>
      <c r="F296" s="169"/>
      <c r="G296" s="169">
        <v>8.0299999999999996E-2</v>
      </c>
      <c r="H296" s="53">
        <f t="shared" si="5"/>
        <v>0.20123111237453806</v>
      </c>
      <c r="I296" s="292"/>
      <c r="J296" s="52">
        <v>38739</v>
      </c>
      <c r="K296" s="57">
        <v>1283.72</v>
      </c>
      <c r="L296" s="57">
        <v>1261.49</v>
      </c>
      <c r="M296" s="57">
        <v>1286.3800000000001</v>
      </c>
      <c r="N296" s="57">
        <v>1259.42</v>
      </c>
      <c r="O296" s="51" t="s">
        <v>353</v>
      </c>
      <c r="P296" s="58">
        <v>1.7600000000000001E-2</v>
      </c>
    </row>
    <row r="297" spans="1:16" x14ac:dyDescent="0.2">
      <c r="A297" s="56">
        <v>36039</v>
      </c>
      <c r="B297" s="169">
        <v>1017.01</v>
      </c>
      <c r="C297" s="169">
        <v>957.28</v>
      </c>
      <c r="D297" s="169">
        <v>1066.1099999999999</v>
      </c>
      <c r="E297" s="169">
        <v>939.98</v>
      </c>
      <c r="F297" s="169"/>
      <c r="G297" s="169">
        <v>6.2399999999999997E-2</v>
      </c>
      <c r="H297" s="53">
        <f t="shared" si="5"/>
        <v>7.36107592264168E-2</v>
      </c>
      <c r="I297" s="292"/>
      <c r="J297" s="52">
        <v>38746</v>
      </c>
      <c r="K297" s="57">
        <v>1264.03</v>
      </c>
      <c r="L297" s="57">
        <v>1283.72</v>
      </c>
      <c r="M297" s="57">
        <v>1287.94</v>
      </c>
      <c r="N297" s="57">
        <v>1261.02</v>
      </c>
      <c r="O297" s="51" t="s">
        <v>354</v>
      </c>
      <c r="P297" s="58">
        <v>-1.5299999999999999E-2</v>
      </c>
    </row>
    <row r="298" spans="1:16" x14ac:dyDescent="0.2">
      <c r="A298" s="56">
        <v>36008</v>
      </c>
      <c r="B298" s="169">
        <v>957.28</v>
      </c>
      <c r="C298" s="169">
        <v>1120.67</v>
      </c>
      <c r="D298" s="169">
        <v>1121.79</v>
      </c>
      <c r="E298" s="169">
        <v>957.28</v>
      </c>
      <c r="F298" s="169"/>
      <c r="G298" s="169">
        <v>-0.14580000000000001</v>
      </c>
      <c r="H298" s="53">
        <f t="shared" si="5"/>
        <v>6.4271181918240661E-2</v>
      </c>
      <c r="I298" s="292"/>
      <c r="J298" s="52">
        <v>38753</v>
      </c>
      <c r="K298" s="57">
        <v>1266.99</v>
      </c>
      <c r="L298" s="57">
        <v>1264.03</v>
      </c>
      <c r="M298" s="57">
        <v>1274.56</v>
      </c>
      <c r="N298" s="57">
        <v>1253.6099999999999</v>
      </c>
      <c r="O298" s="51" t="s">
        <v>219</v>
      </c>
      <c r="P298" s="58">
        <v>2.3E-3</v>
      </c>
    </row>
    <row r="299" spans="1:16" x14ac:dyDescent="0.2">
      <c r="A299" s="56">
        <v>35977</v>
      </c>
      <c r="B299" s="169">
        <v>1120.67</v>
      </c>
      <c r="C299" s="169">
        <v>1133.8399999999999</v>
      </c>
      <c r="D299" s="169">
        <v>1190.58</v>
      </c>
      <c r="E299" s="169">
        <v>1114.3</v>
      </c>
      <c r="F299" s="169"/>
      <c r="G299" s="169">
        <v>-1.1599999999999999E-2</v>
      </c>
      <c r="H299" s="53">
        <f t="shared" si="5"/>
        <v>0.17432490490511476</v>
      </c>
      <c r="I299" s="292"/>
      <c r="J299" s="52">
        <v>38760</v>
      </c>
      <c r="K299" s="57">
        <v>1287.24</v>
      </c>
      <c r="L299" s="57">
        <v>1266.99</v>
      </c>
      <c r="M299" s="57">
        <v>1289.47</v>
      </c>
      <c r="N299" s="57">
        <v>1258.3399999999999</v>
      </c>
      <c r="O299" s="51" t="s">
        <v>355</v>
      </c>
      <c r="P299" s="58">
        <v>1.6E-2</v>
      </c>
    </row>
    <row r="300" spans="1:16" x14ac:dyDescent="0.2">
      <c r="A300" s="56">
        <v>35947</v>
      </c>
      <c r="B300" s="169">
        <v>1133.8399999999999</v>
      </c>
      <c r="C300" s="169">
        <v>1090.82</v>
      </c>
      <c r="D300" s="169">
        <v>1145.1500000000001</v>
      </c>
      <c r="E300" s="169">
        <v>1074.67</v>
      </c>
      <c r="F300" s="169"/>
      <c r="G300" s="169">
        <v>3.9399999999999998E-2</v>
      </c>
      <c r="H300" s="53">
        <f t="shared" si="5"/>
        <v>0.28097250152518249</v>
      </c>
      <c r="I300" s="292"/>
      <c r="J300" s="52">
        <v>38767</v>
      </c>
      <c r="K300" s="57">
        <v>1289.43</v>
      </c>
      <c r="L300" s="57">
        <v>1287.24</v>
      </c>
      <c r="M300" s="57">
        <v>1294.17</v>
      </c>
      <c r="N300" s="57">
        <v>1281.33</v>
      </c>
      <c r="O300" s="51" t="s">
        <v>356</v>
      </c>
      <c r="P300" s="58">
        <v>1.6999999999999999E-3</v>
      </c>
    </row>
    <row r="301" spans="1:16" x14ac:dyDescent="0.2">
      <c r="A301" s="56">
        <v>35916</v>
      </c>
      <c r="B301" s="169">
        <v>1090.82</v>
      </c>
      <c r="C301" s="169">
        <v>1111.75</v>
      </c>
      <c r="D301" s="169">
        <v>1130.52</v>
      </c>
      <c r="E301" s="169">
        <v>1074.3900000000001</v>
      </c>
      <c r="F301" s="169"/>
      <c r="G301" s="169">
        <v>-1.8800000000000001E-2</v>
      </c>
      <c r="H301" s="53">
        <f t="shared" si="5"/>
        <v>0.28591974348092597</v>
      </c>
      <c r="I301" s="292"/>
      <c r="J301" s="52">
        <v>38774</v>
      </c>
      <c r="K301" s="57">
        <v>1287.23</v>
      </c>
      <c r="L301" s="57">
        <v>1289.43</v>
      </c>
      <c r="M301" s="57">
        <v>1297.57</v>
      </c>
      <c r="N301" s="57">
        <v>1278.6600000000001</v>
      </c>
      <c r="O301" s="51" t="s">
        <v>357</v>
      </c>
      <c r="P301" s="58">
        <v>-1.6999999999999999E-3</v>
      </c>
    </row>
    <row r="302" spans="1:16" x14ac:dyDescent="0.2">
      <c r="A302" s="56">
        <v>35886</v>
      </c>
      <c r="B302" s="169">
        <v>1111.75</v>
      </c>
      <c r="C302" s="169">
        <v>1101.75</v>
      </c>
      <c r="D302" s="169">
        <v>1132.98</v>
      </c>
      <c r="E302" s="169">
        <v>1076.7</v>
      </c>
      <c r="F302" s="169"/>
      <c r="G302" s="169">
        <v>9.1000000000000004E-3</v>
      </c>
      <c r="H302" s="53">
        <f t="shared" si="5"/>
        <v>0.38736366585968507</v>
      </c>
      <c r="I302" s="292"/>
      <c r="J302" s="52">
        <v>38781</v>
      </c>
      <c r="K302" s="57">
        <v>1281.42</v>
      </c>
      <c r="L302" s="57">
        <v>1287.23</v>
      </c>
      <c r="M302" s="57">
        <v>1288.23</v>
      </c>
      <c r="N302" s="57">
        <v>1268.42</v>
      </c>
      <c r="O302" s="51" t="s">
        <v>358</v>
      </c>
      <c r="P302" s="58">
        <v>-4.4999999999999997E-3</v>
      </c>
    </row>
    <row r="303" spans="1:16" x14ac:dyDescent="0.2">
      <c r="A303" s="56">
        <v>35855</v>
      </c>
      <c r="B303" s="169">
        <v>1101.75</v>
      </c>
      <c r="C303" s="169">
        <v>1049.3399999999999</v>
      </c>
      <c r="D303" s="169">
        <v>1113.07</v>
      </c>
      <c r="E303" s="169">
        <v>1030.8699999999999</v>
      </c>
      <c r="F303" s="169"/>
      <c r="G303" s="169">
        <v>4.99E-2</v>
      </c>
      <c r="H303" s="53">
        <f t="shared" si="5"/>
        <v>0.45518543956043955</v>
      </c>
      <c r="I303" s="292"/>
      <c r="J303" s="52">
        <v>38788</v>
      </c>
      <c r="K303" s="57">
        <v>1307.25</v>
      </c>
      <c r="L303" s="57">
        <v>1281.58</v>
      </c>
      <c r="M303" s="57">
        <v>1310.45</v>
      </c>
      <c r="N303" s="57">
        <v>1281.58</v>
      </c>
      <c r="O303" s="51" t="s">
        <v>359</v>
      </c>
      <c r="P303" s="58">
        <v>2.0199999999999999E-2</v>
      </c>
    </row>
    <row r="304" spans="1:16" x14ac:dyDescent="0.2">
      <c r="A304" s="56">
        <v>35827</v>
      </c>
      <c r="B304" s="169">
        <v>1049.3399999999999</v>
      </c>
      <c r="C304" s="169">
        <v>980.28</v>
      </c>
      <c r="D304" s="169">
        <v>1051.6600000000001</v>
      </c>
      <c r="E304" s="169">
        <v>980.28</v>
      </c>
      <c r="F304" s="169"/>
      <c r="G304" s="169">
        <v>7.0400000000000004E-2</v>
      </c>
      <c r="H304" s="53">
        <f t="shared" si="5"/>
        <v>0.32690119116866012</v>
      </c>
      <c r="I304" s="292"/>
      <c r="J304" s="52">
        <v>38795</v>
      </c>
      <c r="K304" s="57">
        <v>1302.95</v>
      </c>
      <c r="L304" s="57">
        <v>1307.25</v>
      </c>
      <c r="M304" s="57">
        <v>1310.88</v>
      </c>
      <c r="N304" s="57">
        <v>1295.81</v>
      </c>
      <c r="O304" s="51" t="s">
        <v>360</v>
      </c>
      <c r="P304" s="58">
        <v>-3.3E-3</v>
      </c>
    </row>
    <row r="305" spans="1:16" x14ac:dyDescent="0.2">
      <c r="A305" s="56">
        <v>35796</v>
      </c>
      <c r="B305" s="169">
        <v>980.28</v>
      </c>
      <c r="C305" s="169">
        <v>970.43</v>
      </c>
      <c r="D305" s="169">
        <v>992.65</v>
      </c>
      <c r="E305" s="169">
        <v>912.83</v>
      </c>
      <c r="F305" s="169"/>
      <c r="G305" s="169">
        <v>1.0200000000000001E-2</v>
      </c>
      <c r="H305" s="53">
        <f t="shared" si="5"/>
        <v>0.24692174620942309</v>
      </c>
      <c r="I305" s="292"/>
      <c r="J305" s="52">
        <v>38802</v>
      </c>
      <c r="K305" s="57">
        <v>1294.8699999999999</v>
      </c>
      <c r="L305" s="57">
        <v>1302.95</v>
      </c>
      <c r="M305" s="57">
        <v>1310.1500000000001</v>
      </c>
      <c r="N305" s="57">
        <v>1291.8399999999999</v>
      </c>
      <c r="O305" s="51" t="s">
        <v>361</v>
      </c>
      <c r="P305" s="58">
        <v>-6.1999999999999998E-3</v>
      </c>
    </row>
    <row r="306" spans="1:16" x14ac:dyDescent="0.2">
      <c r="A306" s="56">
        <v>35765</v>
      </c>
      <c r="B306" s="169">
        <v>970.43</v>
      </c>
      <c r="C306" s="169">
        <v>955.4</v>
      </c>
      <c r="D306" s="169">
        <v>986.25</v>
      </c>
      <c r="E306" s="169">
        <v>924.92</v>
      </c>
      <c r="F306" s="169"/>
      <c r="G306" s="169">
        <v>1.5699999999999999E-2</v>
      </c>
      <c r="H306" s="53">
        <f t="shared" si="5"/>
        <v>0.31008181008180991</v>
      </c>
      <c r="I306" s="292"/>
      <c r="J306" s="52">
        <v>38809</v>
      </c>
      <c r="K306" s="57">
        <v>1295.5</v>
      </c>
      <c r="L306" s="57">
        <v>1302.8800000000001</v>
      </c>
      <c r="M306" s="57">
        <v>1314.07</v>
      </c>
      <c r="N306" s="57">
        <v>1294.18</v>
      </c>
      <c r="O306" s="51" t="s">
        <v>362</v>
      </c>
      <c r="P306" s="58">
        <v>5.0000000000000001E-4</v>
      </c>
    </row>
    <row r="307" spans="1:16" x14ac:dyDescent="0.2">
      <c r="A307" s="56">
        <v>35735</v>
      </c>
      <c r="B307" s="169">
        <v>955.4</v>
      </c>
      <c r="C307" s="169">
        <v>914.62</v>
      </c>
      <c r="D307" s="169">
        <v>964.55</v>
      </c>
      <c r="E307" s="169">
        <v>900.61</v>
      </c>
      <c r="F307" s="169"/>
      <c r="G307" s="169">
        <v>4.4600000000000001E-2</v>
      </c>
      <c r="H307" s="53">
        <f t="shared" si="5"/>
        <v>0.262053842699004</v>
      </c>
      <c r="I307" s="292"/>
      <c r="J307" s="52">
        <v>38816</v>
      </c>
      <c r="K307" s="57">
        <v>1289.1199999999999</v>
      </c>
      <c r="L307" s="57">
        <v>1295.51</v>
      </c>
      <c r="M307" s="57">
        <v>1300.74</v>
      </c>
      <c r="N307" s="57">
        <v>1282.96</v>
      </c>
      <c r="O307" s="51" t="s">
        <v>363</v>
      </c>
      <c r="P307" s="58">
        <v>-4.8999999999999998E-3</v>
      </c>
    </row>
    <row r="308" spans="1:16" x14ac:dyDescent="0.2">
      <c r="A308" s="56">
        <v>35704</v>
      </c>
      <c r="B308" s="169">
        <v>914.62</v>
      </c>
      <c r="C308" s="169">
        <v>947.28</v>
      </c>
      <c r="D308" s="169">
        <v>983.12</v>
      </c>
      <c r="E308" s="169">
        <v>855.27</v>
      </c>
      <c r="F308" s="169"/>
      <c r="G308" s="169">
        <v>-3.4500000000000003E-2</v>
      </c>
      <c r="H308" s="53">
        <f t="shared" si="5"/>
        <v>0.29683667248004308</v>
      </c>
      <c r="I308" s="292"/>
      <c r="J308" s="52">
        <v>38823</v>
      </c>
      <c r="K308" s="57">
        <v>1311.28</v>
      </c>
      <c r="L308" s="57">
        <v>1289.1199999999999</v>
      </c>
      <c r="M308" s="57">
        <v>1318.16</v>
      </c>
      <c r="N308" s="57">
        <v>1280.74</v>
      </c>
      <c r="O308" s="51" t="s">
        <v>364</v>
      </c>
      <c r="P308" s="58">
        <v>1.72E-2</v>
      </c>
    </row>
    <row r="309" spans="1:16" x14ac:dyDescent="0.2">
      <c r="A309" s="56">
        <v>35674</v>
      </c>
      <c r="B309" s="169">
        <v>947.28</v>
      </c>
      <c r="C309" s="169">
        <v>899.47</v>
      </c>
      <c r="D309" s="169">
        <v>960.59</v>
      </c>
      <c r="E309" s="169">
        <v>899.47</v>
      </c>
      <c r="F309" s="169"/>
      <c r="G309" s="169">
        <v>5.3199999999999997E-2</v>
      </c>
      <c r="H309" s="53">
        <f t="shared" si="5"/>
        <v>0.37820261009995182</v>
      </c>
      <c r="I309" s="292"/>
      <c r="J309" s="52">
        <v>38830</v>
      </c>
      <c r="K309" s="57">
        <v>1310.6099999999999</v>
      </c>
      <c r="L309" s="57">
        <v>1311.28</v>
      </c>
      <c r="M309" s="57">
        <v>1316.04</v>
      </c>
      <c r="N309" s="57">
        <v>1295.57</v>
      </c>
      <c r="O309" s="51" t="s">
        <v>365</v>
      </c>
      <c r="P309" s="58">
        <v>-5.0000000000000001E-4</v>
      </c>
    </row>
    <row r="310" spans="1:16" x14ac:dyDescent="0.2">
      <c r="A310" s="56">
        <v>35643</v>
      </c>
      <c r="B310" s="169">
        <v>899.47</v>
      </c>
      <c r="C310" s="169">
        <v>954.29</v>
      </c>
      <c r="D310" s="169">
        <v>964.17</v>
      </c>
      <c r="E310" s="169">
        <v>893.34</v>
      </c>
      <c r="F310" s="169"/>
      <c r="G310" s="169">
        <v>-5.7500000000000002E-2</v>
      </c>
      <c r="H310" s="53">
        <f t="shared" si="5"/>
        <v>0.37957637387076493</v>
      </c>
      <c r="I310" s="292"/>
      <c r="J310" s="52">
        <v>38837</v>
      </c>
      <c r="K310" s="57">
        <v>1325.76</v>
      </c>
      <c r="L310" s="57">
        <v>1310.6099999999999</v>
      </c>
      <c r="M310" s="57">
        <v>1326.53</v>
      </c>
      <c r="N310" s="57">
        <v>1303.46</v>
      </c>
      <c r="O310" s="51" t="s">
        <v>366</v>
      </c>
      <c r="P310" s="58">
        <v>1.1599999999999999E-2</v>
      </c>
    </row>
    <row r="311" spans="1:16" x14ac:dyDescent="0.2">
      <c r="A311" s="56">
        <v>35612</v>
      </c>
      <c r="B311" s="169">
        <v>954.31</v>
      </c>
      <c r="C311" s="169">
        <v>885.14</v>
      </c>
      <c r="D311" s="169">
        <v>957.73</v>
      </c>
      <c r="E311" s="169">
        <v>884.54</v>
      </c>
      <c r="F311" s="169"/>
      <c r="G311" s="169">
        <v>7.8100000000000003E-2</v>
      </c>
      <c r="H311" s="53">
        <f t="shared" si="5"/>
        <v>0.49122587702164222</v>
      </c>
      <c r="I311" s="292"/>
      <c r="J311" s="52">
        <v>38844</v>
      </c>
      <c r="K311" s="57">
        <v>1291.24</v>
      </c>
      <c r="L311" s="57">
        <v>1325.76</v>
      </c>
      <c r="M311" s="57">
        <v>1326.7</v>
      </c>
      <c r="N311" s="57">
        <v>1290.3800000000001</v>
      </c>
      <c r="O311" s="51" t="s">
        <v>367</v>
      </c>
      <c r="P311" s="58">
        <v>-2.5999999999999999E-2</v>
      </c>
    </row>
    <row r="312" spans="1:16" x14ac:dyDescent="0.2">
      <c r="A312" s="56">
        <v>35582</v>
      </c>
      <c r="B312" s="169">
        <v>885.14</v>
      </c>
      <c r="C312" s="169">
        <v>848.28</v>
      </c>
      <c r="D312" s="169">
        <v>902.09</v>
      </c>
      <c r="E312" s="169">
        <v>838.82</v>
      </c>
      <c r="F312" s="169"/>
      <c r="G312" s="169">
        <v>4.3499999999999997E-2</v>
      </c>
      <c r="H312" s="53">
        <f t="shared" si="5"/>
        <v>0.31986341201556745</v>
      </c>
      <c r="I312" s="292"/>
      <c r="J312" s="52">
        <v>38851</v>
      </c>
      <c r="K312" s="57">
        <v>1267.03</v>
      </c>
      <c r="L312" s="57">
        <v>1291.19</v>
      </c>
      <c r="M312" s="57">
        <v>1297.8800000000001</v>
      </c>
      <c r="N312" s="57">
        <v>1256.28</v>
      </c>
      <c r="O312" s="51" t="s">
        <v>368</v>
      </c>
      <c r="P312" s="58">
        <v>-1.8700000000000001E-2</v>
      </c>
    </row>
    <row r="313" spans="1:16" x14ac:dyDescent="0.2">
      <c r="A313" s="56">
        <v>35551</v>
      </c>
      <c r="B313" s="169">
        <v>848.28</v>
      </c>
      <c r="C313" s="169">
        <v>801.34</v>
      </c>
      <c r="D313" s="169">
        <v>851.87</v>
      </c>
      <c r="E313" s="169">
        <v>793.21</v>
      </c>
      <c r="F313" s="169"/>
      <c r="G313" s="169">
        <v>5.8599999999999999E-2</v>
      </c>
      <c r="H313" s="53">
        <f t="shared" si="5"/>
        <v>0.26775466284074612</v>
      </c>
      <c r="I313" s="292"/>
      <c r="J313" s="52">
        <v>38858</v>
      </c>
      <c r="K313" s="57">
        <v>1280.1600000000001</v>
      </c>
      <c r="L313" s="57">
        <v>1267.03</v>
      </c>
      <c r="M313" s="57">
        <v>1280.54</v>
      </c>
      <c r="N313" s="57">
        <v>1245.3399999999999</v>
      </c>
      <c r="O313" s="51" t="s">
        <v>369</v>
      </c>
      <c r="P313" s="58">
        <v>1.04E-2</v>
      </c>
    </row>
    <row r="314" spans="1:16" x14ac:dyDescent="0.2">
      <c r="A314" s="56">
        <v>35521</v>
      </c>
      <c r="B314" s="169">
        <v>801.34</v>
      </c>
      <c r="C314" s="169">
        <v>757.12</v>
      </c>
      <c r="D314" s="169">
        <v>804.13</v>
      </c>
      <c r="E314" s="169">
        <v>733.54</v>
      </c>
      <c r="F314" s="169"/>
      <c r="G314" s="169">
        <v>5.8400000000000001E-2</v>
      </c>
      <c r="H314" s="53">
        <f t="shared" si="5"/>
        <v>0.22497210205298335</v>
      </c>
      <c r="I314" s="292"/>
      <c r="J314" s="52">
        <v>38865</v>
      </c>
      <c r="K314" s="57">
        <v>1288.22</v>
      </c>
      <c r="L314" s="57">
        <v>1280.04</v>
      </c>
      <c r="M314" s="57">
        <v>1290.68</v>
      </c>
      <c r="N314" s="57">
        <v>1259.3800000000001</v>
      </c>
      <c r="O314" s="51" t="s">
        <v>330</v>
      </c>
      <c r="P314" s="58">
        <v>6.3E-3</v>
      </c>
    </row>
    <row r="315" spans="1:16" x14ac:dyDescent="0.2">
      <c r="A315" s="56">
        <v>35490</v>
      </c>
      <c r="B315" s="169">
        <v>757.12</v>
      </c>
      <c r="C315" s="169">
        <v>790.82</v>
      </c>
      <c r="D315" s="169">
        <v>814.9</v>
      </c>
      <c r="E315" s="169">
        <v>756.13</v>
      </c>
      <c r="F315" s="169"/>
      <c r="G315" s="169">
        <v>-4.2599999999999999E-2</v>
      </c>
      <c r="H315" s="53">
        <f t="shared" si="5"/>
        <v>0.17292021688613479</v>
      </c>
      <c r="I315" s="292"/>
      <c r="J315" s="52">
        <v>38872</v>
      </c>
      <c r="K315" s="57">
        <v>1252.3</v>
      </c>
      <c r="L315" s="57">
        <v>1288.1600000000001</v>
      </c>
      <c r="M315" s="57">
        <v>1288.1600000000001</v>
      </c>
      <c r="N315" s="57">
        <v>1235.18</v>
      </c>
      <c r="O315" s="51" t="s">
        <v>370</v>
      </c>
      <c r="P315" s="58">
        <v>-2.7900000000000001E-2</v>
      </c>
    </row>
    <row r="316" spans="1:16" x14ac:dyDescent="0.2">
      <c r="A316" s="56">
        <v>35462</v>
      </c>
      <c r="B316" s="169">
        <v>790.82</v>
      </c>
      <c r="C316" s="169">
        <v>786.16</v>
      </c>
      <c r="D316" s="169">
        <v>817.68</v>
      </c>
      <c r="E316" s="169">
        <v>773.43</v>
      </c>
      <c r="F316" s="169"/>
      <c r="G316" s="169">
        <v>5.8999999999999999E-3</v>
      </c>
      <c r="H316" s="53">
        <f t="shared" si="5"/>
        <v>0.23482660087753549</v>
      </c>
      <c r="I316" s="292"/>
      <c r="J316" s="52">
        <v>38879</v>
      </c>
      <c r="K316" s="57">
        <v>1251.54</v>
      </c>
      <c r="L316" s="57">
        <v>1252.27</v>
      </c>
      <c r="M316" s="57">
        <v>1258.6400000000001</v>
      </c>
      <c r="N316" s="57">
        <v>1219.29</v>
      </c>
      <c r="O316" s="51" t="s">
        <v>371</v>
      </c>
      <c r="P316" s="58">
        <v>-5.9999999999999995E-4</v>
      </c>
    </row>
    <row r="317" spans="1:16" x14ac:dyDescent="0.2">
      <c r="A317" s="56">
        <v>35431</v>
      </c>
      <c r="B317" s="169">
        <v>786.16</v>
      </c>
      <c r="C317" s="169">
        <v>740.74</v>
      </c>
      <c r="D317" s="169">
        <v>794.67</v>
      </c>
      <c r="E317" s="169">
        <v>729.55</v>
      </c>
      <c r="F317" s="169"/>
      <c r="G317" s="169">
        <v>6.13E-2</v>
      </c>
      <c r="H317" s="53">
        <f t="shared" si="5"/>
        <v>0.23606175906418025</v>
      </c>
      <c r="I317" s="292"/>
      <c r="J317" s="52">
        <v>38886</v>
      </c>
      <c r="K317" s="57">
        <v>1244.5</v>
      </c>
      <c r="L317" s="57">
        <v>1251.54</v>
      </c>
      <c r="M317" s="57">
        <v>1257.96</v>
      </c>
      <c r="N317" s="57">
        <v>1237.17</v>
      </c>
      <c r="O317" s="51" t="s">
        <v>372</v>
      </c>
      <c r="P317" s="58">
        <v>-5.5999999999999999E-3</v>
      </c>
    </row>
    <row r="318" spans="1:16" x14ac:dyDescent="0.2">
      <c r="A318" s="56">
        <v>35400</v>
      </c>
      <c r="B318" s="169">
        <v>740.74</v>
      </c>
      <c r="C318" s="169">
        <v>757.02</v>
      </c>
      <c r="D318" s="169">
        <v>761.75</v>
      </c>
      <c r="E318" s="169">
        <v>716.69</v>
      </c>
      <c r="F318" s="169"/>
      <c r="G318" s="169">
        <v>-2.1499999999999998E-2</v>
      </c>
      <c r="H318" s="53">
        <f t="shared" si="5"/>
        <v>0.20263666325718832</v>
      </c>
      <c r="I318" s="292"/>
      <c r="J318" s="52">
        <v>38893</v>
      </c>
      <c r="K318" s="57">
        <v>1270.2</v>
      </c>
      <c r="L318" s="57">
        <v>1244.5</v>
      </c>
      <c r="M318" s="57">
        <v>1276.3</v>
      </c>
      <c r="N318" s="57">
        <v>1237.5899999999999</v>
      </c>
      <c r="O318" s="51" t="s">
        <v>373</v>
      </c>
      <c r="P318" s="58">
        <v>2.07E-2</v>
      </c>
    </row>
    <row r="319" spans="1:16" x14ac:dyDescent="0.2">
      <c r="A319" s="56">
        <v>35370</v>
      </c>
      <c r="B319" s="169">
        <v>757.02</v>
      </c>
      <c r="C319" s="169">
        <v>705.27</v>
      </c>
      <c r="D319" s="169">
        <v>762.12</v>
      </c>
      <c r="E319" s="169">
        <v>701.3</v>
      </c>
      <c r="F319" s="169"/>
      <c r="G319" s="169">
        <v>7.3400000000000007E-2</v>
      </c>
      <c r="H319" s="53">
        <f t="shared" si="5"/>
        <v>0.25050795381337032</v>
      </c>
      <c r="I319" s="292"/>
      <c r="J319" s="52">
        <v>38900</v>
      </c>
      <c r="K319" s="57">
        <v>1265.48</v>
      </c>
      <c r="L319" s="57">
        <v>1270.06</v>
      </c>
      <c r="M319" s="57">
        <v>1280.3800000000001</v>
      </c>
      <c r="N319" s="57">
        <v>1263.1300000000001</v>
      </c>
      <c r="O319" s="51" t="s">
        <v>194</v>
      </c>
      <c r="P319" s="58">
        <v>-3.7000000000000002E-3</v>
      </c>
    </row>
    <row r="320" spans="1:16" x14ac:dyDescent="0.2">
      <c r="A320" s="56">
        <v>35339</v>
      </c>
      <c r="B320" s="169">
        <v>705.27</v>
      </c>
      <c r="C320" s="169">
        <v>687.31</v>
      </c>
      <c r="D320" s="169">
        <v>714.1</v>
      </c>
      <c r="E320" s="169">
        <v>684.44</v>
      </c>
      <c r="F320" s="169"/>
      <c r="G320" s="169">
        <v>2.6100000000000002E-2</v>
      </c>
      <c r="H320" s="53">
        <f t="shared" si="5"/>
        <v>0.21284608770421332</v>
      </c>
      <c r="I320" s="292"/>
      <c r="J320" s="52">
        <v>38907</v>
      </c>
      <c r="K320" s="57">
        <v>1236.2</v>
      </c>
      <c r="L320" s="57">
        <v>1265.46</v>
      </c>
      <c r="M320" s="57">
        <v>1274.06</v>
      </c>
      <c r="N320" s="57">
        <v>1228.45</v>
      </c>
      <c r="O320" s="51" t="s">
        <v>362</v>
      </c>
      <c r="P320" s="58">
        <v>-2.3099999999999999E-2</v>
      </c>
    </row>
    <row r="321" spans="1:16" x14ac:dyDescent="0.2">
      <c r="A321" s="56">
        <v>35309</v>
      </c>
      <c r="B321" s="169">
        <v>687.33</v>
      </c>
      <c r="C321" s="169">
        <v>651.99</v>
      </c>
      <c r="D321" s="169">
        <v>690.88</v>
      </c>
      <c r="E321" s="169">
        <v>643.97</v>
      </c>
      <c r="F321" s="169"/>
      <c r="G321" s="169">
        <v>5.4199999999999998E-2</v>
      </c>
      <c r="H321" s="53">
        <f t="shared" si="5"/>
        <v>0.17610923837716674</v>
      </c>
      <c r="I321" s="292"/>
      <c r="J321" s="52">
        <v>38914</v>
      </c>
      <c r="K321" s="57">
        <v>1240.29</v>
      </c>
      <c r="L321" s="57">
        <v>1236.2</v>
      </c>
      <c r="M321" s="57">
        <v>1262.56</v>
      </c>
      <c r="N321" s="57">
        <v>1224.54</v>
      </c>
      <c r="O321" s="51" t="s">
        <v>374</v>
      </c>
      <c r="P321" s="58">
        <v>3.3E-3</v>
      </c>
    </row>
    <row r="322" spans="1:16" x14ac:dyDescent="0.2">
      <c r="A322" s="56">
        <v>35278</v>
      </c>
      <c r="B322" s="169">
        <v>651.99</v>
      </c>
      <c r="C322" s="169">
        <v>639.95000000000005</v>
      </c>
      <c r="D322" s="169">
        <v>670.68</v>
      </c>
      <c r="E322" s="169">
        <v>639.49</v>
      </c>
      <c r="F322" s="169"/>
      <c r="G322" s="169">
        <v>1.8800000000000001E-2</v>
      </c>
      <c r="H322" s="53">
        <f t="shared" si="5"/>
        <v>0.16037232149213354</v>
      </c>
      <c r="I322" s="292"/>
      <c r="J322" s="52">
        <v>38921</v>
      </c>
      <c r="K322" s="57">
        <v>1278.55</v>
      </c>
      <c r="L322" s="57">
        <v>1240.25</v>
      </c>
      <c r="M322" s="57">
        <v>1280.42</v>
      </c>
      <c r="N322" s="57">
        <v>1240.25</v>
      </c>
      <c r="O322" s="51" t="s">
        <v>375</v>
      </c>
      <c r="P322" s="58">
        <v>3.0800000000000001E-2</v>
      </c>
    </row>
    <row r="323" spans="1:16" x14ac:dyDescent="0.2">
      <c r="A323" s="56">
        <v>35247</v>
      </c>
      <c r="B323" s="169">
        <v>639.95000000000005</v>
      </c>
      <c r="C323" s="169">
        <v>670.63</v>
      </c>
      <c r="D323" s="169">
        <v>675.88</v>
      </c>
      <c r="E323" s="169">
        <v>605.88</v>
      </c>
      <c r="F323" s="169"/>
      <c r="G323" s="169">
        <v>-4.5699999999999998E-2</v>
      </c>
      <c r="H323" s="53">
        <f t="shared" si="5"/>
        <v>0.13857951108422606</v>
      </c>
      <c r="I323" s="292"/>
      <c r="J323" s="52">
        <v>38928</v>
      </c>
      <c r="K323" s="57">
        <v>1279.3599999999999</v>
      </c>
      <c r="L323" s="57">
        <v>1278.53</v>
      </c>
      <c r="M323" s="57">
        <v>1292.92</v>
      </c>
      <c r="N323" s="57">
        <v>1265.71</v>
      </c>
      <c r="O323" s="51" t="s">
        <v>376</v>
      </c>
      <c r="P323" s="58">
        <v>5.9999999999999995E-4</v>
      </c>
    </row>
    <row r="324" spans="1:16" x14ac:dyDescent="0.2">
      <c r="A324" s="56">
        <v>35217</v>
      </c>
      <c r="B324" s="169">
        <v>670.63</v>
      </c>
      <c r="C324" s="169">
        <v>669.12</v>
      </c>
      <c r="D324" s="169">
        <v>680.32</v>
      </c>
      <c r="E324" s="169">
        <v>658.75</v>
      </c>
      <c r="F324" s="169"/>
      <c r="G324" s="169">
        <v>2.3E-3</v>
      </c>
      <c r="H324" s="53">
        <f t="shared" si="5"/>
        <v>0.2310784763653051</v>
      </c>
      <c r="I324" s="292"/>
      <c r="J324" s="52">
        <v>38935</v>
      </c>
      <c r="K324" s="57">
        <v>1266.74</v>
      </c>
      <c r="L324" s="57">
        <v>1279.31</v>
      </c>
      <c r="M324" s="57">
        <v>1283.74</v>
      </c>
      <c r="N324" s="57">
        <v>1261.3</v>
      </c>
      <c r="O324" s="51" t="s">
        <v>377</v>
      </c>
      <c r="P324" s="58">
        <v>-9.9000000000000008E-3</v>
      </c>
    </row>
    <row r="325" spans="1:16" x14ac:dyDescent="0.2">
      <c r="A325" s="56">
        <v>35186</v>
      </c>
      <c r="B325" s="169">
        <v>669.12</v>
      </c>
      <c r="C325" s="169">
        <v>654.16999999999996</v>
      </c>
      <c r="D325" s="169">
        <v>681.1</v>
      </c>
      <c r="E325" s="169">
        <v>630.07000000000005</v>
      </c>
      <c r="F325" s="169"/>
      <c r="G325" s="169">
        <v>2.29E-2</v>
      </c>
      <c r="H325" s="53">
        <f t="shared" si="5"/>
        <v>0.25444319460067488</v>
      </c>
      <c r="I325" s="292"/>
      <c r="J325" s="52">
        <v>38942</v>
      </c>
      <c r="K325" s="57">
        <v>1302.3</v>
      </c>
      <c r="L325" s="57">
        <v>1266.67</v>
      </c>
      <c r="M325" s="57">
        <v>1302.3</v>
      </c>
      <c r="N325" s="57">
        <v>1266.67</v>
      </c>
      <c r="O325" s="51" t="s">
        <v>378</v>
      </c>
      <c r="P325" s="58">
        <v>2.81E-2</v>
      </c>
    </row>
    <row r="326" spans="1:16" x14ac:dyDescent="0.2">
      <c r="A326" s="56">
        <v>35156</v>
      </c>
      <c r="B326" s="169">
        <v>654.16999999999996</v>
      </c>
      <c r="C326" s="169">
        <v>645.5</v>
      </c>
      <c r="D326" s="169">
        <v>656.68</v>
      </c>
      <c r="E326" s="169">
        <v>624.14</v>
      </c>
      <c r="F326" s="169"/>
      <c r="G326" s="169">
        <v>1.34E-2</v>
      </c>
      <c r="H326" s="53">
        <f t="shared" si="5"/>
        <v>0.27094868955334062</v>
      </c>
      <c r="I326" s="292"/>
      <c r="J326" s="52">
        <v>38949</v>
      </c>
      <c r="K326" s="57">
        <v>1295.0899999999999</v>
      </c>
      <c r="L326" s="57">
        <v>1302.3</v>
      </c>
      <c r="M326" s="57">
        <v>1302.49</v>
      </c>
      <c r="N326" s="57">
        <v>1289.82</v>
      </c>
      <c r="O326" s="51" t="s">
        <v>379</v>
      </c>
      <c r="P326" s="58">
        <v>-5.4999999999999997E-3</v>
      </c>
    </row>
    <row r="327" spans="1:16" x14ac:dyDescent="0.2">
      <c r="A327" s="56">
        <v>35125</v>
      </c>
      <c r="B327" s="169">
        <v>645.5</v>
      </c>
      <c r="C327" s="169">
        <v>640.42999999999995</v>
      </c>
      <c r="D327" s="169">
        <v>656.97</v>
      </c>
      <c r="E327" s="169">
        <v>627.63</v>
      </c>
      <c r="F327" s="169"/>
      <c r="G327" s="169">
        <v>7.9000000000000008E-3</v>
      </c>
      <c r="H327" s="53">
        <f t="shared" si="5"/>
        <v>0.28916937948113675</v>
      </c>
      <c r="I327" s="292"/>
      <c r="J327" s="52">
        <v>38956</v>
      </c>
      <c r="K327" s="57">
        <v>1311.01</v>
      </c>
      <c r="L327" s="57">
        <v>1295.0899999999999</v>
      </c>
      <c r="M327" s="57">
        <v>1312.03</v>
      </c>
      <c r="N327" s="57">
        <v>1293.97</v>
      </c>
      <c r="O327" s="51" t="s">
        <v>380</v>
      </c>
      <c r="P327" s="58">
        <v>1.23E-2</v>
      </c>
    </row>
    <row r="328" spans="1:16" x14ac:dyDescent="0.2">
      <c r="A328" s="56">
        <v>35096</v>
      </c>
      <c r="B328" s="169">
        <v>640.42999999999995</v>
      </c>
      <c r="C328" s="169">
        <v>636.02</v>
      </c>
      <c r="D328" s="169">
        <v>664.23</v>
      </c>
      <c r="E328" s="169">
        <v>633.71</v>
      </c>
      <c r="F328" s="169"/>
      <c r="G328" s="169">
        <v>6.8999999999999999E-3</v>
      </c>
      <c r="H328" s="53">
        <f t="shared" si="5"/>
        <v>0.31399905619729584</v>
      </c>
      <c r="I328" s="292"/>
      <c r="J328" s="52">
        <v>38963</v>
      </c>
      <c r="K328" s="57">
        <v>1298.92</v>
      </c>
      <c r="L328" s="57">
        <v>1310.94</v>
      </c>
      <c r="M328" s="57">
        <v>1314.67</v>
      </c>
      <c r="N328" s="57">
        <v>1292.1300000000001</v>
      </c>
      <c r="O328" s="51" t="s">
        <v>381</v>
      </c>
      <c r="P328" s="58">
        <v>-9.1999999999999998E-3</v>
      </c>
    </row>
    <row r="329" spans="1:16" x14ac:dyDescent="0.2">
      <c r="A329" s="56">
        <v>35065</v>
      </c>
      <c r="B329" s="169">
        <v>636.02</v>
      </c>
      <c r="C329" s="169">
        <v>615.92999999999995</v>
      </c>
      <c r="D329" s="169">
        <v>636.17999999999995</v>
      </c>
      <c r="E329" s="169">
        <v>597.29</v>
      </c>
      <c r="F329" s="169"/>
      <c r="G329" s="169">
        <v>3.2599999999999997E-2</v>
      </c>
      <c r="H329" s="53">
        <f t="shared" si="5"/>
        <v>0.35202584924110369</v>
      </c>
      <c r="I329" s="292"/>
      <c r="J329" s="52">
        <v>38970</v>
      </c>
      <c r="K329" s="57">
        <v>1319.66</v>
      </c>
      <c r="L329" s="57">
        <v>1298.8599999999999</v>
      </c>
      <c r="M329" s="57">
        <v>1324.65</v>
      </c>
      <c r="N329" s="57">
        <v>1290.93</v>
      </c>
      <c r="O329" s="51" t="s">
        <v>382</v>
      </c>
      <c r="P329" s="58">
        <v>1.6E-2</v>
      </c>
    </row>
    <row r="330" spans="1:16" x14ac:dyDescent="0.2">
      <c r="A330" s="56">
        <v>35034</v>
      </c>
      <c r="B330" s="169">
        <v>615.92999999999995</v>
      </c>
      <c r="C330" s="169">
        <v>605.37</v>
      </c>
      <c r="D330" s="169">
        <v>622.88</v>
      </c>
      <c r="E330" s="169">
        <v>605.04999999999995</v>
      </c>
      <c r="F330" s="169"/>
      <c r="G330" s="169">
        <v>1.7399999999999999E-2</v>
      </c>
      <c r="H330" s="53">
        <f t="shared" si="5"/>
        <v>0.34110653863740281</v>
      </c>
      <c r="I330" s="292"/>
      <c r="J330" s="52">
        <v>38977</v>
      </c>
      <c r="K330" s="57">
        <v>1314.78</v>
      </c>
      <c r="L330" s="57">
        <v>1319.85</v>
      </c>
      <c r="M330" s="57">
        <v>1328.53</v>
      </c>
      <c r="N330" s="57">
        <v>1310.94</v>
      </c>
      <c r="O330" s="51" t="s">
        <v>383</v>
      </c>
      <c r="P330" s="58">
        <v>-3.7000000000000002E-3</v>
      </c>
    </row>
    <row r="331" spans="1:16" x14ac:dyDescent="0.2">
      <c r="A331" s="56">
        <v>35004</v>
      </c>
      <c r="B331" s="169">
        <v>605.37</v>
      </c>
      <c r="C331" s="169">
        <v>581.5</v>
      </c>
      <c r="D331" s="169">
        <v>608.69000000000005</v>
      </c>
      <c r="E331" s="169">
        <v>581.04</v>
      </c>
      <c r="F331" s="169"/>
      <c r="G331" s="169">
        <v>4.1000000000000002E-2</v>
      </c>
      <c r="H331" s="53">
        <f t="shared" si="5"/>
        <v>0.33432520002644983</v>
      </c>
      <c r="I331" s="292"/>
      <c r="J331" s="52">
        <v>38984</v>
      </c>
      <c r="K331" s="57">
        <v>1335.85</v>
      </c>
      <c r="L331" s="57">
        <v>1314.78</v>
      </c>
      <c r="M331" s="57">
        <v>1340.28</v>
      </c>
      <c r="N331" s="57">
        <v>1311.58</v>
      </c>
      <c r="O331" s="51" t="s">
        <v>375</v>
      </c>
      <c r="P331" s="58">
        <v>1.6E-2</v>
      </c>
    </row>
    <row r="332" spans="1:16" x14ac:dyDescent="0.2">
      <c r="A332" s="56">
        <v>34973</v>
      </c>
      <c r="B332" s="169">
        <v>581.5</v>
      </c>
      <c r="C332" s="169">
        <v>584.41</v>
      </c>
      <c r="D332" s="169">
        <v>590.66</v>
      </c>
      <c r="E332" s="169">
        <v>571.54999999999995</v>
      </c>
      <c r="F332" s="169"/>
      <c r="G332" s="169">
        <v>-5.0000000000000001E-3</v>
      </c>
      <c r="H332" s="53">
        <f t="shared" si="5"/>
        <v>0.23107864930665811</v>
      </c>
      <c r="I332" s="292"/>
      <c r="J332" s="52">
        <v>38991</v>
      </c>
      <c r="K332" s="57">
        <v>1349.59</v>
      </c>
      <c r="L332" s="57">
        <v>1335.82</v>
      </c>
      <c r="M332" s="57">
        <v>1353.79</v>
      </c>
      <c r="N332" s="57">
        <v>1327.1</v>
      </c>
      <c r="O332" s="51" t="s">
        <v>384</v>
      </c>
      <c r="P332" s="58">
        <v>1.03E-2</v>
      </c>
    </row>
    <row r="333" spans="1:16" x14ac:dyDescent="0.2">
      <c r="A333" s="56">
        <v>34943</v>
      </c>
      <c r="B333" s="169">
        <v>584.41</v>
      </c>
      <c r="C333" s="169">
        <v>561.88</v>
      </c>
      <c r="D333" s="169">
        <v>587.61</v>
      </c>
      <c r="E333" s="169">
        <v>561.01</v>
      </c>
      <c r="F333" s="169"/>
      <c r="G333" s="169">
        <v>4.0099999999999997E-2</v>
      </c>
      <c r="H333" s="53">
        <f t="shared" si="5"/>
        <v>0.26301571178491923</v>
      </c>
      <c r="I333" s="292"/>
      <c r="J333" s="52">
        <v>38998</v>
      </c>
      <c r="K333" s="57">
        <v>1365.62</v>
      </c>
      <c r="L333" s="57">
        <v>1349.58</v>
      </c>
      <c r="M333" s="57">
        <v>1366.63</v>
      </c>
      <c r="N333" s="57">
        <v>1343.57</v>
      </c>
      <c r="O333" s="51" t="s">
        <v>385</v>
      </c>
      <c r="P333" s="58">
        <v>1.1900000000000001E-2</v>
      </c>
    </row>
    <row r="334" spans="1:16" x14ac:dyDescent="0.2">
      <c r="A334" s="56">
        <v>34912</v>
      </c>
      <c r="B334" s="169">
        <v>561.88</v>
      </c>
      <c r="C334" s="169">
        <v>562.05999999999995</v>
      </c>
      <c r="D334" s="169">
        <v>565.62</v>
      </c>
      <c r="E334" s="169">
        <v>553.04</v>
      </c>
      <c r="F334" s="169"/>
      <c r="G334" s="169">
        <v>-2.9999999999999997E-4</v>
      </c>
      <c r="H334" s="53">
        <f t="shared" si="5"/>
        <v>0.18168626048917957</v>
      </c>
      <c r="I334" s="292"/>
      <c r="J334" s="52">
        <v>39005</v>
      </c>
      <c r="K334" s="57">
        <v>1368.6</v>
      </c>
      <c r="L334" s="57">
        <v>1365.61</v>
      </c>
      <c r="M334" s="57">
        <v>1372.87</v>
      </c>
      <c r="N334" s="57">
        <v>1356.87</v>
      </c>
      <c r="O334" s="51" t="s">
        <v>386</v>
      </c>
      <c r="P334" s="58">
        <v>2.2000000000000001E-3</v>
      </c>
    </row>
    <row r="335" spans="1:16" x14ac:dyDescent="0.2">
      <c r="A335" s="56">
        <v>34881</v>
      </c>
      <c r="B335" s="169">
        <v>562.05999999999995</v>
      </c>
      <c r="C335" s="169">
        <v>544.75</v>
      </c>
      <c r="D335" s="169">
        <v>565.4</v>
      </c>
      <c r="E335" s="169">
        <v>542.51</v>
      </c>
      <c r="F335" s="169"/>
      <c r="G335" s="169">
        <v>3.1800000000000002E-2</v>
      </c>
      <c r="H335" s="53">
        <f t="shared" si="5"/>
        <v>0.22650896870772042</v>
      </c>
      <c r="I335" s="292"/>
      <c r="J335" s="52">
        <v>39012</v>
      </c>
      <c r="K335" s="57">
        <v>1377.34</v>
      </c>
      <c r="L335" s="57">
        <v>1368.58</v>
      </c>
      <c r="M335" s="57">
        <v>1389.45</v>
      </c>
      <c r="N335" s="57">
        <v>1363.94</v>
      </c>
      <c r="O335" s="51" t="s">
        <v>387</v>
      </c>
      <c r="P335" s="58">
        <v>6.4000000000000003E-3</v>
      </c>
    </row>
    <row r="336" spans="1:16" x14ac:dyDescent="0.2">
      <c r="A336" s="56">
        <v>34851</v>
      </c>
      <c r="B336" s="169">
        <v>544.75</v>
      </c>
      <c r="C336" s="169">
        <v>533.4</v>
      </c>
      <c r="D336" s="169">
        <v>551.07000000000005</v>
      </c>
      <c r="E336" s="169">
        <v>526</v>
      </c>
      <c r="F336" s="169"/>
      <c r="G336" s="169">
        <v>2.1299999999999999E-2</v>
      </c>
      <c r="H336" s="53">
        <f t="shared" si="5"/>
        <v>0.22616877124271273</v>
      </c>
      <c r="I336" s="292"/>
      <c r="J336" s="52">
        <v>39019</v>
      </c>
      <c r="K336" s="57">
        <v>1364.3</v>
      </c>
      <c r="L336" s="57">
        <v>1377.3</v>
      </c>
      <c r="M336" s="57">
        <v>1381.95</v>
      </c>
      <c r="N336" s="57">
        <v>1360.98</v>
      </c>
      <c r="O336" s="51" t="s">
        <v>388</v>
      </c>
      <c r="P336" s="58">
        <v>-9.4999999999999998E-3</v>
      </c>
    </row>
    <row r="337" spans="1:16" x14ac:dyDescent="0.2">
      <c r="A337" s="56">
        <v>34820</v>
      </c>
      <c r="B337" s="169">
        <v>533.4</v>
      </c>
      <c r="C337" s="169">
        <v>514.76</v>
      </c>
      <c r="D337" s="169">
        <v>533.41</v>
      </c>
      <c r="E337" s="169">
        <v>513.03</v>
      </c>
      <c r="F337" s="169"/>
      <c r="G337" s="169">
        <v>3.6299999999999999E-2</v>
      </c>
      <c r="H337" s="53">
        <f t="shared" si="5"/>
        <v>0.16845564074479724</v>
      </c>
      <c r="I337" s="292"/>
      <c r="J337" s="52">
        <v>39026</v>
      </c>
      <c r="K337" s="57">
        <v>1380.9</v>
      </c>
      <c r="L337" s="57">
        <v>1364.27</v>
      </c>
      <c r="M337" s="57">
        <v>1388.92</v>
      </c>
      <c r="N337" s="57">
        <v>1364.27</v>
      </c>
      <c r="O337" s="51" t="s">
        <v>389</v>
      </c>
      <c r="P337" s="58">
        <v>1.2200000000000001E-2</v>
      </c>
    </row>
    <row r="338" spans="1:16" x14ac:dyDescent="0.2">
      <c r="A338" s="56">
        <v>34790</v>
      </c>
      <c r="B338" s="169">
        <v>514.71</v>
      </c>
      <c r="C338" s="169">
        <v>500.7</v>
      </c>
      <c r="D338" s="169">
        <v>515.29</v>
      </c>
      <c r="E338" s="169">
        <v>500.2</v>
      </c>
      <c r="F338" s="169"/>
      <c r="G338" s="169">
        <v>2.8000000000000001E-2</v>
      </c>
      <c r="H338" s="53">
        <f t="shared" ref="H338:H401" si="6">B338/B350-1</f>
        <v>0.14149165021844712</v>
      </c>
      <c r="I338" s="292"/>
      <c r="J338" s="52">
        <v>39033</v>
      </c>
      <c r="K338" s="57">
        <v>1401.2</v>
      </c>
      <c r="L338" s="57">
        <v>1380.58</v>
      </c>
      <c r="M338" s="57">
        <v>1403.76</v>
      </c>
      <c r="N338" s="57">
        <v>1378.8</v>
      </c>
      <c r="O338" s="51" t="s">
        <v>390</v>
      </c>
      <c r="P338" s="58">
        <v>1.47E-2</v>
      </c>
    </row>
    <row r="339" spans="1:16" x14ac:dyDescent="0.2">
      <c r="A339" s="56">
        <v>34759</v>
      </c>
      <c r="B339" s="169">
        <v>500.71</v>
      </c>
      <c r="C339" s="169">
        <v>487.39</v>
      </c>
      <c r="D339" s="169">
        <v>508.15</v>
      </c>
      <c r="E339" s="169">
        <v>479.7</v>
      </c>
      <c r="F339" s="169"/>
      <c r="G339" s="169">
        <v>2.7300000000000001E-2</v>
      </c>
      <c r="H339" s="53">
        <f t="shared" si="6"/>
        <v>0.12324741458599719</v>
      </c>
      <c r="I339" s="292"/>
      <c r="J339" s="52">
        <v>39040</v>
      </c>
      <c r="K339" s="57">
        <v>1400.95</v>
      </c>
      <c r="L339" s="57">
        <v>1401.17</v>
      </c>
      <c r="M339" s="57">
        <v>1407.89</v>
      </c>
      <c r="N339" s="57">
        <v>1397.85</v>
      </c>
      <c r="O339" s="51" t="s">
        <v>391</v>
      </c>
      <c r="P339" s="58">
        <v>-2.0000000000000001E-4</v>
      </c>
    </row>
    <row r="340" spans="1:16" x14ac:dyDescent="0.2">
      <c r="A340" s="56">
        <v>34731</v>
      </c>
      <c r="B340" s="169">
        <v>487.39</v>
      </c>
      <c r="C340" s="169">
        <v>470.42</v>
      </c>
      <c r="D340" s="169">
        <v>489.19</v>
      </c>
      <c r="E340" s="169">
        <v>469.29</v>
      </c>
      <c r="F340" s="169"/>
      <c r="G340" s="169">
        <v>3.61E-2</v>
      </c>
      <c r="H340" s="53">
        <f t="shared" si="6"/>
        <v>4.3348888984030554E-2</v>
      </c>
      <c r="I340" s="292"/>
      <c r="J340" s="52">
        <v>39047</v>
      </c>
      <c r="K340" s="57">
        <v>1396.71</v>
      </c>
      <c r="L340" s="57">
        <v>1400.95</v>
      </c>
      <c r="M340" s="57">
        <v>1406.3</v>
      </c>
      <c r="N340" s="57">
        <v>1377.83</v>
      </c>
      <c r="O340" s="51" t="s">
        <v>392</v>
      </c>
      <c r="P340" s="58">
        <v>-3.0000000000000001E-3</v>
      </c>
    </row>
    <row r="341" spans="1:16" x14ac:dyDescent="0.2">
      <c r="A341" s="56">
        <v>34700</v>
      </c>
      <c r="B341" s="169">
        <v>470.42</v>
      </c>
      <c r="C341" s="169">
        <v>459.21</v>
      </c>
      <c r="D341" s="169">
        <v>471.36</v>
      </c>
      <c r="E341" s="169">
        <v>457.2</v>
      </c>
      <c r="F341" s="169"/>
      <c r="G341" s="169">
        <v>2.4299999999999999E-2</v>
      </c>
      <c r="H341" s="53">
        <f t="shared" si="6"/>
        <v>-2.3234567388550897E-2</v>
      </c>
      <c r="I341" s="292"/>
      <c r="J341" s="52">
        <v>39054</v>
      </c>
      <c r="K341" s="57">
        <v>1409.84</v>
      </c>
      <c r="L341" s="57">
        <v>1396.67</v>
      </c>
      <c r="M341" s="57">
        <v>1418.27</v>
      </c>
      <c r="N341" s="57">
        <v>1396.67</v>
      </c>
      <c r="O341" s="51" t="s">
        <v>393</v>
      </c>
      <c r="P341" s="58">
        <v>9.4000000000000004E-3</v>
      </c>
    </row>
    <row r="342" spans="1:16" x14ac:dyDescent="0.2">
      <c r="A342" s="56">
        <v>34669</v>
      </c>
      <c r="B342" s="169">
        <v>459.27</v>
      </c>
      <c r="C342" s="169">
        <v>453.55</v>
      </c>
      <c r="D342" s="169">
        <v>462.73</v>
      </c>
      <c r="E342" s="169">
        <v>442.88</v>
      </c>
      <c r="F342" s="169"/>
      <c r="G342" s="169">
        <v>1.23E-2</v>
      </c>
      <c r="H342" s="53">
        <f t="shared" si="6"/>
        <v>-1.5392860971165212E-2</v>
      </c>
      <c r="I342" s="292"/>
      <c r="J342" s="52">
        <v>39061</v>
      </c>
      <c r="K342" s="57">
        <v>1427.09</v>
      </c>
      <c r="L342" s="57">
        <v>1409.81</v>
      </c>
      <c r="M342" s="57">
        <v>1431.63</v>
      </c>
      <c r="N342" s="57">
        <v>1404.75</v>
      </c>
      <c r="O342" s="51" t="s">
        <v>394</v>
      </c>
      <c r="P342" s="58">
        <v>1.2200000000000001E-2</v>
      </c>
    </row>
    <row r="343" spans="1:16" x14ac:dyDescent="0.2">
      <c r="A343" s="56">
        <v>34639</v>
      </c>
      <c r="B343" s="169">
        <v>453.69</v>
      </c>
      <c r="C343" s="169">
        <v>472.26</v>
      </c>
      <c r="D343" s="169">
        <v>472.26</v>
      </c>
      <c r="E343" s="169">
        <v>444.18</v>
      </c>
      <c r="F343" s="169"/>
      <c r="G343" s="169">
        <v>-3.95E-2</v>
      </c>
      <c r="H343" s="53">
        <f t="shared" si="6"/>
        <v>-1.7540440459949402E-2</v>
      </c>
      <c r="I343" s="292"/>
      <c r="J343" s="52">
        <v>39068</v>
      </c>
      <c r="K343" s="57">
        <v>1410.76</v>
      </c>
      <c r="L343" s="57">
        <v>1427.08</v>
      </c>
      <c r="M343" s="57">
        <v>1431.81</v>
      </c>
      <c r="N343" s="57">
        <v>1410.28</v>
      </c>
      <c r="O343" s="51" t="s">
        <v>395</v>
      </c>
      <c r="P343" s="58">
        <v>-1.14E-2</v>
      </c>
    </row>
    <row r="344" spans="1:16" x14ac:dyDescent="0.2">
      <c r="A344" s="56">
        <v>34608</v>
      </c>
      <c r="B344" s="169">
        <v>472.35</v>
      </c>
      <c r="C344" s="169">
        <v>462.69</v>
      </c>
      <c r="D344" s="169">
        <v>474.74</v>
      </c>
      <c r="E344" s="169">
        <v>449.27</v>
      </c>
      <c r="F344" s="169"/>
      <c r="G344" s="169">
        <v>2.0799999999999999E-2</v>
      </c>
      <c r="H344" s="53">
        <f t="shared" si="6"/>
        <v>9.6616292242910351E-3</v>
      </c>
      <c r="I344" s="292"/>
      <c r="J344" s="52">
        <v>39075</v>
      </c>
      <c r="K344" s="57">
        <v>1418.3</v>
      </c>
      <c r="L344" s="57">
        <v>1410.75</v>
      </c>
      <c r="M344" s="57">
        <v>1427.72</v>
      </c>
      <c r="N344" s="57">
        <v>1410.45</v>
      </c>
      <c r="O344" s="51" t="s">
        <v>396</v>
      </c>
      <c r="P344" s="58">
        <v>5.3E-3</v>
      </c>
    </row>
    <row r="345" spans="1:16" x14ac:dyDescent="0.2">
      <c r="A345" s="56">
        <v>34578</v>
      </c>
      <c r="B345" s="169">
        <v>462.71</v>
      </c>
      <c r="C345" s="169">
        <v>475.49</v>
      </c>
      <c r="D345" s="169">
        <v>475.49</v>
      </c>
      <c r="E345" s="169">
        <v>458.47</v>
      </c>
      <c r="F345" s="169"/>
      <c r="G345" s="169">
        <v>-2.69E-2</v>
      </c>
      <c r="H345" s="53">
        <f t="shared" si="6"/>
        <v>8.2365502364194487E-3</v>
      </c>
      <c r="I345" s="292"/>
      <c r="J345" s="52">
        <v>39082</v>
      </c>
      <c r="K345" s="57">
        <v>1409.71</v>
      </c>
      <c r="L345" s="57">
        <v>1418.03</v>
      </c>
      <c r="M345" s="57">
        <v>1429.42</v>
      </c>
      <c r="N345" s="57">
        <v>1405.75</v>
      </c>
      <c r="O345" s="51" t="s">
        <v>397</v>
      </c>
      <c r="P345" s="58">
        <v>-6.1000000000000004E-3</v>
      </c>
    </row>
    <row r="346" spans="1:16" x14ac:dyDescent="0.2">
      <c r="A346" s="56">
        <v>34547</v>
      </c>
      <c r="B346" s="169">
        <v>475.49</v>
      </c>
      <c r="C346" s="169">
        <v>458.28</v>
      </c>
      <c r="D346" s="169">
        <v>477.59</v>
      </c>
      <c r="E346" s="169">
        <v>456.08</v>
      </c>
      <c r="F346" s="169"/>
      <c r="G346" s="169">
        <v>3.7600000000000001E-2</v>
      </c>
      <c r="H346" s="53">
        <f t="shared" si="6"/>
        <v>2.5735611355595767E-2</v>
      </c>
      <c r="I346" s="292"/>
      <c r="J346" s="52">
        <v>39089</v>
      </c>
      <c r="K346" s="57">
        <v>1430.73</v>
      </c>
      <c r="L346" s="57">
        <v>1409.26</v>
      </c>
      <c r="M346" s="57">
        <v>1431.23</v>
      </c>
      <c r="N346" s="57">
        <v>1403.97</v>
      </c>
      <c r="O346" s="51" t="s">
        <v>398</v>
      </c>
      <c r="P346" s="58">
        <v>1.49E-2</v>
      </c>
    </row>
    <row r="347" spans="1:16" x14ac:dyDescent="0.2">
      <c r="A347" s="56">
        <v>34516</v>
      </c>
      <c r="B347" s="169">
        <v>458.26</v>
      </c>
      <c r="C347" s="169">
        <v>444.27</v>
      </c>
      <c r="D347" s="169">
        <v>459.33</v>
      </c>
      <c r="E347" s="169">
        <v>443.58</v>
      </c>
      <c r="F347" s="169"/>
      <c r="G347" s="169">
        <v>3.15E-2</v>
      </c>
      <c r="H347" s="53">
        <f t="shared" si="6"/>
        <v>2.2605047642425102E-2</v>
      </c>
      <c r="I347" s="292"/>
      <c r="J347" s="52">
        <v>39096</v>
      </c>
      <c r="K347" s="57">
        <v>1430.5</v>
      </c>
      <c r="L347" s="57">
        <v>1430.73</v>
      </c>
      <c r="M347" s="57">
        <v>1435.27</v>
      </c>
      <c r="N347" s="57">
        <v>1424.21</v>
      </c>
      <c r="O347" s="51" t="s">
        <v>317</v>
      </c>
      <c r="P347" s="58">
        <v>-2.0000000000000001E-4</v>
      </c>
    </row>
    <row r="348" spans="1:16" x14ac:dyDescent="0.2">
      <c r="A348" s="56">
        <v>34486</v>
      </c>
      <c r="B348" s="169">
        <v>444.27</v>
      </c>
      <c r="C348" s="169">
        <v>456.5</v>
      </c>
      <c r="D348" s="169">
        <v>463.23</v>
      </c>
      <c r="E348" s="169">
        <v>439.83</v>
      </c>
      <c r="F348" s="169"/>
      <c r="G348" s="169">
        <v>-2.6800000000000001E-2</v>
      </c>
      <c r="H348" s="53">
        <f t="shared" si="6"/>
        <v>-1.3894746187823159E-2</v>
      </c>
      <c r="I348" s="292"/>
      <c r="J348" s="52">
        <v>39103</v>
      </c>
      <c r="K348" s="57">
        <v>1422.18</v>
      </c>
      <c r="L348" s="57">
        <v>1430.47</v>
      </c>
      <c r="M348" s="57">
        <v>1440.69</v>
      </c>
      <c r="N348" s="57">
        <v>1416.96</v>
      </c>
      <c r="O348" s="51" t="s">
        <v>399</v>
      </c>
      <c r="P348" s="58">
        <v>-5.7999999999999996E-3</v>
      </c>
    </row>
    <row r="349" spans="1:16" x14ac:dyDescent="0.2">
      <c r="A349" s="56">
        <v>34455</v>
      </c>
      <c r="B349" s="169">
        <v>456.5</v>
      </c>
      <c r="C349" s="169">
        <v>450.91</v>
      </c>
      <c r="D349" s="169">
        <v>457.77</v>
      </c>
      <c r="E349" s="169">
        <v>440.78</v>
      </c>
      <c r="F349" s="169"/>
      <c r="G349" s="169">
        <v>1.24E-2</v>
      </c>
      <c r="H349" s="53">
        <f t="shared" si="6"/>
        <v>1.4016304227104204E-2</v>
      </c>
      <c r="I349" s="292"/>
      <c r="J349" s="52">
        <v>39110</v>
      </c>
      <c r="K349" s="57">
        <v>1448.39</v>
      </c>
      <c r="L349" s="57">
        <v>1422.03</v>
      </c>
      <c r="M349" s="57">
        <v>1449.33</v>
      </c>
      <c r="N349" s="57">
        <v>1418.46</v>
      </c>
      <c r="O349" s="51" t="s">
        <v>400</v>
      </c>
      <c r="P349" s="58">
        <v>1.84E-2</v>
      </c>
    </row>
    <row r="350" spans="1:16" x14ac:dyDescent="0.2">
      <c r="A350" s="56">
        <v>34425</v>
      </c>
      <c r="B350" s="169">
        <v>450.91</v>
      </c>
      <c r="C350" s="169">
        <v>445.66</v>
      </c>
      <c r="D350" s="169">
        <v>452.79</v>
      </c>
      <c r="E350" s="169">
        <v>435.86</v>
      </c>
      <c r="F350" s="169"/>
      <c r="G350" s="169">
        <v>1.15E-2</v>
      </c>
      <c r="H350" s="53">
        <f t="shared" si="6"/>
        <v>2.4353120243531201E-2</v>
      </c>
      <c r="I350" s="292"/>
      <c r="J350" s="52">
        <v>39117</v>
      </c>
      <c r="K350" s="57">
        <v>1438.06</v>
      </c>
      <c r="L350" s="57">
        <v>1448.33</v>
      </c>
      <c r="M350" s="57">
        <v>1452.99</v>
      </c>
      <c r="N350" s="57">
        <v>1433.44</v>
      </c>
      <c r="O350" s="51" t="s">
        <v>393</v>
      </c>
      <c r="P350" s="58">
        <v>-7.1000000000000004E-3</v>
      </c>
    </row>
    <row r="351" spans="1:16" x14ac:dyDescent="0.2">
      <c r="A351" s="56">
        <v>34394</v>
      </c>
      <c r="B351" s="169">
        <v>445.77</v>
      </c>
      <c r="C351" s="169">
        <v>467.19</v>
      </c>
      <c r="D351" s="169">
        <v>471.09</v>
      </c>
      <c r="E351" s="169">
        <v>436.16</v>
      </c>
      <c r="F351" s="169"/>
      <c r="G351" s="169">
        <v>-4.5699999999999998E-2</v>
      </c>
      <c r="H351" s="53">
        <f t="shared" si="6"/>
        <v>-1.3062634224101699E-2</v>
      </c>
      <c r="I351" s="292"/>
      <c r="J351" s="52">
        <v>39124</v>
      </c>
      <c r="K351" s="57">
        <v>1455.54</v>
      </c>
      <c r="L351" s="57">
        <v>1438</v>
      </c>
      <c r="M351" s="57">
        <v>1457.97</v>
      </c>
      <c r="N351" s="57">
        <v>1431.44</v>
      </c>
      <c r="O351" s="51" t="s">
        <v>401</v>
      </c>
      <c r="P351" s="58">
        <v>1.2200000000000001E-2</v>
      </c>
    </row>
    <row r="352" spans="1:16" x14ac:dyDescent="0.2">
      <c r="A352" s="56">
        <v>34366</v>
      </c>
      <c r="B352" s="169">
        <v>467.14</v>
      </c>
      <c r="C352" s="169">
        <v>481.6</v>
      </c>
      <c r="D352" s="169">
        <v>482.23</v>
      </c>
      <c r="E352" s="169">
        <v>464.26</v>
      </c>
      <c r="F352" s="169"/>
      <c r="G352" s="169">
        <v>-0.03</v>
      </c>
      <c r="H352" s="53">
        <f t="shared" si="6"/>
        <v>5.3588344084081418E-2</v>
      </c>
      <c r="I352" s="292"/>
      <c r="J352" s="52">
        <v>39131</v>
      </c>
      <c r="K352" s="57">
        <v>1451.19</v>
      </c>
      <c r="L352" s="57">
        <v>1455.53</v>
      </c>
      <c r="M352" s="57">
        <v>1461.57</v>
      </c>
      <c r="N352" s="57">
        <v>1448.36</v>
      </c>
      <c r="O352" s="51" t="s">
        <v>402</v>
      </c>
      <c r="P352" s="58">
        <v>-3.0000000000000001E-3</v>
      </c>
    </row>
    <row r="353" spans="1:16" x14ac:dyDescent="0.2">
      <c r="A353" s="56">
        <v>34335</v>
      </c>
      <c r="B353" s="169">
        <v>481.61</v>
      </c>
      <c r="C353" s="169">
        <v>466.51</v>
      </c>
      <c r="D353" s="169">
        <v>482.85</v>
      </c>
      <c r="E353" s="169">
        <v>464.36</v>
      </c>
      <c r="F353" s="169"/>
      <c r="G353" s="169">
        <v>3.2500000000000001E-2</v>
      </c>
      <c r="H353" s="53">
        <f t="shared" si="6"/>
        <v>9.7611559323579122E-2</v>
      </c>
      <c r="I353" s="292"/>
      <c r="J353" s="52">
        <v>39138</v>
      </c>
      <c r="K353" s="57">
        <v>1387.17</v>
      </c>
      <c r="L353" s="57">
        <v>1451.04</v>
      </c>
      <c r="M353" s="57">
        <v>1456.95</v>
      </c>
      <c r="N353" s="57">
        <v>1380.87</v>
      </c>
      <c r="O353" s="51" t="s">
        <v>403</v>
      </c>
      <c r="P353" s="58">
        <v>-4.41E-2</v>
      </c>
    </row>
    <row r="354" spans="1:16" x14ac:dyDescent="0.2">
      <c r="A354" s="56">
        <v>34304</v>
      </c>
      <c r="B354" s="169">
        <v>466.45</v>
      </c>
      <c r="C354" s="169">
        <v>461.93</v>
      </c>
      <c r="D354" s="169">
        <v>471.29</v>
      </c>
      <c r="E354" s="169">
        <v>461.45</v>
      </c>
      <c r="F354" s="169"/>
      <c r="G354" s="169">
        <v>1.01E-2</v>
      </c>
      <c r="H354" s="53">
        <f t="shared" si="6"/>
        <v>7.0551513621445405E-2</v>
      </c>
      <c r="I354" s="292"/>
      <c r="J354" s="52">
        <v>39145</v>
      </c>
      <c r="K354" s="57">
        <v>1402.84</v>
      </c>
      <c r="L354" s="57">
        <v>1387.11</v>
      </c>
      <c r="M354" s="57">
        <v>1410.15</v>
      </c>
      <c r="N354" s="57">
        <v>1373.97</v>
      </c>
      <c r="O354" s="51" t="s">
        <v>404</v>
      </c>
      <c r="P354" s="58">
        <v>1.1299999999999999E-2</v>
      </c>
    </row>
    <row r="355" spans="1:16" x14ac:dyDescent="0.2">
      <c r="A355" s="56">
        <v>34274</v>
      </c>
      <c r="B355" s="169">
        <v>461.79</v>
      </c>
      <c r="C355" s="169">
        <v>467.83</v>
      </c>
      <c r="D355" s="169">
        <v>469.11</v>
      </c>
      <c r="E355" s="169">
        <v>454.36</v>
      </c>
      <c r="F355" s="169"/>
      <c r="G355" s="169">
        <v>-1.29E-2</v>
      </c>
      <c r="H355" s="53">
        <f t="shared" si="6"/>
        <v>7.0569143387040567E-2</v>
      </c>
      <c r="I355" s="292"/>
      <c r="J355" s="52">
        <v>39152</v>
      </c>
      <c r="K355" s="57">
        <v>1386.95</v>
      </c>
      <c r="L355" s="57">
        <v>1402.8</v>
      </c>
      <c r="M355" s="57">
        <v>1409.34</v>
      </c>
      <c r="N355" s="57">
        <v>1363.98</v>
      </c>
      <c r="O355" s="51" t="s">
        <v>405</v>
      </c>
      <c r="P355" s="58">
        <v>-1.1299999999999999E-2</v>
      </c>
    </row>
    <row r="356" spans="1:16" x14ac:dyDescent="0.2">
      <c r="A356" s="56">
        <v>34243</v>
      </c>
      <c r="B356" s="169">
        <v>467.83</v>
      </c>
      <c r="C356" s="169">
        <v>458.93</v>
      </c>
      <c r="D356" s="169">
        <v>471.1</v>
      </c>
      <c r="E356" s="169">
        <v>456.4</v>
      </c>
      <c r="F356" s="169"/>
      <c r="G356" s="169">
        <v>1.9400000000000001E-2</v>
      </c>
      <c r="H356" s="53">
        <f t="shared" si="6"/>
        <v>0.11739275819241413</v>
      </c>
      <c r="I356" s="292"/>
      <c r="J356" s="52">
        <v>39159</v>
      </c>
      <c r="K356" s="57">
        <v>1436.11</v>
      </c>
      <c r="L356" s="57">
        <v>1386.95</v>
      </c>
      <c r="M356" s="57">
        <v>1438.89</v>
      </c>
      <c r="N356" s="57">
        <v>1386.95</v>
      </c>
      <c r="O356" s="51" t="s">
        <v>406</v>
      </c>
      <c r="P356" s="58">
        <v>3.5400000000000001E-2</v>
      </c>
    </row>
    <row r="357" spans="1:16" x14ac:dyDescent="0.2">
      <c r="A357" s="56">
        <v>34213</v>
      </c>
      <c r="B357" s="169">
        <v>458.93</v>
      </c>
      <c r="C357" s="169">
        <v>463.55</v>
      </c>
      <c r="D357" s="169">
        <v>463.8</v>
      </c>
      <c r="E357" s="169">
        <v>449.64</v>
      </c>
      <c r="F357" s="169"/>
      <c r="G357" s="169">
        <v>-0.01</v>
      </c>
      <c r="H357" s="53">
        <f t="shared" si="6"/>
        <v>9.8444231689803763E-2</v>
      </c>
      <c r="I357" s="292"/>
      <c r="J357" s="52">
        <v>39166</v>
      </c>
      <c r="K357" s="57">
        <v>1420.86</v>
      </c>
      <c r="L357" s="57">
        <v>1436.11</v>
      </c>
      <c r="M357" s="57">
        <v>1437.65</v>
      </c>
      <c r="N357" s="57">
        <v>1408.9</v>
      </c>
      <c r="O357" s="51" t="s">
        <v>407</v>
      </c>
      <c r="P357" s="58">
        <v>-1.06E-2</v>
      </c>
    </row>
    <row r="358" spans="1:16" x14ac:dyDescent="0.2">
      <c r="A358" s="56">
        <v>34182</v>
      </c>
      <c r="B358" s="169">
        <v>463.56</v>
      </c>
      <c r="C358" s="169">
        <v>448.13</v>
      </c>
      <c r="D358" s="169">
        <v>463.56</v>
      </c>
      <c r="E358" s="169">
        <v>446.94</v>
      </c>
      <c r="F358" s="169"/>
      <c r="G358" s="169">
        <v>3.44E-2</v>
      </c>
      <c r="H358" s="53">
        <f t="shared" si="6"/>
        <v>0.11962901239040646</v>
      </c>
      <c r="I358" s="292"/>
      <c r="J358" s="52">
        <v>39173</v>
      </c>
      <c r="K358" s="57">
        <v>1443.76</v>
      </c>
      <c r="L358" s="57">
        <v>1420.83</v>
      </c>
      <c r="M358" s="57">
        <v>1444.88</v>
      </c>
      <c r="N358" s="57">
        <v>1416.37</v>
      </c>
      <c r="O358" s="51" t="s">
        <v>408</v>
      </c>
      <c r="P358" s="58">
        <v>1.61E-2</v>
      </c>
    </row>
    <row r="359" spans="1:16" x14ac:dyDescent="0.2">
      <c r="A359" s="56">
        <v>34151</v>
      </c>
      <c r="B359" s="169">
        <v>448.13</v>
      </c>
      <c r="C359" s="169">
        <v>450.54</v>
      </c>
      <c r="D359" s="169">
        <v>451.15</v>
      </c>
      <c r="E359" s="169">
        <v>441.4</v>
      </c>
      <c r="F359" s="169"/>
      <c r="G359" s="169">
        <v>-5.3E-3</v>
      </c>
      <c r="H359" s="53">
        <f t="shared" si="6"/>
        <v>5.638716673345745E-2</v>
      </c>
      <c r="I359" s="292"/>
      <c r="J359" s="52">
        <v>39180</v>
      </c>
      <c r="K359" s="57">
        <v>1452.85</v>
      </c>
      <c r="L359" s="57">
        <v>1443.77</v>
      </c>
      <c r="M359" s="57">
        <v>1453.11</v>
      </c>
      <c r="N359" s="57">
        <v>1433.91</v>
      </c>
      <c r="O359" s="51" t="s">
        <v>409</v>
      </c>
      <c r="P359" s="58">
        <v>6.3E-3</v>
      </c>
    </row>
    <row r="360" spans="1:16" x14ac:dyDescent="0.2">
      <c r="A360" s="56">
        <v>34121</v>
      </c>
      <c r="B360" s="169">
        <v>450.53</v>
      </c>
      <c r="C360" s="169">
        <v>450.23</v>
      </c>
      <c r="D360" s="169">
        <v>455.63</v>
      </c>
      <c r="E360" s="169">
        <v>442.5</v>
      </c>
      <c r="F360" s="169"/>
      <c r="G360" s="169">
        <v>8.0000000000000004E-4</v>
      </c>
      <c r="H360" s="53">
        <f t="shared" si="6"/>
        <v>0.10386142010094579</v>
      </c>
      <c r="I360" s="292"/>
      <c r="J360" s="52">
        <v>39187</v>
      </c>
      <c r="K360" s="57">
        <v>1484.35</v>
      </c>
      <c r="L360" s="57">
        <v>1452.84</v>
      </c>
      <c r="M360" s="57">
        <v>1484.74</v>
      </c>
      <c r="N360" s="57">
        <v>1452.84</v>
      </c>
      <c r="O360" s="51" t="s">
        <v>410</v>
      </c>
      <c r="P360" s="58">
        <v>2.1700000000000001E-2</v>
      </c>
    </row>
    <row r="361" spans="1:16" x14ac:dyDescent="0.2">
      <c r="A361" s="56">
        <v>34090</v>
      </c>
      <c r="B361" s="169">
        <v>450.19</v>
      </c>
      <c r="C361" s="169">
        <v>440.19</v>
      </c>
      <c r="D361" s="169">
        <v>454.55</v>
      </c>
      <c r="E361" s="169">
        <v>436.86</v>
      </c>
      <c r="F361" s="169"/>
      <c r="G361" s="169">
        <v>2.2700000000000001E-2</v>
      </c>
      <c r="H361" s="53">
        <f t="shared" si="6"/>
        <v>8.3881064162754315E-2</v>
      </c>
      <c r="I361" s="292"/>
      <c r="J361" s="52">
        <v>39194</v>
      </c>
      <c r="K361" s="57">
        <v>1494.07</v>
      </c>
      <c r="L361" s="57">
        <v>1484.33</v>
      </c>
      <c r="M361" s="57">
        <v>1498.02</v>
      </c>
      <c r="N361" s="57">
        <v>1473.74</v>
      </c>
      <c r="O361" s="51" t="s">
        <v>411</v>
      </c>
      <c r="P361" s="58">
        <v>6.4999999999999997E-3</v>
      </c>
    </row>
    <row r="362" spans="1:16" x14ac:dyDescent="0.2">
      <c r="A362" s="56">
        <v>34060</v>
      </c>
      <c r="B362" s="169">
        <v>440.19</v>
      </c>
      <c r="C362" s="169">
        <v>451.67</v>
      </c>
      <c r="D362" s="169">
        <v>452.63</v>
      </c>
      <c r="E362" s="169">
        <v>432.3</v>
      </c>
      <c r="F362" s="169"/>
      <c r="G362" s="169">
        <v>-2.5399999999999999E-2</v>
      </c>
      <c r="H362" s="53">
        <f t="shared" si="6"/>
        <v>6.082660561513431E-2</v>
      </c>
      <c r="I362" s="292"/>
      <c r="J362" s="52">
        <v>39201</v>
      </c>
      <c r="K362" s="57">
        <v>1505.62</v>
      </c>
      <c r="L362" s="57">
        <v>1494.07</v>
      </c>
      <c r="M362" s="57">
        <v>1510.34</v>
      </c>
      <c r="N362" s="57">
        <v>1476.7</v>
      </c>
      <c r="O362" s="51" t="s">
        <v>412</v>
      </c>
      <c r="P362" s="58">
        <v>7.7000000000000002E-3</v>
      </c>
    </row>
    <row r="363" spans="1:16" x14ac:dyDescent="0.2">
      <c r="A363" s="56">
        <v>34029</v>
      </c>
      <c r="B363" s="169">
        <v>451.67</v>
      </c>
      <c r="C363" s="169">
        <v>443.38</v>
      </c>
      <c r="D363" s="169">
        <v>456.76</v>
      </c>
      <c r="E363" s="169">
        <v>441.07</v>
      </c>
      <c r="F363" s="169"/>
      <c r="G363" s="169">
        <v>1.8700000000000001E-2</v>
      </c>
      <c r="H363" s="53">
        <f t="shared" si="6"/>
        <v>0.11885357576358091</v>
      </c>
      <c r="I363" s="292"/>
      <c r="J363" s="52">
        <v>39208</v>
      </c>
      <c r="K363" s="57">
        <v>1505.85</v>
      </c>
      <c r="L363" s="57">
        <v>1505.57</v>
      </c>
      <c r="M363" s="57">
        <v>1513.8</v>
      </c>
      <c r="N363" s="57">
        <v>1491.42</v>
      </c>
      <c r="O363" s="51" t="s">
        <v>413</v>
      </c>
      <c r="P363" s="58">
        <v>2.0000000000000001E-4</v>
      </c>
    </row>
    <row r="364" spans="1:16" x14ac:dyDescent="0.2">
      <c r="A364" s="56">
        <v>34001</v>
      </c>
      <c r="B364" s="169">
        <v>443.38</v>
      </c>
      <c r="C364" s="169">
        <v>438.78</v>
      </c>
      <c r="D364" s="169">
        <v>450.04</v>
      </c>
      <c r="E364" s="169">
        <v>428.25</v>
      </c>
      <c r="F364" s="169"/>
      <c r="G364" s="169">
        <v>1.0500000000000001E-2</v>
      </c>
      <c r="H364" s="53">
        <f t="shared" si="6"/>
        <v>7.4339714078022867E-2</v>
      </c>
      <c r="I364" s="292"/>
      <c r="J364" s="52">
        <v>39215</v>
      </c>
      <c r="K364" s="57">
        <v>1522.75</v>
      </c>
      <c r="L364" s="57">
        <v>1505.76</v>
      </c>
      <c r="M364" s="57">
        <v>1522.75</v>
      </c>
      <c r="N364" s="57">
        <v>1498.34</v>
      </c>
      <c r="O364" s="51" t="s">
        <v>414</v>
      </c>
      <c r="P364" s="58">
        <v>1.12E-2</v>
      </c>
    </row>
    <row r="365" spans="1:16" x14ac:dyDescent="0.2">
      <c r="A365" s="56">
        <v>33970</v>
      </c>
      <c r="B365" s="169">
        <v>438.78</v>
      </c>
      <c r="C365" s="169">
        <v>435.7</v>
      </c>
      <c r="D365" s="169">
        <v>442.66</v>
      </c>
      <c r="E365" s="169">
        <v>426.88</v>
      </c>
      <c r="F365" s="169"/>
      <c r="G365" s="169">
        <v>7.0000000000000001E-3</v>
      </c>
      <c r="H365" s="53">
        <f t="shared" si="6"/>
        <v>7.3389109056215984E-2</v>
      </c>
      <c r="I365" s="292"/>
      <c r="J365" s="52">
        <v>39222</v>
      </c>
      <c r="K365" s="57">
        <v>1515.73</v>
      </c>
      <c r="L365" s="57">
        <v>1522.75</v>
      </c>
      <c r="M365" s="57">
        <v>1532.43</v>
      </c>
      <c r="N365" s="57">
        <v>1505.18</v>
      </c>
      <c r="O365" s="51" t="s">
        <v>415</v>
      </c>
      <c r="P365" s="58">
        <v>-4.5999999999999999E-3</v>
      </c>
    </row>
    <row r="366" spans="1:16" x14ac:dyDescent="0.2">
      <c r="A366" s="56">
        <v>33939</v>
      </c>
      <c r="B366" s="169">
        <v>435.71</v>
      </c>
      <c r="C366" s="169">
        <v>431.35</v>
      </c>
      <c r="D366" s="169">
        <v>442.65</v>
      </c>
      <c r="E366" s="169">
        <v>428.61</v>
      </c>
      <c r="F366" s="169"/>
      <c r="G366" s="169">
        <v>1.01E-2</v>
      </c>
      <c r="H366" s="53">
        <f t="shared" si="6"/>
        <v>4.4642643074636279E-2</v>
      </c>
      <c r="I366" s="292"/>
      <c r="J366" s="52">
        <v>39229</v>
      </c>
      <c r="K366" s="57">
        <v>1536.34</v>
      </c>
      <c r="L366" s="57">
        <v>1515.55</v>
      </c>
      <c r="M366" s="57">
        <v>1540.56</v>
      </c>
      <c r="N366" s="57">
        <v>1510.06</v>
      </c>
      <c r="O366" s="51" t="s">
        <v>416</v>
      </c>
      <c r="P366" s="58">
        <v>1.3599999999999999E-2</v>
      </c>
    </row>
    <row r="367" spans="1:16" x14ac:dyDescent="0.2">
      <c r="A367" s="56">
        <v>33909</v>
      </c>
      <c r="B367" s="169">
        <v>431.35</v>
      </c>
      <c r="C367" s="169">
        <v>418.66</v>
      </c>
      <c r="D367" s="169">
        <v>431.93</v>
      </c>
      <c r="E367" s="169">
        <v>415.58</v>
      </c>
      <c r="F367" s="169"/>
      <c r="G367" s="169">
        <v>3.0300000000000001E-2</v>
      </c>
      <c r="H367" s="53">
        <f t="shared" si="6"/>
        <v>0.14959223921965781</v>
      </c>
      <c r="I367" s="292"/>
      <c r="J367" s="52">
        <v>39236</v>
      </c>
      <c r="K367" s="57">
        <v>1507.67</v>
      </c>
      <c r="L367" s="57">
        <v>1536.28</v>
      </c>
      <c r="M367" s="57">
        <v>1540.53</v>
      </c>
      <c r="N367" s="57">
        <v>1487.41</v>
      </c>
      <c r="O367" s="51" t="s">
        <v>417</v>
      </c>
      <c r="P367" s="58">
        <v>-1.8700000000000001E-2</v>
      </c>
    </row>
    <row r="368" spans="1:16" x14ac:dyDescent="0.2">
      <c r="A368" s="56">
        <v>33878</v>
      </c>
      <c r="B368" s="169">
        <v>418.68</v>
      </c>
      <c r="C368" s="169">
        <v>417.8</v>
      </c>
      <c r="D368" s="169">
        <v>421.16</v>
      </c>
      <c r="E368" s="169">
        <v>396.8</v>
      </c>
      <c r="F368" s="169"/>
      <c r="G368" s="169">
        <v>2.0999999999999999E-3</v>
      </c>
      <c r="H368" s="53">
        <f t="shared" si="6"/>
        <v>6.6836539686584429E-2</v>
      </c>
      <c r="I368" s="292"/>
      <c r="J368" s="52">
        <v>39243</v>
      </c>
      <c r="K368" s="57">
        <v>1532.91</v>
      </c>
      <c r="L368" s="57">
        <v>1507.64</v>
      </c>
      <c r="M368" s="57">
        <v>1538.71</v>
      </c>
      <c r="N368" s="57">
        <v>1492.65</v>
      </c>
      <c r="O368" s="51" t="s">
        <v>418</v>
      </c>
      <c r="P368" s="58">
        <v>1.67E-2</v>
      </c>
    </row>
    <row r="369" spans="1:16" x14ac:dyDescent="0.2">
      <c r="A369" s="56">
        <v>33848</v>
      </c>
      <c r="B369" s="169">
        <v>417.8</v>
      </c>
      <c r="C369" s="169">
        <v>414.03</v>
      </c>
      <c r="D369" s="169">
        <v>425.27</v>
      </c>
      <c r="E369" s="169">
        <v>412.71</v>
      </c>
      <c r="F369" s="169"/>
      <c r="G369" s="169">
        <v>9.1000000000000004E-3</v>
      </c>
      <c r="H369" s="53">
        <f t="shared" si="6"/>
        <v>7.7192801526323906E-2</v>
      </c>
      <c r="I369" s="292"/>
      <c r="J369" s="52">
        <v>39250</v>
      </c>
      <c r="K369" s="57">
        <v>1502.56</v>
      </c>
      <c r="L369" s="57">
        <v>1532.9</v>
      </c>
      <c r="M369" s="57">
        <v>1537.32</v>
      </c>
      <c r="N369" s="57">
        <v>1500.74</v>
      </c>
      <c r="O369" s="51" t="s">
        <v>419</v>
      </c>
      <c r="P369" s="58">
        <v>-1.9800000000000002E-2</v>
      </c>
    </row>
    <row r="370" spans="1:16" x14ac:dyDescent="0.2">
      <c r="A370" s="56">
        <v>33817</v>
      </c>
      <c r="B370" s="169">
        <v>414.03</v>
      </c>
      <c r="C370" s="169">
        <v>424.19</v>
      </c>
      <c r="D370" s="169">
        <v>425.14</v>
      </c>
      <c r="E370" s="169">
        <v>408.3</v>
      </c>
      <c r="F370" s="169"/>
      <c r="G370" s="169">
        <v>-2.4E-2</v>
      </c>
      <c r="H370" s="53">
        <f t="shared" si="6"/>
        <v>4.7037402321523425E-2</v>
      </c>
      <c r="I370" s="292"/>
      <c r="J370" s="52">
        <v>39257</v>
      </c>
      <c r="K370" s="57">
        <v>1503.35</v>
      </c>
      <c r="L370" s="57">
        <v>1502.56</v>
      </c>
      <c r="M370" s="57">
        <v>1517.53</v>
      </c>
      <c r="N370" s="57">
        <v>1484.18</v>
      </c>
      <c r="O370" s="51" t="s">
        <v>420</v>
      </c>
      <c r="P370" s="58">
        <v>5.0000000000000001E-4</v>
      </c>
    </row>
    <row r="371" spans="1:16" x14ac:dyDescent="0.2">
      <c r="A371" s="56">
        <v>33786</v>
      </c>
      <c r="B371" s="169">
        <v>424.21</v>
      </c>
      <c r="C371" s="169">
        <v>408.2</v>
      </c>
      <c r="D371" s="169">
        <v>424.8</v>
      </c>
      <c r="E371" s="169">
        <v>407.2</v>
      </c>
      <c r="F371" s="169"/>
      <c r="G371" s="169">
        <v>3.9399999999999998E-2</v>
      </c>
      <c r="H371" s="53">
        <f t="shared" si="6"/>
        <v>9.3860395554524079E-2</v>
      </c>
      <c r="I371" s="292"/>
      <c r="J371" s="52">
        <v>39264</v>
      </c>
      <c r="K371" s="57">
        <v>1530.44</v>
      </c>
      <c r="L371" s="57">
        <v>1504.66</v>
      </c>
      <c r="M371" s="57">
        <v>1532.4</v>
      </c>
      <c r="N371" s="57">
        <v>1504.66</v>
      </c>
      <c r="O371" s="51" t="s">
        <v>421</v>
      </c>
      <c r="P371" s="58">
        <v>1.7999999999999999E-2</v>
      </c>
    </row>
    <row r="372" spans="1:16" x14ac:dyDescent="0.2">
      <c r="A372" s="56">
        <v>33756</v>
      </c>
      <c r="B372" s="169">
        <v>408.14</v>
      </c>
      <c r="C372" s="169">
        <v>415.35</v>
      </c>
      <c r="D372" s="169">
        <v>417.3</v>
      </c>
      <c r="E372" s="169">
        <v>399.92</v>
      </c>
      <c r="F372" s="169"/>
      <c r="G372" s="169">
        <v>-1.7399999999999999E-2</v>
      </c>
      <c r="H372" s="53">
        <f t="shared" si="6"/>
        <v>9.9633581204871202E-2</v>
      </c>
      <c r="I372" s="292"/>
      <c r="J372" s="52">
        <v>39271</v>
      </c>
      <c r="K372" s="57">
        <v>1552.5</v>
      </c>
      <c r="L372" s="57">
        <v>1530.43</v>
      </c>
      <c r="M372" s="57">
        <v>1555.1</v>
      </c>
      <c r="N372" s="57">
        <v>1506.1</v>
      </c>
      <c r="O372" s="51" t="s">
        <v>422</v>
      </c>
      <c r="P372" s="58">
        <v>1.44E-2</v>
      </c>
    </row>
    <row r="373" spans="1:16" x14ac:dyDescent="0.2">
      <c r="A373" s="56">
        <v>33725</v>
      </c>
      <c r="B373" s="169">
        <v>415.35</v>
      </c>
      <c r="C373" s="169">
        <v>414.95</v>
      </c>
      <c r="D373" s="169">
        <v>418.75</v>
      </c>
      <c r="E373" s="169">
        <v>409.85</v>
      </c>
      <c r="F373" s="169"/>
      <c r="G373" s="169">
        <v>1E-3</v>
      </c>
      <c r="H373" s="53">
        <f t="shared" si="6"/>
        <v>6.5464433214478257E-2</v>
      </c>
      <c r="I373" s="292"/>
      <c r="J373" s="52">
        <v>39278</v>
      </c>
      <c r="K373" s="57">
        <v>1534.1</v>
      </c>
      <c r="L373" s="57">
        <v>1552.5</v>
      </c>
      <c r="M373" s="57">
        <v>1555.9</v>
      </c>
      <c r="N373" s="57">
        <v>1529.2</v>
      </c>
      <c r="O373" s="51" t="s">
        <v>423</v>
      </c>
      <c r="P373" s="58">
        <v>-1.1900000000000001E-2</v>
      </c>
    </row>
    <row r="374" spans="1:16" x14ac:dyDescent="0.2">
      <c r="A374" s="56">
        <v>33695</v>
      </c>
      <c r="B374" s="169">
        <v>414.95</v>
      </c>
      <c r="C374" s="169">
        <v>403.67</v>
      </c>
      <c r="D374" s="169">
        <v>416.28</v>
      </c>
      <c r="E374" s="169">
        <v>392.41</v>
      </c>
      <c r="F374" s="169"/>
      <c r="G374" s="169">
        <v>2.7900000000000001E-2</v>
      </c>
      <c r="H374" s="53">
        <f t="shared" si="6"/>
        <v>0.105530985240049</v>
      </c>
      <c r="I374" s="292"/>
      <c r="J374" s="52">
        <v>39285</v>
      </c>
      <c r="K374" s="57">
        <v>1458.95</v>
      </c>
      <c r="L374" s="57">
        <v>1534.06</v>
      </c>
      <c r="M374" s="57">
        <v>1547.23</v>
      </c>
      <c r="N374" s="57">
        <v>1458.95</v>
      </c>
      <c r="O374" s="51" t="s">
        <v>424</v>
      </c>
      <c r="P374" s="58">
        <v>-4.9000000000000002E-2</v>
      </c>
    </row>
    <row r="375" spans="1:16" x14ac:dyDescent="0.2">
      <c r="A375" s="56">
        <v>33664</v>
      </c>
      <c r="B375" s="169">
        <v>403.69</v>
      </c>
      <c r="C375" s="169">
        <v>412.68</v>
      </c>
      <c r="D375" s="169">
        <v>413.78</v>
      </c>
      <c r="E375" s="169">
        <v>401.94</v>
      </c>
      <c r="F375" s="169"/>
      <c r="G375" s="169">
        <v>-2.18E-2</v>
      </c>
      <c r="H375" s="53">
        <f t="shared" si="6"/>
        <v>7.587548638132291E-2</v>
      </c>
      <c r="I375" s="292"/>
      <c r="J375" s="52">
        <v>39292</v>
      </c>
      <c r="K375" s="57">
        <v>1433.06</v>
      </c>
      <c r="L375" s="57">
        <v>1458.93</v>
      </c>
      <c r="M375" s="57">
        <v>1488.3</v>
      </c>
      <c r="N375" s="57">
        <v>1432.8</v>
      </c>
      <c r="O375" s="51" t="s">
        <v>425</v>
      </c>
      <c r="P375" s="58">
        <v>-1.77E-2</v>
      </c>
    </row>
    <row r="376" spans="1:16" x14ac:dyDescent="0.2">
      <c r="A376" s="56">
        <v>33635</v>
      </c>
      <c r="B376" s="169">
        <v>412.7</v>
      </c>
      <c r="C376" s="169">
        <v>408.79</v>
      </c>
      <c r="D376" s="169">
        <v>418.08</v>
      </c>
      <c r="E376" s="169">
        <v>406.34</v>
      </c>
      <c r="F376" s="169"/>
      <c r="G376" s="169">
        <v>9.5999999999999992E-3</v>
      </c>
      <c r="H376" s="53">
        <f t="shared" si="6"/>
        <v>0.12430871495899964</v>
      </c>
      <c r="I376" s="292"/>
      <c r="J376" s="52">
        <v>39299</v>
      </c>
      <c r="K376" s="57">
        <v>1453.64</v>
      </c>
      <c r="L376" s="57">
        <v>1433.04</v>
      </c>
      <c r="M376" s="57">
        <v>1503.89</v>
      </c>
      <c r="N376" s="57">
        <v>1427.39</v>
      </c>
      <c r="O376" s="51" t="s">
        <v>426</v>
      </c>
      <c r="P376" s="58">
        <v>1.44E-2</v>
      </c>
    </row>
    <row r="377" spans="1:16" x14ac:dyDescent="0.2">
      <c r="A377" s="56">
        <v>33604</v>
      </c>
      <c r="B377" s="169">
        <v>408.78</v>
      </c>
      <c r="C377" s="169">
        <v>417.03</v>
      </c>
      <c r="D377" s="169">
        <v>421.18</v>
      </c>
      <c r="E377" s="169">
        <v>408.64</v>
      </c>
      <c r="F377" s="169"/>
      <c r="G377" s="169">
        <v>-1.9900000000000001E-2</v>
      </c>
      <c r="H377" s="53">
        <f t="shared" si="6"/>
        <v>0.18855581077544836</v>
      </c>
      <c r="I377" s="292"/>
      <c r="J377" s="52">
        <v>39306</v>
      </c>
      <c r="K377" s="57">
        <v>1445.94</v>
      </c>
      <c r="L377" s="57">
        <v>1453.42</v>
      </c>
      <c r="M377" s="57">
        <v>1466.29</v>
      </c>
      <c r="N377" s="57">
        <v>1370.6</v>
      </c>
      <c r="O377" s="51" t="s">
        <v>427</v>
      </c>
      <c r="P377" s="58">
        <v>-5.3E-3</v>
      </c>
    </row>
    <row r="378" spans="1:16" x14ac:dyDescent="0.2">
      <c r="A378" s="56">
        <v>33573</v>
      </c>
      <c r="B378" s="169">
        <v>417.09</v>
      </c>
      <c r="C378" s="169">
        <v>375.11</v>
      </c>
      <c r="D378" s="169">
        <v>418.32</v>
      </c>
      <c r="E378" s="169">
        <v>371.36</v>
      </c>
      <c r="F378" s="169"/>
      <c r="G378" s="169">
        <v>0.1116</v>
      </c>
      <c r="H378" s="53">
        <f t="shared" si="6"/>
        <v>0.26306704621161625</v>
      </c>
      <c r="I378" s="292"/>
      <c r="J378" s="52">
        <v>39313</v>
      </c>
      <c r="K378" s="57">
        <v>1479.37</v>
      </c>
      <c r="L378" s="57">
        <v>1445.94</v>
      </c>
      <c r="M378" s="57">
        <v>1479.4</v>
      </c>
      <c r="N378" s="57">
        <v>1430.54</v>
      </c>
      <c r="O378" s="51" t="s">
        <v>428</v>
      </c>
      <c r="P378" s="58">
        <v>2.3099999999999999E-2</v>
      </c>
    </row>
    <row r="379" spans="1:16" x14ac:dyDescent="0.2">
      <c r="A379" s="56">
        <v>33543</v>
      </c>
      <c r="B379" s="169">
        <v>375.22</v>
      </c>
      <c r="C379" s="169">
        <v>392.46</v>
      </c>
      <c r="D379" s="169">
        <v>398.22</v>
      </c>
      <c r="E379" s="169">
        <v>371.63</v>
      </c>
      <c r="F379" s="169"/>
      <c r="G379" s="169">
        <v>-4.3900000000000002E-2</v>
      </c>
      <c r="H379" s="53">
        <f t="shared" si="6"/>
        <v>0.16448389299236554</v>
      </c>
      <c r="I379" s="292"/>
      <c r="J379" s="52">
        <v>39320</v>
      </c>
      <c r="K379" s="57">
        <v>1473.99</v>
      </c>
      <c r="L379" s="57">
        <v>1479.36</v>
      </c>
      <c r="M379" s="57">
        <v>1481.47</v>
      </c>
      <c r="N379" s="57">
        <v>1432.01</v>
      </c>
      <c r="O379" s="51" t="s">
        <v>429</v>
      </c>
      <c r="P379" s="58">
        <v>-3.5999999999999999E-3</v>
      </c>
    </row>
    <row r="380" spans="1:16" x14ac:dyDescent="0.2">
      <c r="A380" s="56">
        <v>33512</v>
      </c>
      <c r="B380" s="169">
        <v>392.45</v>
      </c>
      <c r="C380" s="169">
        <v>387.86</v>
      </c>
      <c r="D380" s="169">
        <v>393.81</v>
      </c>
      <c r="E380" s="169">
        <v>376.11</v>
      </c>
      <c r="F380" s="169"/>
      <c r="G380" s="169">
        <v>1.18E-2</v>
      </c>
      <c r="H380" s="53">
        <f t="shared" si="6"/>
        <v>0.29095394736842106</v>
      </c>
      <c r="I380" s="292"/>
      <c r="J380" s="52">
        <v>39327</v>
      </c>
      <c r="K380" s="57">
        <v>1453.55</v>
      </c>
      <c r="L380" s="57">
        <v>1473.96</v>
      </c>
      <c r="M380" s="57">
        <v>1496.4</v>
      </c>
      <c r="N380" s="57">
        <v>1449.07</v>
      </c>
      <c r="O380" s="51" t="s">
        <v>430</v>
      </c>
      <c r="P380" s="58">
        <v>-1.3899999999999999E-2</v>
      </c>
    </row>
    <row r="381" spans="1:16" x14ac:dyDescent="0.2">
      <c r="A381" s="56">
        <v>33482</v>
      </c>
      <c r="B381" s="169">
        <v>387.86</v>
      </c>
      <c r="C381" s="169">
        <v>395.43</v>
      </c>
      <c r="D381" s="169">
        <v>397.62</v>
      </c>
      <c r="E381" s="169">
        <v>382.77</v>
      </c>
      <c r="F381" s="169"/>
      <c r="G381" s="169">
        <v>-1.9099999999999999E-2</v>
      </c>
      <c r="H381" s="53">
        <f t="shared" si="6"/>
        <v>0.26730926319228887</v>
      </c>
      <c r="I381" s="292"/>
      <c r="J381" s="52">
        <v>39334</v>
      </c>
      <c r="K381" s="57">
        <v>1484.25</v>
      </c>
      <c r="L381" s="57">
        <v>1453.5</v>
      </c>
      <c r="M381" s="57">
        <v>1489.58</v>
      </c>
      <c r="N381" s="57">
        <v>1439.29</v>
      </c>
      <c r="O381" s="51" t="s">
        <v>431</v>
      </c>
      <c r="P381" s="58">
        <v>2.1100000000000001E-2</v>
      </c>
    </row>
    <row r="382" spans="1:16" x14ac:dyDescent="0.2">
      <c r="A382" s="56">
        <v>33451</v>
      </c>
      <c r="B382" s="169">
        <v>395.43</v>
      </c>
      <c r="C382" s="169">
        <v>387.81</v>
      </c>
      <c r="D382" s="169">
        <v>396.82</v>
      </c>
      <c r="E382" s="169">
        <v>374.09</v>
      </c>
      <c r="F382" s="169"/>
      <c r="G382" s="169">
        <v>1.9599999999999999E-2</v>
      </c>
      <c r="H382" s="53">
        <f t="shared" si="6"/>
        <v>0.22591145833333326</v>
      </c>
      <c r="I382" s="292"/>
      <c r="J382" s="52">
        <v>39341</v>
      </c>
      <c r="K382" s="57">
        <v>1525.75</v>
      </c>
      <c r="L382" s="57">
        <v>1484.24</v>
      </c>
      <c r="M382" s="57">
        <v>1538.74</v>
      </c>
      <c r="N382" s="57">
        <v>1471.82</v>
      </c>
      <c r="O382" s="51" t="s">
        <v>432</v>
      </c>
      <c r="P382" s="58">
        <v>2.8000000000000001E-2</v>
      </c>
    </row>
    <row r="383" spans="1:16" x14ac:dyDescent="0.2">
      <c r="A383" s="56">
        <v>33420</v>
      </c>
      <c r="B383" s="169">
        <v>387.81</v>
      </c>
      <c r="C383" s="169">
        <v>371.18</v>
      </c>
      <c r="D383" s="169">
        <v>387.81</v>
      </c>
      <c r="E383" s="169">
        <v>370.92</v>
      </c>
      <c r="F383" s="169"/>
      <c r="G383" s="169">
        <v>4.4900000000000002E-2</v>
      </c>
      <c r="H383" s="53">
        <f t="shared" si="6"/>
        <v>8.8895128457110895E-2</v>
      </c>
      <c r="I383" s="292"/>
      <c r="J383" s="52">
        <v>39348</v>
      </c>
      <c r="K383" s="57">
        <v>1526.75</v>
      </c>
      <c r="L383" s="57">
        <v>1525.75</v>
      </c>
      <c r="M383" s="57">
        <v>1533.74</v>
      </c>
      <c r="N383" s="57">
        <v>1507.13</v>
      </c>
      <c r="O383" s="51" t="s">
        <v>433</v>
      </c>
      <c r="P383" s="58">
        <v>6.9999999999999999E-4</v>
      </c>
    </row>
    <row r="384" spans="1:16" x14ac:dyDescent="0.2">
      <c r="A384" s="56">
        <v>33390</v>
      </c>
      <c r="B384" s="169">
        <v>371.16</v>
      </c>
      <c r="C384" s="169">
        <v>389.81</v>
      </c>
      <c r="D384" s="169">
        <v>389.81</v>
      </c>
      <c r="E384" s="169">
        <v>367.98</v>
      </c>
      <c r="F384" s="169"/>
      <c r="G384" s="169">
        <v>-4.7899999999999998E-2</v>
      </c>
      <c r="H384" s="53">
        <f t="shared" si="6"/>
        <v>3.6701860231272088E-2</v>
      </c>
      <c r="I384" s="292"/>
      <c r="J384" s="52">
        <v>39355</v>
      </c>
      <c r="K384" s="57">
        <v>1557.59</v>
      </c>
      <c r="L384" s="57">
        <v>1527.29</v>
      </c>
      <c r="M384" s="57">
        <v>1561.91</v>
      </c>
      <c r="N384" s="57">
        <v>1527.25</v>
      </c>
      <c r="O384" s="51" t="s">
        <v>434</v>
      </c>
      <c r="P384" s="58">
        <v>2.0199999999999999E-2</v>
      </c>
    </row>
    <row r="385" spans="1:16" x14ac:dyDescent="0.2">
      <c r="A385" s="56">
        <v>33359</v>
      </c>
      <c r="B385" s="169">
        <v>389.83</v>
      </c>
      <c r="C385" s="169">
        <v>375.35</v>
      </c>
      <c r="D385" s="169">
        <v>389.85</v>
      </c>
      <c r="E385" s="169">
        <v>365.83</v>
      </c>
      <c r="F385" s="169"/>
      <c r="G385" s="169">
        <v>3.8600000000000002E-2</v>
      </c>
      <c r="H385" s="53">
        <f t="shared" si="6"/>
        <v>7.9173933504969041E-2</v>
      </c>
      <c r="I385" s="292"/>
      <c r="J385" s="52">
        <v>39362</v>
      </c>
      <c r="K385" s="57">
        <v>1561.8</v>
      </c>
      <c r="L385" s="57">
        <v>1556.51</v>
      </c>
      <c r="M385" s="57">
        <v>1576.09</v>
      </c>
      <c r="N385" s="57">
        <v>1546.72</v>
      </c>
      <c r="O385" s="51" t="s">
        <v>435</v>
      </c>
      <c r="P385" s="58">
        <v>2.7000000000000001E-3</v>
      </c>
    </row>
    <row r="386" spans="1:16" x14ac:dyDescent="0.2">
      <c r="A386" s="56">
        <v>33329</v>
      </c>
      <c r="B386" s="169">
        <v>375.34</v>
      </c>
      <c r="C386" s="169">
        <v>375.22</v>
      </c>
      <c r="D386" s="169">
        <v>391.26</v>
      </c>
      <c r="E386" s="169">
        <v>370.27</v>
      </c>
      <c r="F386" s="169"/>
      <c r="G386" s="169">
        <v>2.9999999999999997E-4</v>
      </c>
      <c r="H386" s="53">
        <f t="shared" si="6"/>
        <v>0.13464328899637223</v>
      </c>
      <c r="I386" s="292"/>
      <c r="J386" s="52">
        <v>39369</v>
      </c>
      <c r="K386" s="57">
        <v>1500.63</v>
      </c>
      <c r="L386" s="57">
        <v>1562.25</v>
      </c>
      <c r="M386" s="57">
        <v>1564.74</v>
      </c>
      <c r="N386" s="57">
        <v>1500.26</v>
      </c>
      <c r="O386" s="51" t="s">
        <v>436</v>
      </c>
      <c r="P386" s="58">
        <v>-3.9199999999999999E-2</v>
      </c>
    </row>
    <row r="387" spans="1:16" x14ac:dyDescent="0.2">
      <c r="A387" s="56">
        <v>33298</v>
      </c>
      <c r="B387" s="169">
        <v>375.22</v>
      </c>
      <c r="C387" s="169">
        <v>367.07</v>
      </c>
      <c r="D387" s="169">
        <v>379.66</v>
      </c>
      <c r="E387" s="169">
        <v>363.73</v>
      </c>
      <c r="F387" s="169"/>
      <c r="G387" s="169">
        <v>2.2200000000000001E-2</v>
      </c>
      <c r="H387" s="53">
        <f t="shared" si="6"/>
        <v>0.10378302053303523</v>
      </c>
      <c r="I387" s="292"/>
      <c r="J387" s="52">
        <v>39376</v>
      </c>
      <c r="K387" s="57">
        <v>1535.28</v>
      </c>
      <c r="L387" s="57">
        <v>1497.79</v>
      </c>
      <c r="M387" s="57">
        <v>1535.53</v>
      </c>
      <c r="N387" s="57">
        <v>1489.56</v>
      </c>
      <c r="O387" s="51" t="s">
        <v>437</v>
      </c>
      <c r="P387" s="58">
        <v>2.3099999999999999E-2</v>
      </c>
    </row>
    <row r="388" spans="1:16" x14ac:dyDescent="0.2">
      <c r="A388" s="56">
        <v>33270</v>
      </c>
      <c r="B388" s="169">
        <v>367.07</v>
      </c>
      <c r="C388" s="169">
        <v>343.91</v>
      </c>
      <c r="D388" s="169">
        <v>370.96</v>
      </c>
      <c r="E388" s="169">
        <v>340.37</v>
      </c>
      <c r="F388" s="169"/>
      <c r="G388" s="169">
        <v>6.7299999999999999E-2</v>
      </c>
      <c r="H388" s="53">
        <f t="shared" si="6"/>
        <v>0.10599897556419302</v>
      </c>
      <c r="I388" s="292"/>
      <c r="J388" s="52">
        <v>39383</v>
      </c>
      <c r="K388" s="57">
        <v>1509.65</v>
      </c>
      <c r="L388" s="57">
        <v>1536.92</v>
      </c>
      <c r="M388" s="57">
        <v>1552.76</v>
      </c>
      <c r="N388" s="57">
        <v>1492.53</v>
      </c>
      <c r="O388" s="51" t="s">
        <v>438</v>
      </c>
      <c r="P388" s="58">
        <v>-1.67E-2</v>
      </c>
    </row>
    <row r="389" spans="1:16" x14ac:dyDescent="0.2">
      <c r="A389" s="56">
        <v>33239</v>
      </c>
      <c r="B389" s="169">
        <v>343.93</v>
      </c>
      <c r="C389" s="169">
        <v>330.2</v>
      </c>
      <c r="D389" s="169">
        <v>343.93</v>
      </c>
      <c r="E389" s="169">
        <v>309.35000000000002</v>
      </c>
      <c r="F389" s="169"/>
      <c r="G389" s="169">
        <v>4.1500000000000002E-2</v>
      </c>
      <c r="H389" s="53">
        <f t="shared" si="6"/>
        <v>4.5125805275312958E-2</v>
      </c>
      <c r="I389" s="292"/>
      <c r="J389" s="52">
        <v>39390</v>
      </c>
      <c r="K389" s="57">
        <v>1453.7</v>
      </c>
      <c r="L389" s="57">
        <v>1505.61</v>
      </c>
      <c r="M389" s="57">
        <v>1520.77</v>
      </c>
      <c r="N389" s="57">
        <v>1448.51</v>
      </c>
      <c r="O389" s="51" t="s">
        <v>439</v>
      </c>
      <c r="P389" s="58">
        <v>-3.7100000000000001E-2</v>
      </c>
    </row>
    <row r="390" spans="1:16" x14ac:dyDescent="0.2">
      <c r="A390" s="56">
        <v>33208</v>
      </c>
      <c r="B390" s="169">
        <v>330.22</v>
      </c>
      <c r="C390" s="169">
        <v>322.23</v>
      </c>
      <c r="D390" s="169">
        <v>333.98</v>
      </c>
      <c r="E390" s="169">
        <v>321.97000000000003</v>
      </c>
      <c r="F390" s="169"/>
      <c r="G390" s="169">
        <v>2.4799999999999999E-2</v>
      </c>
      <c r="H390" s="53">
        <f t="shared" si="6"/>
        <v>-6.5591397849462219E-2</v>
      </c>
      <c r="I390" s="292"/>
      <c r="J390" s="52">
        <v>39397</v>
      </c>
      <c r="K390" s="57">
        <v>1458.74</v>
      </c>
      <c r="L390" s="57">
        <v>1453.66</v>
      </c>
      <c r="M390" s="57">
        <v>1492.14</v>
      </c>
      <c r="N390" s="57">
        <v>1438.53</v>
      </c>
      <c r="O390" s="51" t="s">
        <v>440</v>
      </c>
      <c r="P390" s="58">
        <v>3.5000000000000001E-3</v>
      </c>
    </row>
    <row r="391" spans="1:16" x14ac:dyDescent="0.2">
      <c r="A391" s="56">
        <v>33178</v>
      </c>
      <c r="B391" s="169">
        <v>322.22000000000003</v>
      </c>
      <c r="C391" s="169">
        <v>303.99</v>
      </c>
      <c r="D391" s="169">
        <v>323.02</v>
      </c>
      <c r="E391" s="169">
        <v>301.61</v>
      </c>
      <c r="F391" s="169"/>
      <c r="G391" s="169">
        <v>5.9900000000000002E-2</v>
      </c>
      <c r="H391" s="53">
        <f t="shared" si="6"/>
        <v>-6.8701407555131544E-2</v>
      </c>
      <c r="I391" s="292"/>
      <c r="J391" s="52">
        <v>39404</v>
      </c>
      <c r="K391" s="57">
        <v>1440.7</v>
      </c>
      <c r="L391" s="57">
        <v>1456.7</v>
      </c>
      <c r="M391" s="57">
        <v>1456.7</v>
      </c>
      <c r="N391" s="57">
        <v>1415.64</v>
      </c>
      <c r="O391" s="51" t="s">
        <v>441</v>
      </c>
      <c r="P391" s="58">
        <v>-1.24E-2</v>
      </c>
    </row>
    <row r="392" spans="1:16" x14ac:dyDescent="0.2">
      <c r="A392" s="56">
        <v>33147</v>
      </c>
      <c r="B392" s="169">
        <v>304</v>
      </c>
      <c r="C392" s="169">
        <v>306.10000000000002</v>
      </c>
      <c r="D392" s="169">
        <v>319.69</v>
      </c>
      <c r="E392" s="169">
        <v>294.51</v>
      </c>
      <c r="F392" s="169"/>
      <c r="G392" s="169">
        <v>-6.7000000000000002E-3</v>
      </c>
      <c r="H392" s="53">
        <f t="shared" si="6"/>
        <v>-0.10682806440239745</v>
      </c>
      <c r="I392" s="292"/>
      <c r="J392" s="52">
        <v>39411</v>
      </c>
      <c r="K392" s="57">
        <v>1481.14</v>
      </c>
      <c r="L392" s="57">
        <v>1440.74</v>
      </c>
      <c r="M392" s="57">
        <v>1488.94</v>
      </c>
      <c r="N392" s="57">
        <v>1406.1</v>
      </c>
      <c r="O392" s="51" t="s">
        <v>440</v>
      </c>
      <c r="P392" s="58">
        <v>2.81E-2</v>
      </c>
    </row>
    <row r="393" spans="1:16" x14ac:dyDescent="0.2">
      <c r="A393" s="56">
        <v>33117</v>
      </c>
      <c r="B393" s="169">
        <v>306.05</v>
      </c>
      <c r="C393" s="169">
        <v>322.56</v>
      </c>
      <c r="D393" s="169">
        <v>326.52999999999997</v>
      </c>
      <c r="E393" s="169">
        <v>295.98</v>
      </c>
      <c r="F393" s="169"/>
      <c r="G393" s="169">
        <v>-5.1200000000000002E-2</v>
      </c>
      <c r="H393" s="53">
        <f t="shared" si="6"/>
        <v>-0.12344264642703695</v>
      </c>
      <c r="I393" s="292"/>
      <c r="J393" s="52">
        <v>39418</v>
      </c>
      <c r="K393" s="57">
        <v>1504.66</v>
      </c>
      <c r="L393" s="57">
        <v>1479.63</v>
      </c>
      <c r="M393" s="57">
        <v>1510.63</v>
      </c>
      <c r="N393" s="57">
        <v>1460.66</v>
      </c>
      <c r="O393" s="51" t="s">
        <v>442</v>
      </c>
      <c r="P393" s="58">
        <v>1.5900000000000001E-2</v>
      </c>
    </row>
    <row r="394" spans="1:16" x14ac:dyDescent="0.2">
      <c r="A394" s="56">
        <v>33086</v>
      </c>
      <c r="B394" s="169">
        <v>322.56</v>
      </c>
      <c r="C394" s="169">
        <v>356.15</v>
      </c>
      <c r="D394" s="169">
        <v>357.35</v>
      </c>
      <c r="E394" s="169">
        <v>306.18</v>
      </c>
      <c r="F394" s="169"/>
      <c r="G394" s="169">
        <v>-9.4299999999999995E-2</v>
      </c>
      <c r="H394" s="53">
        <f t="shared" si="6"/>
        <v>-8.2202304737515997E-2</v>
      </c>
      <c r="I394" s="292"/>
      <c r="J394" s="52">
        <v>39425</v>
      </c>
      <c r="K394" s="57">
        <v>1467.95</v>
      </c>
      <c r="L394" s="57">
        <v>1505.11</v>
      </c>
      <c r="M394" s="57">
        <v>1523.57</v>
      </c>
      <c r="N394" s="57">
        <v>1467.78</v>
      </c>
      <c r="O394" s="51" t="s">
        <v>443</v>
      </c>
      <c r="P394" s="58">
        <v>-2.4400000000000002E-2</v>
      </c>
    </row>
    <row r="395" spans="1:16" x14ac:dyDescent="0.2">
      <c r="A395" s="56">
        <v>33055</v>
      </c>
      <c r="B395" s="169">
        <v>356.15</v>
      </c>
      <c r="C395" s="169">
        <v>358.02</v>
      </c>
      <c r="D395" s="169">
        <v>369.78</v>
      </c>
      <c r="E395" s="169">
        <v>350.09</v>
      </c>
      <c r="F395" s="169"/>
      <c r="G395" s="169">
        <v>-5.1999999999999998E-3</v>
      </c>
      <c r="H395" s="53">
        <f t="shared" si="6"/>
        <v>2.9097318539066164E-2</v>
      </c>
      <c r="I395" s="292"/>
      <c r="J395" s="52">
        <v>39432</v>
      </c>
      <c r="K395" s="57">
        <v>1484.46</v>
      </c>
      <c r="L395" s="57">
        <v>1465.05</v>
      </c>
      <c r="M395" s="57">
        <v>1485.4</v>
      </c>
      <c r="N395" s="57">
        <v>1435.65</v>
      </c>
      <c r="O395" s="51" t="s">
        <v>444</v>
      </c>
      <c r="P395" s="58">
        <v>1.12E-2</v>
      </c>
    </row>
    <row r="396" spans="1:16" x14ac:dyDescent="0.2">
      <c r="A396" s="56">
        <v>33025</v>
      </c>
      <c r="B396" s="169">
        <v>358.02</v>
      </c>
      <c r="C396" s="169">
        <v>361.26</v>
      </c>
      <c r="D396" s="169">
        <v>368.78</v>
      </c>
      <c r="E396" s="169">
        <v>351.23</v>
      </c>
      <c r="F396" s="169"/>
      <c r="G396" s="169">
        <v>-8.8999999999999999E-3</v>
      </c>
      <c r="H396" s="53">
        <f t="shared" si="6"/>
        <v>0.12591986917416187</v>
      </c>
      <c r="I396" s="292"/>
      <c r="J396" s="52">
        <v>39439</v>
      </c>
      <c r="K396" s="57">
        <v>1478.49</v>
      </c>
      <c r="L396" s="57">
        <v>1484.55</v>
      </c>
      <c r="M396" s="57">
        <v>1498.85</v>
      </c>
      <c r="N396" s="57">
        <v>1471.7</v>
      </c>
      <c r="O396" s="51" t="s">
        <v>445</v>
      </c>
      <c r="P396" s="58">
        <v>-4.0000000000000001E-3</v>
      </c>
    </row>
    <row r="397" spans="1:16" x14ac:dyDescent="0.2">
      <c r="A397" s="56">
        <v>32994</v>
      </c>
      <c r="B397" s="169">
        <v>361.23</v>
      </c>
      <c r="C397" s="169">
        <v>330.8</v>
      </c>
      <c r="D397" s="169">
        <v>362.26</v>
      </c>
      <c r="E397" s="169">
        <v>330.8</v>
      </c>
      <c r="F397" s="169"/>
      <c r="G397" s="169">
        <v>9.1999999999999998E-2</v>
      </c>
      <c r="H397" s="53">
        <f t="shared" si="6"/>
        <v>0.1270123549232498</v>
      </c>
      <c r="I397" s="292"/>
      <c r="J397" s="52">
        <v>39446</v>
      </c>
      <c r="K397" s="57">
        <v>1411.63</v>
      </c>
      <c r="L397" s="57">
        <v>1475.25</v>
      </c>
      <c r="M397" s="57">
        <v>1475.83</v>
      </c>
      <c r="N397" s="57">
        <v>1411.19</v>
      </c>
      <c r="O397" s="51" t="s">
        <v>446</v>
      </c>
      <c r="P397" s="58">
        <v>-4.5199999999999997E-2</v>
      </c>
    </row>
    <row r="398" spans="1:16" x14ac:dyDescent="0.2">
      <c r="A398" s="56">
        <v>32964</v>
      </c>
      <c r="B398" s="169">
        <v>330.8</v>
      </c>
      <c r="C398" s="169">
        <v>339.94</v>
      </c>
      <c r="D398" s="169">
        <v>347.3</v>
      </c>
      <c r="E398" s="169">
        <v>327.76</v>
      </c>
      <c r="F398" s="169"/>
      <c r="G398" s="169">
        <v>-2.69E-2</v>
      </c>
      <c r="H398" s="53">
        <f t="shared" si="6"/>
        <v>6.8337424105412881E-2</v>
      </c>
      <c r="I398" s="292"/>
      <c r="J398" s="52">
        <v>39453</v>
      </c>
      <c r="K398" s="57">
        <v>1401.02</v>
      </c>
      <c r="L398" s="57">
        <v>1414.07</v>
      </c>
      <c r="M398" s="57">
        <v>1430.28</v>
      </c>
      <c r="N398" s="57">
        <v>1378.7</v>
      </c>
      <c r="O398" s="51" t="s">
        <v>447</v>
      </c>
      <c r="P398" s="58">
        <v>-7.4999999999999997E-3</v>
      </c>
    </row>
    <row r="399" spans="1:16" x14ac:dyDescent="0.2">
      <c r="A399" s="56">
        <v>32933</v>
      </c>
      <c r="B399" s="169">
        <v>339.94</v>
      </c>
      <c r="C399" s="169">
        <v>331.89</v>
      </c>
      <c r="D399" s="169">
        <v>344.49</v>
      </c>
      <c r="E399" s="169">
        <v>331.08</v>
      </c>
      <c r="F399" s="169"/>
      <c r="G399" s="169">
        <v>2.4299999999999999E-2</v>
      </c>
      <c r="H399" s="53">
        <f t="shared" si="6"/>
        <v>0.15284701732967076</v>
      </c>
      <c r="I399" s="292"/>
      <c r="J399" s="52">
        <v>39460</v>
      </c>
      <c r="K399" s="57">
        <v>1325.19</v>
      </c>
      <c r="L399" s="57">
        <v>1402.91</v>
      </c>
      <c r="M399" s="57">
        <v>1417.89</v>
      </c>
      <c r="N399" s="57">
        <v>1312.51</v>
      </c>
      <c r="O399" s="51" t="s">
        <v>448</v>
      </c>
      <c r="P399" s="58">
        <v>-5.4100000000000002E-2</v>
      </c>
    </row>
    <row r="400" spans="1:16" x14ac:dyDescent="0.2">
      <c r="A400" s="56">
        <v>32905</v>
      </c>
      <c r="B400" s="169">
        <v>331.89</v>
      </c>
      <c r="C400" s="169">
        <v>329.08</v>
      </c>
      <c r="D400" s="169">
        <v>336.09</v>
      </c>
      <c r="E400" s="169">
        <v>322.10000000000002</v>
      </c>
      <c r="F400" s="169"/>
      <c r="G400" s="169">
        <v>8.5000000000000006E-3</v>
      </c>
      <c r="H400" s="53">
        <f t="shared" si="6"/>
        <v>0.14896489648964883</v>
      </c>
      <c r="I400" s="292"/>
      <c r="J400" s="52">
        <v>39467</v>
      </c>
      <c r="K400" s="57">
        <v>1330.61</v>
      </c>
      <c r="L400" s="57">
        <v>1312.94</v>
      </c>
      <c r="M400" s="57">
        <v>1368.56</v>
      </c>
      <c r="N400" s="57">
        <v>1270.05</v>
      </c>
      <c r="O400" s="51" t="s">
        <v>449</v>
      </c>
      <c r="P400" s="58">
        <v>4.1000000000000003E-3</v>
      </c>
    </row>
    <row r="401" spans="1:16" x14ac:dyDescent="0.2">
      <c r="A401" s="56">
        <v>32874</v>
      </c>
      <c r="B401" s="169">
        <v>329.08</v>
      </c>
      <c r="C401" s="169">
        <v>353.4</v>
      </c>
      <c r="D401" s="169">
        <v>360.59</v>
      </c>
      <c r="E401" s="169">
        <v>319.83</v>
      </c>
      <c r="F401" s="169"/>
      <c r="G401" s="169">
        <v>-6.88E-2</v>
      </c>
      <c r="H401" s="53">
        <f t="shared" si="6"/>
        <v>0.10626281641846225</v>
      </c>
      <c r="I401" s="292"/>
      <c r="J401" s="52">
        <v>39474</v>
      </c>
      <c r="K401" s="57">
        <v>1395.42</v>
      </c>
      <c r="L401" s="57">
        <v>1330.7</v>
      </c>
      <c r="M401" s="57">
        <v>1396.02</v>
      </c>
      <c r="N401" s="57">
        <v>1322.26</v>
      </c>
      <c r="O401" s="51" t="s">
        <v>450</v>
      </c>
      <c r="P401" s="58">
        <v>4.87E-2</v>
      </c>
    </row>
    <row r="402" spans="1:16" x14ac:dyDescent="0.2">
      <c r="A402" s="56">
        <v>32843</v>
      </c>
      <c r="B402" s="169">
        <v>353.4</v>
      </c>
      <c r="C402" s="169">
        <v>346.01</v>
      </c>
      <c r="D402" s="169">
        <v>354.1</v>
      </c>
      <c r="E402" s="169">
        <v>339.63</v>
      </c>
      <c r="F402" s="169"/>
      <c r="G402" s="169">
        <v>2.1399999999999999E-2</v>
      </c>
      <c r="H402" s="53">
        <f t="shared" ref="H402:H465" si="7">B402/B414-1</f>
        <v>0.27250468097364222</v>
      </c>
      <c r="I402" s="292"/>
      <c r="J402" s="52">
        <v>39481</v>
      </c>
      <c r="K402" s="57">
        <v>1331.29</v>
      </c>
      <c r="L402" s="57">
        <v>1395.38</v>
      </c>
      <c r="M402" s="57">
        <v>1395.38</v>
      </c>
      <c r="N402" s="57">
        <v>1316.75</v>
      </c>
      <c r="O402" s="51" t="s">
        <v>451</v>
      </c>
      <c r="P402" s="58">
        <v>-4.5999999999999999E-2</v>
      </c>
    </row>
    <row r="403" spans="1:16" x14ac:dyDescent="0.2">
      <c r="A403" s="56">
        <v>32813</v>
      </c>
      <c r="B403" s="169">
        <v>345.99</v>
      </c>
      <c r="C403" s="169">
        <v>340.36</v>
      </c>
      <c r="D403" s="169">
        <v>346.5</v>
      </c>
      <c r="E403" s="169">
        <v>330.91</v>
      </c>
      <c r="F403" s="169"/>
      <c r="G403" s="169">
        <v>1.6500000000000001E-2</v>
      </c>
      <c r="H403" s="53">
        <f t="shared" si="7"/>
        <v>0.26412130069419071</v>
      </c>
      <c r="I403" s="292"/>
      <c r="J403" s="52">
        <v>39488</v>
      </c>
      <c r="K403" s="57">
        <v>1349.99</v>
      </c>
      <c r="L403" s="57">
        <v>1331.92</v>
      </c>
      <c r="M403" s="57">
        <v>1369.23</v>
      </c>
      <c r="N403" s="57">
        <v>1320.32</v>
      </c>
      <c r="O403" s="51" t="s">
        <v>452</v>
      </c>
      <c r="P403" s="58">
        <v>1.4E-2</v>
      </c>
    </row>
    <row r="404" spans="1:16" x14ac:dyDescent="0.2">
      <c r="A404" s="56">
        <v>32782</v>
      </c>
      <c r="B404" s="169">
        <v>340.36</v>
      </c>
      <c r="C404" s="169">
        <v>349.15</v>
      </c>
      <c r="D404" s="169">
        <v>360.44</v>
      </c>
      <c r="E404" s="169">
        <v>327.12</v>
      </c>
      <c r="F404" s="169"/>
      <c r="G404" s="169">
        <v>-2.52E-2</v>
      </c>
      <c r="H404" s="53">
        <f t="shared" si="7"/>
        <v>0.22005950460622992</v>
      </c>
      <c r="I404" s="292"/>
      <c r="J404" s="52">
        <v>39495</v>
      </c>
      <c r="K404" s="57">
        <v>1353.11</v>
      </c>
      <c r="L404" s="57">
        <v>1355.86</v>
      </c>
      <c r="M404" s="57">
        <v>1367.94</v>
      </c>
      <c r="N404" s="57">
        <v>1327.04</v>
      </c>
      <c r="O404" s="51" t="s">
        <v>453</v>
      </c>
      <c r="P404" s="58">
        <v>2.3E-3</v>
      </c>
    </row>
    <row r="405" spans="1:16" x14ac:dyDescent="0.2">
      <c r="A405" s="56">
        <v>32752</v>
      </c>
      <c r="B405" s="169">
        <v>349.15</v>
      </c>
      <c r="C405" s="169">
        <v>351.45</v>
      </c>
      <c r="D405" s="169">
        <v>354.13</v>
      </c>
      <c r="E405" s="169">
        <v>341.37</v>
      </c>
      <c r="F405" s="169"/>
      <c r="G405" s="169">
        <v>-6.4999999999999997E-3</v>
      </c>
      <c r="H405" s="53">
        <f t="shared" si="7"/>
        <v>0.284064580191975</v>
      </c>
      <c r="I405" s="292"/>
      <c r="J405" s="52">
        <v>39502</v>
      </c>
      <c r="K405" s="57">
        <v>1330.63</v>
      </c>
      <c r="L405" s="57">
        <v>1352.75</v>
      </c>
      <c r="M405" s="57">
        <v>1388.34</v>
      </c>
      <c r="N405" s="57">
        <v>1325.42</v>
      </c>
      <c r="O405" s="51" t="s">
        <v>454</v>
      </c>
      <c r="P405" s="58">
        <v>-1.66E-2</v>
      </c>
    </row>
    <row r="406" spans="1:16" x14ac:dyDescent="0.2">
      <c r="A406" s="56">
        <v>32721</v>
      </c>
      <c r="B406" s="169">
        <v>351.45</v>
      </c>
      <c r="C406" s="169">
        <v>346.08</v>
      </c>
      <c r="D406" s="169">
        <v>352.73</v>
      </c>
      <c r="E406" s="169">
        <v>339</v>
      </c>
      <c r="F406" s="169"/>
      <c r="G406" s="169">
        <v>1.55E-2</v>
      </c>
      <c r="H406" s="53">
        <f t="shared" si="7"/>
        <v>0.34387427347812793</v>
      </c>
      <c r="I406" s="292"/>
      <c r="J406" s="52">
        <v>39509</v>
      </c>
      <c r="K406" s="57">
        <v>1293.3699999999999</v>
      </c>
      <c r="L406" s="57">
        <v>1330.45</v>
      </c>
      <c r="M406" s="57">
        <v>1344.19</v>
      </c>
      <c r="N406" s="57">
        <v>1282.43</v>
      </c>
      <c r="O406" s="51" t="s">
        <v>455</v>
      </c>
      <c r="P406" s="58">
        <v>-2.8000000000000001E-2</v>
      </c>
    </row>
    <row r="407" spans="1:16" x14ac:dyDescent="0.2">
      <c r="A407" s="56">
        <v>32690</v>
      </c>
      <c r="B407" s="169">
        <v>346.08</v>
      </c>
      <c r="C407" s="169">
        <v>317.98</v>
      </c>
      <c r="D407" s="169">
        <v>346.08</v>
      </c>
      <c r="E407" s="169">
        <v>317.26</v>
      </c>
      <c r="F407" s="169"/>
      <c r="G407" s="169">
        <v>8.8400000000000006E-2</v>
      </c>
      <c r="H407" s="53">
        <f t="shared" si="7"/>
        <v>0.27225939269171384</v>
      </c>
      <c r="I407" s="292"/>
      <c r="J407" s="52">
        <v>39516</v>
      </c>
      <c r="K407" s="57">
        <v>1288.1400000000001</v>
      </c>
      <c r="L407" s="57">
        <v>1293.1600000000001</v>
      </c>
      <c r="M407" s="57">
        <v>1333.26</v>
      </c>
      <c r="N407" s="57">
        <v>1272.6600000000001</v>
      </c>
      <c r="O407" s="51" t="s">
        <v>456</v>
      </c>
      <c r="P407" s="58">
        <v>-4.0000000000000001E-3</v>
      </c>
    </row>
    <row r="408" spans="1:16" x14ac:dyDescent="0.2">
      <c r="A408" s="56">
        <v>32660</v>
      </c>
      <c r="B408" s="169">
        <v>317.98</v>
      </c>
      <c r="C408" s="169">
        <v>320.51</v>
      </c>
      <c r="D408" s="169">
        <v>329.19</v>
      </c>
      <c r="E408" s="169">
        <v>314.38</v>
      </c>
      <c r="F408" s="169"/>
      <c r="G408" s="169">
        <v>-7.9000000000000008E-3</v>
      </c>
      <c r="H408" s="53">
        <f t="shared" si="7"/>
        <v>0.16263254113345527</v>
      </c>
      <c r="I408" s="292"/>
      <c r="J408" s="52">
        <v>39523</v>
      </c>
      <c r="K408" s="57">
        <v>1329.51</v>
      </c>
      <c r="L408" s="57">
        <v>1283.21</v>
      </c>
      <c r="M408" s="57">
        <v>1341.51</v>
      </c>
      <c r="N408" s="57">
        <v>1256.98</v>
      </c>
      <c r="O408" s="51" t="s">
        <v>457</v>
      </c>
      <c r="P408" s="58">
        <v>3.2099999999999997E-2</v>
      </c>
    </row>
    <row r="409" spans="1:16" x14ac:dyDescent="0.2">
      <c r="A409" s="56">
        <v>32629</v>
      </c>
      <c r="B409" s="169">
        <v>320.52</v>
      </c>
      <c r="C409" s="169">
        <v>309.64</v>
      </c>
      <c r="D409" s="169">
        <v>323.06</v>
      </c>
      <c r="E409" s="169">
        <v>304.06</v>
      </c>
      <c r="F409" s="169"/>
      <c r="G409" s="169">
        <v>3.5099999999999999E-2</v>
      </c>
      <c r="H409" s="53">
        <f t="shared" si="7"/>
        <v>0.22261214525480599</v>
      </c>
      <c r="I409" s="292"/>
      <c r="J409" s="52">
        <v>39530</v>
      </c>
      <c r="K409" s="57">
        <v>1315.22</v>
      </c>
      <c r="L409" s="57">
        <v>1330.29</v>
      </c>
      <c r="M409" s="57">
        <v>1359.68</v>
      </c>
      <c r="N409" s="57">
        <v>1312.95</v>
      </c>
      <c r="O409" s="51" t="s">
        <v>458</v>
      </c>
      <c r="P409" s="58">
        <v>-1.0699999999999999E-2</v>
      </c>
    </row>
    <row r="410" spans="1:16" x14ac:dyDescent="0.2">
      <c r="A410" s="56">
        <v>32599</v>
      </c>
      <c r="B410" s="169">
        <v>309.64</v>
      </c>
      <c r="C410" s="169">
        <v>294.87</v>
      </c>
      <c r="D410" s="169">
        <v>310.45</v>
      </c>
      <c r="E410" s="169">
        <v>294.35000000000002</v>
      </c>
      <c r="F410" s="169"/>
      <c r="G410" s="169">
        <v>5.0099999999999999E-2</v>
      </c>
      <c r="H410" s="53">
        <f t="shared" si="7"/>
        <v>0.18486205181188531</v>
      </c>
      <c r="I410" s="292"/>
      <c r="J410" s="52">
        <v>39537</v>
      </c>
      <c r="K410" s="57">
        <v>1370.4</v>
      </c>
      <c r="L410" s="57">
        <v>1315.92</v>
      </c>
      <c r="M410" s="57">
        <v>1380.91</v>
      </c>
      <c r="N410" s="57">
        <v>1312.81</v>
      </c>
      <c r="O410" s="51" t="s">
        <v>459</v>
      </c>
      <c r="P410" s="58">
        <v>4.2000000000000003E-2</v>
      </c>
    </row>
    <row r="411" spans="1:16" x14ac:dyDescent="0.2">
      <c r="A411" s="56">
        <v>32568</v>
      </c>
      <c r="B411" s="169">
        <v>294.87</v>
      </c>
      <c r="C411" s="169">
        <v>288.86</v>
      </c>
      <c r="D411" s="169">
        <v>299.99</v>
      </c>
      <c r="E411" s="169">
        <v>286.45999999999998</v>
      </c>
      <c r="F411" s="169"/>
      <c r="G411" s="169">
        <v>2.0799999999999999E-2</v>
      </c>
      <c r="H411" s="53">
        <f t="shared" si="7"/>
        <v>0.13897794430066823</v>
      </c>
      <c r="I411" s="292"/>
      <c r="J411" s="52">
        <v>39544</v>
      </c>
      <c r="K411" s="57">
        <v>1332.83</v>
      </c>
      <c r="L411" s="57">
        <v>1373.69</v>
      </c>
      <c r="M411" s="57">
        <v>1386.74</v>
      </c>
      <c r="N411" s="57">
        <v>1331.21</v>
      </c>
      <c r="O411" s="51" t="s">
        <v>460</v>
      </c>
      <c r="P411" s="58">
        <v>-2.7400000000000001E-2</v>
      </c>
    </row>
    <row r="412" spans="1:16" x14ac:dyDescent="0.2">
      <c r="A412" s="56">
        <v>32540</v>
      </c>
      <c r="B412" s="169">
        <v>288.86</v>
      </c>
      <c r="C412" s="169">
        <v>297.47000000000003</v>
      </c>
      <c r="D412" s="169">
        <v>300.57</v>
      </c>
      <c r="E412" s="169">
        <v>286.26</v>
      </c>
      <c r="F412" s="169"/>
      <c r="G412" s="169">
        <v>-2.8899999999999999E-2</v>
      </c>
      <c r="H412" s="53">
        <f t="shared" si="7"/>
        <v>7.8560227018146689E-2</v>
      </c>
      <c r="I412" s="292"/>
      <c r="J412" s="52">
        <v>39551</v>
      </c>
      <c r="K412" s="57">
        <v>1390.33</v>
      </c>
      <c r="L412" s="57">
        <v>1332.2</v>
      </c>
      <c r="M412" s="57">
        <v>1395.9</v>
      </c>
      <c r="N412" s="57">
        <v>1324.35</v>
      </c>
      <c r="O412" s="51" t="s">
        <v>461</v>
      </c>
      <c r="P412" s="58">
        <v>4.3099999999999999E-2</v>
      </c>
    </row>
    <row r="413" spans="1:16" x14ac:dyDescent="0.2">
      <c r="A413" s="56">
        <v>32509</v>
      </c>
      <c r="B413" s="169">
        <v>297.47000000000003</v>
      </c>
      <c r="C413" s="169">
        <v>277.72000000000003</v>
      </c>
      <c r="D413" s="169">
        <v>297.51</v>
      </c>
      <c r="E413" s="169">
        <v>273.81</v>
      </c>
      <c r="F413" s="169"/>
      <c r="G413" s="169">
        <v>7.1099999999999997E-2</v>
      </c>
      <c r="H413" s="53">
        <f t="shared" si="7"/>
        <v>0.15715563854203141</v>
      </c>
      <c r="I413" s="292"/>
      <c r="J413" s="52">
        <v>39558</v>
      </c>
      <c r="K413" s="57">
        <v>1397.84</v>
      </c>
      <c r="L413" s="57">
        <v>1387.72</v>
      </c>
      <c r="M413" s="57">
        <v>1399.11</v>
      </c>
      <c r="N413" s="57">
        <v>1369.84</v>
      </c>
      <c r="O413" s="51" t="s">
        <v>462</v>
      </c>
      <c r="P413" s="58">
        <v>5.4000000000000003E-3</v>
      </c>
    </row>
    <row r="414" spans="1:16" x14ac:dyDescent="0.2">
      <c r="A414" s="56">
        <v>32478</v>
      </c>
      <c r="B414" s="169">
        <v>277.72000000000003</v>
      </c>
      <c r="C414" s="169">
        <v>273.68</v>
      </c>
      <c r="D414" s="169">
        <v>280.45</v>
      </c>
      <c r="E414" s="169">
        <v>270.47000000000003</v>
      </c>
      <c r="F414" s="169"/>
      <c r="G414" s="169">
        <v>1.47E-2</v>
      </c>
      <c r="H414" s="53">
        <f t="shared" si="7"/>
        <v>0.12400841832604836</v>
      </c>
      <c r="I414" s="292"/>
      <c r="J414" s="52">
        <v>39565</v>
      </c>
      <c r="K414" s="57">
        <v>1413.9</v>
      </c>
      <c r="L414" s="57">
        <v>1397.96</v>
      </c>
      <c r="M414" s="57">
        <v>1422.72</v>
      </c>
      <c r="N414" s="57">
        <v>1383.07</v>
      </c>
      <c r="O414" s="51" t="s">
        <v>463</v>
      </c>
      <c r="P414" s="58">
        <v>1.15E-2</v>
      </c>
    </row>
    <row r="415" spans="1:16" x14ac:dyDescent="0.2">
      <c r="A415" s="56">
        <v>32448</v>
      </c>
      <c r="B415" s="169">
        <v>273.7</v>
      </c>
      <c r="C415" s="169">
        <v>278.97000000000003</v>
      </c>
      <c r="D415" s="169">
        <v>280.37</v>
      </c>
      <c r="E415" s="169">
        <v>262.85000000000002</v>
      </c>
      <c r="F415" s="169"/>
      <c r="G415" s="169">
        <v>-1.89E-2</v>
      </c>
      <c r="H415" s="53">
        <f t="shared" si="7"/>
        <v>0.18844984802431597</v>
      </c>
      <c r="I415" s="292"/>
      <c r="J415" s="52">
        <v>39572</v>
      </c>
      <c r="K415" s="57">
        <v>1388.28</v>
      </c>
      <c r="L415" s="57">
        <v>1415.34</v>
      </c>
      <c r="M415" s="57">
        <v>1421.57</v>
      </c>
      <c r="N415" s="57">
        <v>1384.11</v>
      </c>
      <c r="O415" s="51" t="s">
        <v>464</v>
      </c>
      <c r="P415" s="58">
        <v>-1.8100000000000002E-2</v>
      </c>
    </row>
    <row r="416" spans="1:16" x14ac:dyDescent="0.2">
      <c r="A416" s="56">
        <v>32417</v>
      </c>
      <c r="B416" s="169">
        <v>278.97000000000003</v>
      </c>
      <c r="C416" s="169">
        <v>271.89</v>
      </c>
      <c r="D416" s="169">
        <v>283.95</v>
      </c>
      <c r="E416" s="169">
        <v>268.83999999999997</v>
      </c>
      <c r="F416" s="169"/>
      <c r="G416" s="169">
        <v>2.5999999999999999E-2</v>
      </c>
      <c r="H416" s="53">
        <f t="shared" si="7"/>
        <v>0.10794709877278708</v>
      </c>
      <c r="I416" s="292"/>
      <c r="J416" s="52">
        <v>39579</v>
      </c>
      <c r="K416" s="57">
        <v>1425.35</v>
      </c>
      <c r="L416" s="57">
        <v>1389.4</v>
      </c>
      <c r="M416" s="57">
        <v>1425.82</v>
      </c>
      <c r="N416" s="57">
        <v>1386.2</v>
      </c>
      <c r="O416" s="51" t="s">
        <v>465</v>
      </c>
      <c r="P416" s="58">
        <v>2.6700000000000002E-2</v>
      </c>
    </row>
    <row r="417" spans="1:16" x14ac:dyDescent="0.2">
      <c r="A417" s="56">
        <v>32387</v>
      </c>
      <c r="B417" s="169">
        <v>271.91000000000003</v>
      </c>
      <c r="C417" s="169">
        <v>261.52</v>
      </c>
      <c r="D417" s="169">
        <v>274.87</v>
      </c>
      <c r="E417" s="169">
        <v>256.98</v>
      </c>
      <c r="F417" s="169"/>
      <c r="G417" s="169">
        <v>3.9699999999999999E-2</v>
      </c>
      <c r="H417" s="53">
        <f t="shared" si="7"/>
        <v>-0.15511294782959939</v>
      </c>
      <c r="I417" s="292"/>
      <c r="J417" s="52">
        <v>39586</v>
      </c>
      <c r="K417" s="57">
        <v>1375.93</v>
      </c>
      <c r="L417" s="57">
        <v>1425.28</v>
      </c>
      <c r="M417" s="57">
        <v>1440.24</v>
      </c>
      <c r="N417" s="57">
        <v>1373.72</v>
      </c>
      <c r="O417" s="51" t="s">
        <v>466</v>
      </c>
      <c r="P417" s="58">
        <v>-3.4700000000000002E-2</v>
      </c>
    </row>
    <row r="418" spans="1:16" x14ac:dyDescent="0.2">
      <c r="A418" s="56">
        <v>32356</v>
      </c>
      <c r="B418" s="169">
        <v>261.52</v>
      </c>
      <c r="C418" s="169">
        <v>272.02999999999997</v>
      </c>
      <c r="D418" s="169">
        <v>274.2</v>
      </c>
      <c r="E418" s="169">
        <v>256.52999999999997</v>
      </c>
      <c r="F418" s="169"/>
      <c r="G418" s="169">
        <v>-3.8600000000000002E-2</v>
      </c>
      <c r="H418" s="53">
        <f t="shared" si="7"/>
        <v>-0.20703456640388118</v>
      </c>
      <c r="I418" s="292"/>
      <c r="J418" s="52">
        <v>39593</v>
      </c>
      <c r="K418" s="57">
        <v>1400.38</v>
      </c>
      <c r="L418" s="57">
        <v>1375.97</v>
      </c>
      <c r="M418" s="57">
        <v>1406.32</v>
      </c>
      <c r="N418" s="57">
        <v>1373.07</v>
      </c>
      <c r="O418" s="51" t="s">
        <v>467</v>
      </c>
      <c r="P418" s="58">
        <v>1.78E-2</v>
      </c>
    </row>
    <row r="419" spans="1:16" x14ac:dyDescent="0.2">
      <c r="A419" s="56">
        <v>32325</v>
      </c>
      <c r="B419" s="169">
        <v>272.02</v>
      </c>
      <c r="C419" s="169">
        <v>273.5</v>
      </c>
      <c r="D419" s="169">
        <v>276.36</v>
      </c>
      <c r="E419" s="169">
        <v>262.48</v>
      </c>
      <c r="F419" s="169"/>
      <c r="G419" s="169">
        <v>-5.4000000000000003E-3</v>
      </c>
      <c r="H419" s="53">
        <f t="shared" si="7"/>
        <v>-0.14636289462122654</v>
      </c>
      <c r="I419" s="292"/>
      <c r="J419" s="52">
        <v>39600</v>
      </c>
      <c r="K419" s="57">
        <v>1360.68</v>
      </c>
      <c r="L419" s="57">
        <v>1399.62</v>
      </c>
      <c r="M419" s="57">
        <v>1404.05</v>
      </c>
      <c r="N419" s="57">
        <v>1359.9</v>
      </c>
      <c r="O419" s="51" t="s">
        <v>468</v>
      </c>
      <c r="P419" s="58">
        <v>-2.8299999999999999E-2</v>
      </c>
    </row>
    <row r="420" spans="1:16" x14ac:dyDescent="0.2">
      <c r="A420" s="56">
        <v>32295</v>
      </c>
      <c r="B420" s="169">
        <v>273.5</v>
      </c>
      <c r="C420" s="169">
        <v>262.16000000000003</v>
      </c>
      <c r="D420" s="169">
        <v>276.88</v>
      </c>
      <c r="E420" s="169">
        <v>262.10000000000002</v>
      </c>
      <c r="F420" s="169"/>
      <c r="G420" s="169">
        <v>4.3299999999999998E-2</v>
      </c>
      <c r="H420" s="53">
        <f t="shared" si="7"/>
        <v>-0.10032894736842102</v>
      </c>
      <c r="I420" s="292"/>
      <c r="J420" s="52">
        <v>39607</v>
      </c>
      <c r="K420" s="57">
        <v>1360.03</v>
      </c>
      <c r="L420" s="57">
        <v>1360.83</v>
      </c>
      <c r="M420" s="57">
        <v>1370.63</v>
      </c>
      <c r="N420" s="57">
        <v>1331.29</v>
      </c>
      <c r="O420" s="51" t="s">
        <v>469</v>
      </c>
      <c r="P420" s="58">
        <v>-5.0000000000000001E-4</v>
      </c>
    </row>
    <row r="421" spans="1:16" x14ac:dyDescent="0.2">
      <c r="A421" s="56">
        <v>32264</v>
      </c>
      <c r="B421" s="169">
        <v>262.16000000000003</v>
      </c>
      <c r="C421" s="169">
        <v>261.36</v>
      </c>
      <c r="D421" s="169">
        <v>263.7</v>
      </c>
      <c r="E421" s="169">
        <v>248.85</v>
      </c>
      <c r="F421" s="169"/>
      <c r="G421" s="169">
        <v>3.2000000000000002E-3</v>
      </c>
      <c r="H421" s="53">
        <f t="shared" si="7"/>
        <v>-9.631161668390209E-2</v>
      </c>
      <c r="I421" s="292"/>
      <c r="J421" s="52">
        <v>39614</v>
      </c>
      <c r="K421" s="57">
        <v>1317.93</v>
      </c>
      <c r="L421" s="57">
        <v>1358.85</v>
      </c>
      <c r="M421" s="57">
        <v>1366.59</v>
      </c>
      <c r="N421" s="57">
        <v>1314.46</v>
      </c>
      <c r="O421" s="51" t="s">
        <v>470</v>
      </c>
      <c r="P421" s="58">
        <v>-3.1E-2</v>
      </c>
    </row>
    <row r="422" spans="1:16" x14ac:dyDescent="0.2">
      <c r="A422" s="56">
        <v>32234</v>
      </c>
      <c r="B422" s="169">
        <v>261.33</v>
      </c>
      <c r="C422" s="169">
        <v>258.89</v>
      </c>
      <c r="D422" s="169">
        <v>272.05</v>
      </c>
      <c r="E422" s="169">
        <v>254.71</v>
      </c>
      <c r="F422" s="169"/>
      <c r="G422" s="169">
        <v>9.4000000000000004E-3</v>
      </c>
      <c r="H422" s="53">
        <f t="shared" si="7"/>
        <v>-9.373699542238878E-2</v>
      </c>
      <c r="I422" s="292"/>
      <c r="J422" s="52">
        <v>39621</v>
      </c>
      <c r="K422" s="57">
        <v>1278.3800000000001</v>
      </c>
      <c r="L422" s="57">
        <v>1319.77</v>
      </c>
      <c r="M422" s="57">
        <v>1335.63</v>
      </c>
      <c r="N422" s="57">
        <v>1272</v>
      </c>
      <c r="O422" s="51" t="s">
        <v>471</v>
      </c>
      <c r="P422" s="58">
        <v>-0.03</v>
      </c>
    </row>
    <row r="423" spans="1:16" x14ac:dyDescent="0.2">
      <c r="A423" s="56">
        <v>32203</v>
      </c>
      <c r="B423" s="169">
        <v>258.89</v>
      </c>
      <c r="C423" s="169">
        <v>267.82</v>
      </c>
      <c r="D423" s="169">
        <v>272.64</v>
      </c>
      <c r="E423" s="169">
        <v>256.07</v>
      </c>
      <c r="F423" s="169"/>
      <c r="G423" s="169">
        <v>-3.3300000000000003E-2</v>
      </c>
      <c r="H423" s="53">
        <f t="shared" si="7"/>
        <v>-0.11247857387727123</v>
      </c>
      <c r="I423" s="292"/>
      <c r="J423" s="52">
        <v>39628</v>
      </c>
      <c r="K423" s="57">
        <v>1262.9000000000001</v>
      </c>
      <c r="L423" s="57">
        <v>1278.06</v>
      </c>
      <c r="M423" s="57">
        <v>1292.17</v>
      </c>
      <c r="N423" s="57">
        <v>1252.01</v>
      </c>
      <c r="O423" s="51" t="s">
        <v>472</v>
      </c>
      <c r="P423" s="58">
        <v>-1.21E-2</v>
      </c>
    </row>
    <row r="424" spans="1:16" x14ac:dyDescent="0.2">
      <c r="A424" s="56">
        <v>32174</v>
      </c>
      <c r="B424" s="169">
        <v>267.82</v>
      </c>
      <c r="C424" s="169">
        <v>257.05</v>
      </c>
      <c r="D424" s="169">
        <v>267.82</v>
      </c>
      <c r="E424" s="169">
        <v>247.82</v>
      </c>
      <c r="F424" s="169"/>
      <c r="G424" s="169">
        <v>4.1799999999999997E-2</v>
      </c>
      <c r="H424" s="53">
        <f t="shared" si="7"/>
        <v>-5.7635467980295507E-2</v>
      </c>
      <c r="I424" s="292"/>
      <c r="J424" s="52">
        <v>39635</v>
      </c>
      <c r="K424" s="57">
        <v>1239.49</v>
      </c>
      <c r="L424" s="57">
        <v>1262.9000000000001</v>
      </c>
      <c r="M424" s="57">
        <v>1277.3599999999999</v>
      </c>
      <c r="N424" s="57">
        <v>1225.3499999999999</v>
      </c>
      <c r="O424" s="51" t="s">
        <v>473</v>
      </c>
      <c r="P424" s="58">
        <v>-1.8499999999999999E-2</v>
      </c>
    </row>
    <row r="425" spans="1:16" x14ac:dyDescent="0.2">
      <c r="A425" s="56">
        <v>32143</v>
      </c>
      <c r="B425" s="169">
        <v>257.07</v>
      </c>
      <c r="C425" s="169">
        <v>247.1</v>
      </c>
      <c r="D425" s="169">
        <v>261.77999999999997</v>
      </c>
      <c r="E425" s="169">
        <v>240.17</v>
      </c>
      <c r="F425" s="169"/>
      <c r="G425" s="169">
        <v>4.0399999999999998E-2</v>
      </c>
      <c r="H425" s="53">
        <f t="shared" si="7"/>
        <v>-6.2062171628721519E-2</v>
      </c>
      <c r="I425" s="292"/>
      <c r="J425" s="52">
        <v>39642</v>
      </c>
      <c r="K425" s="57">
        <v>1260.68</v>
      </c>
      <c r="L425" s="57">
        <v>1241.6099999999999</v>
      </c>
      <c r="M425" s="57">
        <v>1262.31</v>
      </c>
      <c r="N425" s="57">
        <v>1200.44</v>
      </c>
      <c r="O425" s="51" t="s">
        <v>474</v>
      </c>
      <c r="P425" s="58">
        <v>1.7100000000000001E-2</v>
      </c>
    </row>
    <row r="426" spans="1:16" x14ac:dyDescent="0.2">
      <c r="A426" s="56">
        <v>32112</v>
      </c>
      <c r="B426" s="169">
        <v>247.08</v>
      </c>
      <c r="C426" s="169">
        <v>230.32</v>
      </c>
      <c r="D426" s="169">
        <v>253.35</v>
      </c>
      <c r="E426" s="169">
        <v>221.24</v>
      </c>
      <c r="F426" s="169"/>
      <c r="G426" s="169">
        <v>7.2900000000000006E-2</v>
      </c>
      <c r="H426" s="53">
        <f t="shared" si="7"/>
        <v>2.0275013420324672E-2</v>
      </c>
      <c r="I426" s="292"/>
      <c r="J426" s="52">
        <v>39649</v>
      </c>
      <c r="K426" s="57">
        <v>1257.76</v>
      </c>
      <c r="L426" s="57">
        <v>1261.82</v>
      </c>
      <c r="M426" s="57">
        <v>1291.17</v>
      </c>
      <c r="N426" s="57">
        <v>1248.83</v>
      </c>
      <c r="O426" s="51" t="s">
        <v>475</v>
      </c>
      <c r="P426" s="58">
        <v>-2.3E-3</v>
      </c>
    </row>
    <row r="427" spans="1:16" x14ac:dyDescent="0.2">
      <c r="A427" s="56">
        <v>32082</v>
      </c>
      <c r="B427" s="169">
        <v>230.3</v>
      </c>
      <c r="C427" s="169">
        <v>251.73</v>
      </c>
      <c r="D427" s="169">
        <v>257.20999999999998</v>
      </c>
      <c r="E427" s="169">
        <v>225.75</v>
      </c>
      <c r="F427" s="169"/>
      <c r="G427" s="169">
        <v>-8.5300000000000001E-2</v>
      </c>
      <c r="H427" s="53">
        <f t="shared" si="7"/>
        <v>-7.5916860605087844E-2</v>
      </c>
      <c r="I427" s="292"/>
      <c r="J427" s="52">
        <v>39656</v>
      </c>
      <c r="K427" s="57">
        <v>1260.31</v>
      </c>
      <c r="L427" s="57">
        <v>1257.76</v>
      </c>
      <c r="M427" s="57">
        <v>1284.93</v>
      </c>
      <c r="N427" s="57">
        <v>1234.3699999999999</v>
      </c>
      <c r="O427" s="51" t="s">
        <v>476</v>
      </c>
      <c r="P427" s="58">
        <v>2E-3</v>
      </c>
    </row>
    <row r="428" spans="1:16" x14ac:dyDescent="0.2">
      <c r="A428" s="56">
        <v>32051</v>
      </c>
      <c r="B428" s="169">
        <v>251.79</v>
      </c>
      <c r="C428" s="169">
        <v>321.83</v>
      </c>
      <c r="D428" s="169">
        <v>328.94</v>
      </c>
      <c r="E428" s="169">
        <v>216.46</v>
      </c>
      <c r="F428" s="169"/>
      <c r="G428" s="169">
        <v>-0.21759999999999999</v>
      </c>
      <c r="H428" s="53">
        <f t="shared" si="7"/>
        <v>3.2010820559062125E-2</v>
      </c>
      <c r="I428" s="292"/>
      <c r="J428" s="52">
        <v>39663</v>
      </c>
      <c r="K428" s="57">
        <v>1296.32</v>
      </c>
      <c r="L428" s="57">
        <v>1253.27</v>
      </c>
      <c r="M428" s="57">
        <v>1297.8499999999999</v>
      </c>
      <c r="N428" s="57">
        <v>1247.45</v>
      </c>
      <c r="O428" s="51" t="s">
        <v>477</v>
      </c>
      <c r="P428" s="58">
        <v>2.86E-2</v>
      </c>
    </row>
    <row r="429" spans="1:16" x14ac:dyDescent="0.2">
      <c r="A429" s="56">
        <v>32021</v>
      </c>
      <c r="B429" s="169">
        <v>321.83</v>
      </c>
      <c r="C429" s="169">
        <v>329.81</v>
      </c>
      <c r="D429" s="169">
        <v>332.18</v>
      </c>
      <c r="E429" s="169">
        <v>308.56</v>
      </c>
      <c r="F429" s="169"/>
      <c r="G429" s="169">
        <v>-2.4199999999999999E-2</v>
      </c>
      <c r="H429" s="53">
        <f t="shared" si="7"/>
        <v>0.39127615424520146</v>
      </c>
      <c r="I429" s="292"/>
      <c r="J429" s="52">
        <v>39670</v>
      </c>
      <c r="K429" s="57">
        <v>1298.2</v>
      </c>
      <c r="L429" s="57">
        <v>1294.42</v>
      </c>
      <c r="M429" s="57">
        <v>1313.15</v>
      </c>
      <c r="N429" s="57">
        <v>1274.8599999999999</v>
      </c>
      <c r="O429" s="51" t="s">
        <v>478</v>
      </c>
      <c r="P429" s="58">
        <v>1.5E-3</v>
      </c>
    </row>
    <row r="430" spans="1:16" x14ac:dyDescent="0.2">
      <c r="A430" s="56">
        <v>31990</v>
      </c>
      <c r="B430" s="169">
        <v>329.8</v>
      </c>
      <c r="C430" s="169">
        <v>318.62</v>
      </c>
      <c r="D430" s="169">
        <v>337.89</v>
      </c>
      <c r="E430" s="169">
        <v>314.51</v>
      </c>
      <c r="F430" s="169"/>
      <c r="G430" s="169">
        <v>3.5000000000000003E-2</v>
      </c>
      <c r="H430" s="53">
        <f t="shared" si="7"/>
        <v>0.30391808010121379</v>
      </c>
      <c r="I430" s="292"/>
      <c r="J430" s="52">
        <v>39677</v>
      </c>
      <c r="K430" s="57">
        <v>1292.2</v>
      </c>
      <c r="L430" s="57">
        <v>1298.1400000000001</v>
      </c>
      <c r="M430" s="57">
        <v>1300.22</v>
      </c>
      <c r="N430" s="57">
        <v>1261.1600000000001</v>
      </c>
      <c r="O430" s="51" t="s">
        <v>479</v>
      </c>
      <c r="P430" s="58">
        <v>-4.5999999999999999E-3</v>
      </c>
    </row>
    <row r="431" spans="1:16" x14ac:dyDescent="0.2">
      <c r="A431" s="56">
        <v>31959</v>
      </c>
      <c r="B431" s="169">
        <v>318.66000000000003</v>
      </c>
      <c r="C431" s="169">
        <v>303.99</v>
      </c>
      <c r="D431" s="169">
        <v>318.85000000000002</v>
      </c>
      <c r="E431" s="169">
        <v>302.52999999999997</v>
      </c>
      <c r="F431" s="169"/>
      <c r="G431" s="169">
        <v>4.82E-2</v>
      </c>
      <c r="H431" s="53">
        <f t="shared" si="7"/>
        <v>0.34956801626291734</v>
      </c>
      <c r="I431" s="292"/>
      <c r="J431" s="52">
        <v>39684</v>
      </c>
      <c r="K431" s="57">
        <v>1282.83</v>
      </c>
      <c r="L431" s="57">
        <v>1290.47</v>
      </c>
      <c r="M431" s="57">
        <v>1300.68</v>
      </c>
      <c r="N431" s="57">
        <v>1263.21</v>
      </c>
      <c r="O431" s="51" t="s">
        <v>480</v>
      </c>
      <c r="P431" s="58">
        <v>-7.3000000000000001E-3</v>
      </c>
    </row>
    <row r="432" spans="1:16" x14ac:dyDescent="0.2">
      <c r="A432" s="56">
        <v>31929</v>
      </c>
      <c r="B432" s="169">
        <v>304</v>
      </c>
      <c r="C432" s="169">
        <v>290.12</v>
      </c>
      <c r="D432" s="169">
        <v>310.27</v>
      </c>
      <c r="E432" s="169">
        <v>286.93</v>
      </c>
      <c r="F432" s="169"/>
      <c r="G432" s="169">
        <v>4.7899999999999998E-2</v>
      </c>
      <c r="H432" s="53">
        <f t="shared" si="7"/>
        <v>0.21192792218147027</v>
      </c>
      <c r="I432" s="292"/>
      <c r="J432" s="52">
        <v>39691</v>
      </c>
      <c r="K432" s="57">
        <v>1242.31</v>
      </c>
      <c r="L432" s="57">
        <v>1287.83</v>
      </c>
      <c r="M432" s="57">
        <v>1303.04</v>
      </c>
      <c r="N432" s="57">
        <v>1217.23</v>
      </c>
      <c r="O432" s="51" t="s">
        <v>481</v>
      </c>
      <c r="P432" s="58">
        <v>-3.1600000000000003E-2</v>
      </c>
    </row>
    <row r="433" spans="1:16" x14ac:dyDescent="0.2">
      <c r="A433" s="56">
        <v>31898</v>
      </c>
      <c r="B433" s="169">
        <v>290.10000000000002</v>
      </c>
      <c r="C433" s="169">
        <v>286.99</v>
      </c>
      <c r="D433" s="169">
        <v>298.69</v>
      </c>
      <c r="E433" s="169">
        <v>277.01</v>
      </c>
      <c r="F433" s="169"/>
      <c r="G433" s="169">
        <v>6.0000000000000001E-3</v>
      </c>
      <c r="H433" s="53">
        <f t="shared" si="7"/>
        <v>0.17283201940570048</v>
      </c>
      <c r="I433" s="292"/>
      <c r="J433" s="52">
        <v>39698</v>
      </c>
      <c r="K433" s="57">
        <v>1251.7</v>
      </c>
      <c r="L433" s="57">
        <v>1249.5</v>
      </c>
      <c r="M433" s="57">
        <v>1274.42</v>
      </c>
      <c r="N433" s="57">
        <v>1211.54</v>
      </c>
      <c r="O433" s="51" t="s">
        <v>482</v>
      </c>
      <c r="P433" s="58">
        <v>7.6E-3</v>
      </c>
    </row>
    <row r="434" spans="1:16" x14ac:dyDescent="0.2">
      <c r="A434" s="56">
        <v>31868</v>
      </c>
      <c r="B434" s="169">
        <v>288.36</v>
      </c>
      <c r="C434" s="169">
        <v>291.58999999999997</v>
      </c>
      <c r="D434" s="169">
        <v>303.64999999999998</v>
      </c>
      <c r="E434" s="169">
        <v>275.67</v>
      </c>
      <c r="F434" s="169"/>
      <c r="G434" s="169">
        <v>-1.15E-2</v>
      </c>
      <c r="H434" s="53">
        <f t="shared" si="7"/>
        <v>0.22435461956521729</v>
      </c>
      <c r="I434" s="292"/>
      <c r="J434" s="52">
        <v>39705</v>
      </c>
      <c r="K434" s="57">
        <v>1255.08</v>
      </c>
      <c r="L434" s="57">
        <v>1250.92</v>
      </c>
      <c r="M434" s="57">
        <v>1265.1199999999999</v>
      </c>
      <c r="N434" s="57">
        <v>1133.5</v>
      </c>
      <c r="O434" s="51" t="s">
        <v>483</v>
      </c>
      <c r="P434" s="58">
        <v>2.7000000000000001E-3</v>
      </c>
    </row>
    <row r="435" spans="1:16" x14ac:dyDescent="0.2">
      <c r="A435" s="56">
        <v>31837</v>
      </c>
      <c r="B435" s="169">
        <v>291.7</v>
      </c>
      <c r="C435" s="169">
        <v>284.17</v>
      </c>
      <c r="D435" s="169">
        <v>302.72000000000003</v>
      </c>
      <c r="E435" s="169">
        <v>282.3</v>
      </c>
      <c r="F435" s="169"/>
      <c r="G435" s="169">
        <v>2.64E-2</v>
      </c>
      <c r="H435" s="53">
        <f t="shared" si="7"/>
        <v>0.22101297614064452</v>
      </c>
      <c r="I435" s="292"/>
      <c r="J435" s="52">
        <v>39712</v>
      </c>
      <c r="K435" s="57">
        <v>1213.27</v>
      </c>
      <c r="L435" s="57">
        <v>1255.3699999999999</v>
      </c>
      <c r="M435" s="57">
        <v>1255.3699999999999</v>
      </c>
      <c r="N435" s="57">
        <v>1179.79</v>
      </c>
      <c r="O435" s="51" t="s">
        <v>484</v>
      </c>
      <c r="P435" s="58">
        <v>-3.3300000000000003E-2</v>
      </c>
    </row>
    <row r="436" spans="1:16" x14ac:dyDescent="0.2">
      <c r="A436" s="56">
        <v>31809</v>
      </c>
      <c r="B436" s="169">
        <v>284.2</v>
      </c>
      <c r="C436" s="169">
        <v>274.08</v>
      </c>
      <c r="D436" s="169">
        <v>287.55</v>
      </c>
      <c r="E436" s="169">
        <v>273.16000000000003</v>
      </c>
      <c r="F436" s="169"/>
      <c r="G436" s="169">
        <v>3.6900000000000002E-2</v>
      </c>
      <c r="H436" s="53">
        <f t="shared" si="7"/>
        <v>0.25242376167812441</v>
      </c>
      <c r="I436" s="292"/>
      <c r="J436" s="52">
        <v>39719</v>
      </c>
      <c r="K436" s="57">
        <v>1099.23</v>
      </c>
      <c r="L436" s="57">
        <v>1209.07</v>
      </c>
      <c r="M436" s="57">
        <v>1209.07</v>
      </c>
      <c r="N436" s="57">
        <v>1098.1400000000001</v>
      </c>
      <c r="O436" s="51" t="s">
        <v>485</v>
      </c>
      <c r="P436" s="58">
        <v>-9.4E-2</v>
      </c>
    </row>
    <row r="437" spans="1:16" x14ac:dyDescent="0.2">
      <c r="A437" s="56">
        <v>31778</v>
      </c>
      <c r="B437" s="169">
        <v>274.08</v>
      </c>
      <c r="C437" s="169">
        <v>242.17</v>
      </c>
      <c r="D437" s="169">
        <v>280.95999999999998</v>
      </c>
      <c r="E437" s="169">
        <v>242.17</v>
      </c>
      <c r="F437" s="169"/>
      <c r="G437" s="169">
        <v>0.1318</v>
      </c>
      <c r="H437" s="53">
        <f t="shared" si="7"/>
        <v>0.29417319860232305</v>
      </c>
      <c r="I437" s="292"/>
      <c r="J437" s="52">
        <v>39726</v>
      </c>
      <c r="K437" s="51">
        <v>899.22</v>
      </c>
      <c r="L437" s="57">
        <v>1097.56</v>
      </c>
      <c r="M437" s="57">
        <v>1097.56</v>
      </c>
      <c r="N437" s="51">
        <v>839.8</v>
      </c>
      <c r="O437" s="51" t="s">
        <v>486</v>
      </c>
      <c r="P437" s="58">
        <v>-0.182</v>
      </c>
    </row>
    <row r="438" spans="1:16" x14ac:dyDescent="0.2">
      <c r="A438" s="56">
        <v>31747</v>
      </c>
      <c r="B438" s="169">
        <v>242.17</v>
      </c>
      <c r="C438" s="169">
        <v>249.22</v>
      </c>
      <c r="D438" s="169">
        <v>254.87</v>
      </c>
      <c r="E438" s="169">
        <v>241.28</v>
      </c>
      <c r="F438" s="169"/>
      <c r="G438" s="169">
        <v>-2.8299999999999999E-2</v>
      </c>
      <c r="H438" s="53">
        <f t="shared" si="7"/>
        <v>0.14620408936009088</v>
      </c>
      <c r="I438" s="292"/>
      <c r="J438" s="52">
        <v>39733</v>
      </c>
      <c r="K438" s="51">
        <v>940.55</v>
      </c>
      <c r="L438" s="51">
        <v>912.75</v>
      </c>
      <c r="M438" s="57">
        <v>1044.31</v>
      </c>
      <c r="N438" s="51">
        <v>865.83</v>
      </c>
      <c r="O438" s="51" t="s">
        <v>487</v>
      </c>
      <c r="P438" s="58">
        <v>4.5999999999999999E-2</v>
      </c>
    </row>
    <row r="439" spans="1:16" x14ac:dyDescent="0.2">
      <c r="A439" s="56">
        <v>31717</v>
      </c>
      <c r="B439" s="169">
        <v>249.22</v>
      </c>
      <c r="C439" s="169">
        <v>243.97</v>
      </c>
      <c r="D439" s="169">
        <v>249.22</v>
      </c>
      <c r="E439" s="169">
        <v>235.51</v>
      </c>
      <c r="F439" s="169"/>
      <c r="G439" s="169">
        <v>2.1499999999999998E-2</v>
      </c>
      <c r="H439" s="53">
        <f t="shared" si="7"/>
        <v>0.2327249344610971</v>
      </c>
      <c r="I439" s="292"/>
      <c r="J439" s="52">
        <v>39740</v>
      </c>
      <c r="K439" s="51">
        <v>876.77</v>
      </c>
      <c r="L439" s="51">
        <v>943.51</v>
      </c>
      <c r="M439" s="51">
        <v>985.44</v>
      </c>
      <c r="N439" s="51">
        <v>852.85</v>
      </c>
      <c r="O439" s="51" t="s">
        <v>488</v>
      </c>
      <c r="P439" s="58">
        <v>-6.7799999999999999E-2</v>
      </c>
    </row>
    <row r="440" spans="1:16" x14ac:dyDescent="0.2">
      <c r="A440" s="56">
        <v>31686</v>
      </c>
      <c r="B440" s="169">
        <v>243.98</v>
      </c>
      <c r="C440" s="169">
        <v>231.32</v>
      </c>
      <c r="D440" s="169">
        <v>244.51</v>
      </c>
      <c r="E440" s="169">
        <v>231.32</v>
      </c>
      <c r="F440" s="169"/>
      <c r="G440" s="169">
        <v>5.4699999999999999E-2</v>
      </c>
      <c r="H440" s="53">
        <f t="shared" si="7"/>
        <v>0.28532293751975546</v>
      </c>
      <c r="I440" s="292"/>
      <c r="J440" s="52">
        <v>39747</v>
      </c>
      <c r="K440" s="51">
        <v>968.75</v>
      </c>
      <c r="L440" s="51">
        <v>874.28</v>
      </c>
      <c r="M440" s="51">
        <v>984.38</v>
      </c>
      <c r="N440" s="51">
        <v>845.27</v>
      </c>
      <c r="O440" s="51" t="s">
        <v>489</v>
      </c>
      <c r="P440" s="58">
        <v>0.10489999999999999</v>
      </c>
    </row>
    <row r="441" spans="1:16" x14ac:dyDescent="0.2">
      <c r="A441" s="56">
        <v>31656</v>
      </c>
      <c r="B441" s="169">
        <v>231.32</v>
      </c>
      <c r="C441" s="169">
        <v>252.93</v>
      </c>
      <c r="D441" s="169">
        <v>254.13</v>
      </c>
      <c r="E441" s="169">
        <v>228.08</v>
      </c>
      <c r="F441" s="169"/>
      <c r="G441" s="169">
        <v>-8.5400000000000004E-2</v>
      </c>
      <c r="H441" s="53">
        <f t="shared" si="7"/>
        <v>0.27043057996485054</v>
      </c>
      <c r="I441" s="292"/>
      <c r="J441" s="52">
        <v>39754</v>
      </c>
      <c r="K441" s="51">
        <v>930.99</v>
      </c>
      <c r="L441" s="51">
        <v>968.67</v>
      </c>
      <c r="M441" s="57">
        <v>1007.51</v>
      </c>
      <c r="N441" s="51">
        <v>899.73</v>
      </c>
      <c r="O441" s="51" t="s">
        <v>490</v>
      </c>
      <c r="P441" s="58">
        <v>-3.9E-2</v>
      </c>
    </row>
    <row r="442" spans="1:16" x14ac:dyDescent="0.2">
      <c r="A442" s="56">
        <v>31625</v>
      </c>
      <c r="B442" s="169">
        <v>252.93</v>
      </c>
      <c r="C442" s="169">
        <v>236.12</v>
      </c>
      <c r="D442" s="169">
        <v>254.24</v>
      </c>
      <c r="E442" s="169">
        <v>231.92</v>
      </c>
      <c r="F442" s="169"/>
      <c r="G442" s="169">
        <v>7.1199999999999999E-2</v>
      </c>
      <c r="H442" s="53">
        <f t="shared" si="7"/>
        <v>0.34087896941101636</v>
      </c>
      <c r="I442" s="292"/>
      <c r="J442" s="52">
        <v>39761</v>
      </c>
      <c r="K442" s="51">
        <v>873.29</v>
      </c>
      <c r="L442" s="51">
        <v>936.75</v>
      </c>
      <c r="M442" s="51">
        <v>951.95</v>
      </c>
      <c r="N442" s="51">
        <v>818.69</v>
      </c>
      <c r="O442" s="51" t="s">
        <v>473</v>
      </c>
      <c r="P442" s="58">
        <v>-6.2E-2</v>
      </c>
    </row>
    <row r="443" spans="1:16" x14ac:dyDescent="0.2">
      <c r="A443" s="56">
        <v>31594</v>
      </c>
      <c r="B443" s="169">
        <v>236.12</v>
      </c>
      <c r="C443" s="169">
        <v>250.67</v>
      </c>
      <c r="D443" s="169">
        <v>253.2</v>
      </c>
      <c r="E443" s="169">
        <v>233.07</v>
      </c>
      <c r="F443" s="169"/>
      <c r="G443" s="169">
        <v>-5.8700000000000002E-2</v>
      </c>
      <c r="H443" s="53">
        <f t="shared" si="7"/>
        <v>0.23674837628326006</v>
      </c>
      <c r="I443" s="292"/>
      <c r="J443" s="52">
        <v>39768</v>
      </c>
      <c r="K443" s="51">
        <v>800.03</v>
      </c>
      <c r="L443" s="51">
        <v>873.23</v>
      </c>
      <c r="M443" s="51">
        <v>882.29</v>
      </c>
      <c r="N443" s="51">
        <v>741.02</v>
      </c>
      <c r="O443" s="51" t="s">
        <v>491</v>
      </c>
      <c r="P443" s="58">
        <v>-8.3900000000000002E-2</v>
      </c>
    </row>
    <row r="444" spans="1:16" x14ac:dyDescent="0.2">
      <c r="A444" s="56">
        <v>31564</v>
      </c>
      <c r="B444" s="169">
        <v>250.84</v>
      </c>
      <c r="C444" s="169">
        <v>246.04</v>
      </c>
      <c r="D444" s="169">
        <v>251.81</v>
      </c>
      <c r="E444" s="169">
        <v>238.23</v>
      </c>
      <c r="F444" s="169"/>
      <c r="G444" s="169">
        <v>1.41E-2</v>
      </c>
      <c r="H444" s="53">
        <f t="shared" si="7"/>
        <v>0.30747980192859004</v>
      </c>
      <c r="I444" s="292"/>
      <c r="J444" s="52">
        <v>39775</v>
      </c>
      <c r="K444" s="51">
        <v>896.24</v>
      </c>
      <c r="L444" s="51">
        <v>801.2</v>
      </c>
      <c r="M444" s="51">
        <v>896.25</v>
      </c>
      <c r="N444" s="51">
        <v>801.2</v>
      </c>
      <c r="O444" s="51" t="s">
        <v>492</v>
      </c>
      <c r="P444" s="58">
        <v>0.1203</v>
      </c>
    </row>
    <row r="445" spans="1:16" x14ac:dyDescent="0.2">
      <c r="A445" s="56">
        <v>31533</v>
      </c>
      <c r="B445" s="169">
        <v>247.35</v>
      </c>
      <c r="C445" s="169">
        <v>235.52</v>
      </c>
      <c r="D445" s="169">
        <v>249.19</v>
      </c>
      <c r="E445" s="169">
        <v>232.26</v>
      </c>
      <c r="F445" s="169"/>
      <c r="G445" s="169">
        <v>5.0200000000000002E-2</v>
      </c>
      <c r="H445" s="53">
        <f t="shared" si="7"/>
        <v>0.30493273542600896</v>
      </c>
      <c r="I445" s="292"/>
      <c r="J445" s="52">
        <v>39782</v>
      </c>
      <c r="K445" s="51">
        <v>876.07</v>
      </c>
      <c r="L445" s="51">
        <v>888.61</v>
      </c>
      <c r="M445" s="51">
        <v>888.61</v>
      </c>
      <c r="N445" s="51">
        <v>815.69</v>
      </c>
      <c r="O445" s="51" t="s">
        <v>493</v>
      </c>
      <c r="P445" s="58">
        <v>-2.2499999999999999E-2</v>
      </c>
    </row>
    <row r="446" spans="1:16" x14ac:dyDescent="0.2">
      <c r="A446" s="56">
        <v>31503</v>
      </c>
      <c r="B446" s="169">
        <v>235.52</v>
      </c>
      <c r="C446" s="169">
        <v>238.9</v>
      </c>
      <c r="D446" s="169">
        <v>245.47</v>
      </c>
      <c r="E446" s="169">
        <v>226.3</v>
      </c>
      <c r="F446" s="169"/>
      <c r="G446" s="169">
        <v>-1.41E-2</v>
      </c>
      <c r="H446" s="53">
        <f t="shared" si="7"/>
        <v>0.30968136573430449</v>
      </c>
      <c r="I446" s="292"/>
      <c r="J446" s="52">
        <v>39789</v>
      </c>
      <c r="K446" s="51">
        <v>879.73</v>
      </c>
      <c r="L446" s="51">
        <v>882.71</v>
      </c>
      <c r="M446" s="51">
        <v>918.57</v>
      </c>
      <c r="N446" s="51">
        <v>851.35</v>
      </c>
      <c r="O446" s="51" t="s">
        <v>494</v>
      </c>
      <c r="P446" s="58">
        <v>4.1999999999999997E-3</v>
      </c>
    </row>
    <row r="447" spans="1:16" x14ac:dyDescent="0.2">
      <c r="A447" s="56">
        <v>31472</v>
      </c>
      <c r="B447" s="169">
        <v>238.9</v>
      </c>
      <c r="C447" s="169">
        <v>226.92</v>
      </c>
      <c r="D447" s="169">
        <v>240.11</v>
      </c>
      <c r="E447" s="169">
        <v>222.18</v>
      </c>
      <c r="F447" s="169"/>
      <c r="G447" s="169">
        <v>5.28E-2</v>
      </c>
      <c r="H447" s="53">
        <f t="shared" si="7"/>
        <v>0.32237351931805613</v>
      </c>
      <c r="I447" s="292"/>
      <c r="J447" s="52">
        <v>39796</v>
      </c>
      <c r="K447" s="51">
        <v>887.88</v>
      </c>
      <c r="L447" s="51">
        <v>881.07</v>
      </c>
      <c r="M447" s="51">
        <v>918.85</v>
      </c>
      <c r="N447" s="51">
        <v>857.72</v>
      </c>
      <c r="O447" s="51" t="s">
        <v>495</v>
      </c>
      <c r="P447" s="58">
        <v>9.2999999999999992E-3</v>
      </c>
    </row>
    <row r="448" spans="1:16" x14ac:dyDescent="0.2">
      <c r="A448" s="56">
        <v>31444</v>
      </c>
      <c r="B448" s="169">
        <v>226.92</v>
      </c>
      <c r="C448" s="169">
        <v>211.78</v>
      </c>
      <c r="D448" s="169">
        <v>227.92</v>
      </c>
      <c r="E448" s="169">
        <v>210.82</v>
      </c>
      <c r="F448" s="169"/>
      <c r="G448" s="169">
        <v>7.1499999999999994E-2</v>
      </c>
      <c r="H448" s="53">
        <f t="shared" si="7"/>
        <v>0.25245612098465608</v>
      </c>
      <c r="I448" s="292"/>
      <c r="J448" s="52">
        <v>39803</v>
      </c>
      <c r="K448" s="51">
        <v>872.8</v>
      </c>
      <c r="L448" s="51">
        <v>887.2</v>
      </c>
      <c r="M448" s="51">
        <v>887.37</v>
      </c>
      <c r="N448" s="51">
        <v>857.09</v>
      </c>
      <c r="O448" s="51" t="s">
        <v>496</v>
      </c>
      <c r="P448" s="58">
        <v>-1.7000000000000001E-2</v>
      </c>
    </row>
    <row r="449" spans="1:16" x14ac:dyDescent="0.2">
      <c r="A449" s="56">
        <v>31413</v>
      </c>
      <c r="B449" s="169">
        <v>211.78</v>
      </c>
      <c r="C449" s="169">
        <v>211.28</v>
      </c>
      <c r="D449" s="169">
        <v>214.57</v>
      </c>
      <c r="E449" s="169">
        <v>202.6</v>
      </c>
      <c r="F449" s="169"/>
      <c r="G449" s="169">
        <v>2.3999999999999998E-3</v>
      </c>
      <c r="H449" s="53">
        <f t="shared" si="7"/>
        <v>0.1789790124144075</v>
      </c>
      <c r="I449" s="292"/>
      <c r="J449" s="52">
        <v>39810</v>
      </c>
      <c r="K449" s="51">
        <v>931.8</v>
      </c>
      <c r="L449" s="51">
        <v>872.37</v>
      </c>
      <c r="M449" s="51">
        <v>934.73</v>
      </c>
      <c r="N449" s="51">
        <v>857.07</v>
      </c>
      <c r="O449" s="51" t="s">
        <v>417</v>
      </c>
      <c r="P449" s="58">
        <v>6.7599999999999993E-2</v>
      </c>
    </row>
    <row r="450" spans="1:16" x14ac:dyDescent="0.2">
      <c r="A450" s="56">
        <v>31382</v>
      </c>
      <c r="B450" s="169">
        <v>211.28</v>
      </c>
      <c r="C450" s="169">
        <v>202.17</v>
      </c>
      <c r="D450" s="169">
        <v>213.08</v>
      </c>
      <c r="E450" s="169">
        <v>200.1</v>
      </c>
      <c r="F450" s="169"/>
      <c r="G450" s="169">
        <v>4.5100000000000001E-2</v>
      </c>
      <c r="H450" s="53">
        <f t="shared" si="7"/>
        <v>0.26333413059076771</v>
      </c>
      <c r="I450" s="292"/>
      <c r="J450" s="52">
        <v>39817</v>
      </c>
      <c r="K450" s="51">
        <v>890.35</v>
      </c>
      <c r="L450" s="51">
        <v>929.17</v>
      </c>
      <c r="M450" s="51">
        <v>943.85</v>
      </c>
      <c r="N450" s="51">
        <v>888.31</v>
      </c>
      <c r="O450" s="51" t="s">
        <v>497</v>
      </c>
      <c r="P450" s="58">
        <v>-4.4499999999999998E-2</v>
      </c>
    </row>
    <row r="451" spans="1:16" x14ac:dyDescent="0.2">
      <c r="A451" s="56">
        <v>31352</v>
      </c>
      <c r="B451" s="169">
        <v>202.17</v>
      </c>
      <c r="C451" s="169">
        <v>189.82</v>
      </c>
      <c r="D451" s="169">
        <v>203.4</v>
      </c>
      <c r="E451" s="169">
        <v>189.37</v>
      </c>
      <c r="F451" s="169"/>
      <c r="G451" s="169">
        <v>6.5100000000000005E-2</v>
      </c>
      <c r="H451" s="53">
        <f t="shared" si="7"/>
        <v>0.23590903533439289</v>
      </c>
      <c r="I451" s="292"/>
      <c r="J451" s="52">
        <v>39824</v>
      </c>
      <c r="K451" s="51">
        <v>850.12</v>
      </c>
      <c r="L451" s="51">
        <v>890.4</v>
      </c>
      <c r="M451" s="51">
        <v>890.4</v>
      </c>
      <c r="N451" s="51">
        <v>817.04</v>
      </c>
      <c r="O451" s="51" t="s">
        <v>498</v>
      </c>
      <c r="P451" s="58">
        <v>-4.5199999999999997E-2</v>
      </c>
    </row>
    <row r="452" spans="1:16" x14ac:dyDescent="0.2">
      <c r="A452" s="56">
        <v>31321</v>
      </c>
      <c r="B452" s="169">
        <v>189.82</v>
      </c>
      <c r="C452" s="169">
        <v>182.06</v>
      </c>
      <c r="D452" s="169">
        <v>190.15</v>
      </c>
      <c r="E452" s="169">
        <v>181.16</v>
      </c>
      <c r="F452" s="169"/>
      <c r="G452" s="169">
        <v>4.2500000000000003E-2</v>
      </c>
      <c r="H452" s="53">
        <f t="shared" si="7"/>
        <v>0.14287434523451137</v>
      </c>
      <c r="I452" s="292"/>
      <c r="J452" s="52">
        <v>39831</v>
      </c>
      <c r="K452" s="51">
        <v>831.95</v>
      </c>
      <c r="L452" s="51">
        <v>849.64</v>
      </c>
      <c r="M452" s="51">
        <v>849.64</v>
      </c>
      <c r="N452" s="51">
        <v>804.3</v>
      </c>
      <c r="O452" s="51" t="s">
        <v>499</v>
      </c>
      <c r="P452" s="58">
        <v>-2.1399999999999999E-2</v>
      </c>
    </row>
    <row r="453" spans="1:16" x14ac:dyDescent="0.2">
      <c r="A453" s="56">
        <v>31291</v>
      </c>
      <c r="B453" s="169">
        <v>182.08</v>
      </c>
      <c r="C453" s="169">
        <v>188.63</v>
      </c>
      <c r="D453" s="169">
        <v>188.8</v>
      </c>
      <c r="E453" s="169">
        <v>179.45</v>
      </c>
      <c r="F453" s="169"/>
      <c r="G453" s="169">
        <v>-3.4700000000000002E-2</v>
      </c>
      <c r="H453" s="53">
        <f t="shared" si="7"/>
        <v>9.6207104154124146E-2</v>
      </c>
      <c r="I453" s="292"/>
      <c r="J453" s="52">
        <v>39838</v>
      </c>
      <c r="K453" s="51">
        <v>825.88</v>
      </c>
      <c r="L453" s="51">
        <v>832.5</v>
      </c>
      <c r="M453" s="51">
        <v>877.86</v>
      </c>
      <c r="N453" s="51">
        <v>821.67</v>
      </c>
      <c r="O453" s="51" t="s">
        <v>500</v>
      </c>
      <c r="P453" s="58">
        <v>-7.3000000000000001E-3</v>
      </c>
    </row>
    <row r="454" spans="1:16" x14ac:dyDescent="0.2">
      <c r="A454" s="56">
        <v>31260</v>
      </c>
      <c r="B454" s="169">
        <v>188.63</v>
      </c>
      <c r="C454" s="169">
        <v>190.92</v>
      </c>
      <c r="D454" s="169">
        <v>192.17</v>
      </c>
      <c r="E454" s="169">
        <v>186.1</v>
      </c>
      <c r="F454" s="169"/>
      <c r="G454" s="169">
        <v>-1.2E-2</v>
      </c>
      <c r="H454" s="53">
        <f t="shared" si="7"/>
        <v>0.13168946484281241</v>
      </c>
      <c r="I454" s="292"/>
      <c r="J454" s="52">
        <v>39845</v>
      </c>
      <c r="K454" s="51">
        <v>868.6</v>
      </c>
      <c r="L454" s="51">
        <v>823.09</v>
      </c>
      <c r="M454" s="51">
        <v>870.75</v>
      </c>
      <c r="N454" s="51">
        <v>812.87</v>
      </c>
      <c r="O454" s="51" t="s">
        <v>501</v>
      </c>
      <c r="P454" s="58">
        <v>5.1700000000000003E-2</v>
      </c>
    </row>
    <row r="455" spans="1:16" x14ac:dyDescent="0.2">
      <c r="A455" s="56">
        <v>31229</v>
      </c>
      <c r="B455" s="169">
        <v>190.92</v>
      </c>
      <c r="C455" s="169">
        <v>191.85</v>
      </c>
      <c r="D455" s="169">
        <v>196.07</v>
      </c>
      <c r="E455" s="169">
        <v>189.3</v>
      </c>
      <c r="F455" s="169"/>
      <c r="G455" s="169">
        <v>-4.7999999999999996E-3</v>
      </c>
      <c r="H455" s="53">
        <f t="shared" si="7"/>
        <v>0.26722421346077252</v>
      </c>
      <c r="I455" s="292"/>
      <c r="J455" s="52">
        <v>39852</v>
      </c>
      <c r="K455" s="51">
        <v>826.84</v>
      </c>
      <c r="L455" s="51">
        <v>868.24</v>
      </c>
      <c r="M455" s="51">
        <v>875.01</v>
      </c>
      <c r="N455" s="51">
        <v>808.06</v>
      </c>
      <c r="O455" s="51" t="s">
        <v>502</v>
      </c>
      <c r="P455" s="58">
        <v>-4.8099999999999997E-2</v>
      </c>
    </row>
    <row r="456" spans="1:16" x14ac:dyDescent="0.2">
      <c r="A456" s="56">
        <v>31199</v>
      </c>
      <c r="B456" s="169">
        <v>191.85</v>
      </c>
      <c r="C456" s="169">
        <v>189.55</v>
      </c>
      <c r="D456" s="169">
        <v>191.85</v>
      </c>
      <c r="E456" s="169">
        <v>185.03</v>
      </c>
      <c r="F456" s="169"/>
      <c r="G456" s="169">
        <v>1.21E-2</v>
      </c>
      <c r="H456" s="53">
        <f t="shared" si="7"/>
        <v>0.25244810027418718</v>
      </c>
      <c r="I456" s="292"/>
      <c r="J456" s="52">
        <v>39859</v>
      </c>
      <c r="K456" s="51">
        <v>770.05</v>
      </c>
      <c r="L456" s="51">
        <v>818.61</v>
      </c>
      <c r="M456" s="51">
        <v>818.61</v>
      </c>
      <c r="N456" s="51">
        <v>754.25</v>
      </c>
      <c r="O456" s="51" t="s">
        <v>503</v>
      </c>
      <c r="P456" s="58">
        <v>-6.8699999999999997E-2</v>
      </c>
    </row>
    <row r="457" spans="1:16" x14ac:dyDescent="0.2">
      <c r="A457" s="56">
        <v>31168</v>
      </c>
      <c r="B457" s="169">
        <v>189.55</v>
      </c>
      <c r="C457" s="169">
        <v>179.83</v>
      </c>
      <c r="D457" s="169">
        <v>189.98</v>
      </c>
      <c r="E457" s="169">
        <v>178.35</v>
      </c>
      <c r="F457" s="169"/>
      <c r="G457" s="169">
        <v>5.4100000000000002E-2</v>
      </c>
      <c r="H457" s="53">
        <f t="shared" si="7"/>
        <v>0.25905014945200922</v>
      </c>
      <c r="I457" s="292"/>
      <c r="J457" s="52">
        <v>39866</v>
      </c>
      <c r="K457" s="51">
        <v>735.09</v>
      </c>
      <c r="L457" s="51">
        <v>773.25</v>
      </c>
      <c r="M457" s="51">
        <v>780.12</v>
      </c>
      <c r="N457" s="51">
        <v>734.52</v>
      </c>
      <c r="O457" s="51" t="s">
        <v>504</v>
      </c>
      <c r="P457" s="58">
        <v>-4.5400000000000003E-2</v>
      </c>
    </row>
    <row r="458" spans="1:16" x14ac:dyDescent="0.2">
      <c r="A458" s="56">
        <v>31138</v>
      </c>
      <c r="B458" s="169">
        <v>179.83</v>
      </c>
      <c r="C458" s="169">
        <v>180.66</v>
      </c>
      <c r="D458" s="169">
        <v>183.61</v>
      </c>
      <c r="E458" s="169">
        <v>177.86</v>
      </c>
      <c r="F458" s="169"/>
      <c r="G458" s="169">
        <v>-4.5999999999999999E-3</v>
      </c>
      <c r="H458" s="53">
        <f t="shared" si="7"/>
        <v>0.12358637925648241</v>
      </c>
      <c r="I458" s="292"/>
      <c r="J458" s="52">
        <v>39873</v>
      </c>
      <c r="K458" s="51">
        <v>683.38</v>
      </c>
      <c r="L458" s="51">
        <v>729.57</v>
      </c>
      <c r="M458" s="51">
        <v>729.57</v>
      </c>
      <c r="N458" s="51">
        <v>666.79</v>
      </c>
      <c r="O458" s="51" t="s">
        <v>505</v>
      </c>
      <c r="P458" s="58">
        <v>-7.0300000000000001E-2</v>
      </c>
    </row>
    <row r="459" spans="1:16" x14ac:dyDescent="0.2">
      <c r="A459" s="56">
        <v>31107</v>
      </c>
      <c r="B459" s="169">
        <v>180.66</v>
      </c>
      <c r="C459" s="169">
        <v>181.18</v>
      </c>
      <c r="D459" s="169">
        <v>183.89</v>
      </c>
      <c r="E459" s="169">
        <v>176.53</v>
      </c>
      <c r="F459" s="169"/>
      <c r="G459" s="169">
        <v>-2.8999999999999998E-3</v>
      </c>
      <c r="H459" s="53">
        <f t="shared" si="7"/>
        <v>0.13494157557482089</v>
      </c>
      <c r="I459" s="292"/>
      <c r="J459" s="52">
        <v>39880</v>
      </c>
      <c r="K459" s="51">
        <v>756.55</v>
      </c>
      <c r="L459" s="51">
        <v>680.76</v>
      </c>
      <c r="M459" s="51">
        <v>758.29</v>
      </c>
      <c r="N459" s="51">
        <v>672.88</v>
      </c>
      <c r="O459" s="51" t="s">
        <v>506</v>
      </c>
      <c r="P459" s="58">
        <v>0.1071</v>
      </c>
    </row>
    <row r="460" spans="1:16" x14ac:dyDescent="0.2">
      <c r="A460" s="56">
        <v>31079</v>
      </c>
      <c r="B460" s="169">
        <v>181.18</v>
      </c>
      <c r="C460" s="169">
        <v>179.63</v>
      </c>
      <c r="D460" s="169">
        <v>183.95</v>
      </c>
      <c r="E460" s="169">
        <v>177.75</v>
      </c>
      <c r="F460" s="169"/>
      <c r="G460" s="169">
        <v>8.6E-3</v>
      </c>
      <c r="H460" s="53">
        <f t="shared" si="7"/>
        <v>0.15357188335667904</v>
      </c>
      <c r="I460" s="292"/>
      <c r="J460" s="52">
        <v>39887</v>
      </c>
      <c r="K460" s="51">
        <v>768.54</v>
      </c>
      <c r="L460" s="51">
        <v>758.84</v>
      </c>
      <c r="M460" s="51">
        <v>803.24</v>
      </c>
      <c r="N460" s="51">
        <v>749.93</v>
      </c>
      <c r="O460" s="51" t="s">
        <v>507</v>
      </c>
      <c r="P460" s="58">
        <v>1.5800000000000002E-2</v>
      </c>
    </row>
    <row r="461" spans="1:16" x14ac:dyDescent="0.2">
      <c r="A461" s="56">
        <v>31048</v>
      </c>
      <c r="B461" s="169">
        <v>179.63</v>
      </c>
      <c r="C461" s="169">
        <v>167.2</v>
      </c>
      <c r="D461" s="169">
        <v>180.27</v>
      </c>
      <c r="E461" s="169">
        <v>163.36000000000001</v>
      </c>
      <c r="F461" s="169"/>
      <c r="G461" s="169">
        <v>7.4099999999999999E-2</v>
      </c>
      <c r="H461" s="53">
        <f t="shared" si="7"/>
        <v>9.925953124043807E-2</v>
      </c>
      <c r="I461" s="292"/>
      <c r="J461" s="52">
        <v>39894</v>
      </c>
      <c r="K461" s="51">
        <v>815.94</v>
      </c>
      <c r="L461" s="51">
        <v>772.31</v>
      </c>
      <c r="M461" s="51">
        <v>832.98</v>
      </c>
      <c r="N461" s="51">
        <v>772.31</v>
      </c>
      <c r="O461" s="51" t="s">
        <v>508</v>
      </c>
      <c r="P461" s="58">
        <v>6.1699999999999998E-2</v>
      </c>
    </row>
    <row r="462" spans="1:16" x14ac:dyDescent="0.2">
      <c r="A462" s="56">
        <v>31017</v>
      </c>
      <c r="B462" s="169">
        <v>167.24</v>
      </c>
      <c r="C462" s="169">
        <v>163.58000000000001</v>
      </c>
      <c r="D462" s="169">
        <v>169.03</v>
      </c>
      <c r="E462" s="169">
        <v>161.54</v>
      </c>
      <c r="F462" s="169"/>
      <c r="G462" s="169">
        <v>2.24E-2</v>
      </c>
      <c r="H462" s="53">
        <f t="shared" si="7"/>
        <v>1.4005941914751796E-2</v>
      </c>
      <c r="I462" s="292"/>
      <c r="J462" s="52">
        <v>39901</v>
      </c>
      <c r="K462" s="51">
        <v>842.5</v>
      </c>
      <c r="L462" s="51">
        <v>809.07</v>
      </c>
      <c r="M462" s="51">
        <v>845.61</v>
      </c>
      <c r="N462" s="51">
        <v>779.81</v>
      </c>
      <c r="O462" s="51" t="s">
        <v>509</v>
      </c>
      <c r="P462" s="58">
        <v>3.2599999999999997E-2</v>
      </c>
    </row>
    <row r="463" spans="1:16" x14ac:dyDescent="0.2">
      <c r="A463" s="56">
        <v>30987</v>
      </c>
      <c r="B463" s="169">
        <v>163.58000000000001</v>
      </c>
      <c r="C463" s="169">
        <v>166.09</v>
      </c>
      <c r="D463" s="169">
        <v>170.41</v>
      </c>
      <c r="E463" s="169">
        <v>162.99</v>
      </c>
      <c r="F463" s="169"/>
      <c r="G463" s="169">
        <v>-1.5100000000000001E-2</v>
      </c>
      <c r="H463" s="53">
        <f t="shared" si="7"/>
        <v>-1.6947115384615352E-2</v>
      </c>
      <c r="I463" s="292"/>
      <c r="J463" s="52">
        <v>39908</v>
      </c>
      <c r="K463" s="51">
        <v>856.56</v>
      </c>
      <c r="L463" s="51">
        <v>839.75</v>
      </c>
      <c r="M463" s="51">
        <v>856.91</v>
      </c>
      <c r="N463" s="51">
        <v>814.53</v>
      </c>
      <c r="O463" s="51" t="s">
        <v>510</v>
      </c>
      <c r="P463" s="58">
        <v>1.67E-2</v>
      </c>
    </row>
    <row r="464" spans="1:16" x14ac:dyDescent="0.2">
      <c r="A464" s="56">
        <v>30956</v>
      </c>
      <c r="B464" s="169">
        <v>166.09</v>
      </c>
      <c r="C464" s="169">
        <v>166.1</v>
      </c>
      <c r="D464" s="169">
        <v>169.62</v>
      </c>
      <c r="E464" s="169">
        <v>160.02000000000001</v>
      </c>
      <c r="F464" s="169"/>
      <c r="G464" s="169">
        <v>-1E-4</v>
      </c>
      <c r="H464" s="53">
        <f t="shared" si="7"/>
        <v>1.5530418832161441E-2</v>
      </c>
      <c r="I464" s="292"/>
      <c r="J464" s="52">
        <v>39915</v>
      </c>
      <c r="K464" s="51">
        <v>869.6</v>
      </c>
      <c r="L464" s="51">
        <v>855.33</v>
      </c>
      <c r="M464" s="51">
        <v>875.63</v>
      </c>
      <c r="N464" s="51">
        <v>835.58</v>
      </c>
      <c r="O464" s="51" t="s">
        <v>511</v>
      </c>
      <c r="P464" s="58">
        <v>1.52E-2</v>
      </c>
    </row>
    <row r="465" spans="1:16" x14ac:dyDescent="0.2">
      <c r="A465" s="56">
        <v>30926</v>
      </c>
      <c r="B465" s="169">
        <v>166.1</v>
      </c>
      <c r="C465" s="169">
        <v>166.68</v>
      </c>
      <c r="D465" s="169">
        <v>169.65</v>
      </c>
      <c r="E465" s="169">
        <v>163.06</v>
      </c>
      <c r="F465" s="169"/>
      <c r="G465" s="169">
        <v>-3.5000000000000001E-3</v>
      </c>
      <c r="H465" s="53">
        <f t="shared" si="7"/>
        <v>1.8064671524053999E-4</v>
      </c>
      <c r="I465" s="292"/>
      <c r="J465" s="52">
        <v>39922</v>
      </c>
      <c r="K465" s="51">
        <v>866.23</v>
      </c>
      <c r="L465" s="51">
        <v>868.27</v>
      </c>
      <c r="M465" s="51">
        <v>871.8</v>
      </c>
      <c r="N465" s="51">
        <v>826.83</v>
      </c>
      <c r="O465" s="51" t="s">
        <v>512</v>
      </c>
      <c r="P465" s="58">
        <v>-3.8999999999999998E-3</v>
      </c>
    </row>
    <row r="466" spans="1:16" x14ac:dyDescent="0.2">
      <c r="A466" s="56">
        <v>30895</v>
      </c>
      <c r="B466" s="169">
        <v>166.68</v>
      </c>
      <c r="C466" s="169">
        <v>150.66</v>
      </c>
      <c r="D466" s="169">
        <v>168.8</v>
      </c>
      <c r="E466" s="169">
        <v>150.66</v>
      </c>
      <c r="F466" s="169"/>
      <c r="G466" s="169">
        <v>0.10630000000000001</v>
      </c>
      <c r="H466" s="53">
        <f t="shared" ref="H466:H529" si="8">B466/B478-1</f>
        <v>1.3868613138686037E-2</v>
      </c>
      <c r="I466" s="292"/>
      <c r="J466" s="52">
        <v>39929</v>
      </c>
      <c r="K466" s="51">
        <v>877.52</v>
      </c>
      <c r="L466" s="51">
        <v>862.82</v>
      </c>
      <c r="M466" s="51">
        <v>888.7</v>
      </c>
      <c r="N466" s="51">
        <v>847.12</v>
      </c>
      <c r="O466" s="51" t="s">
        <v>513</v>
      </c>
      <c r="P466" s="58">
        <v>1.2999999999999999E-2</v>
      </c>
    </row>
    <row r="467" spans="1:16" x14ac:dyDescent="0.2">
      <c r="A467" s="56">
        <v>30864</v>
      </c>
      <c r="B467" s="169">
        <v>150.66</v>
      </c>
      <c r="C467" s="169">
        <v>153.16</v>
      </c>
      <c r="D467" s="169">
        <v>153.87</v>
      </c>
      <c r="E467" s="169">
        <v>147.26</v>
      </c>
      <c r="F467" s="169"/>
      <c r="G467" s="169">
        <v>-1.6500000000000001E-2</v>
      </c>
      <c r="H467" s="53">
        <f t="shared" si="8"/>
        <v>-7.3203740157480324E-2</v>
      </c>
      <c r="I467" s="292"/>
      <c r="J467" s="52">
        <v>39936</v>
      </c>
      <c r="K467" s="51">
        <v>929.23</v>
      </c>
      <c r="L467" s="51">
        <v>879.21</v>
      </c>
      <c r="M467" s="51">
        <v>930.17</v>
      </c>
      <c r="N467" s="51">
        <v>879.21</v>
      </c>
      <c r="O467" s="51" t="s">
        <v>514</v>
      </c>
      <c r="P467" s="58">
        <v>5.8900000000000001E-2</v>
      </c>
    </row>
    <row r="468" spans="1:16" x14ac:dyDescent="0.2">
      <c r="A468" s="56">
        <v>30834</v>
      </c>
      <c r="B468" s="169">
        <v>153.18</v>
      </c>
      <c r="C468" s="169">
        <v>150.55000000000001</v>
      </c>
      <c r="D468" s="169">
        <v>155.63999999999999</v>
      </c>
      <c r="E468" s="169">
        <v>148.53</v>
      </c>
      <c r="F468" s="169"/>
      <c r="G468" s="169">
        <v>1.7500000000000002E-2</v>
      </c>
      <c r="H468" s="53">
        <f t="shared" si="8"/>
        <v>-8.6256263421617629E-2</v>
      </c>
      <c r="I468" s="292"/>
      <c r="J468" s="52">
        <v>39943</v>
      </c>
      <c r="K468" s="51">
        <v>882.88</v>
      </c>
      <c r="L468" s="51">
        <v>922.99</v>
      </c>
      <c r="M468" s="51">
        <v>922.99</v>
      </c>
      <c r="N468" s="51">
        <v>878.94</v>
      </c>
      <c r="O468" s="51" t="s">
        <v>515</v>
      </c>
      <c r="P468" s="58">
        <v>-4.99E-2</v>
      </c>
    </row>
    <row r="469" spans="1:16" x14ac:dyDescent="0.2">
      <c r="A469" s="56">
        <v>30803</v>
      </c>
      <c r="B469" s="169">
        <v>150.55000000000001</v>
      </c>
      <c r="C469" s="169">
        <v>160.05000000000001</v>
      </c>
      <c r="D469" s="169">
        <v>162.11000000000001</v>
      </c>
      <c r="E469" s="169">
        <v>148.68</v>
      </c>
      <c r="F469" s="169"/>
      <c r="G469" s="169">
        <v>-5.9400000000000001E-2</v>
      </c>
      <c r="H469" s="53">
        <f t="shared" si="8"/>
        <v>-7.2910893527926457E-2</v>
      </c>
      <c r="I469" s="292"/>
      <c r="J469" s="52">
        <v>39950</v>
      </c>
      <c r="K469" s="51">
        <v>887</v>
      </c>
      <c r="L469" s="51">
        <v>886.07</v>
      </c>
      <c r="M469" s="51">
        <v>924.6</v>
      </c>
      <c r="N469" s="51">
        <v>879.61</v>
      </c>
      <c r="O469" s="51" t="s">
        <v>516</v>
      </c>
      <c r="P469" s="58">
        <v>4.7000000000000002E-3</v>
      </c>
    </row>
    <row r="470" spans="1:16" x14ac:dyDescent="0.2">
      <c r="A470" s="56">
        <v>30773</v>
      </c>
      <c r="B470" s="169">
        <v>160.05000000000001</v>
      </c>
      <c r="C470" s="169">
        <v>159.18</v>
      </c>
      <c r="D470" s="169">
        <v>160.69</v>
      </c>
      <c r="E470" s="169">
        <v>154.12</v>
      </c>
      <c r="F470" s="169"/>
      <c r="G470" s="169">
        <v>5.4999999999999997E-3</v>
      </c>
      <c r="H470" s="53">
        <f t="shared" si="8"/>
        <v>-2.66374749133369E-2</v>
      </c>
      <c r="I470" s="292"/>
      <c r="J470" s="52">
        <v>39957</v>
      </c>
      <c r="K470" s="51">
        <v>919.14</v>
      </c>
      <c r="L470" s="51">
        <v>887</v>
      </c>
      <c r="M470" s="51">
        <v>920.02</v>
      </c>
      <c r="N470" s="51">
        <v>881.46</v>
      </c>
      <c r="O470" s="51" t="s">
        <v>123</v>
      </c>
      <c r="P470" s="58">
        <v>3.6200000000000003E-2</v>
      </c>
    </row>
    <row r="471" spans="1:16" x14ac:dyDescent="0.2">
      <c r="A471" s="56">
        <v>30742</v>
      </c>
      <c r="B471" s="169">
        <v>159.18</v>
      </c>
      <c r="C471" s="169">
        <v>157.06</v>
      </c>
      <c r="D471" s="169">
        <v>160.46</v>
      </c>
      <c r="E471" s="169">
        <v>153.77000000000001</v>
      </c>
      <c r="F471" s="169"/>
      <c r="G471" s="169">
        <v>1.35E-2</v>
      </c>
      <c r="H471" s="53">
        <f t="shared" si="8"/>
        <v>4.0664225941422494E-2</v>
      </c>
      <c r="I471" s="292"/>
      <c r="J471" s="52">
        <v>39964</v>
      </c>
      <c r="K471" s="51">
        <v>940.09</v>
      </c>
      <c r="L471" s="51">
        <v>923.26</v>
      </c>
      <c r="M471" s="51">
        <v>951.69</v>
      </c>
      <c r="N471" s="51">
        <v>923.26</v>
      </c>
      <c r="O471" s="51" t="s">
        <v>123</v>
      </c>
      <c r="P471" s="58">
        <v>2.2800000000000001E-2</v>
      </c>
    </row>
    <row r="472" spans="1:16" x14ac:dyDescent="0.2">
      <c r="A472" s="56">
        <v>30713</v>
      </c>
      <c r="B472" s="169">
        <v>157.06</v>
      </c>
      <c r="C472" s="169">
        <v>163.41</v>
      </c>
      <c r="D472" s="169">
        <v>164</v>
      </c>
      <c r="E472" s="169">
        <v>152.13</v>
      </c>
      <c r="F472" s="169"/>
      <c r="G472" s="169">
        <v>-3.8899999999999997E-2</v>
      </c>
      <c r="H472" s="53">
        <f t="shared" si="8"/>
        <v>6.0786167769823152E-2</v>
      </c>
      <c r="I472" s="292"/>
      <c r="J472" s="52">
        <v>39971</v>
      </c>
      <c r="K472" s="51">
        <v>946.21</v>
      </c>
      <c r="L472" s="51">
        <v>938.12</v>
      </c>
      <c r="M472" s="51">
        <v>956.23</v>
      </c>
      <c r="N472" s="51">
        <v>926.44</v>
      </c>
      <c r="O472" s="51" t="s">
        <v>123</v>
      </c>
      <c r="P472" s="58">
        <v>6.4999999999999997E-3</v>
      </c>
    </row>
    <row r="473" spans="1:16" x14ac:dyDescent="0.2">
      <c r="A473" s="56">
        <v>30682</v>
      </c>
      <c r="B473" s="169">
        <v>163.41</v>
      </c>
      <c r="C473" s="169">
        <v>164.93</v>
      </c>
      <c r="D473" s="169">
        <v>169.54</v>
      </c>
      <c r="E473" s="169">
        <v>162.03</v>
      </c>
      <c r="F473" s="169"/>
      <c r="G473" s="169">
        <v>-9.1999999999999998E-3</v>
      </c>
      <c r="H473" s="53">
        <f t="shared" si="8"/>
        <v>0.12463867859600808</v>
      </c>
      <c r="I473" s="292"/>
      <c r="J473" s="52">
        <v>39978</v>
      </c>
      <c r="K473" s="51">
        <v>921.23</v>
      </c>
      <c r="L473" s="51">
        <v>942.45</v>
      </c>
      <c r="M473" s="51">
        <v>942.45</v>
      </c>
      <c r="N473" s="51">
        <v>903.78</v>
      </c>
      <c r="O473" s="51" t="s">
        <v>123</v>
      </c>
      <c r="P473" s="58">
        <v>-2.64E-2</v>
      </c>
    </row>
    <row r="474" spans="1:16" x14ac:dyDescent="0.2">
      <c r="A474" s="56">
        <v>30651</v>
      </c>
      <c r="B474" s="169">
        <v>164.93</v>
      </c>
      <c r="C474" s="169">
        <v>166.37</v>
      </c>
      <c r="D474" s="169">
        <v>166.77</v>
      </c>
      <c r="E474" s="169">
        <v>161.58000000000001</v>
      </c>
      <c r="F474" s="169"/>
      <c r="G474" s="169">
        <v>-8.8000000000000005E-3</v>
      </c>
      <c r="H474" s="53">
        <f t="shared" si="8"/>
        <v>0.17271046643913546</v>
      </c>
      <c r="I474" s="292"/>
      <c r="J474" s="52">
        <v>39985</v>
      </c>
      <c r="K474" s="51">
        <v>918.9</v>
      </c>
      <c r="L474" s="51">
        <v>918.13</v>
      </c>
      <c r="M474" s="51">
        <v>922</v>
      </c>
      <c r="N474" s="51">
        <v>888.86</v>
      </c>
      <c r="O474" s="51" t="s">
        <v>123</v>
      </c>
      <c r="P474" s="58">
        <v>-2.5000000000000001E-3</v>
      </c>
    </row>
    <row r="475" spans="1:16" x14ac:dyDescent="0.2">
      <c r="A475" s="56">
        <v>30621</v>
      </c>
      <c r="B475" s="169">
        <v>166.4</v>
      </c>
      <c r="C475" s="169">
        <v>163.55000000000001</v>
      </c>
      <c r="D475" s="169">
        <v>168.07</v>
      </c>
      <c r="E475" s="169">
        <v>161.63</v>
      </c>
      <c r="F475" s="169"/>
      <c r="G475" s="169">
        <v>1.7399999999999999E-2</v>
      </c>
      <c r="H475" s="53">
        <f t="shared" si="8"/>
        <v>0.20118385909189351</v>
      </c>
      <c r="I475" s="292"/>
      <c r="J475" s="52">
        <v>39992</v>
      </c>
      <c r="K475" s="51">
        <v>896.42</v>
      </c>
      <c r="L475" s="51">
        <v>919.86</v>
      </c>
      <c r="M475" s="51">
        <v>931.92</v>
      </c>
      <c r="N475" s="51">
        <v>896.42</v>
      </c>
      <c r="O475" s="51" t="s">
        <v>123</v>
      </c>
      <c r="P475" s="58">
        <v>-2.4500000000000001E-2</v>
      </c>
    </row>
    <row r="476" spans="1:16" x14ac:dyDescent="0.2">
      <c r="A476" s="56">
        <v>30590</v>
      </c>
      <c r="B476" s="169">
        <v>163.55000000000001</v>
      </c>
      <c r="C476" s="169">
        <v>165.99</v>
      </c>
      <c r="D476" s="169">
        <v>172.65</v>
      </c>
      <c r="E476" s="169">
        <v>162.86000000000001</v>
      </c>
      <c r="F476" s="169"/>
      <c r="G476" s="169">
        <v>-1.52E-2</v>
      </c>
      <c r="H476" s="53">
        <f t="shared" si="8"/>
        <v>0.22307807358659892</v>
      </c>
      <c r="I476" s="292"/>
      <c r="J476" s="52">
        <v>39999</v>
      </c>
      <c r="K476" s="51">
        <v>879.13</v>
      </c>
      <c r="L476" s="51">
        <v>894.27</v>
      </c>
      <c r="M476" s="51">
        <v>898.72</v>
      </c>
      <c r="N476" s="51">
        <v>869.32</v>
      </c>
      <c r="O476" s="51" t="s">
        <v>123</v>
      </c>
      <c r="P476" s="58">
        <v>-1.9300000000000001E-2</v>
      </c>
    </row>
    <row r="477" spans="1:16" x14ac:dyDescent="0.2">
      <c r="A477" s="56">
        <v>30560</v>
      </c>
      <c r="B477" s="169">
        <v>166.07</v>
      </c>
      <c r="C477" s="169">
        <v>164.4</v>
      </c>
      <c r="D477" s="169">
        <v>170.41</v>
      </c>
      <c r="E477" s="169">
        <v>163.95</v>
      </c>
      <c r="F477" s="169"/>
      <c r="G477" s="169">
        <v>1.0200000000000001E-2</v>
      </c>
      <c r="H477" s="53">
        <f t="shared" si="8"/>
        <v>0.37908985218402247</v>
      </c>
      <c r="I477" s="292"/>
      <c r="J477" s="52">
        <v>40006</v>
      </c>
      <c r="K477" s="51">
        <v>940.38</v>
      </c>
      <c r="L477" s="51">
        <v>879.57</v>
      </c>
      <c r="M477" s="51">
        <v>943.96</v>
      </c>
      <c r="N477" s="51">
        <v>875.32</v>
      </c>
      <c r="O477" s="51" t="s">
        <v>123</v>
      </c>
      <c r="P477" s="58">
        <v>6.9699999999999998E-2</v>
      </c>
    </row>
    <row r="478" spans="1:16" x14ac:dyDescent="0.2">
      <c r="A478" s="56">
        <v>30529</v>
      </c>
      <c r="B478" s="169">
        <v>164.4</v>
      </c>
      <c r="C478" s="169">
        <v>162.34</v>
      </c>
      <c r="D478" s="169">
        <v>165.91</v>
      </c>
      <c r="E478" s="169">
        <v>158.5</v>
      </c>
      <c r="F478" s="169"/>
      <c r="G478" s="169">
        <v>1.1299999999999999E-2</v>
      </c>
      <c r="H478" s="53">
        <f t="shared" si="8"/>
        <v>0.37561710317128272</v>
      </c>
      <c r="I478" s="292"/>
      <c r="J478" s="52">
        <v>40013</v>
      </c>
      <c r="K478" s="51">
        <v>979.26</v>
      </c>
      <c r="L478" s="51">
        <v>942.07</v>
      </c>
      <c r="M478" s="51">
        <v>979.79</v>
      </c>
      <c r="N478" s="51">
        <v>940.99</v>
      </c>
      <c r="O478" s="51" t="s">
        <v>123</v>
      </c>
      <c r="P478" s="58">
        <v>4.1300000000000003E-2</v>
      </c>
    </row>
    <row r="479" spans="1:16" x14ac:dyDescent="0.2">
      <c r="A479" s="56">
        <v>30498</v>
      </c>
      <c r="B479" s="169">
        <v>162.56</v>
      </c>
      <c r="C479" s="169">
        <v>168.11</v>
      </c>
      <c r="D479" s="169">
        <v>170.72</v>
      </c>
      <c r="E479" s="169">
        <v>161.5</v>
      </c>
      <c r="F479" s="169"/>
      <c r="G479" s="169">
        <v>-3.0300000000000001E-2</v>
      </c>
      <c r="H479" s="53">
        <f t="shared" si="8"/>
        <v>0.5179755345970678</v>
      </c>
      <c r="I479" s="292"/>
      <c r="J479" s="52">
        <v>40020</v>
      </c>
      <c r="K479" s="51">
        <v>987.48</v>
      </c>
      <c r="L479" s="51">
        <v>978.63</v>
      </c>
      <c r="M479" s="51">
        <v>996.68</v>
      </c>
      <c r="N479" s="51">
        <v>968.65</v>
      </c>
      <c r="O479" s="51" t="s">
        <v>123</v>
      </c>
      <c r="P479" s="58">
        <v>8.3999999999999995E-3</v>
      </c>
    </row>
    <row r="480" spans="1:16" x14ac:dyDescent="0.2">
      <c r="A480" s="56">
        <v>30468</v>
      </c>
      <c r="B480" s="169">
        <v>167.64</v>
      </c>
      <c r="C480" s="169">
        <v>162.38</v>
      </c>
      <c r="D480" s="169">
        <v>171.6</v>
      </c>
      <c r="E480" s="169">
        <v>160.80000000000001</v>
      </c>
      <c r="F480" s="169"/>
      <c r="G480" s="169">
        <v>3.2300000000000002E-2</v>
      </c>
      <c r="H480" s="53">
        <f t="shared" si="8"/>
        <v>0.52942249794726748</v>
      </c>
      <c r="I480" s="292"/>
      <c r="J480" s="52">
        <v>40027</v>
      </c>
      <c r="K480" s="57">
        <v>1010.48</v>
      </c>
      <c r="L480" s="51">
        <v>990.22</v>
      </c>
      <c r="M480" s="57">
        <v>1018</v>
      </c>
      <c r="N480" s="51">
        <v>990.22</v>
      </c>
      <c r="O480" s="51" t="s">
        <v>123</v>
      </c>
      <c r="P480" s="58">
        <v>2.3300000000000001E-2</v>
      </c>
    </row>
    <row r="481" spans="1:16" x14ac:dyDescent="0.2">
      <c r="A481" s="56">
        <v>30437</v>
      </c>
      <c r="B481" s="169">
        <v>162.38999999999999</v>
      </c>
      <c r="C481" s="169">
        <v>164.41</v>
      </c>
      <c r="D481" s="169">
        <v>166.99</v>
      </c>
      <c r="E481" s="169">
        <v>160.29</v>
      </c>
      <c r="F481" s="169"/>
      <c r="G481" s="169">
        <v>-1.24E-2</v>
      </c>
      <c r="H481" s="53">
        <f t="shared" si="8"/>
        <v>0.45146585627457991</v>
      </c>
      <c r="I481" s="292"/>
      <c r="J481" s="52">
        <v>40034</v>
      </c>
      <c r="K481" s="57">
        <v>1004.09</v>
      </c>
      <c r="L481" s="57">
        <v>1008.89</v>
      </c>
      <c r="M481" s="57">
        <v>1013.14</v>
      </c>
      <c r="N481" s="51">
        <v>992.4</v>
      </c>
      <c r="O481" s="51" t="s">
        <v>123</v>
      </c>
      <c r="P481" s="58">
        <v>-6.3E-3</v>
      </c>
    </row>
    <row r="482" spans="1:16" x14ac:dyDescent="0.2">
      <c r="A482" s="56">
        <v>30407</v>
      </c>
      <c r="B482" s="169">
        <v>164.43</v>
      </c>
      <c r="C482" s="169">
        <v>152.91999999999999</v>
      </c>
      <c r="D482" s="169">
        <v>164.43</v>
      </c>
      <c r="E482" s="169">
        <v>150.16999999999999</v>
      </c>
      <c r="F482" s="169"/>
      <c r="G482" s="169">
        <v>7.4999999999999997E-2</v>
      </c>
      <c r="H482" s="53">
        <f t="shared" si="8"/>
        <v>0.41214359326691863</v>
      </c>
      <c r="I482" s="292"/>
      <c r="J482" s="52">
        <v>40041</v>
      </c>
      <c r="K482" s="57">
        <v>1026.1300000000001</v>
      </c>
      <c r="L482" s="51">
        <v>998.18</v>
      </c>
      <c r="M482" s="57">
        <v>1027.5899999999999</v>
      </c>
      <c r="N482" s="51">
        <v>978.51</v>
      </c>
      <c r="O482" s="51" t="s">
        <v>123</v>
      </c>
      <c r="P482" s="58">
        <v>2.1999999999999999E-2</v>
      </c>
    </row>
    <row r="483" spans="1:16" x14ac:dyDescent="0.2">
      <c r="A483" s="56">
        <v>30376</v>
      </c>
      <c r="B483" s="169">
        <v>152.96</v>
      </c>
      <c r="C483" s="169">
        <v>148.07</v>
      </c>
      <c r="D483" s="169">
        <v>155.02000000000001</v>
      </c>
      <c r="E483" s="169">
        <v>148.07</v>
      </c>
      <c r="F483" s="169"/>
      <c r="G483" s="169">
        <v>3.3099999999999997E-2</v>
      </c>
      <c r="H483" s="53">
        <f t="shared" si="8"/>
        <v>0.36620221507681339</v>
      </c>
      <c r="I483" s="292"/>
      <c r="J483" s="52">
        <v>40048</v>
      </c>
      <c r="K483" s="57">
        <v>1028.93</v>
      </c>
      <c r="L483" s="57">
        <v>1026.5899999999999</v>
      </c>
      <c r="M483" s="57">
        <v>1039.47</v>
      </c>
      <c r="N483" s="57">
        <v>1016.2</v>
      </c>
      <c r="O483" s="51" t="s">
        <v>123</v>
      </c>
      <c r="P483" s="58">
        <v>2.7000000000000001E-3</v>
      </c>
    </row>
    <row r="484" spans="1:16" x14ac:dyDescent="0.2">
      <c r="A484" s="56">
        <v>30348</v>
      </c>
      <c r="B484" s="169">
        <v>148.06</v>
      </c>
      <c r="C484" s="169">
        <v>145.29</v>
      </c>
      <c r="D484" s="169">
        <v>150.88</v>
      </c>
      <c r="E484" s="169">
        <v>141.9</v>
      </c>
      <c r="F484" s="169"/>
      <c r="G484" s="169">
        <v>1.9E-2</v>
      </c>
      <c r="H484" s="53">
        <f t="shared" si="8"/>
        <v>0.30899124745822659</v>
      </c>
      <c r="I484" s="292"/>
      <c r="J484" s="52">
        <v>40055</v>
      </c>
      <c r="K484" s="57">
        <v>1016.4</v>
      </c>
      <c r="L484" s="57">
        <v>1025.21</v>
      </c>
      <c r="M484" s="57">
        <v>1028.45</v>
      </c>
      <c r="N484" s="51">
        <v>991.97</v>
      </c>
      <c r="O484" s="51" t="s">
        <v>123</v>
      </c>
      <c r="P484" s="58">
        <v>-1.2200000000000001E-2</v>
      </c>
    </row>
    <row r="485" spans="1:16" x14ac:dyDescent="0.2">
      <c r="A485" s="56">
        <v>30317</v>
      </c>
      <c r="B485" s="169">
        <v>145.30000000000001</v>
      </c>
      <c r="C485" s="169">
        <v>140.65</v>
      </c>
      <c r="D485" s="169">
        <v>148.36000000000001</v>
      </c>
      <c r="E485" s="169">
        <v>138.08000000000001</v>
      </c>
      <c r="F485" s="169"/>
      <c r="G485" s="169">
        <v>3.3099999999999997E-2</v>
      </c>
      <c r="H485" s="53">
        <f t="shared" si="8"/>
        <v>0.20681063122923593</v>
      </c>
      <c r="I485" s="292"/>
      <c r="J485" s="52">
        <v>40062</v>
      </c>
      <c r="K485" s="57">
        <v>1042.73</v>
      </c>
      <c r="L485" s="57">
        <v>1018.67</v>
      </c>
      <c r="M485" s="57">
        <v>1048.18</v>
      </c>
      <c r="N485" s="57">
        <v>1018.67</v>
      </c>
      <c r="O485" s="51" t="s">
        <v>123</v>
      </c>
      <c r="P485" s="58">
        <v>2.5899999999999999E-2</v>
      </c>
    </row>
    <row r="486" spans="1:16" x14ac:dyDescent="0.2">
      <c r="A486" s="56">
        <v>30286</v>
      </c>
      <c r="B486" s="169">
        <v>140.63999999999999</v>
      </c>
      <c r="C486" s="169">
        <v>138.56</v>
      </c>
      <c r="D486" s="169">
        <v>143.68</v>
      </c>
      <c r="E486" s="169">
        <v>134.79</v>
      </c>
      <c r="F486" s="169"/>
      <c r="G486" s="169">
        <v>1.52E-2</v>
      </c>
      <c r="H486" s="53">
        <f t="shared" si="8"/>
        <v>0.14761321909424718</v>
      </c>
      <c r="I486" s="292"/>
      <c r="J486" s="52">
        <v>40069</v>
      </c>
      <c r="K486" s="57">
        <v>1068.3</v>
      </c>
      <c r="L486" s="57">
        <v>1040.1500000000001</v>
      </c>
      <c r="M486" s="57">
        <v>1074.77</v>
      </c>
      <c r="N486" s="57">
        <v>1035</v>
      </c>
      <c r="O486" s="51" t="s">
        <v>123</v>
      </c>
      <c r="P486" s="58">
        <v>2.4500000000000001E-2</v>
      </c>
    </row>
    <row r="487" spans="1:16" x14ac:dyDescent="0.2">
      <c r="A487" s="56">
        <v>30256</v>
      </c>
      <c r="B487" s="169">
        <v>138.53</v>
      </c>
      <c r="C487" s="169">
        <v>133.72</v>
      </c>
      <c r="D487" s="169">
        <v>144.36000000000001</v>
      </c>
      <c r="E487" s="169">
        <v>132.88999999999999</v>
      </c>
      <c r="F487" s="169"/>
      <c r="G487" s="169">
        <v>3.5999999999999997E-2</v>
      </c>
      <c r="H487" s="53">
        <f t="shared" si="8"/>
        <v>9.6398891966759104E-2</v>
      </c>
      <c r="I487" s="292"/>
      <c r="J487" s="52">
        <v>40076</v>
      </c>
      <c r="K487" s="57">
        <v>1044.3800000000001</v>
      </c>
      <c r="L487" s="57">
        <v>1067.1400000000001</v>
      </c>
      <c r="M487" s="57">
        <v>1080.1500000000001</v>
      </c>
      <c r="N487" s="57">
        <v>1041.17</v>
      </c>
      <c r="O487" s="51" t="s">
        <v>123</v>
      </c>
      <c r="P487" s="58">
        <v>-2.24E-2</v>
      </c>
    </row>
    <row r="488" spans="1:16" x14ac:dyDescent="0.2">
      <c r="A488" s="56">
        <v>30225</v>
      </c>
      <c r="B488" s="169">
        <v>133.72</v>
      </c>
      <c r="C488" s="169">
        <v>120.4</v>
      </c>
      <c r="D488" s="169">
        <v>140.4</v>
      </c>
      <c r="E488" s="169">
        <v>120.15</v>
      </c>
      <c r="F488" s="169"/>
      <c r="G488" s="169">
        <v>0.1104</v>
      </c>
      <c r="H488" s="53">
        <f t="shared" si="8"/>
        <v>9.7054721470178018E-2</v>
      </c>
      <c r="I488" s="292"/>
      <c r="J488" s="52">
        <v>40083</v>
      </c>
      <c r="K488" s="57">
        <v>1025.21</v>
      </c>
      <c r="L488" s="57">
        <v>1045.3800000000001</v>
      </c>
      <c r="M488" s="57">
        <v>1069.6199999999999</v>
      </c>
      <c r="N488" s="57">
        <v>1019.95</v>
      </c>
      <c r="O488" s="51" t="s">
        <v>123</v>
      </c>
      <c r="P488" s="58">
        <v>-1.84E-2</v>
      </c>
    </row>
    <row r="489" spans="1:16" x14ac:dyDescent="0.2">
      <c r="A489" s="56">
        <v>30195</v>
      </c>
      <c r="B489" s="169">
        <v>120.42</v>
      </c>
      <c r="C489" s="169">
        <v>119.52</v>
      </c>
      <c r="D489" s="169">
        <v>126.43</v>
      </c>
      <c r="E489" s="169">
        <v>117.84</v>
      </c>
      <c r="F489" s="169"/>
      <c r="G489" s="169">
        <v>7.6E-3</v>
      </c>
      <c r="H489" s="53">
        <f t="shared" si="8"/>
        <v>3.6495093819934432E-2</v>
      </c>
      <c r="I489" s="292"/>
      <c r="J489" s="52">
        <v>40090</v>
      </c>
      <c r="K489" s="57">
        <v>1071.49</v>
      </c>
      <c r="L489" s="57">
        <v>1026.8699999999999</v>
      </c>
      <c r="M489" s="57">
        <v>1071.51</v>
      </c>
      <c r="N489" s="57">
        <v>1025.92</v>
      </c>
      <c r="O489" s="51" t="s">
        <v>123</v>
      </c>
      <c r="P489" s="58">
        <v>4.5100000000000001E-2</v>
      </c>
    </row>
    <row r="490" spans="1:16" x14ac:dyDescent="0.2">
      <c r="A490" s="56">
        <v>30164</v>
      </c>
      <c r="B490" s="169">
        <v>119.51</v>
      </c>
      <c r="C490" s="169">
        <v>107.71</v>
      </c>
      <c r="D490" s="169">
        <v>120.26</v>
      </c>
      <c r="E490" s="169">
        <v>102.2</v>
      </c>
      <c r="F490" s="169"/>
      <c r="G490" s="169">
        <v>0.11600000000000001</v>
      </c>
      <c r="H490" s="53">
        <f t="shared" si="8"/>
        <v>-2.6712272986399554E-2</v>
      </c>
      <c r="I490" s="292"/>
      <c r="J490" s="52">
        <v>40097</v>
      </c>
      <c r="K490" s="57">
        <v>1087.68</v>
      </c>
      <c r="L490" s="57">
        <v>1071.6300000000001</v>
      </c>
      <c r="M490" s="57">
        <v>1096.56</v>
      </c>
      <c r="N490" s="57">
        <v>1066.71</v>
      </c>
      <c r="O490" s="51" t="s">
        <v>123</v>
      </c>
      <c r="P490" s="58">
        <v>1.5100000000000001E-2</v>
      </c>
    </row>
    <row r="491" spans="1:16" x14ac:dyDescent="0.2">
      <c r="A491" s="56">
        <v>30133</v>
      </c>
      <c r="B491" s="169">
        <v>107.09</v>
      </c>
      <c r="C491" s="169">
        <v>109.52</v>
      </c>
      <c r="D491" s="169">
        <v>112.39</v>
      </c>
      <c r="E491" s="169">
        <v>105.57</v>
      </c>
      <c r="F491" s="169"/>
      <c r="G491" s="169">
        <v>-2.3E-2</v>
      </c>
      <c r="H491" s="53">
        <f t="shared" si="8"/>
        <v>-0.18201955392606162</v>
      </c>
      <c r="I491" s="292"/>
      <c r="J491" s="52">
        <v>40104</v>
      </c>
      <c r="K491" s="57">
        <v>1079.5999999999999</v>
      </c>
      <c r="L491" s="57">
        <v>1088.22</v>
      </c>
      <c r="M491" s="57">
        <v>1101.3599999999999</v>
      </c>
      <c r="N491" s="57">
        <v>1074.31</v>
      </c>
      <c r="O491" s="51" t="s">
        <v>123</v>
      </c>
      <c r="P491" s="58">
        <v>-7.4000000000000003E-3</v>
      </c>
    </row>
    <row r="492" spans="1:16" x14ac:dyDescent="0.2">
      <c r="A492" s="56">
        <v>30103</v>
      </c>
      <c r="B492" s="169">
        <v>109.61</v>
      </c>
      <c r="C492" s="169">
        <v>111.97</v>
      </c>
      <c r="D492" s="169">
        <v>112.48</v>
      </c>
      <c r="E492" s="169">
        <v>107.01</v>
      </c>
      <c r="F492" s="169"/>
      <c r="G492" s="169">
        <v>-2.0299999999999999E-2</v>
      </c>
      <c r="H492" s="53">
        <f t="shared" si="8"/>
        <v>-0.16462159896349371</v>
      </c>
      <c r="I492" s="292"/>
      <c r="J492" s="52">
        <v>40111</v>
      </c>
      <c r="K492" s="57">
        <v>1036.19</v>
      </c>
      <c r="L492" s="57">
        <v>1080.3599999999999</v>
      </c>
      <c r="M492" s="57">
        <v>1091.75</v>
      </c>
      <c r="N492" s="57">
        <v>1033.3800000000001</v>
      </c>
      <c r="O492" s="51" t="s">
        <v>123</v>
      </c>
      <c r="P492" s="58">
        <v>-4.02E-2</v>
      </c>
    </row>
    <row r="493" spans="1:16" x14ac:dyDescent="0.2">
      <c r="A493" s="56">
        <v>30072</v>
      </c>
      <c r="B493" s="169">
        <v>111.88</v>
      </c>
      <c r="C493" s="169">
        <v>115.96</v>
      </c>
      <c r="D493" s="169">
        <v>119.92</v>
      </c>
      <c r="E493" s="169">
        <v>111.66</v>
      </c>
      <c r="F493" s="169"/>
      <c r="G493" s="169">
        <v>-3.9199999999999999E-2</v>
      </c>
      <c r="H493" s="53">
        <f t="shared" si="8"/>
        <v>-0.15619579153782337</v>
      </c>
      <c r="I493" s="292"/>
      <c r="J493" s="52">
        <v>40118</v>
      </c>
      <c r="K493" s="57">
        <v>1069.3</v>
      </c>
      <c r="L493" s="57">
        <v>1036.18</v>
      </c>
      <c r="M493" s="57">
        <v>1071.48</v>
      </c>
      <c r="N493" s="57">
        <v>1029.3800000000001</v>
      </c>
      <c r="O493" s="51" t="s">
        <v>123</v>
      </c>
      <c r="P493" s="58">
        <v>3.2000000000000001E-2</v>
      </c>
    </row>
    <row r="494" spans="1:16" x14ac:dyDescent="0.2">
      <c r="A494" s="56">
        <v>30042</v>
      </c>
      <c r="B494" s="169">
        <v>116.44</v>
      </c>
      <c r="C494" s="169">
        <v>111.96</v>
      </c>
      <c r="D494" s="169">
        <v>119.33</v>
      </c>
      <c r="E494" s="169">
        <v>111.48</v>
      </c>
      <c r="F494" s="169"/>
      <c r="G494" s="169">
        <v>0.04</v>
      </c>
      <c r="H494" s="53">
        <f t="shared" si="8"/>
        <v>-0.12325879075370838</v>
      </c>
      <c r="I494" s="292"/>
      <c r="J494" s="52">
        <v>40125</v>
      </c>
      <c r="K494" s="57">
        <v>1093.48</v>
      </c>
      <c r="L494" s="57">
        <v>1072.31</v>
      </c>
      <c r="M494" s="57">
        <v>1105.3699999999999</v>
      </c>
      <c r="N494" s="57">
        <v>1072.31</v>
      </c>
      <c r="O494" s="51" t="s">
        <v>123</v>
      </c>
      <c r="P494" s="58">
        <v>2.2599999999999999E-2</v>
      </c>
    </row>
    <row r="495" spans="1:16" x14ac:dyDescent="0.2">
      <c r="A495" s="56">
        <v>30011</v>
      </c>
      <c r="B495" s="169">
        <v>111.96</v>
      </c>
      <c r="C495" s="169">
        <v>113.11</v>
      </c>
      <c r="D495" s="169">
        <v>114.8</v>
      </c>
      <c r="E495" s="169">
        <v>104.46</v>
      </c>
      <c r="F495" s="169"/>
      <c r="G495" s="169">
        <v>-1.0200000000000001E-2</v>
      </c>
      <c r="H495" s="53">
        <f t="shared" si="8"/>
        <v>-0.17676470588235293</v>
      </c>
      <c r="I495" s="292"/>
      <c r="J495" s="52">
        <v>40132</v>
      </c>
      <c r="K495" s="57">
        <v>1091.3800000000001</v>
      </c>
      <c r="L495" s="57">
        <v>1094.1300000000001</v>
      </c>
      <c r="M495" s="57">
        <v>1113.69</v>
      </c>
      <c r="N495" s="57">
        <v>1086.81</v>
      </c>
      <c r="O495" s="51" t="s">
        <v>123</v>
      </c>
      <c r="P495" s="58">
        <v>-1.9E-3</v>
      </c>
    </row>
    <row r="496" spans="1:16" x14ac:dyDescent="0.2">
      <c r="A496" s="56">
        <v>29983</v>
      </c>
      <c r="B496" s="169">
        <v>113.11</v>
      </c>
      <c r="C496" s="169">
        <v>119.81</v>
      </c>
      <c r="D496" s="169">
        <v>119.81</v>
      </c>
      <c r="E496" s="169">
        <v>110.03</v>
      </c>
      <c r="F496" s="169"/>
      <c r="G496" s="169">
        <v>-6.0499999999999998E-2</v>
      </c>
      <c r="H496" s="53">
        <f t="shared" si="8"/>
        <v>-0.13834082425535166</v>
      </c>
      <c r="I496" s="292"/>
      <c r="J496" s="52">
        <v>40139</v>
      </c>
      <c r="K496" s="57">
        <v>1091.49</v>
      </c>
      <c r="L496" s="57">
        <v>1094.8599999999999</v>
      </c>
      <c r="M496" s="57">
        <v>1112.3800000000001</v>
      </c>
      <c r="N496" s="57">
        <v>1083.74</v>
      </c>
      <c r="O496" s="51" t="s">
        <v>123</v>
      </c>
      <c r="P496" s="58">
        <v>1E-4</v>
      </c>
    </row>
    <row r="497" spans="1:16" x14ac:dyDescent="0.2">
      <c r="A497" s="56">
        <v>29952</v>
      </c>
      <c r="B497" s="169">
        <v>120.4</v>
      </c>
      <c r="C497" s="169">
        <v>122.55</v>
      </c>
      <c r="D497" s="169">
        <v>123.72</v>
      </c>
      <c r="E497" s="169">
        <v>113.63</v>
      </c>
      <c r="F497" s="169"/>
      <c r="G497" s="169">
        <v>-1.7500000000000002E-2</v>
      </c>
      <c r="H497" s="53">
        <f t="shared" si="8"/>
        <v>-7.0629100733307637E-2</v>
      </c>
      <c r="I497" s="292"/>
      <c r="J497" s="52">
        <v>40146</v>
      </c>
      <c r="K497" s="57">
        <v>1105.98</v>
      </c>
      <c r="L497" s="57">
        <v>1091.07</v>
      </c>
      <c r="M497" s="57">
        <v>1119.1300000000001</v>
      </c>
      <c r="N497" s="57">
        <v>1086.25</v>
      </c>
      <c r="O497" s="51" t="s">
        <v>123</v>
      </c>
      <c r="P497" s="58">
        <v>1.3299999999999999E-2</v>
      </c>
    </row>
    <row r="498" spans="1:16" x14ac:dyDescent="0.2">
      <c r="A498" s="56">
        <v>29921</v>
      </c>
      <c r="B498" s="169">
        <v>122.55</v>
      </c>
      <c r="C498" s="169">
        <v>126.35</v>
      </c>
      <c r="D498" s="169">
        <v>127.32</v>
      </c>
      <c r="E498" s="169">
        <v>121.04</v>
      </c>
      <c r="F498" s="169"/>
      <c r="G498" s="169">
        <v>-3.0099999999999998E-2</v>
      </c>
      <c r="H498" s="53">
        <f t="shared" si="8"/>
        <v>-9.7304065998821465E-2</v>
      </c>
      <c r="I498" s="292"/>
      <c r="J498" s="52">
        <v>40153</v>
      </c>
      <c r="K498" s="57">
        <v>1106.4100000000001</v>
      </c>
      <c r="L498" s="57">
        <v>1105.52</v>
      </c>
      <c r="M498" s="57">
        <v>1110.72</v>
      </c>
      <c r="N498" s="57">
        <v>1085.8900000000001</v>
      </c>
      <c r="O498" s="51" t="s">
        <v>123</v>
      </c>
      <c r="P498" s="58">
        <v>4.0000000000000002E-4</v>
      </c>
    </row>
    <row r="499" spans="1:16" x14ac:dyDescent="0.2">
      <c r="A499" s="56">
        <v>29891</v>
      </c>
      <c r="B499" s="169">
        <v>126.35</v>
      </c>
      <c r="C499" s="169">
        <v>122.35</v>
      </c>
      <c r="D499" s="169">
        <v>126.97</v>
      </c>
      <c r="E499" s="169">
        <v>119.13</v>
      </c>
      <c r="F499" s="169"/>
      <c r="G499" s="169">
        <v>3.6600000000000001E-2</v>
      </c>
      <c r="H499" s="53">
        <f t="shared" si="8"/>
        <v>-0.1008397381155709</v>
      </c>
      <c r="I499" s="292"/>
      <c r="J499" s="52">
        <v>40160</v>
      </c>
      <c r="K499" s="57">
        <v>1102.47</v>
      </c>
      <c r="L499" s="57">
        <v>1107.8399999999999</v>
      </c>
      <c r="M499" s="57">
        <v>1116.21</v>
      </c>
      <c r="N499" s="57">
        <v>1093.8800000000001</v>
      </c>
      <c r="O499" s="51" t="s">
        <v>123</v>
      </c>
      <c r="P499" s="58">
        <v>-3.5999999999999999E-3</v>
      </c>
    </row>
    <row r="500" spans="1:16" x14ac:dyDescent="0.2">
      <c r="A500" s="56">
        <v>29860</v>
      </c>
      <c r="B500" s="169">
        <v>121.89</v>
      </c>
      <c r="C500" s="169">
        <v>116.18</v>
      </c>
      <c r="D500" s="169">
        <v>123.28</v>
      </c>
      <c r="E500" s="169">
        <v>115</v>
      </c>
      <c r="F500" s="169"/>
      <c r="G500" s="169">
        <v>4.9099999999999998E-2</v>
      </c>
      <c r="H500" s="53">
        <f t="shared" si="8"/>
        <v>-4.3775005883737284E-2</v>
      </c>
      <c r="I500" s="292"/>
      <c r="J500" s="52">
        <v>40167</v>
      </c>
      <c r="K500" s="57">
        <v>1126.48</v>
      </c>
      <c r="L500" s="57">
        <v>1105.31</v>
      </c>
      <c r="M500" s="57">
        <v>1126.48</v>
      </c>
      <c r="N500" s="57">
        <v>1105.31</v>
      </c>
      <c r="O500" s="51" t="s">
        <v>123</v>
      </c>
      <c r="P500" s="58">
        <v>2.18E-2</v>
      </c>
    </row>
    <row r="501" spans="1:16" x14ac:dyDescent="0.2">
      <c r="A501" s="56">
        <v>29830</v>
      </c>
      <c r="B501" s="169">
        <v>116.18</v>
      </c>
      <c r="C501" s="169">
        <v>122.79</v>
      </c>
      <c r="D501" s="169">
        <v>124.58</v>
      </c>
      <c r="E501" s="169">
        <v>110.19</v>
      </c>
      <c r="F501" s="169"/>
      <c r="G501" s="169">
        <v>-5.3800000000000001E-2</v>
      </c>
      <c r="H501" s="53">
        <f t="shared" si="8"/>
        <v>-7.3967798501514359E-2</v>
      </c>
      <c r="I501" s="292"/>
      <c r="J501" s="52">
        <v>40174</v>
      </c>
      <c r="K501" s="57">
        <v>1115.0999999999999</v>
      </c>
      <c r="L501" s="57">
        <v>1127.53</v>
      </c>
      <c r="M501" s="57">
        <v>1130.3800000000001</v>
      </c>
      <c r="N501" s="57">
        <v>1114.81</v>
      </c>
      <c r="O501" s="51" t="s">
        <v>123</v>
      </c>
      <c r="P501" s="58">
        <v>-1.01E-2</v>
      </c>
    </row>
    <row r="502" spans="1:16" x14ac:dyDescent="0.2">
      <c r="A502" s="56">
        <v>29799</v>
      </c>
      <c r="B502" s="169">
        <v>122.79</v>
      </c>
      <c r="C502" s="169">
        <v>130.91999999999999</v>
      </c>
      <c r="D502" s="169">
        <v>135.18</v>
      </c>
      <c r="E502" s="169">
        <v>122.29</v>
      </c>
      <c r="F502" s="169"/>
      <c r="G502" s="169">
        <v>-6.2100000000000002E-2</v>
      </c>
      <c r="H502" s="53">
        <f t="shared" si="8"/>
        <v>3.3502206242850274E-3</v>
      </c>
      <c r="I502" s="292"/>
      <c r="J502" s="52">
        <v>40181</v>
      </c>
      <c r="K502" s="57">
        <v>1144.98</v>
      </c>
      <c r="L502" s="57">
        <v>1116.56</v>
      </c>
      <c r="M502" s="57">
        <v>1145.3900000000001</v>
      </c>
      <c r="N502" s="57">
        <v>1116.56</v>
      </c>
      <c r="O502" s="51" t="s">
        <v>123</v>
      </c>
      <c r="P502" s="58">
        <v>2.6800000000000001E-2</v>
      </c>
    </row>
    <row r="503" spans="1:16" x14ac:dyDescent="0.2">
      <c r="A503" s="56">
        <v>29768</v>
      </c>
      <c r="B503" s="169">
        <v>130.91999999999999</v>
      </c>
      <c r="C503" s="169">
        <v>130.01</v>
      </c>
      <c r="D503" s="169">
        <v>131.78</v>
      </c>
      <c r="E503" s="169">
        <v>125.96</v>
      </c>
      <c r="F503" s="169"/>
      <c r="G503" s="169">
        <v>-2.2000000000000001E-3</v>
      </c>
      <c r="H503" s="53">
        <f t="shared" si="8"/>
        <v>7.6025314374948527E-2</v>
      </c>
      <c r="I503" s="292"/>
      <c r="J503" s="52">
        <v>40188</v>
      </c>
      <c r="K503" s="57">
        <v>1136.03</v>
      </c>
      <c r="L503" s="57">
        <v>1145.96</v>
      </c>
      <c r="M503" s="57">
        <v>1150.4100000000001</v>
      </c>
      <c r="N503" s="57">
        <v>1131.3900000000001</v>
      </c>
      <c r="O503" s="51" t="s">
        <v>123</v>
      </c>
      <c r="P503" s="58">
        <v>-7.7999999999999996E-3</v>
      </c>
    </row>
    <row r="504" spans="1:16" x14ac:dyDescent="0.2">
      <c r="A504" s="56">
        <v>29738</v>
      </c>
      <c r="B504" s="169">
        <v>131.21</v>
      </c>
      <c r="C504" s="169">
        <v>132.59</v>
      </c>
      <c r="D504" s="169">
        <v>135.66999999999999</v>
      </c>
      <c r="E504" s="169">
        <v>128.77000000000001</v>
      </c>
      <c r="F504" s="169"/>
      <c r="G504" s="169">
        <v>-1.04E-2</v>
      </c>
      <c r="H504" s="53">
        <f t="shared" si="8"/>
        <v>0.14854691876750703</v>
      </c>
      <c r="I504" s="292"/>
      <c r="J504" s="52">
        <v>40195</v>
      </c>
      <c r="K504" s="57">
        <v>1091.76</v>
      </c>
      <c r="L504" s="57">
        <v>1136.03</v>
      </c>
      <c r="M504" s="57">
        <v>1150.45</v>
      </c>
      <c r="N504" s="57">
        <v>1090.18</v>
      </c>
      <c r="O504" s="51" t="s">
        <v>123</v>
      </c>
      <c r="P504" s="58">
        <v>-3.9E-2</v>
      </c>
    </row>
    <row r="505" spans="1:16" x14ac:dyDescent="0.2">
      <c r="A505" s="56">
        <v>29707</v>
      </c>
      <c r="B505" s="169">
        <v>132.59</v>
      </c>
      <c r="C505" s="169">
        <v>132.81</v>
      </c>
      <c r="D505" s="169">
        <v>134.91999999999999</v>
      </c>
      <c r="E505" s="169">
        <v>128.78</v>
      </c>
      <c r="F505" s="169"/>
      <c r="G505" s="169">
        <v>-1.6999999999999999E-3</v>
      </c>
      <c r="H505" s="53">
        <f t="shared" si="8"/>
        <v>0.19192736425746149</v>
      </c>
      <c r="I505" s="292"/>
      <c r="J505" s="52">
        <v>40202</v>
      </c>
      <c r="K505" s="57">
        <v>1073.8699999999999</v>
      </c>
      <c r="L505" s="57">
        <v>1092.4000000000001</v>
      </c>
      <c r="M505" s="57">
        <v>1103.69</v>
      </c>
      <c r="N505" s="57">
        <v>1071.5899999999999</v>
      </c>
      <c r="O505" s="51" t="s">
        <v>123</v>
      </c>
      <c r="P505" s="58">
        <v>-1.6400000000000001E-2</v>
      </c>
    </row>
    <row r="506" spans="1:16" x14ac:dyDescent="0.2">
      <c r="A506" s="56">
        <v>29677</v>
      </c>
      <c r="B506" s="169">
        <v>132.81</v>
      </c>
      <c r="C506" s="169">
        <v>136</v>
      </c>
      <c r="D506" s="169">
        <v>137.72</v>
      </c>
      <c r="E506" s="169">
        <v>131.58000000000001</v>
      </c>
      <c r="F506" s="169"/>
      <c r="G506" s="169">
        <v>-2.35E-2</v>
      </c>
      <c r="H506" s="53">
        <f t="shared" si="8"/>
        <v>0.24950606830369737</v>
      </c>
      <c r="I506" s="292"/>
      <c r="J506" s="52">
        <v>40209</v>
      </c>
      <c r="K506" s="57">
        <v>1066.19</v>
      </c>
      <c r="L506" s="57">
        <v>1073.8900000000001</v>
      </c>
      <c r="M506" s="57">
        <v>1104.73</v>
      </c>
      <c r="N506" s="57">
        <v>1044.5</v>
      </c>
      <c r="O506" s="51" t="s">
        <v>123</v>
      </c>
      <c r="P506" s="58">
        <v>-7.1999999999999998E-3</v>
      </c>
    </row>
    <row r="507" spans="1:16" x14ac:dyDescent="0.2">
      <c r="A507" s="56">
        <v>29646</v>
      </c>
      <c r="B507" s="169">
        <v>136</v>
      </c>
      <c r="C507" s="169">
        <v>131.27000000000001</v>
      </c>
      <c r="D507" s="169">
        <v>138.38</v>
      </c>
      <c r="E507" s="169">
        <v>128.56</v>
      </c>
      <c r="F507" s="169"/>
      <c r="G507" s="169">
        <v>3.5999999999999997E-2</v>
      </c>
      <c r="H507" s="53">
        <f t="shared" si="8"/>
        <v>0.33215789989225186</v>
      </c>
      <c r="I507" s="292"/>
      <c r="J507" s="52">
        <v>40216</v>
      </c>
      <c r="K507" s="57">
        <v>1075.51</v>
      </c>
      <c r="L507" s="57">
        <v>1065.51</v>
      </c>
      <c r="M507" s="57">
        <v>1080.04</v>
      </c>
      <c r="N507" s="57">
        <v>1056.51</v>
      </c>
      <c r="O507" s="51" t="s">
        <v>123</v>
      </c>
      <c r="P507" s="58">
        <v>8.6999999999999994E-3</v>
      </c>
    </row>
    <row r="508" spans="1:16" x14ac:dyDescent="0.2">
      <c r="A508" s="56">
        <v>29618</v>
      </c>
      <c r="B508" s="169">
        <v>131.27000000000001</v>
      </c>
      <c r="C508" s="169">
        <v>129.47999999999999</v>
      </c>
      <c r="D508" s="169">
        <v>132.02000000000001</v>
      </c>
      <c r="E508" s="169">
        <v>124.66</v>
      </c>
      <c r="F508" s="169"/>
      <c r="G508" s="169">
        <v>1.3299999999999999E-2</v>
      </c>
      <c r="H508" s="53">
        <f t="shared" si="8"/>
        <v>0.15493577335914144</v>
      </c>
      <c r="I508" s="292"/>
      <c r="J508" s="52">
        <v>40223</v>
      </c>
      <c r="K508" s="57">
        <v>1109.17</v>
      </c>
      <c r="L508" s="57">
        <v>1079.1300000000001</v>
      </c>
      <c r="M508" s="57">
        <v>1112.42</v>
      </c>
      <c r="N508" s="57">
        <v>1079.1300000000001</v>
      </c>
      <c r="O508" s="51" t="s">
        <v>123</v>
      </c>
      <c r="P508" s="58">
        <v>3.1300000000000001E-2</v>
      </c>
    </row>
    <row r="509" spans="1:16" x14ac:dyDescent="0.2">
      <c r="A509" s="56">
        <v>29587</v>
      </c>
      <c r="B509" s="169">
        <v>129.55000000000001</v>
      </c>
      <c r="C509" s="169">
        <v>135.76</v>
      </c>
      <c r="D509" s="169">
        <v>140.32</v>
      </c>
      <c r="E509" s="169">
        <v>128.57</v>
      </c>
      <c r="F509" s="169"/>
      <c r="G509" s="169">
        <v>-4.5699999999999998E-2</v>
      </c>
      <c r="H509" s="53">
        <f t="shared" si="8"/>
        <v>0.13481079187105838</v>
      </c>
      <c r="I509" s="292"/>
      <c r="J509" s="52">
        <v>40230</v>
      </c>
      <c r="K509" s="57">
        <v>1104.49</v>
      </c>
      <c r="L509" s="57">
        <v>1110</v>
      </c>
      <c r="M509" s="57">
        <v>1112.29</v>
      </c>
      <c r="N509" s="57">
        <v>1086.02</v>
      </c>
      <c r="O509" s="51" t="s">
        <v>123</v>
      </c>
      <c r="P509" s="58">
        <v>-4.1999999999999997E-3</v>
      </c>
    </row>
    <row r="510" spans="1:16" x14ac:dyDescent="0.2">
      <c r="A510" s="56">
        <v>29556</v>
      </c>
      <c r="B510" s="169">
        <v>135.76</v>
      </c>
      <c r="C510" s="169">
        <v>140.52000000000001</v>
      </c>
      <c r="D510" s="169">
        <v>140.66</v>
      </c>
      <c r="E510" s="169">
        <v>125.32</v>
      </c>
      <c r="F510" s="169"/>
      <c r="G510" s="169">
        <v>-3.39E-2</v>
      </c>
      <c r="H510" s="53">
        <f t="shared" si="8"/>
        <v>0.25773577913655732</v>
      </c>
      <c r="I510" s="292"/>
      <c r="J510" s="52">
        <v>40237</v>
      </c>
      <c r="K510" s="57">
        <v>1138.7</v>
      </c>
      <c r="L510" s="57">
        <v>1105.3599999999999</v>
      </c>
      <c r="M510" s="57">
        <v>1139.3800000000001</v>
      </c>
      <c r="N510" s="57">
        <v>1105.3599999999999</v>
      </c>
      <c r="O510" s="51" t="s">
        <v>123</v>
      </c>
      <c r="P510" s="58">
        <v>3.1E-2</v>
      </c>
    </row>
    <row r="511" spans="1:16" x14ac:dyDescent="0.2">
      <c r="A511" s="56">
        <v>29526</v>
      </c>
      <c r="B511" s="169">
        <v>140.52000000000001</v>
      </c>
      <c r="C511" s="169">
        <v>127.47</v>
      </c>
      <c r="D511" s="169">
        <v>141.96</v>
      </c>
      <c r="E511" s="169">
        <v>127.23</v>
      </c>
      <c r="F511" s="169"/>
      <c r="G511" s="169">
        <v>0.1024</v>
      </c>
      <c r="H511" s="53">
        <f t="shared" si="8"/>
        <v>0.32366239638281846</v>
      </c>
      <c r="I511" s="292"/>
      <c r="J511" s="52">
        <v>40244</v>
      </c>
      <c r="K511" s="57">
        <v>1149.99</v>
      </c>
      <c r="L511" s="57">
        <v>1138.4000000000001</v>
      </c>
      <c r="M511" s="57">
        <v>1153.4100000000001</v>
      </c>
      <c r="N511" s="57">
        <v>1134.9000000000001</v>
      </c>
      <c r="O511" s="51" t="s">
        <v>123</v>
      </c>
      <c r="P511" s="58">
        <v>9.9000000000000008E-3</v>
      </c>
    </row>
    <row r="512" spans="1:16" x14ac:dyDescent="0.2">
      <c r="A512" s="56">
        <v>29495</v>
      </c>
      <c r="B512" s="169">
        <v>127.47</v>
      </c>
      <c r="C512" s="169">
        <v>125.46</v>
      </c>
      <c r="D512" s="169">
        <v>135.88</v>
      </c>
      <c r="E512" s="169">
        <v>124.66</v>
      </c>
      <c r="F512" s="169"/>
      <c r="G512" s="169">
        <v>1.6E-2</v>
      </c>
      <c r="H512" s="53">
        <f t="shared" si="8"/>
        <v>0.25191514437242191</v>
      </c>
      <c r="I512" s="292"/>
      <c r="J512" s="52">
        <v>40251</v>
      </c>
      <c r="K512" s="57">
        <v>1159.9000000000001</v>
      </c>
      <c r="L512" s="57">
        <v>1148.53</v>
      </c>
      <c r="M512" s="57">
        <v>1169.8399999999999</v>
      </c>
      <c r="N512" s="57">
        <v>1141.45</v>
      </c>
      <c r="O512" s="51" t="s">
        <v>123</v>
      </c>
      <c r="P512" s="58">
        <v>8.6E-3</v>
      </c>
    </row>
    <row r="513" spans="1:16" x14ac:dyDescent="0.2">
      <c r="A513" s="56">
        <v>29465</v>
      </c>
      <c r="B513" s="169">
        <v>125.46</v>
      </c>
      <c r="C513" s="169">
        <v>122.38</v>
      </c>
      <c r="D513" s="169">
        <v>132.16999999999999</v>
      </c>
      <c r="E513" s="169">
        <v>121.79</v>
      </c>
      <c r="F513" s="169"/>
      <c r="G513" s="169">
        <v>2.52E-2</v>
      </c>
      <c r="H513" s="53">
        <f t="shared" si="8"/>
        <v>0.14763995609220637</v>
      </c>
      <c r="I513" s="292"/>
      <c r="J513" s="52">
        <v>40258</v>
      </c>
      <c r="K513" s="57">
        <v>1166.5899999999999</v>
      </c>
      <c r="L513" s="57">
        <v>1157.25</v>
      </c>
      <c r="M513" s="57">
        <v>1180.69</v>
      </c>
      <c r="N513" s="57">
        <v>1152.8800000000001</v>
      </c>
      <c r="O513" s="51" t="s">
        <v>123</v>
      </c>
      <c r="P513" s="58">
        <v>5.7999999999999996E-3</v>
      </c>
    </row>
    <row r="514" spans="1:16" x14ac:dyDescent="0.2">
      <c r="A514" s="56">
        <v>29434</v>
      </c>
      <c r="B514" s="169">
        <v>122.38</v>
      </c>
      <c r="C514" s="169">
        <v>121.67</v>
      </c>
      <c r="D514" s="169">
        <v>127.78</v>
      </c>
      <c r="E514" s="169">
        <v>119.42</v>
      </c>
      <c r="F514" s="169"/>
      <c r="G514" s="169">
        <v>5.7999999999999996E-3</v>
      </c>
      <c r="H514" s="53">
        <f t="shared" si="8"/>
        <v>0.11946578851079392</v>
      </c>
      <c r="I514" s="292"/>
      <c r="J514" s="52">
        <v>40265</v>
      </c>
      <c r="K514" s="57">
        <v>1178.0999999999999</v>
      </c>
      <c r="L514" s="57">
        <v>1167.71</v>
      </c>
      <c r="M514" s="57">
        <v>1181.43</v>
      </c>
      <c r="N514" s="57">
        <v>1165.77</v>
      </c>
      <c r="O514" s="51" t="s">
        <v>123</v>
      </c>
      <c r="P514" s="58">
        <v>9.9000000000000008E-3</v>
      </c>
    </row>
    <row r="515" spans="1:16" x14ac:dyDescent="0.2">
      <c r="A515" s="56">
        <v>29403</v>
      </c>
      <c r="B515" s="169">
        <v>121.67</v>
      </c>
      <c r="C515" s="169">
        <v>114.24</v>
      </c>
      <c r="D515" s="169">
        <v>123.93</v>
      </c>
      <c r="E515" s="169">
        <v>113.54</v>
      </c>
      <c r="F515" s="169"/>
      <c r="G515" s="169">
        <v>6.5000000000000002E-2</v>
      </c>
      <c r="H515" s="53">
        <f t="shared" si="8"/>
        <v>0.17204508236200744</v>
      </c>
      <c r="I515" s="292"/>
      <c r="J515" s="52">
        <v>40272</v>
      </c>
      <c r="K515" s="57">
        <v>1194.3699999999999</v>
      </c>
      <c r="L515" s="57">
        <v>1178.71</v>
      </c>
      <c r="M515" s="57">
        <v>1194.6600000000001</v>
      </c>
      <c r="N515" s="57">
        <v>1175.1199999999999</v>
      </c>
      <c r="O515" s="51" t="s">
        <v>123</v>
      </c>
      <c r="P515" s="58">
        <v>1.38E-2</v>
      </c>
    </row>
    <row r="516" spans="1:16" x14ac:dyDescent="0.2">
      <c r="A516" s="56">
        <v>29373</v>
      </c>
      <c r="B516" s="169">
        <v>114.24</v>
      </c>
      <c r="C516" s="169">
        <v>111.24</v>
      </c>
      <c r="D516" s="169">
        <v>117.98</v>
      </c>
      <c r="E516" s="169">
        <v>109.77</v>
      </c>
      <c r="F516" s="169"/>
      <c r="G516" s="169">
        <v>2.7E-2</v>
      </c>
      <c r="H516" s="53">
        <f t="shared" si="8"/>
        <v>0.11009620056359926</v>
      </c>
      <c r="I516" s="292"/>
      <c r="J516" s="52">
        <v>40279</v>
      </c>
      <c r="K516" s="57">
        <v>1192.1300000000001</v>
      </c>
      <c r="L516" s="57">
        <v>1194.94</v>
      </c>
      <c r="M516" s="57">
        <v>1213.92</v>
      </c>
      <c r="N516" s="57">
        <v>1186.77</v>
      </c>
      <c r="O516" s="51" t="s">
        <v>123</v>
      </c>
      <c r="P516" s="58">
        <v>-1.9E-3</v>
      </c>
    </row>
    <row r="517" spans="1:16" x14ac:dyDescent="0.2">
      <c r="A517" s="56">
        <v>29342</v>
      </c>
      <c r="B517" s="169">
        <v>111.24</v>
      </c>
      <c r="C517" s="169">
        <v>106.29</v>
      </c>
      <c r="D517" s="169">
        <v>112.72</v>
      </c>
      <c r="E517" s="169">
        <v>103.5</v>
      </c>
      <c r="F517" s="169"/>
      <c r="G517" s="169">
        <v>4.6600000000000003E-2</v>
      </c>
      <c r="H517" s="53">
        <f t="shared" si="8"/>
        <v>0.12272910779168344</v>
      </c>
      <c r="I517" s="292"/>
      <c r="J517" s="52">
        <v>40286</v>
      </c>
      <c r="K517" s="57">
        <v>1217.28</v>
      </c>
      <c r="L517" s="57">
        <v>1192.06</v>
      </c>
      <c r="M517" s="57">
        <v>1217.28</v>
      </c>
      <c r="N517" s="57">
        <v>1183.68</v>
      </c>
      <c r="O517" s="51" t="s">
        <v>123</v>
      </c>
      <c r="P517" s="58">
        <v>2.1100000000000001E-2</v>
      </c>
    </row>
    <row r="518" spans="1:16" x14ac:dyDescent="0.2">
      <c r="A518" s="56">
        <v>29312</v>
      </c>
      <c r="B518" s="169">
        <v>106.29</v>
      </c>
      <c r="C518" s="169">
        <v>102.09</v>
      </c>
      <c r="D518" s="169">
        <v>106.79</v>
      </c>
      <c r="E518" s="169">
        <v>98.95</v>
      </c>
      <c r="F518" s="169"/>
      <c r="G518" s="169">
        <v>4.1099999999999998E-2</v>
      </c>
      <c r="H518" s="53">
        <f t="shared" si="8"/>
        <v>4.4516509433962348E-2</v>
      </c>
      <c r="I518" s="292"/>
      <c r="J518" s="52">
        <v>40293</v>
      </c>
      <c r="K518" s="57">
        <v>1186.69</v>
      </c>
      <c r="L518" s="57">
        <v>1217.07</v>
      </c>
      <c r="M518" s="57">
        <v>1219.8</v>
      </c>
      <c r="N518" s="57">
        <v>1181.6199999999999</v>
      </c>
      <c r="O518" s="51" t="s">
        <v>123</v>
      </c>
      <c r="P518" s="58">
        <v>-2.5100000000000001E-2</v>
      </c>
    </row>
    <row r="519" spans="1:16" x14ac:dyDescent="0.2">
      <c r="A519" s="56">
        <v>29281</v>
      </c>
      <c r="B519" s="169">
        <v>102.09</v>
      </c>
      <c r="C519" s="169">
        <v>113.66</v>
      </c>
      <c r="D519" s="169">
        <v>114.34</v>
      </c>
      <c r="E519" s="169">
        <v>94.23</v>
      </c>
      <c r="F519" s="169"/>
      <c r="G519" s="169">
        <v>-0.1018</v>
      </c>
      <c r="H519" s="53">
        <f t="shared" si="8"/>
        <v>4.9217442661679822E-3</v>
      </c>
      <c r="I519" s="292"/>
      <c r="J519" s="52">
        <v>40300</v>
      </c>
      <c r="K519" s="57">
        <v>1110.8800000000001</v>
      </c>
      <c r="L519" s="57">
        <v>1188.58</v>
      </c>
      <c r="M519" s="57">
        <v>1205.1300000000001</v>
      </c>
      <c r="N519" s="57">
        <v>1065.79</v>
      </c>
      <c r="O519" s="51" t="s">
        <v>123</v>
      </c>
      <c r="P519" s="58">
        <v>-6.3899999999999998E-2</v>
      </c>
    </row>
    <row r="520" spans="1:16" x14ac:dyDescent="0.2">
      <c r="A520" s="56">
        <v>29252</v>
      </c>
      <c r="B520" s="169">
        <v>113.66</v>
      </c>
      <c r="C520" s="169">
        <v>114.16</v>
      </c>
      <c r="D520" s="169">
        <v>120.22</v>
      </c>
      <c r="E520" s="169">
        <v>111.33</v>
      </c>
      <c r="F520" s="169"/>
      <c r="G520" s="169">
        <v>-4.4000000000000003E-3</v>
      </c>
      <c r="H520" s="53">
        <f t="shared" si="8"/>
        <v>0.18051516410469448</v>
      </c>
      <c r="I520" s="292"/>
      <c r="J520" s="52">
        <v>40307</v>
      </c>
      <c r="K520" s="57">
        <v>1135.68</v>
      </c>
      <c r="L520" s="57">
        <v>1122.27</v>
      </c>
      <c r="M520" s="57">
        <v>1173.57</v>
      </c>
      <c r="N520" s="57">
        <v>1122.27</v>
      </c>
      <c r="O520" s="51" t="s">
        <v>123</v>
      </c>
      <c r="P520" s="58">
        <v>2.23E-2</v>
      </c>
    </row>
    <row r="521" spans="1:16" x14ac:dyDescent="0.2">
      <c r="A521" s="56">
        <v>29221</v>
      </c>
      <c r="B521" s="169">
        <v>114.16</v>
      </c>
      <c r="C521" s="169">
        <v>107.94</v>
      </c>
      <c r="D521" s="169">
        <v>117.17</v>
      </c>
      <c r="E521" s="169">
        <v>103.26</v>
      </c>
      <c r="F521" s="169"/>
      <c r="G521" s="169">
        <v>5.7599999999999998E-2</v>
      </c>
      <c r="H521" s="53">
        <f t="shared" si="8"/>
        <v>0.14239967977584289</v>
      </c>
      <c r="I521" s="292"/>
      <c r="J521" s="52">
        <v>40314</v>
      </c>
      <c r="K521" s="57">
        <v>1087.69</v>
      </c>
      <c r="L521" s="57">
        <v>1136.52</v>
      </c>
      <c r="M521" s="57">
        <v>1148.6600000000001</v>
      </c>
      <c r="N521" s="57">
        <v>1055.9000000000001</v>
      </c>
      <c r="O521" s="51" t="s">
        <v>123</v>
      </c>
      <c r="P521" s="58">
        <v>-4.2299999999999997E-2</v>
      </c>
    </row>
    <row r="522" spans="1:16" x14ac:dyDescent="0.2">
      <c r="A522" s="56">
        <v>29190</v>
      </c>
      <c r="B522" s="169">
        <v>107.94</v>
      </c>
      <c r="C522" s="169">
        <v>106.16</v>
      </c>
      <c r="D522" s="169">
        <v>110.33</v>
      </c>
      <c r="E522" s="169">
        <v>105.07</v>
      </c>
      <c r="F522" s="169"/>
      <c r="G522" s="169">
        <v>1.6799999999999999E-2</v>
      </c>
      <c r="H522" s="53">
        <f t="shared" si="8"/>
        <v>0.12308812818645309</v>
      </c>
      <c r="I522" s="292"/>
      <c r="J522" s="52">
        <v>40321</v>
      </c>
      <c r="K522" s="57">
        <v>1089.4100000000001</v>
      </c>
      <c r="L522" s="57">
        <v>1084.78</v>
      </c>
      <c r="M522" s="57">
        <v>1103.52</v>
      </c>
      <c r="N522" s="57">
        <v>1040.78</v>
      </c>
      <c r="O522" s="51" t="s">
        <v>123</v>
      </c>
      <c r="P522" s="58">
        <v>1.6000000000000001E-3</v>
      </c>
    </row>
    <row r="523" spans="1:16" x14ac:dyDescent="0.2">
      <c r="A523" s="56">
        <v>29160</v>
      </c>
      <c r="B523" s="169">
        <v>106.16</v>
      </c>
      <c r="C523" s="169">
        <v>101.82</v>
      </c>
      <c r="D523" s="169">
        <v>107.89</v>
      </c>
      <c r="E523" s="169">
        <v>99.42</v>
      </c>
      <c r="F523" s="169"/>
      <c r="G523" s="169">
        <v>4.2599999999999999E-2</v>
      </c>
      <c r="H523" s="53">
        <f t="shared" si="8"/>
        <v>0.12101372756071793</v>
      </c>
      <c r="I523" s="292"/>
      <c r="J523" s="52">
        <v>40328</v>
      </c>
      <c r="K523" s="57">
        <v>1064.8800000000001</v>
      </c>
      <c r="L523" s="57">
        <v>1087.3</v>
      </c>
      <c r="M523" s="57">
        <v>1105.67</v>
      </c>
      <c r="N523" s="57">
        <v>1060.5</v>
      </c>
      <c r="O523" s="51" t="s">
        <v>123</v>
      </c>
      <c r="P523" s="58">
        <v>-2.2499999999999999E-2</v>
      </c>
    </row>
    <row r="524" spans="1:16" x14ac:dyDescent="0.2">
      <c r="A524" s="56">
        <v>29129</v>
      </c>
      <c r="B524" s="169">
        <v>101.82</v>
      </c>
      <c r="C524" s="169">
        <v>109.19</v>
      </c>
      <c r="D524" s="169">
        <v>112.16</v>
      </c>
      <c r="E524" s="169">
        <v>99.06</v>
      </c>
      <c r="F524" s="169"/>
      <c r="G524" s="169">
        <v>-6.8599999999999994E-2</v>
      </c>
      <c r="H524" s="53">
        <f t="shared" si="8"/>
        <v>9.3075684380031998E-2</v>
      </c>
      <c r="I524" s="292"/>
      <c r="J524" s="52">
        <v>40335</v>
      </c>
      <c r="K524" s="57">
        <v>1091.5999999999999</v>
      </c>
      <c r="L524" s="57">
        <v>1065.8399999999999</v>
      </c>
      <c r="M524" s="57">
        <v>1092.25</v>
      </c>
      <c r="N524" s="57">
        <v>1042.17</v>
      </c>
      <c r="O524" s="51" t="s">
        <v>123</v>
      </c>
      <c r="P524" s="58">
        <v>2.5100000000000001E-2</v>
      </c>
    </row>
    <row r="525" spans="1:16" x14ac:dyDescent="0.2">
      <c r="A525" s="56">
        <v>29099</v>
      </c>
      <c r="B525" s="169">
        <v>109.32</v>
      </c>
      <c r="C525" s="169">
        <v>109.32</v>
      </c>
      <c r="D525" s="169">
        <v>111.58</v>
      </c>
      <c r="E525" s="169">
        <v>105.38</v>
      </c>
      <c r="F525" s="169"/>
      <c r="G525" s="169">
        <v>0</v>
      </c>
      <c r="H525" s="53">
        <f t="shared" si="8"/>
        <v>6.6120538326506662E-2</v>
      </c>
      <c r="I525" s="292"/>
      <c r="J525" s="52">
        <v>40342</v>
      </c>
      <c r="K525" s="57">
        <v>1117.51</v>
      </c>
      <c r="L525" s="57">
        <v>1095</v>
      </c>
      <c r="M525" s="57">
        <v>1121.01</v>
      </c>
      <c r="N525" s="57">
        <v>1089.03</v>
      </c>
      <c r="O525" s="51" t="s">
        <v>123</v>
      </c>
      <c r="P525" s="58">
        <v>2.3699999999999999E-2</v>
      </c>
    </row>
    <row r="526" spans="1:16" x14ac:dyDescent="0.2">
      <c r="A526" s="56">
        <v>29068</v>
      </c>
      <c r="B526" s="169">
        <v>109.32</v>
      </c>
      <c r="C526" s="169">
        <v>103.81</v>
      </c>
      <c r="D526" s="169">
        <v>109.84</v>
      </c>
      <c r="E526" s="169">
        <v>103.14</v>
      </c>
      <c r="F526" s="169"/>
      <c r="G526" s="169">
        <v>5.3100000000000001E-2</v>
      </c>
      <c r="H526" s="53">
        <f t="shared" si="8"/>
        <v>5.837932036015081E-2</v>
      </c>
      <c r="I526" s="292"/>
      <c r="J526" s="52">
        <v>40349</v>
      </c>
      <c r="K526" s="57">
        <v>1076.76</v>
      </c>
      <c r="L526" s="57">
        <v>1122.79</v>
      </c>
      <c r="M526" s="57">
        <v>1131.23</v>
      </c>
      <c r="N526" s="57">
        <v>1067.8900000000001</v>
      </c>
      <c r="O526" s="51" t="s">
        <v>123</v>
      </c>
      <c r="P526" s="58">
        <v>-3.6499999999999998E-2</v>
      </c>
    </row>
    <row r="527" spans="1:16" x14ac:dyDescent="0.2">
      <c r="A527" s="56">
        <v>29037</v>
      </c>
      <c r="B527" s="169">
        <v>103.81</v>
      </c>
      <c r="C527" s="169">
        <v>102.91</v>
      </c>
      <c r="D527" s="169">
        <v>105.17</v>
      </c>
      <c r="E527" s="169">
        <v>100.35</v>
      </c>
      <c r="F527" s="169"/>
      <c r="G527" s="169">
        <v>8.6999999999999994E-3</v>
      </c>
      <c r="H527" s="53">
        <f t="shared" si="8"/>
        <v>3.1088597536750084E-2</v>
      </c>
      <c r="I527" s="292"/>
      <c r="J527" s="52">
        <v>40356</v>
      </c>
      <c r="K527" s="57">
        <v>1022.58</v>
      </c>
      <c r="L527" s="57">
        <v>1077.5</v>
      </c>
      <c r="M527" s="57">
        <v>1082.5999999999999</v>
      </c>
      <c r="N527" s="57">
        <v>1010.91</v>
      </c>
      <c r="O527" s="51" t="s">
        <v>123</v>
      </c>
      <c r="P527" s="58">
        <v>-5.0299999999999997E-2</v>
      </c>
    </row>
    <row r="528" spans="1:16" x14ac:dyDescent="0.2">
      <c r="A528" s="56">
        <v>29007</v>
      </c>
      <c r="B528" s="169">
        <v>102.91</v>
      </c>
      <c r="C528" s="169">
        <v>99.08</v>
      </c>
      <c r="D528" s="169">
        <v>103.67</v>
      </c>
      <c r="E528" s="169">
        <v>98.57</v>
      </c>
      <c r="F528" s="169"/>
      <c r="G528" s="169">
        <v>3.8699999999999998E-2</v>
      </c>
      <c r="H528" s="53">
        <f t="shared" si="8"/>
        <v>7.7253218884120178E-2</v>
      </c>
      <c r="I528" s="292"/>
      <c r="J528" s="52">
        <v>40363</v>
      </c>
      <c r="K528" s="57">
        <v>1077.96</v>
      </c>
      <c r="L528" s="57">
        <v>1028.0899999999999</v>
      </c>
      <c r="M528" s="57">
        <v>1078.1600000000001</v>
      </c>
      <c r="N528" s="57">
        <v>1018.35</v>
      </c>
      <c r="O528" s="51" t="s">
        <v>123</v>
      </c>
      <c r="P528" s="58">
        <v>5.4199999999999998E-2</v>
      </c>
    </row>
    <row r="529" spans="1:16" x14ac:dyDescent="0.2">
      <c r="A529" s="56">
        <v>28976</v>
      </c>
      <c r="B529" s="169">
        <v>99.08</v>
      </c>
      <c r="C529" s="169">
        <v>101.76</v>
      </c>
      <c r="D529" s="169">
        <v>102.57</v>
      </c>
      <c r="E529" s="169">
        <v>97.49</v>
      </c>
      <c r="F529" s="169"/>
      <c r="G529" s="169">
        <v>-2.63E-2</v>
      </c>
      <c r="H529" s="53">
        <f t="shared" si="8"/>
        <v>1.8922254216371837E-2</v>
      </c>
      <c r="I529" s="292"/>
      <c r="J529" s="52">
        <v>40370</v>
      </c>
      <c r="K529" s="57">
        <v>1064.8800000000001</v>
      </c>
      <c r="L529" s="57">
        <v>1077.23</v>
      </c>
      <c r="M529" s="57">
        <v>1099.46</v>
      </c>
      <c r="N529" s="57">
        <v>1063.32</v>
      </c>
      <c r="O529" s="51" t="s">
        <v>123</v>
      </c>
      <c r="P529" s="58">
        <v>-1.21E-2</v>
      </c>
    </row>
    <row r="530" spans="1:16" x14ac:dyDescent="0.2">
      <c r="A530" s="56">
        <v>28946</v>
      </c>
      <c r="B530" s="169">
        <v>101.76</v>
      </c>
      <c r="C530" s="169">
        <v>101.56</v>
      </c>
      <c r="D530" s="169">
        <v>103.95</v>
      </c>
      <c r="E530" s="169">
        <v>100.14</v>
      </c>
      <c r="F530" s="169"/>
      <c r="G530" s="169">
        <v>1.6999999999999999E-3</v>
      </c>
      <c r="H530" s="53">
        <f t="shared" ref="H530:H593" si="9">B530/B542-1</f>
        <v>5.0913972942270069E-2</v>
      </c>
      <c r="I530" s="292"/>
      <c r="J530" s="52">
        <v>40377</v>
      </c>
      <c r="K530" s="57">
        <v>1102.6600000000001</v>
      </c>
      <c r="L530" s="57">
        <v>1066.8499999999999</v>
      </c>
      <c r="M530" s="57">
        <v>1103.73</v>
      </c>
      <c r="N530" s="57">
        <v>1056.8800000000001</v>
      </c>
      <c r="O530" s="51" t="s">
        <v>123</v>
      </c>
      <c r="P530" s="58">
        <v>3.5499999999999997E-2</v>
      </c>
    </row>
    <row r="531" spans="1:16" x14ac:dyDescent="0.2">
      <c r="A531" s="56">
        <v>28915</v>
      </c>
      <c r="B531" s="169">
        <v>101.59</v>
      </c>
      <c r="C531" s="169">
        <v>96.28</v>
      </c>
      <c r="D531" s="169">
        <v>103.31</v>
      </c>
      <c r="E531" s="169">
        <v>95.98</v>
      </c>
      <c r="F531" s="169"/>
      <c r="G531" s="169">
        <v>5.5199999999999999E-2</v>
      </c>
      <c r="H531" s="53">
        <f t="shared" si="9"/>
        <v>0.13877368008070845</v>
      </c>
      <c r="I531" s="292"/>
      <c r="J531" s="52">
        <v>40384</v>
      </c>
      <c r="K531" s="57">
        <v>1101.5999999999999</v>
      </c>
      <c r="L531" s="57">
        <v>1102.8900000000001</v>
      </c>
      <c r="M531" s="57">
        <v>1120.95</v>
      </c>
      <c r="N531" s="57">
        <v>1088.01</v>
      </c>
      <c r="O531" s="51" t="s">
        <v>123</v>
      </c>
      <c r="P531" s="58">
        <v>-1E-3</v>
      </c>
    </row>
    <row r="532" spans="1:16" x14ac:dyDescent="0.2">
      <c r="A532" s="56">
        <v>28887</v>
      </c>
      <c r="B532" s="169">
        <v>96.28</v>
      </c>
      <c r="C532" s="169">
        <v>99.93</v>
      </c>
      <c r="D532" s="169">
        <v>100.52</v>
      </c>
      <c r="E532" s="169">
        <v>95.38</v>
      </c>
      <c r="F532" s="169"/>
      <c r="G532" s="169">
        <v>-3.6499999999999998E-2</v>
      </c>
      <c r="H532" s="53">
        <f t="shared" si="9"/>
        <v>0.10615808823529416</v>
      </c>
      <c r="I532" s="292"/>
      <c r="J532" s="52">
        <v>40391</v>
      </c>
      <c r="K532" s="57">
        <v>1121.6400000000001</v>
      </c>
      <c r="L532" s="57">
        <v>1107.53</v>
      </c>
      <c r="M532" s="57">
        <v>1128.75</v>
      </c>
      <c r="N532" s="57">
        <v>1107.17</v>
      </c>
      <c r="O532" s="51" t="s">
        <v>123</v>
      </c>
      <c r="P532" s="58">
        <v>1.8200000000000001E-2</v>
      </c>
    </row>
    <row r="533" spans="1:16" x14ac:dyDescent="0.2">
      <c r="A533" s="56">
        <v>28856</v>
      </c>
      <c r="B533" s="169">
        <v>99.93</v>
      </c>
      <c r="C533" s="169">
        <v>96.11</v>
      </c>
      <c r="D533" s="169">
        <v>102.59</v>
      </c>
      <c r="E533" s="169">
        <v>95.22</v>
      </c>
      <c r="F533" s="169"/>
      <c r="G533" s="169">
        <v>3.9699999999999999E-2</v>
      </c>
      <c r="H533" s="53">
        <f t="shared" si="9"/>
        <v>0.11966386554621855</v>
      </c>
      <c r="I533" s="292"/>
      <c r="J533" s="52">
        <v>40398</v>
      </c>
      <c r="K533" s="57">
        <v>1079.25</v>
      </c>
      <c r="L533" s="57">
        <v>1122.8</v>
      </c>
      <c r="M533" s="57">
        <v>1129.24</v>
      </c>
      <c r="N533" s="57">
        <v>1076.69</v>
      </c>
      <c r="O533" s="51" t="s">
        <v>123</v>
      </c>
      <c r="P533" s="58">
        <v>-3.78E-2</v>
      </c>
    </row>
    <row r="534" spans="1:16" x14ac:dyDescent="0.2">
      <c r="A534" s="56">
        <v>28825</v>
      </c>
      <c r="B534" s="169">
        <v>96.11</v>
      </c>
      <c r="C534" s="169">
        <v>95.01</v>
      </c>
      <c r="D534" s="169">
        <v>98.58</v>
      </c>
      <c r="E534" s="169">
        <v>92.64</v>
      </c>
      <c r="F534" s="169"/>
      <c r="G534" s="169">
        <v>1.49E-2</v>
      </c>
      <c r="H534" s="53">
        <f t="shared" si="9"/>
        <v>1.0620399579390094E-2</v>
      </c>
      <c r="I534" s="292"/>
      <c r="J534" s="52">
        <v>40405</v>
      </c>
      <c r="K534" s="57">
        <v>1071.69</v>
      </c>
      <c r="L534" s="57">
        <v>1077.49</v>
      </c>
      <c r="M534" s="57">
        <v>1100.1400000000001</v>
      </c>
      <c r="N534" s="57">
        <v>1063.9100000000001</v>
      </c>
      <c r="O534" s="51" t="s">
        <v>123</v>
      </c>
      <c r="P534" s="58">
        <v>-7.0000000000000001E-3</v>
      </c>
    </row>
    <row r="535" spans="1:16" x14ac:dyDescent="0.2">
      <c r="A535" s="56">
        <v>28795</v>
      </c>
      <c r="B535" s="169">
        <v>94.7</v>
      </c>
      <c r="C535" s="169">
        <v>94.13</v>
      </c>
      <c r="D535" s="169">
        <v>97.41</v>
      </c>
      <c r="E535" s="169">
        <v>91.77</v>
      </c>
      <c r="F535" s="169"/>
      <c r="G535" s="169">
        <v>1.66E-2</v>
      </c>
      <c r="H535" s="53">
        <f t="shared" si="9"/>
        <v>-1.3708741959295168E-3</v>
      </c>
      <c r="I535" s="292"/>
      <c r="J535" s="52">
        <v>40412</v>
      </c>
      <c r="K535" s="57">
        <v>1064.5899999999999</v>
      </c>
      <c r="L535" s="57">
        <v>1073.3599999999999</v>
      </c>
      <c r="M535" s="57">
        <v>1081.58</v>
      </c>
      <c r="N535" s="57">
        <v>1039.7</v>
      </c>
      <c r="O535" s="51" t="s">
        <v>123</v>
      </c>
      <c r="P535" s="58">
        <v>-6.6E-3</v>
      </c>
    </row>
    <row r="536" spans="1:16" x14ac:dyDescent="0.2">
      <c r="A536" s="56">
        <v>28764</v>
      </c>
      <c r="B536" s="169">
        <v>93.15</v>
      </c>
      <c r="C536" s="169">
        <v>102.54</v>
      </c>
      <c r="D536" s="169">
        <v>106.23</v>
      </c>
      <c r="E536" s="169">
        <v>91.65</v>
      </c>
      <c r="F536" s="169"/>
      <c r="G536" s="169">
        <v>-9.1600000000000001E-2</v>
      </c>
      <c r="H536" s="53">
        <f t="shared" si="9"/>
        <v>8.7719298245614308E-3</v>
      </c>
      <c r="I536" s="292"/>
      <c r="J536" s="52">
        <v>40419</v>
      </c>
      <c r="K536" s="57">
        <v>1104.51</v>
      </c>
      <c r="L536" s="57">
        <v>1062.9000000000001</v>
      </c>
      <c r="M536" s="57">
        <v>1105.0999999999999</v>
      </c>
      <c r="N536" s="57">
        <v>1040.8800000000001</v>
      </c>
      <c r="O536" s="51" t="s">
        <v>123</v>
      </c>
      <c r="P536" s="58">
        <v>3.7499999999999999E-2</v>
      </c>
    </row>
    <row r="537" spans="1:16" x14ac:dyDescent="0.2">
      <c r="A537" s="56">
        <v>28734</v>
      </c>
      <c r="B537" s="169">
        <v>102.54</v>
      </c>
      <c r="C537" s="169">
        <v>103.29</v>
      </c>
      <c r="D537" s="169">
        <v>108.05</v>
      </c>
      <c r="E537" s="169">
        <v>100.66</v>
      </c>
      <c r="F537" s="169"/>
      <c r="G537" s="169">
        <v>-7.3000000000000001E-3</v>
      </c>
      <c r="H537" s="53">
        <f t="shared" si="9"/>
        <v>6.2260437169791905E-2</v>
      </c>
      <c r="I537" s="292"/>
      <c r="J537" s="52">
        <v>40426</v>
      </c>
      <c r="K537" s="57">
        <v>1109.55</v>
      </c>
      <c r="L537" s="57">
        <v>1102.5999999999999</v>
      </c>
      <c r="M537" s="57">
        <v>1110.8800000000001</v>
      </c>
      <c r="N537" s="57">
        <v>1091.1500000000001</v>
      </c>
      <c r="O537" s="51" t="s">
        <v>123</v>
      </c>
      <c r="P537" s="58">
        <v>4.5999999999999999E-3</v>
      </c>
    </row>
    <row r="538" spans="1:16" x14ac:dyDescent="0.2">
      <c r="A538" s="56">
        <v>28703</v>
      </c>
      <c r="B538" s="169">
        <v>103.29</v>
      </c>
      <c r="C538" s="169">
        <v>100.68</v>
      </c>
      <c r="D538" s="169">
        <v>106.27</v>
      </c>
      <c r="E538" s="169">
        <v>99.95</v>
      </c>
      <c r="F538" s="169"/>
      <c r="G538" s="169">
        <v>2.5899999999999999E-2</v>
      </c>
      <c r="H538" s="53">
        <f t="shared" si="9"/>
        <v>6.737625297096228E-2</v>
      </c>
      <c r="I538" s="292"/>
      <c r="J538" s="52">
        <v>40433</v>
      </c>
      <c r="K538" s="57">
        <v>1125.5899999999999</v>
      </c>
      <c r="L538" s="57">
        <v>1113.3800000000001</v>
      </c>
      <c r="M538" s="57">
        <v>1131.47</v>
      </c>
      <c r="N538" s="57">
        <v>1113.3800000000001</v>
      </c>
      <c r="O538" s="51" t="s">
        <v>123</v>
      </c>
      <c r="P538" s="58">
        <v>1.4500000000000001E-2</v>
      </c>
    </row>
    <row r="539" spans="1:16" x14ac:dyDescent="0.2">
      <c r="A539" s="56">
        <v>28672</v>
      </c>
      <c r="B539" s="169">
        <v>100.68</v>
      </c>
      <c r="C539" s="169">
        <v>95.53</v>
      </c>
      <c r="D539" s="169">
        <v>101.18</v>
      </c>
      <c r="E539" s="169">
        <v>93.59</v>
      </c>
      <c r="F539" s="169"/>
      <c r="G539" s="169">
        <v>5.3900000000000003E-2</v>
      </c>
      <c r="H539" s="53">
        <f t="shared" si="9"/>
        <v>1.8512898330804273E-2</v>
      </c>
      <c r="I539" s="292"/>
      <c r="J539" s="52">
        <v>40440</v>
      </c>
      <c r="K539" s="57">
        <v>1148.67</v>
      </c>
      <c r="L539" s="57">
        <v>1126.57</v>
      </c>
      <c r="M539" s="57">
        <v>1148.9000000000001</v>
      </c>
      <c r="N539" s="57">
        <v>1122.79</v>
      </c>
      <c r="O539" s="51" t="s">
        <v>123</v>
      </c>
      <c r="P539" s="58">
        <v>2.0500000000000001E-2</v>
      </c>
    </row>
    <row r="540" spans="1:16" x14ac:dyDescent="0.2">
      <c r="A540" s="56">
        <v>28642</v>
      </c>
      <c r="B540" s="169">
        <v>95.53</v>
      </c>
      <c r="C540" s="169">
        <v>97.24</v>
      </c>
      <c r="D540" s="169">
        <v>101.84</v>
      </c>
      <c r="E540" s="169">
        <v>93.99</v>
      </c>
      <c r="F540" s="169"/>
      <c r="G540" s="169">
        <v>-1.7600000000000001E-2</v>
      </c>
      <c r="H540" s="53">
        <f t="shared" si="9"/>
        <v>-4.9263535031847105E-2</v>
      </c>
      <c r="I540" s="292"/>
      <c r="J540" s="52">
        <v>40447</v>
      </c>
      <c r="K540" s="57">
        <v>1146.24</v>
      </c>
      <c r="L540" s="57">
        <v>1148.6400000000001</v>
      </c>
      <c r="M540" s="57">
        <v>1157.1600000000001</v>
      </c>
      <c r="N540" s="57">
        <v>1132.0899999999999</v>
      </c>
      <c r="O540" s="51" t="s">
        <v>123</v>
      </c>
      <c r="P540" s="58">
        <v>-2.0999999999999999E-3</v>
      </c>
    </row>
    <row r="541" spans="1:16" x14ac:dyDescent="0.2">
      <c r="A541" s="56">
        <v>28611</v>
      </c>
      <c r="B541" s="169">
        <v>97.24</v>
      </c>
      <c r="C541" s="169">
        <v>96.83</v>
      </c>
      <c r="D541" s="169">
        <v>100.32</v>
      </c>
      <c r="E541" s="169">
        <v>94.57</v>
      </c>
      <c r="F541" s="169"/>
      <c r="G541" s="169">
        <v>4.1999999999999997E-3</v>
      </c>
      <c r="H541" s="53">
        <f t="shared" si="9"/>
        <v>1.1652101539741944E-2</v>
      </c>
      <c r="I541" s="292"/>
      <c r="J541" s="52">
        <v>40454</v>
      </c>
      <c r="K541" s="57">
        <v>1165.1500000000001</v>
      </c>
      <c r="L541" s="57">
        <v>1144.96</v>
      </c>
      <c r="M541" s="57">
        <v>1167.73</v>
      </c>
      <c r="N541" s="57">
        <v>1131.8699999999999</v>
      </c>
      <c r="O541" s="51" t="s">
        <v>123</v>
      </c>
      <c r="P541" s="58">
        <v>1.6500000000000001E-2</v>
      </c>
    </row>
    <row r="542" spans="1:16" x14ac:dyDescent="0.2">
      <c r="A542" s="56">
        <v>28581</v>
      </c>
      <c r="B542" s="169">
        <v>96.83</v>
      </c>
      <c r="C542" s="169">
        <v>89.2</v>
      </c>
      <c r="D542" s="169">
        <v>97.91</v>
      </c>
      <c r="E542" s="169">
        <v>88.07</v>
      </c>
      <c r="F542" s="169"/>
      <c r="G542" s="169">
        <v>8.5400000000000004E-2</v>
      </c>
      <c r="H542" s="53">
        <f t="shared" si="9"/>
        <v>-1.6355140186915862E-2</v>
      </c>
      <c r="I542" s="292"/>
      <c r="J542" s="52">
        <v>40461</v>
      </c>
      <c r="K542" s="57">
        <v>1176.19</v>
      </c>
      <c r="L542" s="57">
        <v>1165.32</v>
      </c>
      <c r="M542" s="57">
        <v>1184.3800000000001</v>
      </c>
      <c r="N542" s="57">
        <v>1155.71</v>
      </c>
      <c r="O542" s="51" t="s">
        <v>123</v>
      </c>
      <c r="P542" s="58">
        <v>9.4999999999999998E-3</v>
      </c>
    </row>
    <row r="543" spans="1:16" x14ac:dyDescent="0.2">
      <c r="A543" s="56">
        <v>28550</v>
      </c>
      <c r="B543" s="169">
        <v>89.21</v>
      </c>
      <c r="C543" s="169">
        <v>87.04</v>
      </c>
      <c r="D543" s="169">
        <v>91.35</v>
      </c>
      <c r="E543" s="169">
        <v>86.45</v>
      </c>
      <c r="F543" s="169"/>
      <c r="G543" s="169">
        <v>2.4899999999999999E-2</v>
      </c>
      <c r="H543" s="53">
        <f t="shared" si="9"/>
        <v>-9.3578540946962052E-2</v>
      </c>
      <c r="I543" s="292"/>
      <c r="J543" s="52">
        <v>40468</v>
      </c>
      <c r="K543" s="57">
        <v>1183.08</v>
      </c>
      <c r="L543" s="57">
        <v>1176.83</v>
      </c>
      <c r="M543" s="57">
        <v>1189.43</v>
      </c>
      <c r="N543" s="57">
        <v>1159.71</v>
      </c>
      <c r="O543" s="51" t="s">
        <v>123</v>
      </c>
      <c r="P543" s="58">
        <v>5.8999999999999999E-3</v>
      </c>
    </row>
    <row r="544" spans="1:16" x14ac:dyDescent="0.2">
      <c r="A544" s="56">
        <v>28522</v>
      </c>
      <c r="B544" s="169">
        <v>87.04</v>
      </c>
      <c r="C544" s="169">
        <v>89.25</v>
      </c>
      <c r="D544" s="169">
        <v>91.32</v>
      </c>
      <c r="E544" s="169">
        <v>86.58</v>
      </c>
      <c r="F544" s="169"/>
      <c r="G544" s="169">
        <v>-2.4799999999999999E-2</v>
      </c>
      <c r="H544" s="53">
        <f t="shared" si="9"/>
        <v>-0.12803045481867348</v>
      </c>
      <c r="I544" s="292"/>
      <c r="J544" s="52">
        <v>40475</v>
      </c>
      <c r="K544" s="57">
        <v>1183.26</v>
      </c>
      <c r="L544" s="57">
        <v>1184.74</v>
      </c>
      <c r="M544" s="57">
        <v>1196.1400000000001</v>
      </c>
      <c r="N544" s="57">
        <v>1171.7</v>
      </c>
      <c r="O544" s="51" t="s">
        <v>123</v>
      </c>
      <c r="P544" s="58">
        <v>2.0000000000000001E-4</v>
      </c>
    </row>
    <row r="545" spans="1:16" x14ac:dyDescent="0.2">
      <c r="A545" s="56">
        <v>28491</v>
      </c>
      <c r="B545" s="169">
        <v>89.25</v>
      </c>
      <c r="C545" s="169">
        <v>95.1</v>
      </c>
      <c r="D545" s="169">
        <v>95.15</v>
      </c>
      <c r="E545" s="169">
        <v>88.02</v>
      </c>
      <c r="F545" s="169"/>
      <c r="G545" s="169">
        <v>-6.1499999999999999E-2</v>
      </c>
      <c r="H545" s="53">
        <f t="shared" si="9"/>
        <v>-0.1252572772713908</v>
      </c>
      <c r="I545" s="292"/>
      <c r="J545" s="52">
        <v>40482</v>
      </c>
      <c r="K545" s="57">
        <v>1225.8499999999999</v>
      </c>
      <c r="L545" s="57">
        <v>1185.71</v>
      </c>
      <c r="M545" s="57">
        <v>1227.08</v>
      </c>
      <c r="N545" s="57">
        <v>1177.6500000000001</v>
      </c>
      <c r="O545" s="51" t="s">
        <v>123</v>
      </c>
      <c r="P545" s="58">
        <v>3.5999999999999997E-2</v>
      </c>
    </row>
    <row r="546" spans="1:16" x14ac:dyDescent="0.2">
      <c r="A546" s="56">
        <v>28460</v>
      </c>
      <c r="B546" s="169">
        <v>95.1</v>
      </c>
      <c r="C546" s="169">
        <v>94.83</v>
      </c>
      <c r="D546" s="169">
        <v>95.67</v>
      </c>
      <c r="E546" s="169">
        <v>91.76</v>
      </c>
      <c r="F546" s="169"/>
      <c r="G546" s="169">
        <v>2.8E-3</v>
      </c>
      <c r="H546" s="53">
        <f t="shared" si="9"/>
        <v>-0.11501954215522059</v>
      </c>
      <c r="I546" s="292"/>
      <c r="J546" s="52">
        <v>40489</v>
      </c>
      <c r="K546" s="57">
        <v>1199.21</v>
      </c>
      <c r="L546" s="57">
        <v>1223.24</v>
      </c>
      <c r="M546" s="57">
        <v>1226.8399999999999</v>
      </c>
      <c r="N546" s="57">
        <v>1194.08</v>
      </c>
      <c r="O546" s="51" t="s">
        <v>123</v>
      </c>
      <c r="P546" s="58">
        <v>-2.1700000000000001E-2</v>
      </c>
    </row>
    <row r="547" spans="1:16" x14ac:dyDescent="0.2">
      <c r="A547" s="56">
        <v>28430</v>
      </c>
      <c r="B547" s="169">
        <v>94.83</v>
      </c>
      <c r="C547" s="169">
        <v>92.19</v>
      </c>
      <c r="D547" s="169">
        <v>97.11</v>
      </c>
      <c r="E547" s="169">
        <v>90.01</v>
      </c>
      <c r="F547" s="169"/>
      <c r="G547" s="169">
        <v>2.7E-2</v>
      </c>
      <c r="H547" s="53">
        <f t="shared" si="9"/>
        <v>-7.1204701273261506E-2</v>
      </c>
      <c r="I547" s="292"/>
      <c r="J547" s="52">
        <v>40496</v>
      </c>
      <c r="K547" s="57">
        <v>1199.73</v>
      </c>
      <c r="L547" s="57">
        <v>1200.44</v>
      </c>
      <c r="M547" s="57">
        <v>1207.43</v>
      </c>
      <c r="N547" s="57">
        <v>1173</v>
      </c>
      <c r="O547" s="51" t="s">
        <v>123</v>
      </c>
      <c r="P547" s="58">
        <v>4.0000000000000002E-4</v>
      </c>
    </row>
    <row r="548" spans="1:16" x14ac:dyDescent="0.2">
      <c r="A548" s="56">
        <v>28399</v>
      </c>
      <c r="B548" s="169">
        <v>92.34</v>
      </c>
      <c r="C548" s="169">
        <v>96.53</v>
      </c>
      <c r="D548" s="169">
        <v>97.27</v>
      </c>
      <c r="E548" s="169">
        <v>90.2</v>
      </c>
      <c r="F548" s="169"/>
      <c r="G548" s="169">
        <v>-4.3400000000000001E-2</v>
      </c>
      <c r="H548" s="53">
        <f t="shared" si="9"/>
        <v>-0.10262390670553934</v>
      </c>
      <c r="I548" s="292"/>
      <c r="J548" s="52">
        <v>40503</v>
      </c>
      <c r="K548" s="57">
        <v>1189.4000000000001</v>
      </c>
      <c r="L548" s="57">
        <v>1198.07</v>
      </c>
      <c r="M548" s="57">
        <v>1198.94</v>
      </c>
      <c r="N548" s="57">
        <v>1176.9100000000001</v>
      </c>
      <c r="O548" s="51" t="s">
        <v>123</v>
      </c>
      <c r="P548" s="58">
        <v>-8.6E-3</v>
      </c>
    </row>
    <row r="549" spans="1:16" x14ac:dyDescent="0.2">
      <c r="A549" s="56">
        <v>28369</v>
      </c>
      <c r="B549" s="169">
        <v>96.53</v>
      </c>
      <c r="C549" s="169">
        <v>96.77</v>
      </c>
      <c r="D549" s="169">
        <v>98.43</v>
      </c>
      <c r="E549" s="169">
        <v>94.44</v>
      </c>
      <c r="F549" s="169"/>
      <c r="G549" s="169">
        <v>-2.5000000000000001E-3</v>
      </c>
      <c r="H549" s="53">
        <f t="shared" si="9"/>
        <v>-8.2763207905739211E-2</v>
      </c>
      <c r="I549" s="292"/>
      <c r="J549" s="52">
        <v>40510</v>
      </c>
      <c r="K549" s="57">
        <v>1224.71</v>
      </c>
      <c r="L549" s="57">
        <v>1189.08</v>
      </c>
      <c r="M549" s="57">
        <v>1225.57</v>
      </c>
      <c r="N549" s="57">
        <v>1173.6400000000001</v>
      </c>
      <c r="O549" s="51" t="s">
        <v>123</v>
      </c>
      <c r="P549" s="58">
        <v>2.9700000000000001E-2</v>
      </c>
    </row>
    <row r="550" spans="1:16" x14ac:dyDescent="0.2">
      <c r="A550" s="56">
        <v>28338</v>
      </c>
      <c r="B550" s="169">
        <v>96.77</v>
      </c>
      <c r="C550" s="169">
        <v>98.85</v>
      </c>
      <c r="D550" s="169">
        <v>99.84</v>
      </c>
      <c r="E550" s="169">
        <v>95.04</v>
      </c>
      <c r="F550" s="169"/>
      <c r="G550" s="169">
        <v>-2.1000000000000001E-2</v>
      </c>
      <c r="H550" s="53">
        <f t="shared" si="9"/>
        <v>-5.9663783888834865E-2</v>
      </c>
      <c r="I550" s="292"/>
      <c r="J550" s="52">
        <v>40517</v>
      </c>
      <c r="K550" s="57">
        <v>1240.4000000000001</v>
      </c>
      <c r="L550" s="57">
        <v>1223.8699999999999</v>
      </c>
      <c r="M550" s="57">
        <v>1240.4000000000001</v>
      </c>
      <c r="N550" s="57">
        <v>1219.5</v>
      </c>
      <c r="O550" s="51" t="s">
        <v>123</v>
      </c>
      <c r="P550" s="58">
        <v>1.2800000000000001E-2</v>
      </c>
    </row>
    <row r="551" spans="1:16" x14ac:dyDescent="0.2">
      <c r="A551" s="56">
        <v>28307</v>
      </c>
      <c r="B551" s="169">
        <v>98.85</v>
      </c>
      <c r="C551" s="169">
        <v>100.48</v>
      </c>
      <c r="D551" s="169">
        <v>102.57</v>
      </c>
      <c r="E551" s="169">
        <v>97.71</v>
      </c>
      <c r="F551" s="169"/>
      <c r="G551" s="169">
        <v>-1.6199999999999999E-2</v>
      </c>
      <c r="H551" s="53">
        <f t="shared" si="9"/>
        <v>-4.4373549883990782E-2</v>
      </c>
      <c r="I551" s="292"/>
      <c r="J551" s="52">
        <v>40524</v>
      </c>
      <c r="K551" s="57">
        <v>1243.9100000000001</v>
      </c>
      <c r="L551" s="57">
        <v>1242.52</v>
      </c>
      <c r="M551" s="57">
        <v>1246.73</v>
      </c>
      <c r="N551" s="57">
        <v>1232.8499999999999</v>
      </c>
      <c r="O551" s="51" t="s">
        <v>123</v>
      </c>
      <c r="P551" s="58">
        <v>2.8E-3</v>
      </c>
    </row>
    <row r="552" spans="1:16" x14ac:dyDescent="0.2">
      <c r="A552" s="56">
        <v>28277</v>
      </c>
      <c r="B552" s="169">
        <v>100.48</v>
      </c>
      <c r="C552" s="169">
        <v>96.12</v>
      </c>
      <c r="D552" s="169">
        <v>101.65</v>
      </c>
      <c r="E552" s="169">
        <v>95.89</v>
      </c>
      <c r="F552" s="169"/>
      <c r="G552" s="169">
        <v>4.5400000000000003E-2</v>
      </c>
      <c r="H552" s="53">
        <f t="shared" si="9"/>
        <v>-3.6440352896049077E-2</v>
      </c>
      <c r="I552" s="292"/>
      <c r="J552" s="52">
        <v>40531</v>
      </c>
      <c r="K552" s="57">
        <v>1256.77</v>
      </c>
      <c r="L552" s="57">
        <v>1245.76</v>
      </c>
      <c r="M552" s="57">
        <v>1259.3900000000001</v>
      </c>
      <c r="N552" s="57">
        <v>1241.51</v>
      </c>
      <c r="O552" s="51" t="s">
        <v>123</v>
      </c>
      <c r="P552" s="58">
        <v>1.03E-2</v>
      </c>
    </row>
    <row r="553" spans="1:16" x14ac:dyDescent="0.2">
      <c r="A553" s="56">
        <v>28246</v>
      </c>
      <c r="B553" s="169">
        <v>96.12</v>
      </c>
      <c r="C553" s="169">
        <v>98.44</v>
      </c>
      <c r="D553" s="169">
        <v>100.93</v>
      </c>
      <c r="E553" s="169">
        <v>95.52</v>
      </c>
      <c r="F553" s="169"/>
      <c r="G553" s="169">
        <v>-2.3599999999999999E-2</v>
      </c>
      <c r="H553" s="53">
        <f t="shared" si="9"/>
        <v>-4.0527051307646222E-2</v>
      </c>
      <c r="I553" s="292"/>
      <c r="J553" s="52">
        <v>40538</v>
      </c>
      <c r="K553" s="57">
        <v>1257.6400000000001</v>
      </c>
      <c r="L553" s="57">
        <v>1254.6600000000001</v>
      </c>
      <c r="M553" s="57">
        <v>1262.5999999999999</v>
      </c>
      <c r="N553" s="57">
        <v>1251.48</v>
      </c>
      <c r="O553" s="51" t="s">
        <v>123</v>
      </c>
      <c r="P553" s="58">
        <v>6.9999999999999999E-4</v>
      </c>
    </row>
    <row r="554" spans="1:16" x14ac:dyDescent="0.2">
      <c r="A554" s="56">
        <v>28216</v>
      </c>
      <c r="B554" s="169">
        <v>98.44</v>
      </c>
      <c r="C554" s="169">
        <v>98.42</v>
      </c>
      <c r="D554" s="169">
        <v>102.07</v>
      </c>
      <c r="E554" s="169">
        <v>96.53</v>
      </c>
      <c r="F554" s="169"/>
      <c r="G554" s="169">
        <v>2.0000000000000001E-4</v>
      </c>
      <c r="H554" s="53">
        <f t="shared" si="9"/>
        <v>-3.1483667847304275E-2</v>
      </c>
      <c r="I554" s="292"/>
      <c r="J554" s="52">
        <v>40545</v>
      </c>
      <c r="K554" s="57">
        <v>1271.5</v>
      </c>
      <c r="L554" s="57">
        <v>1257.6199999999999</v>
      </c>
      <c r="M554" s="57">
        <v>1278.17</v>
      </c>
      <c r="N554" s="57">
        <v>1257.6199999999999</v>
      </c>
      <c r="O554" s="51" t="s">
        <v>123</v>
      </c>
      <c r="P554" s="58">
        <v>1.0999999999999999E-2</v>
      </c>
    </row>
    <row r="555" spans="1:16" x14ac:dyDescent="0.2">
      <c r="A555" s="56">
        <v>28185</v>
      </c>
      <c r="B555" s="169">
        <v>98.42</v>
      </c>
      <c r="C555" s="169">
        <v>99.82</v>
      </c>
      <c r="D555" s="169">
        <v>102.7</v>
      </c>
      <c r="E555" s="169">
        <v>97.8</v>
      </c>
      <c r="F555" s="169"/>
      <c r="G555" s="169">
        <v>-1.4E-2</v>
      </c>
      <c r="H555" s="53">
        <f t="shared" si="9"/>
        <v>-4.2327527488566608E-2</v>
      </c>
      <c r="I555" s="292"/>
      <c r="J555" s="52">
        <v>40552</v>
      </c>
      <c r="K555" s="57">
        <v>1293.24</v>
      </c>
      <c r="L555" s="57">
        <v>1270.8399999999999</v>
      </c>
      <c r="M555" s="57">
        <v>1293.24</v>
      </c>
      <c r="N555" s="57">
        <v>1262.18</v>
      </c>
      <c r="O555" s="51" t="s">
        <v>123</v>
      </c>
      <c r="P555" s="58">
        <v>1.7100000000000001E-2</v>
      </c>
    </row>
    <row r="556" spans="1:16" x14ac:dyDescent="0.2">
      <c r="A556" s="56">
        <v>28157</v>
      </c>
      <c r="B556" s="169">
        <v>99.82</v>
      </c>
      <c r="C556" s="169">
        <v>102.03</v>
      </c>
      <c r="D556" s="169">
        <v>103.32</v>
      </c>
      <c r="E556" s="169">
        <v>98.82</v>
      </c>
      <c r="F556" s="169"/>
      <c r="G556" s="169">
        <v>-2.1700000000000001E-2</v>
      </c>
      <c r="H556" s="53">
        <f t="shared" si="9"/>
        <v>1.1031992779060307E-3</v>
      </c>
      <c r="I556" s="292"/>
      <c r="J556" s="52">
        <v>40559</v>
      </c>
      <c r="K556" s="57">
        <v>1283.3499999999999</v>
      </c>
      <c r="L556" s="57">
        <v>1293.22</v>
      </c>
      <c r="M556" s="57">
        <v>1296.06</v>
      </c>
      <c r="N556" s="57">
        <v>1271.26</v>
      </c>
      <c r="O556" s="51" t="s">
        <v>123</v>
      </c>
      <c r="P556" s="58">
        <v>-7.6E-3</v>
      </c>
    </row>
    <row r="557" spans="1:16" x14ac:dyDescent="0.2">
      <c r="A557" s="56">
        <v>28126</v>
      </c>
      <c r="B557" s="169">
        <v>102.03</v>
      </c>
      <c r="C557" s="169">
        <v>107.46</v>
      </c>
      <c r="D557" s="169">
        <v>107.97</v>
      </c>
      <c r="E557" s="169">
        <v>100.91</v>
      </c>
      <c r="F557" s="169"/>
      <c r="G557" s="169">
        <v>-5.0500000000000003E-2</v>
      </c>
      <c r="H557" s="53">
        <f t="shared" si="9"/>
        <v>1.1600237953599102E-2</v>
      </c>
      <c r="I557" s="292"/>
      <c r="J557" s="52">
        <v>40566</v>
      </c>
      <c r="K557" s="57">
        <v>1276.3399999999999</v>
      </c>
      <c r="L557" s="57">
        <v>1283.29</v>
      </c>
      <c r="M557" s="57">
        <v>1302.67</v>
      </c>
      <c r="N557" s="57">
        <v>1275.0999999999999</v>
      </c>
      <c r="O557" s="51" t="s">
        <v>123</v>
      </c>
      <c r="P557" s="58">
        <v>-5.4999999999999997E-3</v>
      </c>
    </row>
    <row r="558" spans="1:16" x14ac:dyDescent="0.2">
      <c r="A558" s="56">
        <v>28095</v>
      </c>
      <c r="B558" s="169">
        <v>107.46</v>
      </c>
      <c r="C558" s="169">
        <v>102.1</v>
      </c>
      <c r="D558" s="169">
        <v>107.82</v>
      </c>
      <c r="E558" s="169">
        <v>101.62</v>
      </c>
      <c r="F558" s="169"/>
      <c r="G558" s="169">
        <v>5.2499999999999998E-2</v>
      </c>
      <c r="H558" s="53">
        <f t="shared" si="9"/>
        <v>0.19148464353032479</v>
      </c>
      <c r="I558" s="292"/>
      <c r="J558" s="52">
        <v>40573</v>
      </c>
      <c r="K558" s="57">
        <v>1310.87</v>
      </c>
      <c r="L558" s="57">
        <v>1276.5</v>
      </c>
      <c r="M558" s="57">
        <v>1311</v>
      </c>
      <c r="N558" s="57">
        <v>1276.5</v>
      </c>
      <c r="O558" s="51" t="s">
        <v>123</v>
      </c>
      <c r="P558" s="58">
        <v>2.7099999999999999E-2</v>
      </c>
    </row>
    <row r="559" spans="1:16" x14ac:dyDescent="0.2">
      <c r="A559" s="56">
        <v>28065</v>
      </c>
      <c r="B559" s="169">
        <v>102.1</v>
      </c>
      <c r="C559" s="169">
        <v>102.9</v>
      </c>
      <c r="D559" s="169">
        <v>103.78</v>
      </c>
      <c r="E559" s="169">
        <v>98.18</v>
      </c>
      <c r="F559" s="169"/>
      <c r="G559" s="169">
        <v>-7.7999999999999996E-3</v>
      </c>
      <c r="H559" s="53">
        <f t="shared" si="9"/>
        <v>0.11902674265672952</v>
      </c>
      <c r="I559" s="292"/>
      <c r="J559" s="52">
        <v>40580</v>
      </c>
      <c r="K559" s="57">
        <v>1329.15</v>
      </c>
      <c r="L559" s="57">
        <v>1311.85</v>
      </c>
      <c r="M559" s="57">
        <v>1330.79</v>
      </c>
      <c r="N559" s="57">
        <v>1311.74</v>
      </c>
      <c r="O559" s="51" t="s">
        <v>123</v>
      </c>
      <c r="P559" s="58">
        <v>1.3899999999999999E-2</v>
      </c>
    </row>
    <row r="560" spans="1:16" x14ac:dyDescent="0.2">
      <c r="A560" s="56">
        <v>28034</v>
      </c>
      <c r="B560" s="169">
        <v>102.9</v>
      </c>
      <c r="C560" s="169">
        <v>105.24</v>
      </c>
      <c r="D560" s="169">
        <v>105.75</v>
      </c>
      <c r="E560" s="169">
        <v>99.21</v>
      </c>
      <c r="F560" s="169"/>
      <c r="G560" s="169">
        <v>-2.2200000000000001E-2</v>
      </c>
      <c r="H560" s="53">
        <f t="shared" si="9"/>
        <v>0.15566037735849059</v>
      </c>
      <c r="I560" s="292"/>
      <c r="J560" s="52">
        <v>40587</v>
      </c>
      <c r="K560" s="57">
        <v>1340.43</v>
      </c>
      <c r="L560" s="57">
        <v>1334.37</v>
      </c>
      <c r="M560" s="57">
        <v>1341.5</v>
      </c>
      <c r="N560" s="57">
        <v>1331</v>
      </c>
      <c r="O560" s="51" t="s">
        <v>123</v>
      </c>
      <c r="P560" s="58">
        <v>8.5000000000000006E-3</v>
      </c>
    </row>
    <row r="561" spans="1:16" x14ac:dyDescent="0.2">
      <c r="A561" s="56">
        <v>28004</v>
      </c>
      <c r="B561" s="169">
        <v>105.24</v>
      </c>
      <c r="C561" s="169">
        <v>102.91</v>
      </c>
      <c r="D561" s="169">
        <v>108.72</v>
      </c>
      <c r="E561" s="169">
        <v>102.6</v>
      </c>
      <c r="F561" s="169"/>
      <c r="G561" s="169">
        <v>2.2599999999999999E-2</v>
      </c>
      <c r="H561" s="53">
        <f t="shared" si="9"/>
        <v>0.25479909383569788</v>
      </c>
      <c r="I561" s="292"/>
      <c r="J561" s="52">
        <v>40594</v>
      </c>
      <c r="K561" s="57">
        <v>1319.88</v>
      </c>
      <c r="L561" s="57">
        <v>1338.91</v>
      </c>
      <c r="M561" s="57">
        <v>1338.91</v>
      </c>
      <c r="N561" s="57">
        <v>1294.26</v>
      </c>
      <c r="O561" s="51" t="s">
        <v>123</v>
      </c>
      <c r="P561" s="58">
        <v>-1.5299999999999999E-2</v>
      </c>
    </row>
    <row r="562" spans="1:16" x14ac:dyDescent="0.2">
      <c r="A562" s="56">
        <v>27973</v>
      </c>
      <c r="B562" s="169">
        <v>102.91</v>
      </c>
      <c r="C562" s="169">
        <v>103.44</v>
      </c>
      <c r="D562" s="169">
        <v>105.41</v>
      </c>
      <c r="E562" s="169">
        <v>100.43</v>
      </c>
      <c r="F562" s="169"/>
      <c r="G562" s="169">
        <v>-5.1000000000000004E-3</v>
      </c>
      <c r="H562" s="53">
        <f t="shared" si="9"/>
        <v>0.18450736648250454</v>
      </c>
      <c r="I562" s="292"/>
      <c r="J562" s="52">
        <v>40601</v>
      </c>
      <c r="K562" s="57">
        <v>1321.15</v>
      </c>
      <c r="L562" s="57">
        <v>1321.61</v>
      </c>
      <c r="M562" s="57">
        <v>1332.28</v>
      </c>
      <c r="N562" s="57">
        <v>1302.58</v>
      </c>
      <c r="O562" s="51" t="s">
        <v>123</v>
      </c>
      <c r="P562" s="58">
        <v>1E-3</v>
      </c>
    </row>
    <row r="563" spans="1:16" x14ac:dyDescent="0.2">
      <c r="A563" s="56">
        <v>27942</v>
      </c>
      <c r="B563" s="169">
        <v>103.44</v>
      </c>
      <c r="C563" s="169">
        <v>104.28</v>
      </c>
      <c r="D563" s="169">
        <v>106.78</v>
      </c>
      <c r="E563" s="169">
        <v>102.31</v>
      </c>
      <c r="F563" s="169"/>
      <c r="G563" s="169">
        <v>-8.0999999999999996E-3</v>
      </c>
      <c r="H563" s="53">
        <f t="shared" si="9"/>
        <v>0.16552112676056341</v>
      </c>
      <c r="I563" s="292"/>
      <c r="J563" s="52">
        <v>40608</v>
      </c>
      <c r="K563" s="57">
        <v>1304.28</v>
      </c>
      <c r="L563" s="57">
        <v>1322.72</v>
      </c>
      <c r="M563" s="57">
        <v>1327.68</v>
      </c>
      <c r="N563" s="57">
        <v>1291.99</v>
      </c>
      <c r="O563" s="51" t="s">
        <v>123</v>
      </c>
      <c r="P563" s="58">
        <v>-1.2800000000000001E-2</v>
      </c>
    </row>
    <row r="564" spans="1:16" x14ac:dyDescent="0.2">
      <c r="A564" s="56">
        <v>27912</v>
      </c>
      <c r="B564" s="169">
        <v>104.28</v>
      </c>
      <c r="C564" s="169">
        <v>100.18</v>
      </c>
      <c r="D564" s="169">
        <v>105.07</v>
      </c>
      <c r="E564" s="169">
        <v>97.97</v>
      </c>
      <c r="F564" s="169"/>
      <c r="G564" s="169">
        <v>4.0899999999999999E-2</v>
      </c>
      <c r="H564" s="53">
        <f t="shared" si="9"/>
        <v>9.5493224078159411E-2</v>
      </c>
      <c r="I564" s="292"/>
      <c r="J564" s="52">
        <v>40615</v>
      </c>
      <c r="K564" s="57">
        <v>1279.2</v>
      </c>
      <c r="L564" s="57">
        <v>1301.19</v>
      </c>
      <c r="M564" s="57">
        <v>1301.19</v>
      </c>
      <c r="N564" s="57">
        <v>1249.05</v>
      </c>
      <c r="O564" s="51" t="s">
        <v>123</v>
      </c>
      <c r="P564" s="58">
        <v>-1.9199999999999998E-2</v>
      </c>
    </row>
    <row r="565" spans="1:16" x14ac:dyDescent="0.2">
      <c r="A565" s="56">
        <v>27881</v>
      </c>
      <c r="B565" s="169">
        <v>100.18</v>
      </c>
      <c r="C565" s="169">
        <v>101.64</v>
      </c>
      <c r="D565" s="169">
        <v>103.99</v>
      </c>
      <c r="E565" s="169">
        <v>98.26</v>
      </c>
      <c r="F565" s="169"/>
      <c r="G565" s="169">
        <v>-1.44E-2</v>
      </c>
      <c r="H565" s="53">
        <f t="shared" si="9"/>
        <v>9.9067471201316426E-2</v>
      </c>
      <c r="I565" s="292"/>
      <c r="J565" s="52">
        <v>40622</v>
      </c>
      <c r="K565" s="57">
        <v>1313.8</v>
      </c>
      <c r="L565" s="57">
        <v>1281.6500000000001</v>
      </c>
      <c r="M565" s="57">
        <v>1319.18</v>
      </c>
      <c r="N565" s="57">
        <v>1281.6500000000001</v>
      </c>
      <c r="O565" s="51" t="s">
        <v>123</v>
      </c>
      <c r="P565" s="58">
        <v>2.7E-2</v>
      </c>
    </row>
    <row r="566" spans="1:16" x14ac:dyDescent="0.2">
      <c r="A566" s="56">
        <v>27851</v>
      </c>
      <c r="B566" s="169">
        <v>101.64</v>
      </c>
      <c r="C566" s="169">
        <v>102.77</v>
      </c>
      <c r="D566" s="169">
        <v>104.63</v>
      </c>
      <c r="E566" s="169">
        <v>99.57</v>
      </c>
      <c r="F566" s="169"/>
      <c r="G566" s="169">
        <v>-1.0999999999999999E-2</v>
      </c>
      <c r="H566" s="53">
        <f t="shared" si="9"/>
        <v>0.16426116838487981</v>
      </c>
      <c r="I566" s="292"/>
      <c r="J566" s="52">
        <v>40629</v>
      </c>
      <c r="K566" s="57">
        <v>1332.41</v>
      </c>
      <c r="L566" s="57">
        <v>1315.45</v>
      </c>
      <c r="M566" s="57">
        <v>1337.85</v>
      </c>
      <c r="N566" s="57">
        <v>1305.26</v>
      </c>
      <c r="O566" s="51" t="s">
        <v>123</v>
      </c>
      <c r="P566" s="58">
        <v>1.4200000000000001E-2</v>
      </c>
    </row>
    <row r="567" spans="1:16" x14ac:dyDescent="0.2">
      <c r="A567" s="56">
        <v>27820</v>
      </c>
      <c r="B567" s="169">
        <v>102.77</v>
      </c>
      <c r="C567" s="169">
        <v>99.71</v>
      </c>
      <c r="D567" s="169">
        <v>104.39</v>
      </c>
      <c r="E567" s="169">
        <v>98.23</v>
      </c>
      <c r="F567" s="169"/>
      <c r="G567" s="169">
        <v>3.0700000000000002E-2</v>
      </c>
      <c r="H567" s="53">
        <f t="shared" si="9"/>
        <v>0.23284548944337802</v>
      </c>
      <c r="I567" s="292"/>
      <c r="J567" s="52">
        <v>40636</v>
      </c>
      <c r="K567" s="57">
        <v>1328.17</v>
      </c>
      <c r="L567" s="57">
        <v>1333.56</v>
      </c>
      <c r="M567" s="57">
        <v>1339.46</v>
      </c>
      <c r="N567" s="57">
        <v>1322.94</v>
      </c>
      <c r="O567" s="51" t="s">
        <v>123</v>
      </c>
      <c r="P567" s="58">
        <v>-3.2000000000000002E-3</v>
      </c>
    </row>
    <row r="568" spans="1:16" x14ac:dyDescent="0.2">
      <c r="A568" s="56">
        <v>27791</v>
      </c>
      <c r="B568" s="169">
        <v>99.71</v>
      </c>
      <c r="C568" s="169">
        <v>100.86</v>
      </c>
      <c r="D568" s="169">
        <v>103.07</v>
      </c>
      <c r="E568" s="169">
        <v>98.5</v>
      </c>
      <c r="F568" s="169"/>
      <c r="G568" s="169">
        <v>-1.14E-2</v>
      </c>
      <c r="H568" s="53">
        <f t="shared" si="9"/>
        <v>0.22208603995587683</v>
      </c>
      <c r="I568" s="292"/>
      <c r="J568" s="52">
        <v>40643</v>
      </c>
      <c r="K568" s="57">
        <v>1319.68</v>
      </c>
      <c r="L568" s="57">
        <v>1329.01</v>
      </c>
      <c r="M568" s="57">
        <v>1333.77</v>
      </c>
      <c r="N568" s="57">
        <v>1302.42</v>
      </c>
      <c r="O568" s="51" t="s">
        <v>123</v>
      </c>
      <c r="P568" s="58">
        <v>-6.4000000000000003E-3</v>
      </c>
    </row>
    <row r="569" spans="1:16" x14ac:dyDescent="0.2">
      <c r="A569" s="56">
        <v>27760</v>
      </c>
      <c r="B569" s="169">
        <v>100.86</v>
      </c>
      <c r="C569" s="169">
        <v>100.11</v>
      </c>
      <c r="D569" s="169">
        <v>101.99</v>
      </c>
      <c r="E569" s="169">
        <v>89.81</v>
      </c>
      <c r="F569" s="169"/>
      <c r="G569" s="169">
        <v>0.1183</v>
      </c>
      <c r="H569" s="53">
        <f t="shared" si="9"/>
        <v>0.31021044427123923</v>
      </c>
      <c r="I569" s="292"/>
      <c r="J569" s="52">
        <v>40650</v>
      </c>
      <c r="K569" s="57">
        <v>1337.38</v>
      </c>
      <c r="L569" s="57">
        <v>1313.35</v>
      </c>
      <c r="M569" s="57">
        <v>1337.49</v>
      </c>
      <c r="N569" s="57">
        <v>1294.7</v>
      </c>
      <c r="O569" s="51" t="s">
        <v>123</v>
      </c>
      <c r="P569" s="58">
        <v>1.34E-2</v>
      </c>
    </row>
    <row r="570" spans="1:16" x14ac:dyDescent="0.2">
      <c r="A570" s="56">
        <v>27729</v>
      </c>
      <c r="B570" s="169">
        <v>90.19</v>
      </c>
      <c r="C570" s="169">
        <v>91.24</v>
      </c>
      <c r="D570" s="169">
        <v>91.9</v>
      </c>
      <c r="E570" s="169">
        <v>86.15</v>
      </c>
      <c r="F570" s="169"/>
      <c r="G570" s="169">
        <v>-1.15E-2</v>
      </c>
      <c r="H570" s="53">
        <f t="shared" si="9"/>
        <v>0.31549008168027992</v>
      </c>
      <c r="I570" s="292"/>
      <c r="J570" s="52">
        <v>40657</v>
      </c>
      <c r="K570" s="57">
        <v>1363.61</v>
      </c>
      <c r="L570" s="57">
        <v>1337.14</v>
      </c>
      <c r="M570" s="57">
        <v>1364.56</v>
      </c>
      <c r="N570" s="57">
        <v>1331.47</v>
      </c>
      <c r="O570" s="51" t="s">
        <v>123</v>
      </c>
      <c r="P570" s="58">
        <v>1.9599999999999999E-2</v>
      </c>
    </row>
    <row r="571" spans="1:16" x14ac:dyDescent="0.2">
      <c r="A571" s="56">
        <v>27699</v>
      </c>
      <c r="B571" s="169">
        <v>91.24</v>
      </c>
      <c r="C571" s="169">
        <v>89.04</v>
      </c>
      <c r="D571" s="169">
        <v>92.33</v>
      </c>
      <c r="E571" s="169">
        <v>87.63</v>
      </c>
      <c r="F571" s="169"/>
      <c r="G571" s="169">
        <v>2.47E-2</v>
      </c>
      <c r="H571" s="53">
        <f t="shared" si="9"/>
        <v>0.30398742318136329</v>
      </c>
      <c r="I571" s="292"/>
      <c r="J571" s="52">
        <v>40664</v>
      </c>
      <c r="K571" s="57">
        <v>1340.2</v>
      </c>
      <c r="L571" s="57">
        <v>1365.21</v>
      </c>
      <c r="M571" s="57">
        <v>1370.58</v>
      </c>
      <c r="N571" s="57">
        <v>1329.17</v>
      </c>
      <c r="O571" s="51" t="s">
        <v>123</v>
      </c>
      <c r="P571" s="58">
        <v>-1.72E-2</v>
      </c>
    </row>
    <row r="572" spans="1:16" x14ac:dyDescent="0.2">
      <c r="A572" s="56">
        <v>27668</v>
      </c>
      <c r="B572" s="169">
        <v>89.04</v>
      </c>
      <c r="C572" s="169">
        <v>83.87</v>
      </c>
      <c r="D572" s="169">
        <v>91.75</v>
      </c>
      <c r="E572" s="169">
        <v>82.57</v>
      </c>
      <c r="F572" s="169"/>
      <c r="G572" s="169">
        <v>6.1600000000000002E-2</v>
      </c>
      <c r="H572" s="53">
        <f t="shared" si="9"/>
        <v>0.20487144790257106</v>
      </c>
      <c r="I572" s="292"/>
      <c r="J572" s="52">
        <v>40671</v>
      </c>
      <c r="K572" s="57">
        <v>1337.78</v>
      </c>
      <c r="L572" s="57">
        <v>1340.2</v>
      </c>
      <c r="M572" s="57">
        <v>1359.44</v>
      </c>
      <c r="N572" s="57">
        <v>1332.03</v>
      </c>
      <c r="O572" s="51" t="s">
        <v>123</v>
      </c>
      <c r="P572" s="58">
        <v>-1.8E-3</v>
      </c>
    </row>
    <row r="573" spans="1:16" x14ac:dyDescent="0.2">
      <c r="A573" s="56">
        <v>27638</v>
      </c>
      <c r="B573" s="169">
        <v>83.87</v>
      </c>
      <c r="C573" s="169">
        <v>86.88</v>
      </c>
      <c r="D573" s="169">
        <v>87.42</v>
      </c>
      <c r="E573" s="169">
        <v>81.569999999999993</v>
      </c>
      <c r="F573" s="169"/>
      <c r="G573" s="169">
        <v>-3.4599999999999999E-2</v>
      </c>
      <c r="H573" s="53">
        <f t="shared" si="9"/>
        <v>0.31995593327038097</v>
      </c>
      <c r="I573" s="292"/>
      <c r="J573" s="52">
        <v>40678</v>
      </c>
      <c r="K573" s="57">
        <v>1333.27</v>
      </c>
      <c r="L573" s="57">
        <v>1334.77</v>
      </c>
      <c r="M573" s="57">
        <v>1346.82</v>
      </c>
      <c r="N573" s="57">
        <v>1318.51</v>
      </c>
      <c r="O573" s="51" t="s">
        <v>123</v>
      </c>
      <c r="P573" s="58">
        <v>-3.3999999999999998E-3</v>
      </c>
    </row>
    <row r="574" spans="1:16" x14ac:dyDescent="0.2">
      <c r="A574" s="56">
        <v>27607</v>
      </c>
      <c r="B574" s="169">
        <v>86.88</v>
      </c>
      <c r="C574" s="169">
        <v>88.75</v>
      </c>
      <c r="D574" s="169">
        <v>89.04</v>
      </c>
      <c r="E574" s="169">
        <v>82.21</v>
      </c>
      <c r="F574" s="169"/>
      <c r="G574" s="169">
        <v>-2.1100000000000001E-2</v>
      </c>
      <c r="H574" s="53">
        <f t="shared" si="9"/>
        <v>0.204158004158004</v>
      </c>
      <c r="I574" s="292"/>
      <c r="J574" s="52">
        <v>40685</v>
      </c>
      <c r="K574" s="57">
        <v>1331.1</v>
      </c>
      <c r="L574" s="57">
        <v>1333.07</v>
      </c>
      <c r="M574" s="57">
        <v>1334.62</v>
      </c>
      <c r="N574" s="57">
        <v>1311.8</v>
      </c>
      <c r="O574" s="51" t="s">
        <v>123</v>
      </c>
      <c r="P574" s="58">
        <v>-1.6000000000000001E-3</v>
      </c>
    </row>
    <row r="575" spans="1:16" x14ac:dyDescent="0.2">
      <c r="A575" s="56">
        <v>27576</v>
      </c>
      <c r="B575" s="169">
        <v>88.75</v>
      </c>
      <c r="C575" s="169">
        <v>95.19</v>
      </c>
      <c r="D575" s="169">
        <v>96.58</v>
      </c>
      <c r="E575" s="169">
        <v>87.68</v>
      </c>
      <c r="F575" s="169"/>
      <c r="G575" s="169">
        <v>-6.7699999999999996E-2</v>
      </c>
      <c r="H575" s="53">
        <f t="shared" si="9"/>
        <v>0.11902660446349755</v>
      </c>
      <c r="I575" s="292"/>
      <c r="J575" s="52">
        <v>40692</v>
      </c>
      <c r="K575" s="57">
        <v>1300.1600000000001</v>
      </c>
      <c r="L575" s="57">
        <v>1331.1</v>
      </c>
      <c r="M575" s="57">
        <v>1345.2</v>
      </c>
      <c r="N575" s="57">
        <v>1297.9000000000001</v>
      </c>
      <c r="O575" s="51" t="s">
        <v>123</v>
      </c>
      <c r="P575" s="58">
        <v>-2.3199999999999998E-2</v>
      </c>
    </row>
    <row r="576" spans="1:16" x14ac:dyDescent="0.2">
      <c r="A576" s="56">
        <v>27546</v>
      </c>
      <c r="B576" s="169">
        <v>95.19</v>
      </c>
      <c r="C576" s="169">
        <v>91.32</v>
      </c>
      <c r="D576" s="169">
        <v>95.85</v>
      </c>
      <c r="E576" s="169">
        <v>89.3</v>
      </c>
      <c r="F576" s="169"/>
      <c r="G576" s="169">
        <v>4.4299999999999999E-2</v>
      </c>
      <c r="H576" s="53">
        <f t="shared" si="9"/>
        <v>0.106860465116279</v>
      </c>
      <c r="I576" s="292"/>
      <c r="J576" s="52">
        <v>40699</v>
      </c>
      <c r="K576" s="57">
        <v>1270.98</v>
      </c>
      <c r="L576" s="57">
        <v>1300.26</v>
      </c>
      <c r="M576" s="57">
        <v>1300.26</v>
      </c>
      <c r="N576" s="57">
        <v>1268.28</v>
      </c>
      <c r="O576" s="51" t="s">
        <v>123</v>
      </c>
      <c r="P576" s="58">
        <v>-2.24E-2</v>
      </c>
    </row>
    <row r="577" spans="1:16" x14ac:dyDescent="0.2">
      <c r="A577" s="56">
        <v>27515</v>
      </c>
      <c r="B577" s="169">
        <v>91.15</v>
      </c>
      <c r="C577" s="169">
        <v>87.3</v>
      </c>
      <c r="D577" s="169">
        <v>93.51</v>
      </c>
      <c r="E577" s="169">
        <v>86.94</v>
      </c>
      <c r="F577" s="169"/>
      <c r="G577" s="169">
        <v>4.41E-2</v>
      </c>
      <c r="H577" s="53">
        <f t="shared" si="9"/>
        <v>4.4340054995417155E-2</v>
      </c>
      <c r="I577" s="292"/>
      <c r="J577" s="52">
        <v>40706</v>
      </c>
      <c r="K577" s="57">
        <v>1271.5</v>
      </c>
      <c r="L577" s="57">
        <v>1271.31</v>
      </c>
      <c r="M577" s="57">
        <v>1292.5</v>
      </c>
      <c r="N577" s="57">
        <v>1258.07</v>
      </c>
      <c r="O577" s="51" t="s">
        <v>123</v>
      </c>
      <c r="P577" s="58">
        <v>4.0000000000000002E-4</v>
      </c>
    </row>
    <row r="578" spans="1:16" x14ac:dyDescent="0.2">
      <c r="A578" s="56">
        <v>27485</v>
      </c>
      <c r="B578" s="169">
        <v>87.3</v>
      </c>
      <c r="C578" s="169">
        <v>83.36</v>
      </c>
      <c r="D578" s="169">
        <v>88.79</v>
      </c>
      <c r="E578" s="169">
        <v>79.66</v>
      </c>
      <c r="F578" s="169"/>
      <c r="G578" s="169">
        <v>4.7300000000000002E-2</v>
      </c>
      <c r="H578" s="53">
        <f t="shared" si="9"/>
        <v>-3.33296423430407E-2</v>
      </c>
      <c r="I578" s="292"/>
      <c r="J578" s="52">
        <v>40713</v>
      </c>
      <c r="K578" s="57">
        <v>1268.45</v>
      </c>
      <c r="L578" s="57">
        <v>1271.5</v>
      </c>
      <c r="M578" s="57">
        <v>1298.6099999999999</v>
      </c>
      <c r="N578" s="57">
        <v>1262.8699999999999</v>
      </c>
      <c r="O578" s="51" t="s">
        <v>123</v>
      </c>
      <c r="P578" s="58">
        <v>-2.3999999999999998E-3</v>
      </c>
    </row>
    <row r="579" spans="1:16" x14ac:dyDescent="0.2">
      <c r="A579" s="56">
        <v>27454</v>
      </c>
      <c r="B579" s="169">
        <v>83.36</v>
      </c>
      <c r="C579" s="169">
        <v>81.59</v>
      </c>
      <c r="D579" s="169">
        <v>87.08</v>
      </c>
      <c r="E579" s="169">
        <v>80.08</v>
      </c>
      <c r="F579" s="169"/>
      <c r="G579" s="169">
        <v>2.1700000000000001E-2</v>
      </c>
      <c r="H579" s="53">
        <f t="shared" si="9"/>
        <v>-0.11300276654607366</v>
      </c>
      <c r="I579" s="292"/>
      <c r="J579" s="52">
        <v>40720</v>
      </c>
      <c r="K579" s="57">
        <v>1339.67</v>
      </c>
      <c r="L579" s="57">
        <v>1268.44</v>
      </c>
      <c r="M579" s="57">
        <v>1341.01</v>
      </c>
      <c r="N579" s="57">
        <v>1267.53</v>
      </c>
      <c r="O579" s="51" t="s">
        <v>123</v>
      </c>
      <c r="P579" s="58">
        <v>5.6099999999999997E-2</v>
      </c>
    </row>
    <row r="580" spans="1:16" x14ac:dyDescent="0.2">
      <c r="A580" s="56">
        <v>27426</v>
      </c>
      <c r="B580" s="169">
        <v>81.59</v>
      </c>
      <c r="C580" s="169">
        <v>76.98</v>
      </c>
      <c r="D580" s="169">
        <v>83.56</v>
      </c>
      <c r="E580" s="169">
        <v>76</v>
      </c>
      <c r="F580" s="169"/>
      <c r="G580" s="169">
        <v>5.9900000000000002E-2</v>
      </c>
      <c r="H580" s="53">
        <f t="shared" si="9"/>
        <v>-0.15204739139472034</v>
      </c>
      <c r="I580" s="292"/>
      <c r="J580" s="52">
        <v>40727</v>
      </c>
      <c r="K580" s="57">
        <v>1343.8</v>
      </c>
      <c r="L580" s="57">
        <v>1339.59</v>
      </c>
      <c r="M580" s="57">
        <v>1356.48</v>
      </c>
      <c r="N580" s="57">
        <v>1330.92</v>
      </c>
      <c r="O580" s="51" t="s">
        <v>123</v>
      </c>
      <c r="P580" s="58">
        <v>3.0999999999999999E-3</v>
      </c>
    </row>
    <row r="581" spans="1:16" x14ac:dyDescent="0.2">
      <c r="A581" s="56">
        <v>27395</v>
      </c>
      <c r="B581" s="169">
        <v>76.98</v>
      </c>
      <c r="C581" s="169">
        <v>68.650000000000006</v>
      </c>
      <c r="D581" s="169">
        <v>78.69</v>
      </c>
      <c r="E581" s="169">
        <v>68.650000000000006</v>
      </c>
      <c r="F581" s="169"/>
      <c r="G581" s="169">
        <v>0.12280000000000001</v>
      </c>
      <c r="H581" s="53">
        <f t="shared" si="9"/>
        <v>-0.20285803044423723</v>
      </c>
      <c r="I581" s="292"/>
      <c r="J581" s="52">
        <v>40734</v>
      </c>
      <c r="K581" s="57">
        <v>1316.14</v>
      </c>
      <c r="L581" s="57">
        <v>1343.31</v>
      </c>
      <c r="M581" s="57">
        <v>1343.31</v>
      </c>
      <c r="N581" s="57">
        <v>1306.51</v>
      </c>
      <c r="O581" s="51" t="s">
        <v>123</v>
      </c>
      <c r="P581" s="58">
        <v>-2.06E-2</v>
      </c>
    </row>
    <row r="582" spans="1:16" x14ac:dyDescent="0.2">
      <c r="A582" s="56">
        <v>27364</v>
      </c>
      <c r="B582" s="169">
        <v>68.56</v>
      </c>
      <c r="C582" s="169">
        <v>69.8</v>
      </c>
      <c r="D582" s="169">
        <v>69.8</v>
      </c>
      <c r="E582" s="169">
        <v>64.13</v>
      </c>
      <c r="F582" s="169"/>
      <c r="G582" s="169">
        <v>-2.0199999999999999E-2</v>
      </c>
      <c r="H582" s="53">
        <f t="shared" si="9"/>
        <v>-0.29718093285494618</v>
      </c>
      <c r="I582" s="292"/>
      <c r="J582" s="52">
        <v>40741</v>
      </c>
      <c r="K582" s="57">
        <v>1345.02</v>
      </c>
      <c r="L582" s="57">
        <v>1315.94</v>
      </c>
      <c r="M582" s="57">
        <v>1347</v>
      </c>
      <c r="N582" s="57">
        <v>1295.92</v>
      </c>
      <c r="O582" s="51" t="s">
        <v>123</v>
      </c>
      <c r="P582" s="58">
        <v>2.1899999999999999E-2</v>
      </c>
    </row>
    <row r="583" spans="1:16" x14ac:dyDescent="0.2">
      <c r="A583" s="56">
        <v>27334</v>
      </c>
      <c r="B583" s="169">
        <v>69.97</v>
      </c>
      <c r="C583" s="169">
        <v>73.900000000000006</v>
      </c>
      <c r="D583" s="169">
        <v>77.41</v>
      </c>
      <c r="E583" s="169">
        <v>66.849999999999994</v>
      </c>
      <c r="F583" s="169"/>
      <c r="G583" s="169">
        <v>-5.3199999999999997E-2</v>
      </c>
      <c r="H583" s="53">
        <f t="shared" si="9"/>
        <v>-0.27084201750729464</v>
      </c>
      <c r="I583" s="292"/>
      <c r="J583" s="52">
        <v>40748</v>
      </c>
      <c r="K583" s="57">
        <v>1292.28</v>
      </c>
      <c r="L583" s="57">
        <v>1344.32</v>
      </c>
      <c r="M583" s="57">
        <v>1344.32</v>
      </c>
      <c r="N583" s="57">
        <v>1282.8599999999999</v>
      </c>
      <c r="O583" s="51" t="s">
        <v>123</v>
      </c>
      <c r="P583" s="58">
        <v>-3.9199999999999999E-2</v>
      </c>
    </row>
    <row r="584" spans="1:16" x14ac:dyDescent="0.2">
      <c r="A584" s="56">
        <v>27303</v>
      </c>
      <c r="B584" s="169">
        <v>73.900000000000006</v>
      </c>
      <c r="C584" s="169">
        <v>63.54</v>
      </c>
      <c r="D584" s="169">
        <v>75.900000000000006</v>
      </c>
      <c r="E584" s="169">
        <v>60.96</v>
      </c>
      <c r="F584" s="169"/>
      <c r="G584" s="169">
        <v>0.16300000000000001</v>
      </c>
      <c r="H584" s="53">
        <f t="shared" si="9"/>
        <v>-0.31757318311940164</v>
      </c>
      <c r="I584" s="292"/>
      <c r="J584" s="52">
        <v>40755</v>
      </c>
      <c r="K584" s="57">
        <v>1199.3800000000001</v>
      </c>
      <c r="L584" s="57">
        <v>1292.5899999999999</v>
      </c>
      <c r="M584" s="57">
        <v>1307.3800000000001</v>
      </c>
      <c r="N584" s="57">
        <v>1168.0899999999999</v>
      </c>
      <c r="O584" s="51" t="s">
        <v>123</v>
      </c>
      <c r="P584" s="58">
        <v>-7.1900000000000006E-2</v>
      </c>
    </row>
    <row r="585" spans="1:16" x14ac:dyDescent="0.2">
      <c r="A585" s="56">
        <v>27273</v>
      </c>
      <c r="B585" s="169">
        <v>63.54</v>
      </c>
      <c r="C585" s="169">
        <v>72.150000000000006</v>
      </c>
      <c r="D585" s="169">
        <v>73.010000000000005</v>
      </c>
      <c r="E585" s="169">
        <v>62.52</v>
      </c>
      <c r="F585" s="169"/>
      <c r="G585" s="169">
        <v>-0.1193</v>
      </c>
      <c r="H585" s="53">
        <f t="shared" si="9"/>
        <v>-0.41399981554920229</v>
      </c>
      <c r="I585" s="292"/>
      <c r="J585" s="52">
        <v>40762</v>
      </c>
      <c r="K585" s="57">
        <v>1178.81</v>
      </c>
      <c r="L585" s="57">
        <v>1198.48</v>
      </c>
      <c r="M585" s="57">
        <v>1198.48</v>
      </c>
      <c r="N585" s="57">
        <v>1101.54</v>
      </c>
      <c r="O585" s="51" t="s">
        <v>123</v>
      </c>
      <c r="P585" s="58">
        <v>-1.72E-2</v>
      </c>
    </row>
    <row r="586" spans="1:16" x14ac:dyDescent="0.2">
      <c r="A586" s="56">
        <v>27242</v>
      </c>
      <c r="B586" s="169">
        <v>72.150000000000006</v>
      </c>
      <c r="C586" s="169">
        <v>79.31</v>
      </c>
      <c r="D586" s="169">
        <v>83.53</v>
      </c>
      <c r="E586" s="169">
        <v>69.37</v>
      </c>
      <c r="F586" s="169"/>
      <c r="G586" s="169">
        <v>-9.0300000000000005E-2</v>
      </c>
      <c r="H586" s="53">
        <f t="shared" si="9"/>
        <v>-0.30791366906474815</v>
      </c>
      <c r="I586" s="292"/>
      <c r="J586" s="52">
        <v>40769</v>
      </c>
      <c r="K586" s="57">
        <v>1123.53</v>
      </c>
      <c r="L586" s="57">
        <v>1178.8599999999999</v>
      </c>
      <c r="M586" s="57">
        <v>1208.47</v>
      </c>
      <c r="N586" s="57">
        <v>1122.05</v>
      </c>
      <c r="O586" s="51" t="s">
        <v>123</v>
      </c>
      <c r="P586" s="58">
        <v>-4.6899999999999997E-2</v>
      </c>
    </row>
    <row r="587" spans="1:16" x14ac:dyDescent="0.2">
      <c r="A587" s="56">
        <v>27211</v>
      </c>
      <c r="B587" s="169">
        <v>79.31</v>
      </c>
      <c r="C587" s="169">
        <v>86</v>
      </c>
      <c r="D587" s="169">
        <v>86.89</v>
      </c>
      <c r="E587" s="169">
        <v>78.959999999999994</v>
      </c>
      <c r="F587" s="169"/>
      <c r="G587" s="169">
        <v>-7.7799999999999994E-2</v>
      </c>
      <c r="H587" s="53">
        <f t="shared" si="9"/>
        <v>-0.26714100905562743</v>
      </c>
      <c r="I587" s="292"/>
      <c r="J587" s="52">
        <v>40776</v>
      </c>
      <c r="K587" s="57">
        <v>1176.8</v>
      </c>
      <c r="L587" s="57">
        <v>1123.55</v>
      </c>
      <c r="M587" s="57">
        <v>1190.68</v>
      </c>
      <c r="N587" s="57">
        <v>1121.0899999999999</v>
      </c>
      <c r="O587" s="51" t="s">
        <v>123</v>
      </c>
      <c r="P587" s="58">
        <v>4.7399999999999998E-2</v>
      </c>
    </row>
    <row r="588" spans="1:16" x14ac:dyDescent="0.2">
      <c r="A588" s="56">
        <v>27181</v>
      </c>
      <c r="B588" s="169">
        <v>86</v>
      </c>
      <c r="C588" s="169">
        <v>87.28</v>
      </c>
      <c r="D588" s="169">
        <v>93.76</v>
      </c>
      <c r="E588" s="169">
        <v>85.13</v>
      </c>
      <c r="F588" s="169"/>
      <c r="G588" s="169">
        <v>-1.47E-2</v>
      </c>
      <c r="H588" s="53">
        <f t="shared" si="9"/>
        <v>-0.17513907538845197</v>
      </c>
      <c r="I588" s="292"/>
      <c r="J588" s="52">
        <v>40783</v>
      </c>
      <c r="K588" s="57">
        <v>1173.97</v>
      </c>
      <c r="L588" s="57">
        <v>1177.9100000000001</v>
      </c>
      <c r="M588" s="57">
        <v>1230.71</v>
      </c>
      <c r="N588" s="57">
        <v>1170.56</v>
      </c>
      <c r="O588" s="51" t="s">
        <v>123</v>
      </c>
      <c r="P588" s="58">
        <v>-2.3999999999999998E-3</v>
      </c>
    </row>
    <row r="589" spans="1:16" x14ac:dyDescent="0.2">
      <c r="A589" s="56">
        <v>27150</v>
      </c>
      <c r="B589" s="169">
        <v>87.28</v>
      </c>
      <c r="C589" s="169">
        <v>90.31</v>
      </c>
      <c r="D589" s="169">
        <v>93.59</v>
      </c>
      <c r="E589" s="169">
        <v>85.87</v>
      </c>
      <c r="F589" s="169"/>
      <c r="G589" s="169">
        <v>-3.3599999999999998E-2</v>
      </c>
      <c r="H589" s="53">
        <f t="shared" si="9"/>
        <v>-0.16836588851834211</v>
      </c>
      <c r="I589" s="292"/>
      <c r="J589" s="52">
        <v>40790</v>
      </c>
      <c r="K589" s="57">
        <v>1154.23</v>
      </c>
      <c r="L589" s="57">
        <v>1173.97</v>
      </c>
      <c r="M589" s="57">
        <v>1204.4000000000001</v>
      </c>
      <c r="N589" s="57">
        <v>1140.1300000000001</v>
      </c>
      <c r="O589" s="51" t="s">
        <v>123</v>
      </c>
      <c r="P589" s="58">
        <v>-1.6799999999999999E-2</v>
      </c>
    </row>
    <row r="590" spans="1:16" x14ac:dyDescent="0.2">
      <c r="A590" s="56">
        <v>27120</v>
      </c>
      <c r="B590" s="169">
        <v>90.31</v>
      </c>
      <c r="C590" s="169">
        <v>93.98</v>
      </c>
      <c r="D590" s="169">
        <v>95.42</v>
      </c>
      <c r="E590" s="169">
        <v>88.62</v>
      </c>
      <c r="F590" s="169"/>
      <c r="G590" s="169">
        <v>-3.9100000000000003E-2</v>
      </c>
      <c r="H590" s="53">
        <f t="shared" si="9"/>
        <v>-0.15574460129008127</v>
      </c>
      <c r="I590" s="292"/>
      <c r="J590" s="52">
        <v>40797</v>
      </c>
      <c r="K590" s="57">
        <v>1216.01</v>
      </c>
      <c r="L590" s="57">
        <v>1153.5</v>
      </c>
      <c r="M590" s="57">
        <v>1220.06</v>
      </c>
      <c r="N590" s="57">
        <v>1136.07</v>
      </c>
      <c r="O590" s="51" t="s">
        <v>123</v>
      </c>
      <c r="P590" s="58">
        <v>5.3499999999999999E-2</v>
      </c>
    </row>
    <row r="591" spans="1:16" x14ac:dyDescent="0.2">
      <c r="A591" s="56">
        <v>27089</v>
      </c>
      <c r="B591" s="169">
        <v>93.98</v>
      </c>
      <c r="C591" s="169">
        <v>96.22</v>
      </c>
      <c r="D591" s="169">
        <v>101.05</v>
      </c>
      <c r="E591" s="169">
        <v>93.44</v>
      </c>
      <c r="F591" s="169"/>
      <c r="G591" s="169">
        <v>-2.3300000000000001E-2</v>
      </c>
      <c r="H591" s="53">
        <f t="shared" si="9"/>
        <v>-0.15728120516499278</v>
      </c>
      <c r="I591" s="292"/>
      <c r="J591" s="52">
        <v>40804</v>
      </c>
      <c r="K591" s="57">
        <v>1136.43</v>
      </c>
      <c r="L591" s="57">
        <v>1214.99</v>
      </c>
      <c r="M591" s="57">
        <v>1220.3900000000001</v>
      </c>
      <c r="N591" s="57">
        <v>1114.22</v>
      </c>
      <c r="O591" s="51" t="s">
        <v>123</v>
      </c>
      <c r="P591" s="58">
        <v>-6.54E-2</v>
      </c>
    </row>
    <row r="592" spans="1:16" x14ac:dyDescent="0.2">
      <c r="A592" s="56">
        <v>27061</v>
      </c>
      <c r="B592" s="169">
        <v>96.22</v>
      </c>
      <c r="C592" s="169">
        <v>96.57</v>
      </c>
      <c r="D592" s="169">
        <v>97.43</v>
      </c>
      <c r="E592" s="169">
        <v>89.53</v>
      </c>
      <c r="F592" s="169"/>
      <c r="G592" s="169">
        <v>-3.5999999999999999E-3</v>
      </c>
      <c r="H592" s="53">
        <f t="shared" si="9"/>
        <v>-0.13843123209169061</v>
      </c>
      <c r="I592" s="292"/>
      <c r="J592" s="52">
        <v>40811</v>
      </c>
      <c r="K592" s="57">
        <v>1131.42</v>
      </c>
      <c r="L592" s="57">
        <v>1136.9100000000001</v>
      </c>
      <c r="M592" s="57">
        <v>1195.8599999999999</v>
      </c>
      <c r="N592" s="57">
        <v>1131.07</v>
      </c>
      <c r="O592" s="51" t="s">
        <v>123</v>
      </c>
      <c r="P592" s="58">
        <v>-4.4000000000000003E-3</v>
      </c>
    </row>
    <row r="593" spans="1:16" x14ac:dyDescent="0.2">
      <c r="A593" s="56">
        <v>27030</v>
      </c>
      <c r="B593" s="169">
        <v>96.57</v>
      </c>
      <c r="C593" s="169">
        <v>97.55</v>
      </c>
      <c r="D593" s="169">
        <v>100.94</v>
      </c>
      <c r="E593" s="169">
        <v>91.62</v>
      </c>
      <c r="F593" s="169"/>
      <c r="G593" s="169">
        <v>-0.01</v>
      </c>
      <c r="H593" s="53">
        <f t="shared" si="9"/>
        <v>-0.16771524605705423</v>
      </c>
      <c r="I593" s="292"/>
      <c r="J593" s="52">
        <v>40818</v>
      </c>
      <c r="K593" s="57">
        <v>1155.46</v>
      </c>
      <c r="L593" s="57">
        <v>1131.21</v>
      </c>
      <c r="M593" s="57">
        <v>1171.4000000000001</v>
      </c>
      <c r="N593" s="57">
        <v>1074.77</v>
      </c>
      <c r="O593" s="51" t="s">
        <v>123</v>
      </c>
      <c r="P593" s="58">
        <v>2.12E-2</v>
      </c>
    </row>
    <row r="594" spans="1:16" x14ac:dyDescent="0.2">
      <c r="A594" s="56">
        <v>26999</v>
      </c>
      <c r="B594" s="169">
        <v>97.55</v>
      </c>
      <c r="C594" s="169">
        <v>95.83</v>
      </c>
      <c r="D594" s="169">
        <v>99.09</v>
      </c>
      <c r="E594" s="169">
        <v>91.05</v>
      </c>
      <c r="F594" s="169"/>
      <c r="G594" s="169">
        <v>1.66E-2</v>
      </c>
      <c r="H594" s="53">
        <f t="shared" ref="H594:H628" si="10">B594/B606-1</f>
        <v>-0.17365523083439216</v>
      </c>
      <c r="I594" s="292"/>
      <c r="J594" s="52">
        <v>40825</v>
      </c>
      <c r="K594" s="57">
        <v>1224.58</v>
      </c>
      <c r="L594" s="57">
        <v>1158.1500000000001</v>
      </c>
      <c r="M594" s="57">
        <v>1224.6099999999999</v>
      </c>
      <c r="N594" s="57">
        <v>1158.1500000000001</v>
      </c>
      <c r="O594" s="51" t="s">
        <v>123</v>
      </c>
      <c r="P594" s="58">
        <v>5.9799999999999999E-2</v>
      </c>
    </row>
    <row r="595" spans="1:16" x14ac:dyDescent="0.2">
      <c r="A595" s="56">
        <v>26969</v>
      </c>
      <c r="B595" s="169">
        <v>95.96</v>
      </c>
      <c r="C595" s="169">
        <v>108.29</v>
      </c>
      <c r="D595" s="169">
        <v>109.2</v>
      </c>
      <c r="E595" s="169">
        <v>94.88</v>
      </c>
      <c r="F595" s="169"/>
      <c r="G595" s="169">
        <v>-0.1139</v>
      </c>
      <c r="H595" s="53">
        <f t="shared" si="10"/>
        <v>-0.17750921402245656</v>
      </c>
      <c r="I595" s="292"/>
      <c r="J595" s="52">
        <v>40832</v>
      </c>
      <c r="K595" s="57">
        <v>1238.25</v>
      </c>
      <c r="L595" s="57">
        <v>1224.47</v>
      </c>
      <c r="M595" s="57">
        <v>1239.03</v>
      </c>
      <c r="N595" s="57">
        <v>1191.48</v>
      </c>
      <c r="O595" s="51" t="s">
        <v>123</v>
      </c>
      <c r="P595" s="58">
        <v>1.12E-2</v>
      </c>
    </row>
    <row r="596" spans="1:16" x14ac:dyDescent="0.2">
      <c r="A596" s="56">
        <v>26938</v>
      </c>
      <c r="B596" s="169">
        <v>108.29</v>
      </c>
      <c r="C596" s="169">
        <v>108.43</v>
      </c>
      <c r="D596" s="169">
        <v>112.82</v>
      </c>
      <c r="E596" s="169">
        <v>107.08</v>
      </c>
      <c r="F596" s="169"/>
      <c r="G596" s="169">
        <v>-1.2999999999999999E-3</v>
      </c>
      <c r="H596" s="53">
        <f t="shared" si="10"/>
        <v>-2.9485570890840584E-2</v>
      </c>
      <c r="I596" s="292"/>
      <c r="J596" s="52">
        <v>40839</v>
      </c>
      <c r="K596" s="57">
        <v>1285.0899999999999</v>
      </c>
      <c r="L596" s="57">
        <v>1238.72</v>
      </c>
      <c r="M596" s="57">
        <v>1292.6600000000001</v>
      </c>
      <c r="N596" s="57">
        <v>1221.06</v>
      </c>
      <c r="O596" s="51" t="s">
        <v>123</v>
      </c>
      <c r="P596" s="58">
        <v>3.78E-2</v>
      </c>
    </row>
    <row r="597" spans="1:16" x14ac:dyDescent="0.2">
      <c r="A597" s="56">
        <v>26908</v>
      </c>
      <c r="B597" s="169">
        <v>108.43</v>
      </c>
      <c r="C597" s="169">
        <v>104.25</v>
      </c>
      <c r="D597" s="169">
        <v>110.45</v>
      </c>
      <c r="E597" s="169">
        <v>102.13</v>
      </c>
      <c r="F597" s="169"/>
      <c r="G597" s="169">
        <v>4.0099999999999997E-2</v>
      </c>
      <c r="H597" s="53">
        <f t="shared" si="10"/>
        <v>-1.9176843057439941E-2</v>
      </c>
      <c r="I597" s="292"/>
      <c r="J597" s="52">
        <v>40846</v>
      </c>
      <c r="K597" s="57">
        <v>1253.23</v>
      </c>
      <c r="L597" s="57">
        <v>1284.96</v>
      </c>
      <c r="M597" s="57">
        <v>1284.96</v>
      </c>
      <c r="N597" s="57">
        <v>1215.42</v>
      </c>
      <c r="O597" s="51" t="s">
        <v>123</v>
      </c>
      <c r="P597" s="58">
        <v>-2.4799999999999999E-2</v>
      </c>
    </row>
    <row r="598" spans="1:16" x14ac:dyDescent="0.2">
      <c r="A598" s="56">
        <v>26877</v>
      </c>
      <c r="B598" s="169">
        <v>104.25</v>
      </c>
      <c r="C598" s="169">
        <v>108.17</v>
      </c>
      <c r="D598" s="169">
        <v>108.17</v>
      </c>
      <c r="E598" s="169">
        <v>99.74</v>
      </c>
      <c r="F598" s="169"/>
      <c r="G598" s="169">
        <v>-3.6700000000000003E-2</v>
      </c>
      <c r="H598" s="53">
        <f t="shared" si="10"/>
        <v>-6.1571698622738369E-2</v>
      </c>
      <c r="I598" s="292"/>
      <c r="J598" s="52">
        <v>40853</v>
      </c>
      <c r="K598" s="57">
        <v>1263.8499999999999</v>
      </c>
      <c r="L598" s="57">
        <v>1253.21</v>
      </c>
      <c r="M598" s="57">
        <v>1277.55</v>
      </c>
      <c r="N598" s="57">
        <v>1226.6400000000001</v>
      </c>
      <c r="O598" s="51" t="s">
        <v>123</v>
      </c>
      <c r="P598" s="58">
        <v>8.5000000000000006E-3</v>
      </c>
    </row>
    <row r="599" spans="1:16" x14ac:dyDescent="0.2">
      <c r="A599" s="56">
        <v>26846</v>
      </c>
      <c r="B599" s="169">
        <v>108.22</v>
      </c>
      <c r="C599" s="169">
        <v>104.1</v>
      </c>
      <c r="D599" s="169">
        <v>111.04</v>
      </c>
      <c r="E599" s="169">
        <v>100.44</v>
      </c>
      <c r="F599" s="169"/>
      <c r="G599" s="169">
        <v>3.7999999999999999E-2</v>
      </c>
      <c r="H599" s="53">
        <f t="shared" si="10"/>
        <v>7.7288388118075257E-3</v>
      </c>
      <c r="I599" s="292"/>
      <c r="J599" s="52">
        <v>40860</v>
      </c>
      <c r="K599" s="57">
        <v>1215.6500000000001</v>
      </c>
      <c r="L599" s="57">
        <v>1263.8499999999999</v>
      </c>
      <c r="M599" s="57">
        <v>1264.25</v>
      </c>
      <c r="N599" s="57">
        <v>1209.43</v>
      </c>
      <c r="O599" s="51" t="s">
        <v>123</v>
      </c>
      <c r="P599" s="58">
        <v>-3.8100000000000002E-2</v>
      </c>
    </row>
    <row r="600" spans="1:16" x14ac:dyDescent="0.2">
      <c r="A600" s="56">
        <v>26816</v>
      </c>
      <c r="B600" s="169">
        <v>104.26</v>
      </c>
      <c r="C600" s="169">
        <v>104.95</v>
      </c>
      <c r="D600" s="169">
        <v>109.52</v>
      </c>
      <c r="E600" s="169">
        <v>101.45</v>
      </c>
      <c r="F600" s="169"/>
      <c r="G600" s="169">
        <v>-6.6E-3</v>
      </c>
      <c r="H600" s="53">
        <f t="shared" si="10"/>
        <v>-2.688071681911508E-2</v>
      </c>
      <c r="I600" s="292"/>
      <c r="J600" s="52">
        <v>40867</v>
      </c>
      <c r="K600" s="57">
        <v>1158.67</v>
      </c>
      <c r="L600" s="57">
        <v>1215.6199999999999</v>
      </c>
      <c r="M600" s="57">
        <v>1215.6199999999999</v>
      </c>
      <c r="N600" s="57">
        <v>1158.6600000000001</v>
      </c>
      <c r="O600" s="51" t="s">
        <v>123</v>
      </c>
      <c r="P600" s="58">
        <v>-4.6899999999999997E-2</v>
      </c>
    </row>
    <row r="601" spans="1:16" x14ac:dyDescent="0.2">
      <c r="A601" s="56">
        <v>26785</v>
      </c>
      <c r="B601" s="169">
        <v>104.95</v>
      </c>
      <c r="C601" s="169">
        <v>106.97</v>
      </c>
      <c r="D601" s="169">
        <v>112.25</v>
      </c>
      <c r="E601" s="169">
        <v>101.36</v>
      </c>
      <c r="F601" s="169"/>
      <c r="G601" s="169">
        <v>-1.89E-2</v>
      </c>
      <c r="H601" s="53">
        <f t="shared" si="10"/>
        <v>-4.1815027846252129E-2</v>
      </c>
      <c r="I601" s="292"/>
      <c r="J601" s="52">
        <v>40874</v>
      </c>
      <c r="K601" s="57">
        <v>1244.28</v>
      </c>
      <c r="L601" s="57">
        <v>1158.67</v>
      </c>
      <c r="M601" s="57">
        <v>1260.08</v>
      </c>
      <c r="N601" s="57">
        <v>1158.67</v>
      </c>
      <c r="O601" s="51" t="s">
        <v>123</v>
      </c>
      <c r="P601" s="58">
        <v>7.3899999999999993E-2</v>
      </c>
    </row>
    <row r="602" spans="1:16" x14ac:dyDescent="0.2">
      <c r="A602" s="56">
        <v>26755</v>
      </c>
      <c r="B602" s="169">
        <v>106.97</v>
      </c>
      <c r="C602" s="169">
        <v>111.52</v>
      </c>
      <c r="D602" s="169">
        <v>113.65</v>
      </c>
      <c r="E602" s="169">
        <v>105.44</v>
      </c>
      <c r="F602" s="169"/>
      <c r="G602" s="169">
        <v>-4.0800000000000003E-2</v>
      </c>
      <c r="H602" s="53">
        <f t="shared" si="10"/>
        <v>-6.5013467075323295E-3</v>
      </c>
      <c r="I602" s="292"/>
      <c r="J602" s="52">
        <v>40881</v>
      </c>
      <c r="K602" s="57">
        <v>1255.19</v>
      </c>
      <c r="L602" s="57">
        <v>1244.33</v>
      </c>
      <c r="M602" s="57">
        <v>1267.06</v>
      </c>
      <c r="N602" s="57">
        <v>1231.47</v>
      </c>
      <c r="O602" s="51" t="s">
        <v>123</v>
      </c>
      <c r="P602" s="58">
        <v>8.8000000000000005E-3</v>
      </c>
    </row>
    <row r="603" spans="1:16" x14ac:dyDescent="0.2">
      <c r="A603" s="56">
        <v>26724</v>
      </c>
      <c r="B603" s="169">
        <v>111.52</v>
      </c>
      <c r="C603" s="169">
        <v>111.68</v>
      </c>
      <c r="D603" s="169">
        <v>115.61</v>
      </c>
      <c r="E603" s="169">
        <v>107.41</v>
      </c>
      <c r="F603" s="169"/>
      <c r="G603" s="169">
        <v>-1.4E-3</v>
      </c>
      <c r="H603" s="53">
        <f t="shared" si="10"/>
        <v>4.0298507462686484E-2</v>
      </c>
      <c r="I603" s="292"/>
      <c r="J603" s="52">
        <v>40888</v>
      </c>
      <c r="K603" s="57">
        <v>1219.6600000000001</v>
      </c>
      <c r="L603" s="57">
        <v>1255.05</v>
      </c>
      <c r="M603" s="57">
        <v>1255.05</v>
      </c>
      <c r="N603" s="57">
        <v>1209.47</v>
      </c>
      <c r="O603" s="51" t="s">
        <v>123</v>
      </c>
      <c r="P603" s="58">
        <v>-2.8299999999999999E-2</v>
      </c>
    </row>
    <row r="604" spans="1:16" x14ac:dyDescent="0.2">
      <c r="A604" s="56">
        <v>26696</v>
      </c>
      <c r="B604" s="169">
        <v>111.68</v>
      </c>
      <c r="C604" s="169">
        <v>116.03</v>
      </c>
      <c r="D604" s="169">
        <v>118.98</v>
      </c>
      <c r="E604" s="169">
        <v>109.8</v>
      </c>
      <c r="F604" s="169"/>
      <c r="G604" s="169">
        <v>-3.7499999999999999E-2</v>
      </c>
      <c r="H604" s="53">
        <f t="shared" si="10"/>
        <v>4.7949704419630423E-2</v>
      </c>
      <c r="I604" s="292"/>
      <c r="J604" s="52">
        <v>40895</v>
      </c>
      <c r="K604" s="57">
        <v>1265.33</v>
      </c>
      <c r="L604" s="57">
        <v>1219.74</v>
      </c>
      <c r="M604" s="57">
        <v>1265.42</v>
      </c>
      <c r="N604" s="57">
        <v>1202.3699999999999</v>
      </c>
      <c r="O604" s="51" t="s">
        <v>123</v>
      </c>
      <c r="P604" s="58">
        <v>3.7400000000000003E-2</v>
      </c>
    </row>
    <row r="605" spans="1:16" x14ac:dyDescent="0.2">
      <c r="A605" s="56">
        <v>26665</v>
      </c>
      <c r="B605" s="169">
        <v>116.03</v>
      </c>
      <c r="C605" s="169">
        <v>118.06</v>
      </c>
      <c r="D605" s="169">
        <v>121.74</v>
      </c>
      <c r="E605" s="169">
        <v>114.97</v>
      </c>
      <c r="F605" s="169"/>
      <c r="G605" s="169">
        <v>-1.7100000000000001E-2</v>
      </c>
      <c r="H605" s="53">
        <f t="shared" si="10"/>
        <v>0.11631710602270551</v>
      </c>
      <c r="I605" s="292"/>
      <c r="J605" s="52">
        <v>40902</v>
      </c>
      <c r="K605" s="57">
        <v>1257.5999999999999</v>
      </c>
      <c r="L605" s="57">
        <v>1265.02</v>
      </c>
      <c r="M605" s="57">
        <v>1269.3699999999999</v>
      </c>
      <c r="N605" s="57">
        <v>1248.6400000000001</v>
      </c>
      <c r="O605" s="51" t="s">
        <v>123</v>
      </c>
      <c r="P605" s="58">
        <v>-6.1000000000000004E-3</v>
      </c>
    </row>
    <row r="606" spans="1:16" x14ac:dyDescent="0.2">
      <c r="A606" s="56">
        <v>26634</v>
      </c>
      <c r="B606" s="169">
        <v>118.05</v>
      </c>
      <c r="C606" s="169">
        <v>116.67</v>
      </c>
      <c r="D606" s="169">
        <v>119.79</v>
      </c>
      <c r="E606" s="169">
        <v>114.63</v>
      </c>
      <c r="F606" s="169"/>
      <c r="G606" s="169">
        <v>1.18E-2</v>
      </c>
      <c r="H606" s="53">
        <f t="shared" si="10"/>
        <v>0.15633264766382604</v>
      </c>
      <c r="I606" s="292"/>
      <c r="J606" s="52">
        <v>40909</v>
      </c>
      <c r="K606" s="57">
        <v>1277.81</v>
      </c>
      <c r="L606" s="57">
        <v>1258.8599999999999</v>
      </c>
      <c r="M606" s="57">
        <v>1284.6199999999999</v>
      </c>
      <c r="N606" s="57">
        <v>1258.8599999999999</v>
      </c>
      <c r="O606" s="51" t="s">
        <v>123</v>
      </c>
      <c r="P606" s="58">
        <v>1.61E-2</v>
      </c>
    </row>
    <row r="607" spans="1:16" x14ac:dyDescent="0.2">
      <c r="A607" s="56">
        <v>26604</v>
      </c>
      <c r="B607" s="169">
        <v>116.67</v>
      </c>
      <c r="C607" s="169">
        <v>111.58</v>
      </c>
      <c r="D607" s="169">
        <v>117.91</v>
      </c>
      <c r="E607" s="169">
        <v>111.32</v>
      </c>
      <c r="F607" s="169"/>
      <c r="G607" s="169">
        <v>4.5600000000000002E-2</v>
      </c>
      <c r="H607" s="53">
        <f t="shared" si="10"/>
        <v>0.24130226619853179</v>
      </c>
      <c r="I607" s="292"/>
      <c r="J607" s="52">
        <v>40916</v>
      </c>
      <c r="K607" s="57">
        <v>1289.0899999999999</v>
      </c>
      <c r="L607" s="57">
        <v>1277.83</v>
      </c>
      <c r="M607" s="57">
        <v>1296.82</v>
      </c>
      <c r="N607" s="57">
        <v>1274.55</v>
      </c>
      <c r="O607" s="51" t="s">
        <v>123</v>
      </c>
      <c r="P607" s="58">
        <v>8.8000000000000005E-3</v>
      </c>
    </row>
    <row r="608" spans="1:16" x14ac:dyDescent="0.2">
      <c r="A608" s="56">
        <v>26573</v>
      </c>
      <c r="B608" s="169">
        <v>111.58</v>
      </c>
      <c r="C608" s="169">
        <v>110.55</v>
      </c>
      <c r="D608" s="169">
        <v>112.26</v>
      </c>
      <c r="E608" s="169">
        <v>106.27</v>
      </c>
      <c r="F608" s="169"/>
      <c r="G608" s="169">
        <v>9.2999999999999992E-3</v>
      </c>
      <c r="H608" s="53">
        <f t="shared" si="10"/>
        <v>0.18412395203226151</v>
      </c>
      <c r="I608" s="292"/>
      <c r="J608" s="52">
        <v>40923</v>
      </c>
      <c r="K608" s="57">
        <v>1315.38</v>
      </c>
      <c r="L608" s="57">
        <v>1290.22</v>
      </c>
      <c r="M608" s="57">
        <v>1315.49</v>
      </c>
      <c r="N608" s="57">
        <v>1290.22</v>
      </c>
      <c r="O608" s="51" t="s">
        <v>123</v>
      </c>
      <c r="P608" s="58">
        <v>2.0400000000000001E-2</v>
      </c>
    </row>
    <row r="609" spans="1:16" x14ac:dyDescent="0.2">
      <c r="A609" s="56">
        <v>26543</v>
      </c>
      <c r="B609" s="169">
        <v>110.55</v>
      </c>
      <c r="C609" s="169">
        <v>111.09</v>
      </c>
      <c r="D609" s="169">
        <v>112.12</v>
      </c>
      <c r="E609" s="169">
        <v>107.35</v>
      </c>
      <c r="F609" s="169"/>
      <c r="G609" s="169">
        <v>-4.8999999999999998E-3</v>
      </c>
      <c r="H609" s="53">
        <f t="shared" si="10"/>
        <v>0.12416107382550323</v>
      </c>
      <c r="I609" s="292"/>
      <c r="J609" s="52">
        <v>40930</v>
      </c>
      <c r="K609" s="57">
        <v>1316.33</v>
      </c>
      <c r="L609" s="57">
        <v>1315.29</v>
      </c>
      <c r="M609" s="57">
        <v>1333.47</v>
      </c>
      <c r="N609" s="57">
        <v>1306.06</v>
      </c>
      <c r="O609" s="51" t="s">
        <v>123</v>
      </c>
      <c r="P609" s="58">
        <v>6.9999999999999999E-4</v>
      </c>
    </row>
    <row r="610" spans="1:16" x14ac:dyDescent="0.2">
      <c r="A610" s="56">
        <v>26512</v>
      </c>
      <c r="B610" s="169">
        <v>111.09</v>
      </c>
      <c r="C610" s="169">
        <v>107.39</v>
      </c>
      <c r="D610" s="169">
        <v>113.45</v>
      </c>
      <c r="E610" s="169">
        <v>107.06</v>
      </c>
      <c r="F610" s="169"/>
      <c r="G610" s="169">
        <v>3.4500000000000003E-2</v>
      </c>
      <c r="H610" s="53">
        <f t="shared" si="10"/>
        <v>0.1217812784004848</v>
      </c>
      <c r="I610" s="292"/>
      <c r="J610" s="52">
        <v>40937</v>
      </c>
      <c r="K610" s="57">
        <v>1344.9</v>
      </c>
      <c r="L610" s="57">
        <v>1316.16</v>
      </c>
      <c r="M610" s="57">
        <v>1345.34</v>
      </c>
      <c r="N610" s="57">
        <v>1300.49</v>
      </c>
      <c r="O610" s="51" t="s">
        <v>123</v>
      </c>
      <c r="P610" s="58">
        <v>2.1700000000000001E-2</v>
      </c>
    </row>
    <row r="611" spans="1:16" x14ac:dyDescent="0.2">
      <c r="A611" s="56">
        <v>26481</v>
      </c>
      <c r="B611" s="169">
        <v>107.39</v>
      </c>
      <c r="C611" s="169">
        <v>107.14</v>
      </c>
      <c r="D611" s="169">
        <v>110.27</v>
      </c>
      <c r="E611" s="169">
        <v>104.43</v>
      </c>
      <c r="F611" s="169"/>
      <c r="G611" s="169">
        <v>2.3E-3</v>
      </c>
      <c r="H611" s="53">
        <f t="shared" si="10"/>
        <v>0.12356141452186642</v>
      </c>
      <c r="I611" s="292"/>
      <c r="J611" s="52">
        <v>40944</v>
      </c>
      <c r="K611" s="57">
        <v>1342.64</v>
      </c>
      <c r="L611" s="57">
        <v>1344.32</v>
      </c>
      <c r="M611" s="57">
        <v>1354.32</v>
      </c>
      <c r="N611" s="57">
        <v>1335.92</v>
      </c>
      <c r="O611" s="51" t="s">
        <v>123</v>
      </c>
      <c r="P611" s="58">
        <v>-1.6999999999999999E-3</v>
      </c>
    </row>
    <row r="612" spans="1:16" x14ac:dyDescent="0.2">
      <c r="A612" s="56">
        <v>26451</v>
      </c>
      <c r="B612" s="169">
        <v>107.14</v>
      </c>
      <c r="C612" s="169">
        <v>109.53</v>
      </c>
      <c r="D612" s="169">
        <v>110.51</v>
      </c>
      <c r="E612" s="169">
        <v>105.94</v>
      </c>
      <c r="F612" s="169"/>
      <c r="G612" s="169">
        <v>-2.18E-2</v>
      </c>
      <c r="H612" s="53">
        <f t="shared" si="10"/>
        <v>8.5511651469098338E-2</v>
      </c>
      <c r="I612" s="292"/>
      <c r="J612" s="52">
        <v>40951</v>
      </c>
      <c r="K612" s="57">
        <v>1361.23</v>
      </c>
      <c r="L612" s="57">
        <v>1343.06</v>
      </c>
      <c r="M612" s="57">
        <v>1363.4</v>
      </c>
      <c r="N612" s="57">
        <v>1340.8</v>
      </c>
      <c r="O612" s="51" t="s">
        <v>123</v>
      </c>
      <c r="P612" s="58">
        <v>1.38E-2</v>
      </c>
    </row>
    <row r="613" spans="1:16" x14ac:dyDescent="0.2">
      <c r="A613" s="56">
        <v>26420</v>
      </c>
      <c r="B613" s="169">
        <v>109.53</v>
      </c>
      <c r="C613" s="169">
        <v>107.67</v>
      </c>
      <c r="D613" s="169">
        <v>111.48</v>
      </c>
      <c r="E613" s="169">
        <v>103.83</v>
      </c>
      <c r="F613" s="169"/>
      <c r="G613" s="169">
        <v>1.7299999999999999E-2</v>
      </c>
      <c r="H613" s="53">
        <f t="shared" si="10"/>
        <v>9.936766034327027E-2</v>
      </c>
      <c r="I613" s="292"/>
      <c r="J613" s="52">
        <v>40958</v>
      </c>
      <c r="K613" s="57">
        <v>1365.74</v>
      </c>
      <c r="L613" s="57">
        <v>1361.22</v>
      </c>
      <c r="M613" s="57">
        <v>1368.92</v>
      </c>
      <c r="N613" s="57">
        <v>1352.28</v>
      </c>
      <c r="O613" s="51" t="s">
        <v>123</v>
      </c>
      <c r="P613" s="58">
        <v>3.3E-3</v>
      </c>
    </row>
    <row r="614" spans="1:16" x14ac:dyDescent="0.2">
      <c r="A614" s="56">
        <v>26390</v>
      </c>
      <c r="B614" s="169">
        <v>107.67</v>
      </c>
      <c r="C614" s="169">
        <v>107.2</v>
      </c>
      <c r="D614" s="169">
        <v>111.11</v>
      </c>
      <c r="E614" s="169">
        <v>106.18</v>
      </c>
      <c r="F614" s="169"/>
      <c r="G614" s="169">
        <v>4.4000000000000003E-3</v>
      </c>
      <c r="H614" s="53">
        <f t="shared" si="10"/>
        <v>3.57864357864357E-2</v>
      </c>
      <c r="I614" s="292"/>
      <c r="J614" s="52">
        <v>40965</v>
      </c>
      <c r="K614" s="57">
        <v>1369.63</v>
      </c>
      <c r="L614" s="57">
        <v>1365.2</v>
      </c>
      <c r="M614" s="57">
        <v>1378.04</v>
      </c>
      <c r="N614" s="57">
        <v>1354.92</v>
      </c>
      <c r="O614" s="51" t="s">
        <v>123</v>
      </c>
      <c r="P614" s="58">
        <v>2.8E-3</v>
      </c>
    </row>
    <row r="615" spans="1:16" x14ac:dyDescent="0.2">
      <c r="A615" s="56">
        <v>26359</v>
      </c>
      <c r="B615" s="169">
        <v>107.2</v>
      </c>
      <c r="C615" s="169">
        <v>106.57</v>
      </c>
      <c r="D615" s="169">
        <v>109.75</v>
      </c>
      <c r="E615" s="169">
        <v>105.86</v>
      </c>
      <c r="F615" s="169"/>
      <c r="G615" s="169">
        <v>5.8999999999999999E-3</v>
      </c>
      <c r="H615" s="53">
        <f t="shared" si="10"/>
        <v>6.8687070082743551E-2</v>
      </c>
      <c r="I615" s="292"/>
      <c r="J615" s="52">
        <v>40972</v>
      </c>
      <c r="K615" s="57">
        <v>1370.87</v>
      </c>
      <c r="L615" s="57">
        <v>1369.59</v>
      </c>
      <c r="M615" s="57">
        <v>1374.76</v>
      </c>
      <c r="N615" s="57">
        <v>1340.03</v>
      </c>
      <c r="O615" s="51" t="s">
        <v>123</v>
      </c>
      <c r="P615" s="58">
        <v>8.9999999999999998E-4</v>
      </c>
    </row>
    <row r="616" spans="1:16" x14ac:dyDescent="0.2">
      <c r="A616" s="56">
        <v>26330</v>
      </c>
      <c r="B616" s="169">
        <v>106.57</v>
      </c>
      <c r="C616" s="169">
        <v>103.94</v>
      </c>
      <c r="D616" s="169">
        <v>107.16</v>
      </c>
      <c r="E616" s="169">
        <v>103.1</v>
      </c>
      <c r="F616" s="169"/>
      <c r="G616" s="169">
        <v>2.53E-2</v>
      </c>
      <c r="H616" s="53">
        <f t="shared" si="10"/>
        <v>0.10149870801033578</v>
      </c>
      <c r="I616" s="292"/>
      <c r="J616" s="52">
        <v>40979</v>
      </c>
      <c r="K616" s="57">
        <v>1404.17</v>
      </c>
      <c r="L616" s="57">
        <v>1370.78</v>
      </c>
      <c r="M616" s="57">
        <v>1405.88</v>
      </c>
      <c r="N616" s="57">
        <v>1366.69</v>
      </c>
      <c r="O616" s="51" t="s">
        <v>123</v>
      </c>
      <c r="P616" s="58">
        <v>2.4299999999999999E-2</v>
      </c>
    </row>
    <row r="617" spans="1:16" x14ac:dyDescent="0.2">
      <c r="A617" s="56">
        <v>26299</v>
      </c>
      <c r="B617" s="169">
        <v>103.94</v>
      </c>
      <c r="C617" s="169">
        <v>102.09</v>
      </c>
      <c r="D617" s="169">
        <v>105</v>
      </c>
      <c r="E617" s="169">
        <v>100.87</v>
      </c>
      <c r="F617" s="169"/>
      <c r="G617" s="169">
        <v>1.8100000000000002E-2</v>
      </c>
      <c r="H617" s="53">
        <f t="shared" si="10"/>
        <v>8.4063412599082232E-2</v>
      </c>
      <c r="I617" s="292"/>
      <c r="J617" s="52">
        <v>40986</v>
      </c>
      <c r="K617" s="57">
        <v>1397.11</v>
      </c>
      <c r="L617" s="57">
        <v>1404.17</v>
      </c>
      <c r="M617" s="57">
        <v>1414</v>
      </c>
      <c r="N617" s="57">
        <v>1386.87</v>
      </c>
      <c r="O617" s="51" t="s">
        <v>123</v>
      </c>
      <c r="P617" s="58">
        <v>-5.0000000000000001E-3</v>
      </c>
    </row>
    <row r="618" spans="1:16" x14ac:dyDescent="0.2">
      <c r="A618" s="56">
        <v>26268</v>
      </c>
      <c r="B618" s="169">
        <v>102.09</v>
      </c>
      <c r="C618" s="169">
        <v>93.99</v>
      </c>
      <c r="D618" s="169">
        <v>102.21</v>
      </c>
      <c r="E618" s="169">
        <v>93.95</v>
      </c>
      <c r="F618" s="169"/>
      <c r="G618" s="169">
        <v>8.6199999999999999E-2</v>
      </c>
      <c r="H618" s="53">
        <f t="shared" si="10"/>
        <v>0.10786760716223553</v>
      </c>
      <c r="I618" s="292"/>
      <c r="J618" s="52">
        <v>40993</v>
      </c>
      <c r="K618" s="57">
        <v>1408.47</v>
      </c>
      <c r="L618" s="57">
        <v>1397.11</v>
      </c>
      <c r="M618" s="57">
        <v>1419.15</v>
      </c>
      <c r="N618" s="57">
        <v>1391.56</v>
      </c>
      <c r="O618" s="51" t="s">
        <v>123</v>
      </c>
      <c r="P618" s="58">
        <v>8.0999999999999996E-3</v>
      </c>
    </row>
    <row r="619" spans="1:16" x14ac:dyDescent="0.2">
      <c r="A619" s="56">
        <v>26238</v>
      </c>
      <c r="B619" s="169">
        <v>93.99</v>
      </c>
      <c r="C619" s="169">
        <v>94.23</v>
      </c>
      <c r="D619" s="169">
        <v>96.08</v>
      </c>
      <c r="E619" s="169">
        <v>89.34</v>
      </c>
      <c r="F619" s="169"/>
      <c r="G619" s="169">
        <v>-2.5000000000000001E-3</v>
      </c>
      <c r="H619" s="53">
        <f t="shared" si="10"/>
        <v>7.78669724770642E-2</v>
      </c>
      <c r="I619" s="292"/>
      <c r="J619" s="52">
        <v>41000</v>
      </c>
      <c r="K619" s="57">
        <v>1398.08</v>
      </c>
      <c r="L619" s="57">
        <v>1408.47</v>
      </c>
      <c r="M619" s="57">
        <v>1422.38</v>
      </c>
      <c r="N619" s="57">
        <v>1392.92</v>
      </c>
      <c r="O619" s="51" t="s">
        <v>123</v>
      </c>
      <c r="P619" s="58">
        <v>-7.4000000000000003E-3</v>
      </c>
    </row>
    <row r="620" spans="1:16" x14ac:dyDescent="0.2">
      <c r="A620" s="56">
        <v>26207</v>
      </c>
      <c r="B620" s="169">
        <v>94.23</v>
      </c>
      <c r="C620" s="169">
        <v>98.34</v>
      </c>
      <c r="D620" s="169">
        <v>100.96</v>
      </c>
      <c r="E620" s="169">
        <v>92.96</v>
      </c>
      <c r="F620" s="169"/>
      <c r="G620" s="169">
        <v>-4.1799999999999997E-2</v>
      </c>
      <c r="H620" s="53">
        <f t="shared" si="10"/>
        <v>0.13189189189189188</v>
      </c>
      <c r="I620" s="292"/>
      <c r="J620" s="52">
        <v>41007</v>
      </c>
      <c r="K620" s="57">
        <v>1370.26</v>
      </c>
      <c r="L620" s="57">
        <v>1397.45</v>
      </c>
      <c r="M620" s="57">
        <v>1397.45</v>
      </c>
      <c r="N620" s="57">
        <v>1357.38</v>
      </c>
      <c r="O620" s="51" t="s">
        <v>123</v>
      </c>
      <c r="P620" s="58">
        <v>-1.9900000000000001E-2</v>
      </c>
    </row>
    <row r="621" spans="1:16" x14ac:dyDescent="0.2">
      <c r="A621" s="56">
        <v>26177</v>
      </c>
      <c r="B621" s="169">
        <v>98.34</v>
      </c>
      <c r="C621" s="169">
        <v>99.03</v>
      </c>
      <c r="D621" s="169">
        <v>102.25</v>
      </c>
      <c r="E621" s="169">
        <v>96.97</v>
      </c>
      <c r="F621" s="169"/>
      <c r="G621" s="169">
        <v>-7.0000000000000001E-3</v>
      </c>
      <c r="H621" s="53">
        <f t="shared" si="10"/>
        <v>0.16654804270462642</v>
      </c>
      <c r="I621" s="292"/>
      <c r="J621" s="52">
        <v>41014</v>
      </c>
      <c r="K621" s="57">
        <v>1378.53</v>
      </c>
      <c r="L621" s="57">
        <v>1370.27</v>
      </c>
      <c r="M621" s="57">
        <v>1392.76</v>
      </c>
      <c r="N621" s="57">
        <v>1365.38</v>
      </c>
      <c r="O621" s="51" t="s">
        <v>123</v>
      </c>
      <c r="P621" s="58">
        <v>6.0000000000000001E-3</v>
      </c>
    </row>
    <row r="622" spans="1:16" x14ac:dyDescent="0.2">
      <c r="A622" s="56">
        <v>26146</v>
      </c>
      <c r="B622" s="169">
        <v>99.03</v>
      </c>
      <c r="C622" s="169">
        <v>95.58</v>
      </c>
      <c r="D622" s="169">
        <v>101.51</v>
      </c>
      <c r="E622" s="169">
        <v>92.81</v>
      </c>
      <c r="F622" s="169"/>
      <c r="G622" s="169">
        <v>3.61E-2</v>
      </c>
      <c r="H622" s="53">
        <f t="shared" si="10"/>
        <v>0.214793915603533</v>
      </c>
      <c r="I622" s="292"/>
      <c r="J622" s="52">
        <v>41021</v>
      </c>
      <c r="K622" s="57">
        <v>1403.36</v>
      </c>
      <c r="L622" s="57">
        <v>1378.53</v>
      </c>
      <c r="M622" s="57">
        <v>1406.64</v>
      </c>
      <c r="N622" s="57">
        <v>1358.79</v>
      </c>
      <c r="O622" s="51" t="s">
        <v>123</v>
      </c>
      <c r="P622" s="58">
        <v>1.7999999999999999E-2</v>
      </c>
    </row>
    <row r="623" spans="1:16" x14ac:dyDescent="0.2">
      <c r="A623" s="56">
        <v>26115</v>
      </c>
      <c r="B623" s="169">
        <v>95.58</v>
      </c>
      <c r="C623" s="169">
        <v>99.16</v>
      </c>
      <c r="D623" s="169">
        <v>101.52</v>
      </c>
      <c r="E623" s="169">
        <v>95.08</v>
      </c>
      <c r="F623" s="169"/>
      <c r="G623" s="169">
        <v>-3.1600000000000003E-2</v>
      </c>
      <c r="H623" s="53">
        <f t="shared" si="10"/>
        <v>0.22459961563100572</v>
      </c>
      <c r="I623" s="292"/>
      <c r="J623" s="52">
        <v>41028</v>
      </c>
      <c r="K623" s="57">
        <v>1369.1</v>
      </c>
      <c r="L623" s="57">
        <v>1403.26</v>
      </c>
      <c r="M623" s="57">
        <v>1415.32</v>
      </c>
      <c r="N623" s="57">
        <v>1367.96</v>
      </c>
      <c r="O623" s="51" t="s">
        <v>123</v>
      </c>
      <c r="P623" s="58">
        <v>-2.4400000000000002E-2</v>
      </c>
    </row>
    <row r="624" spans="1:16" x14ac:dyDescent="0.2">
      <c r="A624" s="56">
        <v>26085</v>
      </c>
      <c r="B624" s="169">
        <v>98.7</v>
      </c>
      <c r="C624" s="169">
        <v>99.63</v>
      </c>
      <c r="D624" s="169">
        <v>102.07</v>
      </c>
      <c r="E624" s="169">
        <v>96.92</v>
      </c>
      <c r="F624" s="169"/>
      <c r="G624" s="169">
        <v>-9.2999999999999992E-3</v>
      </c>
      <c r="H624" s="53">
        <f t="shared" si="10"/>
        <v>0.35726072607260728</v>
      </c>
      <c r="I624" s="292"/>
      <c r="J624" s="52">
        <v>41035</v>
      </c>
      <c r="K624" s="57">
        <v>1353.39</v>
      </c>
      <c r="L624" s="57">
        <v>1368.79</v>
      </c>
      <c r="M624" s="57">
        <v>1373.91</v>
      </c>
      <c r="N624" s="57">
        <v>1343.13</v>
      </c>
      <c r="O624" s="51" t="s">
        <v>123</v>
      </c>
      <c r="P624" s="58">
        <v>-1.15E-2</v>
      </c>
    </row>
    <row r="625" spans="1:16" x14ac:dyDescent="0.2">
      <c r="A625" s="56">
        <v>26054</v>
      </c>
      <c r="B625" s="169">
        <v>99.63</v>
      </c>
      <c r="C625" s="169">
        <v>103.95</v>
      </c>
      <c r="D625" s="169">
        <v>104.42</v>
      </c>
      <c r="E625" s="169">
        <v>98.68</v>
      </c>
      <c r="F625" s="169"/>
      <c r="G625" s="169">
        <v>-4.1599999999999998E-2</v>
      </c>
      <c r="H625" s="53">
        <f t="shared" si="10"/>
        <v>0.3015022860875245</v>
      </c>
      <c r="I625" s="292"/>
      <c r="J625" s="52">
        <v>41042</v>
      </c>
      <c r="K625" s="57">
        <v>1295.22</v>
      </c>
      <c r="L625" s="57">
        <v>1351.93</v>
      </c>
      <c r="M625" s="57">
        <v>1351.93</v>
      </c>
      <c r="N625" s="57">
        <v>1291.98</v>
      </c>
      <c r="O625" s="51" t="s">
        <v>123</v>
      </c>
      <c r="P625" s="58">
        <v>-4.2999999999999997E-2</v>
      </c>
    </row>
    <row r="626" spans="1:16" x14ac:dyDescent="0.2">
      <c r="A626" s="56">
        <v>26024</v>
      </c>
      <c r="B626" s="169">
        <v>103.95</v>
      </c>
      <c r="C626" s="169">
        <v>100.31</v>
      </c>
      <c r="D626" s="169">
        <v>105.6</v>
      </c>
      <c r="E626" s="169">
        <v>99.63</v>
      </c>
      <c r="F626" s="169"/>
      <c r="G626" s="169">
        <v>3.6299999999999999E-2</v>
      </c>
      <c r="H626" s="53">
        <f t="shared" si="10"/>
        <v>0.2751472031403337</v>
      </c>
      <c r="I626" s="292"/>
      <c r="J626" s="52">
        <v>41049</v>
      </c>
      <c r="K626" s="57">
        <v>1317.82</v>
      </c>
      <c r="L626" s="57">
        <v>1295.73</v>
      </c>
      <c r="M626" s="57">
        <v>1328.49</v>
      </c>
      <c r="N626" s="57">
        <v>1295.73</v>
      </c>
      <c r="O626" s="51" t="s">
        <v>123</v>
      </c>
      <c r="P626" s="58">
        <v>1.7399999999999999E-2</v>
      </c>
    </row>
    <row r="627" spans="1:16" x14ac:dyDescent="0.2">
      <c r="A627" s="56">
        <v>25993</v>
      </c>
      <c r="B627" s="169">
        <v>100.31</v>
      </c>
      <c r="C627" s="169">
        <v>96.75</v>
      </c>
      <c r="D627" s="169">
        <v>102.03</v>
      </c>
      <c r="E627" s="169">
        <v>96.11</v>
      </c>
      <c r="F627" s="169"/>
      <c r="G627" s="169">
        <v>3.6799999999999999E-2</v>
      </c>
      <c r="H627" s="53">
        <f t="shared" si="10"/>
        <v>0.11915653241102309</v>
      </c>
      <c r="I627" s="292"/>
      <c r="J627" s="52">
        <v>41056</v>
      </c>
      <c r="K627" s="57">
        <v>1278.04</v>
      </c>
      <c r="L627" s="57">
        <v>1318.9</v>
      </c>
      <c r="M627" s="57">
        <v>1334.93</v>
      </c>
      <c r="N627" s="57">
        <v>1277.25</v>
      </c>
      <c r="O627" s="51" t="s">
        <v>123</v>
      </c>
      <c r="P627" s="58">
        <v>-3.0200000000000001E-2</v>
      </c>
    </row>
    <row r="628" spans="1:16" x14ac:dyDescent="0.2">
      <c r="A628" s="56">
        <v>25965</v>
      </c>
      <c r="B628" s="169">
        <v>96.75</v>
      </c>
      <c r="C628" s="169">
        <v>95.88</v>
      </c>
      <c r="D628" s="169">
        <v>99.59</v>
      </c>
      <c r="E628" s="169">
        <v>94.92</v>
      </c>
      <c r="F628" s="169"/>
      <c r="G628" s="169">
        <v>9.1000000000000004E-3</v>
      </c>
      <c r="H628" s="53">
        <f t="shared" si="10"/>
        <v>8.1005586592178824E-2</v>
      </c>
      <c r="I628" s="292"/>
      <c r="J628" s="52">
        <v>41063</v>
      </c>
      <c r="K628" s="57">
        <v>1325.66</v>
      </c>
      <c r="L628" s="57">
        <v>1278.29</v>
      </c>
      <c r="M628" s="57">
        <v>1329.05</v>
      </c>
      <c r="N628" s="57">
        <v>1266.74</v>
      </c>
      <c r="O628" s="51" t="s">
        <v>123</v>
      </c>
      <c r="P628" s="58">
        <v>3.73E-2</v>
      </c>
    </row>
    <row r="629" spans="1:16" x14ac:dyDescent="0.2">
      <c r="A629" s="56">
        <v>25934</v>
      </c>
      <c r="B629" s="169">
        <v>95.88</v>
      </c>
      <c r="C629" s="169">
        <v>92.15</v>
      </c>
      <c r="D629" s="169">
        <v>96.49</v>
      </c>
      <c r="E629" s="169">
        <v>90.64</v>
      </c>
      <c r="F629" s="169"/>
      <c r="G629" s="169">
        <v>4.0500000000000001E-2</v>
      </c>
      <c r="H629" s="53" t="e">
        <f>B629/#REF!-1</f>
        <v>#REF!</v>
      </c>
      <c r="I629" s="292"/>
      <c r="J629" s="52">
        <v>41070</v>
      </c>
      <c r="K629" s="57">
        <v>1342.84</v>
      </c>
      <c r="L629" s="57">
        <v>1325.72</v>
      </c>
      <c r="M629" s="57">
        <v>1343.32</v>
      </c>
      <c r="N629" s="57">
        <v>1306.6199999999999</v>
      </c>
      <c r="O629" s="51" t="s">
        <v>123</v>
      </c>
      <c r="P629" s="58">
        <v>1.2999999999999999E-2</v>
      </c>
    </row>
    <row r="630" spans="1:16" x14ac:dyDescent="0.2">
      <c r="A630" s="56">
        <v>25903</v>
      </c>
      <c r="B630" s="169">
        <v>92.15</v>
      </c>
      <c r="C630" s="169">
        <v>87.2</v>
      </c>
      <c r="D630" s="169">
        <v>92.99</v>
      </c>
      <c r="E630" s="169">
        <v>86.11</v>
      </c>
      <c r="F630" s="169"/>
      <c r="G630" s="169">
        <v>5.6800000000000003E-2</v>
      </c>
      <c r="H630" s="53" t="e">
        <f>B630/#REF!-1</f>
        <v>#REF!</v>
      </c>
      <c r="I630" s="292"/>
      <c r="J630" s="52">
        <v>41077</v>
      </c>
      <c r="K630" s="57">
        <v>1335.02</v>
      </c>
      <c r="L630" s="57">
        <v>1342.42</v>
      </c>
      <c r="M630" s="57">
        <v>1363.46</v>
      </c>
      <c r="N630" s="57">
        <v>1324.41</v>
      </c>
      <c r="O630" s="51" t="s">
        <v>123</v>
      </c>
      <c r="P630" s="58">
        <v>-5.7999999999999996E-3</v>
      </c>
    </row>
    <row r="631" spans="1:16" x14ac:dyDescent="0.2">
      <c r="A631" s="56">
        <v>25873</v>
      </c>
      <c r="B631" s="169">
        <v>87.2</v>
      </c>
      <c r="C631" s="169">
        <v>83.25</v>
      </c>
      <c r="D631" s="169">
        <v>87.6</v>
      </c>
      <c r="E631" s="169">
        <v>82.23</v>
      </c>
      <c r="F631" s="169"/>
      <c r="G631" s="169">
        <v>4.7399999999999998E-2</v>
      </c>
      <c r="H631" s="53" t="e">
        <f>B631/#REF!-1</f>
        <v>#REF!</v>
      </c>
      <c r="I631" s="292"/>
      <c r="J631" s="52">
        <v>41084</v>
      </c>
      <c r="K631" s="57">
        <v>1362.16</v>
      </c>
      <c r="L631" s="57">
        <v>1334.9</v>
      </c>
      <c r="M631" s="57">
        <v>1362.17</v>
      </c>
      <c r="N631" s="57">
        <v>1309.27</v>
      </c>
      <c r="O631" s="51" t="s">
        <v>123</v>
      </c>
      <c r="P631" s="58">
        <v>2.0299999999999999E-2</v>
      </c>
    </row>
    <row r="632" spans="1:16" x14ac:dyDescent="0.2">
      <c r="A632" s="56">
        <v>25842</v>
      </c>
      <c r="B632" s="169">
        <v>83.25</v>
      </c>
      <c r="C632" s="169">
        <v>84.3</v>
      </c>
      <c r="D632" s="169">
        <v>87.75</v>
      </c>
      <c r="E632" s="169">
        <v>82.29</v>
      </c>
      <c r="F632" s="169"/>
      <c r="G632" s="169">
        <v>-1.2500000000000001E-2</v>
      </c>
      <c r="H632" s="53" t="e">
        <f>B632/#REF!-1</f>
        <v>#REF!</v>
      </c>
      <c r="I632" s="292"/>
      <c r="J632" s="52">
        <v>41091</v>
      </c>
      <c r="K632" s="57">
        <v>1354.68</v>
      </c>
      <c r="L632" s="57">
        <v>1362.33</v>
      </c>
      <c r="M632" s="57">
        <v>1374.81</v>
      </c>
      <c r="N632" s="57">
        <v>1348.03</v>
      </c>
      <c r="O632" s="51" t="s">
        <v>123</v>
      </c>
      <c r="P632" s="58">
        <v>-5.4999999999999997E-3</v>
      </c>
    </row>
    <row r="633" spans="1:16" x14ac:dyDescent="0.2">
      <c r="A633" s="56">
        <v>25812</v>
      </c>
      <c r="B633" s="169">
        <v>84.3</v>
      </c>
      <c r="C633" s="169">
        <v>81.52</v>
      </c>
      <c r="D633" s="169">
        <v>84.99</v>
      </c>
      <c r="E633" s="169">
        <v>79.95</v>
      </c>
      <c r="F633" s="169"/>
      <c r="G633" s="169">
        <v>3.4099999999999998E-2</v>
      </c>
      <c r="H633" s="53" t="e">
        <f>B633/#REF!-1</f>
        <v>#REF!</v>
      </c>
      <c r="I633" s="292"/>
      <c r="J633" s="52">
        <v>41098</v>
      </c>
      <c r="K633" s="57">
        <v>1356.78</v>
      </c>
      <c r="L633" s="57">
        <v>1354.66</v>
      </c>
      <c r="M633" s="57">
        <v>1361.54</v>
      </c>
      <c r="N633" s="57">
        <v>1325.41</v>
      </c>
      <c r="O633" s="51" t="s">
        <v>123</v>
      </c>
      <c r="P633" s="58">
        <v>1.6000000000000001E-3</v>
      </c>
    </row>
    <row r="634" spans="1:16" x14ac:dyDescent="0.2">
      <c r="A634" s="56">
        <v>25781</v>
      </c>
      <c r="B634" s="169">
        <v>81.52</v>
      </c>
      <c r="C634" s="169">
        <v>78.05</v>
      </c>
      <c r="D634" s="169">
        <v>82.47</v>
      </c>
      <c r="E634" s="169">
        <v>74.13</v>
      </c>
      <c r="F634" s="169"/>
      <c r="G634" s="169">
        <v>4.4499999999999998E-2</v>
      </c>
      <c r="H634" s="53" t="e">
        <f t="shared" ref="H634:H640" si="11">B634/B641-1</f>
        <v>#DIV/0!</v>
      </c>
      <c r="I634" s="292"/>
      <c r="J634" s="52">
        <v>41105</v>
      </c>
      <c r="K634" s="57">
        <v>1362.66</v>
      </c>
      <c r="L634" s="57">
        <v>1356.5</v>
      </c>
      <c r="M634" s="57">
        <v>1380.39</v>
      </c>
      <c r="N634" s="57">
        <v>1345.07</v>
      </c>
      <c r="O634" s="51" t="s">
        <v>123</v>
      </c>
      <c r="P634" s="58">
        <v>4.3E-3</v>
      </c>
    </row>
    <row r="635" spans="1:16" x14ac:dyDescent="0.2">
      <c r="A635" s="56">
        <v>25750</v>
      </c>
      <c r="B635" s="169">
        <v>78.05</v>
      </c>
      <c r="C635" s="169">
        <v>78.069999999999993</v>
      </c>
      <c r="D635" s="169">
        <v>79.03</v>
      </c>
      <c r="E635" s="169">
        <v>70.69</v>
      </c>
      <c r="F635" s="169"/>
      <c r="G635" s="169">
        <v>7.3300000000000004E-2</v>
      </c>
      <c r="H635" s="53" t="e">
        <f t="shared" si="11"/>
        <v>#DIV/0!</v>
      </c>
      <c r="I635" s="292"/>
      <c r="J635" s="52">
        <v>41112</v>
      </c>
      <c r="K635" s="57">
        <v>1385.97</v>
      </c>
      <c r="L635" s="57">
        <v>1362.34</v>
      </c>
      <c r="M635" s="57">
        <v>1389.19</v>
      </c>
      <c r="N635" s="57">
        <v>1329.24</v>
      </c>
      <c r="O635" s="51" t="s">
        <v>123</v>
      </c>
      <c r="P635" s="58">
        <v>1.7100000000000001E-2</v>
      </c>
    </row>
    <row r="636" spans="1:16" x14ac:dyDescent="0.2">
      <c r="A636" s="56">
        <v>25720</v>
      </c>
      <c r="B636" s="169">
        <v>72.72</v>
      </c>
      <c r="C636" s="169">
        <v>76.55</v>
      </c>
      <c r="D636" s="169">
        <v>79.959999999999994</v>
      </c>
      <c r="E636" s="169">
        <v>72.25</v>
      </c>
      <c r="F636" s="169"/>
      <c r="G636" s="169">
        <v>-0.05</v>
      </c>
      <c r="H636" s="53" t="e">
        <f t="shared" si="11"/>
        <v>#DIV/0!</v>
      </c>
      <c r="I636" s="292"/>
      <c r="J636" s="52">
        <v>41119</v>
      </c>
      <c r="K636" s="57">
        <v>1390.99</v>
      </c>
      <c r="L636" s="57">
        <v>1385.94</v>
      </c>
      <c r="M636" s="57">
        <v>1394.16</v>
      </c>
      <c r="N636" s="57">
        <v>1354.65</v>
      </c>
      <c r="O636" s="51" t="s">
        <v>123</v>
      </c>
      <c r="P636" s="58">
        <v>3.5999999999999999E-3</v>
      </c>
    </row>
    <row r="637" spans="1:16" x14ac:dyDescent="0.2">
      <c r="A637" s="56">
        <v>25689</v>
      </c>
      <c r="B637" s="169">
        <v>76.55</v>
      </c>
      <c r="C637" s="169">
        <v>81.52</v>
      </c>
      <c r="D637" s="169">
        <v>82.32</v>
      </c>
      <c r="E637" s="169">
        <v>68.61</v>
      </c>
      <c r="F637" s="169"/>
      <c r="G637" s="169">
        <v>-6.0999999999999999E-2</v>
      </c>
      <c r="H637" s="53" t="e">
        <f t="shared" si="11"/>
        <v>#DIV/0!</v>
      </c>
      <c r="I637" s="292"/>
      <c r="J637" s="52">
        <v>41126</v>
      </c>
      <c r="K637" s="57">
        <v>1405.87</v>
      </c>
      <c r="L637" s="57">
        <v>1391.04</v>
      </c>
      <c r="M637" s="57">
        <v>1407.14</v>
      </c>
      <c r="N637" s="57">
        <v>1391.04</v>
      </c>
      <c r="O637" s="51" t="s">
        <v>123</v>
      </c>
      <c r="P637" s="58">
        <v>1.0699999999999999E-2</v>
      </c>
    </row>
    <row r="638" spans="1:16" x14ac:dyDescent="0.2">
      <c r="A638" s="56">
        <v>25659</v>
      </c>
      <c r="B638" s="169">
        <v>81.52</v>
      </c>
      <c r="C638" s="169">
        <v>89.63</v>
      </c>
      <c r="D638" s="169">
        <v>90.7</v>
      </c>
      <c r="E638" s="169">
        <v>79.31</v>
      </c>
      <c r="F638" s="169"/>
      <c r="G638" s="169">
        <v>-9.0499999999999997E-2</v>
      </c>
      <c r="H638" s="53" t="e">
        <f t="shared" si="11"/>
        <v>#DIV/0!</v>
      </c>
      <c r="I638" s="292"/>
      <c r="J638" s="52">
        <v>41133</v>
      </c>
      <c r="K638" s="57">
        <v>1418.16</v>
      </c>
      <c r="L638" s="57">
        <v>1405.87</v>
      </c>
      <c r="M638" s="57">
        <v>1418.71</v>
      </c>
      <c r="N638" s="57">
        <v>1397.32</v>
      </c>
      <c r="O638" s="51" t="s">
        <v>123</v>
      </c>
      <c r="P638" s="58">
        <v>8.6999999999999994E-3</v>
      </c>
    </row>
    <row r="639" spans="1:16" x14ac:dyDescent="0.2">
      <c r="A639" s="56">
        <v>25628</v>
      </c>
      <c r="B639" s="169">
        <v>89.63</v>
      </c>
      <c r="C639" s="169">
        <v>89.5</v>
      </c>
      <c r="D639" s="169">
        <v>91.07</v>
      </c>
      <c r="E639" s="169">
        <v>86.19</v>
      </c>
      <c r="F639" s="169"/>
      <c r="G639" s="169">
        <v>1.5E-3</v>
      </c>
      <c r="H639" s="53" t="e">
        <f t="shared" si="11"/>
        <v>#DIV/0!</v>
      </c>
      <c r="I639" s="292"/>
      <c r="J639" s="52">
        <v>41140</v>
      </c>
      <c r="K639" s="57">
        <v>1411.13</v>
      </c>
      <c r="L639" s="57">
        <v>1417.85</v>
      </c>
      <c r="M639" s="57">
        <v>1426.68</v>
      </c>
      <c r="N639" s="57">
        <v>1398.04</v>
      </c>
      <c r="O639" s="51" t="s">
        <v>123</v>
      </c>
      <c r="P639" s="58">
        <v>-5.0000000000000001E-3</v>
      </c>
    </row>
    <row r="640" spans="1:16" x14ac:dyDescent="0.2">
      <c r="A640" s="56">
        <v>25600</v>
      </c>
      <c r="B640" s="169">
        <v>89.5</v>
      </c>
      <c r="C640" s="169">
        <v>85.02</v>
      </c>
      <c r="D640" s="169">
        <v>90.33</v>
      </c>
      <c r="E640" s="169">
        <v>84.64</v>
      </c>
      <c r="F640" s="169"/>
      <c r="G640" s="169">
        <v>5.2699999999999997E-2</v>
      </c>
      <c r="H640" s="53" t="e">
        <f t="shared" si="11"/>
        <v>#DIV/0!</v>
      </c>
      <c r="I640" s="292"/>
      <c r="J640" s="52">
        <v>41147</v>
      </c>
      <c r="K640" s="57">
        <v>1406.58</v>
      </c>
      <c r="L640" s="57">
        <v>1411.13</v>
      </c>
      <c r="M640" s="57">
        <v>1416.17</v>
      </c>
      <c r="N640" s="57">
        <v>1397.01</v>
      </c>
      <c r="O640" s="51" t="s">
        <v>123</v>
      </c>
      <c r="P640" s="58">
        <v>-3.2000000000000002E-3</v>
      </c>
    </row>
    <row r="641" spans="8:16" x14ac:dyDescent="0.2">
      <c r="H641" s="297"/>
      <c r="I641" s="292"/>
      <c r="J641" s="52">
        <v>41154</v>
      </c>
      <c r="K641" s="57">
        <v>1437.92</v>
      </c>
      <c r="L641" s="57">
        <v>1406.54</v>
      </c>
      <c r="M641" s="57">
        <v>1437.92</v>
      </c>
      <c r="N641" s="57">
        <v>1396.56</v>
      </c>
      <c r="O641" s="51" t="s">
        <v>123</v>
      </c>
      <c r="P641" s="58">
        <v>2.23E-2</v>
      </c>
    </row>
    <row r="642" spans="8:16" x14ac:dyDescent="0.2">
      <c r="H642" s="297"/>
      <c r="I642" s="292"/>
      <c r="J642" s="52">
        <v>41161</v>
      </c>
      <c r="K642" s="57">
        <v>1465.77</v>
      </c>
      <c r="L642" s="57">
        <v>1437.92</v>
      </c>
      <c r="M642" s="57">
        <v>1474.51</v>
      </c>
      <c r="N642" s="57">
        <v>1428.98</v>
      </c>
      <c r="O642" s="51" t="s">
        <v>123</v>
      </c>
      <c r="P642" s="58">
        <v>1.9400000000000001E-2</v>
      </c>
    </row>
    <row r="643" spans="8:16" x14ac:dyDescent="0.2">
      <c r="H643" s="297"/>
      <c r="I643" s="292"/>
      <c r="J643" s="52">
        <v>41168</v>
      </c>
      <c r="K643" s="57">
        <v>1460.15</v>
      </c>
      <c r="L643" s="57">
        <v>1465.42</v>
      </c>
      <c r="M643" s="57">
        <v>1467.07</v>
      </c>
      <c r="N643" s="57">
        <v>1449.98</v>
      </c>
      <c r="O643" s="51" t="s">
        <v>123</v>
      </c>
      <c r="P643" s="58">
        <v>-3.8E-3</v>
      </c>
    </row>
    <row r="644" spans="8:16" x14ac:dyDescent="0.2">
      <c r="H644" s="297"/>
      <c r="I644" s="292"/>
      <c r="J644" s="52">
        <v>41175</v>
      </c>
      <c r="K644" s="57">
        <v>1440.67</v>
      </c>
      <c r="L644" s="57">
        <v>1459.76</v>
      </c>
      <c r="M644" s="57">
        <v>1463.24</v>
      </c>
      <c r="N644" s="57">
        <v>1430.53</v>
      </c>
      <c r="O644" s="51" t="s">
        <v>123</v>
      </c>
      <c r="P644" s="58">
        <v>-1.3299999999999999E-2</v>
      </c>
    </row>
    <row r="645" spans="8:16" x14ac:dyDescent="0.2">
      <c r="H645" s="297"/>
      <c r="I645" s="292"/>
      <c r="J645" s="52">
        <v>41182</v>
      </c>
      <c r="K645" s="57">
        <v>1460.93</v>
      </c>
      <c r="L645" s="57">
        <v>1440.9</v>
      </c>
      <c r="M645" s="57">
        <v>1470.96</v>
      </c>
      <c r="N645" s="57">
        <v>1439.01</v>
      </c>
      <c r="O645" s="51" t="s">
        <v>123</v>
      </c>
      <c r="P645" s="58">
        <v>1.41E-2</v>
      </c>
    </row>
    <row r="646" spans="8:16" x14ac:dyDescent="0.2">
      <c r="H646" s="297"/>
      <c r="I646" s="292"/>
      <c r="J646" s="52">
        <v>41189</v>
      </c>
      <c r="K646" s="57">
        <v>1428.59</v>
      </c>
      <c r="L646" s="57">
        <v>1460.93</v>
      </c>
      <c r="M646" s="57">
        <v>1460.93</v>
      </c>
      <c r="N646" s="57">
        <v>1425.53</v>
      </c>
      <c r="O646" s="51" t="s">
        <v>123</v>
      </c>
      <c r="P646" s="58">
        <v>-2.2100000000000002E-2</v>
      </c>
    </row>
    <row r="647" spans="8:16" x14ac:dyDescent="0.2">
      <c r="H647" s="297"/>
      <c r="I647" s="292"/>
      <c r="J647" s="52">
        <v>41196</v>
      </c>
      <c r="K647" s="57">
        <v>1433.19</v>
      </c>
      <c r="L647" s="57">
        <v>1428.75</v>
      </c>
      <c r="M647" s="57">
        <v>1464.02</v>
      </c>
      <c r="N647" s="57">
        <v>1427.24</v>
      </c>
      <c r="O647" s="51" t="s">
        <v>123</v>
      </c>
      <c r="P647" s="58">
        <v>3.2000000000000002E-3</v>
      </c>
    </row>
    <row r="648" spans="8:16" x14ac:dyDescent="0.2">
      <c r="H648" s="297"/>
      <c r="I648" s="292"/>
      <c r="J648" s="52">
        <v>41203</v>
      </c>
      <c r="K648" s="57">
        <v>1411.94</v>
      </c>
      <c r="L648" s="57">
        <v>1433.21</v>
      </c>
      <c r="M648" s="57">
        <v>1435.46</v>
      </c>
      <c r="N648" s="57">
        <v>1403.28</v>
      </c>
      <c r="O648" s="51" t="s">
        <v>123</v>
      </c>
      <c r="P648" s="58">
        <v>-1.4800000000000001E-2</v>
      </c>
    </row>
    <row r="649" spans="8:16" x14ac:dyDescent="0.2">
      <c r="H649" s="297"/>
      <c r="I649" s="292"/>
      <c r="J649" s="52">
        <v>41210</v>
      </c>
      <c r="K649" s="57">
        <v>1414.2</v>
      </c>
      <c r="L649" s="57">
        <v>1410.99</v>
      </c>
      <c r="M649" s="57">
        <v>1434.27</v>
      </c>
      <c r="N649" s="57">
        <v>1405.95</v>
      </c>
      <c r="O649" s="51" t="s">
        <v>123</v>
      </c>
      <c r="P649" s="58">
        <v>1.6000000000000001E-3</v>
      </c>
    </row>
    <row r="650" spans="8:16" x14ac:dyDescent="0.2">
      <c r="H650" s="297"/>
      <c r="I650" s="292"/>
      <c r="J650" s="52">
        <v>41217</v>
      </c>
      <c r="K650" s="57">
        <v>1379.85</v>
      </c>
      <c r="L650" s="57">
        <v>1414.02</v>
      </c>
      <c r="M650" s="57">
        <v>1433.38</v>
      </c>
      <c r="N650" s="57">
        <v>1373.03</v>
      </c>
      <c r="O650" s="51" t="s">
        <v>123</v>
      </c>
      <c r="P650" s="58">
        <v>-2.4299999999999999E-2</v>
      </c>
    </row>
    <row r="651" spans="8:16" x14ac:dyDescent="0.2">
      <c r="H651" s="297"/>
      <c r="I651" s="292"/>
      <c r="J651" s="52">
        <v>41224</v>
      </c>
      <c r="K651" s="57">
        <v>1359.88</v>
      </c>
      <c r="L651" s="57">
        <v>1379.86</v>
      </c>
      <c r="M651" s="57">
        <v>1388.81</v>
      </c>
      <c r="N651" s="57">
        <v>1343.35</v>
      </c>
      <c r="O651" s="51" t="s">
        <v>123</v>
      </c>
      <c r="P651" s="58">
        <v>-1.4500000000000001E-2</v>
      </c>
    </row>
    <row r="652" spans="8:16" x14ac:dyDescent="0.2">
      <c r="H652" s="297"/>
      <c r="I652" s="292"/>
      <c r="J652" s="52">
        <v>41231</v>
      </c>
      <c r="K652" s="57">
        <v>1409.15</v>
      </c>
      <c r="L652" s="57">
        <v>1359.88</v>
      </c>
      <c r="M652" s="57">
        <v>1409.16</v>
      </c>
      <c r="N652" s="57">
        <v>1359.88</v>
      </c>
      <c r="O652" s="51" t="s">
        <v>123</v>
      </c>
      <c r="P652" s="58">
        <v>3.6200000000000003E-2</v>
      </c>
    </row>
    <row r="653" spans="8:16" x14ac:dyDescent="0.2">
      <c r="H653" s="297"/>
      <c r="I653" s="292"/>
      <c r="J653" s="52">
        <v>41238</v>
      </c>
      <c r="K653" s="57">
        <v>1416.18</v>
      </c>
      <c r="L653" s="57">
        <v>1409.15</v>
      </c>
      <c r="M653" s="57">
        <v>1419.7</v>
      </c>
      <c r="N653" s="57">
        <v>1385.43</v>
      </c>
      <c r="O653" s="51" t="s">
        <v>123</v>
      </c>
      <c r="P653" s="58">
        <v>5.0000000000000001E-3</v>
      </c>
    </row>
    <row r="654" spans="8:16" x14ac:dyDescent="0.2">
      <c r="H654" s="297"/>
      <c r="I654" s="292"/>
      <c r="J654" s="52">
        <v>41245</v>
      </c>
      <c r="K654" s="57">
        <v>1418.07</v>
      </c>
      <c r="L654" s="57">
        <v>1416.34</v>
      </c>
      <c r="M654" s="57">
        <v>1423.73</v>
      </c>
      <c r="N654" s="57">
        <v>1398.23</v>
      </c>
      <c r="O654" s="51" t="s">
        <v>123</v>
      </c>
      <c r="P654" s="58">
        <v>1.2999999999999999E-3</v>
      </c>
    </row>
    <row r="655" spans="8:16" x14ac:dyDescent="0.2">
      <c r="H655" s="297"/>
      <c r="I655" s="292"/>
      <c r="J655" s="52">
        <v>41252</v>
      </c>
      <c r="K655" s="57">
        <v>1413.58</v>
      </c>
      <c r="L655" s="57">
        <v>1418.07</v>
      </c>
      <c r="M655" s="57">
        <v>1438.59</v>
      </c>
      <c r="N655" s="57">
        <v>1411.88</v>
      </c>
      <c r="O655" s="51" t="s">
        <v>123</v>
      </c>
      <c r="P655" s="58">
        <v>-3.2000000000000002E-3</v>
      </c>
    </row>
    <row r="656" spans="8:16" x14ac:dyDescent="0.2">
      <c r="H656" s="297"/>
      <c r="I656" s="292"/>
      <c r="J656" s="52">
        <v>41259</v>
      </c>
      <c r="K656" s="57">
        <v>1430.15</v>
      </c>
      <c r="L656" s="57">
        <v>1413.54</v>
      </c>
      <c r="M656" s="57">
        <v>1448</v>
      </c>
      <c r="N656" s="57">
        <v>1413.54</v>
      </c>
      <c r="O656" s="51" t="s">
        <v>123</v>
      </c>
      <c r="P656" s="58">
        <v>1.17E-2</v>
      </c>
    </row>
    <row r="657" spans="8:16" x14ac:dyDescent="0.2">
      <c r="H657" s="297"/>
      <c r="I657" s="292"/>
      <c r="J657" s="52">
        <v>41266</v>
      </c>
      <c r="K657" s="57">
        <v>1402.43</v>
      </c>
      <c r="L657" s="57">
        <v>1430.15</v>
      </c>
      <c r="M657" s="57">
        <v>1430.15</v>
      </c>
      <c r="N657" s="57">
        <v>1401.58</v>
      </c>
      <c r="O657" s="51" t="s">
        <v>123</v>
      </c>
      <c r="P657" s="58">
        <v>-1.9400000000000001E-2</v>
      </c>
    </row>
    <row r="658" spans="8:16" x14ac:dyDescent="0.2">
      <c r="H658" s="297"/>
      <c r="I658" s="292"/>
      <c r="J658" s="52">
        <v>41273</v>
      </c>
      <c r="K658" s="57">
        <v>1466.47</v>
      </c>
      <c r="L658" s="57">
        <v>1402.43</v>
      </c>
      <c r="M658" s="57">
        <v>1467.94</v>
      </c>
      <c r="N658" s="57">
        <v>1398.11</v>
      </c>
      <c r="O658" s="51" t="s">
        <v>123</v>
      </c>
      <c r="P658" s="58">
        <v>4.5699999999999998E-2</v>
      </c>
    </row>
    <row r="659" spans="8:16" x14ac:dyDescent="0.2">
      <c r="H659" s="297"/>
      <c r="I659" s="292"/>
      <c r="J659" s="52">
        <v>41280</v>
      </c>
      <c r="K659" s="57">
        <v>1472.05</v>
      </c>
      <c r="L659" s="57">
        <v>1466.47</v>
      </c>
      <c r="M659" s="57">
        <v>1472.75</v>
      </c>
      <c r="N659" s="57">
        <v>1451.64</v>
      </c>
      <c r="O659" s="51" t="s">
        <v>123</v>
      </c>
      <c r="P659" s="58">
        <v>3.8E-3</v>
      </c>
    </row>
    <row r="660" spans="8:16" x14ac:dyDescent="0.2">
      <c r="H660" s="297"/>
      <c r="I660" s="292"/>
      <c r="J660" s="52">
        <v>41287</v>
      </c>
      <c r="K660" s="57">
        <v>1485.98</v>
      </c>
      <c r="L660" s="57">
        <v>1472.05</v>
      </c>
      <c r="M660" s="57">
        <v>1485.98</v>
      </c>
      <c r="N660" s="57">
        <v>1463.76</v>
      </c>
      <c r="O660" s="51" t="s">
        <v>123</v>
      </c>
      <c r="P660" s="58">
        <v>9.4999999999999998E-3</v>
      </c>
    </row>
    <row r="661" spans="8:16" x14ac:dyDescent="0.2">
      <c r="H661" s="297"/>
      <c r="I661" s="292"/>
      <c r="J661" s="52">
        <v>41294</v>
      </c>
      <c r="K661" s="57">
        <v>1502.96</v>
      </c>
      <c r="L661" s="57">
        <v>1485.98</v>
      </c>
      <c r="M661" s="57">
        <v>1503.26</v>
      </c>
      <c r="N661" s="57">
        <v>1481.16</v>
      </c>
      <c r="O661" s="51" t="s">
        <v>123</v>
      </c>
      <c r="P661" s="58">
        <v>1.14E-2</v>
      </c>
    </row>
    <row r="662" spans="8:16" x14ac:dyDescent="0.2">
      <c r="H662" s="297"/>
      <c r="I662" s="292"/>
      <c r="J662" s="52">
        <v>41301</v>
      </c>
      <c r="K662" s="57">
        <v>1513.17</v>
      </c>
      <c r="L662" s="57">
        <v>1502.96</v>
      </c>
      <c r="M662" s="57">
        <v>1514.41</v>
      </c>
      <c r="N662" s="57">
        <v>1496.33</v>
      </c>
      <c r="O662" s="51" t="s">
        <v>123</v>
      </c>
      <c r="P662" s="58">
        <v>6.7999999999999996E-3</v>
      </c>
    </row>
    <row r="663" spans="8:16" x14ac:dyDescent="0.2">
      <c r="H663" s="297"/>
      <c r="I663" s="292"/>
      <c r="J663" s="52">
        <v>41308</v>
      </c>
      <c r="K663" s="57">
        <v>1517.93</v>
      </c>
      <c r="L663" s="57">
        <v>1513.17</v>
      </c>
      <c r="M663" s="57">
        <v>1518.31</v>
      </c>
      <c r="N663" s="57">
        <v>1495.02</v>
      </c>
      <c r="O663" s="51" t="s">
        <v>123</v>
      </c>
      <c r="P663" s="58">
        <v>3.0999999999999999E-3</v>
      </c>
    </row>
    <row r="664" spans="8:16" x14ac:dyDescent="0.2">
      <c r="H664" s="297"/>
      <c r="I664" s="292"/>
      <c r="J664" s="52">
        <v>41315</v>
      </c>
      <c r="K664" s="57">
        <v>1519.79</v>
      </c>
      <c r="L664" s="57">
        <v>1517.93</v>
      </c>
      <c r="M664" s="57">
        <v>1524.69</v>
      </c>
      <c r="N664" s="57">
        <v>1513.61</v>
      </c>
      <c r="O664" s="51" t="s">
        <v>123</v>
      </c>
      <c r="P664" s="58">
        <v>1.1999999999999999E-3</v>
      </c>
    </row>
    <row r="665" spans="8:16" x14ac:dyDescent="0.2">
      <c r="H665" s="297"/>
      <c r="I665" s="292"/>
      <c r="J665" s="52">
        <v>41322</v>
      </c>
      <c r="K665" s="57">
        <v>1515.6</v>
      </c>
      <c r="L665" s="57">
        <v>1519.79</v>
      </c>
      <c r="M665" s="57">
        <v>1530.94</v>
      </c>
      <c r="N665" s="57">
        <v>1497.29</v>
      </c>
      <c r="O665" s="51" t="s">
        <v>123</v>
      </c>
      <c r="P665" s="58">
        <v>-2.8E-3</v>
      </c>
    </row>
    <row r="666" spans="8:16" x14ac:dyDescent="0.2">
      <c r="H666" s="297"/>
      <c r="I666" s="292"/>
      <c r="J666" s="52">
        <v>41329</v>
      </c>
      <c r="K666" s="57">
        <v>1518.2</v>
      </c>
      <c r="L666" s="57">
        <v>1515.6</v>
      </c>
      <c r="M666" s="57">
        <v>1525.84</v>
      </c>
      <c r="N666" s="57">
        <v>1485.01</v>
      </c>
      <c r="O666" s="51" t="s">
        <v>123</v>
      </c>
      <c r="P666" s="58">
        <v>1.6999999999999999E-3</v>
      </c>
    </row>
    <row r="667" spans="8:16" x14ac:dyDescent="0.2">
      <c r="H667" s="297"/>
      <c r="I667" s="292"/>
      <c r="J667" s="52">
        <v>41336</v>
      </c>
      <c r="K667" s="57">
        <v>1551.18</v>
      </c>
      <c r="L667" s="57">
        <v>1518.2</v>
      </c>
      <c r="M667" s="57">
        <v>1552.48</v>
      </c>
      <c r="N667" s="57">
        <v>1512.29</v>
      </c>
      <c r="O667" s="51" t="s">
        <v>123</v>
      </c>
      <c r="P667" s="58">
        <v>2.1700000000000001E-2</v>
      </c>
    </row>
    <row r="668" spans="8:16" x14ac:dyDescent="0.2">
      <c r="H668" s="297"/>
      <c r="I668" s="292"/>
      <c r="J668" s="52">
        <v>41343</v>
      </c>
      <c r="K668" s="57">
        <v>1560.7</v>
      </c>
      <c r="L668" s="57">
        <v>1551.15</v>
      </c>
      <c r="M668" s="57">
        <v>1563.62</v>
      </c>
      <c r="N668" s="57">
        <v>1547.36</v>
      </c>
      <c r="O668" s="51" t="s">
        <v>123</v>
      </c>
      <c r="P668" s="58">
        <v>6.1000000000000004E-3</v>
      </c>
    </row>
    <row r="669" spans="8:16" x14ac:dyDescent="0.2">
      <c r="H669" s="297"/>
      <c r="I669" s="292"/>
      <c r="J669" s="52">
        <v>41350</v>
      </c>
      <c r="K669" s="57">
        <v>1556.89</v>
      </c>
      <c r="L669" s="57">
        <v>1560.7</v>
      </c>
      <c r="M669" s="57">
        <v>1561.56</v>
      </c>
      <c r="N669" s="57">
        <v>1538.57</v>
      </c>
      <c r="O669" s="51" t="s">
        <v>123</v>
      </c>
      <c r="P669" s="58">
        <v>-2.3999999999999998E-3</v>
      </c>
    </row>
    <row r="670" spans="8:16" x14ac:dyDescent="0.2">
      <c r="H670" s="297"/>
      <c r="I670" s="292"/>
      <c r="J670" s="52">
        <v>41357</v>
      </c>
      <c r="K670" s="57">
        <v>1569.19</v>
      </c>
      <c r="L670" s="57">
        <v>1556.89</v>
      </c>
      <c r="M670" s="57">
        <v>1570.28</v>
      </c>
      <c r="N670" s="57">
        <v>1546.22</v>
      </c>
      <c r="O670" s="51" t="s">
        <v>123</v>
      </c>
      <c r="P670" s="58">
        <v>7.9000000000000008E-3</v>
      </c>
    </row>
    <row r="671" spans="8:16" x14ac:dyDescent="0.2">
      <c r="H671" s="297"/>
      <c r="I671" s="292"/>
      <c r="J671" s="52">
        <v>41364</v>
      </c>
      <c r="K671" s="57">
        <v>1553.28</v>
      </c>
      <c r="L671" s="57">
        <v>1569.18</v>
      </c>
      <c r="M671" s="57">
        <v>1573.66</v>
      </c>
      <c r="N671" s="57">
        <v>1539.5</v>
      </c>
      <c r="O671" s="51" t="s">
        <v>123</v>
      </c>
      <c r="P671" s="58">
        <v>-1.01E-2</v>
      </c>
    </row>
    <row r="672" spans="8:16" x14ac:dyDescent="0.2">
      <c r="H672" s="297"/>
      <c r="I672" s="292"/>
      <c r="J672" s="52">
        <v>41371</v>
      </c>
      <c r="K672" s="57">
        <v>1588.85</v>
      </c>
      <c r="L672" s="57">
        <v>1553.26</v>
      </c>
      <c r="M672" s="57">
        <v>1597.35</v>
      </c>
      <c r="N672" s="57">
        <v>1548.63</v>
      </c>
      <c r="O672" s="51" t="s">
        <v>123</v>
      </c>
      <c r="P672" s="58">
        <v>2.29E-2</v>
      </c>
    </row>
    <row r="673" spans="8:16" x14ac:dyDescent="0.2">
      <c r="H673" s="297"/>
      <c r="I673" s="292"/>
      <c r="J673" s="52">
        <v>41378</v>
      </c>
      <c r="K673" s="57">
        <v>1555.25</v>
      </c>
      <c r="L673" s="57">
        <v>1588.84</v>
      </c>
      <c r="M673" s="57">
        <v>1588.84</v>
      </c>
      <c r="N673" s="57">
        <v>1536.03</v>
      </c>
      <c r="O673" s="51" t="s">
        <v>123</v>
      </c>
      <c r="P673" s="58">
        <v>-2.1100000000000001E-2</v>
      </c>
    </row>
    <row r="674" spans="8:16" x14ac:dyDescent="0.2">
      <c r="H674" s="297"/>
      <c r="I674" s="292"/>
      <c r="J674" s="52">
        <v>41385</v>
      </c>
      <c r="K674" s="57">
        <v>1582.24</v>
      </c>
      <c r="L674" s="57">
        <v>1555.25</v>
      </c>
      <c r="M674" s="57">
        <v>1592.64</v>
      </c>
      <c r="N674" s="57">
        <v>1548.19</v>
      </c>
      <c r="O674" s="51" t="s">
        <v>123</v>
      </c>
      <c r="P674" s="58">
        <v>1.7399999999999999E-2</v>
      </c>
    </row>
    <row r="675" spans="8:16" x14ac:dyDescent="0.2">
      <c r="H675" s="297"/>
      <c r="I675" s="292"/>
      <c r="J675" s="52">
        <v>41392</v>
      </c>
      <c r="K675" s="57">
        <v>1614.42</v>
      </c>
      <c r="L675" s="57">
        <v>1582.34</v>
      </c>
      <c r="M675" s="57">
        <v>1618.46</v>
      </c>
      <c r="N675" s="57">
        <v>1581.28</v>
      </c>
      <c r="O675" s="51" t="s">
        <v>123</v>
      </c>
      <c r="P675" s="58">
        <v>2.0299999999999999E-2</v>
      </c>
    </row>
    <row r="676" spans="8:16" x14ac:dyDescent="0.2">
      <c r="H676" s="297"/>
      <c r="I676" s="292"/>
      <c r="J676" s="52">
        <v>41399</v>
      </c>
      <c r="K676" s="57">
        <v>1633.7</v>
      </c>
      <c r="L676" s="57">
        <v>1614.4</v>
      </c>
      <c r="M676" s="57">
        <v>1635.01</v>
      </c>
      <c r="N676" s="57">
        <v>1614.21</v>
      </c>
      <c r="O676" s="51" t="s">
        <v>123</v>
      </c>
      <c r="P676" s="58">
        <v>1.1900000000000001E-2</v>
      </c>
    </row>
    <row r="677" spans="8:16" x14ac:dyDescent="0.2">
      <c r="H677" s="297"/>
      <c r="I677" s="292"/>
      <c r="J677" s="52">
        <v>41406</v>
      </c>
      <c r="K677" s="57">
        <v>1667.47</v>
      </c>
      <c r="L677" s="57">
        <v>1632.1</v>
      </c>
      <c r="M677" s="57">
        <v>1667.47</v>
      </c>
      <c r="N677" s="57">
        <v>1626.74</v>
      </c>
      <c r="O677" s="51" t="s">
        <v>123</v>
      </c>
      <c r="P677" s="58">
        <v>2.07E-2</v>
      </c>
    </row>
    <row r="678" spans="8:16" x14ac:dyDescent="0.2">
      <c r="H678" s="297"/>
      <c r="I678" s="292"/>
      <c r="J678" s="52">
        <v>41413</v>
      </c>
      <c r="K678" s="57">
        <v>1649.6</v>
      </c>
      <c r="L678" s="57">
        <v>1665.71</v>
      </c>
      <c r="M678" s="57">
        <v>1687.18</v>
      </c>
      <c r="N678" s="57">
        <v>1635.53</v>
      </c>
      <c r="O678" s="51" t="s">
        <v>123</v>
      </c>
      <c r="P678" s="58">
        <v>-1.0699999999999999E-2</v>
      </c>
    </row>
    <row r="679" spans="8:16" x14ac:dyDescent="0.2">
      <c r="H679" s="297"/>
      <c r="I679" s="292"/>
      <c r="J679" s="52">
        <v>41420</v>
      </c>
      <c r="K679" s="57">
        <v>1630.74</v>
      </c>
      <c r="L679" s="57">
        <v>1652.63</v>
      </c>
      <c r="M679" s="57">
        <v>1674.21</v>
      </c>
      <c r="N679" s="57">
        <v>1630.74</v>
      </c>
      <c r="O679" s="51" t="s">
        <v>123</v>
      </c>
      <c r="P679" s="58">
        <v>-1.14E-2</v>
      </c>
    </row>
    <row r="680" spans="8:16" x14ac:dyDescent="0.2">
      <c r="H680" s="297"/>
      <c r="I680" s="292"/>
      <c r="J680" s="52">
        <v>41427</v>
      </c>
      <c r="K680" s="57">
        <v>1643.38</v>
      </c>
      <c r="L680" s="57">
        <v>1631.71</v>
      </c>
      <c r="M680" s="57">
        <v>1646.53</v>
      </c>
      <c r="N680" s="57">
        <v>1598.23</v>
      </c>
      <c r="O680" s="51" t="s">
        <v>123</v>
      </c>
      <c r="P680" s="58">
        <v>7.7999999999999996E-3</v>
      </c>
    </row>
    <row r="681" spans="8:16" x14ac:dyDescent="0.2">
      <c r="H681" s="297"/>
      <c r="I681" s="292"/>
      <c r="J681" s="52">
        <v>41434</v>
      </c>
      <c r="K681" s="57">
        <v>1626.73</v>
      </c>
      <c r="L681" s="57">
        <v>1644.67</v>
      </c>
      <c r="M681" s="57">
        <v>1648.69</v>
      </c>
      <c r="N681" s="57">
        <v>1608.07</v>
      </c>
      <c r="O681" s="51" t="s">
        <v>123</v>
      </c>
      <c r="P681" s="58">
        <v>-1.01E-2</v>
      </c>
    </row>
    <row r="682" spans="8:16" x14ac:dyDescent="0.2">
      <c r="H682" s="297"/>
      <c r="I682" s="292"/>
      <c r="J682" s="52">
        <v>41441</v>
      </c>
      <c r="K682" s="57">
        <v>1592.43</v>
      </c>
      <c r="L682" s="57">
        <v>1630.64</v>
      </c>
      <c r="M682" s="57">
        <v>1654.19</v>
      </c>
      <c r="N682" s="57">
        <v>1577.7</v>
      </c>
      <c r="O682" s="51" t="s">
        <v>123</v>
      </c>
      <c r="P682" s="58">
        <v>-2.1100000000000001E-2</v>
      </c>
    </row>
    <row r="683" spans="8:16" x14ac:dyDescent="0.2">
      <c r="H683" s="297"/>
      <c r="I683" s="292"/>
      <c r="J683" s="52">
        <v>41448</v>
      </c>
      <c r="K683" s="57">
        <v>1606.28</v>
      </c>
      <c r="L683" s="57">
        <v>1588.77</v>
      </c>
      <c r="M683" s="57">
        <v>1620.07</v>
      </c>
      <c r="N683" s="57">
        <v>1560.33</v>
      </c>
      <c r="O683" s="51" t="s">
        <v>123</v>
      </c>
      <c r="P683" s="58">
        <v>8.6999999999999994E-3</v>
      </c>
    </row>
    <row r="684" spans="8:16" x14ac:dyDescent="0.2">
      <c r="H684" s="297"/>
      <c r="I684" s="292"/>
      <c r="J684" s="52">
        <v>41455</v>
      </c>
      <c r="K684" s="57">
        <v>1631.89</v>
      </c>
      <c r="L684" s="57">
        <v>1609.78</v>
      </c>
      <c r="M684" s="57">
        <v>1632.07</v>
      </c>
      <c r="N684" s="57">
        <v>1604.57</v>
      </c>
      <c r="O684" s="51" t="s">
        <v>123</v>
      </c>
      <c r="P684" s="58">
        <v>1.5900000000000001E-2</v>
      </c>
    </row>
    <row r="685" spans="8:16" x14ac:dyDescent="0.2">
      <c r="H685" s="297"/>
      <c r="I685" s="292"/>
      <c r="J685" s="52">
        <v>41462</v>
      </c>
      <c r="K685" s="57">
        <v>1680.19</v>
      </c>
      <c r="L685" s="57">
        <v>1634.2</v>
      </c>
      <c r="M685" s="57">
        <v>1680.19</v>
      </c>
      <c r="N685" s="57">
        <v>1634.2</v>
      </c>
      <c r="O685" s="51" t="s">
        <v>123</v>
      </c>
      <c r="P685" s="58">
        <v>2.9600000000000001E-2</v>
      </c>
    </row>
    <row r="686" spans="8:16" x14ac:dyDescent="0.2">
      <c r="H686" s="297"/>
      <c r="I686" s="292"/>
      <c r="J686" s="52">
        <v>41469</v>
      </c>
      <c r="K686" s="57">
        <v>1692.09</v>
      </c>
      <c r="L686" s="57">
        <v>1679.59</v>
      </c>
      <c r="M686" s="57">
        <v>1693.12</v>
      </c>
      <c r="N686" s="57">
        <v>1671.84</v>
      </c>
      <c r="O686" s="51" t="s">
        <v>123</v>
      </c>
      <c r="P686" s="58">
        <v>7.1000000000000004E-3</v>
      </c>
    </row>
    <row r="687" spans="8:16" x14ac:dyDescent="0.2">
      <c r="H687" s="297"/>
      <c r="I687" s="292"/>
      <c r="J687" s="52">
        <v>41476</v>
      </c>
      <c r="K687" s="57">
        <v>1691.65</v>
      </c>
      <c r="L687" s="57">
        <v>1694.41</v>
      </c>
      <c r="M687" s="57">
        <v>1698.78</v>
      </c>
      <c r="N687" s="57">
        <v>1676.03</v>
      </c>
      <c r="O687" s="51" t="s">
        <v>123</v>
      </c>
      <c r="P687" s="58">
        <v>-2.9999999999999997E-4</v>
      </c>
    </row>
    <row r="688" spans="8:16" x14ac:dyDescent="0.2">
      <c r="H688" s="297"/>
      <c r="I688" s="292"/>
      <c r="J688" s="52">
        <v>41483</v>
      </c>
      <c r="K688" s="57">
        <v>1709.67</v>
      </c>
      <c r="L688" s="57">
        <v>1690.32</v>
      </c>
      <c r="M688" s="57">
        <v>1709.67</v>
      </c>
      <c r="N688" s="57">
        <v>1681.86</v>
      </c>
      <c r="O688" s="51" t="s">
        <v>123</v>
      </c>
      <c r="P688" s="58">
        <v>1.0699999999999999E-2</v>
      </c>
    </row>
    <row r="689" spans="8:16" x14ac:dyDescent="0.2">
      <c r="H689" s="297"/>
      <c r="I689" s="292"/>
      <c r="J689" s="52">
        <v>41490</v>
      </c>
      <c r="K689" s="57">
        <v>1691.42</v>
      </c>
      <c r="L689" s="57">
        <v>1708.01</v>
      </c>
      <c r="M689" s="57">
        <v>1709.24</v>
      </c>
      <c r="N689" s="57">
        <v>1684.91</v>
      </c>
      <c r="O689" s="51" t="s">
        <v>123</v>
      </c>
      <c r="P689" s="58">
        <v>-1.0699999999999999E-2</v>
      </c>
    </row>
    <row r="690" spans="8:16" x14ac:dyDescent="0.2">
      <c r="H690" s="297"/>
      <c r="I690" s="292"/>
      <c r="J690" s="52">
        <v>41497</v>
      </c>
      <c r="K690" s="57">
        <v>1655.83</v>
      </c>
      <c r="L690" s="57">
        <v>1688.37</v>
      </c>
      <c r="M690" s="57">
        <v>1696.81</v>
      </c>
      <c r="N690" s="57">
        <v>1652.61</v>
      </c>
      <c r="O690" s="51" t="s">
        <v>123</v>
      </c>
      <c r="P690" s="58">
        <v>-2.1000000000000001E-2</v>
      </c>
    </row>
    <row r="691" spans="8:16" x14ac:dyDescent="0.2">
      <c r="H691" s="297"/>
      <c r="I691" s="292"/>
      <c r="J691" s="52">
        <v>41504</v>
      </c>
      <c r="K691" s="57">
        <v>1663.5</v>
      </c>
      <c r="L691" s="57">
        <v>1655.25</v>
      </c>
      <c r="M691" s="57">
        <v>1664.85</v>
      </c>
      <c r="N691" s="57">
        <v>1639.43</v>
      </c>
      <c r="O691" s="51" t="s">
        <v>123</v>
      </c>
      <c r="P691" s="58">
        <v>4.5999999999999999E-3</v>
      </c>
    </row>
    <row r="692" spans="8:16" x14ac:dyDescent="0.2">
      <c r="H692" s="297"/>
      <c r="I692" s="292"/>
      <c r="J692" s="52">
        <v>41511</v>
      </c>
      <c r="K692" s="57">
        <v>1632.97</v>
      </c>
      <c r="L692" s="57">
        <v>1664.29</v>
      </c>
      <c r="M692" s="57">
        <v>1669.51</v>
      </c>
      <c r="N692" s="57">
        <v>1627.47</v>
      </c>
      <c r="O692" s="51" t="s">
        <v>123</v>
      </c>
      <c r="P692" s="58">
        <v>-1.84E-2</v>
      </c>
    </row>
    <row r="693" spans="8:16" x14ac:dyDescent="0.2">
      <c r="H693" s="297"/>
      <c r="I693" s="292"/>
      <c r="J693" s="52">
        <v>41518</v>
      </c>
      <c r="K693" s="57">
        <v>1655.17</v>
      </c>
      <c r="L693" s="57">
        <v>1635.95</v>
      </c>
      <c r="M693" s="57">
        <v>1664.83</v>
      </c>
      <c r="N693" s="57">
        <v>1633.41</v>
      </c>
      <c r="O693" s="51" t="s">
        <v>123</v>
      </c>
      <c r="P693" s="58">
        <v>1.3599999999999999E-2</v>
      </c>
    </row>
    <row r="694" spans="8:16" x14ac:dyDescent="0.2">
      <c r="H694" s="297"/>
      <c r="I694" s="292"/>
      <c r="J694" s="52">
        <v>41525</v>
      </c>
      <c r="K694" s="57">
        <v>1687.99</v>
      </c>
      <c r="L694" s="57">
        <v>1656.85</v>
      </c>
      <c r="M694" s="57">
        <v>1689.97</v>
      </c>
      <c r="N694" s="57">
        <v>1656.85</v>
      </c>
      <c r="O694" s="51" t="s">
        <v>123</v>
      </c>
      <c r="P694" s="58">
        <v>1.9800000000000002E-2</v>
      </c>
    </row>
    <row r="695" spans="8:16" x14ac:dyDescent="0.2">
      <c r="H695" s="297"/>
      <c r="I695" s="292"/>
      <c r="J695" s="52">
        <v>41532</v>
      </c>
      <c r="K695" s="57">
        <v>1709.91</v>
      </c>
      <c r="L695" s="57">
        <v>1691.7</v>
      </c>
      <c r="M695" s="57">
        <v>1729.86</v>
      </c>
      <c r="N695" s="57">
        <v>1691.7</v>
      </c>
      <c r="O695" s="51" t="s">
        <v>123</v>
      </c>
      <c r="P695" s="58">
        <v>1.2999999999999999E-2</v>
      </c>
    </row>
    <row r="696" spans="8:16" x14ac:dyDescent="0.2">
      <c r="H696" s="297"/>
      <c r="I696" s="292"/>
      <c r="J696" s="52">
        <v>41539</v>
      </c>
      <c r="K696" s="57">
        <v>1691.75</v>
      </c>
      <c r="L696" s="57">
        <v>1711.44</v>
      </c>
      <c r="M696" s="57">
        <v>1711.44</v>
      </c>
      <c r="N696" s="57">
        <v>1687.11</v>
      </c>
      <c r="O696" s="51" t="s">
        <v>123</v>
      </c>
      <c r="P696" s="58">
        <v>-1.06E-2</v>
      </c>
    </row>
    <row r="697" spans="8:16" x14ac:dyDescent="0.2">
      <c r="H697" s="297"/>
      <c r="I697" s="292"/>
      <c r="J697" s="52">
        <v>41546</v>
      </c>
      <c r="K697" s="57">
        <v>1690.5</v>
      </c>
      <c r="L697" s="57">
        <v>1687.26</v>
      </c>
      <c r="M697" s="57">
        <v>1696.55</v>
      </c>
      <c r="N697" s="57">
        <v>1670.36</v>
      </c>
      <c r="O697" s="51" t="s">
        <v>123</v>
      </c>
      <c r="P697" s="58">
        <v>-6.9999999999999999E-4</v>
      </c>
    </row>
    <row r="698" spans="8:16" x14ac:dyDescent="0.2">
      <c r="H698" s="297"/>
      <c r="I698" s="292"/>
      <c r="J698" s="52">
        <v>41553</v>
      </c>
      <c r="K698" s="57">
        <v>1703.2</v>
      </c>
      <c r="L698" s="57">
        <v>1687.15</v>
      </c>
      <c r="M698" s="57">
        <v>1703.44</v>
      </c>
      <c r="N698" s="57">
        <v>1646.47</v>
      </c>
      <c r="O698" s="51" t="s">
        <v>123</v>
      </c>
      <c r="P698" s="58">
        <v>7.4999999999999997E-3</v>
      </c>
    </row>
    <row r="699" spans="8:16" x14ac:dyDescent="0.2">
      <c r="H699" s="297"/>
      <c r="I699" s="292"/>
      <c r="J699" s="52">
        <v>41560</v>
      </c>
      <c r="K699" s="57">
        <v>1744.5</v>
      </c>
      <c r="L699" s="57">
        <v>1699.86</v>
      </c>
      <c r="M699" s="57">
        <v>1745.31</v>
      </c>
      <c r="N699" s="57">
        <v>1692.13</v>
      </c>
      <c r="O699" s="51" t="s">
        <v>123</v>
      </c>
      <c r="P699" s="58">
        <v>2.4199999999999999E-2</v>
      </c>
    </row>
    <row r="700" spans="8:16" x14ac:dyDescent="0.2">
      <c r="H700" s="297"/>
      <c r="I700" s="292"/>
      <c r="J700" s="52">
        <v>41567</v>
      </c>
      <c r="K700" s="57">
        <v>1759.77</v>
      </c>
      <c r="L700" s="57">
        <v>1745.2</v>
      </c>
      <c r="M700" s="57">
        <v>1759.82</v>
      </c>
      <c r="N700" s="57">
        <v>1740.5</v>
      </c>
      <c r="O700" s="51" t="s">
        <v>123</v>
      </c>
      <c r="P700" s="58">
        <v>8.8000000000000005E-3</v>
      </c>
    </row>
    <row r="701" spans="8:16" x14ac:dyDescent="0.2">
      <c r="H701" s="297"/>
      <c r="I701" s="292"/>
      <c r="J701" s="52">
        <v>41574</v>
      </c>
      <c r="K701" s="57">
        <v>1761.64</v>
      </c>
      <c r="L701" s="57">
        <v>1759.42</v>
      </c>
      <c r="M701" s="57">
        <v>1775.22</v>
      </c>
      <c r="N701" s="57">
        <v>1752.7</v>
      </c>
      <c r="O701" s="51" t="s">
        <v>123</v>
      </c>
      <c r="P701" s="58">
        <v>1.1000000000000001E-3</v>
      </c>
    </row>
    <row r="702" spans="8:16" x14ac:dyDescent="0.2">
      <c r="H702" s="297"/>
      <c r="I702" s="292"/>
      <c r="J702" s="52">
        <v>41581</v>
      </c>
      <c r="K702" s="57">
        <v>1770.61</v>
      </c>
      <c r="L702" s="57">
        <v>1763.4</v>
      </c>
      <c r="M702" s="57">
        <v>1774.54</v>
      </c>
      <c r="N702" s="57">
        <v>1746.2</v>
      </c>
      <c r="O702" s="51" t="s">
        <v>123</v>
      </c>
      <c r="P702" s="58">
        <v>5.1000000000000004E-3</v>
      </c>
    </row>
    <row r="703" spans="8:16" x14ac:dyDescent="0.2">
      <c r="H703" s="297"/>
      <c r="I703" s="292"/>
      <c r="J703" s="52">
        <v>41588</v>
      </c>
      <c r="K703" s="57">
        <v>1798.18</v>
      </c>
      <c r="L703" s="57">
        <v>1769.96</v>
      </c>
      <c r="M703" s="57">
        <v>1798.22</v>
      </c>
      <c r="N703" s="57">
        <v>1760.64</v>
      </c>
      <c r="O703" s="51" t="s">
        <v>123</v>
      </c>
      <c r="P703" s="58">
        <v>1.5599999999999999E-2</v>
      </c>
    </row>
    <row r="704" spans="8:16" x14ac:dyDescent="0.2">
      <c r="H704" s="297"/>
      <c r="I704" s="292"/>
      <c r="J704" s="52">
        <v>41595</v>
      </c>
      <c r="K704" s="57">
        <v>1804.76</v>
      </c>
      <c r="L704" s="57">
        <v>1798.82</v>
      </c>
      <c r="M704" s="57">
        <v>1804.84</v>
      </c>
      <c r="N704" s="57">
        <v>1777.23</v>
      </c>
      <c r="O704" s="51" t="s">
        <v>123</v>
      </c>
      <c r="P704" s="58">
        <v>3.7000000000000002E-3</v>
      </c>
    </row>
    <row r="705" spans="8:16" x14ac:dyDescent="0.2">
      <c r="H705" s="297"/>
      <c r="I705" s="292"/>
      <c r="J705" s="52">
        <v>41602</v>
      </c>
      <c r="K705" s="57">
        <v>1805.81</v>
      </c>
      <c r="L705" s="57">
        <v>1806.33</v>
      </c>
      <c r="M705" s="57">
        <v>1813.55</v>
      </c>
      <c r="N705" s="57">
        <v>1800.58</v>
      </c>
      <c r="O705" s="51" t="s">
        <v>123</v>
      </c>
      <c r="P705" s="58">
        <v>5.9999999999999995E-4</v>
      </c>
    </row>
    <row r="706" spans="8:16" x14ac:dyDescent="0.2">
      <c r="H706" s="297"/>
      <c r="I706" s="292"/>
      <c r="J706" s="52">
        <v>41609</v>
      </c>
      <c r="K706" s="57">
        <v>1805.09</v>
      </c>
      <c r="L706" s="57">
        <v>1806.55</v>
      </c>
      <c r="M706" s="57">
        <v>1810.02</v>
      </c>
      <c r="N706" s="57">
        <v>1779.09</v>
      </c>
      <c r="O706" s="51" t="s">
        <v>123</v>
      </c>
      <c r="P706" s="58">
        <v>-4.0000000000000002E-4</v>
      </c>
    </row>
    <row r="707" spans="8:16" x14ac:dyDescent="0.2">
      <c r="H707" s="297"/>
      <c r="I707" s="292"/>
      <c r="J707" s="52">
        <v>41616</v>
      </c>
      <c r="K707" s="57">
        <v>1775.32</v>
      </c>
      <c r="L707" s="57">
        <v>1806.21</v>
      </c>
      <c r="M707" s="57">
        <v>1811.52</v>
      </c>
      <c r="N707" s="57">
        <v>1772.28</v>
      </c>
      <c r="O707" s="51" t="s">
        <v>123</v>
      </c>
      <c r="P707" s="58">
        <v>-1.6500000000000001E-2</v>
      </c>
    </row>
    <row r="708" spans="8:16" x14ac:dyDescent="0.2">
      <c r="H708" s="297"/>
      <c r="I708" s="292"/>
      <c r="J708" s="52">
        <v>41623</v>
      </c>
      <c r="K708" s="57">
        <v>1818.32</v>
      </c>
      <c r="L708" s="57">
        <v>1777.48</v>
      </c>
      <c r="M708" s="57">
        <v>1823.75</v>
      </c>
      <c r="N708" s="57">
        <v>1767.99</v>
      </c>
      <c r="O708" s="51" t="s">
        <v>123</v>
      </c>
      <c r="P708" s="58">
        <v>2.4199999999999999E-2</v>
      </c>
    </row>
    <row r="709" spans="8:16" x14ac:dyDescent="0.2">
      <c r="H709" s="297"/>
      <c r="I709" s="292"/>
      <c r="J709" s="52">
        <v>41630</v>
      </c>
      <c r="K709" s="57">
        <v>1841.4</v>
      </c>
      <c r="L709" s="57">
        <v>1822.92</v>
      </c>
      <c r="M709" s="57">
        <v>1844.89</v>
      </c>
      <c r="N709" s="57">
        <v>1822.92</v>
      </c>
      <c r="O709" s="51" t="s">
        <v>123</v>
      </c>
      <c r="P709" s="58">
        <v>1.2699999999999999E-2</v>
      </c>
    </row>
    <row r="710" spans="8:16" x14ac:dyDescent="0.2">
      <c r="H710" s="297"/>
      <c r="I710" s="292"/>
      <c r="J710" s="52">
        <v>41637</v>
      </c>
      <c r="K710" s="57">
        <v>1831.37</v>
      </c>
      <c r="L710" s="57">
        <v>1841.47</v>
      </c>
      <c r="M710" s="57">
        <v>1849.44</v>
      </c>
      <c r="N710" s="57">
        <v>1827.74</v>
      </c>
      <c r="O710" s="51" t="s">
        <v>123</v>
      </c>
      <c r="P710" s="58">
        <v>-5.4000000000000003E-3</v>
      </c>
    </row>
    <row r="711" spans="8:16" x14ac:dyDescent="0.2">
      <c r="H711" s="297"/>
      <c r="I711" s="292"/>
      <c r="J711" s="52">
        <v>41644</v>
      </c>
      <c r="K711" s="57">
        <v>1842.37</v>
      </c>
      <c r="L711" s="57">
        <v>1832.31</v>
      </c>
      <c r="M711" s="57">
        <v>1843.23</v>
      </c>
      <c r="N711" s="57">
        <v>1823.73</v>
      </c>
      <c r="O711" s="51" t="s">
        <v>123</v>
      </c>
      <c r="P711" s="58">
        <v>6.0000000000000001E-3</v>
      </c>
    </row>
    <row r="712" spans="8:16" x14ac:dyDescent="0.2">
      <c r="H712" s="297"/>
      <c r="I712" s="292"/>
      <c r="J712" s="52">
        <v>41651</v>
      </c>
      <c r="K712" s="57">
        <v>1838.7</v>
      </c>
      <c r="L712" s="57">
        <v>1841.26</v>
      </c>
      <c r="M712" s="57">
        <v>1850.84</v>
      </c>
      <c r="N712" s="57">
        <v>1815.52</v>
      </c>
      <c r="O712" s="51" t="s">
        <v>123</v>
      </c>
      <c r="P712" s="58">
        <v>-2E-3</v>
      </c>
    </row>
    <row r="713" spans="8:16" x14ac:dyDescent="0.2">
      <c r="H713" s="297"/>
      <c r="I713" s="292"/>
      <c r="J713" s="52">
        <v>41658</v>
      </c>
      <c r="K713" s="57">
        <v>1790.29</v>
      </c>
      <c r="L713" s="57">
        <v>1841.05</v>
      </c>
      <c r="M713" s="57">
        <v>1849.31</v>
      </c>
      <c r="N713" s="57">
        <v>1790.29</v>
      </c>
      <c r="O713" s="51" t="s">
        <v>123</v>
      </c>
      <c r="P713" s="58">
        <v>-2.63E-2</v>
      </c>
    </row>
    <row r="714" spans="8:16" x14ac:dyDescent="0.2">
      <c r="H714" s="297"/>
      <c r="I714" s="292"/>
      <c r="J714" s="52">
        <v>41665</v>
      </c>
      <c r="K714" s="57">
        <v>1782.59</v>
      </c>
      <c r="L714" s="57">
        <v>1791.03</v>
      </c>
      <c r="M714" s="57">
        <v>1798.77</v>
      </c>
      <c r="N714" s="57">
        <v>1770.45</v>
      </c>
      <c r="O714" s="51" t="s">
        <v>123</v>
      </c>
      <c r="P714" s="58">
        <v>-4.3E-3</v>
      </c>
    </row>
    <row r="715" spans="8:16" x14ac:dyDescent="0.2">
      <c r="H715" s="297"/>
      <c r="I715" s="292"/>
      <c r="J715" s="52">
        <v>41672</v>
      </c>
      <c r="K715" s="57">
        <v>1797.02</v>
      </c>
      <c r="L715" s="57">
        <v>1782.68</v>
      </c>
      <c r="M715" s="57">
        <v>1798.03</v>
      </c>
      <c r="N715" s="57">
        <v>1737.92</v>
      </c>
      <c r="O715" s="51" t="s">
        <v>123</v>
      </c>
      <c r="P715" s="58">
        <v>8.0999999999999996E-3</v>
      </c>
    </row>
    <row r="716" spans="8:16" x14ac:dyDescent="0.2">
      <c r="H716" s="297"/>
      <c r="I716" s="292"/>
      <c r="J716" s="52">
        <v>41679</v>
      </c>
      <c r="K716" s="57">
        <v>1838.63</v>
      </c>
      <c r="L716" s="57">
        <v>1796.2</v>
      </c>
      <c r="M716" s="57">
        <v>1841.65</v>
      </c>
      <c r="N716" s="57">
        <v>1791.83</v>
      </c>
      <c r="O716" s="51" t="s">
        <v>123</v>
      </c>
      <c r="P716" s="58">
        <v>2.3199999999999998E-2</v>
      </c>
    </row>
    <row r="717" spans="8:16" x14ac:dyDescent="0.2">
      <c r="H717" s="297"/>
      <c r="I717" s="292"/>
      <c r="J717" s="52">
        <v>41686</v>
      </c>
      <c r="K717" s="57">
        <v>1836.25</v>
      </c>
      <c r="L717" s="57">
        <v>1839.03</v>
      </c>
      <c r="M717" s="57">
        <v>1847.5</v>
      </c>
      <c r="N717" s="57">
        <v>1824.58</v>
      </c>
      <c r="O717" s="51" t="s">
        <v>123</v>
      </c>
      <c r="P717" s="58">
        <v>-1.2999999999999999E-3</v>
      </c>
    </row>
    <row r="718" spans="8:16" x14ac:dyDescent="0.2">
      <c r="H718" s="297"/>
      <c r="I718" s="292"/>
      <c r="J718" s="52">
        <v>41693</v>
      </c>
      <c r="K718" s="57">
        <v>1859.45</v>
      </c>
      <c r="L718" s="57">
        <v>1836.78</v>
      </c>
      <c r="M718" s="57">
        <v>1867.92</v>
      </c>
      <c r="N718" s="57">
        <v>1836.78</v>
      </c>
      <c r="O718" s="51" t="s">
        <v>123</v>
      </c>
      <c r="P718" s="58">
        <v>1.26E-2</v>
      </c>
    </row>
    <row r="719" spans="8:16" x14ac:dyDescent="0.2">
      <c r="H719" s="297"/>
      <c r="I719" s="292"/>
      <c r="J719" s="52">
        <v>41700</v>
      </c>
      <c r="K719" s="57">
        <v>1878.04</v>
      </c>
      <c r="L719" s="57">
        <v>1857.68</v>
      </c>
      <c r="M719" s="57">
        <v>1883.57</v>
      </c>
      <c r="N719" s="57">
        <v>1834.44</v>
      </c>
      <c r="O719" s="51" t="s">
        <v>123</v>
      </c>
      <c r="P719" s="58">
        <v>0.01</v>
      </c>
    </row>
    <row r="720" spans="8:16" x14ac:dyDescent="0.2">
      <c r="H720" s="297"/>
      <c r="I720" s="292"/>
      <c r="J720" s="52">
        <v>41707</v>
      </c>
      <c r="K720" s="57">
        <v>1841.13</v>
      </c>
      <c r="L720" s="57">
        <v>1877.86</v>
      </c>
      <c r="M720" s="57">
        <v>1882.35</v>
      </c>
      <c r="N720" s="57">
        <v>1839.57</v>
      </c>
      <c r="O720" s="51" t="s">
        <v>123</v>
      </c>
      <c r="P720" s="58">
        <v>-1.9699999999999999E-2</v>
      </c>
    </row>
    <row r="721" spans="8:16" x14ac:dyDescent="0.2">
      <c r="H721" s="297"/>
      <c r="I721" s="292"/>
      <c r="J721" s="52">
        <v>41714</v>
      </c>
      <c r="K721" s="57">
        <v>1866.52</v>
      </c>
      <c r="L721" s="57">
        <v>1842.81</v>
      </c>
      <c r="M721" s="57">
        <v>1883.97</v>
      </c>
      <c r="N721" s="57">
        <v>1842.81</v>
      </c>
      <c r="O721" s="51" t="s">
        <v>123</v>
      </c>
      <c r="P721" s="58">
        <v>1.38E-2</v>
      </c>
    </row>
    <row r="722" spans="8:16" x14ac:dyDescent="0.2">
      <c r="H722" s="297"/>
      <c r="I722" s="292"/>
      <c r="J722" s="52">
        <v>41721</v>
      </c>
      <c r="K722" s="57">
        <v>1857.62</v>
      </c>
      <c r="L722" s="57">
        <v>1867.67</v>
      </c>
      <c r="M722" s="57">
        <v>1875.92</v>
      </c>
      <c r="N722" s="57">
        <v>1842.11</v>
      </c>
      <c r="O722" s="51" t="s">
        <v>123</v>
      </c>
      <c r="P722" s="58">
        <v>-4.7999999999999996E-3</v>
      </c>
    </row>
    <row r="723" spans="8:16" x14ac:dyDescent="0.2">
      <c r="H723" s="297"/>
      <c r="I723" s="292"/>
      <c r="J723" s="52">
        <v>41728</v>
      </c>
      <c r="K723" s="57">
        <v>1865.09</v>
      </c>
      <c r="L723" s="57">
        <v>1859.16</v>
      </c>
      <c r="M723" s="57">
        <v>1897.28</v>
      </c>
      <c r="N723" s="57">
        <v>1859.16</v>
      </c>
      <c r="O723" s="51" t="s">
        <v>123</v>
      </c>
      <c r="P723" s="58">
        <v>4.0000000000000001E-3</v>
      </c>
    </row>
    <row r="724" spans="8:16" x14ac:dyDescent="0.2">
      <c r="H724" s="297"/>
      <c r="I724" s="292"/>
      <c r="J724" s="52">
        <v>41735</v>
      </c>
      <c r="K724" s="57">
        <v>1815.69</v>
      </c>
      <c r="L724" s="57">
        <v>1863.92</v>
      </c>
      <c r="M724" s="57">
        <v>1872.53</v>
      </c>
      <c r="N724" s="57">
        <v>1814.36</v>
      </c>
      <c r="O724" s="51" t="s">
        <v>123</v>
      </c>
      <c r="P724" s="58">
        <v>-2.6499999999999999E-2</v>
      </c>
    </row>
    <row r="725" spans="8:16" x14ac:dyDescent="0.2">
      <c r="H725" s="297"/>
      <c r="I725" s="292"/>
      <c r="J725" s="52">
        <v>41742</v>
      </c>
      <c r="K725" s="57">
        <v>1864.85</v>
      </c>
      <c r="L725" s="57">
        <v>1818.18</v>
      </c>
      <c r="M725" s="57">
        <v>1869.63</v>
      </c>
      <c r="N725" s="57">
        <v>1815.8</v>
      </c>
      <c r="O725" s="51" t="s">
        <v>123</v>
      </c>
      <c r="P725" s="58">
        <v>2.7099999999999999E-2</v>
      </c>
    </row>
    <row r="726" spans="8:16" x14ac:dyDescent="0.2">
      <c r="H726" s="297"/>
      <c r="I726" s="292"/>
      <c r="J726" s="52">
        <v>41749</v>
      </c>
      <c r="K726" s="57">
        <v>1863.4</v>
      </c>
      <c r="L726" s="57">
        <v>1865.79</v>
      </c>
      <c r="M726" s="57">
        <v>1884.89</v>
      </c>
      <c r="N726" s="57">
        <v>1859.7</v>
      </c>
      <c r="O726" s="51" t="s">
        <v>123</v>
      </c>
      <c r="P726" s="58">
        <v>-8.0000000000000004E-4</v>
      </c>
    </row>
    <row r="727" spans="8:16" x14ac:dyDescent="0.2">
      <c r="H727" s="297"/>
      <c r="I727" s="292"/>
      <c r="J727" s="52">
        <v>41756</v>
      </c>
      <c r="K727" s="57">
        <v>1881.14</v>
      </c>
      <c r="L727" s="57">
        <v>1865</v>
      </c>
      <c r="M727" s="57">
        <v>1891.33</v>
      </c>
      <c r="N727" s="57">
        <v>1850.61</v>
      </c>
      <c r="O727" s="51" t="s">
        <v>123</v>
      </c>
      <c r="P727" s="58">
        <v>9.4999999999999998E-3</v>
      </c>
    </row>
    <row r="728" spans="8:16" x14ac:dyDescent="0.2">
      <c r="H728" s="297"/>
      <c r="I728" s="292"/>
      <c r="J728" s="52">
        <v>41763</v>
      </c>
      <c r="K728" s="57">
        <v>1878.48</v>
      </c>
      <c r="L728" s="57">
        <v>1879.45</v>
      </c>
      <c r="M728" s="57">
        <v>1889.07</v>
      </c>
      <c r="N728" s="57">
        <v>1859.79</v>
      </c>
      <c r="O728" s="51" t="s">
        <v>123</v>
      </c>
      <c r="P728" s="58">
        <v>-1.4E-3</v>
      </c>
    </row>
    <row r="729" spans="8:16" x14ac:dyDescent="0.2">
      <c r="H729" s="297"/>
      <c r="I729" s="292"/>
      <c r="J729" s="52">
        <v>41770</v>
      </c>
      <c r="K729" s="57">
        <v>1877.86</v>
      </c>
      <c r="L729" s="57">
        <v>1880.03</v>
      </c>
      <c r="M729" s="57">
        <v>1902.17</v>
      </c>
      <c r="N729" s="57">
        <v>1862.36</v>
      </c>
      <c r="O729" s="51" t="s">
        <v>123</v>
      </c>
      <c r="P729" s="58">
        <v>-2.9999999999999997E-4</v>
      </c>
    </row>
    <row r="730" spans="8:16" x14ac:dyDescent="0.2">
      <c r="H730" s="297"/>
      <c r="I730" s="292"/>
      <c r="J730" s="52">
        <v>41777</v>
      </c>
      <c r="K730" s="57">
        <v>1900.53</v>
      </c>
      <c r="L730" s="57">
        <v>1876.66</v>
      </c>
      <c r="M730" s="57">
        <v>1901.26</v>
      </c>
      <c r="N730" s="57">
        <v>1868.14</v>
      </c>
      <c r="O730" s="51" t="s">
        <v>123</v>
      </c>
      <c r="P730" s="58">
        <v>1.21E-2</v>
      </c>
    </row>
    <row r="731" spans="8:16" x14ac:dyDescent="0.2">
      <c r="H731" s="297"/>
      <c r="I731" s="292"/>
      <c r="J731" s="52">
        <v>41784</v>
      </c>
      <c r="K731" s="57">
        <v>1923.57</v>
      </c>
      <c r="L731" s="57">
        <v>1902.01</v>
      </c>
      <c r="M731" s="57">
        <v>1924.03</v>
      </c>
      <c r="N731" s="57">
        <v>1902.01</v>
      </c>
      <c r="O731" s="51" t="s">
        <v>123</v>
      </c>
      <c r="P731" s="58">
        <v>1.21E-2</v>
      </c>
    </row>
    <row r="732" spans="8:16" x14ac:dyDescent="0.2">
      <c r="H732" s="297"/>
      <c r="I732" s="292"/>
      <c r="J732" s="52">
        <v>41791</v>
      </c>
      <c r="K732" s="57">
        <v>1949.44</v>
      </c>
      <c r="L732" s="57">
        <v>1923.87</v>
      </c>
      <c r="M732" s="57">
        <v>1949.44</v>
      </c>
      <c r="N732" s="57">
        <v>1915.98</v>
      </c>
      <c r="O732" s="51" t="s">
        <v>123</v>
      </c>
      <c r="P732" s="58">
        <v>1.34E-2</v>
      </c>
    </row>
    <row r="733" spans="8:16" x14ac:dyDescent="0.2">
      <c r="H733" s="297"/>
      <c r="I733" s="292"/>
      <c r="J733" s="52">
        <v>41798</v>
      </c>
      <c r="K733" s="57">
        <v>1936.16</v>
      </c>
      <c r="L733" s="57">
        <v>1948.97</v>
      </c>
      <c r="M733" s="57">
        <v>1955.55</v>
      </c>
      <c r="N733" s="57">
        <v>1925.78</v>
      </c>
      <c r="O733" s="51" t="s">
        <v>123</v>
      </c>
      <c r="P733" s="58">
        <v>-6.7999999999999996E-3</v>
      </c>
    </row>
    <row r="734" spans="8:16" x14ac:dyDescent="0.2">
      <c r="H734" s="297"/>
      <c r="I734" s="292"/>
      <c r="J734" s="52">
        <v>41805</v>
      </c>
      <c r="K734" s="57">
        <v>1962.87</v>
      </c>
      <c r="L734" s="57">
        <v>1934.84</v>
      </c>
      <c r="M734" s="57">
        <v>1963.91</v>
      </c>
      <c r="N734" s="57">
        <v>1930.91</v>
      </c>
      <c r="O734" s="51" t="s">
        <v>123</v>
      </c>
      <c r="P734" s="58">
        <v>1.38E-2</v>
      </c>
    </row>
    <row r="735" spans="8:16" x14ac:dyDescent="0.2">
      <c r="H735" s="297"/>
      <c r="I735" s="292"/>
      <c r="J735" s="52">
        <v>41812</v>
      </c>
      <c r="K735" s="57">
        <v>1960.96</v>
      </c>
      <c r="L735" s="57">
        <v>1962.92</v>
      </c>
      <c r="M735" s="57">
        <v>1968.17</v>
      </c>
      <c r="N735" s="57">
        <v>1944.69</v>
      </c>
      <c r="O735" s="51" t="s">
        <v>123</v>
      </c>
      <c r="P735" s="58">
        <v>-1E-3</v>
      </c>
    </row>
    <row r="736" spans="8:16" x14ac:dyDescent="0.2">
      <c r="H736" s="297"/>
      <c r="I736" s="292"/>
      <c r="J736" s="52">
        <v>41819</v>
      </c>
      <c r="K736" s="57">
        <v>1985.44</v>
      </c>
      <c r="L736" s="57">
        <v>1960.79</v>
      </c>
      <c r="M736" s="57">
        <v>1985.59</v>
      </c>
      <c r="N736" s="57">
        <v>1958.22</v>
      </c>
      <c r="O736" s="51" t="s">
        <v>123</v>
      </c>
      <c r="P736" s="58">
        <v>1.2500000000000001E-2</v>
      </c>
    </row>
    <row r="737" spans="8:16" x14ac:dyDescent="0.2">
      <c r="H737" s="297"/>
      <c r="I737" s="292"/>
      <c r="J737" s="52">
        <v>41826</v>
      </c>
      <c r="K737" s="57">
        <v>1967.57</v>
      </c>
      <c r="L737" s="57">
        <v>1984.22</v>
      </c>
      <c r="M737" s="57">
        <v>1984.22</v>
      </c>
      <c r="N737" s="57">
        <v>1952.86</v>
      </c>
      <c r="O737" s="51" t="s">
        <v>123</v>
      </c>
      <c r="P737" s="58">
        <v>-8.9999999999999993E-3</v>
      </c>
    </row>
    <row r="738" spans="8:16" x14ac:dyDescent="0.2">
      <c r="H738" s="297"/>
      <c r="I738" s="292"/>
      <c r="J738" s="52">
        <v>41833</v>
      </c>
      <c r="K738" s="57">
        <v>1978.22</v>
      </c>
      <c r="L738" s="57">
        <v>1969.86</v>
      </c>
      <c r="M738" s="57">
        <v>1983.94</v>
      </c>
      <c r="N738" s="57">
        <v>1955.59</v>
      </c>
      <c r="O738" s="51" t="s">
        <v>123</v>
      </c>
      <c r="P738" s="58">
        <v>5.4000000000000003E-3</v>
      </c>
    </row>
    <row r="739" spans="8:16" x14ac:dyDescent="0.2">
      <c r="H739" s="297"/>
      <c r="I739" s="292"/>
      <c r="J739" s="52">
        <v>41840</v>
      </c>
      <c r="K739" s="57">
        <v>1978.34</v>
      </c>
      <c r="L739" s="57">
        <v>1976.93</v>
      </c>
      <c r="M739" s="57">
        <v>1991.39</v>
      </c>
      <c r="N739" s="57">
        <v>1965.77</v>
      </c>
      <c r="O739" s="51" t="s">
        <v>123</v>
      </c>
      <c r="P739" s="58">
        <v>1E-4</v>
      </c>
    </row>
    <row r="740" spans="8:16" x14ac:dyDescent="0.2">
      <c r="H740" s="297"/>
      <c r="I740" s="292"/>
      <c r="J740" s="52">
        <v>41847</v>
      </c>
      <c r="K740" s="57">
        <v>1925.15</v>
      </c>
      <c r="L740" s="57">
        <v>1978.25</v>
      </c>
      <c r="M740" s="57">
        <v>1984.85</v>
      </c>
      <c r="N740" s="57">
        <v>1916.37</v>
      </c>
      <c r="O740" s="51" t="s">
        <v>123</v>
      </c>
      <c r="P740" s="58">
        <v>-2.69E-2</v>
      </c>
    </row>
    <row r="741" spans="8:16" x14ac:dyDescent="0.2">
      <c r="H741" s="297"/>
      <c r="I741" s="292"/>
      <c r="J741" s="52">
        <v>41854</v>
      </c>
      <c r="K741" s="57">
        <v>1931.59</v>
      </c>
      <c r="L741" s="57">
        <v>1926.62</v>
      </c>
      <c r="M741" s="57">
        <v>1942.92</v>
      </c>
      <c r="N741" s="57">
        <v>1904.78</v>
      </c>
      <c r="O741" s="51" t="s">
        <v>123</v>
      </c>
      <c r="P741" s="58">
        <v>3.3E-3</v>
      </c>
    </row>
    <row r="742" spans="8:16" x14ac:dyDescent="0.2">
      <c r="H742" s="297"/>
      <c r="I742" s="292"/>
      <c r="J742" s="52">
        <v>41861</v>
      </c>
      <c r="K742" s="57">
        <v>1955.06</v>
      </c>
      <c r="L742" s="57">
        <v>1933.43</v>
      </c>
      <c r="M742" s="57">
        <v>1964.04</v>
      </c>
      <c r="N742" s="57">
        <v>1928.29</v>
      </c>
      <c r="O742" s="51" t="s">
        <v>123</v>
      </c>
      <c r="P742" s="58">
        <v>1.2200000000000001E-2</v>
      </c>
    </row>
    <row r="743" spans="8:16" x14ac:dyDescent="0.2">
      <c r="H743" s="297"/>
      <c r="I743" s="292"/>
      <c r="J743" s="52">
        <v>41868</v>
      </c>
      <c r="K743" s="57">
        <v>1988.4</v>
      </c>
      <c r="L743" s="57">
        <v>1958.36</v>
      </c>
      <c r="M743" s="57">
        <v>1994.76</v>
      </c>
      <c r="N743" s="57">
        <v>1958.36</v>
      </c>
      <c r="O743" s="51" t="s">
        <v>123</v>
      </c>
      <c r="P743" s="58">
        <v>1.7100000000000001E-2</v>
      </c>
    </row>
    <row r="744" spans="8:16" x14ac:dyDescent="0.2">
      <c r="H744" s="297"/>
      <c r="I744" s="292"/>
      <c r="J744" s="52">
        <v>41875</v>
      </c>
      <c r="K744" s="57">
        <v>2003.37</v>
      </c>
      <c r="L744" s="57">
        <v>1991.74</v>
      </c>
      <c r="M744" s="57">
        <v>2005.04</v>
      </c>
      <c r="N744" s="57">
        <v>1990.52</v>
      </c>
      <c r="O744" s="51" t="s">
        <v>123</v>
      </c>
      <c r="P744" s="58">
        <v>7.4999999999999997E-3</v>
      </c>
    </row>
    <row r="745" spans="8:16" x14ac:dyDescent="0.2">
      <c r="H745" s="297"/>
      <c r="I745" s="292"/>
      <c r="J745" s="52">
        <v>41882</v>
      </c>
      <c r="K745" s="57">
        <v>2007.71</v>
      </c>
      <c r="L745" s="57">
        <v>2004.07</v>
      </c>
      <c r="M745" s="57">
        <v>2011.17</v>
      </c>
      <c r="N745" s="57">
        <v>1990.1</v>
      </c>
      <c r="O745" s="51" t="s">
        <v>123</v>
      </c>
      <c r="P745" s="58">
        <v>2.2000000000000001E-3</v>
      </c>
    </row>
    <row r="746" spans="8:16" x14ac:dyDescent="0.2">
      <c r="H746" s="297"/>
      <c r="I746" s="292"/>
      <c r="J746" s="52">
        <v>41889</v>
      </c>
      <c r="K746" s="57">
        <v>1985.54</v>
      </c>
      <c r="L746" s="57">
        <v>2007.17</v>
      </c>
      <c r="M746" s="57">
        <v>2007.17</v>
      </c>
      <c r="N746" s="57">
        <v>1980.26</v>
      </c>
      <c r="O746" s="51" t="s">
        <v>123</v>
      </c>
      <c r="P746" s="58">
        <v>-1.0999999999999999E-2</v>
      </c>
    </row>
    <row r="747" spans="8:16" x14ac:dyDescent="0.2">
      <c r="H747" s="297"/>
      <c r="I747" s="292"/>
      <c r="J747" s="52">
        <v>41896</v>
      </c>
      <c r="K747" s="57">
        <v>2010.4</v>
      </c>
      <c r="L747" s="57">
        <v>1986.04</v>
      </c>
      <c r="M747" s="57">
        <v>2019.26</v>
      </c>
      <c r="N747" s="57">
        <v>1978.48</v>
      </c>
      <c r="O747" s="51" t="s">
        <v>123</v>
      </c>
      <c r="P747" s="58">
        <v>1.2500000000000001E-2</v>
      </c>
    </row>
    <row r="748" spans="8:16" x14ac:dyDescent="0.2">
      <c r="H748" s="297"/>
      <c r="I748" s="292"/>
      <c r="J748" s="52">
        <v>41903</v>
      </c>
      <c r="K748" s="57">
        <v>1982.85</v>
      </c>
      <c r="L748" s="57">
        <v>2009.08</v>
      </c>
      <c r="M748" s="57">
        <v>2009.08</v>
      </c>
      <c r="N748" s="57">
        <v>1965.99</v>
      </c>
      <c r="O748" s="51" t="s">
        <v>123</v>
      </c>
      <c r="P748" s="58">
        <v>-1.37E-2</v>
      </c>
    </row>
    <row r="749" spans="8:16" x14ac:dyDescent="0.2">
      <c r="H749" s="297"/>
      <c r="I749" s="292"/>
      <c r="J749" s="52">
        <v>41910</v>
      </c>
      <c r="K749" s="57">
        <v>1967.9</v>
      </c>
      <c r="L749" s="57">
        <v>1978.96</v>
      </c>
      <c r="M749" s="57">
        <v>1985.17</v>
      </c>
      <c r="N749" s="57">
        <v>1926.03</v>
      </c>
      <c r="O749" s="51" t="s">
        <v>123</v>
      </c>
      <c r="P749" s="58">
        <v>-7.4999999999999997E-3</v>
      </c>
    </row>
    <row r="750" spans="8:16" x14ac:dyDescent="0.2">
      <c r="H750" s="297"/>
      <c r="I750" s="292"/>
      <c r="J750" s="52">
        <v>41917</v>
      </c>
      <c r="K750" s="57">
        <v>1906.13</v>
      </c>
      <c r="L750" s="57">
        <v>1970.01</v>
      </c>
      <c r="M750" s="57">
        <v>1977.84</v>
      </c>
      <c r="N750" s="57">
        <v>1906.05</v>
      </c>
      <c r="O750" s="51" t="s">
        <v>123</v>
      </c>
      <c r="P750" s="58">
        <v>-3.1399999999999997E-2</v>
      </c>
    </row>
    <row r="751" spans="8:16" x14ac:dyDescent="0.2">
      <c r="H751" s="297"/>
      <c r="I751" s="292"/>
      <c r="J751" s="52">
        <v>41924</v>
      </c>
      <c r="K751" s="57">
        <v>1886.76</v>
      </c>
      <c r="L751" s="57">
        <v>1905.65</v>
      </c>
      <c r="M751" s="57">
        <v>1912.09</v>
      </c>
      <c r="N751" s="57">
        <v>1820.66</v>
      </c>
      <c r="O751" s="51" t="s">
        <v>123</v>
      </c>
      <c r="P751" s="58">
        <v>-1.0200000000000001E-2</v>
      </c>
    </row>
    <row r="752" spans="8:16" x14ac:dyDescent="0.2">
      <c r="H752" s="297"/>
      <c r="I752" s="292"/>
      <c r="J752" s="52">
        <v>41931</v>
      </c>
      <c r="K752" s="57">
        <v>1964.58</v>
      </c>
      <c r="L752" s="57">
        <v>1885.62</v>
      </c>
      <c r="M752" s="57">
        <v>1965.27</v>
      </c>
      <c r="N752" s="57">
        <v>1882.3</v>
      </c>
      <c r="O752" s="51" t="s">
        <v>123</v>
      </c>
      <c r="P752" s="58">
        <v>4.1200000000000001E-2</v>
      </c>
    </row>
    <row r="753" spans="8:16" x14ac:dyDescent="0.2">
      <c r="H753" s="297"/>
      <c r="I753" s="292"/>
      <c r="J753" s="52">
        <v>41938</v>
      </c>
      <c r="K753" s="57">
        <v>2018.05</v>
      </c>
      <c r="L753" s="57">
        <v>1962.97</v>
      </c>
      <c r="M753" s="57">
        <v>2018.19</v>
      </c>
      <c r="N753" s="57">
        <v>1951.37</v>
      </c>
      <c r="O753" s="51" t="s">
        <v>123</v>
      </c>
      <c r="P753" s="58">
        <v>2.7199999999999998E-2</v>
      </c>
    </row>
    <row r="754" spans="8:16" x14ac:dyDescent="0.2">
      <c r="H754" s="297"/>
      <c r="I754" s="292"/>
      <c r="J754" s="52">
        <v>41945</v>
      </c>
      <c r="K754" s="57">
        <v>2031.92</v>
      </c>
      <c r="L754" s="57">
        <v>2018.21</v>
      </c>
      <c r="M754" s="57">
        <v>2034.26</v>
      </c>
      <c r="N754" s="57">
        <v>2001.01</v>
      </c>
      <c r="O754" s="51" t="s">
        <v>123</v>
      </c>
      <c r="P754" s="58">
        <v>6.8999999999999999E-3</v>
      </c>
    </row>
    <row r="755" spans="8:16" x14ac:dyDescent="0.2">
      <c r="H755" s="297"/>
      <c r="I755" s="292"/>
      <c r="J755" s="52">
        <v>41952</v>
      </c>
      <c r="K755" s="57">
        <v>2039.82</v>
      </c>
      <c r="L755" s="57">
        <v>2032.01</v>
      </c>
      <c r="M755" s="57">
        <v>2046.18</v>
      </c>
      <c r="N755" s="57">
        <v>2030.17</v>
      </c>
      <c r="O755" s="51" t="s">
        <v>123</v>
      </c>
      <c r="P755" s="58">
        <v>3.8999999999999998E-3</v>
      </c>
    </row>
    <row r="756" spans="8:16" x14ac:dyDescent="0.2">
      <c r="H756" s="297"/>
      <c r="I756" s="292"/>
      <c r="J756" s="52">
        <v>41959</v>
      </c>
      <c r="K756" s="57">
        <v>2063.5</v>
      </c>
      <c r="L756" s="57">
        <v>2038.29</v>
      </c>
      <c r="M756" s="57">
        <v>2071.46</v>
      </c>
      <c r="N756" s="57">
        <v>2034.46</v>
      </c>
      <c r="O756" s="51" t="s">
        <v>123</v>
      </c>
      <c r="P756" s="58">
        <v>1.1599999999999999E-2</v>
      </c>
    </row>
    <row r="757" spans="8:16" x14ac:dyDescent="0.2">
      <c r="H757" s="297"/>
      <c r="I757" s="292"/>
      <c r="J757" s="52">
        <v>41966</v>
      </c>
      <c r="K757" s="57">
        <v>2067.56</v>
      </c>
      <c r="L757" s="57">
        <v>2065.0700000000002</v>
      </c>
      <c r="M757" s="57">
        <v>2075.7600000000002</v>
      </c>
      <c r="N757" s="57">
        <v>2064.75</v>
      </c>
      <c r="O757" s="51" t="s">
        <v>123</v>
      </c>
      <c r="P757" s="58">
        <v>2E-3</v>
      </c>
    </row>
    <row r="758" spans="8:16" x14ac:dyDescent="0.2">
      <c r="H758" s="297"/>
      <c r="I758" s="292"/>
      <c r="J758" s="52">
        <v>41973</v>
      </c>
      <c r="K758" s="57">
        <v>2075.37</v>
      </c>
      <c r="L758" s="57">
        <v>2065.7800000000002</v>
      </c>
      <c r="M758" s="57">
        <v>2079.4699999999998</v>
      </c>
      <c r="N758" s="57">
        <v>2049.5700000000002</v>
      </c>
      <c r="O758" s="51" t="s">
        <v>123</v>
      </c>
      <c r="P758" s="58">
        <v>3.8E-3</v>
      </c>
    </row>
    <row r="759" spans="8:16" x14ac:dyDescent="0.2">
      <c r="H759" s="297"/>
      <c r="I759" s="292"/>
      <c r="J759" s="52">
        <v>41980</v>
      </c>
      <c r="K759" s="57">
        <v>2002.33</v>
      </c>
      <c r="L759" s="57">
        <v>2074.84</v>
      </c>
      <c r="M759" s="57">
        <v>2075.7800000000002</v>
      </c>
      <c r="N759" s="57">
        <v>2002.33</v>
      </c>
      <c r="O759" s="51" t="s">
        <v>123</v>
      </c>
      <c r="P759" s="58">
        <v>-3.5200000000000002E-2</v>
      </c>
    </row>
    <row r="760" spans="8:16" x14ac:dyDescent="0.2">
      <c r="H760" s="297"/>
      <c r="I760" s="292"/>
      <c r="J760" s="52">
        <v>41987</v>
      </c>
      <c r="K760" s="57">
        <v>2070.65</v>
      </c>
      <c r="L760" s="57">
        <v>2005.03</v>
      </c>
      <c r="M760" s="57">
        <v>2077.85</v>
      </c>
      <c r="N760" s="57">
        <v>1972.56</v>
      </c>
      <c r="O760" s="51" t="s">
        <v>123</v>
      </c>
      <c r="P760" s="58">
        <v>3.4099999999999998E-2</v>
      </c>
    </row>
    <row r="761" spans="8:16" x14ac:dyDescent="0.2">
      <c r="H761" s="297"/>
      <c r="I761" s="292"/>
      <c r="J761" s="52">
        <v>41994</v>
      </c>
      <c r="K761" s="57">
        <v>2088.77</v>
      </c>
      <c r="L761" s="57">
        <v>2069.2800000000002</v>
      </c>
      <c r="M761" s="57">
        <v>2092.6999999999998</v>
      </c>
      <c r="N761" s="57">
        <v>2069.2800000000002</v>
      </c>
      <c r="O761" s="51" t="s">
        <v>123</v>
      </c>
      <c r="P761" s="58">
        <v>8.8000000000000005E-3</v>
      </c>
    </row>
    <row r="762" spans="8:16" x14ac:dyDescent="0.2">
      <c r="H762" s="297"/>
      <c r="I762" s="292"/>
      <c r="J762" s="52">
        <v>42001</v>
      </c>
      <c r="K762" s="57">
        <v>2058.1999999999998</v>
      </c>
      <c r="L762" s="57">
        <v>2087.63</v>
      </c>
      <c r="M762" s="57">
        <v>2093.5500000000002</v>
      </c>
      <c r="N762" s="57">
        <v>2046.04</v>
      </c>
      <c r="O762" s="51" t="s">
        <v>123</v>
      </c>
      <c r="P762" s="58">
        <v>-1.46E-2</v>
      </c>
    </row>
    <row r="763" spans="8:16" x14ac:dyDescent="0.2">
      <c r="H763" s="297"/>
      <c r="I763" s="292"/>
      <c r="J763" s="52">
        <v>42008</v>
      </c>
      <c r="K763" s="57">
        <v>2044.81</v>
      </c>
      <c r="L763" s="57">
        <v>2054.44</v>
      </c>
      <c r="M763" s="57">
        <v>2064.4299999999998</v>
      </c>
      <c r="N763" s="57">
        <v>1992.44</v>
      </c>
      <c r="O763" s="51" t="s">
        <v>123</v>
      </c>
      <c r="P763" s="58">
        <v>-6.4999999999999997E-3</v>
      </c>
    </row>
    <row r="764" spans="8:16" x14ac:dyDescent="0.2">
      <c r="H764" s="297"/>
      <c r="I764" s="292"/>
      <c r="J764" s="52">
        <v>42015</v>
      </c>
      <c r="K764" s="57">
        <v>2019.42</v>
      </c>
      <c r="L764" s="57">
        <v>2046.13</v>
      </c>
      <c r="M764" s="57">
        <v>2056.9299999999998</v>
      </c>
      <c r="N764" s="57">
        <v>1988.12</v>
      </c>
      <c r="O764" s="51" t="s">
        <v>123</v>
      </c>
      <c r="P764" s="58">
        <v>-1.24E-2</v>
      </c>
    </row>
    <row r="765" spans="8:16" x14ac:dyDescent="0.2">
      <c r="H765" s="297"/>
      <c r="I765" s="292"/>
      <c r="J765" s="52">
        <v>42022</v>
      </c>
      <c r="K765" s="57">
        <v>2051.8200000000002</v>
      </c>
      <c r="L765" s="57">
        <v>2020.76</v>
      </c>
      <c r="M765" s="57">
        <v>2064.62</v>
      </c>
      <c r="N765" s="57">
        <v>2004.49</v>
      </c>
      <c r="O765" s="51" t="s">
        <v>123</v>
      </c>
      <c r="P765" s="58">
        <v>1.6E-2</v>
      </c>
    </row>
    <row r="766" spans="8:16" x14ac:dyDescent="0.2">
      <c r="H766" s="297"/>
      <c r="I766" s="292"/>
      <c r="J766" s="52">
        <v>42029</v>
      </c>
      <c r="K766" s="57">
        <v>1994.99</v>
      </c>
      <c r="L766" s="57">
        <v>2050.42</v>
      </c>
      <c r="M766" s="57">
        <v>2057.62</v>
      </c>
      <c r="N766" s="57">
        <v>1989.18</v>
      </c>
      <c r="O766" s="51" t="s">
        <v>123</v>
      </c>
      <c r="P766" s="58">
        <v>-2.7699999999999999E-2</v>
      </c>
    </row>
    <row r="767" spans="8:16" x14ac:dyDescent="0.2">
      <c r="H767" s="297"/>
      <c r="I767" s="292"/>
      <c r="J767" s="52">
        <v>42036</v>
      </c>
      <c r="K767" s="57">
        <v>2055.4699999999998</v>
      </c>
      <c r="L767" s="57">
        <v>1996.67</v>
      </c>
      <c r="M767" s="57">
        <v>2072.4</v>
      </c>
      <c r="N767" s="57">
        <v>1980.9</v>
      </c>
      <c r="O767" s="51" t="s">
        <v>123</v>
      </c>
      <c r="P767" s="58">
        <v>3.0300000000000001E-2</v>
      </c>
    </row>
    <row r="768" spans="8:16" x14ac:dyDescent="0.2">
      <c r="H768" s="297"/>
      <c r="I768" s="292"/>
      <c r="J768" s="52">
        <v>42043</v>
      </c>
      <c r="K768" s="57">
        <v>2096.9899999999998</v>
      </c>
      <c r="L768" s="57">
        <v>2053.4699999999998</v>
      </c>
      <c r="M768" s="57">
        <v>2097.0300000000002</v>
      </c>
      <c r="N768" s="57">
        <v>2041.88</v>
      </c>
      <c r="O768" s="51" t="s">
        <v>123</v>
      </c>
      <c r="P768" s="58">
        <v>2.0199999999999999E-2</v>
      </c>
    </row>
    <row r="769" spans="8:16" x14ac:dyDescent="0.2">
      <c r="H769" s="297"/>
      <c r="I769" s="292"/>
      <c r="J769" s="52">
        <v>42050</v>
      </c>
      <c r="K769" s="57">
        <v>2110.3000000000002</v>
      </c>
      <c r="L769" s="57">
        <v>2096.4699999999998</v>
      </c>
      <c r="M769" s="57">
        <v>2110.61</v>
      </c>
      <c r="N769" s="57">
        <v>2085.44</v>
      </c>
      <c r="O769" s="51" t="s">
        <v>123</v>
      </c>
      <c r="P769" s="58">
        <v>6.3E-3</v>
      </c>
    </row>
    <row r="770" spans="8:16" x14ac:dyDescent="0.2">
      <c r="H770" s="297"/>
      <c r="I770" s="292"/>
      <c r="J770" s="52">
        <v>42057</v>
      </c>
      <c r="K770" s="57">
        <v>2104.5</v>
      </c>
      <c r="L770" s="57">
        <v>2109.83</v>
      </c>
      <c r="M770" s="57">
        <v>2119.59</v>
      </c>
      <c r="N770" s="57">
        <v>2103</v>
      </c>
      <c r="O770" s="51" t="s">
        <v>123</v>
      </c>
      <c r="P770" s="58">
        <v>-2.7000000000000001E-3</v>
      </c>
    </row>
    <row r="771" spans="8:16" x14ac:dyDescent="0.2">
      <c r="H771" s="297"/>
      <c r="I771" s="292"/>
      <c r="J771" s="52">
        <v>42064</v>
      </c>
      <c r="K771" s="57">
        <v>2071.2600000000002</v>
      </c>
      <c r="L771" s="57">
        <v>2105.23</v>
      </c>
      <c r="M771" s="57">
        <v>2117.52</v>
      </c>
      <c r="N771" s="57">
        <v>2067.27</v>
      </c>
      <c r="O771" s="51" t="s">
        <v>123</v>
      </c>
      <c r="P771" s="58">
        <v>-1.5800000000000002E-2</v>
      </c>
    </row>
    <row r="772" spans="8:16" x14ac:dyDescent="0.2">
      <c r="H772" s="297"/>
      <c r="I772" s="292"/>
      <c r="J772" s="52">
        <v>42071</v>
      </c>
      <c r="K772" s="57">
        <v>2053.4</v>
      </c>
      <c r="L772" s="57">
        <v>2072.25</v>
      </c>
      <c r="M772" s="57">
        <v>2083.4899999999998</v>
      </c>
      <c r="N772" s="57">
        <v>2039.69</v>
      </c>
      <c r="O772" s="51" t="s">
        <v>123</v>
      </c>
      <c r="P772" s="58">
        <v>-8.6E-3</v>
      </c>
    </row>
    <row r="773" spans="8:16" x14ac:dyDescent="0.2">
      <c r="H773" s="297"/>
      <c r="I773" s="292"/>
      <c r="J773" s="52">
        <v>42078</v>
      </c>
      <c r="K773" s="57">
        <v>2108.1</v>
      </c>
      <c r="L773" s="57">
        <v>2055.35</v>
      </c>
      <c r="M773" s="57">
        <v>2113.92</v>
      </c>
      <c r="N773" s="57">
        <v>2055.35</v>
      </c>
      <c r="O773" s="51" t="s">
        <v>123</v>
      </c>
      <c r="P773" s="58">
        <v>2.6599999999999999E-2</v>
      </c>
    </row>
    <row r="774" spans="8:16" x14ac:dyDescent="0.2">
      <c r="H774" s="297"/>
      <c r="I774" s="292"/>
      <c r="J774" s="52">
        <v>42085</v>
      </c>
      <c r="K774" s="57">
        <v>2061.02</v>
      </c>
      <c r="L774" s="57">
        <v>2107.9899999999998</v>
      </c>
      <c r="M774" s="57">
        <v>2114.86</v>
      </c>
      <c r="N774" s="57">
        <v>2045.5</v>
      </c>
      <c r="O774" s="51" t="s">
        <v>123</v>
      </c>
      <c r="P774" s="58">
        <v>-2.23E-2</v>
      </c>
    </row>
    <row r="775" spans="8:16" x14ac:dyDescent="0.2">
      <c r="H775" s="297"/>
      <c r="I775" s="292"/>
      <c r="J775" s="52">
        <v>42092</v>
      </c>
      <c r="K775" s="57">
        <v>2066.96</v>
      </c>
      <c r="L775" s="57">
        <v>2064.11</v>
      </c>
      <c r="M775" s="57">
        <v>2088.9699999999998</v>
      </c>
      <c r="N775" s="57">
        <v>2048.38</v>
      </c>
      <c r="O775" s="51" t="s">
        <v>123</v>
      </c>
      <c r="P775" s="58">
        <v>2.8999999999999998E-3</v>
      </c>
    </row>
    <row r="776" spans="8:16" x14ac:dyDescent="0.2">
      <c r="H776" s="297"/>
      <c r="I776" s="292"/>
      <c r="J776" s="52">
        <v>42099</v>
      </c>
      <c r="K776" s="57">
        <v>2102.06</v>
      </c>
      <c r="L776" s="57">
        <v>2064.87</v>
      </c>
      <c r="M776" s="57">
        <v>2102.61</v>
      </c>
      <c r="N776" s="57">
        <v>2056.52</v>
      </c>
      <c r="O776" s="51" t="s">
        <v>123</v>
      </c>
      <c r="P776" s="58">
        <v>1.7000000000000001E-2</v>
      </c>
    </row>
    <row r="777" spans="8:16" x14ac:dyDescent="0.2">
      <c r="H777" s="297"/>
      <c r="I777" s="292"/>
      <c r="J777" s="52">
        <v>42106</v>
      </c>
      <c r="K777" s="57">
        <v>2081.1799999999998</v>
      </c>
      <c r="L777" s="57">
        <v>2102.0300000000002</v>
      </c>
      <c r="M777" s="57">
        <v>2111.91</v>
      </c>
      <c r="N777" s="57">
        <v>2072.37</v>
      </c>
      <c r="O777" s="51" t="s">
        <v>123</v>
      </c>
      <c r="P777" s="58">
        <v>-9.9000000000000008E-3</v>
      </c>
    </row>
    <row r="778" spans="8:16" x14ac:dyDescent="0.2">
      <c r="H778" s="297"/>
      <c r="I778" s="292"/>
      <c r="J778" s="52">
        <v>42113</v>
      </c>
      <c r="K778" s="57">
        <v>2117.69</v>
      </c>
      <c r="L778" s="57">
        <v>2084.11</v>
      </c>
      <c r="M778" s="57">
        <v>2120.92</v>
      </c>
      <c r="N778" s="57">
        <v>2084.11</v>
      </c>
      <c r="O778" s="51" t="s">
        <v>123</v>
      </c>
      <c r="P778" s="58">
        <v>1.7500000000000002E-2</v>
      </c>
    </row>
    <row r="779" spans="8:16" x14ac:dyDescent="0.2">
      <c r="H779" s="297"/>
      <c r="I779" s="292"/>
      <c r="J779" s="52">
        <v>42120</v>
      </c>
      <c r="K779" s="57">
        <v>2108.29</v>
      </c>
      <c r="L779" s="57">
        <v>2119.29</v>
      </c>
      <c r="M779" s="57">
        <v>2125.92</v>
      </c>
      <c r="N779" s="57">
        <v>2077.59</v>
      </c>
      <c r="O779" s="51" t="s">
        <v>123</v>
      </c>
      <c r="P779" s="58">
        <v>-4.4000000000000003E-3</v>
      </c>
    </row>
    <row r="780" spans="8:16" x14ac:dyDescent="0.2">
      <c r="H780" s="297"/>
      <c r="I780" s="292"/>
      <c r="J780" s="52">
        <v>42127</v>
      </c>
      <c r="K780" s="57">
        <v>2116.1</v>
      </c>
      <c r="L780" s="57">
        <v>2110.23</v>
      </c>
      <c r="M780" s="57">
        <v>2120.9499999999998</v>
      </c>
      <c r="N780" s="57">
        <v>2067.9299999999998</v>
      </c>
      <c r="O780" s="51" t="s">
        <v>123</v>
      </c>
      <c r="P780" s="58">
        <v>3.7000000000000002E-3</v>
      </c>
    </row>
    <row r="781" spans="8:16" x14ac:dyDescent="0.2">
      <c r="H781" s="297"/>
      <c r="I781" s="292"/>
      <c r="J781" s="52">
        <v>42134</v>
      </c>
      <c r="K781" s="57">
        <v>2122.73</v>
      </c>
      <c r="L781" s="57">
        <v>2115.56</v>
      </c>
      <c r="M781" s="57">
        <v>2123.89</v>
      </c>
      <c r="N781" s="57">
        <v>2085.5700000000002</v>
      </c>
      <c r="O781" s="51" t="s">
        <v>123</v>
      </c>
      <c r="P781" s="58">
        <v>3.0999999999999999E-3</v>
      </c>
    </row>
    <row r="782" spans="8:16" x14ac:dyDescent="0.2">
      <c r="H782" s="297"/>
      <c r="I782" s="292"/>
      <c r="J782" s="52">
        <v>42141</v>
      </c>
      <c r="K782" s="57">
        <v>2126.06</v>
      </c>
      <c r="L782" s="57">
        <v>2121.3000000000002</v>
      </c>
      <c r="M782" s="57">
        <v>2134.7199999999998</v>
      </c>
      <c r="N782" s="57">
        <v>2120.0100000000002</v>
      </c>
      <c r="O782" s="51" t="s">
        <v>123</v>
      </c>
      <c r="P782" s="58">
        <v>1.6000000000000001E-3</v>
      </c>
    </row>
    <row r="783" spans="8:16" x14ac:dyDescent="0.2">
      <c r="H783" s="297"/>
      <c r="I783" s="292"/>
      <c r="J783" s="52">
        <v>42148</v>
      </c>
      <c r="K783" s="57">
        <v>2107.39</v>
      </c>
      <c r="L783" s="57">
        <v>2125.34</v>
      </c>
      <c r="M783" s="57">
        <v>2126.2199999999998</v>
      </c>
      <c r="N783" s="57">
        <v>2099.1799999999998</v>
      </c>
      <c r="O783" s="51" t="s">
        <v>123</v>
      </c>
      <c r="P783" s="58">
        <v>-8.8000000000000005E-3</v>
      </c>
    </row>
    <row r="784" spans="8:16" x14ac:dyDescent="0.2">
      <c r="H784" s="297"/>
      <c r="I784" s="292"/>
      <c r="J784" s="52">
        <v>42155</v>
      </c>
      <c r="K784" s="57">
        <v>2092.83</v>
      </c>
      <c r="L784" s="57">
        <v>2108.64</v>
      </c>
      <c r="M784" s="57">
        <v>2121.92</v>
      </c>
      <c r="N784" s="57">
        <v>2085.67</v>
      </c>
      <c r="O784" s="51" t="s">
        <v>123</v>
      </c>
      <c r="P784" s="58">
        <v>-6.8999999999999999E-3</v>
      </c>
    </row>
    <row r="785" spans="8:16" x14ac:dyDescent="0.2">
      <c r="H785" s="297"/>
      <c r="I785" s="292"/>
      <c r="J785" s="52">
        <v>42162</v>
      </c>
      <c r="K785" s="57">
        <v>2094.11</v>
      </c>
      <c r="L785" s="57">
        <v>2092.34</v>
      </c>
      <c r="M785" s="57">
        <v>2115.02</v>
      </c>
      <c r="N785" s="57">
        <v>2072.14</v>
      </c>
      <c r="O785" s="51" t="s">
        <v>123</v>
      </c>
      <c r="P785" s="58">
        <v>5.9999999999999995E-4</v>
      </c>
    </row>
    <row r="786" spans="8:16" x14ac:dyDescent="0.2">
      <c r="H786" s="297"/>
      <c r="I786" s="292"/>
      <c r="J786" s="52">
        <v>42169</v>
      </c>
      <c r="K786" s="57">
        <v>2109.9899999999998</v>
      </c>
      <c r="L786" s="57">
        <v>2091.34</v>
      </c>
      <c r="M786" s="57">
        <v>2126.65</v>
      </c>
      <c r="N786" s="57">
        <v>2072.4899999999998</v>
      </c>
      <c r="O786" s="51" t="s">
        <v>123</v>
      </c>
      <c r="P786" s="58">
        <v>7.6E-3</v>
      </c>
    </row>
    <row r="787" spans="8:16" x14ac:dyDescent="0.2">
      <c r="H787" s="297"/>
      <c r="I787" s="292"/>
      <c r="J787" s="52">
        <v>42176</v>
      </c>
      <c r="K787" s="57">
        <v>2101.4899999999998</v>
      </c>
      <c r="L787" s="57">
        <v>2112.5</v>
      </c>
      <c r="M787" s="57">
        <v>2129.87</v>
      </c>
      <c r="N787" s="57">
        <v>2095.38</v>
      </c>
      <c r="O787" s="51" t="s">
        <v>123</v>
      </c>
      <c r="P787" s="58">
        <v>-4.0000000000000001E-3</v>
      </c>
    </row>
    <row r="788" spans="8:16" x14ac:dyDescent="0.2">
      <c r="H788" s="297"/>
      <c r="I788" s="292"/>
      <c r="J788" s="52">
        <v>42183</v>
      </c>
      <c r="K788" s="57">
        <v>2076.7800000000002</v>
      </c>
      <c r="L788" s="57">
        <v>2098.63</v>
      </c>
      <c r="M788" s="57">
        <v>2098.63</v>
      </c>
      <c r="N788" s="57">
        <v>2056.3200000000002</v>
      </c>
      <c r="O788" s="51" t="s">
        <v>123</v>
      </c>
      <c r="P788" s="58">
        <v>-1.18E-2</v>
      </c>
    </row>
    <row r="789" spans="8:16" x14ac:dyDescent="0.2">
      <c r="H789" s="297"/>
      <c r="I789" s="292"/>
      <c r="J789" s="52">
        <v>42190</v>
      </c>
      <c r="K789" s="57">
        <v>2076.62</v>
      </c>
      <c r="L789" s="57">
        <v>2073.9499999999998</v>
      </c>
      <c r="M789" s="57">
        <v>2083.7399999999998</v>
      </c>
      <c r="N789" s="57">
        <v>2044.02</v>
      </c>
      <c r="O789" s="51" t="s">
        <v>123</v>
      </c>
      <c r="P789" s="58">
        <v>-1E-4</v>
      </c>
    </row>
    <row r="790" spans="8:16" x14ac:dyDescent="0.2">
      <c r="H790" s="297"/>
      <c r="I790" s="292"/>
      <c r="J790" s="52">
        <v>42197</v>
      </c>
      <c r="K790" s="57">
        <v>2126.64</v>
      </c>
      <c r="L790" s="57">
        <v>2080.0300000000002</v>
      </c>
      <c r="M790" s="57">
        <v>2128.91</v>
      </c>
      <c r="N790" s="57">
        <v>2080.0300000000002</v>
      </c>
      <c r="O790" s="51" t="s">
        <v>123</v>
      </c>
      <c r="P790" s="58">
        <v>2.41E-2</v>
      </c>
    </row>
    <row r="791" spans="8:16" x14ac:dyDescent="0.2">
      <c r="H791" s="297"/>
      <c r="I791" s="292"/>
      <c r="J791" s="52">
        <v>42204</v>
      </c>
      <c r="K791" s="57">
        <v>2079.65</v>
      </c>
      <c r="L791" s="57">
        <v>2126.85</v>
      </c>
      <c r="M791" s="57">
        <v>2132.8200000000002</v>
      </c>
      <c r="N791" s="57">
        <v>2077.09</v>
      </c>
      <c r="O791" s="51" t="s">
        <v>123</v>
      </c>
      <c r="P791" s="58">
        <v>-2.2100000000000002E-2</v>
      </c>
    </row>
    <row r="792" spans="8:16" x14ac:dyDescent="0.2">
      <c r="H792" s="297"/>
      <c r="I792" s="292"/>
      <c r="J792" s="52">
        <v>42211</v>
      </c>
      <c r="K792" s="57">
        <v>2103.84</v>
      </c>
      <c r="L792" s="57">
        <v>2078.19</v>
      </c>
      <c r="M792" s="57">
        <v>2114.2399999999998</v>
      </c>
      <c r="N792" s="57">
        <v>2063.52</v>
      </c>
      <c r="O792" s="51" t="s">
        <v>123</v>
      </c>
      <c r="P792" s="58">
        <v>1.1599999999999999E-2</v>
      </c>
    </row>
    <row r="793" spans="8:16" x14ac:dyDescent="0.2">
      <c r="H793" s="297"/>
      <c r="I793" s="292"/>
      <c r="J793" s="52">
        <v>42218</v>
      </c>
      <c r="K793" s="57">
        <v>2077.5700000000002</v>
      </c>
      <c r="L793" s="57">
        <v>2104.4899999999998</v>
      </c>
      <c r="M793" s="57">
        <v>2112.66</v>
      </c>
      <c r="N793" s="57">
        <v>2067.91</v>
      </c>
      <c r="O793" s="51" t="s">
        <v>123</v>
      </c>
      <c r="P793" s="58">
        <v>-1.2500000000000001E-2</v>
      </c>
    </row>
    <row r="794" spans="8:16" x14ac:dyDescent="0.2">
      <c r="H794" s="297"/>
      <c r="I794" s="292"/>
      <c r="J794" s="52">
        <v>42225</v>
      </c>
      <c r="K794" s="57">
        <v>2091.54</v>
      </c>
      <c r="L794" s="57">
        <v>2080.98</v>
      </c>
      <c r="M794" s="57">
        <v>2105.35</v>
      </c>
      <c r="N794" s="57">
        <v>2052.09</v>
      </c>
      <c r="O794" s="51" t="s">
        <v>123</v>
      </c>
      <c r="P794" s="58">
        <v>6.7000000000000002E-3</v>
      </c>
    </row>
    <row r="795" spans="8:16" x14ac:dyDescent="0.2">
      <c r="H795" s="297"/>
      <c r="I795" s="292"/>
      <c r="J795" s="52">
        <v>42232</v>
      </c>
      <c r="K795" s="57">
        <v>1970.89</v>
      </c>
      <c r="L795" s="57">
        <v>2089.6999999999998</v>
      </c>
      <c r="M795" s="57">
        <v>2103.4699999999998</v>
      </c>
      <c r="N795" s="57">
        <v>1970.89</v>
      </c>
      <c r="O795" s="51" t="s">
        <v>123</v>
      </c>
      <c r="P795" s="58">
        <v>-5.7700000000000001E-2</v>
      </c>
    </row>
    <row r="796" spans="8:16" x14ac:dyDescent="0.2">
      <c r="H796" s="297"/>
      <c r="I796" s="292"/>
      <c r="J796" s="52">
        <v>42239</v>
      </c>
      <c r="K796" s="57">
        <v>1988.87</v>
      </c>
      <c r="L796" s="57">
        <v>1965.15</v>
      </c>
      <c r="M796" s="57">
        <v>1993.48</v>
      </c>
      <c r="N796" s="57">
        <v>1867.01</v>
      </c>
      <c r="O796" s="51" t="s">
        <v>123</v>
      </c>
      <c r="P796" s="58">
        <v>9.1000000000000004E-3</v>
      </c>
    </row>
    <row r="797" spans="8:16" x14ac:dyDescent="0.2">
      <c r="H797" s="297"/>
      <c r="I797" s="292"/>
      <c r="J797" s="52">
        <v>42246</v>
      </c>
      <c r="K797" s="57">
        <v>1921.22</v>
      </c>
      <c r="L797" s="57">
        <v>1986.73</v>
      </c>
      <c r="M797" s="57">
        <v>1986.73</v>
      </c>
      <c r="N797" s="57">
        <v>1903.07</v>
      </c>
      <c r="O797" s="51" t="s">
        <v>123</v>
      </c>
      <c r="P797" s="58">
        <v>-3.4000000000000002E-2</v>
      </c>
    </row>
    <row r="798" spans="8:16" x14ac:dyDescent="0.2">
      <c r="H798" s="297"/>
      <c r="I798" s="292"/>
      <c r="J798" s="52">
        <v>42253</v>
      </c>
      <c r="K798" s="57">
        <v>1961.05</v>
      </c>
      <c r="L798" s="57">
        <v>1927.3</v>
      </c>
      <c r="M798" s="57">
        <v>1988.63</v>
      </c>
      <c r="N798" s="57">
        <v>1927.3</v>
      </c>
      <c r="O798" s="51" t="s">
        <v>123</v>
      </c>
      <c r="P798" s="58">
        <v>2.07E-2</v>
      </c>
    </row>
    <row r="799" spans="8:16" x14ac:dyDescent="0.2">
      <c r="H799" s="297"/>
      <c r="I799" s="292"/>
      <c r="J799" s="52">
        <v>42260</v>
      </c>
      <c r="K799" s="57">
        <v>1958.03</v>
      </c>
      <c r="L799" s="57">
        <v>1963.06</v>
      </c>
      <c r="M799" s="57">
        <v>2020.86</v>
      </c>
      <c r="N799" s="57">
        <v>1948.27</v>
      </c>
      <c r="O799" s="51" t="s">
        <v>123</v>
      </c>
      <c r="P799" s="58">
        <v>-1.5E-3</v>
      </c>
    </row>
    <row r="800" spans="8:16" x14ac:dyDescent="0.2">
      <c r="H800" s="297"/>
      <c r="I800" s="292"/>
      <c r="J800" s="52">
        <v>42267</v>
      </c>
      <c r="K800" s="57">
        <v>1931.34</v>
      </c>
      <c r="L800" s="57">
        <v>1960.84</v>
      </c>
      <c r="M800" s="57">
        <v>1979.64</v>
      </c>
      <c r="N800" s="57">
        <v>1908.92</v>
      </c>
      <c r="O800" s="51" t="s">
        <v>123</v>
      </c>
      <c r="P800" s="58">
        <v>-1.3599999999999999E-2</v>
      </c>
    </row>
    <row r="801" spans="8:16" x14ac:dyDescent="0.2">
      <c r="H801" s="297"/>
      <c r="I801" s="292"/>
      <c r="J801" s="52">
        <v>42274</v>
      </c>
      <c r="K801" s="57">
        <v>1951.36</v>
      </c>
      <c r="L801" s="57">
        <v>1929.18</v>
      </c>
      <c r="M801" s="57">
        <v>1951.36</v>
      </c>
      <c r="N801" s="57">
        <v>1871.91</v>
      </c>
      <c r="O801" s="51" t="s">
        <v>123</v>
      </c>
      <c r="P801" s="58">
        <v>1.04E-2</v>
      </c>
    </row>
    <row r="802" spans="8:16" x14ac:dyDescent="0.2">
      <c r="H802" s="297"/>
      <c r="I802" s="292"/>
      <c r="J802" s="52">
        <v>42281</v>
      </c>
      <c r="K802" s="57">
        <v>2014.89</v>
      </c>
      <c r="L802" s="57">
        <v>1954.33</v>
      </c>
      <c r="M802" s="57">
        <v>2020.13</v>
      </c>
      <c r="N802" s="57">
        <v>1954.33</v>
      </c>
      <c r="O802" s="51" t="s">
        <v>123</v>
      </c>
      <c r="P802" s="58">
        <v>3.2599999999999997E-2</v>
      </c>
    </row>
    <row r="803" spans="8:16" x14ac:dyDescent="0.2">
      <c r="H803" s="297"/>
      <c r="I803" s="292"/>
      <c r="J803" s="52">
        <v>42288</v>
      </c>
      <c r="K803" s="57">
        <v>2033.11</v>
      </c>
      <c r="L803" s="57">
        <v>2015.65</v>
      </c>
      <c r="M803" s="57">
        <v>2033.54</v>
      </c>
      <c r="N803" s="57">
        <v>1990.73</v>
      </c>
      <c r="O803" s="51" t="s">
        <v>123</v>
      </c>
      <c r="P803" s="58">
        <v>8.9999999999999993E-3</v>
      </c>
    </row>
    <row r="804" spans="8:16" x14ac:dyDescent="0.2">
      <c r="H804" s="297"/>
      <c r="I804" s="292"/>
      <c r="J804" s="52">
        <v>42295</v>
      </c>
      <c r="K804" s="57">
        <v>2075.15</v>
      </c>
      <c r="L804" s="57">
        <v>2031.73</v>
      </c>
      <c r="M804" s="57">
        <v>2079.7399999999998</v>
      </c>
      <c r="N804" s="57">
        <v>2017.22</v>
      </c>
      <c r="O804" s="51" t="s">
        <v>123</v>
      </c>
      <c r="P804" s="58">
        <v>2.07E-2</v>
      </c>
    </row>
    <row r="805" spans="8:16" x14ac:dyDescent="0.2">
      <c r="H805" s="297"/>
      <c r="I805" s="292"/>
      <c r="J805" s="52">
        <v>42302</v>
      </c>
      <c r="K805" s="57">
        <v>2079.36</v>
      </c>
      <c r="L805" s="57">
        <v>2075.08</v>
      </c>
      <c r="M805" s="57">
        <v>2094.3200000000002</v>
      </c>
      <c r="N805" s="57">
        <v>2058.84</v>
      </c>
      <c r="O805" s="51" t="s">
        <v>123</v>
      </c>
      <c r="P805" s="58">
        <v>2E-3</v>
      </c>
    </row>
    <row r="806" spans="8:16" x14ac:dyDescent="0.2">
      <c r="H806" s="297"/>
      <c r="I806" s="292"/>
      <c r="J806" s="52">
        <v>42309</v>
      </c>
      <c r="K806" s="57">
        <v>2099.1999999999998</v>
      </c>
      <c r="L806" s="57">
        <v>2080.7600000000002</v>
      </c>
      <c r="M806" s="57">
        <v>2116.48</v>
      </c>
      <c r="N806" s="57">
        <v>2080.7600000000002</v>
      </c>
      <c r="O806" s="51" t="s">
        <v>123</v>
      </c>
      <c r="P806" s="58">
        <v>9.4999999999999998E-3</v>
      </c>
    </row>
    <row r="807" spans="8:16" x14ac:dyDescent="0.2">
      <c r="H807" s="297"/>
      <c r="I807" s="292"/>
      <c r="J807" s="52">
        <v>42316</v>
      </c>
      <c r="K807" s="57">
        <v>2023.04</v>
      </c>
      <c r="L807" s="57">
        <v>2096.56</v>
      </c>
      <c r="M807" s="57">
        <v>2096.56</v>
      </c>
      <c r="N807" s="57">
        <v>2022.02</v>
      </c>
      <c r="O807" s="51" t="s">
        <v>123</v>
      </c>
      <c r="P807" s="58">
        <v>-3.6299999999999999E-2</v>
      </c>
    </row>
    <row r="808" spans="8:16" x14ac:dyDescent="0.2">
      <c r="H808" s="297"/>
      <c r="I808" s="292"/>
      <c r="J808" s="52">
        <v>42323</v>
      </c>
      <c r="K808" s="57">
        <v>2089.17</v>
      </c>
      <c r="L808" s="57">
        <v>2022.08</v>
      </c>
      <c r="M808" s="57">
        <v>2097.06</v>
      </c>
      <c r="N808" s="57">
        <v>2019.39</v>
      </c>
      <c r="O808" s="51" t="s">
        <v>123</v>
      </c>
      <c r="P808" s="58">
        <v>3.27E-2</v>
      </c>
    </row>
    <row r="809" spans="8:16" x14ac:dyDescent="0.2">
      <c r="H809" s="297"/>
      <c r="I809" s="292"/>
      <c r="J809" s="52">
        <v>42330</v>
      </c>
      <c r="K809" s="57">
        <v>2090.11</v>
      </c>
      <c r="L809" s="57">
        <v>2089.41</v>
      </c>
      <c r="M809" s="57">
        <v>2095.61</v>
      </c>
      <c r="N809" s="57">
        <v>2070.29</v>
      </c>
      <c r="O809" s="51" t="s">
        <v>123</v>
      </c>
      <c r="P809" s="58">
        <v>5.0000000000000001E-4</v>
      </c>
    </row>
    <row r="810" spans="8:16" x14ac:dyDescent="0.2">
      <c r="H810" s="297"/>
      <c r="I810" s="292"/>
      <c r="J810" s="52">
        <v>42337</v>
      </c>
      <c r="K810" s="57">
        <v>2091.69</v>
      </c>
      <c r="L810" s="57">
        <v>2090.9499999999998</v>
      </c>
      <c r="M810" s="57">
        <v>2104.27</v>
      </c>
      <c r="N810" s="57">
        <v>2042.35</v>
      </c>
      <c r="O810" s="51" t="s">
        <v>123</v>
      </c>
      <c r="P810" s="58">
        <v>8.0000000000000004E-4</v>
      </c>
    </row>
    <row r="811" spans="8:16" x14ac:dyDescent="0.2">
      <c r="H811" s="297"/>
      <c r="I811" s="292"/>
      <c r="J811" s="52">
        <v>42344</v>
      </c>
      <c r="K811" s="57">
        <v>2012.37</v>
      </c>
      <c r="L811" s="57">
        <v>2090.42</v>
      </c>
      <c r="M811" s="57">
        <v>2090.42</v>
      </c>
      <c r="N811" s="57">
        <v>2008.8</v>
      </c>
      <c r="O811" s="51" t="s">
        <v>123</v>
      </c>
      <c r="P811" s="58">
        <v>-3.7900000000000003E-2</v>
      </c>
    </row>
    <row r="812" spans="8:16" x14ac:dyDescent="0.2">
      <c r="H812" s="297"/>
      <c r="I812" s="292"/>
      <c r="J812" s="52">
        <v>42351</v>
      </c>
      <c r="K812" s="57">
        <v>2005.55</v>
      </c>
      <c r="L812" s="57">
        <v>2013.37</v>
      </c>
      <c r="M812" s="57">
        <v>2076.7199999999998</v>
      </c>
      <c r="N812" s="57">
        <v>1993.26</v>
      </c>
      <c r="O812" s="51" t="s">
        <v>123</v>
      </c>
      <c r="P812" s="58">
        <v>-3.3999999999999998E-3</v>
      </c>
    </row>
    <row r="813" spans="8:16" x14ac:dyDescent="0.2">
      <c r="H813" s="297"/>
      <c r="I813" s="292"/>
      <c r="J813" s="52">
        <v>42358</v>
      </c>
      <c r="K813" s="57">
        <v>2060.9899999999998</v>
      </c>
      <c r="L813" s="57">
        <v>2010.27</v>
      </c>
      <c r="M813" s="57">
        <v>2067.36</v>
      </c>
      <c r="N813" s="57">
        <v>2005.93</v>
      </c>
      <c r="O813" s="51" t="s">
        <v>123</v>
      </c>
      <c r="P813" s="58">
        <v>2.76E-2</v>
      </c>
    </row>
    <row r="814" spans="8:16" x14ac:dyDescent="0.2">
      <c r="H814" s="297"/>
      <c r="I814" s="292"/>
      <c r="J814" s="52">
        <v>42365</v>
      </c>
      <c r="K814" s="57">
        <v>2043.94</v>
      </c>
      <c r="L814" s="57">
        <v>2057.77</v>
      </c>
      <c r="M814" s="57">
        <v>2081.56</v>
      </c>
      <c r="N814" s="57">
        <v>2043.62</v>
      </c>
      <c r="O814" s="51" t="s">
        <v>123</v>
      </c>
      <c r="P814" s="58">
        <v>-8.3000000000000001E-3</v>
      </c>
    </row>
    <row r="815" spans="8:16" x14ac:dyDescent="0.2">
      <c r="H815" s="297"/>
      <c r="I815" s="292"/>
      <c r="J815" s="52">
        <v>42372</v>
      </c>
      <c r="K815" s="57">
        <v>1922.03</v>
      </c>
      <c r="L815" s="57">
        <v>2038.2</v>
      </c>
      <c r="M815" s="57">
        <v>2038.2</v>
      </c>
      <c r="N815" s="57">
        <v>1918.46</v>
      </c>
      <c r="O815" s="51" t="s">
        <v>123</v>
      </c>
      <c r="P815" s="58">
        <v>-5.96E-2</v>
      </c>
    </row>
    <row r="816" spans="8:16" x14ac:dyDescent="0.2">
      <c r="H816" s="297"/>
      <c r="I816" s="292"/>
      <c r="J816" s="52">
        <v>42379</v>
      </c>
      <c r="K816" s="57">
        <v>1880.33</v>
      </c>
      <c r="L816" s="57">
        <v>1926.12</v>
      </c>
      <c r="M816" s="57">
        <v>1950.33</v>
      </c>
      <c r="N816" s="57">
        <v>1857.83</v>
      </c>
      <c r="O816" s="51" t="s">
        <v>123</v>
      </c>
      <c r="P816" s="58">
        <v>-2.1700000000000001E-2</v>
      </c>
    </row>
    <row r="817" spans="8:16" x14ac:dyDescent="0.2">
      <c r="H817" s="297"/>
      <c r="I817" s="292"/>
      <c r="J817" s="52">
        <v>42386</v>
      </c>
      <c r="K817" s="57">
        <v>1906.9</v>
      </c>
      <c r="L817" s="57">
        <v>1888.66</v>
      </c>
      <c r="M817" s="57">
        <v>1908.85</v>
      </c>
      <c r="N817" s="57">
        <v>1812.29</v>
      </c>
      <c r="O817" s="51" t="s">
        <v>123</v>
      </c>
      <c r="P817" s="58">
        <v>1.41E-2</v>
      </c>
    </row>
    <row r="818" spans="8:16" x14ac:dyDescent="0.2">
      <c r="H818" s="297"/>
      <c r="I818" s="292"/>
      <c r="J818" s="52">
        <v>42393</v>
      </c>
      <c r="K818" s="57">
        <v>1940.24</v>
      </c>
      <c r="L818" s="57">
        <v>1906.28</v>
      </c>
      <c r="M818" s="57">
        <v>1940.24</v>
      </c>
      <c r="N818" s="57">
        <v>1872.7</v>
      </c>
      <c r="O818" s="51" t="s">
        <v>123</v>
      </c>
      <c r="P818" s="58">
        <v>1.7500000000000002E-2</v>
      </c>
    </row>
    <row r="819" spans="8:16" x14ac:dyDescent="0.2">
      <c r="H819" s="297"/>
      <c r="I819" s="292"/>
      <c r="J819" s="52">
        <v>42400</v>
      </c>
      <c r="K819" s="57">
        <v>1880.05</v>
      </c>
      <c r="L819" s="57">
        <v>1936.94</v>
      </c>
      <c r="M819" s="57">
        <v>1947.2</v>
      </c>
      <c r="N819" s="57">
        <v>1872.23</v>
      </c>
      <c r="O819" s="51" t="s">
        <v>123</v>
      </c>
      <c r="P819" s="58">
        <v>-3.1E-2</v>
      </c>
    </row>
    <row r="820" spans="8:16" x14ac:dyDescent="0.2">
      <c r="H820" s="297"/>
      <c r="I820" s="292"/>
      <c r="J820" s="52">
        <v>42407</v>
      </c>
      <c r="K820" s="57">
        <v>1864.78</v>
      </c>
      <c r="L820" s="57">
        <v>1873.25</v>
      </c>
      <c r="M820" s="57">
        <v>1881.6</v>
      </c>
      <c r="N820" s="57">
        <v>1810.1</v>
      </c>
      <c r="O820" s="51" t="s">
        <v>123</v>
      </c>
      <c r="P820" s="58">
        <v>-8.0999999999999996E-3</v>
      </c>
    </row>
    <row r="821" spans="8:16" x14ac:dyDescent="0.2">
      <c r="H821" s="297"/>
      <c r="I821" s="292"/>
      <c r="J821" s="52">
        <v>42414</v>
      </c>
      <c r="K821" s="57">
        <v>1917.78</v>
      </c>
      <c r="L821" s="57">
        <v>1871.44</v>
      </c>
      <c r="M821" s="57">
        <v>1930.68</v>
      </c>
      <c r="N821" s="57">
        <v>1871.44</v>
      </c>
      <c r="O821" s="51" t="s">
        <v>123</v>
      </c>
      <c r="P821" s="58">
        <v>2.8400000000000002E-2</v>
      </c>
    </row>
    <row r="822" spans="8:16" x14ac:dyDescent="0.2">
      <c r="H822" s="297"/>
      <c r="I822" s="292"/>
      <c r="J822" s="52">
        <v>42421</v>
      </c>
      <c r="K822" s="57">
        <v>1948.05</v>
      </c>
      <c r="L822" s="57">
        <v>1924.44</v>
      </c>
      <c r="M822" s="57">
        <v>1962.96</v>
      </c>
      <c r="N822" s="57">
        <v>1891</v>
      </c>
      <c r="O822" s="51" t="s">
        <v>123</v>
      </c>
      <c r="P822" s="58">
        <v>1.5800000000000002E-2</v>
      </c>
    </row>
    <row r="823" spans="8:16" x14ac:dyDescent="0.2">
      <c r="H823" s="297"/>
      <c r="I823" s="292"/>
      <c r="J823" s="52">
        <v>42428</v>
      </c>
      <c r="K823" s="57">
        <v>1999.99</v>
      </c>
      <c r="L823" s="57">
        <v>1947.13</v>
      </c>
      <c r="M823" s="57">
        <v>2009.13</v>
      </c>
      <c r="N823" s="57">
        <v>1931.81</v>
      </c>
      <c r="O823" s="51" t="s">
        <v>123</v>
      </c>
      <c r="P823" s="58">
        <v>2.6700000000000002E-2</v>
      </c>
    </row>
    <row r="824" spans="8:16" x14ac:dyDescent="0.2">
      <c r="H824" s="297"/>
      <c r="I824" s="292"/>
      <c r="J824" s="52">
        <v>42435</v>
      </c>
      <c r="K824" s="57">
        <v>2022.19</v>
      </c>
      <c r="L824" s="57">
        <v>1996.11</v>
      </c>
      <c r="M824" s="57">
        <v>2022.37</v>
      </c>
      <c r="N824" s="57">
        <v>1969.25</v>
      </c>
      <c r="O824" s="51" t="s">
        <v>123</v>
      </c>
      <c r="P824" s="58">
        <v>1.11E-2</v>
      </c>
    </row>
    <row r="825" spans="8:16" x14ac:dyDescent="0.2">
      <c r="H825" s="297"/>
      <c r="I825" s="292"/>
      <c r="J825" s="52">
        <v>42442</v>
      </c>
      <c r="K825" s="57">
        <v>2049.58</v>
      </c>
      <c r="L825" s="57">
        <v>2019.27</v>
      </c>
      <c r="M825" s="57">
        <v>2052.36</v>
      </c>
      <c r="N825" s="57">
        <v>2005.23</v>
      </c>
      <c r="O825" s="51" t="s">
        <v>123</v>
      </c>
      <c r="P825" s="58">
        <v>1.35E-2</v>
      </c>
    </row>
    <row r="826" spans="8:16" x14ac:dyDescent="0.2">
      <c r="H826" s="297"/>
      <c r="I826" s="292"/>
      <c r="J826" s="52">
        <v>42449</v>
      </c>
      <c r="K826" s="57">
        <v>2035.94</v>
      </c>
      <c r="L826" s="57">
        <v>2047.88</v>
      </c>
      <c r="M826" s="57">
        <v>2056.6</v>
      </c>
      <c r="N826" s="57">
        <v>2022.49</v>
      </c>
      <c r="O826" s="51" t="s">
        <v>123</v>
      </c>
      <c r="P826" s="58">
        <v>-6.7000000000000002E-3</v>
      </c>
    </row>
    <row r="827" spans="8:16" x14ac:dyDescent="0.2">
      <c r="H827" s="297"/>
      <c r="I827" s="292"/>
      <c r="J827" s="52">
        <v>42456</v>
      </c>
      <c r="K827" s="57">
        <v>2072.7800000000002</v>
      </c>
      <c r="L827" s="57">
        <v>2037.89</v>
      </c>
      <c r="M827" s="57">
        <v>2075.0700000000002</v>
      </c>
      <c r="N827" s="57">
        <v>2028.31</v>
      </c>
      <c r="O827" s="51" t="s">
        <v>123</v>
      </c>
      <c r="P827" s="58">
        <v>1.8100000000000002E-2</v>
      </c>
    </row>
    <row r="828" spans="8:16" x14ac:dyDescent="0.2">
      <c r="H828" s="297"/>
      <c r="I828" s="292"/>
      <c r="J828" s="52">
        <v>42463</v>
      </c>
      <c r="K828" s="57">
        <v>2047.6</v>
      </c>
      <c r="L828" s="57">
        <v>2073.19</v>
      </c>
      <c r="M828" s="57">
        <v>2074.02</v>
      </c>
      <c r="N828" s="57">
        <v>2033.8</v>
      </c>
      <c r="O828" s="51" t="s">
        <v>123</v>
      </c>
      <c r="P828" s="58">
        <v>-1.21E-2</v>
      </c>
    </row>
    <row r="829" spans="8:16" x14ac:dyDescent="0.2">
      <c r="H829" s="297"/>
      <c r="I829" s="292"/>
      <c r="J829" s="52">
        <v>42470</v>
      </c>
      <c r="K829" s="57">
        <v>2080.73</v>
      </c>
      <c r="L829" s="57">
        <v>2050.23</v>
      </c>
      <c r="M829" s="57">
        <v>2087.84</v>
      </c>
      <c r="N829" s="57">
        <v>2039.74</v>
      </c>
      <c r="O829" s="51" t="s">
        <v>123</v>
      </c>
      <c r="P829" s="58">
        <v>1.6199999999999999E-2</v>
      </c>
    </row>
    <row r="830" spans="8:16" x14ac:dyDescent="0.2">
      <c r="H830" s="297"/>
      <c r="I830" s="292"/>
      <c r="J830" s="52">
        <v>42477</v>
      </c>
      <c r="K830" s="57">
        <v>2091.58</v>
      </c>
      <c r="L830" s="57">
        <v>2078.83</v>
      </c>
      <c r="M830" s="57">
        <v>2111.0500000000002</v>
      </c>
      <c r="N830" s="57">
        <v>2073.65</v>
      </c>
      <c r="O830" s="51" t="s">
        <v>123</v>
      </c>
      <c r="P830" s="58">
        <v>5.1999999999999998E-3</v>
      </c>
    </row>
    <row r="831" spans="8:16" x14ac:dyDescent="0.2">
      <c r="H831" s="297"/>
      <c r="I831" s="292"/>
      <c r="J831" s="52">
        <v>42484</v>
      </c>
      <c r="K831" s="57">
        <v>2065.3000000000002</v>
      </c>
      <c r="L831" s="57">
        <v>2089.37</v>
      </c>
      <c r="M831" s="57">
        <v>2099.89</v>
      </c>
      <c r="N831" s="57">
        <v>2052.2800000000002</v>
      </c>
      <c r="O831" s="51" t="s">
        <v>123</v>
      </c>
      <c r="P831" s="58">
        <v>-1.26E-2</v>
      </c>
    </row>
    <row r="832" spans="8:16" x14ac:dyDescent="0.2">
      <c r="H832" s="297"/>
      <c r="I832" s="292"/>
      <c r="J832" s="52">
        <v>42491</v>
      </c>
      <c r="K832" s="57">
        <v>2057.14</v>
      </c>
      <c r="L832" s="57">
        <v>2067.17</v>
      </c>
      <c r="M832" s="57">
        <v>2083.42</v>
      </c>
      <c r="N832" s="57">
        <v>2039.45</v>
      </c>
      <c r="O832" s="51" t="s">
        <v>123</v>
      </c>
      <c r="P832" s="58">
        <v>-4.0000000000000001E-3</v>
      </c>
    </row>
    <row r="833" spans="8:16" x14ac:dyDescent="0.2">
      <c r="H833" s="297"/>
      <c r="I833" s="292"/>
      <c r="J833" s="52">
        <v>42498</v>
      </c>
      <c r="K833" s="57">
        <v>2046.61</v>
      </c>
      <c r="L833" s="57">
        <v>2057.5500000000002</v>
      </c>
      <c r="M833" s="57">
        <v>2084.87</v>
      </c>
      <c r="N833" s="57">
        <v>2043.13</v>
      </c>
      <c r="O833" s="51" t="s">
        <v>123</v>
      </c>
      <c r="P833" s="58">
        <v>-5.1000000000000004E-3</v>
      </c>
    </row>
    <row r="834" spans="8:16" x14ac:dyDescent="0.2">
      <c r="H834" s="297"/>
      <c r="I834" s="292"/>
      <c r="J834" s="52">
        <v>42505</v>
      </c>
      <c r="K834" s="57">
        <v>2052.3200000000002</v>
      </c>
      <c r="L834" s="57">
        <v>2046.53</v>
      </c>
      <c r="M834" s="57">
        <v>2071.88</v>
      </c>
      <c r="N834" s="57">
        <v>2025.91</v>
      </c>
      <c r="O834" s="51" t="s">
        <v>123</v>
      </c>
      <c r="P834" s="58">
        <v>2.8E-3</v>
      </c>
    </row>
    <row r="835" spans="8:16" x14ac:dyDescent="0.2">
      <c r="H835" s="297"/>
      <c r="I835" s="292"/>
      <c r="J835" s="52">
        <v>42512</v>
      </c>
      <c r="K835" s="57">
        <v>2099.06</v>
      </c>
      <c r="L835" s="57">
        <v>2052.23</v>
      </c>
      <c r="M835" s="57">
        <v>2099.06</v>
      </c>
      <c r="N835" s="57">
        <v>2047.26</v>
      </c>
      <c r="O835" s="51" t="s">
        <v>123</v>
      </c>
      <c r="P835" s="58">
        <v>2.2800000000000001E-2</v>
      </c>
    </row>
    <row r="836" spans="8:16" x14ac:dyDescent="0.2">
      <c r="H836" s="297"/>
      <c r="I836" s="292"/>
      <c r="J836" s="52">
        <v>42519</v>
      </c>
      <c r="K836" s="57">
        <v>2099.13</v>
      </c>
      <c r="L836" s="57">
        <v>2100.13</v>
      </c>
      <c r="M836" s="57">
        <v>2105.2600000000002</v>
      </c>
      <c r="N836" s="57">
        <v>2085.1</v>
      </c>
      <c r="O836" s="51" t="s">
        <v>123</v>
      </c>
      <c r="P836" s="58">
        <v>0</v>
      </c>
    </row>
    <row r="837" spans="8:16" x14ac:dyDescent="0.2">
      <c r="H837" s="297"/>
      <c r="I837" s="292"/>
      <c r="J837" s="52">
        <v>42526</v>
      </c>
      <c r="K837" s="57">
        <v>2096.0700000000002</v>
      </c>
      <c r="L837" s="57">
        <v>2100.83</v>
      </c>
      <c r="M837" s="57">
        <v>2120.5500000000002</v>
      </c>
      <c r="N837" s="57">
        <v>2089.96</v>
      </c>
      <c r="O837" s="51" t="s">
        <v>123</v>
      </c>
      <c r="P837" s="58">
        <v>-1.5E-3</v>
      </c>
    </row>
    <row r="838" spans="8:16" x14ac:dyDescent="0.2">
      <c r="H838" s="297"/>
      <c r="I838" s="292"/>
      <c r="J838" s="52">
        <v>42533</v>
      </c>
      <c r="K838" s="57">
        <v>2071.2199999999998</v>
      </c>
      <c r="L838" s="57">
        <v>2091.75</v>
      </c>
      <c r="M838" s="57">
        <v>2098.12</v>
      </c>
      <c r="N838" s="57">
        <v>2050.37</v>
      </c>
      <c r="O838" s="51" t="s">
        <v>123</v>
      </c>
      <c r="P838" s="58">
        <v>-1.1900000000000001E-2</v>
      </c>
    </row>
    <row r="839" spans="8:16" x14ac:dyDescent="0.2">
      <c r="H839" s="297"/>
      <c r="I839" s="292"/>
      <c r="J839" s="52">
        <v>42540</v>
      </c>
      <c r="K839" s="57">
        <v>2037.41</v>
      </c>
      <c r="L839" s="57">
        <v>2075.58</v>
      </c>
      <c r="M839" s="57">
        <v>2113.3200000000002</v>
      </c>
      <c r="N839" s="57">
        <v>2032.57</v>
      </c>
      <c r="O839" s="51" t="s">
        <v>123</v>
      </c>
      <c r="P839" s="58">
        <v>-1.6299999999999999E-2</v>
      </c>
    </row>
    <row r="840" spans="8:16" x14ac:dyDescent="0.2">
      <c r="H840" s="297"/>
      <c r="I840" s="292"/>
      <c r="J840" s="52">
        <v>42547</v>
      </c>
      <c r="K840" s="57">
        <v>2102.9499999999998</v>
      </c>
      <c r="L840" s="57">
        <v>2031.45</v>
      </c>
      <c r="M840" s="57">
        <v>2108.71</v>
      </c>
      <c r="N840" s="57">
        <v>1991.68</v>
      </c>
      <c r="O840" s="51" t="s">
        <v>123</v>
      </c>
      <c r="P840" s="58">
        <v>3.2199999999999999E-2</v>
      </c>
    </row>
    <row r="841" spans="8:16" x14ac:dyDescent="0.2">
      <c r="H841" s="297"/>
      <c r="I841" s="292"/>
      <c r="J841" s="52">
        <v>42554</v>
      </c>
      <c r="K841" s="57">
        <v>2129.9</v>
      </c>
      <c r="L841" s="57">
        <v>2095.0500000000002</v>
      </c>
      <c r="M841" s="57">
        <v>2131.71</v>
      </c>
      <c r="N841" s="57">
        <v>2074.02</v>
      </c>
      <c r="O841" s="51" t="s">
        <v>123</v>
      </c>
      <c r="P841" s="58">
        <v>1.2800000000000001E-2</v>
      </c>
    </row>
    <row r="842" spans="8:16" x14ac:dyDescent="0.2">
      <c r="H842" s="297"/>
      <c r="I842" s="292"/>
      <c r="J842" s="52">
        <v>42561</v>
      </c>
      <c r="K842" s="57">
        <v>2161.7399999999998</v>
      </c>
      <c r="L842" s="57">
        <v>2131.7199999999998</v>
      </c>
      <c r="M842" s="57">
        <v>2169.0500000000002</v>
      </c>
      <c r="N842" s="57">
        <v>2131.7199999999998</v>
      </c>
      <c r="O842" s="51" t="s">
        <v>123</v>
      </c>
      <c r="P842" s="58">
        <v>1.49E-2</v>
      </c>
    </row>
    <row r="843" spans="8:16" x14ac:dyDescent="0.2">
      <c r="H843" s="297"/>
      <c r="I843" s="292"/>
      <c r="J843" s="52">
        <v>42568</v>
      </c>
      <c r="K843" s="57">
        <v>2175.0300000000002</v>
      </c>
      <c r="L843" s="57">
        <v>2162.04</v>
      </c>
      <c r="M843" s="57">
        <v>2175.63</v>
      </c>
      <c r="N843" s="57">
        <v>2159.0100000000002</v>
      </c>
      <c r="O843" s="51" t="s">
        <v>123</v>
      </c>
      <c r="P843" s="58">
        <v>6.1000000000000004E-3</v>
      </c>
    </row>
    <row r="844" spans="8:16" x14ac:dyDescent="0.2">
      <c r="H844" s="297"/>
      <c r="I844" s="292"/>
      <c r="J844" s="52">
        <v>42575</v>
      </c>
      <c r="K844" s="57">
        <v>2173.6</v>
      </c>
      <c r="L844" s="57">
        <v>2173.71</v>
      </c>
      <c r="M844" s="57">
        <v>2177.09</v>
      </c>
      <c r="N844" s="57">
        <v>2159.0700000000002</v>
      </c>
      <c r="O844" s="51" t="s">
        <v>123</v>
      </c>
      <c r="P844" s="58">
        <v>-6.9999999999999999E-4</v>
      </c>
    </row>
    <row r="845" spans="8:16" x14ac:dyDescent="0.2">
      <c r="H845" s="297"/>
      <c r="I845" s="292"/>
      <c r="J845" s="52">
        <v>42582</v>
      </c>
      <c r="K845" s="57">
        <v>2182.87</v>
      </c>
      <c r="L845" s="57">
        <v>2173.15</v>
      </c>
      <c r="M845" s="57">
        <v>2182.87</v>
      </c>
      <c r="N845" s="57">
        <v>2147.58</v>
      </c>
      <c r="O845" s="51" t="s">
        <v>123</v>
      </c>
      <c r="P845" s="58">
        <v>4.3E-3</v>
      </c>
    </row>
    <row r="846" spans="8:16" x14ac:dyDescent="0.2">
      <c r="H846" s="297"/>
      <c r="I846" s="292"/>
      <c r="J846" s="52">
        <v>42589</v>
      </c>
      <c r="K846" s="57">
        <v>2184.0500000000002</v>
      </c>
      <c r="L846" s="57">
        <v>2183.7600000000002</v>
      </c>
      <c r="M846" s="57">
        <v>2188.4499999999998</v>
      </c>
      <c r="N846" s="57">
        <v>2172</v>
      </c>
      <c r="O846" s="51" t="s">
        <v>123</v>
      </c>
      <c r="P846" s="58">
        <v>5.0000000000000001E-4</v>
      </c>
    </row>
    <row r="847" spans="8:16" x14ac:dyDescent="0.2">
      <c r="H847" s="297"/>
      <c r="I847" s="292"/>
      <c r="J847" s="52">
        <v>42596</v>
      </c>
      <c r="K847" s="57">
        <v>2183.87</v>
      </c>
      <c r="L847" s="57">
        <v>2186.08</v>
      </c>
      <c r="M847" s="57">
        <v>2193.81</v>
      </c>
      <c r="N847" s="57">
        <v>2168.5</v>
      </c>
      <c r="O847" s="51" t="s">
        <v>123</v>
      </c>
      <c r="P847" s="58">
        <v>-1E-4</v>
      </c>
    </row>
    <row r="848" spans="8:16" x14ac:dyDescent="0.2">
      <c r="H848" s="297"/>
      <c r="I848" s="292"/>
      <c r="J848" s="52">
        <v>42603</v>
      </c>
      <c r="K848" s="57">
        <v>2169.04</v>
      </c>
      <c r="L848" s="57">
        <v>2181.58</v>
      </c>
      <c r="M848" s="57">
        <v>2193.42</v>
      </c>
      <c r="N848" s="57">
        <v>2160.39</v>
      </c>
      <c r="O848" s="51" t="s">
        <v>123</v>
      </c>
      <c r="P848" s="58">
        <v>-6.7999999999999996E-3</v>
      </c>
    </row>
    <row r="849" spans="8:16" x14ac:dyDescent="0.2">
      <c r="H849" s="297"/>
      <c r="I849" s="292"/>
      <c r="J849" s="52">
        <v>42610</v>
      </c>
      <c r="K849" s="57">
        <v>2179.98</v>
      </c>
      <c r="L849" s="57">
        <v>2170.19</v>
      </c>
      <c r="M849" s="57">
        <v>2184.87</v>
      </c>
      <c r="N849" s="57">
        <v>2157.09</v>
      </c>
      <c r="O849" s="51" t="s">
        <v>123</v>
      </c>
      <c r="P849" s="58">
        <v>5.0000000000000001E-3</v>
      </c>
    </row>
    <row r="850" spans="8:16" x14ac:dyDescent="0.2">
      <c r="H850" s="297"/>
      <c r="I850" s="292"/>
      <c r="J850" s="52">
        <v>42617</v>
      </c>
      <c r="K850" s="57">
        <v>2127.81</v>
      </c>
      <c r="L850" s="57">
        <v>2181.61</v>
      </c>
      <c r="M850" s="57">
        <v>2187.87</v>
      </c>
      <c r="N850" s="57">
        <v>2127.81</v>
      </c>
      <c r="O850" s="51" t="s">
        <v>123</v>
      </c>
      <c r="P850" s="58">
        <v>-2.3900000000000001E-2</v>
      </c>
    </row>
    <row r="851" spans="8:16" x14ac:dyDescent="0.2">
      <c r="H851" s="297"/>
      <c r="I851" s="292"/>
      <c r="J851" s="52">
        <v>42624</v>
      </c>
      <c r="K851" s="57">
        <v>2139.16</v>
      </c>
      <c r="L851" s="57">
        <v>2120.86</v>
      </c>
      <c r="M851" s="57">
        <v>2163.3000000000002</v>
      </c>
      <c r="N851" s="57">
        <v>2119.12</v>
      </c>
      <c r="O851" s="51" t="s">
        <v>123</v>
      </c>
      <c r="P851" s="58">
        <v>5.3E-3</v>
      </c>
    </row>
    <row r="852" spans="8:16" x14ac:dyDescent="0.2">
      <c r="H852" s="297"/>
      <c r="I852" s="292"/>
      <c r="J852" s="52">
        <v>42631</v>
      </c>
      <c r="K852" s="57">
        <v>2164.69</v>
      </c>
      <c r="L852" s="57">
        <v>2143.9899999999998</v>
      </c>
      <c r="M852" s="57">
        <v>2179.9899999999998</v>
      </c>
      <c r="N852" s="57">
        <v>2135.91</v>
      </c>
      <c r="O852" s="51" t="s">
        <v>123</v>
      </c>
      <c r="P852" s="58">
        <v>1.1900000000000001E-2</v>
      </c>
    </row>
    <row r="853" spans="8:16" x14ac:dyDescent="0.2">
      <c r="H853" s="297"/>
      <c r="I853" s="292"/>
      <c r="J853" s="52">
        <v>42638</v>
      </c>
      <c r="K853" s="57">
        <v>2168.27</v>
      </c>
      <c r="L853" s="57">
        <v>2158.54</v>
      </c>
      <c r="M853" s="57">
        <v>2175.3000000000002</v>
      </c>
      <c r="N853" s="57">
        <v>2141.5500000000002</v>
      </c>
      <c r="O853" s="51" t="s">
        <v>123</v>
      </c>
      <c r="P853" s="58">
        <v>1.6999999999999999E-3</v>
      </c>
    </row>
    <row r="854" spans="8:16" x14ac:dyDescent="0.2">
      <c r="H854" s="297"/>
      <c r="I854" s="292"/>
      <c r="J854" s="52">
        <v>42645</v>
      </c>
      <c r="K854" s="57">
        <v>2153.7399999999998</v>
      </c>
      <c r="L854" s="57">
        <v>2164.33</v>
      </c>
      <c r="M854" s="57">
        <v>2165.86</v>
      </c>
      <c r="N854" s="57">
        <v>2144.0100000000002</v>
      </c>
      <c r="O854" s="51" t="s">
        <v>123</v>
      </c>
      <c r="P854" s="58">
        <v>-6.7000000000000002E-3</v>
      </c>
    </row>
    <row r="855" spans="8:16" x14ac:dyDescent="0.2">
      <c r="H855" s="297"/>
      <c r="I855" s="292"/>
      <c r="J855" s="52">
        <v>42652</v>
      </c>
      <c r="K855" s="57">
        <v>2132.98</v>
      </c>
      <c r="L855" s="57">
        <v>2160.39</v>
      </c>
      <c r="M855" s="57">
        <v>2169.6</v>
      </c>
      <c r="N855" s="57">
        <v>2114.7199999999998</v>
      </c>
      <c r="O855" s="51" t="s">
        <v>123</v>
      </c>
      <c r="P855" s="58">
        <v>-9.5999999999999992E-3</v>
      </c>
    </row>
    <row r="856" spans="8:16" x14ac:dyDescent="0.2">
      <c r="H856" s="297"/>
      <c r="I856" s="292"/>
      <c r="J856" s="52">
        <v>42659</v>
      </c>
      <c r="K856" s="57">
        <v>2141.16</v>
      </c>
      <c r="L856" s="57">
        <v>2132.9499999999998</v>
      </c>
      <c r="M856" s="57">
        <v>2148.44</v>
      </c>
      <c r="N856" s="57">
        <v>2124.4299999999998</v>
      </c>
      <c r="O856" s="51" t="s">
        <v>123</v>
      </c>
      <c r="P856" s="58">
        <v>3.8E-3</v>
      </c>
    </row>
    <row r="857" spans="8:16" x14ac:dyDescent="0.2">
      <c r="H857" s="297"/>
      <c r="I857" s="292"/>
      <c r="J857" s="52">
        <v>42666</v>
      </c>
      <c r="K857" s="57">
        <v>2126.41</v>
      </c>
      <c r="L857" s="57">
        <v>2148.5</v>
      </c>
      <c r="M857" s="57">
        <v>2154.79</v>
      </c>
      <c r="N857" s="57">
        <v>2119.36</v>
      </c>
      <c r="O857" s="51" t="s">
        <v>123</v>
      </c>
      <c r="P857" s="58">
        <v>-6.8999999999999999E-3</v>
      </c>
    </row>
    <row r="858" spans="8:16" x14ac:dyDescent="0.2">
      <c r="H858" s="297"/>
      <c r="I858" s="292"/>
      <c r="J858" s="52">
        <v>42673</v>
      </c>
      <c r="K858" s="57">
        <v>2085.1799999999998</v>
      </c>
      <c r="L858" s="57">
        <v>2129.7800000000002</v>
      </c>
      <c r="M858" s="57">
        <v>2133.25</v>
      </c>
      <c r="N858" s="57">
        <v>2083.79</v>
      </c>
      <c r="O858" s="51" t="s">
        <v>123</v>
      </c>
      <c r="P858" s="58">
        <v>-1.9400000000000001E-2</v>
      </c>
    </row>
    <row r="859" spans="8:16" x14ac:dyDescent="0.2">
      <c r="H859" s="297"/>
      <c r="I859" s="292"/>
      <c r="J859" s="52">
        <v>42680</v>
      </c>
      <c r="K859" s="57">
        <v>2164.4499999999998</v>
      </c>
      <c r="L859" s="57">
        <v>2100.59</v>
      </c>
      <c r="M859" s="57">
        <v>2182.3000000000002</v>
      </c>
      <c r="N859" s="57">
        <v>2100.59</v>
      </c>
      <c r="O859" s="51" t="s">
        <v>123</v>
      </c>
      <c r="P859" s="58">
        <v>3.7999999999999999E-2</v>
      </c>
    </row>
    <row r="860" spans="8:16" x14ac:dyDescent="0.2">
      <c r="H860" s="297"/>
      <c r="I860" s="292"/>
      <c r="J860" s="52">
        <v>42687</v>
      </c>
      <c r="K860" s="57">
        <v>2181.9</v>
      </c>
      <c r="L860" s="57">
        <v>2165.64</v>
      </c>
      <c r="M860" s="57">
        <v>2189.89</v>
      </c>
      <c r="N860" s="57">
        <v>2156.08</v>
      </c>
      <c r="O860" s="51" t="s">
        <v>123</v>
      </c>
      <c r="P860" s="58">
        <v>8.0999999999999996E-3</v>
      </c>
    </row>
    <row r="861" spans="8:16" x14ac:dyDescent="0.2">
      <c r="H861" s="297"/>
      <c r="I861" s="292"/>
      <c r="J861" s="52">
        <v>42694</v>
      </c>
      <c r="K861" s="57">
        <v>2213.35</v>
      </c>
      <c r="L861" s="57">
        <v>2186.4299999999998</v>
      </c>
      <c r="M861" s="57">
        <v>2213.35</v>
      </c>
      <c r="N861" s="57">
        <v>2186.4299999999998</v>
      </c>
      <c r="O861" s="51" t="s">
        <v>123</v>
      </c>
      <c r="P861" s="58">
        <v>1.44E-2</v>
      </c>
    </row>
    <row r="862" spans="8:16" x14ac:dyDescent="0.2">
      <c r="H862" s="297"/>
      <c r="I862" s="292"/>
      <c r="J862" s="52">
        <v>42701</v>
      </c>
      <c r="K862" s="57">
        <v>2191.9499999999998</v>
      </c>
      <c r="L862" s="57">
        <v>2210.21</v>
      </c>
      <c r="M862" s="57">
        <v>2214.1</v>
      </c>
      <c r="N862" s="57">
        <v>2187.44</v>
      </c>
      <c r="O862" s="51" t="s">
        <v>123</v>
      </c>
      <c r="P862" s="58">
        <v>-9.7000000000000003E-3</v>
      </c>
    </row>
    <row r="863" spans="8:16" x14ac:dyDescent="0.2">
      <c r="H863" s="297"/>
      <c r="I863" s="292"/>
      <c r="J863" s="52">
        <v>42708</v>
      </c>
      <c r="K863" s="57">
        <v>2259.5300000000002</v>
      </c>
      <c r="L863" s="57">
        <v>2200.65</v>
      </c>
      <c r="M863" s="57">
        <v>2259.8000000000002</v>
      </c>
      <c r="N863" s="57">
        <v>2199.9699999999998</v>
      </c>
      <c r="O863" s="51" t="s">
        <v>123</v>
      </c>
      <c r="P863" s="58">
        <v>3.0800000000000001E-2</v>
      </c>
    </row>
    <row r="864" spans="8:16" x14ac:dyDescent="0.2">
      <c r="H864" s="297"/>
      <c r="I864" s="292"/>
      <c r="J864" s="52">
        <v>42715</v>
      </c>
      <c r="K864" s="57">
        <v>2258.0700000000002</v>
      </c>
      <c r="L864" s="57">
        <v>2258.83</v>
      </c>
      <c r="M864" s="57">
        <v>2277.5300000000002</v>
      </c>
      <c r="N864" s="57">
        <v>2248.44</v>
      </c>
      <c r="O864" s="51" t="s">
        <v>123</v>
      </c>
      <c r="P864" s="58">
        <v>-5.9999999999999995E-4</v>
      </c>
    </row>
    <row r="865" spans="8:16" x14ac:dyDescent="0.2">
      <c r="H865" s="297"/>
      <c r="I865" s="292"/>
      <c r="J865" s="52">
        <v>42722</v>
      </c>
      <c r="K865" s="57">
        <v>2263.79</v>
      </c>
      <c r="L865" s="57">
        <v>2259.2399999999998</v>
      </c>
      <c r="M865" s="57">
        <v>2272.56</v>
      </c>
      <c r="N865" s="57">
        <v>2256.08</v>
      </c>
      <c r="O865" s="51" t="s">
        <v>123</v>
      </c>
      <c r="P865" s="58">
        <v>2.5000000000000001E-3</v>
      </c>
    </row>
    <row r="866" spans="8:16" x14ac:dyDescent="0.2">
      <c r="H866" s="297"/>
      <c r="I866" s="292"/>
      <c r="J866" s="52">
        <v>42729</v>
      </c>
      <c r="K866" s="57">
        <v>2238.83</v>
      </c>
      <c r="L866" s="57">
        <v>2266.23</v>
      </c>
      <c r="M866" s="57">
        <v>2273.8200000000002</v>
      </c>
      <c r="N866" s="57">
        <v>2233.62</v>
      </c>
      <c r="O866" s="51" t="s">
        <v>123</v>
      </c>
      <c r="P866" s="58">
        <v>-1.0999999999999999E-2</v>
      </c>
    </row>
    <row r="867" spans="8:16" x14ac:dyDescent="0.2">
      <c r="H867" s="297"/>
      <c r="I867" s="292"/>
      <c r="J867" s="52">
        <v>42736</v>
      </c>
      <c r="K867" s="57">
        <v>2276.98</v>
      </c>
      <c r="L867" s="57">
        <v>2251.5700000000002</v>
      </c>
      <c r="M867" s="57">
        <v>2282.1</v>
      </c>
      <c r="N867" s="57">
        <v>2245.13</v>
      </c>
      <c r="O867" s="51" t="s">
        <v>123</v>
      </c>
      <c r="P867" s="58">
        <v>1.7000000000000001E-2</v>
      </c>
    </row>
    <row r="868" spans="8:16" x14ac:dyDescent="0.2">
      <c r="H868" s="297"/>
      <c r="I868" s="292"/>
      <c r="J868" s="52">
        <v>42743</v>
      </c>
      <c r="K868" s="57">
        <v>2274.64</v>
      </c>
      <c r="L868" s="57">
        <v>2273.59</v>
      </c>
      <c r="M868" s="57">
        <v>2279.27</v>
      </c>
      <c r="N868" s="57">
        <v>2254.25</v>
      </c>
      <c r="O868" s="51" t="s">
        <v>123</v>
      </c>
      <c r="P868" s="58">
        <v>-1E-3</v>
      </c>
    </row>
    <row r="869" spans="8:16" x14ac:dyDescent="0.2">
      <c r="H869" s="297"/>
      <c r="I869" s="292"/>
      <c r="J869" s="52">
        <v>42750</v>
      </c>
      <c r="K869" s="57">
        <v>2271.31</v>
      </c>
      <c r="L869" s="57">
        <v>2269.14</v>
      </c>
      <c r="M869" s="57">
        <v>2276.96</v>
      </c>
      <c r="N869" s="57">
        <v>2258.41</v>
      </c>
      <c r="O869" s="51" t="s">
        <v>123</v>
      </c>
      <c r="P869" s="58">
        <v>-1.5E-3</v>
      </c>
    </row>
    <row r="870" spans="8:16" x14ac:dyDescent="0.2">
      <c r="H870" s="297"/>
      <c r="I870" s="292"/>
      <c r="J870" s="52">
        <v>42757</v>
      </c>
      <c r="K870" s="57">
        <v>2294.69</v>
      </c>
      <c r="L870" s="57">
        <v>2267.7800000000002</v>
      </c>
      <c r="M870" s="57">
        <v>2300.9899999999998</v>
      </c>
      <c r="N870" s="57">
        <v>2257.02</v>
      </c>
      <c r="O870" s="51" t="s">
        <v>123</v>
      </c>
      <c r="P870" s="58">
        <v>1.03E-2</v>
      </c>
    </row>
    <row r="871" spans="8:16" x14ac:dyDescent="0.2">
      <c r="H871" s="297"/>
      <c r="I871" s="292"/>
      <c r="J871" s="52">
        <v>42764</v>
      </c>
      <c r="K871" s="57">
        <v>2297.42</v>
      </c>
      <c r="L871" s="57">
        <v>2286.0100000000002</v>
      </c>
      <c r="M871" s="57">
        <v>2298.31</v>
      </c>
      <c r="N871" s="57">
        <v>2267.21</v>
      </c>
      <c r="O871" s="51" t="s">
        <v>123</v>
      </c>
      <c r="P871" s="58">
        <v>1.1999999999999999E-3</v>
      </c>
    </row>
    <row r="872" spans="8:16" x14ac:dyDescent="0.2">
      <c r="H872" s="297"/>
      <c r="I872" s="292"/>
      <c r="J872" s="52">
        <v>42771</v>
      </c>
      <c r="K872" s="57">
        <v>2316.1</v>
      </c>
      <c r="L872" s="57">
        <v>2294.2800000000002</v>
      </c>
      <c r="M872" s="57">
        <v>2319.23</v>
      </c>
      <c r="N872" s="57">
        <v>2285.38</v>
      </c>
      <c r="O872" s="51" t="s">
        <v>123</v>
      </c>
      <c r="P872" s="58">
        <v>8.0999999999999996E-3</v>
      </c>
    </row>
    <row r="873" spans="8:16" x14ac:dyDescent="0.2">
      <c r="H873" s="297"/>
      <c r="I873" s="292"/>
      <c r="J873" s="52">
        <v>42778</v>
      </c>
      <c r="K873" s="57">
        <v>2351.16</v>
      </c>
      <c r="L873" s="57">
        <v>2321.7199999999998</v>
      </c>
      <c r="M873" s="57">
        <v>2351.31</v>
      </c>
      <c r="N873" s="57">
        <v>2321.42</v>
      </c>
      <c r="O873" s="51" t="s">
        <v>123</v>
      </c>
      <c r="P873" s="58">
        <v>1.5100000000000001E-2</v>
      </c>
    </row>
    <row r="874" spans="8:16" x14ac:dyDescent="0.2">
      <c r="H874" s="297"/>
      <c r="I874" s="292"/>
      <c r="J874" s="52">
        <v>42785</v>
      </c>
      <c r="K874" s="57">
        <v>2367.34</v>
      </c>
      <c r="L874" s="57">
        <v>2354.91</v>
      </c>
      <c r="M874" s="57">
        <v>2368.2600000000002</v>
      </c>
      <c r="N874" s="57">
        <v>2352.87</v>
      </c>
      <c r="O874" s="51" t="s">
        <v>123</v>
      </c>
      <c r="P874" s="58">
        <v>6.8999999999999999E-3</v>
      </c>
    </row>
    <row r="875" spans="8:16" x14ac:dyDescent="0.2">
      <c r="H875" s="297"/>
      <c r="I875" s="292"/>
      <c r="J875" s="52">
        <v>42792</v>
      </c>
      <c r="K875" s="57">
        <v>2383.12</v>
      </c>
      <c r="L875" s="57">
        <v>2365.23</v>
      </c>
      <c r="M875" s="57">
        <v>2400.98</v>
      </c>
      <c r="N875" s="57">
        <v>2358.96</v>
      </c>
      <c r="O875" s="51" t="s">
        <v>123</v>
      </c>
      <c r="P875" s="58">
        <v>6.7000000000000002E-3</v>
      </c>
    </row>
    <row r="876" spans="8:16" x14ac:dyDescent="0.2">
      <c r="H876" s="297"/>
      <c r="I876" s="292"/>
      <c r="J876" s="52">
        <v>42799</v>
      </c>
      <c r="K876" s="57">
        <v>2372.6</v>
      </c>
      <c r="L876" s="57">
        <v>2375.23</v>
      </c>
      <c r="M876" s="57">
        <v>2378.8000000000002</v>
      </c>
      <c r="N876" s="57">
        <v>2354.54</v>
      </c>
      <c r="O876" s="51" t="s">
        <v>123</v>
      </c>
      <c r="P876" s="58">
        <v>-4.4000000000000003E-3</v>
      </c>
    </row>
    <row r="877" spans="8:16" x14ac:dyDescent="0.2">
      <c r="H877" s="297"/>
      <c r="I877" s="292"/>
      <c r="J877" s="52">
        <v>42806</v>
      </c>
      <c r="K877" s="57">
        <v>2378.25</v>
      </c>
      <c r="L877" s="57">
        <v>2371.56</v>
      </c>
      <c r="M877" s="57">
        <v>2390.0100000000002</v>
      </c>
      <c r="N877" s="57">
        <v>2358.1799999999998</v>
      </c>
      <c r="O877" s="51" t="s">
        <v>123</v>
      </c>
      <c r="P877" s="58">
        <v>2.3999999999999998E-3</v>
      </c>
    </row>
    <row r="878" spans="8:16" x14ac:dyDescent="0.2">
      <c r="H878" s="297"/>
      <c r="I878" s="292"/>
      <c r="J878" s="52">
        <v>42813</v>
      </c>
      <c r="K878" s="57">
        <v>2343.98</v>
      </c>
      <c r="L878" s="57">
        <v>2378.2399999999998</v>
      </c>
      <c r="M878" s="57">
        <v>2381.9299999999998</v>
      </c>
      <c r="N878" s="57">
        <v>2335.7399999999998</v>
      </c>
      <c r="O878" s="51" t="s">
        <v>123</v>
      </c>
      <c r="P878" s="58">
        <v>-1.44E-2</v>
      </c>
    </row>
    <row r="879" spans="8:16" x14ac:dyDescent="0.2">
      <c r="H879" s="297"/>
      <c r="I879" s="292"/>
      <c r="J879" s="52">
        <v>42820</v>
      </c>
      <c r="K879" s="57">
        <v>2362.7199999999998</v>
      </c>
      <c r="L879" s="57">
        <v>2329.11</v>
      </c>
      <c r="M879" s="57">
        <v>2370.42</v>
      </c>
      <c r="N879" s="57">
        <v>2322.25</v>
      </c>
      <c r="O879" s="51" t="s">
        <v>123</v>
      </c>
      <c r="P879" s="58">
        <v>8.0000000000000002E-3</v>
      </c>
    </row>
    <row r="880" spans="8:16" x14ac:dyDescent="0.2">
      <c r="H880" s="297"/>
      <c r="I880" s="292"/>
      <c r="J880" s="52">
        <v>42827</v>
      </c>
      <c r="K880" s="57">
        <v>2355.54</v>
      </c>
      <c r="L880" s="57">
        <v>2362.34</v>
      </c>
      <c r="M880" s="57">
        <v>2378.36</v>
      </c>
      <c r="N880" s="57">
        <v>2344.73</v>
      </c>
      <c r="O880" s="51" t="s">
        <v>123</v>
      </c>
      <c r="P880" s="58">
        <v>-3.0000000000000001E-3</v>
      </c>
    </row>
    <row r="881" spans="8:16" x14ac:dyDescent="0.2">
      <c r="H881" s="297"/>
      <c r="I881" s="292"/>
      <c r="J881" s="52">
        <v>42834</v>
      </c>
      <c r="K881" s="57">
        <v>2328.9499999999998</v>
      </c>
      <c r="L881" s="57">
        <v>2357.16</v>
      </c>
      <c r="M881" s="57">
        <v>2366.37</v>
      </c>
      <c r="N881" s="57">
        <v>2328.9499999999998</v>
      </c>
      <c r="O881" s="51" t="s">
        <v>123</v>
      </c>
      <c r="P881" s="58">
        <v>-1.1299999999999999E-2</v>
      </c>
    </row>
    <row r="882" spans="8:16" x14ac:dyDescent="0.2">
      <c r="H882" s="297"/>
      <c r="I882" s="292"/>
      <c r="J882" s="52">
        <v>42841</v>
      </c>
      <c r="K882" s="57">
        <v>2348.69</v>
      </c>
      <c r="L882" s="57">
        <v>2332.62</v>
      </c>
      <c r="M882" s="57">
        <v>2361.37</v>
      </c>
      <c r="N882" s="57">
        <v>2332.5100000000002</v>
      </c>
      <c r="O882" s="51" t="s">
        <v>123</v>
      </c>
      <c r="P882" s="58">
        <v>8.5000000000000006E-3</v>
      </c>
    </row>
    <row r="883" spans="8:16" x14ac:dyDescent="0.2">
      <c r="H883" s="297"/>
      <c r="I883" s="292"/>
      <c r="J883" s="52">
        <v>42848</v>
      </c>
      <c r="K883" s="57">
        <v>2384.1999999999998</v>
      </c>
      <c r="L883" s="57">
        <v>2370.33</v>
      </c>
      <c r="M883" s="57">
        <v>2398.16</v>
      </c>
      <c r="N883" s="57">
        <v>2369.19</v>
      </c>
      <c r="O883" s="51" t="s">
        <v>123</v>
      </c>
      <c r="P883" s="58">
        <v>1.5100000000000001E-2</v>
      </c>
    </row>
    <row r="884" spans="8:16" x14ac:dyDescent="0.2">
      <c r="H884" s="297"/>
      <c r="I884" s="292"/>
      <c r="J884" s="52">
        <v>42855</v>
      </c>
      <c r="K884" s="57">
        <v>2399.29</v>
      </c>
      <c r="L884" s="57">
        <v>2388.5</v>
      </c>
      <c r="M884" s="57">
        <v>2399.29</v>
      </c>
      <c r="N884" s="57">
        <v>2379.75</v>
      </c>
      <c r="O884" s="51" t="s">
        <v>123</v>
      </c>
      <c r="P884" s="58">
        <v>6.3E-3</v>
      </c>
    </row>
    <row r="885" spans="8:16" x14ac:dyDescent="0.2">
      <c r="H885" s="297"/>
      <c r="I885" s="292"/>
      <c r="J885" s="52">
        <v>42862</v>
      </c>
      <c r="K885" s="57">
        <v>2390.9</v>
      </c>
      <c r="L885" s="57">
        <v>2399.94</v>
      </c>
      <c r="M885" s="57">
        <v>2403.87</v>
      </c>
      <c r="N885" s="57">
        <v>2381.7399999999998</v>
      </c>
      <c r="O885" s="51" t="s">
        <v>123</v>
      </c>
      <c r="P885" s="58">
        <v>-3.5000000000000001E-3</v>
      </c>
    </row>
    <row r="886" spans="8:16" x14ac:dyDescent="0.2">
      <c r="H886" s="297"/>
      <c r="I886" s="292"/>
      <c r="J886" s="52">
        <v>42869</v>
      </c>
      <c r="K886" s="57">
        <v>2381.73</v>
      </c>
      <c r="L886" s="57">
        <v>2393.98</v>
      </c>
      <c r="M886" s="57">
        <v>2405.77</v>
      </c>
      <c r="N886" s="57">
        <v>2352.7199999999998</v>
      </c>
      <c r="O886" s="51" t="s">
        <v>123</v>
      </c>
      <c r="P886" s="58">
        <v>-3.8E-3</v>
      </c>
    </row>
    <row r="887" spans="8:16" x14ac:dyDescent="0.2">
      <c r="H887" s="297"/>
      <c r="I887" s="292"/>
      <c r="J887" s="52">
        <v>42876</v>
      </c>
      <c r="K887" s="57">
        <v>2415.8200000000002</v>
      </c>
      <c r="L887" s="57">
        <v>2387.21</v>
      </c>
      <c r="M887" s="57">
        <v>2418.71</v>
      </c>
      <c r="N887" s="57">
        <v>2386.92</v>
      </c>
      <c r="O887" s="51" t="s">
        <v>123</v>
      </c>
      <c r="P887" s="58">
        <v>1.43E-2</v>
      </c>
    </row>
    <row r="888" spans="8:16" x14ac:dyDescent="0.2">
      <c r="H888" s="297"/>
      <c r="I888" s="292"/>
      <c r="J888" s="52">
        <v>42883</v>
      </c>
      <c r="K888" s="57">
        <v>2439.0700000000002</v>
      </c>
      <c r="L888" s="57">
        <v>2411.67</v>
      </c>
      <c r="M888" s="57">
        <v>2440.23</v>
      </c>
      <c r="N888" s="57">
        <v>2403.59</v>
      </c>
      <c r="O888" s="51" t="s">
        <v>123</v>
      </c>
      <c r="P888" s="58">
        <v>9.5999999999999992E-3</v>
      </c>
    </row>
    <row r="889" spans="8:16" x14ac:dyDescent="0.2">
      <c r="H889" s="297"/>
      <c r="I889" s="292"/>
      <c r="J889" s="52">
        <v>42890</v>
      </c>
      <c r="K889" s="57">
        <v>2431.77</v>
      </c>
      <c r="L889" s="57">
        <v>2437.83</v>
      </c>
      <c r="M889" s="57">
        <v>2446.1999999999998</v>
      </c>
      <c r="N889" s="57">
        <v>2415.6999999999998</v>
      </c>
      <c r="O889" s="51" t="s">
        <v>123</v>
      </c>
      <c r="P889" s="58">
        <v>-3.0000000000000001E-3</v>
      </c>
    </row>
    <row r="890" spans="8:16" x14ac:dyDescent="0.2">
      <c r="H890" s="297"/>
      <c r="I890" s="292"/>
      <c r="J890" s="52">
        <v>42897</v>
      </c>
      <c r="K890" s="57">
        <v>2433.15</v>
      </c>
      <c r="L890" s="57">
        <v>2425.88</v>
      </c>
      <c r="M890" s="57">
        <v>2443.75</v>
      </c>
      <c r="N890" s="57">
        <v>2418.5300000000002</v>
      </c>
      <c r="O890" s="51" t="s">
        <v>123</v>
      </c>
      <c r="P890" s="58">
        <v>5.9999999999999995E-4</v>
      </c>
    </row>
    <row r="891" spans="8:16" x14ac:dyDescent="0.2">
      <c r="H891" s="297"/>
      <c r="I891" s="292"/>
      <c r="J891" s="52">
        <v>42904</v>
      </c>
      <c r="K891" s="57">
        <v>2438.3000000000002</v>
      </c>
      <c r="L891" s="57">
        <v>2442.5500000000002</v>
      </c>
      <c r="M891" s="57">
        <v>2453.8200000000002</v>
      </c>
      <c r="N891" s="57">
        <v>2430.7399999999998</v>
      </c>
      <c r="O891" s="51" t="s">
        <v>123</v>
      </c>
      <c r="P891" s="58">
        <v>2.0999999999999999E-3</v>
      </c>
    </row>
    <row r="892" spans="8:16" x14ac:dyDescent="0.2">
      <c r="H892" s="297"/>
      <c r="I892" s="292"/>
      <c r="J892" s="52">
        <v>42911</v>
      </c>
      <c r="K892" s="57">
        <v>2423.41</v>
      </c>
      <c r="L892" s="57">
        <v>2443.3200000000002</v>
      </c>
      <c r="M892" s="57">
        <v>2450.42</v>
      </c>
      <c r="N892" s="57">
        <v>2405.6999999999998</v>
      </c>
      <c r="O892" s="51" t="s">
        <v>123</v>
      </c>
      <c r="P892" s="58">
        <v>-6.1000000000000004E-3</v>
      </c>
    </row>
    <row r="893" spans="8:16" x14ac:dyDescent="0.2">
      <c r="H893" s="297"/>
      <c r="I893" s="292"/>
      <c r="J893" s="52">
        <v>42918</v>
      </c>
      <c r="K893" s="57">
        <v>2425.1799999999998</v>
      </c>
      <c r="L893" s="57">
        <v>2431.39</v>
      </c>
      <c r="M893" s="57">
        <v>2439.17</v>
      </c>
      <c r="N893" s="57">
        <v>2407.6999999999998</v>
      </c>
      <c r="O893" s="51" t="s">
        <v>123</v>
      </c>
      <c r="P893" s="58">
        <v>6.9999999999999999E-4</v>
      </c>
    </row>
    <row r="894" spans="8:16" x14ac:dyDescent="0.2">
      <c r="H894" s="297"/>
      <c r="I894" s="292"/>
      <c r="J894" s="52">
        <v>42925</v>
      </c>
      <c r="K894" s="57">
        <v>2459.27</v>
      </c>
      <c r="L894" s="57">
        <v>2424.5100000000002</v>
      </c>
      <c r="M894" s="57">
        <v>2463.54</v>
      </c>
      <c r="N894" s="57">
        <v>2412.79</v>
      </c>
      <c r="O894" s="51" t="s">
        <v>123</v>
      </c>
      <c r="P894" s="58">
        <v>1.41E-2</v>
      </c>
    </row>
    <row r="895" spans="8:16" x14ac:dyDescent="0.2">
      <c r="H895" s="297"/>
      <c r="I895" s="292"/>
      <c r="J895" s="52">
        <v>42932</v>
      </c>
      <c r="K895" s="57">
        <v>2472.54</v>
      </c>
      <c r="L895" s="57">
        <v>2459.5</v>
      </c>
      <c r="M895" s="57">
        <v>2477.62</v>
      </c>
      <c r="N895" s="57">
        <v>2450.34</v>
      </c>
      <c r="O895" s="51" t="s">
        <v>123</v>
      </c>
      <c r="P895" s="58">
        <v>5.4000000000000003E-3</v>
      </c>
    </row>
    <row r="896" spans="8:16" x14ac:dyDescent="0.2">
      <c r="H896" s="297"/>
      <c r="I896" s="292"/>
      <c r="J896" s="52">
        <v>42939</v>
      </c>
      <c r="K896" s="57">
        <v>2472.1</v>
      </c>
      <c r="L896" s="57">
        <v>2472.04</v>
      </c>
      <c r="M896" s="57">
        <v>2484.04</v>
      </c>
      <c r="N896" s="57">
        <v>2459.9299999999998</v>
      </c>
      <c r="O896" s="51" t="s">
        <v>123</v>
      </c>
      <c r="P896" s="58">
        <v>-2.0000000000000001E-4</v>
      </c>
    </row>
    <row r="897" spans="8:16" x14ac:dyDescent="0.2">
      <c r="H897" s="297"/>
      <c r="I897" s="292"/>
      <c r="J897" s="52">
        <v>42946</v>
      </c>
      <c r="K897" s="57">
        <v>2476.83</v>
      </c>
      <c r="L897" s="57">
        <v>2475.94</v>
      </c>
      <c r="M897" s="57">
        <v>2480.38</v>
      </c>
      <c r="N897" s="57">
        <v>2466.48</v>
      </c>
      <c r="O897" s="51" t="s">
        <v>123</v>
      </c>
      <c r="P897" s="58">
        <v>1.9E-3</v>
      </c>
    </row>
    <row r="898" spans="8:16" x14ac:dyDescent="0.2">
      <c r="H898" s="297"/>
      <c r="I898" s="292"/>
      <c r="J898" s="52">
        <v>42953</v>
      </c>
      <c r="K898" s="57">
        <v>2441.3200000000002</v>
      </c>
      <c r="L898" s="57">
        <v>2477.14</v>
      </c>
      <c r="M898" s="57">
        <v>2490.87</v>
      </c>
      <c r="N898" s="57">
        <v>2437.75</v>
      </c>
      <c r="O898" s="51" t="s">
        <v>123</v>
      </c>
      <c r="P898" s="58">
        <v>-1.43E-2</v>
      </c>
    </row>
    <row r="899" spans="8:16" x14ac:dyDescent="0.2">
      <c r="H899" s="297"/>
      <c r="I899" s="292"/>
      <c r="J899" s="52">
        <v>42960</v>
      </c>
      <c r="K899" s="57">
        <v>2425.5500000000002</v>
      </c>
      <c r="L899" s="57">
        <v>2454.96</v>
      </c>
      <c r="M899" s="57">
        <v>2474.9299999999998</v>
      </c>
      <c r="N899" s="57">
        <v>2420.69</v>
      </c>
      <c r="O899" s="51" t="s">
        <v>123</v>
      </c>
      <c r="P899" s="58">
        <v>-6.4999999999999997E-3</v>
      </c>
    </row>
    <row r="900" spans="8:16" x14ac:dyDescent="0.2">
      <c r="H900" s="297"/>
      <c r="I900" s="292"/>
      <c r="J900" s="52">
        <v>42967</v>
      </c>
      <c r="K900" s="57">
        <v>2443.0500000000002</v>
      </c>
      <c r="L900" s="57">
        <v>2425.5</v>
      </c>
      <c r="M900" s="57">
        <v>2454.77</v>
      </c>
      <c r="N900" s="57">
        <v>2417.35</v>
      </c>
      <c r="O900" s="51" t="s">
        <v>123</v>
      </c>
      <c r="P900" s="58">
        <v>7.1999999999999998E-3</v>
      </c>
    </row>
    <row r="901" spans="8:16" x14ac:dyDescent="0.2">
      <c r="H901" s="297"/>
      <c r="I901" s="292"/>
      <c r="J901" s="52">
        <v>42974</v>
      </c>
      <c r="K901" s="57">
        <v>2476.5500000000002</v>
      </c>
      <c r="L901" s="57">
        <v>2447.35</v>
      </c>
      <c r="M901" s="57">
        <v>2480.38</v>
      </c>
      <c r="N901" s="57">
        <v>2428.1999999999998</v>
      </c>
      <c r="O901" s="51" t="s">
        <v>123</v>
      </c>
      <c r="P901" s="58">
        <v>1.37E-2</v>
      </c>
    </row>
    <row r="902" spans="8:16" x14ac:dyDescent="0.2">
      <c r="H902" s="297"/>
      <c r="I902" s="292"/>
      <c r="J902" s="52">
        <v>42981</v>
      </c>
      <c r="K902" s="57">
        <v>2461.4299999999998</v>
      </c>
      <c r="L902" s="57">
        <v>2470.35</v>
      </c>
      <c r="M902" s="57">
        <v>2471.9699999999998</v>
      </c>
      <c r="N902" s="57">
        <v>2446.5500000000002</v>
      </c>
      <c r="O902" s="51" t="s">
        <v>123</v>
      </c>
      <c r="P902" s="58">
        <v>-6.1000000000000004E-3</v>
      </c>
    </row>
    <row r="903" spans="8:16" x14ac:dyDescent="0.2">
      <c r="H903" s="297"/>
      <c r="I903" s="292"/>
      <c r="J903" s="52">
        <v>42988</v>
      </c>
      <c r="K903" s="57">
        <v>2500.23</v>
      </c>
      <c r="L903" s="57">
        <v>2474.52</v>
      </c>
      <c r="M903" s="57">
        <v>2500.23</v>
      </c>
      <c r="N903" s="57">
        <v>2474.52</v>
      </c>
      <c r="O903" s="51" t="s">
        <v>123</v>
      </c>
      <c r="P903" s="58">
        <v>1.5800000000000002E-2</v>
      </c>
    </row>
    <row r="904" spans="8:16" x14ac:dyDescent="0.2">
      <c r="H904" s="297"/>
      <c r="I904" s="292"/>
      <c r="J904" s="52">
        <v>42995</v>
      </c>
      <c r="K904" s="57">
        <v>2502.2199999999998</v>
      </c>
      <c r="L904" s="57">
        <v>2502.5100000000002</v>
      </c>
      <c r="M904" s="57">
        <v>2508.85</v>
      </c>
      <c r="N904" s="57">
        <v>2496.54</v>
      </c>
      <c r="O904" s="51" t="s">
        <v>123</v>
      </c>
      <c r="P904" s="58">
        <v>8.0000000000000004E-4</v>
      </c>
    </row>
    <row r="905" spans="8:16" x14ac:dyDescent="0.2">
      <c r="H905" s="297"/>
      <c r="I905" s="292"/>
      <c r="J905" s="52">
        <v>43002</v>
      </c>
      <c r="K905" s="57">
        <v>2519.36</v>
      </c>
      <c r="L905" s="57">
        <v>2499.39</v>
      </c>
      <c r="M905" s="57">
        <v>2519.44</v>
      </c>
      <c r="N905" s="57">
        <v>2488.0300000000002</v>
      </c>
      <c r="O905" s="51" t="s">
        <v>123</v>
      </c>
      <c r="P905" s="58">
        <v>6.7999999999999996E-3</v>
      </c>
    </row>
    <row r="906" spans="8:16" x14ac:dyDescent="0.2">
      <c r="H906" s="297"/>
      <c r="I906" s="292"/>
      <c r="J906" s="52">
        <v>43009</v>
      </c>
      <c r="K906" s="57">
        <v>2549.33</v>
      </c>
      <c r="L906" s="57">
        <v>2521.1999999999998</v>
      </c>
      <c r="M906" s="57">
        <v>2552.5100000000002</v>
      </c>
      <c r="N906" s="57">
        <v>2520.4</v>
      </c>
      <c r="O906" s="51" t="s">
        <v>123</v>
      </c>
      <c r="P906" s="58">
        <v>1.1900000000000001E-2</v>
      </c>
    </row>
    <row r="907" spans="8:16" x14ac:dyDescent="0.2">
      <c r="H907" s="297"/>
      <c r="I907" s="292"/>
      <c r="J907" s="52">
        <v>43016</v>
      </c>
      <c r="K907" s="57">
        <v>2553.17</v>
      </c>
      <c r="L907" s="57">
        <v>2551.39</v>
      </c>
      <c r="M907" s="57">
        <v>2557.65</v>
      </c>
      <c r="N907" s="57">
        <v>2541.6</v>
      </c>
      <c r="O907" s="51" t="s">
        <v>123</v>
      </c>
      <c r="P907" s="58">
        <v>1.5E-3</v>
      </c>
    </row>
    <row r="908" spans="8:16" x14ac:dyDescent="0.2">
      <c r="H908" s="297"/>
      <c r="I908" s="292"/>
      <c r="J908" s="52">
        <v>43023</v>
      </c>
      <c r="K908" s="57">
        <v>2575.21</v>
      </c>
      <c r="L908" s="57">
        <v>2555.5700000000002</v>
      </c>
      <c r="M908" s="57">
        <v>2575.44</v>
      </c>
      <c r="N908" s="57">
        <v>2547.92</v>
      </c>
      <c r="O908" s="51" t="s">
        <v>123</v>
      </c>
      <c r="P908" s="58">
        <v>8.6E-3</v>
      </c>
    </row>
    <row r="909" spans="8:16" x14ac:dyDescent="0.2">
      <c r="H909" s="297"/>
      <c r="I909" s="292"/>
      <c r="J909" s="52">
        <v>43030</v>
      </c>
      <c r="K909" s="57">
        <v>2581.0700000000002</v>
      </c>
      <c r="L909" s="57">
        <v>2578.08</v>
      </c>
      <c r="M909" s="57">
        <v>2582.98</v>
      </c>
      <c r="N909" s="57">
        <v>2544</v>
      </c>
      <c r="O909" s="51" t="s">
        <v>123</v>
      </c>
      <c r="P909" s="58">
        <v>2.3E-3</v>
      </c>
    </row>
    <row r="910" spans="8:16" x14ac:dyDescent="0.2">
      <c r="H910" s="297"/>
      <c r="I910" s="292"/>
      <c r="J910" s="52">
        <v>43037</v>
      </c>
      <c r="K910" s="57">
        <v>2587.84</v>
      </c>
      <c r="L910" s="57">
        <v>2577.75</v>
      </c>
      <c r="M910" s="57">
        <v>2588.42</v>
      </c>
      <c r="N910" s="57">
        <v>2566.17</v>
      </c>
      <c r="O910" s="51" t="s">
        <v>123</v>
      </c>
      <c r="P910" s="58">
        <v>2.5999999999999999E-3</v>
      </c>
    </row>
    <row r="911" spans="8:16" x14ac:dyDescent="0.2">
      <c r="H911" s="297"/>
      <c r="I911" s="292"/>
      <c r="J911" s="52">
        <v>43044</v>
      </c>
      <c r="K911" s="57">
        <v>2582.3000000000002</v>
      </c>
      <c r="L911" s="57">
        <v>2587.4699999999998</v>
      </c>
      <c r="M911" s="57">
        <v>2597.02</v>
      </c>
      <c r="N911" s="57">
        <v>2566.33</v>
      </c>
      <c r="O911" s="51" t="s">
        <v>123</v>
      </c>
      <c r="P911" s="58">
        <v>-2.0999999999999999E-3</v>
      </c>
    </row>
    <row r="912" spans="8:16" x14ac:dyDescent="0.2">
      <c r="H912" s="297"/>
      <c r="I912" s="292"/>
      <c r="J912" s="52">
        <v>43051</v>
      </c>
      <c r="K912" s="57">
        <v>2578.85</v>
      </c>
      <c r="L912" s="57">
        <v>2576.5300000000002</v>
      </c>
      <c r="M912" s="57">
        <v>2590.09</v>
      </c>
      <c r="N912" s="57">
        <v>2557.4499999999998</v>
      </c>
      <c r="O912" s="51" t="s">
        <v>123</v>
      </c>
      <c r="P912" s="58">
        <v>-1.2999999999999999E-3</v>
      </c>
    </row>
    <row r="913" spans="8:16" x14ac:dyDescent="0.2">
      <c r="H913" s="297"/>
      <c r="I913" s="292"/>
      <c r="J913" s="52">
        <v>43058</v>
      </c>
      <c r="K913" s="57">
        <v>2602.42</v>
      </c>
      <c r="L913" s="57">
        <v>2579.4899999999998</v>
      </c>
      <c r="M913" s="57">
        <v>2604.21</v>
      </c>
      <c r="N913" s="57">
        <v>2578.2399999999998</v>
      </c>
      <c r="O913" s="51" t="s">
        <v>123</v>
      </c>
      <c r="P913" s="58">
        <v>9.1000000000000004E-3</v>
      </c>
    </row>
    <row r="914" spans="8:16" x14ac:dyDescent="0.2">
      <c r="H914" s="297"/>
      <c r="I914" s="292"/>
      <c r="J914" s="52">
        <v>43065</v>
      </c>
      <c r="K914" s="57">
        <v>2642.22</v>
      </c>
      <c r="L914" s="57">
        <v>2602.66</v>
      </c>
      <c r="M914" s="57">
        <v>2657.74</v>
      </c>
      <c r="N914" s="57">
        <v>2598.87</v>
      </c>
      <c r="O914" s="51" t="s">
        <v>123</v>
      </c>
      <c r="P914" s="58">
        <v>1.5299999999999999E-2</v>
      </c>
    </row>
    <row r="915" spans="8:16" x14ac:dyDescent="0.2">
      <c r="H915" s="297"/>
      <c r="I915" s="292"/>
      <c r="J915" s="52">
        <v>43072</v>
      </c>
      <c r="K915" s="57">
        <v>2651.5</v>
      </c>
      <c r="L915" s="57">
        <v>2657.19</v>
      </c>
      <c r="M915" s="57">
        <v>2665.19</v>
      </c>
      <c r="N915" s="57">
        <v>2624.75</v>
      </c>
      <c r="O915" s="51" t="s">
        <v>123</v>
      </c>
      <c r="P915" s="58">
        <v>3.5000000000000001E-3</v>
      </c>
    </row>
    <row r="916" spans="8:16" x14ac:dyDescent="0.2">
      <c r="H916" s="297"/>
      <c r="I916" s="292"/>
      <c r="J916" s="52">
        <v>43079</v>
      </c>
      <c r="K916" s="57">
        <v>2675.81</v>
      </c>
      <c r="L916" s="57">
        <v>2652.19</v>
      </c>
      <c r="M916" s="57">
        <v>2679.63</v>
      </c>
      <c r="N916" s="57">
        <v>2651.47</v>
      </c>
      <c r="O916" s="51" t="s">
        <v>123</v>
      </c>
      <c r="P916" s="58">
        <v>9.1999999999999998E-3</v>
      </c>
    </row>
    <row r="917" spans="8:16" x14ac:dyDescent="0.2">
      <c r="H917" s="297"/>
      <c r="I917" s="292"/>
      <c r="J917" s="52">
        <v>43086</v>
      </c>
      <c r="K917" s="57">
        <v>2683.34</v>
      </c>
      <c r="L917" s="57">
        <v>2685.92</v>
      </c>
      <c r="M917" s="57">
        <v>2694.97</v>
      </c>
      <c r="N917" s="57">
        <v>2676.11</v>
      </c>
      <c r="O917" s="51" t="s">
        <v>123</v>
      </c>
      <c r="P917" s="58">
        <v>2.8E-3</v>
      </c>
    </row>
    <row r="918" spans="8:16" x14ac:dyDescent="0.2">
      <c r="H918" s="297"/>
      <c r="I918" s="292"/>
      <c r="J918" s="52">
        <v>43093</v>
      </c>
      <c r="K918" s="57">
        <v>2673.61</v>
      </c>
      <c r="L918" s="57">
        <v>2679.09</v>
      </c>
      <c r="M918" s="57">
        <v>2692.12</v>
      </c>
      <c r="N918" s="57">
        <v>2673.61</v>
      </c>
      <c r="O918" s="51" t="s">
        <v>123</v>
      </c>
      <c r="P918" s="58">
        <v>-3.5999999999999999E-3</v>
      </c>
    </row>
    <row r="919" spans="8:16" x14ac:dyDescent="0.2">
      <c r="H919" s="297"/>
      <c r="I919" s="292"/>
      <c r="J919" s="52">
        <v>43100</v>
      </c>
      <c r="K919" s="57">
        <v>2743.15</v>
      </c>
      <c r="L919" s="57">
        <v>2683.73</v>
      </c>
      <c r="M919" s="57">
        <v>2743.45</v>
      </c>
      <c r="N919" s="57">
        <v>2682.36</v>
      </c>
      <c r="O919" s="51" t="s">
        <v>123</v>
      </c>
      <c r="P919" s="58">
        <v>2.5999999999999999E-2</v>
      </c>
    </row>
    <row r="920" spans="8:16" x14ac:dyDescent="0.2">
      <c r="H920" s="297"/>
      <c r="I920" s="292"/>
      <c r="J920" s="52">
        <v>43107</v>
      </c>
      <c r="K920" s="57">
        <v>2786.24</v>
      </c>
      <c r="L920" s="57">
        <v>2742.67</v>
      </c>
      <c r="M920" s="57">
        <v>2787.85</v>
      </c>
      <c r="N920" s="57">
        <v>2736.06</v>
      </c>
      <c r="O920" s="51" t="s">
        <v>123</v>
      </c>
      <c r="P920" s="58">
        <v>1.5699999999999999E-2</v>
      </c>
    </row>
    <row r="921" spans="8:16" x14ac:dyDescent="0.2">
      <c r="H921" s="297"/>
      <c r="I921" s="292"/>
      <c r="J921" s="52">
        <v>43114</v>
      </c>
      <c r="K921" s="57">
        <v>2810.3</v>
      </c>
      <c r="L921" s="57">
        <v>2798.96</v>
      </c>
      <c r="M921" s="57">
        <v>2810.33</v>
      </c>
      <c r="N921" s="57">
        <v>2768.64</v>
      </c>
      <c r="O921" s="51" t="s">
        <v>123</v>
      </c>
      <c r="P921" s="58">
        <v>8.6E-3</v>
      </c>
    </row>
    <row r="922" spans="8:16" x14ac:dyDescent="0.2">
      <c r="H922" s="297"/>
      <c r="I922" s="292"/>
      <c r="J922" s="52">
        <v>43121</v>
      </c>
      <c r="K922" s="57">
        <v>2872.87</v>
      </c>
      <c r="L922" s="57">
        <v>2809.16</v>
      </c>
      <c r="M922" s="57">
        <v>2872.87</v>
      </c>
      <c r="N922" s="57">
        <v>2808.12</v>
      </c>
      <c r="O922" s="51" t="s">
        <v>123</v>
      </c>
      <c r="P922" s="58">
        <v>2.23E-2</v>
      </c>
    </row>
    <row r="923" spans="8:16" x14ac:dyDescent="0.2">
      <c r="H923" s="297"/>
      <c r="I923" s="292"/>
      <c r="J923" s="52">
        <v>43128</v>
      </c>
      <c r="K923" s="57">
        <v>2762.13</v>
      </c>
      <c r="L923" s="57">
        <v>2867.23</v>
      </c>
      <c r="M923" s="57">
        <v>2870.62</v>
      </c>
      <c r="N923" s="57">
        <v>2759.97</v>
      </c>
      <c r="O923" s="51" t="s">
        <v>123</v>
      </c>
      <c r="P923" s="58">
        <v>-3.85E-2</v>
      </c>
    </row>
    <row r="924" spans="8:16" x14ac:dyDescent="0.2">
      <c r="H924" s="297"/>
      <c r="I924" s="292"/>
      <c r="J924" s="52">
        <v>43135</v>
      </c>
      <c r="K924" s="57">
        <v>2619.5500000000002</v>
      </c>
      <c r="L924" s="57">
        <v>2741.06</v>
      </c>
      <c r="M924" s="57">
        <v>2763.39</v>
      </c>
      <c r="N924" s="57">
        <v>2532.69</v>
      </c>
      <c r="O924" s="51" t="s">
        <v>123</v>
      </c>
      <c r="P924" s="58">
        <v>-5.16E-2</v>
      </c>
    </row>
    <row r="925" spans="8:16" x14ac:dyDescent="0.2">
      <c r="H925" s="297"/>
      <c r="I925" s="292"/>
      <c r="J925" s="52">
        <v>43142</v>
      </c>
      <c r="K925" s="57">
        <v>2732.22</v>
      </c>
      <c r="L925" s="57">
        <v>2636.75</v>
      </c>
      <c r="M925" s="57">
        <v>2754.42</v>
      </c>
      <c r="N925" s="57">
        <v>2622.45</v>
      </c>
      <c r="O925" s="51" t="s">
        <v>123</v>
      </c>
      <c r="P925" s="58">
        <v>4.2999999999999997E-2</v>
      </c>
    </row>
    <row r="926" spans="8:16" x14ac:dyDescent="0.2">
      <c r="H926" s="297"/>
      <c r="I926" s="292"/>
      <c r="J926" s="52">
        <v>43149</v>
      </c>
      <c r="K926" s="57">
        <v>2747.3</v>
      </c>
      <c r="L926" s="57">
        <v>2722.99</v>
      </c>
      <c r="M926" s="57">
        <v>2747.76</v>
      </c>
      <c r="N926" s="57">
        <v>2697.77</v>
      </c>
      <c r="O926" s="51" t="s">
        <v>123</v>
      </c>
      <c r="P926" s="58">
        <v>5.4999999999999997E-3</v>
      </c>
    </row>
    <row r="927" spans="8:16" x14ac:dyDescent="0.2">
      <c r="H927" s="297"/>
      <c r="I927" s="292"/>
      <c r="J927" s="52">
        <v>43156</v>
      </c>
      <c r="K927" s="57">
        <v>2691.25</v>
      </c>
      <c r="L927" s="57">
        <v>2757.37</v>
      </c>
      <c r="M927" s="57">
        <v>2789.15</v>
      </c>
      <c r="N927" s="57">
        <v>2647.32</v>
      </c>
      <c r="O927" s="51" t="s">
        <v>123</v>
      </c>
      <c r="P927" s="58">
        <v>-2.0400000000000001E-2</v>
      </c>
    </row>
    <row r="928" spans="8:16" x14ac:dyDescent="0.2">
      <c r="H928" s="297"/>
      <c r="I928" s="292"/>
      <c r="J928" s="52">
        <v>43163</v>
      </c>
      <c r="K928" s="57">
        <v>2786.57</v>
      </c>
      <c r="L928" s="57">
        <v>2681.06</v>
      </c>
      <c r="M928" s="57">
        <v>2786.57</v>
      </c>
      <c r="N928" s="57">
        <v>2675.75</v>
      </c>
      <c r="O928" s="51" t="s">
        <v>123</v>
      </c>
      <c r="P928" s="58">
        <v>3.5400000000000001E-2</v>
      </c>
    </row>
    <row r="929" spans="8:16" x14ac:dyDescent="0.2">
      <c r="H929" s="297"/>
      <c r="I929" s="292"/>
      <c r="J929" s="52">
        <v>43170</v>
      </c>
      <c r="K929" s="57">
        <v>2752.01</v>
      </c>
      <c r="L929" s="57">
        <v>2790.54</v>
      </c>
      <c r="M929" s="57">
        <v>2801.9</v>
      </c>
      <c r="N929" s="57">
        <v>2741.47</v>
      </c>
      <c r="O929" s="51" t="s">
        <v>123</v>
      </c>
      <c r="P929" s="58">
        <v>-1.24E-2</v>
      </c>
    </row>
    <row r="930" spans="8:16" x14ac:dyDescent="0.2">
      <c r="H930" s="297"/>
      <c r="I930" s="292"/>
      <c r="J930" s="52">
        <v>43177</v>
      </c>
      <c r="K930" s="57">
        <v>2588.2600000000002</v>
      </c>
      <c r="L930" s="57">
        <v>2741.38</v>
      </c>
      <c r="M930" s="57">
        <v>2741.38</v>
      </c>
      <c r="N930" s="57">
        <v>2585.89</v>
      </c>
      <c r="O930" s="51" t="s">
        <v>123</v>
      </c>
      <c r="P930" s="58">
        <v>-5.9499999999999997E-2</v>
      </c>
    </row>
    <row r="931" spans="8:16" x14ac:dyDescent="0.2">
      <c r="H931" s="297"/>
      <c r="I931" s="292"/>
      <c r="J931" s="52">
        <v>43184</v>
      </c>
      <c r="K931" s="57">
        <v>2640.87</v>
      </c>
      <c r="L931" s="57">
        <v>2619.35</v>
      </c>
      <c r="M931" s="57">
        <v>2674.78</v>
      </c>
      <c r="N931" s="57">
        <v>2593.06</v>
      </c>
      <c r="O931" s="51" t="s">
        <v>123</v>
      </c>
      <c r="P931" s="58">
        <v>2.0299999999999999E-2</v>
      </c>
    </row>
    <row r="932" spans="8:16" x14ac:dyDescent="0.2">
      <c r="H932" s="297"/>
      <c r="I932" s="292"/>
      <c r="J932" s="52">
        <v>43191</v>
      </c>
      <c r="K932" s="57">
        <v>2604.4699999999998</v>
      </c>
      <c r="L932" s="57">
        <v>2633.45</v>
      </c>
      <c r="M932" s="57">
        <v>2672.08</v>
      </c>
      <c r="N932" s="57">
        <v>2553.8000000000002</v>
      </c>
      <c r="O932" s="51" t="s">
        <v>123</v>
      </c>
      <c r="P932" s="58">
        <v>-1.38E-2</v>
      </c>
    </row>
    <row r="933" spans="8:16" x14ac:dyDescent="0.2">
      <c r="H933" s="297"/>
      <c r="I933" s="292"/>
      <c r="J933" s="52">
        <v>43198</v>
      </c>
      <c r="K933" s="57">
        <v>2656.3</v>
      </c>
      <c r="L933" s="57">
        <v>2617.1799999999998</v>
      </c>
      <c r="M933" s="57">
        <v>2680.26</v>
      </c>
      <c r="N933" s="57">
        <v>2610.79</v>
      </c>
      <c r="O933" s="51" t="s">
        <v>123</v>
      </c>
      <c r="P933" s="58">
        <v>1.9900000000000001E-2</v>
      </c>
    </row>
    <row r="934" spans="8:16" x14ac:dyDescent="0.2">
      <c r="H934" s="297"/>
      <c r="I934" s="292"/>
      <c r="J934" s="52">
        <v>43205</v>
      </c>
      <c r="K934" s="57">
        <v>2670.14</v>
      </c>
      <c r="L934" s="57">
        <v>2670.1</v>
      </c>
      <c r="M934" s="57">
        <v>2717.49</v>
      </c>
      <c r="N934" s="57">
        <v>2660.61</v>
      </c>
      <c r="O934" s="51" t="s">
        <v>123</v>
      </c>
      <c r="P934" s="58">
        <v>5.1999999999999998E-3</v>
      </c>
    </row>
    <row r="935" spans="8:16" x14ac:dyDescent="0.2">
      <c r="H935" s="297"/>
      <c r="I935" s="292"/>
      <c r="J935" s="52">
        <v>43212</v>
      </c>
      <c r="K935" s="57">
        <v>2669.91</v>
      </c>
      <c r="L935" s="57">
        <v>2675.4</v>
      </c>
      <c r="M935" s="57">
        <v>2683.55</v>
      </c>
      <c r="N935" s="57">
        <v>2612.67</v>
      </c>
      <c r="O935" s="51" t="s">
        <v>123</v>
      </c>
      <c r="P935" s="58">
        <v>-1E-4</v>
      </c>
    </row>
    <row r="936" spans="8:16" x14ac:dyDescent="0.2">
      <c r="H936" s="297"/>
      <c r="I936" s="292"/>
      <c r="J936" s="52">
        <v>43219</v>
      </c>
      <c r="K936" s="57">
        <v>2663.42</v>
      </c>
      <c r="L936" s="57">
        <v>2675.05</v>
      </c>
      <c r="M936" s="57">
        <v>2682.92</v>
      </c>
      <c r="N936" s="57">
        <v>2594.62</v>
      </c>
      <c r="O936" s="51" t="s">
        <v>123</v>
      </c>
      <c r="P936" s="58">
        <v>-2.3999999999999998E-3</v>
      </c>
    </row>
    <row r="937" spans="8:16" x14ac:dyDescent="0.2">
      <c r="H937" s="297"/>
      <c r="I937" s="292"/>
      <c r="J937" s="52">
        <v>43226</v>
      </c>
      <c r="K937" s="57">
        <v>2727.72</v>
      </c>
      <c r="L937" s="57">
        <v>2669.36</v>
      </c>
      <c r="M937" s="57">
        <v>2732.86</v>
      </c>
      <c r="N937" s="57">
        <v>2655.2</v>
      </c>
      <c r="O937" s="51" t="s">
        <v>123</v>
      </c>
      <c r="P937" s="58">
        <v>2.41E-2</v>
      </c>
    </row>
    <row r="938" spans="8:16" x14ac:dyDescent="0.2">
      <c r="H938" s="297"/>
      <c r="I938" s="292"/>
      <c r="J938" s="52">
        <v>43233</v>
      </c>
      <c r="K938" s="57">
        <v>2712.97</v>
      </c>
      <c r="L938" s="57">
        <v>2733.37</v>
      </c>
      <c r="M938" s="57">
        <v>2742.1</v>
      </c>
      <c r="N938" s="57">
        <v>2701.91</v>
      </c>
      <c r="O938" s="51" t="s">
        <v>123</v>
      </c>
      <c r="P938" s="58">
        <v>-5.4000000000000003E-3</v>
      </c>
    </row>
    <row r="939" spans="8:16" x14ac:dyDescent="0.2">
      <c r="H939" s="297"/>
      <c r="I939" s="292"/>
      <c r="J939" s="52">
        <v>43240</v>
      </c>
      <c r="K939" s="57">
        <v>2721.33</v>
      </c>
      <c r="L939" s="57">
        <v>2725.95</v>
      </c>
      <c r="M939" s="57">
        <v>2742.24</v>
      </c>
      <c r="N939" s="57">
        <v>2707.38</v>
      </c>
      <c r="O939" s="51" t="s">
        <v>123</v>
      </c>
      <c r="P939" s="58">
        <v>3.0999999999999999E-3</v>
      </c>
    </row>
    <row r="940" spans="8:16" x14ac:dyDescent="0.2">
      <c r="H940" s="297"/>
      <c r="I940" s="292"/>
      <c r="J940" s="52">
        <v>43247</v>
      </c>
      <c r="K940" s="57">
        <v>2734.62</v>
      </c>
      <c r="L940" s="57">
        <v>2705.11</v>
      </c>
      <c r="M940" s="57">
        <v>2736.93</v>
      </c>
      <c r="N940" s="57">
        <v>2676.81</v>
      </c>
      <c r="O940" s="51" t="s">
        <v>123</v>
      </c>
      <c r="P940" s="58">
        <v>4.8999999999999998E-3</v>
      </c>
    </row>
    <row r="941" spans="8:16" x14ac:dyDescent="0.2">
      <c r="H941" s="297"/>
      <c r="I941" s="292"/>
      <c r="J941" s="52">
        <v>43254</v>
      </c>
      <c r="K941" s="57">
        <v>2779.03</v>
      </c>
      <c r="L941" s="57">
        <v>2741.67</v>
      </c>
      <c r="M941" s="57">
        <v>2779.9</v>
      </c>
      <c r="N941" s="57">
        <v>2739.51</v>
      </c>
      <c r="O941" s="51" t="s">
        <v>123</v>
      </c>
      <c r="P941" s="58">
        <v>1.6199999999999999E-2</v>
      </c>
    </row>
    <row r="942" spans="8:16" x14ac:dyDescent="0.2">
      <c r="H942" s="297"/>
      <c r="I942" s="292"/>
      <c r="J942" s="52">
        <v>43261</v>
      </c>
      <c r="K942" s="57">
        <v>2779.66</v>
      </c>
      <c r="L942" s="57">
        <v>2780.18</v>
      </c>
      <c r="M942" s="57">
        <v>2791.47</v>
      </c>
      <c r="N942" s="57">
        <v>2761.73</v>
      </c>
      <c r="O942" s="51" t="s">
        <v>123</v>
      </c>
      <c r="P942" s="58">
        <v>2.0000000000000001E-4</v>
      </c>
    </row>
    <row r="943" spans="8:16" x14ac:dyDescent="0.2">
      <c r="H943" s="297"/>
      <c r="I943" s="292"/>
      <c r="J943" s="52">
        <v>43268</v>
      </c>
      <c r="K943" s="57">
        <v>2754.88</v>
      </c>
      <c r="L943" s="57">
        <v>2765.79</v>
      </c>
      <c r="M943" s="57">
        <v>2774.99</v>
      </c>
      <c r="N943" s="57">
        <v>2743.19</v>
      </c>
      <c r="O943" s="51" t="s">
        <v>123</v>
      </c>
      <c r="P943" s="58">
        <v>-8.8999999999999999E-3</v>
      </c>
    </row>
    <row r="944" spans="8:16" x14ac:dyDescent="0.2">
      <c r="H944" s="297"/>
      <c r="I944" s="292"/>
      <c r="J944" s="52">
        <v>43275</v>
      </c>
      <c r="K944" s="57">
        <v>2718.37</v>
      </c>
      <c r="L944" s="57">
        <v>2742.94</v>
      </c>
      <c r="M944" s="57">
        <v>2746.09</v>
      </c>
      <c r="N944" s="57">
        <v>2691.99</v>
      </c>
      <c r="O944" s="51" t="s">
        <v>123</v>
      </c>
      <c r="P944" s="58">
        <v>-1.3299999999999999E-2</v>
      </c>
    </row>
    <row r="945" spans="8:16" x14ac:dyDescent="0.2">
      <c r="H945" s="297"/>
      <c r="I945" s="292"/>
      <c r="J945" s="52">
        <v>43282</v>
      </c>
      <c r="K945" s="57">
        <v>2759.82</v>
      </c>
      <c r="L945" s="57">
        <v>2704.95</v>
      </c>
      <c r="M945" s="57">
        <v>2764.41</v>
      </c>
      <c r="N945" s="57">
        <v>2698.95</v>
      </c>
      <c r="O945" s="51" t="s">
        <v>123</v>
      </c>
      <c r="P945" s="58">
        <v>1.52E-2</v>
      </c>
    </row>
    <row r="946" spans="8:16" x14ac:dyDescent="0.2">
      <c r="H946" s="297"/>
      <c r="I946" s="292"/>
      <c r="J946" s="52">
        <v>43289</v>
      </c>
      <c r="K946" s="57">
        <v>2801.31</v>
      </c>
      <c r="L946" s="57">
        <v>2768.51</v>
      </c>
      <c r="M946" s="57">
        <v>2804.53</v>
      </c>
      <c r="N946" s="57">
        <v>2768.51</v>
      </c>
      <c r="O946" s="51" t="s">
        <v>123</v>
      </c>
      <c r="P946" s="58">
        <v>1.4999999999999999E-2</v>
      </c>
    </row>
    <row r="947" spans="8:16" x14ac:dyDescent="0.2">
      <c r="H947" s="297"/>
      <c r="I947" s="292"/>
      <c r="J947" s="52">
        <v>43296</v>
      </c>
      <c r="K947" s="57">
        <v>2801.83</v>
      </c>
      <c r="L947" s="57">
        <v>2801.43</v>
      </c>
      <c r="M947" s="57">
        <v>2816.76</v>
      </c>
      <c r="N947" s="57">
        <v>2789.24</v>
      </c>
      <c r="O947" s="51" t="s">
        <v>123</v>
      </c>
      <c r="P947" s="58">
        <v>2.0000000000000001E-4</v>
      </c>
    </row>
    <row r="948" spans="8:16" x14ac:dyDescent="0.2">
      <c r="H948" s="297"/>
      <c r="I948" s="292"/>
      <c r="J948" s="52">
        <v>43303</v>
      </c>
      <c r="K948" s="57">
        <v>2818.82</v>
      </c>
      <c r="L948" s="57">
        <v>2799.17</v>
      </c>
      <c r="M948" s="57">
        <v>2848.03</v>
      </c>
      <c r="N948" s="57">
        <v>2795.14</v>
      </c>
      <c r="O948" s="51" t="s">
        <v>123</v>
      </c>
      <c r="P948" s="58">
        <v>6.1000000000000004E-3</v>
      </c>
    </row>
    <row r="949" spans="8:16" x14ac:dyDescent="0.2">
      <c r="H949" s="297"/>
      <c r="I949" s="292"/>
      <c r="J949" s="52">
        <v>43310</v>
      </c>
      <c r="K949" s="57">
        <v>2840.35</v>
      </c>
      <c r="L949" s="57">
        <v>2819</v>
      </c>
      <c r="M949" s="57">
        <v>2840.38</v>
      </c>
      <c r="N949" s="57">
        <v>2796.34</v>
      </c>
      <c r="O949" s="51" t="s">
        <v>123</v>
      </c>
      <c r="P949" s="58">
        <v>7.6E-3</v>
      </c>
    </row>
    <row r="950" spans="8:16" x14ac:dyDescent="0.2">
      <c r="H950" s="297"/>
      <c r="I950" s="292"/>
      <c r="J950" s="52">
        <v>43317</v>
      </c>
      <c r="K950" s="57">
        <v>2833.28</v>
      </c>
      <c r="L950" s="57">
        <v>2840.29</v>
      </c>
      <c r="M950" s="57">
        <v>2863.43</v>
      </c>
      <c r="N950" s="57">
        <v>2825.81</v>
      </c>
      <c r="O950" s="51" t="s">
        <v>123</v>
      </c>
      <c r="P950" s="58">
        <v>-2.5000000000000001E-3</v>
      </c>
    </row>
    <row r="951" spans="8:16" x14ac:dyDescent="0.2">
      <c r="H951" s="297"/>
      <c r="I951" s="292"/>
      <c r="J951" s="52">
        <v>43324</v>
      </c>
      <c r="K951" s="57">
        <v>2850.13</v>
      </c>
      <c r="L951" s="57">
        <v>2835.46</v>
      </c>
      <c r="M951" s="57">
        <v>2855.63</v>
      </c>
      <c r="N951" s="57">
        <v>2802.49</v>
      </c>
      <c r="O951" s="51" t="s">
        <v>123</v>
      </c>
      <c r="P951" s="58">
        <v>5.8999999999999999E-3</v>
      </c>
    </row>
    <row r="952" spans="8:16" x14ac:dyDescent="0.2">
      <c r="H952" s="297"/>
      <c r="I952" s="292"/>
      <c r="J952" s="52">
        <v>43331</v>
      </c>
      <c r="K952" s="57">
        <v>2874.69</v>
      </c>
      <c r="L952" s="57">
        <v>2853.93</v>
      </c>
      <c r="M952" s="57">
        <v>2876.16</v>
      </c>
      <c r="N952" s="57">
        <v>2850.62</v>
      </c>
      <c r="O952" s="51" t="s">
        <v>123</v>
      </c>
      <c r="P952" s="58">
        <v>8.6E-3</v>
      </c>
    </row>
    <row r="953" spans="8:16" x14ac:dyDescent="0.2">
      <c r="H953" s="297"/>
      <c r="I953" s="292"/>
      <c r="J953" s="52">
        <v>43338</v>
      </c>
      <c r="K953" s="57">
        <v>2901.52</v>
      </c>
      <c r="L953" s="57">
        <v>2884.69</v>
      </c>
      <c r="M953" s="57">
        <v>2916.5</v>
      </c>
      <c r="N953" s="57">
        <v>2884.69</v>
      </c>
      <c r="O953" s="51" t="s">
        <v>123</v>
      </c>
      <c r="P953" s="58">
        <v>9.2999999999999992E-3</v>
      </c>
    </row>
    <row r="954" spans="8:16" x14ac:dyDescent="0.2">
      <c r="H954" s="297"/>
      <c r="I954" s="292"/>
      <c r="J954" s="52">
        <v>43345</v>
      </c>
      <c r="K954" s="57">
        <v>2871.68</v>
      </c>
      <c r="L954" s="57">
        <v>2896.96</v>
      </c>
      <c r="M954" s="57">
        <v>2900.18</v>
      </c>
      <c r="N954" s="57">
        <v>2864.12</v>
      </c>
      <c r="O954" s="51" t="s">
        <v>123</v>
      </c>
      <c r="P954" s="58">
        <v>-1.03E-2</v>
      </c>
    </row>
    <row r="955" spans="8:16" x14ac:dyDescent="0.2">
      <c r="H955" s="297"/>
      <c r="I955" s="292"/>
      <c r="J955" s="52">
        <v>43352</v>
      </c>
      <c r="K955" s="57">
        <v>2904.98</v>
      </c>
      <c r="L955" s="57">
        <v>2881.39</v>
      </c>
      <c r="M955" s="57">
        <v>2908.3</v>
      </c>
      <c r="N955" s="57">
        <v>2866.78</v>
      </c>
      <c r="O955" s="51" t="s">
        <v>123</v>
      </c>
      <c r="P955" s="58">
        <v>1.1599999999999999E-2</v>
      </c>
    </row>
    <row r="956" spans="8:16" x14ac:dyDescent="0.2">
      <c r="H956" s="297"/>
      <c r="I956" s="292"/>
      <c r="J956" s="52">
        <v>43359</v>
      </c>
      <c r="K956" s="57">
        <v>2929.67</v>
      </c>
      <c r="L956" s="57">
        <v>2903.83</v>
      </c>
      <c r="M956" s="57">
        <v>2940.91</v>
      </c>
      <c r="N956" s="57">
        <v>2886.16</v>
      </c>
      <c r="O956" s="51" t="s">
        <v>123</v>
      </c>
      <c r="P956" s="58">
        <v>8.5000000000000006E-3</v>
      </c>
    </row>
    <row r="957" spans="8:16" x14ac:dyDescent="0.2">
      <c r="H957" s="297"/>
      <c r="I957" s="292"/>
      <c r="J957" s="52">
        <v>43366</v>
      </c>
      <c r="K957" s="57">
        <v>2913.98</v>
      </c>
      <c r="L957" s="57">
        <v>2921.83</v>
      </c>
      <c r="M957" s="57">
        <v>2931.15</v>
      </c>
      <c r="N957" s="57">
        <v>2903.28</v>
      </c>
      <c r="O957" s="51" t="s">
        <v>123</v>
      </c>
      <c r="P957" s="58">
        <v>-5.4000000000000003E-3</v>
      </c>
    </row>
    <row r="958" spans="8:16" x14ac:dyDescent="0.2">
      <c r="H958" s="297"/>
      <c r="I958" s="292"/>
      <c r="J958" s="52">
        <v>43373</v>
      </c>
      <c r="K958" s="57">
        <v>2885.57</v>
      </c>
      <c r="L958" s="57">
        <v>2926.29</v>
      </c>
      <c r="M958" s="57">
        <v>2939.86</v>
      </c>
      <c r="N958" s="57">
        <v>2869.29</v>
      </c>
      <c r="O958" s="51" t="s">
        <v>123</v>
      </c>
      <c r="P958" s="58">
        <v>-9.7000000000000003E-3</v>
      </c>
    </row>
    <row r="959" spans="8:16" x14ac:dyDescent="0.2">
      <c r="H959" s="297"/>
      <c r="I959" s="292"/>
      <c r="J959" s="52">
        <v>43380</v>
      </c>
      <c r="K959" s="57">
        <v>2767.13</v>
      </c>
      <c r="L959" s="57">
        <v>2877.53</v>
      </c>
      <c r="M959" s="57">
        <v>2894.83</v>
      </c>
      <c r="N959" s="57">
        <v>2710.51</v>
      </c>
      <c r="O959" s="51" t="s">
        <v>123</v>
      </c>
      <c r="P959" s="58">
        <v>-4.1000000000000002E-2</v>
      </c>
    </row>
    <row r="960" spans="8:16" x14ac:dyDescent="0.2">
      <c r="H960" s="297"/>
      <c r="I960" s="292"/>
      <c r="J960" s="52">
        <v>43387</v>
      </c>
      <c r="K960" s="57">
        <v>2767.78</v>
      </c>
      <c r="L960" s="57">
        <v>2763.83</v>
      </c>
      <c r="M960" s="57">
        <v>2816.94</v>
      </c>
      <c r="N960" s="57">
        <v>2749.03</v>
      </c>
      <c r="O960" s="51" t="s">
        <v>123</v>
      </c>
      <c r="P960" s="58">
        <v>2.0000000000000001E-4</v>
      </c>
    </row>
    <row r="961" spans="8:16" x14ac:dyDescent="0.2">
      <c r="H961" s="297"/>
      <c r="I961" s="292"/>
      <c r="J961" s="52">
        <v>43394</v>
      </c>
      <c r="K961" s="57">
        <v>2658.69</v>
      </c>
      <c r="L961" s="57">
        <v>2773.94</v>
      </c>
      <c r="M961" s="57">
        <v>2778.94</v>
      </c>
      <c r="N961" s="57">
        <v>2628.16</v>
      </c>
      <c r="O961" s="51" t="s">
        <v>123</v>
      </c>
      <c r="P961" s="58">
        <v>-3.9399999999999998E-2</v>
      </c>
    </row>
    <row r="962" spans="8:16" x14ac:dyDescent="0.2">
      <c r="H962" s="297"/>
      <c r="I962" s="292"/>
      <c r="J962" s="52">
        <v>43401</v>
      </c>
      <c r="K962" s="57">
        <v>2723.06</v>
      </c>
      <c r="L962" s="57">
        <v>2682.65</v>
      </c>
      <c r="M962" s="57">
        <v>2756.55</v>
      </c>
      <c r="N962" s="57">
        <v>2603.54</v>
      </c>
      <c r="O962" s="51" t="s">
        <v>123</v>
      </c>
      <c r="P962" s="58">
        <v>2.4199999999999999E-2</v>
      </c>
    </row>
    <row r="963" spans="8:16" x14ac:dyDescent="0.2">
      <c r="H963" s="297"/>
      <c r="I963" s="292"/>
      <c r="J963" s="52">
        <v>43408</v>
      </c>
      <c r="K963" s="57">
        <v>2781.01</v>
      </c>
      <c r="L963" s="57">
        <v>2726.37</v>
      </c>
      <c r="M963" s="57">
        <v>2815.15</v>
      </c>
      <c r="N963" s="57">
        <v>2717.94</v>
      </c>
      <c r="O963" s="51" t="s">
        <v>123</v>
      </c>
      <c r="P963" s="58">
        <v>2.1299999999999999E-2</v>
      </c>
    </row>
    <row r="964" spans="8:16" x14ac:dyDescent="0.2">
      <c r="H964" s="297"/>
      <c r="I964" s="292"/>
      <c r="J964" s="52">
        <v>43415</v>
      </c>
      <c r="K964" s="57">
        <v>2736.27</v>
      </c>
      <c r="L964" s="57">
        <v>2773.93</v>
      </c>
      <c r="M964" s="57">
        <v>2775.99</v>
      </c>
      <c r="N964" s="57">
        <v>2670.75</v>
      </c>
      <c r="O964" s="51" t="s">
        <v>123</v>
      </c>
      <c r="P964" s="58">
        <v>-1.61E-2</v>
      </c>
    </row>
    <row r="965" spans="8:16" x14ac:dyDescent="0.2">
      <c r="H965" s="297"/>
      <c r="I965" s="292"/>
      <c r="J965" s="52">
        <v>43422</v>
      </c>
      <c r="K965" s="57">
        <v>2632.56</v>
      </c>
      <c r="L965" s="57">
        <v>2730.74</v>
      </c>
      <c r="M965" s="57">
        <v>2733.16</v>
      </c>
      <c r="N965" s="57">
        <v>2631.09</v>
      </c>
      <c r="O965" s="51" t="s">
        <v>123</v>
      </c>
      <c r="P965" s="58">
        <v>-3.7900000000000003E-2</v>
      </c>
    </row>
    <row r="966" spans="8:16" x14ac:dyDescent="0.2">
      <c r="H966" s="297"/>
      <c r="I966" s="292"/>
      <c r="J966" s="52">
        <v>43429</v>
      </c>
      <c r="K966" s="57">
        <v>2760.17</v>
      </c>
      <c r="L966" s="57">
        <v>2649.97</v>
      </c>
      <c r="M966" s="57">
        <v>2760.88</v>
      </c>
      <c r="N966" s="57">
        <v>2649.97</v>
      </c>
      <c r="O966" s="51" t="s">
        <v>123</v>
      </c>
      <c r="P966" s="58">
        <v>4.8500000000000001E-2</v>
      </c>
    </row>
    <row r="967" spans="8:16" x14ac:dyDescent="0.2">
      <c r="H967" s="297"/>
      <c r="I967" s="292"/>
      <c r="J967" s="52">
        <v>43436</v>
      </c>
      <c r="K967" s="57">
        <v>2633.08</v>
      </c>
      <c r="L967" s="57">
        <v>2790.5</v>
      </c>
      <c r="M967" s="57">
        <v>2800.18</v>
      </c>
      <c r="N967" s="57">
        <v>2621.53</v>
      </c>
      <c r="O967" s="51" t="s">
        <v>123</v>
      </c>
      <c r="P967" s="58">
        <v>-4.5999999999999999E-2</v>
      </c>
    </row>
    <row r="968" spans="8:16" x14ac:dyDescent="0.2">
      <c r="H968" s="297"/>
      <c r="I968" s="292"/>
      <c r="J968" s="52">
        <v>43443</v>
      </c>
      <c r="K968" s="57">
        <v>2599.9499999999998</v>
      </c>
      <c r="L968" s="57">
        <v>2630.86</v>
      </c>
      <c r="M968" s="57">
        <v>2685.44</v>
      </c>
      <c r="N968" s="57">
        <v>2583.23</v>
      </c>
      <c r="O968" s="51" t="s">
        <v>123</v>
      </c>
      <c r="P968" s="58">
        <v>-1.26E-2</v>
      </c>
    </row>
    <row r="969" spans="8:16" x14ac:dyDescent="0.2">
      <c r="H969" s="297"/>
      <c r="I969" s="292"/>
      <c r="J969" s="52">
        <v>43450</v>
      </c>
      <c r="K969" s="57">
        <v>2416.62</v>
      </c>
      <c r="L969" s="57">
        <v>2590.75</v>
      </c>
      <c r="M969" s="57">
        <v>2601.13</v>
      </c>
      <c r="N969" s="57">
        <v>2408.5500000000002</v>
      </c>
      <c r="O969" s="51" t="s">
        <v>123</v>
      </c>
      <c r="P969" s="58">
        <v>-7.0499999999999993E-2</v>
      </c>
    </row>
    <row r="970" spans="8:16" x14ac:dyDescent="0.2">
      <c r="H970" s="297"/>
      <c r="I970" s="292"/>
      <c r="J970" s="52">
        <v>43457</v>
      </c>
      <c r="K970" s="57">
        <v>2485.7399999999998</v>
      </c>
      <c r="L970" s="57">
        <v>2400.56</v>
      </c>
      <c r="M970" s="57">
        <v>2520.27</v>
      </c>
      <c r="N970" s="57">
        <v>2346.58</v>
      </c>
      <c r="O970" s="51" t="s">
        <v>123</v>
      </c>
      <c r="P970" s="58">
        <v>2.86E-2</v>
      </c>
    </row>
    <row r="971" spans="8:16" x14ac:dyDescent="0.2">
      <c r="H971" s="297"/>
      <c r="I971" s="292"/>
      <c r="J971" s="52">
        <v>43464</v>
      </c>
      <c r="K971" s="57">
        <v>2531.94</v>
      </c>
      <c r="L971" s="57">
        <v>2498.94</v>
      </c>
      <c r="M971" s="57">
        <v>2538.0700000000002</v>
      </c>
      <c r="N971" s="57">
        <v>2443.96</v>
      </c>
      <c r="O971" s="51" t="s">
        <v>123</v>
      </c>
      <c r="P971" s="58">
        <v>1.8599999999999998E-2</v>
      </c>
    </row>
    <row r="972" spans="8:16" x14ac:dyDescent="0.2">
      <c r="H972" s="297"/>
      <c r="I972" s="292"/>
      <c r="J972" s="52">
        <v>43471</v>
      </c>
      <c r="K972" s="57">
        <v>2596.2600000000002</v>
      </c>
      <c r="L972" s="57">
        <v>2535.61</v>
      </c>
      <c r="M972" s="57">
        <v>2597.8200000000002</v>
      </c>
      <c r="N972" s="57">
        <v>2524.56</v>
      </c>
      <c r="O972" s="51" t="s">
        <v>123</v>
      </c>
      <c r="P972" s="58">
        <v>2.5399999999999999E-2</v>
      </c>
    </row>
    <row r="973" spans="8:16" x14ac:dyDescent="0.2">
      <c r="H973" s="297"/>
      <c r="I973" s="292"/>
      <c r="J973" s="52">
        <v>43478</v>
      </c>
      <c r="K973" s="57">
        <v>2670.71</v>
      </c>
      <c r="L973" s="57">
        <v>2580.31</v>
      </c>
      <c r="M973" s="57">
        <v>2675.47</v>
      </c>
      <c r="N973" s="57">
        <v>2570.41</v>
      </c>
      <c r="O973" s="51" t="s">
        <v>123</v>
      </c>
      <c r="P973" s="58">
        <v>2.87E-2</v>
      </c>
    </row>
    <row r="974" spans="8:16" x14ac:dyDescent="0.2">
      <c r="H974" s="297"/>
      <c r="I974" s="292"/>
      <c r="J974" s="52">
        <v>43485</v>
      </c>
      <c r="K974" s="57">
        <v>2664.76</v>
      </c>
      <c r="L974" s="57">
        <v>2657.88</v>
      </c>
      <c r="M974" s="57">
        <v>2672.38</v>
      </c>
      <c r="N974" s="57">
        <v>2612.86</v>
      </c>
      <c r="O974" s="51" t="s">
        <v>123</v>
      </c>
      <c r="P974" s="58">
        <v>-2.2000000000000001E-3</v>
      </c>
    </row>
    <row r="975" spans="8:16" x14ac:dyDescent="0.2">
      <c r="H975" s="297"/>
      <c r="I975" s="292"/>
      <c r="J975" s="52">
        <v>43492</v>
      </c>
      <c r="K975" s="57">
        <v>2706.53</v>
      </c>
      <c r="L975" s="57">
        <v>2644.97</v>
      </c>
      <c r="M975" s="57">
        <v>2716.66</v>
      </c>
      <c r="N975" s="57">
        <v>2624.06</v>
      </c>
      <c r="O975" s="51" t="s">
        <v>123</v>
      </c>
      <c r="P975" s="58">
        <v>1.5699999999999999E-2</v>
      </c>
    </row>
    <row r="976" spans="8:16" x14ac:dyDescent="0.2">
      <c r="H976" s="297"/>
      <c r="I976" s="292"/>
      <c r="J976" s="52">
        <v>43499</v>
      </c>
      <c r="K976" s="57">
        <v>2707.88</v>
      </c>
      <c r="L976" s="57">
        <v>2706.49</v>
      </c>
      <c r="M976" s="57">
        <v>2738.98</v>
      </c>
      <c r="N976" s="57">
        <v>2681.83</v>
      </c>
      <c r="O976" s="51" t="s">
        <v>123</v>
      </c>
      <c r="P976" s="58">
        <v>5.0000000000000001E-4</v>
      </c>
    </row>
    <row r="977" spans="8:16" x14ac:dyDescent="0.2">
      <c r="H977" s="297"/>
      <c r="I977" s="292"/>
      <c r="J977" s="52">
        <v>43506</v>
      </c>
      <c r="K977" s="57">
        <v>2775.6</v>
      </c>
      <c r="L977" s="57">
        <v>2712.4</v>
      </c>
      <c r="M977" s="57">
        <v>2775.66</v>
      </c>
      <c r="N977" s="57">
        <v>2703.79</v>
      </c>
      <c r="O977" s="51" t="s">
        <v>123</v>
      </c>
      <c r="P977" s="58">
        <v>2.5000000000000001E-2</v>
      </c>
    </row>
    <row r="978" spans="8:16" x14ac:dyDescent="0.2">
      <c r="H978" s="297"/>
      <c r="I978" s="292"/>
      <c r="J978" s="52">
        <v>43513</v>
      </c>
      <c r="K978" s="57">
        <v>2792.67</v>
      </c>
      <c r="L978" s="57">
        <v>2769.28</v>
      </c>
      <c r="M978" s="57">
        <v>2794.2</v>
      </c>
      <c r="N978" s="57">
        <v>2764.55</v>
      </c>
      <c r="O978" s="51" t="s">
        <v>123</v>
      </c>
      <c r="P978" s="58">
        <v>6.1000000000000004E-3</v>
      </c>
    </row>
    <row r="979" spans="8:16" x14ac:dyDescent="0.2">
      <c r="H979" s="297"/>
      <c r="I979" s="292"/>
      <c r="J979" s="52">
        <v>43520</v>
      </c>
      <c r="K979" s="57">
        <v>2803.69</v>
      </c>
      <c r="L979" s="57">
        <v>2804.35</v>
      </c>
      <c r="M979" s="57">
        <v>2813.49</v>
      </c>
      <c r="N979" s="57">
        <v>2775.13</v>
      </c>
      <c r="O979" s="51" t="s">
        <v>123</v>
      </c>
      <c r="P979" s="58">
        <v>3.8999999999999998E-3</v>
      </c>
    </row>
    <row r="980" spans="8:16" x14ac:dyDescent="0.2">
      <c r="H980" s="297"/>
      <c r="I980" s="292"/>
      <c r="J980" s="52">
        <v>43527</v>
      </c>
      <c r="K980" s="57">
        <v>2743.07</v>
      </c>
      <c r="L980" s="57">
        <v>2814.37</v>
      </c>
      <c r="M980" s="57">
        <v>2816.88</v>
      </c>
      <c r="N980" s="57">
        <v>2722.27</v>
      </c>
      <c r="O980" s="51" t="s">
        <v>123</v>
      </c>
      <c r="P980" s="58">
        <v>-2.1600000000000001E-2</v>
      </c>
    </row>
    <row r="981" spans="8:16" x14ac:dyDescent="0.2">
      <c r="H981" s="297"/>
      <c r="I981" s="292"/>
      <c r="J981" s="52">
        <v>43534</v>
      </c>
      <c r="K981" s="57">
        <v>2822.48</v>
      </c>
      <c r="L981" s="57">
        <v>2747.61</v>
      </c>
      <c r="M981" s="57">
        <v>2830.73</v>
      </c>
      <c r="N981" s="57">
        <v>2747.61</v>
      </c>
      <c r="O981" s="51" t="s">
        <v>123</v>
      </c>
      <c r="P981" s="58">
        <v>2.8899999999999999E-2</v>
      </c>
    </row>
    <row r="982" spans="8:16" x14ac:dyDescent="0.2">
      <c r="H982" s="297"/>
      <c r="I982" s="292"/>
      <c r="J982" s="52">
        <v>43541</v>
      </c>
      <c r="K982" s="57">
        <v>2800.71</v>
      </c>
      <c r="L982" s="57">
        <v>2822.61</v>
      </c>
      <c r="M982" s="57">
        <v>2860.31</v>
      </c>
      <c r="N982" s="57">
        <v>2800.47</v>
      </c>
      <c r="O982" s="51" t="s">
        <v>123</v>
      </c>
      <c r="P982" s="58">
        <v>-7.7000000000000002E-3</v>
      </c>
    </row>
    <row r="983" spans="8:16" x14ac:dyDescent="0.2">
      <c r="H983" s="297"/>
      <c r="I983" s="292"/>
      <c r="J983" s="52">
        <v>43548</v>
      </c>
      <c r="K983" s="57">
        <v>2834.4</v>
      </c>
      <c r="L983" s="57">
        <v>2796.01</v>
      </c>
      <c r="M983" s="57">
        <v>2836.03</v>
      </c>
      <c r="N983" s="57">
        <v>2785.02</v>
      </c>
      <c r="O983" s="51" t="s">
        <v>123</v>
      </c>
      <c r="P983" s="58">
        <v>1.2E-2</v>
      </c>
    </row>
    <row r="984" spans="8:16" x14ac:dyDescent="0.2">
      <c r="H984" s="297"/>
      <c r="I984" s="292"/>
      <c r="J984" s="52">
        <v>43555</v>
      </c>
      <c r="K984" s="57">
        <v>2892.74</v>
      </c>
      <c r="L984" s="57">
        <v>2848.63</v>
      </c>
      <c r="M984" s="57">
        <v>2893.24</v>
      </c>
      <c r="N984" s="57">
        <v>2848.63</v>
      </c>
      <c r="O984" s="51" t="s">
        <v>123</v>
      </c>
      <c r="P984" s="58">
        <v>2.06E-2</v>
      </c>
    </row>
    <row r="985" spans="8:16" x14ac:dyDescent="0.2">
      <c r="H985" s="297"/>
      <c r="I985" s="292"/>
      <c r="J985" s="52">
        <v>43562</v>
      </c>
      <c r="K985" s="57">
        <v>2907.41</v>
      </c>
      <c r="L985" s="57">
        <v>2888.46</v>
      </c>
      <c r="M985" s="57">
        <v>2910.54</v>
      </c>
      <c r="N985" s="57">
        <v>2873.33</v>
      </c>
      <c r="O985" s="51" t="s">
        <v>123</v>
      </c>
      <c r="P985" s="58">
        <v>5.1000000000000004E-3</v>
      </c>
    </row>
    <row r="986" spans="8:16" x14ac:dyDescent="0.2">
      <c r="H986" s="297"/>
      <c r="I986" s="292"/>
      <c r="J986" s="52">
        <v>43569</v>
      </c>
      <c r="K986" s="57">
        <v>2905.03</v>
      </c>
      <c r="L986" s="57">
        <v>2908.32</v>
      </c>
      <c r="M986" s="57">
        <v>2918</v>
      </c>
      <c r="N986" s="57">
        <v>2891.9</v>
      </c>
      <c r="O986" s="51" t="s">
        <v>123</v>
      </c>
      <c r="P986" s="58">
        <v>-8.0000000000000004E-4</v>
      </c>
    </row>
    <row r="987" spans="8:16" x14ac:dyDescent="0.2">
      <c r="H987" s="297"/>
      <c r="I987" s="292"/>
      <c r="J987" s="52">
        <v>43576</v>
      </c>
      <c r="K987" s="57">
        <v>2939.88</v>
      </c>
      <c r="L987" s="57">
        <v>2898.78</v>
      </c>
      <c r="M987" s="57">
        <v>2939.88</v>
      </c>
      <c r="N987" s="57">
        <v>2896.35</v>
      </c>
      <c r="O987" s="51" t="s">
        <v>123</v>
      </c>
      <c r="P987" s="58">
        <v>1.2E-2</v>
      </c>
    </row>
    <row r="988" spans="8:16" x14ac:dyDescent="0.2">
      <c r="H988" s="297"/>
      <c r="I988" s="292"/>
      <c r="J988" s="52">
        <v>43583</v>
      </c>
      <c r="K988" s="57">
        <v>2945.64</v>
      </c>
      <c r="L988" s="57">
        <v>2940.58</v>
      </c>
      <c r="M988" s="57">
        <v>2954.13</v>
      </c>
      <c r="N988" s="57">
        <v>2900.5</v>
      </c>
      <c r="O988" s="51" t="s">
        <v>123</v>
      </c>
      <c r="P988" s="58">
        <v>2E-3</v>
      </c>
    </row>
    <row r="989" spans="8:16" x14ac:dyDescent="0.2">
      <c r="H989" s="297"/>
      <c r="I989" s="292"/>
      <c r="J989" s="52">
        <v>43590</v>
      </c>
      <c r="K989" s="57">
        <v>2881.4</v>
      </c>
      <c r="L989" s="57">
        <v>2908.89</v>
      </c>
      <c r="M989" s="57">
        <v>2937.32</v>
      </c>
      <c r="N989" s="57">
        <v>2825.39</v>
      </c>
      <c r="O989" s="51" t="s">
        <v>123</v>
      </c>
      <c r="P989" s="58">
        <v>-2.18E-2</v>
      </c>
    </row>
    <row r="990" spans="8:16" x14ac:dyDescent="0.2">
      <c r="H990" s="297"/>
      <c r="I990" s="292"/>
      <c r="J990" s="52">
        <v>43597</v>
      </c>
      <c r="K990" s="57">
        <v>2859.53</v>
      </c>
      <c r="L990" s="57">
        <v>2840.19</v>
      </c>
      <c r="M990" s="57">
        <v>2892.15</v>
      </c>
      <c r="N990" s="57">
        <v>2801.43</v>
      </c>
      <c r="O990" s="51" t="s">
        <v>123</v>
      </c>
      <c r="P990" s="58">
        <v>-7.6E-3</v>
      </c>
    </row>
    <row r="991" spans="8:16" x14ac:dyDescent="0.2">
      <c r="H991" s="297"/>
      <c r="I991" s="292"/>
      <c r="J991" s="52">
        <v>43604</v>
      </c>
      <c r="K991" s="57">
        <v>2826.06</v>
      </c>
      <c r="L991" s="57">
        <v>2841.94</v>
      </c>
      <c r="M991" s="57">
        <v>2868.88</v>
      </c>
      <c r="N991" s="57">
        <v>2805.49</v>
      </c>
      <c r="O991" s="51" t="s">
        <v>123</v>
      </c>
      <c r="P991" s="58">
        <v>-1.17E-2</v>
      </c>
    </row>
    <row r="992" spans="8:16" x14ac:dyDescent="0.2">
      <c r="H992" s="297"/>
      <c r="I992" s="292"/>
      <c r="J992" s="52">
        <v>43611</v>
      </c>
      <c r="K992" s="57">
        <v>2752.06</v>
      </c>
      <c r="L992" s="57">
        <v>2830.03</v>
      </c>
      <c r="M992" s="57">
        <v>2840.51</v>
      </c>
      <c r="N992" s="57">
        <v>2750.52</v>
      </c>
      <c r="O992" s="51" t="s">
        <v>123</v>
      </c>
      <c r="P992" s="58">
        <v>-2.6200000000000001E-2</v>
      </c>
    </row>
    <row r="993" spans="8:16" x14ac:dyDescent="0.2">
      <c r="H993" s="297"/>
      <c r="I993" s="292"/>
      <c r="J993" s="52">
        <v>43618</v>
      </c>
      <c r="K993" s="57">
        <v>2873.34</v>
      </c>
      <c r="L993" s="57">
        <v>2751.53</v>
      </c>
      <c r="M993" s="57">
        <v>2884.97</v>
      </c>
      <c r="N993" s="57">
        <v>2728.81</v>
      </c>
      <c r="O993" s="51" t="s">
        <v>123</v>
      </c>
      <c r="P993" s="58">
        <v>4.41E-2</v>
      </c>
    </row>
    <row r="994" spans="8:16" x14ac:dyDescent="0.2">
      <c r="H994" s="297"/>
      <c r="I994" s="292"/>
      <c r="J994" s="52">
        <v>43625</v>
      </c>
      <c r="K994" s="57">
        <v>2886.98</v>
      </c>
      <c r="L994" s="57">
        <v>2885.83</v>
      </c>
      <c r="M994" s="57">
        <v>2910.61</v>
      </c>
      <c r="N994" s="57">
        <v>2874.68</v>
      </c>
      <c r="O994" s="51" t="s">
        <v>123</v>
      </c>
      <c r="P994" s="58">
        <v>4.7000000000000002E-3</v>
      </c>
    </row>
    <row r="995" spans="8:16" x14ac:dyDescent="0.2">
      <c r="H995" s="297"/>
      <c r="I995" s="292"/>
      <c r="J995" s="52">
        <v>43632</v>
      </c>
      <c r="K995" s="57">
        <v>2950.46</v>
      </c>
      <c r="L995" s="57">
        <v>2889.75</v>
      </c>
      <c r="M995" s="57">
        <v>2964.15</v>
      </c>
      <c r="N995" s="57">
        <v>2887.3</v>
      </c>
      <c r="O995" s="51" t="s">
        <v>123</v>
      </c>
      <c r="P995" s="58">
        <v>2.1999999999999999E-2</v>
      </c>
    </row>
    <row r="996" spans="8:16" x14ac:dyDescent="0.2">
      <c r="H996" s="297"/>
      <c r="I996" s="292"/>
      <c r="J996" s="52">
        <v>43639</v>
      </c>
      <c r="K996" s="57">
        <v>2941.76</v>
      </c>
      <c r="L996" s="57">
        <v>2951.42</v>
      </c>
      <c r="M996" s="57">
        <v>2954.92</v>
      </c>
      <c r="N996" s="57">
        <v>2912.99</v>
      </c>
      <c r="O996" s="51" t="s">
        <v>123</v>
      </c>
      <c r="P996" s="58">
        <v>-2.8999999999999998E-3</v>
      </c>
    </row>
    <row r="997" spans="8:16" x14ac:dyDescent="0.2">
      <c r="H997" s="297"/>
      <c r="I997" s="292"/>
      <c r="J997" s="52">
        <v>43646</v>
      </c>
      <c r="K997" s="57">
        <v>2990.41</v>
      </c>
      <c r="L997" s="57">
        <v>2971.41</v>
      </c>
      <c r="M997" s="57">
        <v>2995.84</v>
      </c>
      <c r="N997" s="57">
        <v>2952.22</v>
      </c>
      <c r="O997" s="51" t="s">
        <v>123</v>
      </c>
      <c r="P997" s="58">
        <v>1.6500000000000001E-2</v>
      </c>
    </row>
    <row r="998" spans="8:16" x14ac:dyDescent="0.2">
      <c r="H998" s="297"/>
      <c r="I998" s="292"/>
      <c r="J998" s="52">
        <v>43653</v>
      </c>
      <c r="K998" s="57">
        <v>3013.77</v>
      </c>
      <c r="L998" s="57">
        <v>2979.77</v>
      </c>
      <c r="M998" s="57">
        <v>3013.92</v>
      </c>
      <c r="N998" s="57">
        <v>2963.44</v>
      </c>
      <c r="O998" s="51" t="s">
        <v>123</v>
      </c>
      <c r="P998" s="58">
        <v>7.7999999999999996E-3</v>
      </c>
    </row>
    <row r="999" spans="8:16" x14ac:dyDescent="0.2">
      <c r="H999" s="297"/>
      <c r="I999" s="292"/>
      <c r="J999" s="52">
        <v>43660</v>
      </c>
      <c r="K999" s="57">
        <v>2976.61</v>
      </c>
      <c r="L999" s="57">
        <v>3017.8</v>
      </c>
      <c r="M999" s="57">
        <v>3017.8</v>
      </c>
      <c r="N999" s="57">
        <v>2973.09</v>
      </c>
      <c r="O999" s="51" t="s">
        <v>123</v>
      </c>
      <c r="P999" s="58">
        <v>-1.23E-2</v>
      </c>
    </row>
    <row r="1000" spans="8:16" x14ac:dyDescent="0.2">
      <c r="H1000" s="297"/>
      <c r="I1000" s="292"/>
      <c r="J1000" s="52">
        <v>43667</v>
      </c>
      <c r="K1000" s="57">
        <v>3025.86</v>
      </c>
      <c r="L1000" s="57">
        <v>2981.93</v>
      </c>
      <c r="M1000" s="57">
        <v>3027.98</v>
      </c>
      <c r="N1000" s="57">
        <v>2976.65</v>
      </c>
      <c r="O1000" s="51" t="s">
        <v>123</v>
      </c>
      <c r="P1000" s="58">
        <v>1.6500000000000001E-2</v>
      </c>
    </row>
    <row r="1001" spans="8:16" x14ac:dyDescent="0.2">
      <c r="H1001" s="297"/>
      <c r="I1001" s="292"/>
      <c r="J1001" s="52">
        <v>43674</v>
      </c>
      <c r="K1001" s="57">
        <v>2932.05</v>
      </c>
      <c r="L1001" s="57">
        <v>3024.47</v>
      </c>
      <c r="M1001" s="57">
        <v>3025.61</v>
      </c>
      <c r="N1001" s="57">
        <v>2914.11</v>
      </c>
      <c r="O1001" s="51" t="s">
        <v>123</v>
      </c>
      <c r="P1001" s="58">
        <v>-3.1E-2</v>
      </c>
    </row>
    <row r="1002" spans="8:16" x14ac:dyDescent="0.2">
      <c r="H1002" s="297"/>
      <c r="I1002" s="292"/>
      <c r="J1002" s="52">
        <v>43681</v>
      </c>
      <c r="K1002" s="57">
        <v>2918.65</v>
      </c>
      <c r="L1002" s="57">
        <v>2898.07</v>
      </c>
      <c r="M1002" s="57">
        <v>2938.72</v>
      </c>
      <c r="N1002" s="57">
        <v>2822.12</v>
      </c>
      <c r="O1002" s="51" t="s">
        <v>123</v>
      </c>
      <c r="P1002" s="58">
        <v>-4.5999999999999999E-3</v>
      </c>
    </row>
    <row r="1003" spans="8:16" x14ac:dyDescent="0.2">
      <c r="H1003" s="297"/>
      <c r="I1003" s="292"/>
      <c r="J1003" s="52">
        <v>43688</v>
      </c>
      <c r="K1003" s="57">
        <v>2888.68</v>
      </c>
      <c r="L1003" s="57">
        <v>2907.07</v>
      </c>
      <c r="M1003" s="57">
        <v>2943.31</v>
      </c>
      <c r="N1003" s="57">
        <v>2825.51</v>
      </c>
      <c r="O1003" s="51" t="s">
        <v>123</v>
      </c>
      <c r="P1003" s="58">
        <v>-1.03E-2</v>
      </c>
    </row>
    <row r="1004" spans="8:16" x14ac:dyDescent="0.2">
      <c r="H1004" s="297"/>
      <c r="I1004" s="292"/>
      <c r="J1004" s="52">
        <v>43695</v>
      </c>
      <c r="K1004" s="57">
        <v>2847.11</v>
      </c>
      <c r="L1004" s="57">
        <v>2913.48</v>
      </c>
      <c r="M1004" s="57">
        <v>2939.08</v>
      </c>
      <c r="N1004" s="57">
        <v>2834.97</v>
      </c>
      <c r="O1004" s="51" t="s">
        <v>123</v>
      </c>
      <c r="P1004" s="58">
        <v>-1.44E-2</v>
      </c>
    </row>
    <row r="1005" spans="8:16" x14ac:dyDescent="0.2">
      <c r="H1005" s="297"/>
      <c r="I1005" s="292"/>
      <c r="J1005" s="52">
        <v>43702</v>
      </c>
      <c r="K1005" s="57">
        <v>2926.46</v>
      </c>
      <c r="L1005" s="57">
        <v>2866.7</v>
      </c>
      <c r="M1005" s="57">
        <v>2940.43</v>
      </c>
      <c r="N1005" s="57">
        <v>2853.05</v>
      </c>
      <c r="O1005" s="51" t="s">
        <v>123</v>
      </c>
      <c r="P1005" s="58">
        <v>2.7900000000000001E-2</v>
      </c>
    </row>
    <row r="1006" spans="8:16" x14ac:dyDescent="0.2">
      <c r="H1006" s="297"/>
      <c r="I1006" s="292"/>
      <c r="J1006" s="52">
        <v>43709</v>
      </c>
      <c r="K1006" s="57">
        <v>2978.71</v>
      </c>
      <c r="L1006" s="57">
        <v>2909.01</v>
      </c>
      <c r="M1006" s="57">
        <v>2985.86</v>
      </c>
      <c r="N1006" s="57">
        <v>2891.85</v>
      </c>
      <c r="O1006" s="51" t="s">
        <v>123</v>
      </c>
      <c r="P1006" s="58">
        <v>1.7899999999999999E-2</v>
      </c>
    </row>
    <row r="1007" spans="8:16" x14ac:dyDescent="0.2">
      <c r="H1007" s="297"/>
      <c r="I1007" s="292"/>
      <c r="J1007" s="52">
        <v>43716</v>
      </c>
      <c r="K1007" s="57">
        <v>3007.39</v>
      </c>
      <c r="L1007" s="57">
        <v>2988.43</v>
      </c>
      <c r="M1007" s="57">
        <v>3020.74</v>
      </c>
      <c r="N1007" s="57">
        <v>2957.01</v>
      </c>
      <c r="O1007" s="51" t="s">
        <v>123</v>
      </c>
      <c r="P1007" s="58">
        <v>9.5999999999999992E-3</v>
      </c>
    </row>
    <row r="1008" spans="8:16" x14ac:dyDescent="0.2">
      <c r="H1008" s="297"/>
      <c r="I1008" s="292"/>
      <c r="J1008" s="52">
        <v>43723</v>
      </c>
      <c r="K1008" s="57">
        <v>2992.07</v>
      </c>
      <c r="L1008" s="57">
        <v>2996.41</v>
      </c>
      <c r="M1008" s="57">
        <v>3021.99</v>
      </c>
      <c r="N1008" s="57">
        <v>2978.57</v>
      </c>
      <c r="O1008" s="51" t="s">
        <v>123</v>
      </c>
      <c r="P1008" s="58">
        <v>-5.1000000000000004E-3</v>
      </c>
    </row>
    <row r="1009" spans="8:16" x14ac:dyDescent="0.2">
      <c r="H1009" s="297"/>
      <c r="I1009" s="292"/>
      <c r="J1009" s="52">
        <v>43730</v>
      </c>
      <c r="K1009" s="57">
        <v>2961.79</v>
      </c>
      <c r="L1009" s="57">
        <v>2983.5</v>
      </c>
      <c r="M1009" s="57">
        <v>3007.98</v>
      </c>
      <c r="N1009" s="57">
        <v>2945.53</v>
      </c>
      <c r="O1009" s="51" t="s">
        <v>123</v>
      </c>
      <c r="P1009" s="58">
        <v>-1.01E-2</v>
      </c>
    </row>
    <row r="1010" spans="8:16" x14ac:dyDescent="0.2">
      <c r="H1010" s="297"/>
      <c r="I1010" s="292"/>
      <c r="J1010" s="52">
        <v>43737</v>
      </c>
      <c r="K1010" s="57">
        <v>2952.01</v>
      </c>
      <c r="L1010" s="57">
        <v>2967.07</v>
      </c>
      <c r="M1010" s="57">
        <v>2992.53</v>
      </c>
      <c r="N1010" s="57">
        <v>2855.94</v>
      </c>
      <c r="O1010" s="51" t="s">
        <v>123</v>
      </c>
      <c r="P1010" s="58">
        <v>-3.3E-3</v>
      </c>
    </row>
    <row r="1011" spans="8:16" x14ac:dyDescent="0.2">
      <c r="H1011" s="297"/>
      <c r="I1011" s="292"/>
      <c r="J1011" s="52">
        <v>43744</v>
      </c>
      <c r="K1011" s="57">
        <v>2970.27</v>
      </c>
      <c r="L1011" s="57">
        <v>2944.23</v>
      </c>
      <c r="M1011" s="57">
        <v>2993.28</v>
      </c>
      <c r="N1011" s="57">
        <v>2892.66</v>
      </c>
      <c r="O1011" s="51" t="s">
        <v>123</v>
      </c>
      <c r="P1011" s="58">
        <v>6.1999999999999998E-3</v>
      </c>
    </row>
    <row r="1012" spans="8:16" x14ac:dyDescent="0.2">
      <c r="H1012" s="297"/>
      <c r="I1012" s="292"/>
      <c r="J1012" s="52">
        <v>43751</v>
      </c>
      <c r="K1012" s="57">
        <v>2986.2</v>
      </c>
      <c r="L1012" s="57">
        <v>2965.81</v>
      </c>
      <c r="M1012" s="57">
        <v>3008.29</v>
      </c>
      <c r="N1012" s="57">
        <v>2962.94</v>
      </c>
      <c r="O1012" s="51" t="s">
        <v>123</v>
      </c>
      <c r="P1012" s="58">
        <v>5.4000000000000003E-3</v>
      </c>
    </row>
    <row r="1013" spans="8:16" x14ac:dyDescent="0.2">
      <c r="H1013" s="297"/>
      <c r="I1013" s="292"/>
      <c r="J1013" s="52">
        <v>43758</v>
      </c>
      <c r="K1013" s="57">
        <v>3022.55</v>
      </c>
      <c r="L1013" s="57">
        <v>2996.48</v>
      </c>
      <c r="M1013" s="57">
        <v>3027.39</v>
      </c>
      <c r="N1013" s="57">
        <v>2991.21</v>
      </c>
      <c r="O1013" s="51" t="s">
        <v>123</v>
      </c>
      <c r="P1013" s="58">
        <v>1.2200000000000001E-2</v>
      </c>
    </row>
    <row r="1014" spans="8:16" x14ac:dyDescent="0.2">
      <c r="H1014" s="297"/>
      <c r="I1014" s="292"/>
      <c r="J1014" s="52">
        <v>43765</v>
      </c>
      <c r="K1014" s="57">
        <v>3066.91</v>
      </c>
      <c r="L1014" s="57">
        <v>3032.12</v>
      </c>
      <c r="M1014" s="57">
        <v>3066.95</v>
      </c>
      <c r="N1014" s="57">
        <v>3023.19</v>
      </c>
      <c r="O1014" s="51" t="s">
        <v>123</v>
      </c>
      <c r="P1014" s="58">
        <v>1.47E-2</v>
      </c>
    </row>
    <row r="1015" spans="8:16" x14ac:dyDescent="0.2">
      <c r="H1015" s="297"/>
      <c r="I1015" s="292"/>
      <c r="J1015" s="52">
        <v>43772</v>
      </c>
      <c r="K1015" s="57">
        <v>3093.08</v>
      </c>
      <c r="L1015" s="57">
        <v>3078.96</v>
      </c>
      <c r="M1015" s="57">
        <v>3097.77</v>
      </c>
      <c r="N1015" s="57">
        <v>3065.89</v>
      </c>
      <c r="O1015" s="51" t="s">
        <v>123</v>
      </c>
      <c r="P1015" s="58">
        <v>8.5000000000000006E-3</v>
      </c>
    </row>
    <row r="1016" spans="8:16" x14ac:dyDescent="0.2">
      <c r="H1016" s="297"/>
      <c r="I1016" s="292"/>
      <c r="J1016" s="52">
        <v>43779</v>
      </c>
      <c r="K1016" s="57">
        <v>3120.46</v>
      </c>
      <c r="L1016" s="57">
        <v>3080.33</v>
      </c>
      <c r="M1016" s="57">
        <v>3120.46</v>
      </c>
      <c r="N1016" s="57">
        <v>3075.82</v>
      </c>
      <c r="O1016" s="51" t="s">
        <v>123</v>
      </c>
      <c r="P1016" s="58">
        <v>8.8999999999999999E-3</v>
      </c>
    </row>
    <row r="1017" spans="8:16" x14ac:dyDescent="0.2">
      <c r="H1017" s="297"/>
      <c r="I1017" s="292"/>
      <c r="J1017" s="52">
        <v>43786</v>
      </c>
      <c r="K1017" s="57">
        <v>3110.29</v>
      </c>
      <c r="L1017" s="57">
        <v>3117.91</v>
      </c>
      <c r="M1017" s="57">
        <v>3127.64</v>
      </c>
      <c r="N1017" s="57">
        <v>3091.41</v>
      </c>
      <c r="O1017" s="51" t="s">
        <v>123</v>
      </c>
      <c r="P1017" s="58">
        <v>-3.3E-3</v>
      </c>
    </row>
    <row r="1018" spans="8:16" x14ac:dyDescent="0.2">
      <c r="H1018" s="297"/>
      <c r="I1018" s="292"/>
      <c r="J1018" s="52">
        <v>43793</v>
      </c>
      <c r="K1018" s="57">
        <v>3140.98</v>
      </c>
      <c r="L1018" s="57">
        <v>3117.44</v>
      </c>
      <c r="M1018" s="57">
        <v>3154.26</v>
      </c>
      <c r="N1018" s="57">
        <v>3117.44</v>
      </c>
      <c r="O1018" s="51" t="s">
        <v>123</v>
      </c>
      <c r="P1018" s="58">
        <v>9.9000000000000008E-3</v>
      </c>
    </row>
    <row r="1019" spans="8:16" x14ac:dyDescent="0.2">
      <c r="H1019" s="297"/>
      <c r="I1019" s="292"/>
      <c r="J1019" s="52">
        <v>43800</v>
      </c>
      <c r="K1019" s="57">
        <v>3145.91</v>
      </c>
      <c r="L1019" s="57">
        <v>3143.85</v>
      </c>
      <c r="M1019" s="57">
        <v>3150.6</v>
      </c>
      <c r="N1019" s="57">
        <v>3070.33</v>
      </c>
      <c r="O1019" s="51" t="s">
        <v>123</v>
      </c>
      <c r="P1019" s="58">
        <v>1.6000000000000001E-3</v>
      </c>
    </row>
    <row r="1020" spans="8:16" x14ac:dyDescent="0.2">
      <c r="H1020" s="297"/>
      <c r="I1020" s="292"/>
      <c r="J1020" s="52">
        <v>43807</v>
      </c>
      <c r="K1020" s="57">
        <v>3168.8</v>
      </c>
      <c r="L1020" s="57">
        <v>3141.86</v>
      </c>
      <c r="M1020" s="57">
        <v>3182.68</v>
      </c>
      <c r="N1020" s="57">
        <v>3126.09</v>
      </c>
      <c r="O1020" s="51" t="s">
        <v>123</v>
      </c>
      <c r="P1020" s="58">
        <v>7.3000000000000001E-3</v>
      </c>
    </row>
    <row r="1021" spans="8:16" x14ac:dyDescent="0.2">
      <c r="H1021" s="297"/>
      <c r="I1021" s="292"/>
      <c r="J1021" s="52">
        <v>43814</v>
      </c>
      <c r="K1021" s="57">
        <v>3221.22</v>
      </c>
      <c r="L1021" s="57">
        <v>3183.63</v>
      </c>
      <c r="M1021" s="57">
        <v>3225.65</v>
      </c>
      <c r="N1021" s="57">
        <v>3183.63</v>
      </c>
      <c r="O1021" s="51" t="s">
        <v>123</v>
      </c>
      <c r="P1021" s="58">
        <v>1.6500000000000001E-2</v>
      </c>
    </row>
    <row r="1022" spans="8:16" x14ac:dyDescent="0.2">
      <c r="H1022" s="297"/>
      <c r="I1022" s="292"/>
      <c r="J1022" s="52">
        <v>43821</v>
      </c>
      <c r="K1022" s="57">
        <v>3240.02</v>
      </c>
      <c r="L1022" s="57">
        <v>3226.05</v>
      </c>
      <c r="M1022" s="57">
        <v>3247.93</v>
      </c>
      <c r="N1022" s="57">
        <v>3220.51</v>
      </c>
      <c r="O1022" s="51" t="s">
        <v>123</v>
      </c>
      <c r="P1022" s="58">
        <v>5.7999999999999996E-3</v>
      </c>
    </row>
    <row r="1023" spans="8:16" x14ac:dyDescent="0.2">
      <c r="H1023" s="297"/>
      <c r="I1023" s="292"/>
      <c r="J1023" s="52">
        <v>43828</v>
      </c>
      <c r="K1023" s="57">
        <v>3234.85</v>
      </c>
      <c r="L1023" s="57">
        <v>3240.09</v>
      </c>
      <c r="M1023" s="57">
        <v>3258.14</v>
      </c>
      <c r="N1023" s="57">
        <v>3212.03</v>
      </c>
      <c r="O1023" s="51" t="s">
        <v>123</v>
      </c>
      <c r="P1023" s="58">
        <v>-1.6000000000000001E-3</v>
      </c>
    </row>
    <row r="1024" spans="8:16" x14ac:dyDescent="0.2">
      <c r="H1024" s="297"/>
      <c r="I1024" s="292"/>
      <c r="J1024" s="52">
        <v>43835</v>
      </c>
      <c r="K1024" s="57">
        <v>3265.35</v>
      </c>
      <c r="L1024" s="57">
        <v>3217.55</v>
      </c>
      <c r="M1024" s="57">
        <v>3282.99</v>
      </c>
      <c r="N1024" s="57">
        <v>3214.64</v>
      </c>
      <c r="O1024" s="51" t="s">
        <v>123</v>
      </c>
      <c r="P1024" s="58">
        <v>9.4000000000000004E-3</v>
      </c>
    </row>
    <row r="1025" spans="8:16" x14ac:dyDescent="0.2">
      <c r="H1025" s="297"/>
      <c r="I1025" s="292"/>
      <c r="J1025" s="52">
        <v>43842</v>
      </c>
      <c r="K1025" s="57">
        <v>3329.62</v>
      </c>
      <c r="L1025" s="57">
        <v>3271.13</v>
      </c>
      <c r="M1025" s="57">
        <v>3329.88</v>
      </c>
      <c r="N1025" s="57">
        <v>3268.43</v>
      </c>
      <c r="O1025" s="51" t="s">
        <v>123</v>
      </c>
      <c r="P1025" s="58">
        <v>1.9699999999999999E-2</v>
      </c>
    </row>
    <row r="1026" spans="8:16" x14ac:dyDescent="0.2">
      <c r="H1026" s="297"/>
      <c r="I1026" s="292"/>
      <c r="J1026" s="52">
        <v>43849</v>
      </c>
      <c r="K1026" s="57">
        <v>3295.47</v>
      </c>
      <c r="L1026" s="57">
        <v>3321.03</v>
      </c>
      <c r="M1026" s="57">
        <v>3337.77</v>
      </c>
      <c r="N1026" s="57">
        <v>3281.53</v>
      </c>
      <c r="O1026" s="51" t="s">
        <v>123</v>
      </c>
      <c r="P1026" s="58">
        <v>-1.03E-2</v>
      </c>
    </row>
    <row r="1027" spans="8:16" x14ac:dyDescent="0.2">
      <c r="H1027" s="297"/>
      <c r="I1027" s="292"/>
      <c r="J1027" s="52">
        <v>43856</v>
      </c>
      <c r="K1027" s="57">
        <v>3225.52</v>
      </c>
      <c r="L1027" s="57">
        <v>3247.16</v>
      </c>
      <c r="M1027" s="57">
        <v>3293.47</v>
      </c>
      <c r="N1027" s="57">
        <v>3214.68</v>
      </c>
      <c r="O1027" s="51" t="s">
        <v>123</v>
      </c>
      <c r="P1027" s="58">
        <v>-2.12E-2</v>
      </c>
    </row>
    <row r="1028" spans="8:16" x14ac:dyDescent="0.2">
      <c r="H1028" s="297"/>
      <c r="I1028" s="292"/>
      <c r="J1028" s="52">
        <v>43863</v>
      </c>
      <c r="K1028" s="57">
        <v>3327.71</v>
      </c>
      <c r="L1028" s="57">
        <v>3235.66</v>
      </c>
      <c r="M1028" s="57">
        <v>3347.96</v>
      </c>
      <c r="N1028" s="57">
        <v>3235.66</v>
      </c>
      <c r="O1028" s="51" t="s">
        <v>123</v>
      </c>
      <c r="P1028" s="58">
        <v>3.1699999999999999E-2</v>
      </c>
    </row>
    <row r="1029" spans="8:16" x14ac:dyDescent="0.2">
      <c r="H1029" s="297"/>
      <c r="I1029" s="292"/>
      <c r="J1029" s="52">
        <v>43870</v>
      </c>
      <c r="K1029" s="57">
        <v>3380.16</v>
      </c>
      <c r="L1029" s="57">
        <v>3318.28</v>
      </c>
      <c r="M1029" s="57">
        <v>3385.09</v>
      </c>
      <c r="N1029" s="57">
        <v>3317.77</v>
      </c>
      <c r="O1029" s="51" t="s">
        <v>123</v>
      </c>
      <c r="P1029" s="58">
        <v>1.5800000000000002E-2</v>
      </c>
    </row>
    <row r="1030" spans="8:16" x14ac:dyDescent="0.2">
      <c r="H1030" s="297"/>
      <c r="I1030" s="292"/>
      <c r="J1030" s="52">
        <v>43877</v>
      </c>
      <c r="K1030" s="57">
        <v>3337.75</v>
      </c>
      <c r="L1030" s="57">
        <v>3369.04</v>
      </c>
      <c r="M1030" s="57">
        <v>3393.52</v>
      </c>
      <c r="N1030" s="57">
        <v>3328.45</v>
      </c>
      <c r="O1030" s="51" t="s">
        <v>123</v>
      </c>
      <c r="P1030" s="58">
        <v>-1.2500000000000001E-2</v>
      </c>
    </row>
    <row r="1031" spans="8:16" x14ac:dyDescent="0.2">
      <c r="H1031" s="297"/>
      <c r="I1031" s="292"/>
      <c r="J1031" s="52">
        <v>43884</v>
      </c>
      <c r="K1031" s="57">
        <v>2954.22</v>
      </c>
      <c r="L1031" s="57">
        <v>3257.61</v>
      </c>
      <c r="M1031" s="57">
        <v>3259.81</v>
      </c>
      <c r="N1031" s="57">
        <v>2855.84</v>
      </c>
      <c r="O1031" s="51" t="s">
        <v>123</v>
      </c>
      <c r="P1031" s="58">
        <v>-0.1149</v>
      </c>
    </row>
    <row r="1032" spans="8:16" x14ac:dyDescent="0.2">
      <c r="H1032" s="297"/>
      <c r="I1032" s="292"/>
      <c r="J1032" s="52">
        <v>43891</v>
      </c>
      <c r="K1032" s="57">
        <v>2972.37</v>
      </c>
      <c r="L1032" s="57">
        <v>2974.28</v>
      </c>
      <c r="M1032" s="57">
        <v>3136.72</v>
      </c>
      <c r="N1032" s="57">
        <v>2901.54</v>
      </c>
      <c r="O1032" s="51" t="s">
        <v>123</v>
      </c>
      <c r="P1032" s="58">
        <v>6.1000000000000004E-3</v>
      </c>
    </row>
    <row r="1033" spans="8:16" x14ac:dyDescent="0.2">
      <c r="H1033" s="297"/>
      <c r="I1033" s="292"/>
      <c r="J1033" s="52">
        <v>43898</v>
      </c>
      <c r="K1033" s="57">
        <v>2711.02</v>
      </c>
      <c r="L1033" s="57">
        <v>2863.89</v>
      </c>
      <c r="M1033" s="57">
        <v>2882.59</v>
      </c>
      <c r="N1033" s="57">
        <v>2478.86</v>
      </c>
      <c r="O1033" s="51" t="s">
        <v>123</v>
      </c>
      <c r="P1033" s="58">
        <v>-8.7900000000000006E-2</v>
      </c>
    </row>
    <row r="1034" spans="8:16" x14ac:dyDescent="0.2">
      <c r="H1034" s="297"/>
      <c r="I1034" s="292"/>
      <c r="J1034" s="52">
        <v>43905</v>
      </c>
      <c r="K1034" s="57">
        <v>2304.92</v>
      </c>
      <c r="L1034" s="57">
        <v>2508.59</v>
      </c>
      <c r="M1034" s="57">
        <v>2562.98</v>
      </c>
      <c r="N1034" s="57">
        <v>2280.52</v>
      </c>
      <c r="O1034" s="51" t="s">
        <v>123</v>
      </c>
      <c r="P1034" s="58">
        <v>-0.14979999999999999</v>
      </c>
    </row>
    <row r="1035" spans="8:16" x14ac:dyDescent="0.2">
      <c r="H1035" s="297"/>
      <c r="I1035" s="292"/>
      <c r="J1035" s="52">
        <v>43912</v>
      </c>
      <c r="K1035" s="57">
        <v>2541.4699999999998</v>
      </c>
      <c r="L1035" s="57">
        <v>2290.71</v>
      </c>
      <c r="M1035" s="57">
        <v>2637.01</v>
      </c>
      <c r="N1035" s="57">
        <v>2191.86</v>
      </c>
      <c r="O1035" s="51" t="s">
        <v>123</v>
      </c>
      <c r="P1035" s="58">
        <v>0.1026</v>
      </c>
    </row>
    <row r="1036" spans="8:16" x14ac:dyDescent="0.2">
      <c r="H1036" s="297"/>
      <c r="I1036" s="292"/>
      <c r="J1036" s="52">
        <v>43919</v>
      </c>
      <c r="K1036" s="57">
        <v>2488.65</v>
      </c>
      <c r="L1036" s="57">
        <v>2558.98</v>
      </c>
      <c r="M1036" s="57">
        <v>2641.39</v>
      </c>
      <c r="N1036" s="57">
        <v>2447.4899999999998</v>
      </c>
      <c r="O1036" s="51" t="s">
        <v>123</v>
      </c>
      <c r="P1036" s="58">
        <v>-2.0799999999999999E-2</v>
      </c>
    </row>
    <row r="1037" spans="8:16" x14ac:dyDescent="0.2">
      <c r="H1037" s="297"/>
      <c r="I1037" s="292"/>
      <c r="J1037" s="52">
        <v>43926</v>
      </c>
      <c r="K1037" s="57">
        <v>2789.82</v>
      </c>
      <c r="L1037" s="57">
        <v>2578.2800000000002</v>
      </c>
      <c r="M1037" s="57">
        <v>2818.57</v>
      </c>
      <c r="N1037" s="57">
        <v>2574.5700000000002</v>
      </c>
      <c r="O1037" s="51" t="s">
        <v>123</v>
      </c>
      <c r="P1037" s="58">
        <v>0.121</v>
      </c>
    </row>
    <row r="1038" spans="8:16" x14ac:dyDescent="0.2">
      <c r="H1038" s="297"/>
      <c r="I1038" s="292"/>
      <c r="J1038" s="52">
        <v>43933</v>
      </c>
      <c r="K1038" s="57">
        <v>2874.56</v>
      </c>
      <c r="L1038" s="57">
        <v>2782.46</v>
      </c>
      <c r="M1038" s="57">
        <v>2879.22</v>
      </c>
      <c r="N1038" s="57">
        <v>2721.17</v>
      </c>
      <c r="O1038" s="51" t="s">
        <v>123</v>
      </c>
      <c r="P1038" s="58">
        <v>3.04E-2</v>
      </c>
    </row>
    <row r="1039" spans="8:16" x14ac:dyDescent="0.2">
      <c r="H1039" s="297"/>
      <c r="I1039" s="292"/>
      <c r="J1039" s="52">
        <v>43940</v>
      </c>
      <c r="K1039" s="57">
        <v>2836.74</v>
      </c>
      <c r="L1039" s="57">
        <v>2845.62</v>
      </c>
      <c r="M1039" s="57">
        <v>2868.98</v>
      </c>
      <c r="N1039" s="57">
        <v>2727.1</v>
      </c>
      <c r="O1039" s="51" t="s">
        <v>123</v>
      </c>
      <c r="P1039" s="58">
        <v>-1.32E-2</v>
      </c>
    </row>
    <row r="1040" spans="8:16" x14ac:dyDescent="0.2">
      <c r="H1040" s="297"/>
      <c r="I1040" s="292"/>
      <c r="J1040" s="52">
        <v>43947</v>
      </c>
      <c r="K1040" s="57">
        <v>2830.71</v>
      </c>
      <c r="L1040" s="57">
        <v>2854.65</v>
      </c>
      <c r="M1040" s="57">
        <v>2954.86</v>
      </c>
      <c r="N1040" s="57">
        <v>2821.61</v>
      </c>
      <c r="O1040" s="51" t="s">
        <v>123</v>
      </c>
      <c r="P1040" s="58">
        <v>-2.0999999999999999E-3</v>
      </c>
    </row>
    <row r="1041" spans="8:16" x14ac:dyDescent="0.2">
      <c r="H1041" s="297"/>
      <c r="I1041" s="292"/>
      <c r="J1041" s="52">
        <v>43954</v>
      </c>
      <c r="K1041" s="57">
        <v>2929.8</v>
      </c>
      <c r="L1041" s="57">
        <v>2815.01</v>
      </c>
      <c r="M1041" s="57">
        <v>2932.16</v>
      </c>
      <c r="N1041" s="57">
        <v>2797.85</v>
      </c>
      <c r="O1041" s="51" t="s">
        <v>123</v>
      </c>
      <c r="P1041" s="58">
        <v>3.5000000000000003E-2</v>
      </c>
    </row>
    <row r="1042" spans="8:16" x14ac:dyDescent="0.2">
      <c r="H1042" s="297"/>
      <c r="I1042" s="292"/>
      <c r="J1042" s="52">
        <v>43961</v>
      </c>
      <c r="K1042" s="57">
        <v>2863.7</v>
      </c>
      <c r="L1042" s="57">
        <v>2915.46</v>
      </c>
      <c r="M1042" s="57">
        <v>2945.82</v>
      </c>
      <c r="N1042" s="57">
        <v>2766.64</v>
      </c>
      <c r="O1042" s="51" t="s">
        <v>123</v>
      </c>
      <c r="P1042" s="58">
        <v>-2.2599999999999999E-2</v>
      </c>
    </row>
    <row r="1043" spans="8:16" x14ac:dyDescent="0.2">
      <c r="H1043" s="297"/>
      <c r="I1043" s="292"/>
      <c r="J1043" s="52">
        <v>43968</v>
      </c>
      <c r="K1043" s="57">
        <v>2955.45</v>
      </c>
      <c r="L1043" s="57">
        <v>2913.86</v>
      </c>
      <c r="M1043" s="57">
        <v>2980.29</v>
      </c>
      <c r="N1043" s="57">
        <v>2913.86</v>
      </c>
      <c r="O1043" s="51" t="s">
        <v>123</v>
      </c>
      <c r="P1043" s="58">
        <v>3.2000000000000001E-2</v>
      </c>
    </row>
    <row r="1044" spans="8:16" x14ac:dyDescent="0.2">
      <c r="H1044" s="297"/>
      <c r="I1044" s="292"/>
      <c r="J1044" s="52">
        <v>43975</v>
      </c>
      <c r="K1044" s="57">
        <v>3044.31</v>
      </c>
      <c r="L1044" s="57">
        <v>3004.08</v>
      </c>
      <c r="M1044" s="57">
        <v>3068.67</v>
      </c>
      <c r="N1044" s="57">
        <v>2969.75</v>
      </c>
      <c r="O1044" s="51" t="s">
        <v>123</v>
      </c>
      <c r="P1044" s="58">
        <v>3.0099999999999998E-2</v>
      </c>
    </row>
    <row r="1045" spans="8:16" x14ac:dyDescent="0.2">
      <c r="H1045" s="297"/>
      <c r="I1045" s="292"/>
      <c r="J1045" s="52">
        <v>43982</v>
      </c>
      <c r="K1045" s="57">
        <v>3193.93</v>
      </c>
      <c r="L1045" s="57">
        <v>3038.78</v>
      </c>
      <c r="M1045" s="57">
        <v>3211.72</v>
      </c>
      <c r="N1045" s="57">
        <v>3031.54</v>
      </c>
      <c r="O1045" s="51" t="s">
        <v>123</v>
      </c>
      <c r="P1045" s="58">
        <v>4.9099999999999998E-2</v>
      </c>
    </row>
    <row r="1046" spans="8:16" x14ac:dyDescent="0.2">
      <c r="H1046" s="297"/>
      <c r="I1046" s="292"/>
      <c r="J1046" s="52">
        <v>43989</v>
      </c>
      <c r="K1046" s="57">
        <v>3041.31</v>
      </c>
      <c r="L1046" s="57">
        <v>3199.92</v>
      </c>
      <c r="M1046" s="57">
        <v>3233.13</v>
      </c>
      <c r="N1046" s="57">
        <v>2984.47</v>
      </c>
      <c r="O1046" s="51" t="s">
        <v>123</v>
      </c>
      <c r="P1046" s="58">
        <v>-4.7800000000000002E-2</v>
      </c>
    </row>
    <row r="1047" spans="8:16" x14ac:dyDescent="0.2">
      <c r="H1047" s="297"/>
      <c r="I1047" s="292"/>
      <c r="J1047" s="52">
        <v>43996</v>
      </c>
      <c r="K1047" s="57">
        <v>3097.74</v>
      </c>
      <c r="L1047" s="57">
        <v>2993.76</v>
      </c>
      <c r="M1047" s="57">
        <v>3155.53</v>
      </c>
      <c r="N1047" s="57">
        <v>2965.66</v>
      </c>
      <c r="O1047" s="51" t="s">
        <v>123</v>
      </c>
      <c r="P1047" s="58">
        <v>1.8599999999999998E-2</v>
      </c>
    </row>
    <row r="1048" spans="8:16" x14ac:dyDescent="0.2">
      <c r="H1048" s="297"/>
      <c r="I1048" s="292"/>
      <c r="J1048" s="52">
        <v>44003</v>
      </c>
      <c r="K1048" s="57">
        <v>3009.05</v>
      </c>
      <c r="L1048" s="57">
        <v>3094.42</v>
      </c>
      <c r="M1048" s="57">
        <v>3154.9</v>
      </c>
      <c r="N1048" s="57">
        <v>3004.63</v>
      </c>
      <c r="O1048" s="51" t="s">
        <v>123</v>
      </c>
      <c r="P1048" s="58">
        <v>-2.86E-2</v>
      </c>
    </row>
    <row r="1049" spans="8:16" x14ac:dyDescent="0.2">
      <c r="H1049" s="297"/>
      <c r="I1049" s="292"/>
      <c r="J1049" s="52">
        <v>44010</v>
      </c>
      <c r="K1049" s="57">
        <v>3130.01</v>
      </c>
      <c r="L1049" s="57">
        <v>3018.59</v>
      </c>
      <c r="M1049" s="57">
        <v>3165.81</v>
      </c>
      <c r="N1049" s="57">
        <v>2999.74</v>
      </c>
      <c r="O1049" s="51" t="s">
        <v>123</v>
      </c>
      <c r="P1049" s="58">
        <v>4.02E-2</v>
      </c>
    </row>
    <row r="1050" spans="8:16" x14ac:dyDescent="0.2">
      <c r="H1050" s="297"/>
      <c r="I1050" s="292"/>
      <c r="J1050" s="52">
        <v>44017</v>
      </c>
      <c r="K1050" s="57">
        <v>3185.04</v>
      </c>
      <c r="L1050" s="57">
        <v>3155.29</v>
      </c>
      <c r="M1050" s="57">
        <v>3186.82</v>
      </c>
      <c r="N1050" s="57">
        <v>3115.7</v>
      </c>
      <c r="O1050" s="51" t="s">
        <v>123</v>
      </c>
      <c r="P1050" s="58">
        <v>1.7600000000000001E-2</v>
      </c>
    </row>
    <row r="1051" spans="8:16" x14ac:dyDescent="0.2">
      <c r="H1051" s="297"/>
      <c r="I1051" s="292"/>
      <c r="J1051" s="52">
        <v>44024</v>
      </c>
      <c r="K1051" s="57">
        <v>3224.73</v>
      </c>
      <c r="L1051" s="57">
        <v>3205.08</v>
      </c>
      <c r="M1051" s="57">
        <v>3238.28</v>
      </c>
      <c r="N1051" s="57">
        <v>3127.66</v>
      </c>
      <c r="O1051" s="51" t="s">
        <v>123</v>
      </c>
      <c r="P1051" s="58">
        <v>1.2500000000000001E-2</v>
      </c>
    </row>
    <row r="1052" spans="8:16" x14ac:dyDescent="0.2">
      <c r="H1052" s="297"/>
      <c r="I1052" s="292"/>
      <c r="J1052" s="52">
        <v>44031</v>
      </c>
      <c r="K1052" s="57">
        <v>3215.63</v>
      </c>
      <c r="L1052" s="57">
        <v>3224.29</v>
      </c>
      <c r="M1052" s="57">
        <v>3279.99</v>
      </c>
      <c r="N1052" s="57">
        <v>3200.05</v>
      </c>
      <c r="O1052" s="51" t="s">
        <v>123</v>
      </c>
      <c r="P1052" s="58">
        <v>-2.8E-3</v>
      </c>
    </row>
    <row r="1053" spans="8:16" x14ac:dyDescent="0.2">
      <c r="H1053" s="297"/>
      <c r="I1053" s="292"/>
      <c r="J1053" s="52">
        <v>44038</v>
      </c>
      <c r="K1053" s="57">
        <v>3271.12</v>
      </c>
      <c r="L1053" s="57">
        <v>3219.84</v>
      </c>
      <c r="M1053" s="57">
        <v>3272.17</v>
      </c>
      <c r="N1053" s="57">
        <v>3204.13</v>
      </c>
      <c r="O1053" s="51" t="s">
        <v>123</v>
      </c>
      <c r="P1053" s="58">
        <v>1.7299999999999999E-2</v>
      </c>
    </row>
    <row r="1054" spans="8:16" x14ac:dyDescent="0.2">
      <c r="H1054" s="297"/>
      <c r="I1054" s="292"/>
      <c r="J1054" s="52">
        <v>44045</v>
      </c>
      <c r="K1054" s="57">
        <v>3351.28</v>
      </c>
      <c r="L1054" s="57">
        <v>3288.26</v>
      </c>
      <c r="M1054" s="57">
        <v>3352.54</v>
      </c>
      <c r="N1054" s="57">
        <v>3284.53</v>
      </c>
      <c r="O1054" s="51" t="s">
        <v>123</v>
      </c>
      <c r="P1054" s="58">
        <v>2.4500000000000001E-2</v>
      </c>
    </row>
    <row r="1055" spans="8:16" x14ac:dyDescent="0.2">
      <c r="H1055" s="297"/>
      <c r="I1055" s="292"/>
      <c r="J1055" s="52">
        <v>44052</v>
      </c>
      <c r="K1055" s="57">
        <v>3372.85</v>
      </c>
      <c r="L1055" s="57">
        <v>3356.04</v>
      </c>
      <c r="M1055" s="57">
        <v>3387.89</v>
      </c>
      <c r="N1055" s="57">
        <v>3326.44</v>
      </c>
      <c r="O1055" s="51" t="s">
        <v>123</v>
      </c>
      <c r="P1055" s="58">
        <v>6.4000000000000003E-3</v>
      </c>
    </row>
    <row r="1056" spans="8:16" x14ac:dyDescent="0.2">
      <c r="H1056" s="297"/>
      <c r="I1056" s="292"/>
      <c r="J1056" s="52">
        <v>44059</v>
      </c>
      <c r="K1056" s="57">
        <v>3397.16</v>
      </c>
      <c r="L1056" s="57">
        <v>3380.86</v>
      </c>
      <c r="M1056" s="57">
        <v>3399.96</v>
      </c>
      <c r="N1056" s="57">
        <v>3354.69</v>
      </c>
      <c r="O1056" s="51" t="s">
        <v>123</v>
      </c>
      <c r="P1056" s="58">
        <v>7.1999999999999998E-3</v>
      </c>
    </row>
    <row r="1057" spans="8:16" x14ac:dyDescent="0.2">
      <c r="H1057" s="297"/>
      <c r="I1057" s="292"/>
      <c r="J1057" s="52">
        <v>44066</v>
      </c>
      <c r="K1057" s="57">
        <v>3508.01</v>
      </c>
      <c r="L1057" s="57">
        <v>3418.09</v>
      </c>
      <c r="M1057" s="57">
        <v>3509.23</v>
      </c>
      <c r="N1057" s="57">
        <v>3413.13</v>
      </c>
      <c r="O1057" s="51" t="s">
        <v>123</v>
      </c>
      <c r="P1057" s="58">
        <v>3.2599999999999997E-2</v>
      </c>
    </row>
    <row r="1058" spans="8:16" x14ac:dyDescent="0.2">
      <c r="H1058" s="297"/>
      <c r="I1058" s="292"/>
      <c r="J1058" s="52">
        <v>44073</v>
      </c>
      <c r="K1058" s="57">
        <v>3426.96</v>
      </c>
      <c r="L1058" s="57">
        <v>3509.73</v>
      </c>
      <c r="M1058" s="57">
        <v>3588.11</v>
      </c>
      <c r="N1058" s="57">
        <v>3349.63</v>
      </c>
      <c r="O1058" s="51" t="s">
        <v>123</v>
      </c>
      <c r="P1058" s="58">
        <v>-2.3099999999999999E-2</v>
      </c>
    </row>
    <row r="1059" spans="8:16" x14ac:dyDescent="0.2">
      <c r="H1059" s="297"/>
      <c r="I1059" s="292"/>
      <c r="J1059" s="52">
        <v>44080</v>
      </c>
      <c r="K1059" s="57">
        <v>3340.97</v>
      </c>
      <c r="L1059" s="57">
        <v>3371.88</v>
      </c>
      <c r="M1059" s="57">
        <v>3425.55</v>
      </c>
      <c r="N1059" s="57">
        <v>3310.47</v>
      </c>
      <c r="O1059" s="51" t="s">
        <v>123</v>
      </c>
      <c r="P1059" s="58">
        <v>-2.5100000000000001E-2</v>
      </c>
    </row>
    <row r="1060" spans="8:16" x14ac:dyDescent="0.2">
      <c r="H1060" s="297"/>
      <c r="I1060" s="292"/>
      <c r="J1060" s="52">
        <v>44087</v>
      </c>
      <c r="K1060" s="57">
        <v>3319.47</v>
      </c>
      <c r="L1060" s="57">
        <v>3363.56</v>
      </c>
      <c r="M1060" s="57">
        <v>3428.92</v>
      </c>
      <c r="N1060" s="57">
        <v>3292.4</v>
      </c>
      <c r="O1060" s="51" t="s">
        <v>123</v>
      </c>
      <c r="P1060" s="58">
        <v>-6.4000000000000003E-3</v>
      </c>
    </row>
    <row r="1061" spans="8:16" x14ac:dyDescent="0.2">
      <c r="H1061" s="297"/>
      <c r="I1061" s="292"/>
      <c r="J1061" s="52">
        <v>44094</v>
      </c>
      <c r="K1061" s="57">
        <v>3298.46</v>
      </c>
      <c r="L1061" s="57">
        <v>3285.57</v>
      </c>
      <c r="M1061" s="57">
        <v>3323.35</v>
      </c>
      <c r="N1061" s="57">
        <v>3209.45</v>
      </c>
      <c r="O1061" s="51" t="s">
        <v>123</v>
      </c>
      <c r="P1061" s="58">
        <v>-6.3E-3</v>
      </c>
    </row>
    <row r="1062" spans="8:16" x14ac:dyDescent="0.2">
      <c r="H1062" s="297"/>
      <c r="I1062" s="292"/>
      <c r="J1062" s="52">
        <v>44101</v>
      </c>
      <c r="K1062" s="57">
        <v>3348.44</v>
      </c>
      <c r="L1062" s="57">
        <v>3333.9</v>
      </c>
      <c r="M1062" s="57">
        <v>3397.18</v>
      </c>
      <c r="N1062" s="57">
        <v>3323.69</v>
      </c>
      <c r="O1062" s="51" t="s">
        <v>123</v>
      </c>
      <c r="P1062" s="58">
        <v>1.52E-2</v>
      </c>
    </row>
    <row r="1063" spans="8:16" x14ac:dyDescent="0.2">
      <c r="H1063" s="297"/>
      <c r="I1063" s="292"/>
      <c r="J1063" s="52">
        <v>44108</v>
      </c>
      <c r="K1063" s="57">
        <v>3477.13</v>
      </c>
      <c r="L1063" s="57">
        <v>3367.27</v>
      </c>
      <c r="M1063" s="57">
        <v>3482.34</v>
      </c>
      <c r="N1063" s="57">
        <v>3354.54</v>
      </c>
      <c r="O1063" s="51" t="s">
        <v>123</v>
      </c>
      <c r="P1063" s="58">
        <v>3.8399999999999997E-2</v>
      </c>
    </row>
    <row r="1064" spans="8:16" x14ac:dyDescent="0.2">
      <c r="H1064" s="297"/>
      <c r="I1064" s="292"/>
      <c r="J1064" s="52">
        <v>44115</v>
      </c>
      <c r="K1064" s="57">
        <v>3483.81</v>
      </c>
      <c r="L1064" s="57">
        <v>3500.02</v>
      </c>
      <c r="M1064" s="57">
        <v>3549.85</v>
      </c>
      <c r="N1064" s="57">
        <v>3440.89</v>
      </c>
      <c r="O1064" s="51" t="s">
        <v>123</v>
      </c>
      <c r="P1064" s="58">
        <v>1.9E-3</v>
      </c>
    </row>
    <row r="1065" spans="8:16" x14ac:dyDescent="0.2">
      <c r="H1065" s="297"/>
      <c r="I1065" s="292"/>
      <c r="J1065" s="52">
        <v>44122</v>
      </c>
      <c r="K1065" s="57">
        <v>3465.39</v>
      </c>
      <c r="L1065" s="57">
        <v>3493.66</v>
      </c>
      <c r="M1065" s="57">
        <v>3502.42</v>
      </c>
      <c r="N1065" s="57">
        <v>3415.34</v>
      </c>
      <c r="O1065" s="51" t="s">
        <v>123</v>
      </c>
      <c r="P1065" s="58">
        <v>-5.3E-3</v>
      </c>
    </row>
    <row r="1066" spans="8:16" x14ac:dyDescent="0.2">
      <c r="H1066" s="297"/>
      <c r="I1066" s="292"/>
      <c r="J1066" s="52">
        <v>44129</v>
      </c>
      <c r="K1066" s="57">
        <v>3269.96</v>
      </c>
      <c r="L1066" s="57">
        <v>3441.42</v>
      </c>
      <c r="M1066" s="57">
        <v>3441.42</v>
      </c>
      <c r="N1066" s="57">
        <v>3233.94</v>
      </c>
      <c r="O1066" s="51" t="s">
        <v>123</v>
      </c>
      <c r="P1066" s="58">
        <v>-5.6399999999999999E-2</v>
      </c>
    </row>
    <row r="1067" spans="8:16" x14ac:dyDescent="0.2">
      <c r="H1067" s="297"/>
      <c r="I1067" s="292"/>
      <c r="J1067" s="52">
        <v>44136</v>
      </c>
      <c r="K1067" s="57">
        <v>3509.44</v>
      </c>
      <c r="L1067" s="57">
        <v>3296.2</v>
      </c>
      <c r="M1067" s="57">
        <v>3529.05</v>
      </c>
      <c r="N1067" s="57">
        <v>3279.74</v>
      </c>
      <c r="O1067" s="51" t="s">
        <v>123</v>
      </c>
      <c r="P1067" s="58">
        <v>7.3200000000000001E-2</v>
      </c>
    </row>
    <row r="1068" spans="8:16" x14ac:dyDescent="0.2">
      <c r="H1068" s="297"/>
      <c r="I1068" s="292"/>
      <c r="J1068" s="52">
        <v>44143</v>
      </c>
      <c r="K1068" s="57">
        <v>3585.15</v>
      </c>
      <c r="L1068" s="57">
        <v>3583.04</v>
      </c>
      <c r="M1068" s="57">
        <v>3645.99</v>
      </c>
      <c r="N1068" s="57">
        <v>3511.91</v>
      </c>
      <c r="O1068" s="51" t="s">
        <v>123</v>
      </c>
      <c r="P1068" s="58">
        <v>2.1600000000000001E-2</v>
      </c>
    </row>
    <row r="1069" spans="8:16" x14ac:dyDescent="0.2">
      <c r="H1069" s="297"/>
      <c r="I1069" s="292"/>
      <c r="J1069" s="52">
        <v>44150</v>
      </c>
      <c r="K1069" s="57">
        <v>3557.54</v>
      </c>
      <c r="L1069" s="57">
        <v>3600.16</v>
      </c>
      <c r="M1069" s="57">
        <v>3628.51</v>
      </c>
      <c r="N1069" s="57">
        <v>3543.84</v>
      </c>
      <c r="O1069" s="51" t="s">
        <v>123</v>
      </c>
      <c r="P1069" s="58">
        <v>-7.7000000000000002E-3</v>
      </c>
    </row>
    <row r="1070" spans="8:16" x14ac:dyDescent="0.2">
      <c r="H1070" s="297"/>
      <c r="I1070" s="292"/>
      <c r="J1070" s="52">
        <v>44157</v>
      </c>
      <c r="K1070" s="57">
        <v>3638.35</v>
      </c>
      <c r="L1070" s="57">
        <v>3566.82</v>
      </c>
      <c r="M1070" s="57">
        <v>3644.31</v>
      </c>
      <c r="N1070" s="57">
        <v>3552.77</v>
      </c>
      <c r="O1070" s="51" t="s">
        <v>123</v>
      </c>
      <c r="P1070" s="58">
        <v>2.2700000000000001E-2</v>
      </c>
    </row>
    <row r="1071" spans="8:16" x14ac:dyDescent="0.2">
      <c r="H1071" s="297"/>
      <c r="I1071" s="292"/>
      <c r="J1071" s="52">
        <v>44164</v>
      </c>
      <c r="K1071" s="57">
        <v>3699.12</v>
      </c>
      <c r="L1071" s="57">
        <v>3634.18</v>
      </c>
      <c r="M1071" s="57">
        <v>3699.2</v>
      </c>
      <c r="N1071" s="57">
        <v>3594.39</v>
      </c>
      <c r="O1071" s="51" t="s">
        <v>123</v>
      </c>
      <c r="P1071" s="58">
        <v>1.67E-2</v>
      </c>
    </row>
    <row r="1072" spans="8:16" x14ac:dyDescent="0.2">
      <c r="H1072" s="297"/>
      <c r="I1072" s="292"/>
      <c r="J1072" s="52">
        <v>44171</v>
      </c>
      <c r="K1072" s="57">
        <v>3663.46</v>
      </c>
      <c r="L1072" s="57">
        <v>3694.73</v>
      </c>
      <c r="M1072" s="57">
        <v>3712.39</v>
      </c>
      <c r="N1072" s="57">
        <v>3633.4</v>
      </c>
      <c r="O1072" s="51" t="s">
        <v>123</v>
      </c>
      <c r="P1072" s="58">
        <v>-9.5999999999999992E-3</v>
      </c>
    </row>
    <row r="1073" spans="8:16" x14ac:dyDescent="0.2">
      <c r="H1073" s="297"/>
      <c r="I1073" s="292"/>
      <c r="J1073" s="52">
        <v>44178</v>
      </c>
      <c r="K1073" s="57">
        <v>3709.41</v>
      </c>
      <c r="L1073" s="57">
        <v>3675.27</v>
      </c>
      <c r="M1073" s="57">
        <v>3726.7</v>
      </c>
      <c r="N1073" s="57">
        <v>3645.84</v>
      </c>
      <c r="O1073" s="51" t="s">
        <v>123</v>
      </c>
      <c r="P1073" s="58">
        <v>1.2500000000000001E-2</v>
      </c>
    </row>
    <row r="1074" spans="8:16" x14ac:dyDescent="0.2">
      <c r="H1074" s="297"/>
      <c r="I1074" s="292"/>
      <c r="J1074" s="52">
        <v>44185</v>
      </c>
      <c r="K1074" s="57">
        <v>3703.06</v>
      </c>
      <c r="L1074" s="57">
        <v>3684.28</v>
      </c>
      <c r="M1074" s="57">
        <v>3711.24</v>
      </c>
      <c r="N1074" s="57">
        <v>3636.48</v>
      </c>
      <c r="O1074" s="51" t="s">
        <v>123</v>
      </c>
      <c r="P1074" s="58">
        <v>-1.6999999999999999E-3</v>
      </c>
    </row>
    <row r="1075" spans="8:16" x14ac:dyDescent="0.2">
      <c r="H1075" s="297"/>
      <c r="I1075" s="292"/>
      <c r="J1075" s="52">
        <v>44192</v>
      </c>
      <c r="K1075" s="57">
        <v>3756.07</v>
      </c>
      <c r="L1075" s="57">
        <v>3723.03</v>
      </c>
      <c r="M1075" s="57">
        <v>3760.2</v>
      </c>
      <c r="N1075" s="57">
        <v>3723.03</v>
      </c>
      <c r="O1075" s="51" t="s">
        <v>123</v>
      </c>
      <c r="P1075" s="58">
        <v>1.43E-2</v>
      </c>
    </row>
    <row r="1076" spans="8:16" x14ac:dyDescent="0.2">
      <c r="H1076" s="297"/>
      <c r="I1076" s="292"/>
      <c r="J1076" s="52">
        <v>44199</v>
      </c>
      <c r="K1076" s="57">
        <v>3824.68</v>
      </c>
      <c r="L1076" s="57">
        <v>3764.61</v>
      </c>
      <c r="M1076" s="57">
        <v>3826.69</v>
      </c>
      <c r="N1076" s="57">
        <v>3662.71</v>
      </c>
      <c r="O1076" s="51" t="s">
        <v>123</v>
      </c>
      <c r="P1076" s="58">
        <v>1.83E-2</v>
      </c>
    </row>
    <row r="1077" spans="8:16" x14ac:dyDescent="0.2">
      <c r="H1077" s="297"/>
      <c r="I1077" s="292"/>
      <c r="J1077" s="52">
        <v>44206</v>
      </c>
      <c r="K1077" s="57">
        <v>3768.25</v>
      </c>
      <c r="L1077" s="57">
        <v>3803.14</v>
      </c>
      <c r="M1077" s="57">
        <v>3823.6</v>
      </c>
      <c r="N1077" s="57">
        <v>3749.62</v>
      </c>
      <c r="O1077" s="51" t="s">
        <v>123</v>
      </c>
      <c r="P1077" s="58">
        <v>-1.4800000000000001E-2</v>
      </c>
    </row>
    <row r="1078" spans="8:16" x14ac:dyDescent="0.2">
      <c r="H1078" s="297"/>
      <c r="I1078" s="292"/>
      <c r="J1078" s="52">
        <v>44213</v>
      </c>
      <c r="K1078" s="57">
        <v>3841.47</v>
      </c>
      <c r="L1078" s="57">
        <v>3781.88</v>
      </c>
      <c r="M1078" s="57">
        <v>3861.45</v>
      </c>
      <c r="N1078" s="57">
        <v>3780.37</v>
      </c>
      <c r="O1078" s="51" t="s">
        <v>123</v>
      </c>
      <c r="P1078" s="58">
        <v>1.9400000000000001E-2</v>
      </c>
    </row>
    <row r="1079" spans="8:16" x14ac:dyDescent="0.2">
      <c r="H1079" s="297"/>
      <c r="I1079" s="292"/>
      <c r="J1079" s="52">
        <v>44220</v>
      </c>
      <c r="K1079" s="57">
        <v>3714.24</v>
      </c>
      <c r="L1079" s="57">
        <v>3851.68</v>
      </c>
      <c r="M1079" s="57">
        <v>3870.9</v>
      </c>
      <c r="N1079" s="57">
        <v>3694.12</v>
      </c>
      <c r="O1079" s="51" t="s">
        <v>123</v>
      </c>
      <c r="P1079" s="58">
        <v>-3.3099999999999997E-2</v>
      </c>
    </row>
    <row r="1080" spans="8:16" x14ac:dyDescent="0.2">
      <c r="H1080" s="297"/>
      <c r="I1080" s="292"/>
      <c r="J1080" s="52">
        <v>44227</v>
      </c>
      <c r="K1080" s="57">
        <v>3886.83</v>
      </c>
      <c r="L1080" s="57">
        <v>3731.17</v>
      </c>
      <c r="M1080" s="57">
        <v>3894.56</v>
      </c>
      <c r="N1080" s="57">
        <v>3725.62</v>
      </c>
      <c r="O1080" s="51" t="s">
        <v>123</v>
      </c>
      <c r="P1080" s="58">
        <v>4.65E-2</v>
      </c>
    </row>
    <row r="1081" spans="8:16" x14ac:dyDescent="0.2">
      <c r="H1081" s="297"/>
      <c r="I1081" s="292"/>
      <c r="J1081" s="52">
        <v>44234</v>
      </c>
      <c r="K1081" s="57">
        <v>3934.83</v>
      </c>
      <c r="L1081" s="57">
        <v>3892.59</v>
      </c>
      <c r="M1081" s="57">
        <v>3937.23</v>
      </c>
      <c r="N1081" s="57">
        <v>3884.94</v>
      </c>
      <c r="O1081" s="51" t="s">
        <v>123</v>
      </c>
      <c r="P1081" s="58">
        <v>1.23E-2</v>
      </c>
    </row>
    <row r="1082" spans="8:16" x14ac:dyDescent="0.2">
      <c r="H1082" s="297"/>
      <c r="I1082" s="292"/>
      <c r="J1082" s="52">
        <v>44241</v>
      </c>
      <c r="K1082" s="57">
        <v>3906.71</v>
      </c>
      <c r="L1082" s="57">
        <v>3939.61</v>
      </c>
      <c r="M1082" s="57">
        <v>3950.43</v>
      </c>
      <c r="N1082" s="57">
        <v>3885.03</v>
      </c>
      <c r="O1082" s="51" t="s">
        <v>123</v>
      </c>
      <c r="P1082" s="58">
        <v>-7.1000000000000004E-3</v>
      </c>
    </row>
    <row r="1083" spans="8:16" x14ac:dyDescent="0.2">
      <c r="H1083" s="297"/>
      <c r="I1083" s="292"/>
      <c r="J1083" s="52">
        <v>44248</v>
      </c>
      <c r="K1083" s="57">
        <v>3811.15</v>
      </c>
      <c r="L1083" s="57">
        <v>3885.55</v>
      </c>
      <c r="M1083" s="57">
        <v>3928.65</v>
      </c>
      <c r="N1083" s="57">
        <v>3789.54</v>
      </c>
      <c r="O1083" s="51" t="s">
        <v>123</v>
      </c>
      <c r="P1083" s="58">
        <v>-2.4500000000000001E-2</v>
      </c>
    </row>
    <row r="1084" spans="8:16" x14ac:dyDescent="0.2">
      <c r="H1084" s="297"/>
      <c r="I1084" s="292"/>
      <c r="J1084" s="52">
        <v>44255</v>
      </c>
      <c r="K1084" s="57">
        <v>3841.94</v>
      </c>
      <c r="L1084" s="57">
        <v>3842.51</v>
      </c>
      <c r="M1084" s="57">
        <v>3914.5</v>
      </c>
      <c r="N1084" s="57">
        <v>3723.34</v>
      </c>
      <c r="O1084" s="51" t="s">
        <v>123</v>
      </c>
      <c r="P1084" s="58">
        <v>8.0999999999999996E-3</v>
      </c>
    </row>
    <row r="1085" spans="8:16" x14ac:dyDescent="0.2">
      <c r="H1085" s="297"/>
      <c r="I1085" s="292"/>
      <c r="J1085" s="52">
        <v>44262</v>
      </c>
      <c r="K1085" s="57">
        <v>3943.34</v>
      </c>
      <c r="L1085" s="57">
        <v>3844.39</v>
      </c>
      <c r="M1085" s="57">
        <v>3960.27</v>
      </c>
      <c r="N1085" s="57">
        <v>3819.25</v>
      </c>
      <c r="O1085" s="51" t="s">
        <v>123</v>
      </c>
      <c r="P1085" s="58">
        <v>2.64E-2</v>
      </c>
    </row>
    <row r="1086" spans="8:16" x14ac:dyDescent="0.2">
      <c r="H1086" s="297"/>
      <c r="I1086" s="292"/>
      <c r="J1086" s="52">
        <v>44269</v>
      </c>
      <c r="K1086" s="57">
        <v>3913.1</v>
      </c>
      <c r="L1086" s="57">
        <v>3942.96</v>
      </c>
      <c r="M1086" s="57">
        <v>3983.87</v>
      </c>
      <c r="N1086" s="57">
        <v>3886.75</v>
      </c>
      <c r="O1086" s="51" t="s">
        <v>123</v>
      </c>
      <c r="P1086" s="58">
        <v>-7.7000000000000002E-3</v>
      </c>
    </row>
    <row r="1087" spans="8:16" x14ac:dyDescent="0.2">
      <c r="H1087" s="297"/>
      <c r="I1087" s="292"/>
      <c r="J1087" s="52">
        <v>44276</v>
      </c>
      <c r="K1087" s="57">
        <v>3974.54</v>
      </c>
      <c r="L1087" s="57">
        <v>3916.48</v>
      </c>
      <c r="M1087" s="57">
        <v>3978.19</v>
      </c>
      <c r="N1087" s="57">
        <v>3853.5</v>
      </c>
      <c r="O1087" s="51" t="s">
        <v>123</v>
      </c>
      <c r="P1087" s="58">
        <v>1.5699999999999999E-2</v>
      </c>
    </row>
    <row r="1088" spans="8:16" x14ac:dyDescent="0.2">
      <c r="H1088" s="297"/>
      <c r="I1088" s="292"/>
      <c r="J1088" s="52">
        <v>44283</v>
      </c>
      <c r="K1088" s="57">
        <v>4019.87</v>
      </c>
      <c r="L1088" s="57">
        <v>3969.31</v>
      </c>
      <c r="M1088" s="57">
        <v>4020.63</v>
      </c>
      <c r="N1088" s="57">
        <v>3943.25</v>
      </c>
      <c r="O1088" s="51" t="s">
        <v>123</v>
      </c>
      <c r="P1088" s="58">
        <v>1.14E-2</v>
      </c>
    </row>
    <row r="1089" spans="8:16" x14ac:dyDescent="0.2">
      <c r="H1089" s="297"/>
      <c r="I1089" s="292"/>
      <c r="J1089" s="52">
        <v>44290</v>
      </c>
      <c r="K1089" s="57">
        <v>4128.8</v>
      </c>
      <c r="L1089" s="57">
        <v>4034.44</v>
      </c>
      <c r="M1089" s="57">
        <v>4129.4799999999996</v>
      </c>
      <c r="N1089" s="57">
        <v>4034.44</v>
      </c>
      <c r="O1089" s="51" t="s">
        <v>123</v>
      </c>
      <c r="P1089" s="58">
        <v>2.7099999999999999E-2</v>
      </c>
    </row>
    <row r="1090" spans="8:16" x14ac:dyDescent="0.2">
      <c r="H1090" s="297"/>
      <c r="I1090" s="292"/>
      <c r="J1090" s="52">
        <v>44297</v>
      </c>
      <c r="K1090" s="57">
        <v>4185.47</v>
      </c>
      <c r="L1090" s="57">
        <v>4124.71</v>
      </c>
      <c r="M1090" s="57">
        <v>4191.3100000000004</v>
      </c>
      <c r="N1090" s="57">
        <v>4114.82</v>
      </c>
      <c r="O1090" s="51" t="s">
        <v>123</v>
      </c>
      <c r="P1090" s="58">
        <v>1.37E-2</v>
      </c>
    </row>
    <row r="1091" spans="8:16" x14ac:dyDescent="0.2">
      <c r="H1091" s="297"/>
      <c r="I1091" s="292"/>
      <c r="J1091" s="52">
        <v>44304</v>
      </c>
      <c r="K1091" s="57">
        <v>4180.17</v>
      </c>
      <c r="L1091" s="57">
        <v>4179.8</v>
      </c>
      <c r="M1091" s="57">
        <v>4194.17</v>
      </c>
      <c r="N1091" s="57">
        <v>4118.38</v>
      </c>
      <c r="O1091" s="51" t="s">
        <v>123</v>
      </c>
      <c r="P1091" s="58">
        <v>-1.2999999999999999E-3</v>
      </c>
    </row>
    <row r="1092" spans="8:16" x14ac:dyDescent="0.2">
      <c r="H1092" s="297"/>
      <c r="I1092" s="292"/>
      <c r="J1092" s="52">
        <v>44311</v>
      </c>
      <c r="K1092" s="57">
        <v>4181.17</v>
      </c>
      <c r="L1092" s="57">
        <v>4185.03</v>
      </c>
      <c r="M1092" s="57">
        <v>4218.78</v>
      </c>
      <c r="N1092" s="57">
        <v>4174.8500000000004</v>
      </c>
      <c r="O1092" s="51" t="s">
        <v>123</v>
      </c>
      <c r="P1092" s="58">
        <v>2.0000000000000001E-4</v>
      </c>
    </row>
    <row r="1093" spans="8:16" x14ac:dyDescent="0.2">
      <c r="H1093" s="297"/>
      <c r="I1093" s="292"/>
      <c r="J1093" s="52">
        <v>44318</v>
      </c>
      <c r="K1093" s="57">
        <v>4232.6000000000004</v>
      </c>
      <c r="L1093" s="57">
        <v>4191.9799999999996</v>
      </c>
      <c r="M1093" s="57">
        <v>4238.04</v>
      </c>
      <c r="N1093" s="57">
        <v>4128.59</v>
      </c>
      <c r="O1093" s="51" t="s">
        <v>123</v>
      </c>
      <c r="P1093" s="58">
        <v>1.23E-2</v>
      </c>
    </row>
    <row r="1094" spans="8:16" x14ac:dyDescent="0.2">
      <c r="H1094" s="297"/>
      <c r="I1094" s="292"/>
      <c r="J1094" s="52">
        <v>44325</v>
      </c>
      <c r="K1094" s="57">
        <v>4173.8500000000004</v>
      </c>
      <c r="L1094" s="57">
        <v>4228.29</v>
      </c>
      <c r="M1094" s="57">
        <v>4236.3900000000003</v>
      </c>
      <c r="N1094" s="57">
        <v>4056.88</v>
      </c>
      <c r="O1094" s="51" t="s">
        <v>123</v>
      </c>
      <c r="P1094" s="58">
        <v>-1.3899999999999999E-2</v>
      </c>
    </row>
    <row r="1095" spans="8:16" x14ac:dyDescent="0.2">
      <c r="H1095" s="297"/>
      <c r="I1095" s="292"/>
      <c r="J1095" s="52">
        <v>44332</v>
      </c>
      <c r="K1095" s="57">
        <v>4155.8599999999997</v>
      </c>
      <c r="L1095" s="57">
        <v>4169.92</v>
      </c>
      <c r="M1095" s="57">
        <v>4188.72</v>
      </c>
      <c r="N1095" s="57">
        <v>4061.41</v>
      </c>
      <c r="O1095" s="51" t="s">
        <v>123</v>
      </c>
      <c r="P1095" s="58">
        <v>-4.3E-3</v>
      </c>
    </row>
    <row r="1096" spans="8:16" x14ac:dyDescent="0.2">
      <c r="H1096" s="297"/>
      <c r="I1096" s="292"/>
      <c r="J1096" s="52">
        <v>44339</v>
      </c>
      <c r="K1096" s="57">
        <v>4204.1099999999997</v>
      </c>
      <c r="L1096" s="57">
        <v>4170.16</v>
      </c>
      <c r="M1096" s="57">
        <v>4218.3599999999997</v>
      </c>
      <c r="N1096" s="57">
        <v>4170.16</v>
      </c>
      <c r="O1096" s="51" t="s">
        <v>123</v>
      </c>
      <c r="P1096" s="58">
        <v>1.1599999999999999E-2</v>
      </c>
    </row>
    <row r="1097" spans="8:16" x14ac:dyDescent="0.2">
      <c r="H1097" s="297"/>
      <c r="I1097" s="292"/>
      <c r="J1097" s="52">
        <v>44346</v>
      </c>
      <c r="K1097" s="57">
        <v>4229.8900000000003</v>
      </c>
      <c r="L1097" s="57">
        <v>4216.5200000000004</v>
      </c>
      <c r="M1097" s="57">
        <v>4234.12</v>
      </c>
      <c r="N1097" s="57">
        <v>4167.93</v>
      </c>
      <c r="O1097" s="51" t="s">
        <v>123</v>
      </c>
      <c r="P1097" s="58">
        <v>6.1000000000000004E-3</v>
      </c>
    </row>
    <row r="1098" spans="8:16" x14ac:dyDescent="0.2">
      <c r="H1098" s="297"/>
      <c r="I1098" s="292"/>
      <c r="J1098" s="52">
        <v>44353</v>
      </c>
      <c r="K1098" s="57">
        <v>4247.4399999999996</v>
      </c>
      <c r="L1098" s="57">
        <v>4229.34</v>
      </c>
      <c r="M1098" s="57">
        <v>4249.74</v>
      </c>
      <c r="N1098" s="57">
        <v>4208.41</v>
      </c>
      <c r="O1098" s="51" t="s">
        <v>123</v>
      </c>
      <c r="P1098" s="58">
        <v>4.1000000000000003E-3</v>
      </c>
    </row>
    <row r="1099" spans="8:16" x14ac:dyDescent="0.2">
      <c r="H1099" s="297"/>
      <c r="I1099" s="292"/>
      <c r="J1099" s="52">
        <v>44360</v>
      </c>
      <c r="K1099" s="57">
        <v>4166.45</v>
      </c>
      <c r="L1099" s="57">
        <v>4248.3100000000004</v>
      </c>
      <c r="M1099" s="57">
        <v>4257.16</v>
      </c>
      <c r="N1099" s="57">
        <v>4164.3999999999996</v>
      </c>
      <c r="O1099" s="51" t="s">
        <v>123</v>
      </c>
      <c r="P1099" s="58">
        <v>-1.9099999999999999E-2</v>
      </c>
    </row>
    <row r="1100" spans="8:16" x14ac:dyDescent="0.2">
      <c r="H1100" s="297"/>
      <c r="I1100" s="292"/>
      <c r="J1100" s="52">
        <v>44367</v>
      </c>
      <c r="K1100" s="57">
        <v>4280.7</v>
      </c>
      <c r="L1100" s="57">
        <v>4173.3999999999996</v>
      </c>
      <c r="M1100" s="57">
        <v>4286.12</v>
      </c>
      <c r="N1100" s="57">
        <v>4173.3999999999996</v>
      </c>
      <c r="O1100" s="51" t="s">
        <v>123</v>
      </c>
      <c r="P1100" s="58">
        <v>2.7400000000000001E-2</v>
      </c>
    </row>
    <row r="1101" spans="8:16" x14ac:dyDescent="0.2">
      <c r="H1101" s="297"/>
      <c r="I1101" s="292"/>
      <c r="J1101" s="52">
        <v>44374</v>
      </c>
      <c r="K1101" s="57">
        <v>4352.34</v>
      </c>
      <c r="L1101" s="57">
        <v>4284.8999999999996</v>
      </c>
      <c r="M1101" s="57">
        <v>4355.43</v>
      </c>
      <c r="N1101" s="57">
        <v>4274.67</v>
      </c>
      <c r="O1101" s="51" t="s">
        <v>123</v>
      </c>
      <c r="P1101" s="58">
        <v>1.67E-2</v>
      </c>
    </row>
    <row r="1102" spans="8:16" x14ac:dyDescent="0.2">
      <c r="H1102" s="297"/>
      <c r="I1102" s="292"/>
      <c r="J1102" s="52">
        <v>44381</v>
      </c>
      <c r="K1102" s="57">
        <v>4369.55</v>
      </c>
      <c r="L1102" s="57">
        <v>4356.46</v>
      </c>
      <c r="M1102" s="57">
        <v>4371.6000000000004</v>
      </c>
      <c r="N1102" s="57">
        <v>4289.37</v>
      </c>
      <c r="O1102" s="51" t="s">
        <v>123</v>
      </c>
      <c r="P1102" s="58">
        <v>4.0000000000000001E-3</v>
      </c>
    </row>
    <row r="1103" spans="8:16" x14ac:dyDescent="0.2">
      <c r="H1103" s="297"/>
      <c r="I1103" s="292"/>
      <c r="J1103" s="52">
        <v>44388</v>
      </c>
      <c r="K1103" s="57">
        <v>4327.16</v>
      </c>
      <c r="L1103" s="57">
        <v>4372.41</v>
      </c>
      <c r="M1103" s="57">
        <v>4393.68</v>
      </c>
      <c r="N1103" s="57">
        <v>4322.53</v>
      </c>
      <c r="O1103" s="51" t="s">
        <v>123</v>
      </c>
      <c r="P1103" s="58">
        <v>-9.7000000000000003E-3</v>
      </c>
    </row>
    <row r="1104" spans="8:16" x14ac:dyDescent="0.2">
      <c r="H1104" s="297"/>
      <c r="I1104" s="292"/>
      <c r="J1104" s="52">
        <v>44395</v>
      </c>
      <c r="K1104" s="57">
        <v>4411.8</v>
      </c>
      <c r="L1104" s="57">
        <v>4273.3999999999996</v>
      </c>
      <c r="M1104" s="57">
        <v>4415.8999999999996</v>
      </c>
      <c r="N1104" s="57">
        <v>4232.8</v>
      </c>
      <c r="O1104" s="51" t="s">
        <v>123</v>
      </c>
      <c r="P1104" s="58">
        <v>1.9599999999999999E-2</v>
      </c>
    </row>
    <row r="1105" spans="8:16" x14ac:dyDescent="0.2">
      <c r="H1105" s="297"/>
      <c r="I1105" s="292"/>
      <c r="J1105" s="52">
        <v>44402</v>
      </c>
      <c r="K1105" s="57">
        <v>4395.26</v>
      </c>
      <c r="L1105" s="57">
        <v>4405.8</v>
      </c>
      <c r="M1105" s="57">
        <v>4430.2</v>
      </c>
      <c r="N1105" s="57">
        <v>4372.6000000000004</v>
      </c>
      <c r="O1105" s="51" t="s">
        <v>123</v>
      </c>
      <c r="P1105" s="58">
        <v>-3.7000000000000002E-3</v>
      </c>
    </row>
    <row r="1106" spans="8:16" x14ac:dyDescent="0.2">
      <c r="H1106" s="297"/>
      <c r="I1106" s="292"/>
      <c r="J1106" s="52">
        <v>44409</v>
      </c>
      <c r="K1106" s="57">
        <v>4436.5200000000004</v>
      </c>
      <c r="L1106" s="57">
        <v>4415.8999999999996</v>
      </c>
      <c r="M1106" s="57">
        <v>4440.2</v>
      </c>
      <c r="N1106" s="57">
        <v>4373.2</v>
      </c>
      <c r="O1106" s="51" t="s">
        <v>123</v>
      </c>
      <c r="P1106" s="58">
        <v>9.4000000000000004E-3</v>
      </c>
    </row>
    <row r="1107" spans="8:16" x14ac:dyDescent="0.2">
      <c r="H1107" s="297"/>
      <c r="I1107" s="292"/>
      <c r="J1107" s="52">
        <v>44416</v>
      </c>
      <c r="K1107" s="57">
        <v>4468</v>
      </c>
      <c r="L1107" s="57">
        <v>4436.2</v>
      </c>
      <c r="M1107" s="57">
        <v>4468.82</v>
      </c>
      <c r="N1107" s="57">
        <v>4424.2</v>
      </c>
      <c r="O1107" s="51" t="s">
        <v>123</v>
      </c>
      <c r="P1107" s="58">
        <v>7.1000000000000004E-3</v>
      </c>
    </row>
    <row r="1108" spans="8:16" x14ac:dyDescent="0.2">
      <c r="H1108" s="297"/>
      <c r="I1108" s="292"/>
      <c r="J1108" s="52">
        <v>44423</v>
      </c>
      <c r="K1108" s="57">
        <v>4441.67</v>
      </c>
      <c r="L1108" s="57">
        <v>4456.1000000000004</v>
      </c>
      <c r="M1108" s="57">
        <v>4480.01</v>
      </c>
      <c r="N1108" s="57">
        <v>4369.2</v>
      </c>
      <c r="O1108" s="51" t="s">
        <v>123</v>
      </c>
      <c r="P1108" s="58">
        <v>-5.8999999999999999E-3</v>
      </c>
    </row>
    <row r="1109" spans="8:16" x14ac:dyDescent="0.2">
      <c r="H1109" s="297"/>
      <c r="I1109" s="292"/>
      <c r="J1109" s="52">
        <v>44430</v>
      </c>
      <c r="K1109" s="57">
        <v>4509.37</v>
      </c>
      <c r="L1109" s="57">
        <v>4459.3</v>
      </c>
      <c r="M1109" s="57">
        <v>4513.3999999999996</v>
      </c>
      <c r="N1109" s="57">
        <v>4459.3</v>
      </c>
      <c r="O1109" s="51" t="s">
        <v>123</v>
      </c>
      <c r="P1109" s="58">
        <v>1.52E-2</v>
      </c>
    </row>
    <row r="1110" spans="8:16" x14ac:dyDescent="0.2">
      <c r="H1110" s="297"/>
      <c r="I1110" s="292"/>
      <c r="J1110" s="52">
        <v>44437</v>
      </c>
      <c r="K1110" s="57">
        <v>4535.43</v>
      </c>
      <c r="L1110" s="57">
        <v>4517.2</v>
      </c>
      <c r="M1110" s="57">
        <v>4544.58</v>
      </c>
      <c r="N1110" s="57">
        <v>4514.3999999999996</v>
      </c>
      <c r="O1110" s="51" t="s">
        <v>123</v>
      </c>
      <c r="P1110" s="58">
        <v>5.7999999999999996E-3</v>
      </c>
    </row>
    <row r="1111" spans="8:16" x14ac:dyDescent="0.2">
      <c r="H1111" s="297"/>
      <c r="I1111" s="292"/>
      <c r="J1111" s="52">
        <v>44444</v>
      </c>
      <c r="K1111" s="57">
        <v>4458.58</v>
      </c>
      <c r="L1111" s="57">
        <v>4532.1899999999996</v>
      </c>
      <c r="M1111" s="57">
        <v>4532.1899999999996</v>
      </c>
      <c r="N1111" s="57">
        <v>4457.9799999999996</v>
      </c>
      <c r="O1111" s="51" t="s">
        <v>123</v>
      </c>
      <c r="P1111" s="58">
        <v>-1.6899999999999998E-2</v>
      </c>
    </row>
    <row r="1112" spans="8:16" x14ac:dyDescent="0.2">
      <c r="H1112" s="297"/>
      <c r="I1112" s="292"/>
      <c r="J1112" s="52">
        <v>44451</v>
      </c>
      <c r="K1112" s="57">
        <v>4432.99</v>
      </c>
      <c r="L1112" s="57">
        <v>4491.8999999999996</v>
      </c>
      <c r="M1112" s="57">
        <v>4493.79</v>
      </c>
      <c r="N1112" s="57">
        <v>4427.8999999999996</v>
      </c>
      <c r="O1112" s="51" t="s">
        <v>123</v>
      </c>
      <c r="P1112" s="58">
        <v>-5.7000000000000002E-3</v>
      </c>
    </row>
    <row r="1113" spans="8:16" x14ac:dyDescent="0.2">
      <c r="H1113" s="297"/>
      <c r="I1113" s="292"/>
      <c r="J1113" s="52">
        <v>44458</v>
      </c>
      <c r="K1113" s="57">
        <v>4455.4799999999996</v>
      </c>
      <c r="L1113" s="57">
        <v>4361.3</v>
      </c>
      <c r="M1113" s="57">
        <v>4465.8</v>
      </c>
      <c r="N1113" s="57">
        <v>4305.6099999999997</v>
      </c>
      <c r="O1113" s="51" t="s">
        <v>123</v>
      </c>
      <c r="P1113" s="58">
        <v>5.1000000000000004E-3</v>
      </c>
    </row>
    <row r="1114" spans="8:16" x14ac:dyDescent="0.2">
      <c r="H1114" s="297"/>
      <c r="I1114" s="292"/>
      <c r="J1114" s="52">
        <v>44465</v>
      </c>
      <c r="K1114" s="57">
        <v>4357.05</v>
      </c>
      <c r="L1114" s="57">
        <v>4443.1000000000004</v>
      </c>
      <c r="M1114" s="57">
        <v>4457.25</v>
      </c>
      <c r="N1114" s="57">
        <v>4288.05</v>
      </c>
      <c r="O1114" s="51" t="s">
        <v>123</v>
      </c>
      <c r="P1114" s="58">
        <v>-2.2100000000000002E-2</v>
      </c>
    </row>
    <row r="1115" spans="8:16" x14ac:dyDescent="0.2">
      <c r="H1115" s="297"/>
      <c r="I1115" s="292"/>
      <c r="J1115" s="52">
        <v>44472</v>
      </c>
      <c r="K1115" s="57">
        <v>4391.3599999999997</v>
      </c>
      <c r="L1115" s="57">
        <v>4344.3500000000004</v>
      </c>
      <c r="M1115" s="57">
        <v>4430.59</v>
      </c>
      <c r="N1115" s="57">
        <v>4278.7</v>
      </c>
      <c r="O1115" s="51" t="s">
        <v>123</v>
      </c>
      <c r="P1115" s="58">
        <v>7.9000000000000008E-3</v>
      </c>
    </row>
    <row r="1116" spans="8:16" x14ac:dyDescent="0.2">
      <c r="H1116" s="297"/>
      <c r="I1116" s="292"/>
      <c r="J1116" s="52">
        <v>44479</v>
      </c>
      <c r="K1116" s="57">
        <v>4471.37</v>
      </c>
      <c r="L1116" s="57">
        <v>4386.3500000000004</v>
      </c>
      <c r="M1116" s="57">
        <v>4476.3</v>
      </c>
      <c r="N1116" s="57">
        <v>4329.3999999999996</v>
      </c>
      <c r="O1116" s="51" t="s">
        <v>123</v>
      </c>
      <c r="P1116" s="58">
        <v>1.8200000000000001E-2</v>
      </c>
    </row>
    <row r="1117" spans="8:16" x14ac:dyDescent="0.2">
      <c r="H1117" s="297"/>
      <c r="I1117" s="292"/>
      <c r="J1117" s="52">
        <v>44486</v>
      </c>
      <c r="K1117" s="57">
        <v>4544.8999999999996</v>
      </c>
      <c r="L1117" s="57">
        <v>4453.57</v>
      </c>
      <c r="M1117" s="57">
        <v>4559.7</v>
      </c>
      <c r="N1117" s="57">
        <v>4445.8999999999996</v>
      </c>
      <c r="O1117" s="51" t="s">
        <v>123</v>
      </c>
      <c r="P1117" s="58">
        <v>1.6400000000000001E-2</v>
      </c>
    </row>
    <row r="1118" spans="8:16" x14ac:dyDescent="0.2">
      <c r="H1118" s="297"/>
      <c r="I1118" s="292"/>
      <c r="J1118" s="52">
        <v>44493</v>
      </c>
      <c r="K1118" s="57">
        <v>4605.38</v>
      </c>
      <c r="L1118" s="57">
        <v>4556</v>
      </c>
      <c r="M1118" s="57">
        <v>4608.7</v>
      </c>
      <c r="N1118" s="57">
        <v>4537.38</v>
      </c>
      <c r="O1118" s="51" t="s">
        <v>123</v>
      </c>
      <c r="P1118" s="58">
        <v>1.3299999999999999E-2</v>
      </c>
    </row>
    <row r="1119" spans="8:16" x14ac:dyDescent="0.2">
      <c r="H1119" s="297"/>
      <c r="I1119" s="292"/>
      <c r="J1119" s="52">
        <v>44500</v>
      </c>
      <c r="K1119" s="57">
        <v>4697.53</v>
      </c>
      <c r="L1119" s="57">
        <v>4616.47</v>
      </c>
      <c r="M1119" s="57">
        <v>4718.3500000000004</v>
      </c>
      <c r="N1119" s="57">
        <v>4594.8</v>
      </c>
      <c r="O1119" s="51" t="s">
        <v>123</v>
      </c>
      <c r="P1119" s="58">
        <v>0.02</v>
      </c>
    </row>
    <row r="1120" spans="8:16" x14ac:dyDescent="0.2">
      <c r="H1120" s="297"/>
      <c r="I1120" s="292"/>
      <c r="J1120" s="52">
        <v>44507</v>
      </c>
      <c r="K1120" s="57">
        <v>4682.8500000000004</v>
      </c>
      <c r="L1120" s="57">
        <v>4709.71</v>
      </c>
      <c r="M1120" s="57">
        <v>4714.2</v>
      </c>
      <c r="N1120" s="57">
        <v>4630.97</v>
      </c>
      <c r="O1120" s="51" t="s">
        <v>123</v>
      </c>
      <c r="P1120" s="58">
        <v>-3.0999999999999999E-3</v>
      </c>
    </row>
    <row r="1121" spans="8:16" x14ac:dyDescent="0.2">
      <c r="H1121" s="297"/>
      <c r="I1121" s="292"/>
      <c r="J1121" s="52">
        <v>44514</v>
      </c>
      <c r="K1121" s="57">
        <v>4697.96</v>
      </c>
      <c r="L1121" s="57">
        <v>4696.29</v>
      </c>
      <c r="M1121" s="57">
        <v>4718.3</v>
      </c>
      <c r="N1121" s="57">
        <v>4672.97</v>
      </c>
      <c r="O1121" s="51" t="s">
        <v>123</v>
      </c>
      <c r="P1121" s="58">
        <v>3.2000000000000002E-3</v>
      </c>
    </row>
    <row r="1122" spans="8:16" x14ac:dyDescent="0.2">
      <c r="H1122" s="297"/>
      <c r="I1122" s="292"/>
      <c r="J1122" s="52">
        <v>44521</v>
      </c>
      <c r="K1122" s="57">
        <v>4594.62</v>
      </c>
      <c r="L1122" s="57">
        <v>4716</v>
      </c>
      <c r="M1122" s="57">
        <v>4743.74</v>
      </c>
      <c r="N1122" s="57">
        <v>4585.78</v>
      </c>
      <c r="O1122" s="51" t="s">
        <v>123</v>
      </c>
      <c r="P1122" s="58">
        <v>-2.1999999999999999E-2</v>
      </c>
    </row>
    <row r="1123" spans="8:16" x14ac:dyDescent="0.2">
      <c r="H1123" s="297"/>
      <c r="I1123" s="292"/>
      <c r="J1123" s="52">
        <v>44528</v>
      </c>
      <c r="K1123" s="57">
        <v>4538.43</v>
      </c>
      <c r="L1123" s="57">
        <v>4648.68</v>
      </c>
      <c r="M1123" s="57">
        <v>4673.07</v>
      </c>
      <c r="N1123" s="57">
        <v>4494.2</v>
      </c>
      <c r="O1123" s="51" t="s">
        <v>123</v>
      </c>
      <c r="P1123" s="58">
        <v>-1.2200000000000001E-2</v>
      </c>
    </row>
    <row r="1124" spans="8:16" x14ac:dyDescent="0.2">
      <c r="H1124" s="297"/>
      <c r="I1124" s="292"/>
      <c r="J1124" s="52">
        <v>44535</v>
      </c>
      <c r="K1124" s="57">
        <v>4712.0200000000004</v>
      </c>
      <c r="L1124" s="57">
        <v>4565.7</v>
      </c>
      <c r="M1124" s="57">
        <v>4713.6000000000004</v>
      </c>
      <c r="N1124" s="57">
        <v>4541.53</v>
      </c>
      <c r="O1124" s="51" t="s">
        <v>123</v>
      </c>
      <c r="P1124" s="58">
        <v>3.8199999999999998E-2</v>
      </c>
    </row>
    <row r="1125" spans="8:16" x14ac:dyDescent="0.2">
      <c r="H1125" s="297"/>
      <c r="I1125" s="292"/>
      <c r="J1125" s="52">
        <v>44542</v>
      </c>
      <c r="K1125" s="57">
        <v>4620.6400000000003</v>
      </c>
      <c r="L1125" s="57">
        <v>4707.3999999999996</v>
      </c>
      <c r="M1125" s="57">
        <v>4732.34</v>
      </c>
      <c r="N1125" s="57">
        <v>4599.3999999999996</v>
      </c>
      <c r="O1125" s="51" t="s">
        <v>123</v>
      </c>
      <c r="P1125" s="58">
        <v>-1.9400000000000001E-2</v>
      </c>
    </row>
    <row r="1126" spans="8:16" x14ac:dyDescent="0.2">
      <c r="H1126" s="297"/>
      <c r="I1126" s="292"/>
      <c r="J1126" s="52">
        <v>44549</v>
      </c>
      <c r="K1126" s="57">
        <v>4725.78</v>
      </c>
      <c r="L1126" s="57">
        <v>4562.2700000000004</v>
      </c>
      <c r="M1126" s="57">
        <v>4740.49</v>
      </c>
      <c r="N1126" s="57">
        <v>4530.8500000000004</v>
      </c>
      <c r="O1126" s="51" t="s">
        <v>123</v>
      </c>
      <c r="P1126" s="58">
        <v>2.2800000000000001E-2</v>
      </c>
    </row>
    <row r="1127" spans="8:16" x14ac:dyDescent="0.2">
      <c r="H1127" s="297"/>
      <c r="I1127" s="292"/>
      <c r="J1127" s="52">
        <v>44556</v>
      </c>
      <c r="K1127" s="57">
        <v>4766.18</v>
      </c>
      <c r="L1127" s="57">
        <v>4740.05</v>
      </c>
      <c r="M1127" s="57">
        <v>4808.5200000000004</v>
      </c>
      <c r="N1127" s="57">
        <v>4739.2</v>
      </c>
      <c r="O1127" s="51" t="s">
        <v>123</v>
      </c>
      <c r="P1127" s="58">
        <v>8.5000000000000006E-3</v>
      </c>
    </row>
    <row r="1128" spans="8:16" x14ac:dyDescent="0.2">
      <c r="H1128" s="297"/>
      <c r="I1128" s="292"/>
      <c r="J1128" s="52">
        <v>44563</v>
      </c>
      <c r="K1128" s="57">
        <v>4677.0200000000004</v>
      </c>
      <c r="L1128" s="57">
        <v>4781</v>
      </c>
      <c r="M1128" s="57">
        <v>4817.88</v>
      </c>
      <c r="N1128" s="57">
        <v>4662.75</v>
      </c>
      <c r="O1128" s="51" t="s">
        <v>123</v>
      </c>
      <c r="P1128" s="58">
        <v>-1.8700000000000001E-2</v>
      </c>
    </row>
    <row r="1129" spans="8:16" x14ac:dyDescent="0.2">
      <c r="H1129" s="297"/>
      <c r="I1129" s="292"/>
      <c r="J1129" s="52">
        <v>44570</v>
      </c>
      <c r="K1129" s="57">
        <v>4662.8500000000004</v>
      </c>
      <c r="L1129" s="57">
        <v>4642.6000000000004</v>
      </c>
      <c r="M1129" s="57">
        <v>4748.6099999999997</v>
      </c>
      <c r="N1129" s="57">
        <v>4581.8</v>
      </c>
      <c r="O1129" s="51" t="s">
        <v>123</v>
      </c>
      <c r="P1129" s="58">
        <v>-3.0000000000000001E-3</v>
      </c>
    </row>
    <row r="1130" spans="8:16" x14ac:dyDescent="0.2">
      <c r="H1130" s="297"/>
      <c r="I1130" s="292"/>
      <c r="J1130" s="52">
        <v>44577</v>
      </c>
      <c r="K1130" s="57">
        <v>4397.93</v>
      </c>
      <c r="L1130" s="57">
        <v>4612.6000000000004</v>
      </c>
      <c r="M1130" s="57">
        <v>4614.3999999999996</v>
      </c>
      <c r="N1130" s="57">
        <v>4395</v>
      </c>
      <c r="O1130" s="51" t="s">
        <v>123</v>
      </c>
      <c r="P1130" s="58">
        <v>-5.6800000000000003E-2</v>
      </c>
    </row>
    <row r="1131" spans="8:16" x14ac:dyDescent="0.2">
      <c r="H1131" s="297"/>
      <c r="I1131" s="292"/>
      <c r="J1131" s="52">
        <v>44584</v>
      </c>
      <c r="K1131" s="57">
        <v>4431.8500000000004</v>
      </c>
      <c r="L1131" s="57">
        <v>4328.3999999999996</v>
      </c>
      <c r="M1131" s="57">
        <v>4454.1000000000004</v>
      </c>
      <c r="N1131" s="57">
        <v>4221.54</v>
      </c>
      <c r="O1131" s="51" t="s">
        <v>123</v>
      </c>
      <c r="P1131" s="58">
        <v>7.7000000000000002E-3</v>
      </c>
    </row>
    <row r="1132" spans="8:16" x14ac:dyDescent="0.2">
      <c r="H1132" s="297"/>
      <c r="I1132" s="292"/>
      <c r="J1132" s="52">
        <v>44591</v>
      </c>
      <c r="K1132" s="57">
        <v>4500.54</v>
      </c>
      <c r="L1132" s="57">
        <v>4423.3</v>
      </c>
      <c r="M1132" s="57">
        <v>4595.1000000000004</v>
      </c>
      <c r="N1132" s="57">
        <v>4411.09</v>
      </c>
      <c r="O1132" s="51" t="s">
        <v>123</v>
      </c>
      <c r="P1132" s="58">
        <v>1.55E-2</v>
      </c>
    </row>
    <row r="1133" spans="8:16" x14ac:dyDescent="0.2">
      <c r="H1133" s="297"/>
      <c r="I1133" s="292"/>
      <c r="J1133" s="52">
        <v>44598</v>
      </c>
      <c r="K1133" s="57">
        <v>4418.6400000000003</v>
      </c>
      <c r="L1133" s="57">
        <v>4510.2</v>
      </c>
      <c r="M1133" s="57">
        <v>4589.7</v>
      </c>
      <c r="N1133" s="57">
        <v>4401</v>
      </c>
      <c r="O1133" s="51" t="s">
        <v>123</v>
      </c>
      <c r="P1133" s="58">
        <v>-1.8200000000000001E-2</v>
      </c>
    </row>
    <row r="1134" spans="8:16" x14ac:dyDescent="0.2">
      <c r="H1134" s="297"/>
      <c r="I1134" s="292"/>
      <c r="J1134" s="52">
        <v>44605</v>
      </c>
      <c r="K1134" s="57">
        <v>4348.87</v>
      </c>
      <c r="L1134" s="57">
        <v>4410.7</v>
      </c>
      <c r="M1134" s="57">
        <v>4489.3999999999996</v>
      </c>
      <c r="N1134" s="57">
        <v>4326.99</v>
      </c>
      <c r="O1134" s="51" t="s">
        <v>123</v>
      </c>
      <c r="P1134" s="58">
        <v>-1.5800000000000002E-2</v>
      </c>
    </row>
    <row r="1135" spans="8:16" x14ac:dyDescent="0.2">
      <c r="H1135" s="297"/>
      <c r="I1135" s="292"/>
      <c r="J1135" s="52">
        <v>44612</v>
      </c>
      <c r="K1135" s="57">
        <v>4384.62</v>
      </c>
      <c r="L1135" s="57">
        <v>4329.2299999999996</v>
      </c>
      <c r="M1135" s="57">
        <v>4385.8</v>
      </c>
      <c r="N1135" s="57">
        <v>4114.5</v>
      </c>
      <c r="O1135" s="51" t="s">
        <v>123</v>
      </c>
      <c r="P1135" s="58">
        <v>8.2000000000000007E-3</v>
      </c>
    </row>
    <row r="1136" spans="8:16" x14ac:dyDescent="0.2">
      <c r="H1136" s="297"/>
      <c r="I1136" s="292"/>
      <c r="J1136" s="52">
        <v>44619</v>
      </c>
      <c r="K1136" s="57">
        <v>4328.87</v>
      </c>
      <c r="L1136" s="57">
        <v>4326.72</v>
      </c>
      <c r="M1136" s="57">
        <v>4416.6000000000004</v>
      </c>
      <c r="N1136" s="57">
        <v>4280.04</v>
      </c>
      <c r="O1136" s="51" t="s">
        <v>123</v>
      </c>
      <c r="P1136" s="58">
        <v>-1.2699999999999999E-2</v>
      </c>
    </row>
    <row r="1137" spans="8:16" x14ac:dyDescent="0.2">
      <c r="H1137" s="297"/>
      <c r="I1137" s="292"/>
      <c r="J1137" s="52">
        <v>44626</v>
      </c>
      <c r="K1137" s="57">
        <v>4204.3100000000004</v>
      </c>
      <c r="L1137" s="57">
        <v>4319.93</v>
      </c>
      <c r="M1137" s="57">
        <v>4324</v>
      </c>
      <c r="N1137" s="57">
        <v>4157.2</v>
      </c>
      <c r="O1137" s="51" t="s">
        <v>123</v>
      </c>
      <c r="P1137" s="58">
        <v>-2.8799999999999999E-2</v>
      </c>
    </row>
    <row r="1138" spans="8:16" x14ac:dyDescent="0.2">
      <c r="H1138" s="297"/>
      <c r="I1138" s="292"/>
      <c r="J1138" s="52">
        <v>44633</v>
      </c>
      <c r="K1138" s="57">
        <v>4463.09</v>
      </c>
      <c r="L1138" s="57">
        <v>4214.8999999999996</v>
      </c>
      <c r="M1138" s="57">
        <v>4466.3999999999996</v>
      </c>
      <c r="N1138" s="57">
        <v>4161.18</v>
      </c>
      <c r="O1138" s="51" t="s">
        <v>123</v>
      </c>
      <c r="P1138" s="58">
        <v>6.1600000000000002E-2</v>
      </c>
    </row>
    <row r="1139" spans="8:16" x14ac:dyDescent="0.2">
      <c r="H1139" s="297"/>
      <c r="I1139" s="292"/>
      <c r="J1139" s="52">
        <v>44640</v>
      </c>
      <c r="K1139" s="57">
        <v>4543.04</v>
      </c>
      <c r="L1139" s="57">
        <v>4462.24</v>
      </c>
      <c r="M1139" s="57">
        <v>4546.07</v>
      </c>
      <c r="N1139" s="57">
        <v>4423.8999999999996</v>
      </c>
      <c r="O1139" s="51" t="s">
        <v>123</v>
      </c>
      <c r="P1139" s="58">
        <v>1.7899999999999999E-2</v>
      </c>
    </row>
    <row r="1140" spans="8:16" x14ac:dyDescent="0.2">
      <c r="H1140" s="297"/>
      <c r="I1140" s="292"/>
      <c r="J1140" s="52">
        <v>44647</v>
      </c>
      <c r="K1140" s="57">
        <v>4545.8599999999997</v>
      </c>
      <c r="L1140" s="57">
        <v>4536.7299999999996</v>
      </c>
      <c r="M1140" s="57">
        <v>4637.8999999999996</v>
      </c>
      <c r="N1140" s="57">
        <v>4507.2</v>
      </c>
      <c r="O1140" s="51" t="s">
        <v>123</v>
      </c>
      <c r="P1140" s="58">
        <v>5.9999999999999995E-4</v>
      </c>
    </row>
    <row r="1141" spans="8:16" x14ac:dyDescent="0.2">
      <c r="H1141" s="297"/>
      <c r="I1141" s="292"/>
      <c r="J1141" s="52">
        <v>44654</v>
      </c>
      <c r="K1141" s="57">
        <v>4488.28</v>
      </c>
      <c r="L1141" s="57">
        <v>4546.5</v>
      </c>
      <c r="M1141" s="57">
        <v>4593.8999999999996</v>
      </c>
      <c r="N1141" s="57">
        <v>4450</v>
      </c>
      <c r="O1141" s="51" t="s">
        <v>123</v>
      </c>
      <c r="P1141" s="58">
        <v>-1.2699999999999999E-2</v>
      </c>
    </row>
    <row r="1142" spans="8:16" x14ac:dyDescent="0.2">
      <c r="H1142" s="297"/>
      <c r="I1142" s="292"/>
      <c r="J1142" s="52">
        <v>44661</v>
      </c>
      <c r="K1142" s="57">
        <v>4392.59</v>
      </c>
      <c r="L1142" s="57">
        <v>4458.8</v>
      </c>
      <c r="M1142" s="57">
        <v>4471.67</v>
      </c>
      <c r="N1142" s="57">
        <v>4381.09</v>
      </c>
      <c r="O1142" s="51" t="s">
        <v>123</v>
      </c>
      <c r="P1142" s="58">
        <v>-2.1299999999999999E-2</v>
      </c>
    </row>
    <row r="1143" spans="8:16" x14ac:dyDescent="0.2">
      <c r="H1143" s="297"/>
      <c r="I1143" s="292"/>
      <c r="J1143" s="52">
        <v>44668</v>
      </c>
      <c r="K1143" s="57">
        <v>4271.78</v>
      </c>
      <c r="L1143" s="57">
        <v>4384.3</v>
      </c>
      <c r="M1143" s="57">
        <v>4512.9399999999996</v>
      </c>
      <c r="N1143" s="57">
        <v>4268.1000000000004</v>
      </c>
      <c r="O1143" s="51" t="s">
        <v>123</v>
      </c>
      <c r="P1143" s="58">
        <v>-2.75E-2</v>
      </c>
    </row>
    <row r="1144" spans="8:16" x14ac:dyDescent="0.2">
      <c r="H1144" s="297"/>
      <c r="I1144" s="292"/>
      <c r="J1144" s="52">
        <v>44675</v>
      </c>
      <c r="K1144" s="57">
        <v>4131.93</v>
      </c>
      <c r="L1144" s="57">
        <v>4247.3599999999997</v>
      </c>
      <c r="M1144" s="57">
        <v>4308.5</v>
      </c>
      <c r="N1144" s="57">
        <v>4123.87</v>
      </c>
      <c r="O1144" s="51" t="s">
        <v>123</v>
      </c>
      <c r="P1144" s="58">
        <v>-3.27E-2</v>
      </c>
    </row>
    <row r="1145" spans="8:16" x14ac:dyDescent="0.2">
      <c r="H1145" s="297"/>
      <c r="I1145" s="292"/>
      <c r="J1145" s="52">
        <v>44682</v>
      </c>
      <c r="K1145" s="57">
        <v>4123.34</v>
      </c>
      <c r="L1145" s="57">
        <v>4132.7</v>
      </c>
      <c r="M1145" s="57">
        <v>4307.8999999999996</v>
      </c>
      <c r="N1145" s="57">
        <v>4062.09</v>
      </c>
      <c r="O1145" s="51" t="s">
        <v>123</v>
      </c>
      <c r="P1145" s="58">
        <v>-2.0999999999999999E-3</v>
      </c>
    </row>
    <row r="1146" spans="8:16" x14ac:dyDescent="0.2">
      <c r="H1146" s="297"/>
      <c r="I1146" s="292"/>
      <c r="J1146" s="52">
        <v>44689</v>
      </c>
      <c r="K1146" s="57">
        <v>4023.89</v>
      </c>
      <c r="L1146" s="57">
        <v>4061.09</v>
      </c>
      <c r="M1146" s="57">
        <v>4074.06</v>
      </c>
      <c r="N1146" s="57">
        <v>3858.8</v>
      </c>
      <c r="O1146" s="51" t="s">
        <v>123</v>
      </c>
      <c r="P1146" s="58">
        <v>-2.41E-2</v>
      </c>
    </row>
    <row r="1147" spans="8:16" x14ac:dyDescent="0.2">
      <c r="H1147" s="297"/>
      <c r="I1147" s="292"/>
      <c r="J1147" s="52">
        <v>44696</v>
      </c>
      <c r="K1147" s="57">
        <v>3901.36</v>
      </c>
      <c r="L1147" s="57">
        <v>4009.2</v>
      </c>
      <c r="M1147" s="57">
        <v>4091.1</v>
      </c>
      <c r="N1147" s="57">
        <v>3810.5</v>
      </c>
      <c r="O1147" s="51" t="s">
        <v>123</v>
      </c>
      <c r="P1147" s="58">
        <v>-3.0499999999999999E-2</v>
      </c>
    </row>
    <row r="1148" spans="8:16" x14ac:dyDescent="0.2">
      <c r="H1148" s="297"/>
      <c r="I1148" s="292"/>
      <c r="J1148" s="52">
        <v>44703</v>
      </c>
      <c r="K1148" s="57">
        <v>4158.24</v>
      </c>
      <c r="L1148" s="57">
        <v>3933.89</v>
      </c>
      <c r="M1148" s="57">
        <v>4158.29</v>
      </c>
      <c r="N1148" s="57">
        <v>3874.77</v>
      </c>
      <c r="O1148" s="51" t="s">
        <v>123</v>
      </c>
      <c r="P1148" s="58">
        <v>6.5799999999999997E-2</v>
      </c>
    </row>
    <row r="1149" spans="8:16" x14ac:dyDescent="0.2">
      <c r="J1149" s="354">
        <v>44710</v>
      </c>
      <c r="K1149" t="s">
        <v>3091</v>
      </c>
      <c r="L1149" t="s">
        <v>3090</v>
      </c>
      <c r="M1149" t="s">
        <v>3089</v>
      </c>
      <c r="N1149" t="s">
        <v>3088</v>
      </c>
      <c r="O1149"/>
      <c r="P1149" s="466">
        <v>-1.2E-2</v>
      </c>
    </row>
    <row r="1150" spans="8:16" x14ac:dyDescent="0.2">
      <c r="J1150" s="354">
        <v>44717</v>
      </c>
      <c r="K1150" t="s">
        <v>3087</v>
      </c>
      <c r="L1150" t="s">
        <v>3086</v>
      </c>
      <c r="M1150" t="s">
        <v>3085</v>
      </c>
      <c r="N1150" t="s">
        <v>3084</v>
      </c>
      <c r="O1150"/>
      <c r="P1150" s="466">
        <v>-5.0500000000000003E-2</v>
      </c>
    </row>
    <row r="1151" spans="8:16" x14ac:dyDescent="0.2">
      <c r="J1151" s="354">
        <v>44724</v>
      </c>
      <c r="K1151" t="s">
        <v>3083</v>
      </c>
      <c r="L1151" t="s">
        <v>3082</v>
      </c>
      <c r="M1151" t="s">
        <v>3081</v>
      </c>
      <c r="N1151" t="s">
        <v>3080</v>
      </c>
      <c r="O1151"/>
      <c r="P1151" s="466">
        <v>-5.79E-2</v>
      </c>
    </row>
    <row r="1152" spans="8:16" x14ac:dyDescent="0.2">
      <c r="J1152" s="354">
        <v>44731</v>
      </c>
      <c r="K1152" t="s">
        <v>3079</v>
      </c>
      <c r="L1152" t="s">
        <v>3078</v>
      </c>
      <c r="M1152" t="s">
        <v>3077</v>
      </c>
      <c r="N1152" t="s">
        <v>3076</v>
      </c>
      <c r="O1152"/>
      <c r="P1152" s="466">
        <v>6.4500000000000002E-2</v>
      </c>
    </row>
    <row r="1153" spans="10:16" x14ac:dyDescent="0.2">
      <c r="J1153" s="354">
        <v>44738</v>
      </c>
      <c r="K1153" t="s">
        <v>3075</v>
      </c>
      <c r="L1153" t="s">
        <v>3074</v>
      </c>
      <c r="M1153" t="s">
        <v>3073</v>
      </c>
      <c r="N1153" t="s">
        <v>3072</v>
      </c>
      <c r="O1153"/>
      <c r="P1153" s="466">
        <v>-2.2100000000000002E-2</v>
      </c>
    </row>
    <row r="1154" spans="10:16" x14ac:dyDescent="0.2">
      <c r="J1154" s="354">
        <v>44745</v>
      </c>
      <c r="K1154" t="s">
        <v>3071</v>
      </c>
      <c r="L1154" t="s">
        <v>3070</v>
      </c>
      <c r="M1154" t="s">
        <v>3069</v>
      </c>
      <c r="N1154" t="s">
        <v>3068</v>
      </c>
      <c r="O1154"/>
      <c r="P1154" s="466">
        <v>1.9400000000000001E-2</v>
      </c>
    </row>
    <row r="1155" spans="10:16" x14ac:dyDescent="0.2">
      <c r="J1155" s="354">
        <v>44752</v>
      </c>
      <c r="K1155" t="s">
        <v>3067</v>
      </c>
      <c r="L1155" t="s">
        <v>3066</v>
      </c>
      <c r="M1155" t="s">
        <v>3065</v>
      </c>
      <c r="N1155" t="s">
        <v>3064</v>
      </c>
      <c r="O1155"/>
      <c r="P1155" s="466">
        <v>-9.2999999999999992E-3</v>
      </c>
    </row>
    <row r="1156" spans="10:16" x14ac:dyDescent="0.2">
      <c r="J1156" s="354">
        <v>44759</v>
      </c>
      <c r="K1156" t="s">
        <v>3063</v>
      </c>
      <c r="L1156" t="s">
        <v>3062</v>
      </c>
      <c r="M1156" t="s">
        <v>3061</v>
      </c>
      <c r="N1156" t="s">
        <v>3060</v>
      </c>
      <c r="O1156"/>
      <c r="P1156" s="466">
        <v>2.5499999999999998E-2</v>
      </c>
    </row>
    <row r="1157" spans="10:16" x14ac:dyDescent="0.2">
      <c r="J1157" s="354">
        <v>44766</v>
      </c>
      <c r="K1157" t="s">
        <v>3059</v>
      </c>
      <c r="L1157" t="s">
        <v>3058</v>
      </c>
      <c r="M1157" t="s">
        <v>3057</v>
      </c>
      <c r="N1157" t="s">
        <v>3056</v>
      </c>
      <c r="O1157"/>
      <c r="P1157" s="466">
        <v>4.2599999999999999E-2</v>
      </c>
    </row>
    <row r="1158" spans="10:16" x14ac:dyDescent="0.2">
      <c r="J1158" s="354">
        <v>44773</v>
      </c>
      <c r="K1158" t="s">
        <v>3055</v>
      </c>
      <c r="L1158" t="s">
        <v>3054</v>
      </c>
      <c r="M1158" t="s">
        <v>3053</v>
      </c>
      <c r="N1158" t="s">
        <v>3052</v>
      </c>
      <c r="O1158"/>
      <c r="P1158" s="466">
        <v>3.5999999999999999E-3</v>
      </c>
    </row>
    <row r="1159" spans="10:16" x14ac:dyDescent="0.2">
      <c r="J1159" s="354">
        <v>44780</v>
      </c>
      <c r="K1159" t="s">
        <v>3050</v>
      </c>
      <c r="L1159" t="s">
        <v>3051</v>
      </c>
      <c r="M1159" t="s">
        <v>3050</v>
      </c>
      <c r="N1159" t="s">
        <v>3049</v>
      </c>
      <c r="O1159"/>
      <c r="P1159" s="466">
        <v>3.2599999999999997E-2</v>
      </c>
    </row>
    <row r="1160" spans="10:16" x14ac:dyDescent="0.2">
      <c r="J1160" s="354">
        <v>44787</v>
      </c>
      <c r="K1160" t="s">
        <v>3048</v>
      </c>
      <c r="L1160" t="s">
        <v>3047</v>
      </c>
      <c r="M1160" t="s">
        <v>3046</v>
      </c>
      <c r="N1160" t="s">
        <v>3045</v>
      </c>
      <c r="O1160"/>
      <c r="P1160" s="466">
        <v>-1.21E-2</v>
      </c>
    </row>
    <row r="1161" spans="10:16" x14ac:dyDescent="0.2">
      <c r="J1161" s="354">
        <v>44794</v>
      </c>
      <c r="K1161" t="s">
        <v>3042</v>
      </c>
      <c r="L1161" t="s">
        <v>3044</v>
      </c>
      <c r="M1161" t="s">
        <v>3043</v>
      </c>
      <c r="N1161" t="s">
        <v>3042</v>
      </c>
      <c r="O1161"/>
      <c r="P1161" s="466">
        <v>-4.0399999999999998E-2</v>
      </c>
    </row>
    <row r="1162" spans="10:16" x14ac:dyDescent="0.2">
      <c r="J1162" s="354">
        <v>44801</v>
      </c>
      <c r="K1162" t="s">
        <v>3041</v>
      </c>
      <c r="L1162" t="s">
        <v>3040</v>
      </c>
      <c r="M1162" t="s">
        <v>3039</v>
      </c>
      <c r="N1162" t="s">
        <v>3038</v>
      </c>
      <c r="O1162"/>
      <c r="P1162" s="466">
        <v>-3.2899999999999999E-2</v>
      </c>
    </row>
    <row r="1163" spans="10:16" x14ac:dyDescent="0.2">
      <c r="J1163" s="354">
        <v>44808</v>
      </c>
      <c r="K1163" t="s">
        <v>3037</v>
      </c>
      <c r="L1163" t="s">
        <v>3036</v>
      </c>
      <c r="M1163" t="s">
        <v>3035</v>
      </c>
      <c r="N1163" t="s">
        <v>3034</v>
      </c>
      <c r="O1163"/>
      <c r="P1163" s="466">
        <v>3.6499999999999998E-2</v>
      </c>
    </row>
    <row r="1164" spans="10:16" x14ac:dyDescent="0.2">
      <c r="J1164" s="354">
        <v>44815</v>
      </c>
      <c r="K1164" t="s">
        <v>3033</v>
      </c>
      <c r="L1164" t="s">
        <v>3032</v>
      </c>
      <c r="M1164" t="s">
        <v>3031</v>
      </c>
      <c r="N1164" t="s">
        <v>3030</v>
      </c>
      <c r="O1164"/>
      <c r="P1164" s="466">
        <v>-4.7699999999999999E-2</v>
      </c>
    </row>
    <row r="1165" spans="10:16" x14ac:dyDescent="0.2">
      <c r="J1165" s="354">
        <v>44822</v>
      </c>
      <c r="K1165" t="s">
        <v>3029</v>
      </c>
      <c r="L1165" t="s">
        <v>3028</v>
      </c>
      <c r="M1165" t="s">
        <v>3027</v>
      </c>
      <c r="N1165" t="s">
        <v>3026</v>
      </c>
      <c r="O1165"/>
      <c r="P1165" s="466">
        <v>-4.65E-2</v>
      </c>
    </row>
    <row r="1166" spans="10:16" x14ac:dyDescent="0.2">
      <c r="J1166" s="354">
        <v>44829</v>
      </c>
      <c r="K1166" t="s">
        <v>3025</v>
      </c>
      <c r="L1166" t="s">
        <v>3024</v>
      </c>
      <c r="M1166" t="s">
        <v>3023</v>
      </c>
      <c r="N1166" t="s">
        <v>3022</v>
      </c>
      <c r="O1166"/>
      <c r="P1166" s="466">
        <v>-2.9100000000000001E-2</v>
      </c>
    </row>
    <row r="1167" spans="10:16" x14ac:dyDescent="0.2">
      <c r="J1167" s="354">
        <v>44836</v>
      </c>
      <c r="K1167" t="s">
        <v>3021</v>
      </c>
      <c r="L1167" t="s">
        <v>3020</v>
      </c>
      <c r="M1167" t="s">
        <v>3019</v>
      </c>
      <c r="N1167" t="s">
        <v>3018</v>
      </c>
      <c r="O1167"/>
      <c r="P1167" s="466">
        <v>1.5100000000000001E-2</v>
      </c>
    </row>
    <row r="1168" spans="10:16" x14ac:dyDescent="0.2">
      <c r="J1168" s="354">
        <v>44843</v>
      </c>
      <c r="K1168" t="s">
        <v>3017</v>
      </c>
      <c r="L1168" t="s">
        <v>3016</v>
      </c>
      <c r="M1168" t="s">
        <v>3015</v>
      </c>
      <c r="N1168" t="s">
        <v>3014</v>
      </c>
      <c r="O1168"/>
      <c r="P1168" s="466">
        <v>-1.55E-2</v>
      </c>
    </row>
    <row r="1169" spans="10:16" x14ac:dyDescent="0.2">
      <c r="J1169" s="354">
        <v>44850</v>
      </c>
      <c r="K1169" t="s">
        <v>3013</v>
      </c>
      <c r="L1169" t="s">
        <v>3012</v>
      </c>
      <c r="M1169" t="s">
        <v>3011</v>
      </c>
      <c r="N1169" t="s">
        <v>3010</v>
      </c>
      <c r="O1169"/>
      <c r="P1169" s="466">
        <v>4.7399999999999998E-2</v>
      </c>
    </row>
    <row r="1170" spans="10:16" x14ac:dyDescent="0.2">
      <c r="J1170" s="354">
        <v>44857</v>
      </c>
      <c r="K1170" t="s">
        <v>3009</v>
      </c>
      <c r="L1170" t="s">
        <v>3008</v>
      </c>
      <c r="M1170" t="s">
        <v>3007</v>
      </c>
      <c r="N1170" t="s">
        <v>3006</v>
      </c>
      <c r="O1170"/>
      <c r="P1170" s="466">
        <v>3.95E-2</v>
      </c>
    </row>
    <row r="1171" spans="10:16" x14ac:dyDescent="0.2">
      <c r="J1171" s="354">
        <v>44864</v>
      </c>
      <c r="K1171" t="s">
        <v>3005</v>
      </c>
      <c r="L1171" t="s">
        <v>3004</v>
      </c>
      <c r="M1171" t="s">
        <v>3003</v>
      </c>
      <c r="N1171" t="s">
        <v>3002</v>
      </c>
      <c r="O1171"/>
      <c r="P1171" s="466">
        <v>-3.3500000000000002E-2</v>
      </c>
    </row>
    <row r="1172" spans="10:16" x14ac:dyDescent="0.2">
      <c r="J1172" s="354">
        <v>44871</v>
      </c>
      <c r="K1172" t="s">
        <v>3001</v>
      </c>
      <c r="L1172" t="s">
        <v>3000</v>
      </c>
      <c r="M1172" t="s">
        <v>2999</v>
      </c>
      <c r="N1172" t="s">
        <v>2998</v>
      </c>
      <c r="O1172"/>
      <c r="P1172" s="466">
        <v>5.8999999999999997E-2</v>
      </c>
    </row>
    <row r="1173" spans="10:16" x14ac:dyDescent="0.2">
      <c r="J1173" s="354">
        <v>44878</v>
      </c>
      <c r="K1173" t="s">
        <v>2997</v>
      </c>
      <c r="L1173" t="s">
        <v>2996</v>
      </c>
      <c r="M1173" t="s">
        <v>2995</v>
      </c>
      <c r="N1173" t="s">
        <v>2994</v>
      </c>
      <c r="O1173"/>
      <c r="P1173" s="466">
        <v>-6.8999999999999999E-3</v>
      </c>
    </row>
    <row r="1174" spans="10:16" x14ac:dyDescent="0.2">
      <c r="J1174" s="354">
        <v>44885</v>
      </c>
      <c r="K1174" t="s">
        <v>2993</v>
      </c>
      <c r="L1174" t="s">
        <v>2992</v>
      </c>
      <c r="M1174" t="s">
        <v>2991</v>
      </c>
      <c r="N1174" t="s">
        <v>2990</v>
      </c>
      <c r="O1174"/>
      <c r="P1174" s="466">
        <v>1.5299999999999999E-2</v>
      </c>
    </row>
    <row r="1175" spans="10:16" x14ac:dyDescent="0.2">
      <c r="J1175" s="354">
        <v>44892</v>
      </c>
      <c r="K1175" t="s">
        <v>2989</v>
      </c>
      <c r="L1175" t="s">
        <v>2988</v>
      </c>
      <c r="M1175" t="s">
        <v>2987</v>
      </c>
      <c r="N1175" t="s">
        <v>2986</v>
      </c>
      <c r="O1175"/>
      <c r="P1175" s="466">
        <v>1.1299999999999999E-2</v>
      </c>
    </row>
    <row r="1176" spans="10:16" x14ac:dyDescent="0.2">
      <c r="J1176" s="354">
        <v>44899</v>
      </c>
      <c r="K1176" t="s">
        <v>2985</v>
      </c>
      <c r="L1176" t="s">
        <v>2984</v>
      </c>
      <c r="M1176" t="s">
        <v>2983</v>
      </c>
      <c r="N1176" t="s">
        <v>2982</v>
      </c>
      <c r="O1176"/>
      <c r="P1176" s="466">
        <v>-3.3700000000000001E-2</v>
      </c>
    </row>
    <row r="1177" spans="10:16" x14ac:dyDescent="0.2">
      <c r="J1177" s="354">
        <v>44906</v>
      </c>
      <c r="K1177" t="s">
        <v>2981</v>
      </c>
      <c r="L1177" t="s">
        <v>2980</v>
      </c>
      <c r="M1177" t="s">
        <v>2979</v>
      </c>
      <c r="N1177" t="s">
        <v>2978</v>
      </c>
      <c r="O1177"/>
      <c r="P1177" s="466">
        <v>-2.0799999999999999E-2</v>
      </c>
    </row>
    <row r="1178" spans="10:16" x14ac:dyDescent="0.2">
      <c r="J1178" s="354">
        <v>44913</v>
      </c>
      <c r="K1178" t="s">
        <v>2977</v>
      </c>
      <c r="L1178" t="s">
        <v>2976</v>
      </c>
      <c r="M1178" t="s">
        <v>2975</v>
      </c>
      <c r="N1178" t="s">
        <v>2974</v>
      </c>
      <c r="O1178"/>
      <c r="P1178" s="466">
        <v>-2E-3</v>
      </c>
    </row>
    <row r="1179" spans="10:16" x14ac:dyDescent="0.2">
      <c r="J1179" s="354">
        <v>44920</v>
      </c>
      <c r="K1179" t="s">
        <v>2973</v>
      </c>
      <c r="L1179" t="s">
        <v>2972</v>
      </c>
      <c r="M1179" t="s">
        <v>2971</v>
      </c>
      <c r="N1179" t="s">
        <v>2970</v>
      </c>
      <c r="O1179"/>
      <c r="P1179" s="466">
        <v>-1.4E-3</v>
      </c>
    </row>
    <row r="1180" spans="10:16" x14ac:dyDescent="0.2">
      <c r="J1180" s="354">
        <v>44927</v>
      </c>
      <c r="K1180" t="s">
        <v>2969</v>
      </c>
      <c r="L1180" t="s">
        <v>2968</v>
      </c>
      <c r="M1180" t="s">
        <v>2967</v>
      </c>
      <c r="N1180" t="s">
        <v>2966</v>
      </c>
      <c r="O1180"/>
      <c r="P1180" s="466">
        <v>1.4500000000000001E-2</v>
      </c>
    </row>
    <row r="1181" spans="10:16" x14ac:dyDescent="0.2">
      <c r="J1181" s="354">
        <v>44934</v>
      </c>
      <c r="K1181" t="s">
        <v>2965</v>
      </c>
      <c r="L1181" t="s">
        <v>2964</v>
      </c>
      <c r="M1181" t="s">
        <v>2963</v>
      </c>
      <c r="N1181" t="s">
        <v>2962</v>
      </c>
      <c r="O1181"/>
      <c r="P1181" s="466">
        <v>2.6700000000000002E-2</v>
      </c>
    </row>
    <row r="1182" spans="10:16" x14ac:dyDescent="0.2">
      <c r="J1182" s="354">
        <v>44941</v>
      </c>
      <c r="K1182" t="s">
        <v>2961</v>
      </c>
      <c r="L1182" t="s">
        <v>2960</v>
      </c>
      <c r="M1182" t="s">
        <v>2959</v>
      </c>
      <c r="N1182" t="s">
        <v>2958</v>
      </c>
      <c r="O1182"/>
      <c r="P1182" s="466">
        <v>-6.6E-3</v>
      </c>
    </row>
    <row r="1183" spans="10:16" x14ac:dyDescent="0.2">
      <c r="J1183" s="354">
        <v>44948</v>
      </c>
      <c r="K1183" t="s">
        <v>2957</v>
      </c>
      <c r="L1183" t="s">
        <v>2956</v>
      </c>
      <c r="M1183" t="s">
        <v>2955</v>
      </c>
      <c r="N1183" t="s">
        <v>2954</v>
      </c>
      <c r="O1183"/>
      <c r="P1183" s="466">
        <v>2.47E-2</v>
      </c>
    </row>
    <row r="1184" spans="10:16" x14ac:dyDescent="0.2">
      <c r="J1184" s="354">
        <v>44955</v>
      </c>
      <c r="K1184" t="s">
        <v>2953</v>
      </c>
      <c r="L1184" t="s">
        <v>2952</v>
      </c>
      <c r="M1184" t="s">
        <v>2951</v>
      </c>
      <c r="N1184" t="s">
        <v>2950</v>
      </c>
      <c r="O1184"/>
      <c r="P1184" s="466">
        <v>1.6199999999999999E-2</v>
      </c>
    </row>
    <row r="1185" spans="10:16" x14ac:dyDescent="0.2">
      <c r="J1185" s="354">
        <v>44962</v>
      </c>
      <c r="K1185" t="s">
        <v>2949</v>
      </c>
      <c r="L1185" t="s">
        <v>2948</v>
      </c>
      <c r="M1185" t="s">
        <v>2947</v>
      </c>
      <c r="N1185" t="s">
        <v>2946</v>
      </c>
      <c r="O1185"/>
      <c r="P1185" s="466">
        <v>-1.11E-2</v>
      </c>
    </row>
    <row r="1186" spans="10:16" x14ac:dyDescent="0.2">
      <c r="J1186" s="354">
        <v>44969</v>
      </c>
      <c r="K1186" t="s">
        <v>2945</v>
      </c>
      <c r="L1186" t="s">
        <v>2944</v>
      </c>
      <c r="M1186" t="s">
        <v>2943</v>
      </c>
      <c r="N1186" t="s">
        <v>2942</v>
      </c>
      <c r="O1186"/>
      <c r="P1186" s="466">
        <v>-2.8E-3</v>
      </c>
    </row>
    <row r="1187" spans="10:16" x14ac:dyDescent="0.2">
      <c r="J1187" s="354">
        <v>44976</v>
      </c>
      <c r="K1187" t="s">
        <v>2941</v>
      </c>
      <c r="L1187" t="s">
        <v>2940</v>
      </c>
      <c r="M1187" t="s">
        <v>2939</v>
      </c>
      <c r="N1187" t="s">
        <v>2938</v>
      </c>
      <c r="O1187"/>
      <c r="P1187" s="466">
        <v>-2.6700000000000002E-2</v>
      </c>
    </row>
    <row r="1188" spans="10:16" x14ac:dyDescent="0.2">
      <c r="J1188" s="354">
        <v>44983</v>
      </c>
      <c r="K1188" t="s">
        <v>2937</v>
      </c>
      <c r="L1188" t="s">
        <v>2936</v>
      </c>
      <c r="M1188" t="s">
        <v>2935</v>
      </c>
      <c r="N1188" t="s">
        <v>2934</v>
      </c>
      <c r="O1188"/>
      <c r="P1188" s="466">
        <v>1.9E-2</v>
      </c>
    </row>
    <row r="1189" spans="10:16" x14ac:dyDescent="0.2">
      <c r="J1189" s="354">
        <v>44990</v>
      </c>
      <c r="K1189" t="s">
        <v>2933</v>
      </c>
      <c r="L1189" t="s">
        <v>2932</v>
      </c>
      <c r="M1189" t="s">
        <v>2931</v>
      </c>
      <c r="N1189" t="s">
        <v>2930</v>
      </c>
      <c r="O1189"/>
      <c r="P1189" s="466">
        <v>-4.5499999999999999E-2</v>
      </c>
    </row>
    <row r="1190" spans="10:16" x14ac:dyDescent="0.2">
      <c r="J1190" s="354">
        <v>44997</v>
      </c>
      <c r="K1190" t="s">
        <v>2929</v>
      </c>
      <c r="L1190" t="s">
        <v>2928</v>
      </c>
      <c r="M1190" t="s">
        <v>2927</v>
      </c>
      <c r="N1190" t="s">
        <v>2926</v>
      </c>
      <c r="O1190"/>
      <c r="P1190" s="466">
        <v>2.0999999999999999E-3</v>
      </c>
    </row>
  </sheetData>
  <mergeCells count="2">
    <mergeCell ref="J1:P1"/>
    <mergeCell ref="A1:G1"/>
  </mergeCells>
  <hyperlinks>
    <hyperlink ref="T1" r:id="rId1" xr:uid="{D3C16F92-3D0B-419E-A8A9-464982AA8F06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DA3D-35B8-46B9-957F-18E40C799B26}">
  <sheetPr>
    <tabColor theme="7" tint="0.79998168889431442"/>
  </sheetPr>
  <dimension ref="A1:U1009"/>
  <sheetViews>
    <sheetView topLeftCell="A712" workbookViewId="0">
      <selection activeCell="A738" sqref="A738:XFD738"/>
    </sheetView>
  </sheetViews>
  <sheetFormatPr baseColWidth="10" defaultColWidth="9.1640625" defaultRowHeight="15" x14ac:dyDescent="0.2"/>
  <cols>
    <col min="1" max="1" width="10.6640625" style="29" bestFit="1" customWidth="1"/>
    <col min="2" max="9" width="9.1640625" style="29"/>
    <col min="10" max="10" width="17.5" style="166" bestFit="1" customWidth="1"/>
    <col min="11" max="16" width="9.1640625" style="166"/>
    <col min="17" max="19" width="9.1640625" style="29"/>
    <col min="20" max="20" width="12" style="29" customWidth="1"/>
    <col min="21" max="16384" width="9.1640625" style="29"/>
  </cols>
  <sheetData>
    <row r="1" spans="1:21" x14ac:dyDescent="0.2">
      <c r="A1" s="529" t="s">
        <v>102</v>
      </c>
      <c r="B1" s="529"/>
      <c r="C1" s="529"/>
      <c r="D1" s="529"/>
      <c r="E1" s="529"/>
      <c r="F1" s="529"/>
      <c r="G1" s="529"/>
      <c r="H1" s="50"/>
      <c r="I1"/>
      <c r="J1" s="529" t="s">
        <v>103</v>
      </c>
      <c r="K1" s="529"/>
      <c r="L1" s="529"/>
      <c r="M1" s="529"/>
      <c r="N1" s="529"/>
      <c r="O1" s="529"/>
      <c r="P1" s="529"/>
      <c r="Q1" s="50"/>
      <c r="S1" s="47" t="s">
        <v>61</v>
      </c>
      <c r="T1" s="154" t="s">
        <v>517</v>
      </c>
    </row>
    <row r="2" spans="1:21" x14ac:dyDescent="0.2">
      <c r="A2" s="51" t="s">
        <v>115</v>
      </c>
      <c r="B2" s="51" t="s">
        <v>116</v>
      </c>
      <c r="C2" s="51" t="s">
        <v>117</v>
      </c>
      <c r="D2" s="51" t="s">
        <v>118</v>
      </c>
      <c r="E2" s="51" t="s">
        <v>119</v>
      </c>
      <c r="F2" s="51" t="s">
        <v>122</v>
      </c>
      <c r="G2" s="51" t="s">
        <v>120</v>
      </c>
      <c r="J2" s="51" t="s">
        <v>104</v>
      </c>
      <c r="K2" s="51" t="s">
        <v>105</v>
      </c>
      <c r="L2" s="51" t="s">
        <v>106</v>
      </c>
      <c r="M2" s="51" t="s">
        <v>107</v>
      </c>
      <c r="N2" s="51" t="s">
        <v>108</v>
      </c>
      <c r="O2" s="51" t="s">
        <v>109</v>
      </c>
      <c r="P2" s="51" t="s">
        <v>75</v>
      </c>
      <c r="T2" s="247"/>
      <c r="U2" s="247" t="s">
        <v>613</v>
      </c>
    </row>
    <row r="3" spans="1:21" x14ac:dyDescent="0.2">
      <c r="A3" s="52">
        <v>33270</v>
      </c>
      <c r="B3" s="51">
        <v>1E-4</v>
      </c>
      <c r="C3" s="51">
        <v>1E-4</v>
      </c>
      <c r="D3" s="51">
        <v>1E-4</v>
      </c>
      <c r="E3" s="51">
        <v>1E-4</v>
      </c>
      <c r="F3" s="51"/>
      <c r="G3" s="51">
        <v>0</v>
      </c>
      <c r="J3" s="52">
        <v>37956</v>
      </c>
      <c r="K3" s="51">
        <v>2.9460000000000002</v>
      </c>
      <c r="L3" s="51">
        <v>2.948</v>
      </c>
      <c r="M3" s="51">
        <v>2.923</v>
      </c>
      <c r="N3" s="51">
        <v>2.9340000000000002</v>
      </c>
      <c r="O3" s="51">
        <v>2.9340000000000002</v>
      </c>
      <c r="P3" s="51">
        <v>0</v>
      </c>
      <c r="T3" s="249">
        <v>44561</v>
      </c>
      <c r="U3" s="247">
        <v>5.5701999999999998</v>
      </c>
    </row>
    <row r="4" spans="1:21" x14ac:dyDescent="0.2">
      <c r="A4" s="52">
        <v>33298</v>
      </c>
      <c r="B4" s="51">
        <v>1E-4</v>
      </c>
      <c r="C4" s="51">
        <v>1E-4</v>
      </c>
      <c r="D4" s="51">
        <v>1E-4</v>
      </c>
      <c r="E4" s="51">
        <v>1E-4</v>
      </c>
      <c r="F4" s="51"/>
      <c r="G4" s="51">
        <v>0</v>
      </c>
      <c r="J4" s="52">
        <v>37963</v>
      </c>
      <c r="K4" s="51">
        <v>2.9340000000000002</v>
      </c>
      <c r="L4" s="51">
        <v>2.9449999999999998</v>
      </c>
      <c r="M4" s="51">
        <v>2.931</v>
      </c>
      <c r="N4" s="51">
        <v>2.9350000000000001</v>
      </c>
      <c r="O4" s="51">
        <v>2.9350000000000001</v>
      </c>
      <c r="P4" s="51">
        <v>0</v>
      </c>
    </row>
    <row r="5" spans="1:21" x14ac:dyDescent="0.2">
      <c r="A5" s="52">
        <v>33329</v>
      </c>
      <c r="B5" s="51">
        <v>1E-4</v>
      </c>
      <c r="C5" s="51">
        <v>1E-4</v>
      </c>
      <c r="D5" s="51">
        <v>1E-4</v>
      </c>
      <c r="E5" s="51">
        <v>1E-4</v>
      </c>
      <c r="F5" s="51"/>
      <c r="G5" s="51">
        <v>0</v>
      </c>
      <c r="J5" s="52">
        <v>37970</v>
      </c>
      <c r="K5" s="51">
        <v>2.9350000000000001</v>
      </c>
      <c r="L5" s="51">
        <v>2.9430000000000001</v>
      </c>
      <c r="M5" s="51">
        <v>2.9180000000000001</v>
      </c>
      <c r="N5" s="51">
        <v>2.923</v>
      </c>
      <c r="O5" s="51">
        <v>2.923</v>
      </c>
      <c r="P5" s="51">
        <v>0</v>
      </c>
    </row>
    <row r="6" spans="1:21" x14ac:dyDescent="0.2">
      <c r="A6" s="52">
        <v>33359</v>
      </c>
      <c r="B6" s="51">
        <v>1E-4</v>
      </c>
      <c r="C6" s="51">
        <v>1E-4</v>
      </c>
      <c r="D6" s="51">
        <v>1E-4</v>
      </c>
      <c r="E6" s="51">
        <v>1E-4</v>
      </c>
      <c r="F6" s="51"/>
      <c r="G6" s="51">
        <v>0</v>
      </c>
      <c r="J6" s="52">
        <v>37977</v>
      </c>
      <c r="K6" s="51">
        <v>2.923</v>
      </c>
      <c r="L6" s="51">
        <v>2.9279999999999999</v>
      </c>
      <c r="M6" s="51">
        <v>2.8050000000000002</v>
      </c>
      <c r="N6" s="51">
        <v>2.9009999999999998</v>
      </c>
      <c r="O6" s="51">
        <v>2.9009999999999998</v>
      </c>
      <c r="P6" s="51">
        <v>0</v>
      </c>
    </row>
    <row r="7" spans="1:21" x14ac:dyDescent="0.2">
      <c r="A7" s="52">
        <v>33390</v>
      </c>
      <c r="B7" s="51">
        <v>1E-4</v>
      </c>
      <c r="C7" s="51">
        <v>1E-4</v>
      </c>
      <c r="D7" s="51">
        <v>1E-4</v>
      </c>
      <c r="E7" s="51">
        <v>1E-4</v>
      </c>
      <c r="F7" s="51"/>
      <c r="G7" s="51">
        <v>0</v>
      </c>
      <c r="J7" s="52">
        <v>37984</v>
      </c>
      <c r="K7" s="51">
        <v>2.9009999999999998</v>
      </c>
      <c r="L7" s="51">
        <v>2.9079999999999999</v>
      </c>
      <c r="M7" s="51">
        <v>2.86</v>
      </c>
      <c r="N7" s="51">
        <v>2.8759999999999999</v>
      </c>
      <c r="O7" s="51">
        <v>2.8759999999999999</v>
      </c>
      <c r="P7" s="51">
        <v>0</v>
      </c>
    </row>
    <row r="8" spans="1:21" x14ac:dyDescent="0.2">
      <c r="A8" s="52">
        <v>33420</v>
      </c>
      <c r="B8" s="51">
        <v>1E-4</v>
      </c>
      <c r="C8" s="51">
        <v>1E-4</v>
      </c>
      <c r="D8" s="51">
        <v>1E-4</v>
      </c>
      <c r="E8" s="51">
        <v>1E-4</v>
      </c>
      <c r="F8" s="51"/>
      <c r="G8" s="51">
        <v>0</v>
      </c>
      <c r="J8" s="52">
        <v>37991</v>
      </c>
      <c r="K8" s="51">
        <v>2.8759999999999999</v>
      </c>
      <c r="L8" s="51">
        <v>2.88</v>
      </c>
      <c r="M8" s="51">
        <v>2.83</v>
      </c>
      <c r="N8" s="51">
        <v>2.83</v>
      </c>
      <c r="O8" s="51">
        <v>2.83</v>
      </c>
      <c r="P8" s="51">
        <v>0</v>
      </c>
    </row>
    <row r="9" spans="1:21" x14ac:dyDescent="0.2">
      <c r="A9" s="52">
        <v>33451</v>
      </c>
      <c r="B9" s="51">
        <v>2.0000000000000001E-4</v>
      </c>
      <c r="C9" s="51">
        <v>2.0000000000000001E-4</v>
      </c>
      <c r="D9" s="51">
        <v>2.0000000000000001E-4</v>
      </c>
      <c r="E9" s="51">
        <v>1E-4</v>
      </c>
      <c r="F9" s="51"/>
      <c r="G9" s="51">
        <v>1</v>
      </c>
      <c r="J9" s="52">
        <v>37998</v>
      </c>
      <c r="K9" s="51">
        <v>2.83</v>
      </c>
      <c r="L9" s="51">
        <v>2.907</v>
      </c>
      <c r="M9" s="51">
        <v>2.774</v>
      </c>
      <c r="N9" s="51">
        <v>2.827</v>
      </c>
      <c r="O9" s="51">
        <v>2.827</v>
      </c>
      <c r="P9" s="51">
        <v>0</v>
      </c>
    </row>
    <row r="10" spans="1:21" x14ac:dyDescent="0.2">
      <c r="A10" s="52">
        <v>33482</v>
      </c>
      <c r="B10" s="51">
        <v>2.0000000000000001E-4</v>
      </c>
      <c r="C10" s="51">
        <v>2.0000000000000001E-4</v>
      </c>
      <c r="D10" s="51">
        <v>2.0000000000000001E-4</v>
      </c>
      <c r="E10" s="51">
        <v>2.0000000000000001E-4</v>
      </c>
      <c r="F10" s="51"/>
      <c r="G10" s="51">
        <v>0</v>
      </c>
      <c r="J10" s="52">
        <v>38005</v>
      </c>
      <c r="K10" s="51">
        <v>2.827</v>
      </c>
      <c r="L10" s="51">
        <v>2.847</v>
      </c>
      <c r="M10" s="51">
        <v>2.827</v>
      </c>
      <c r="N10" s="51">
        <v>2.84</v>
      </c>
      <c r="O10" s="51">
        <v>2.84</v>
      </c>
      <c r="P10" s="51">
        <v>0</v>
      </c>
    </row>
    <row r="11" spans="1:21" x14ac:dyDescent="0.2">
      <c r="A11" s="52">
        <v>33512</v>
      </c>
      <c r="B11" s="51">
        <v>2.9999999999999997E-4</v>
      </c>
      <c r="C11" s="51">
        <v>2.9999999999999997E-4</v>
      </c>
      <c r="D11" s="51">
        <v>2.9999999999999997E-4</v>
      </c>
      <c r="E11" s="51">
        <v>2.0000000000000001E-4</v>
      </c>
      <c r="F11" s="51"/>
      <c r="G11" s="51">
        <v>0.5</v>
      </c>
      <c r="J11" s="52">
        <v>38012</v>
      </c>
      <c r="K11" s="51">
        <v>2.84</v>
      </c>
      <c r="L11" s="51">
        <v>2.95</v>
      </c>
      <c r="M11" s="51">
        <v>2.8279999999999998</v>
      </c>
      <c r="N11" s="51">
        <v>2.9319999999999999</v>
      </c>
      <c r="O11" s="51">
        <v>2.9319999999999999</v>
      </c>
      <c r="P11" s="51">
        <v>0</v>
      </c>
    </row>
    <row r="12" spans="1:21" x14ac:dyDescent="0.2">
      <c r="A12" s="52">
        <v>33543</v>
      </c>
      <c r="B12" s="51">
        <v>2.9999999999999997E-4</v>
      </c>
      <c r="C12" s="51">
        <v>2.9999999999999997E-4</v>
      </c>
      <c r="D12" s="51">
        <v>2.9999999999999997E-4</v>
      </c>
      <c r="E12" s="51">
        <v>2.9999999999999997E-4</v>
      </c>
      <c r="F12" s="51"/>
      <c r="G12" s="51">
        <v>0</v>
      </c>
      <c r="J12" s="52">
        <v>38019</v>
      </c>
      <c r="K12" s="51">
        <v>2.9319999999999999</v>
      </c>
      <c r="L12" s="51">
        <v>2.9580000000000002</v>
      </c>
      <c r="M12" s="51">
        <v>2.9020000000000001</v>
      </c>
      <c r="N12" s="51">
        <v>2.9319999999999999</v>
      </c>
      <c r="O12" s="51">
        <v>2.9319999999999999</v>
      </c>
      <c r="P12" s="51">
        <v>0</v>
      </c>
    </row>
    <row r="13" spans="1:21" x14ac:dyDescent="0.2">
      <c r="A13" s="52">
        <v>33573</v>
      </c>
      <c r="B13" s="51">
        <v>4.0000000000000002E-4</v>
      </c>
      <c r="C13" s="51">
        <v>4.0000000000000002E-4</v>
      </c>
      <c r="D13" s="51">
        <v>4.0000000000000002E-4</v>
      </c>
      <c r="E13" s="51">
        <v>2.9999999999999997E-4</v>
      </c>
      <c r="F13" s="51"/>
      <c r="G13" s="51">
        <v>0.33329999999999999</v>
      </c>
      <c r="J13" s="52">
        <v>38026</v>
      </c>
      <c r="K13" s="51">
        <v>2.9319999999999999</v>
      </c>
      <c r="L13" s="51">
        <v>2.9409999999999998</v>
      </c>
      <c r="M13" s="51">
        <v>2.895</v>
      </c>
      <c r="N13" s="51">
        <v>2.9039999999999999</v>
      </c>
      <c r="O13" s="51">
        <v>2.9039999999999999</v>
      </c>
      <c r="P13" s="51">
        <v>0</v>
      </c>
    </row>
    <row r="14" spans="1:21" x14ac:dyDescent="0.2">
      <c r="A14" s="52">
        <v>33604</v>
      </c>
      <c r="B14" s="51">
        <v>5.0000000000000001E-4</v>
      </c>
      <c r="C14" s="51">
        <v>5.0000000000000001E-4</v>
      </c>
      <c r="D14" s="51">
        <v>5.0000000000000001E-4</v>
      </c>
      <c r="E14" s="51">
        <v>4.0000000000000002E-4</v>
      </c>
      <c r="F14" s="51"/>
      <c r="G14" s="51">
        <v>0.25</v>
      </c>
      <c r="J14" s="52">
        <v>38033</v>
      </c>
      <c r="K14" s="51">
        <v>2.9039999999999999</v>
      </c>
      <c r="L14" s="51">
        <v>3.01</v>
      </c>
      <c r="M14" s="51">
        <v>2.9</v>
      </c>
      <c r="N14" s="51">
        <v>2.9569999999999999</v>
      </c>
      <c r="O14" s="51">
        <v>2.9569999999999999</v>
      </c>
      <c r="P14" s="51">
        <v>0</v>
      </c>
    </row>
    <row r="15" spans="1:21" x14ac:dyDescent="0.2">
      <c r="A15" s="52">
        <v>33635</v>
      </c>
      <c r="B15" s="51">
        <v>5.9999999999999995E-4</v>
      </c>
      <c r="C15" s="51">
        <v>5.9999999999999995E-4</v>
      </c>
      <c r="D15" s="51">
        <v>5.9999999999999995E-4</v>
      </c>
      <c r="E15" s="51">
        <v>5.0000000000000001E-4</v>
      </c>
      <c r="F15" s="51"/>
      <c r="G15" s="51">
        <v>0.2</v>
      </c>
      <c r="J15" s="52">
        <v>38040</v>
      </c>
      <c r="K15" s="51">
        <v>2.9569999999999999</v>
      </c>
      <c r="L15" s="51">
        <v>2.9569999999999999</v>
      </c>
      <c r="M15" s="51">
        <v>2.9039999999999999</v>
      </c>
      <c r="N15" s="51">
        <v>2.9049999999999998</v>
      </c>
      <c r="O15" s="51">
        <v>2.9049999999999998</v>
      </c>
      <c r="P15" s="51">
        <v>0</v>
      </c>
    </row>
    <row r="16" spans="1:21" x14ac:dyDescent="0.2">
      <c r="A16" s="52">
        <v>33664</v>
      </c>
      <c r="B16" s="51">
        <v>6.9999999999999999E-4</v>
      </c>
      <c r="C16" s="51">
        <v>6.9999999999999999E-4</v>
      </c>
      <c r="D16" s="51">
        <v>6.9999999999999999E-4</v>
      </c>
      <c r="E16" s="51">
        <v>5.9999999999999995E-4</v>
      </c>
      <c r="F16" s="51"/>
      <c r="G16" s="51">
        <v>0.16669999999999999</v>
      </c>
      <c r="J16" s="52">
        <v>38047</v>
      </c>
      <c r="K16" s="51">
        <v>2.9049999999999998</v>
      </c>
      <c r="L16" s="51">
        <v>2.9159999999999999</v>
      </c>
      <c r="M16" s="51">
        <v>2.8650000000000002</v>
      </c>
      <c r="N16" s="51">
        <v>2.8660000000000001</v>
      </c>
      <c r="O16" s="51">
        <v>2.8660000000000001</v>
      </c>
      <c r="P16" s="51">
        <v>0</v>
      </c>
    </row>
    <row r="17" spans="1:16" x14ac:dyDescent="0.2">
      <c r="A17" s="52">
        <v>33695</v>
      </c>
      <c r="B17" s="51">
        <v>8.9999999999999998E-4</v>
      </c>
      <c r="C17" s="51">
        <v>8.9999999999999998E-4</v>
      </c>
      <c r="D17" s="51">
        <v>8.9999999999999998E-4</v>
      </c>
      <c r="E17" s="51">
        <v>6.9999999999999999E-4</v>
      </c>
      <c r="F17" s="51"/>
      <c r="G17" s="51">
        <v>0.28570000000000001</v>
      </c>
      <c r="J17" s="52">
        <v>38054</v>
      </c>
      <c r="K17" s="51">
        <v>2.8660000000000001</v>
      </c>
      <c r="L17" s="51">
        <v>2.9220000000000002</v>
      </c>
      <c r="M17" s="51">
        <v>2.8580000000000001</v>
      </c>
      <c r="N17" s="51">
        <v>2.899</v>
      </c>
      <c r="O17" s="51">
        <v>2.899</v>
      </c>
      <c r="P17" s="51">
        <v>0</v>
      </c>
    </row>
    <row r="18" spans="1:16" x14ac:dyDescent="0.2">
      <c r="A18" s="52">
        <v>33725</v>
      </c>
      <c r="B18" s="51">
        <v>1.1000000000000001E-3</v>
      </c>
      <c r="C18" s="51">
        <v>1.1000000000000001E-3</v>
      </c>
      <c r="D18" s="51">
        <v>1.1000000000000001E-3</v>
      </c>
      <c r="E18" s="51">
        <v>8.9999999999999998E-4</v>
      </c>
      <c r="F18" s="51"/>
      <c r="G18" s="51">
        <v>0.22220000000000001</v>
      </c>
      <c r="J18" s="52">
        <v>38061</v>
      </c>
      <c r="K18" s="51">
        <v>2.899</v>
      </c>
      <c r="L18" s="51">
        <v>2.9180000000000001</v>
      </c>
      <c r="M18" s="51">
        <v>2.8929999999999998</v>
      </c>
      <c r="N18" s="51">
        <v>2.9</v>
      </c>
      <c r="O18" s="51">
        <v>2.9</v>
      </c>
      <c r="P18" s="51">
        <v>0</v>
      </c>
    </row>
    <row r="19" spans="1:16" x14ac:dyDescent="0.2">
      <c r="A19" s="52">
        <v>33756</v>
      </c>
      <c r="B19" s="51">
        <v>1.2999999999999999E-3</v>
      </c>
      <c r="C19" s="51">
        <v>1.2999999999999999E-3</v>
      </c>
      <c r="D19" s="51">
        <v>1.2999999999999999E-3</v>
      </c>
      <c r="E19" s="51">
        <v>1.1000000000000001E-3</v>
      </c>
      <c r="F19" s="51"/>
      <c r="G19" s="51">
        <v>0.18179999999999999</v>
      </c>
      <c r="J19" s="52">
        <v>38068</v>
      </c>
      <c r="K19" s="51">
        <v>2.9</v>
      </c>
      <c r="L19" s="51">
        <v>2.9449999999999998</v>
      </c>
      <c r="M19" s="51">
        <v>2.9</v>
      </c>
      <c r="N19" s="51">
        <v>2.9369999999999998</v>
      </c>
      <c r="O19" s="51">
        <v>2.9369999999999998</v>
      </c>
      <c r="P19" s="51">
        <v>0</v>
      </c>
    </row>
    <row r="20" spans="1:16" x14ac:dyDescent="0.2">
      <c r="A20" s="52">
        <v>33786</v>
      </c>
      <c r="B20" s="51">
        <v>1.6999999999999999E-3</v>
      </c>
      <c r="C20" s="51">
        <v>1.6000000000000001E-3</v>
      </c>
      <c r="D20" s="51">
        <v>1.6999999999999999E-3</v>
      </c>
      <c r="E20" s="51">
        <v>1.4E-3</v>
      </c>
      <c r="F20" s="51"/>
      <c r="G20" s="51">
        <v>0.30769999999999997</v>
      </c>
      <c r="J20" s="52">
        <v>38075</v>
      </c>
      <c r="K20" s="51">
        <v>2.9369999999999998</v>
      </c>
      <c r="L20" s="51">
        <v>2.9380000000000002</v>
      </c>
      <c r="M20" s="51">
        <v>2.8849999999999998</v>
      </c>
      <c r="N20" s="51">
        <v>2.8929999999999998</v>
      </c>
      <c r="O20" s="51">
        <v>2.8929999999999998</v>
      </c>
      <c r="P20" s="51">
        <v>0</v>
      </c>
    </row>
    <row r="21" spans="1:16" x14ac:dyDescent="0.2">
      <c r="A21" s="52">
        <v>33817</v>
      </c>
      <c r="B21" s="51">
        <v>2E-3</v>
      </c>
      <c r="C21" s="51">
        <v>2E-3</v>
      </c>
      <c r="D21" s="51">
        <v>2.0999999999999999E-3</v>
      </c>
      <c r="E21" s="51">
        <v>1.6999999999999999E-3</v>
      </c>
      <c r="F21" s="51"/>
      <c r="G21" s="51">
        <v>0.17649999999999999</v>
      </c>
      <c r="J21" s="52">
        <v>38082</v>
      </c>
      <c r="K21" s="51">
        <v>2.8929999999999998</v>
      </c>
      <c r="L21" s="51">
        <v>2.8959999999999999</v>
      </c>
      <c r="M21" s="51">
        <v>2.8660000000000001</v>
      </c>
      <c r="N21" s="51">
        <v>2.8839999999999999</v>
      </c>
      <c r="O21" s="51">
        <v>2.8839999999999999</v>
      </c>
      <c r="P21" s="51">
        <v>0</v>
      </c>
    </row>
    <row r="22" spans="1:16" x14ac:dyDescent="0.2">
      <c r="A22" s="52">
        <v>33848</v>
      </c>
      <c r="B22" s="51">
        <v>2.5999999999999999E-3</v>
      </c>
      <c r="C22" s="51">
        <v>2.7000000000000001E-3</v>
      </c>
      <c r="D22" s="51">
        <v>2.7000000000000001E-3</v>
      </c>
      <c r="E22" s="51">
        <v>2.0999999999999999E-3</v>
      </c>
      <c r="F22" s="51"/>
      <c r="G22" s="51">
        <v>0.3</v>
      </c>
      <c r="J22" s="52">
        <v>38089</v>
      </c>
      <c r="K22" s="51">
        <v>2.8839999999999999</v>
      </c>
      <c r="L22" s="51">
        <v>2.9260000000000002</v>
      </c>
      <c r="M22" s="51">
        <v>2.88</v>
      </c>
      <c r="N22" s="51">
        <v>2.9079999999999999</v>
      </c>
      <c r="O22" s="51">
        <v>2.9079999999999999</v>
      </c>
      <c r="P22" s="51">
        <v>0</v>
      </c>
    </row>
    <row r="23" spans="1:16" x14ac:dyDescent="0.2">
      <c r="A23" s="52">
        <v>33878</v>
      </c>
      <c r="B23" s="51">
        <v>3.0000000000000001E-3</v>
      </c>
      <c r="C23" s="51">
        <v>3.0000000000000001E-3</v>
      </c>
      <c r="D23" s="51">
        <v>3.0999999999999999E-3</v>
      </c>
      <c r="E23" s="51">
        <v>2.5999999999999999E-3</v>
      </c>
      <c r="F23" s="51"/>
      <c r="G23" s="51">
        <v>0.15379999999999999</v>
      </c>
      <c r="J23" s="52">
        <v>38096</v>
      </c>
      <c r="K23" s="51">
        <v>2.9079999999999999</v>
      </c>
      <c r="L23" s="51">
        <v>2.94</v>
      </c>
      <c r="M23" s="51">
        <v>2.9009999999999998</v>
      </c>
      <c r="N23" s="51">
        <v>2.9079999999999999</v>
      </c>
      <c r="O23" s="51">
        <v>2.9079999999999999</v>
      </c>
      <c r="P23" s="51">
        <v>0</v>
      </c>
    </row>
    <row r="24" spans="1:16" x14ac:dyDescent="0.2">
      <c r="A24" s="52">
        <v>33909</v>
      </c>
      <c r="B24" s="51">
        <v>3.8999999999999998E-3</v>
      </c>
      <c r="C24" s="51">
        <v>3.3E-3</v>
      </c>
      <c r="D24" s="51">
        <v>3.8999999999999998E-3</v>
      </c>
      <c r="E24" s="51">
        <v>3.0000000000000001E-3</v>
      </c>
      <c r="F24" s="51"/>
      <c r="G24" s="51">
        <v>0.3</v>
      </c>
      <c r="J24" s="52">
        <v>38103</v>
      </c>
      <c r="K24" s="51">
        <v>2.9079999999999999</v>
      </c>
      <c r="L24" s="51">
        <v>2.9649999999999999</v>
      </c>
      <c r="M24" s="51">
        <v>2.903</v>
      </c>
      <c r="N24" s="51">
        <v>2.93</v>
      </c>
      <c r="O24" s="51">
        <v>2.93</v>
      </c>
      <c r="P24" s="51">
        <v>0</v>
      </c>
    </row>
    <row r="25" spans="1:16" x14ac:dyDescent="0.2">
      <c r="A25" s="52">
        <v>33939</v>
      </c>
      <c r="B25" s="51">
        <v>5.3E-3</v>
      </c>
      <c r="C25" s="51">
        <v>4.3E-3</v>
      </c>
      <c r="D25" s="51">
        <v>5.3E-3</v>
      </c>
      <c r="E25" s="51">
        <v>4.0000000000000001E-3</v>
      </c>
      <c r="F25" s="51"/>
      <c r="G25" s="51">
        <v>0.35899999999999999</v>
      </c>
      <c r="J25" s="52">
        <v>38110</v>
      </c>
      <c r="K25" s="51">
        <v>2.93</v>
      </c>
      <c r="L25" s="51">
        <v>3.08</v>
      </c>
      <c r="M25" s="51">
        <v>2.93</v>
      </c>
      <c r="N25" s="51">
        <v>3.0609999999999999</v>
      </c>
      <c r="O25" s="51">
        <v>3.0609999999999999</v>
      </c>
      <c r="P25" s="51">
        <v>0</v>
      </c>
    </row>
    <row r="26" spans="1:16" x14ac:dyDescent="0.2">
      <c r="A26" s="52">
        <v>33970</v>
      </c>
      <c r="B26" s="51">
        <v>5.8999999999999999E-3</v>
      </c>
      <c r="C26" s="51">
        <v>5.1000000000000004E-3</v>
      </c>
      <c r="D26" s="51">
        <v>6.0000000000000001E-3</v>
      </c>
      <c r="E26" s="51">
        <v>5.1000000000000004E-3</v>
      </c>
      <c r="F26" s="51"/>
      <c r="G26" s="51">
        <v>0.1132</v>
      </c>
      <c r="J26" s="52">
        <v>38117</v>
      </c>
      <c r="K26" s="51">
        <v>3.0609999999999999</v>
      </c>
      <c r="L26" s="51">
        <v>3.149</v>
      </c>
      <c r="M26" s="51">
        <v>3.0609999999999999</v>
      </c>
      <c r="N26" s="51">
        <v>3.0880000000000001</v>
      </c>
      <c r="O26" s="51">
        <v>3.0880000000000001</v>
      </c>
      <c r="P26" s="51">
        <v>0</v>
      </c>
    </row>
    <row r="27" spans="1:16" x14ac:dyDescent="0.2">
      <c r="A27" s="52">
        <v>34001</v>
      </c>
      <c r="B27" s="51">
        <v>7.7999999999999996E-3</v>
      </c>
      <c r="C27" s="51">
        <v>6.3E-3</v>
      </c>
      <c r="D27" s="51">
        <v>7.7999999999999996E-3</v>
      </c>
      <c r="E27" s="51">
        <v>6.1000000000000004E-3</v>
      </c>
      <c r="F27" s="51"/>
      <c r="G27" s="51">
        <v>0.32200000000000001</v>
      </c>
      <c r="J27" s="52">
        <v>38124</v>
      </c>
      <c r="K27" s="51">
        <v>3.0880000000000001</v>
      </c>
      <c r="L27" s="51">
        <v>3.2229999999999999</v>
      </c>
      <c r="M27" s="51">
        <v>3.0880000000000001</v>
      </c>
      <c r="N27" s="51">
        <v>3.1930000000000001</v>
      </c>
      <c r="O27" s="51">
        <v>3.1930000000000001</v>
      </c>
      <c r="P27" s="51">
        <v>0</v>
      </c>
    </row>
    <row r="28" spans="1:16" x14ac:dyDescent="0.2">
      <c r="A28" s="52">
        <v>34029</v>
      </c>
      <c r="B28" s="51">
        <v>1.01E-2</v>
      </c>
      <c r="C28" s="51">
        <v>8.6E-3</v>
      </c>
      <c r="D28" s="51">
        <v>1.01E-2</v>
      </c>
      <c r="E28" s="51">
        <v>7.9000000000000008E-3</v>
      </c>
      <c r="F28" s="51"/>
      <c r="G28" s="51">
        <v>0.2949</v>
      </c>
      <c r="J28" s="52">
        <v>38131</v>
      </c>
      <c r="K28" s="51">
        <v>3.1930000000000001</v>
      </c>
      <c r="L28" s="51">
        <v>3.1949999999999998</v>
      </c>
      <c r="M28" s="51">
        <v>3.0870000000000002</v>
      </c>
      <c r="N28" s="51">
        <v>3.0880000000000001</v>
      </c>
      <c r="O28" s="51">
        <v>3.0880000000000001</v>
      </c>
      <c r="P28" s="51">
        <v>0</v>
      </c>
    </row>
    <row r="29" spans="1:16" x14ac:dyDescent="0.2">
      <c r="A29" s="52">
        <v>34060</v>
      </c>
      <c r="B29" s="51">
        <v>1.17E-2</v>
      </c>
      <c r="C29" s="51">
        <v>1.06E-2</v>
      </c>
      <c r="D29" s="51">
        <v>1.2500000000000001E-2</v>
      </c>
      <c r="E29" s="51">
        <v>1.01E-2</v>
      </c>
      <c r="F29" s="51"/>
      <c r="G29" s="51">
        <v>0.15840000000000001</v>
      </c>
      <c r="J29" s="52">
        <v>38138</v>
      </c>
      <c r="K29" s="51">
        <v>3.0880000000000001</v>
      </c>
      <c r="L29" s="51">
        <v>3.1949999999999998</v>
      </c>
      <c r="M29" s="51">
        <v>3.0880000000000001</v>
      </c>
      <c r="N29" s="51">
        <v>3.1269999999999998</v>
      </c>
      <c r="O29" s="51">
        <v>3.1269999999999998</v>
      </c>
      <c r="P29" s="51">
        <v>0</v>
      </c>
    </row>
    <row r="30" spans="1:16" x14ac:dyDescent="0.2">
      <c r="A30" s="52">
        <v>34090</v>
      </c>
      <c r="B30" s="51">
        <v>1.52E-2</v>
      </c>
      <c r="C30" s="51">
        <v>1.23E-2</v>
      </c>
      <c r="D30" s="51">
        <v>1.52E-2</v>
      </c>
      <c r="E30" s="51">
        <v>1.1900000000000001E-2</v>
      </c>
      <c r="F30" s="51"/>
      <c r="G30" s="51">
        <v>0.29909999999999998</v>
      </c>
      <c r="J30" s="52">
        <v>38145</v>
      </c>
      <c r="K30" s="51">
        <v>3.1269999999999998</v>
      </c>
      <c r="L30" s="51">
        <v>3.1469999999999998</v>
      </c>
      <c r="M30" s="51">
        <v>3.0950000000000002</v>
      </c>
      <c r="N30" s="51">
        <v>3.1379999999999999</v>
      </c>
      <c r="O30" s="51">
        <v>3.1379999999999999</v>
      </c>
      <c r="P30" s="51">
        <v>0</v>
      </c>
    </row>
    <row r="31" spans="1:16" x14ac:dyDescent="0.2">
      <c r="A31" s="52">
        <v>34121</v>
      </c>
      <c r="B31" s="51">
        <v>1.9800000000000002E-2</v>
      </c>
      <c r="C31" s="51">
        <v>1.54E-2</v>
      </c>
      <c r="D31" s="51">
        <v>1.9800000000000002E-2</v>
      </c>
      <c r="E31" s="51">
        <v>1.54E-2</v>
      </c>
      <c r="F31" s="51"/>
      <c r="G31" s="51">
        <v>0.30259999999999998</v>
      </c>
      <c r="J31" s="52">
        <v>38152</v>
      </c>
      <c r="K31" s="51">
        <v>3.1379999999999999</v>
      </c>
      <c r="L31" s="51">
        <v>3.1669999999999998</v>
      </c>
      <c r="M31" s="51">
        <v>3.1179999999999999</v>
      </c>
      <c r="N31" s="51">
        <v>3.1389999999999998</v>
      </c>
      <c r="O31" s="51">
        <v>3.1389999999999998</v>
      </c>
      <c r="P31" s="51">
        <v>0</v>
      </c>
    </row>
    <row r="32" spans="1:16" x14ac:dyDescent="0.2">
      <c r="A32" s="52">
        <v>34151</v>
      </c>
      <c r="B32" s="51">
        <v>2.5899999999999999E-2</v>
      </c>
      <c r="C32" s="51">
        <v>1.9800000000000002E-2</v>
      </c>
      <c r="D32" s="51">
        <v>2.5899999999999999E-2</v>
      </c>
      <c r="E32" s="51">
        <v>1.9800000000000002E-2</v>
      </c>
      <c r="F32" s="51"/>
      <c r="G32" s="51">
        <v>0.30809999999999998</v>
      </c>
      <c r="J32" s="52">
        <v>38159</v>
      </c>
      <c r="K32" s="51">
        <v>3.1389999999999998</v>
      </c>
      <c r="L32" s="51">
        <v>3.1389999999999998</v>
      </c>
      <c r="M32" s="51">
        <v>3.0920000000000001</v>
      </c>
      <c r="N32" s="51">
        <v>3.109</v>
      </c>
      <c r="O32" s="51">
        <v>3.109</v>
      </c>
      <c r="P32" s="51">
        <v>0</v>
      </c>
    </row>
    <row r="33" spans="1:16" x14ac:dyDescent="0.2">
      <c r="A33" s="52">
        <v>34182</v>
      </c>
      <c r="B33" s="51">
        <v>3.44E-2</v>
      </c>
      <c r="C33" s="51">
        <v>2.6499999999999999E-2</v>
      </c>
      <c r="D33" s="51">
        <v>3.44E-2</v>
      </c>
      <c r="E33" s="51">
        <v>2.6200000000000001E-2</v>
      </c>
      <c r="F33" s="51"/>
      <c r="G33" s="51">
        <v>0.32819999999999999</v>
      </c>
      <c r="J33" s="52">
        <v>38166</v>
      </c>
      <c r="K33" s="51">
        <v>3.109</v>
      </c>
      <c r="L33" s="51">
        <v>3.1339999999999999</v>
      </c>
      <c r="M33" s="51">
        <v>3.0390000000000001</v>
      </c>
      <c r="N33" s="51">
        <v>3.0390000000000001</v>
      </c>
      <c r="O33" s="51">
        <v>3.0390000000000001</v>
      </c>
      <c r="P33" s="51">
        <v>0</v>
      </c>
    </row>
    <row r="34" spans="1:16" x14ac:dyDescent="0.2">
      <c r="A34" s="52">
        <v>34213</v>
      </c>
      <c r="B34" s="51">
        <v>4.6600000000000003E-2</v>
      </c>
      <c r="C34" s="51">
        <v>3.7999999999999999E-2</v>
      </c>
      <c r="D34" s="51">
        <v>4.6600000000000003E-2</v>
      </c>
      <c r="E34" s="51">
        <v>3.49E-2</v>
      </c>
      <c r="F34" s="51"/>
      <c r="G34" s="51">
        <v>0.35470000000000002</v>
      </c>
      <c r="J34" s="52">
        <v>38173</v>
      </c>
      <c r="K34" s="51">
        <v>3.0390000000000001</v>
      </c>
      <c r="L34" s="51">
        <v>3.056</v>
      </c>
      <c r="M34" s="51">
        <v>3.024</v>
      </c>
      <c r="N34" s="51">
        <v>3.0409999999999999</v>
      </c>
      <c r="O34" s="51">
        <v>3.0409999999999999</v>
      </c>
      <c r="P34" s="51">
        <v>0</v>
      </c>
    </row>
    <row r="35" spans="1:16" x14ac:dyDescent="0.2">
      <c r="A35" s="52">
        <v>34243</v>
      </c>
      <c r="B35" s="51">
        <v>6.3299999999999995E-2</v>
      </c>
      <c r="C35" s="51">
        <v>5.1799999999999999E-2</v>
      </c>
      <c r="D35" s="51">
        <v>6.3299999999999995E-2</v>
      </c>
      <c r="E35" s="51">
        <v>4.7300000000000002E-2</v>
      </c>
      <c r="F35" s="51"/>
      <c r="G35" s="51">
        <v>0.3584</v>
      </c>
      <c r="J35" s="52">
        <v>38180</v>
      </c>
      <c r="K35" s="51">
        <v>3.0409999999999999</v>
      </c>
      <c r="L35" s="51">
        <v>3.0449999999999999</v>
      </c>
      <c r="M35" s="51">
        <v>2.9950000000000001</v>
      </c>
      <c r="N35" s="51">
        <v>3.0009999999999999</v>
      </c>
      <c r="O35" s="51">
        <v>3.0009999999999999</v>
      </c>
      <c r="P35" s="51">
        <v>0</v>
      </c>
    </row>
    <row r="36" spans="1:16" x14ac:dyDescent="0.2">
      <c r="A36" s="52">
        <v>34274</v>
      </c>
      <c r="B36" s="51">
        <v>8.5800000000000001E-2</v>
      </c>
      <c r="C36" s="51">
        <v>6.5199999999999994E-2</v>
      </c>
      <c r="D36" s="51">
        <v>8.5800000000000001E-2</v>
      </c>
      <c r="E36" s="51">
        <v>6.4199999999999993E-2</v>
      </c>
      <c r="F36" s="51"/>
      <c r="G36" s="51">
        <v>0.35549999999999998</v>
      </c>
      <c r="J36" s="52">
        <v>38187</v>
      </c>
      <c r="K36" s="51">
        <v>3.0009999999999999</v>
      </c>
      <c r="L36" s="51">
        <v>3.0529999999999999</v>
      </c>
      <c r="M36" s="51">
        <v>2.988</v>
      </c>
      <c r="N36" s="51">
        <v>3.0529999999999999</v>
      </c>
      <c r="O36" s="51">
        <v>3.0529999999999999</v>
      </c>
      <c r="P36" s="51">
        <v>0</v>
      </c>
    </row>
    <row r="37" spans="1:16" x14ac:dyDescent="0.2">
      <c r="A37" s="52">
        <v>34304</v>
      </c>
      <c r="B37" s="51">
        <v>0.1167</v>
      </c>
      <c r="C37" s="51">
        <v>0.1167</v>
      </c>
      <c r="D37" s="51">
        <v>0.1167</v>
      </c>
      <c r="E37" s="51">
        <v>8.6999999999999994E-2</v>
      </c>
      <c r="F37" s="51"/>
      <c r="G37" s="51">
        <v>0.36009999999999998</v>
      </c>
      <c r="J37" s="52">
        <v>38194</v>
      </c>
      <c r="K37" s="51">
        <v>3.0529999999999999</v>
      </c>
      <c r="L37" s="51">
        <v>3.0750000000000002</v>
      </c>
      <c r="M37" s="51">
        <v>3.02</v>
      </c>
      <c r="N37" s="51">
        <v>3.036</v>
      </c>
      <c r="O37" s="51">
        <v>3.036</v>
      </c>
      <c r="P37" s="51">
        <v>0</v>
      </c>
    </row>
    <row r="38" spans="1:16" x14ac:dyDescent="0.2">
      <c r="A38" s="52">
        <v>34335</v>
      </c>
      <c r="B38" s="51">
        <v>0.1668</v>
      </c>
      <c r="C38" s="51">
        <v>0.12039999999999999</v>
      </c>
      <c r="D38" s="51">
        <v>0.1668</v>
      </c>
      <c r="E38" s="51">
        <v>0.12039999999999999</v>
      </c>
      <c r="F38" s="51"/>
      <c r="G38" s="51">
        <v>0.42930000000000001</v>
      </c>
      <c r="J38" s="52">
        <v>38201</v>
      </c>
      <c r="K38" s="51">
        <v>3.036</v>
      </c>
      <c r="L38" s="51">
        <v>3.0670000000000002</v>
      </c>
      <c r="M38" s="51">
        <v>3.0310000000000001</v>
      </c>
      <c r="N38" s="51">
        <v>3.0310000000000001</v>
      </c>
      <c r="O38" s="51">
        <v>3.0310000000000001</v>
      </c>
      <c r="P38" s="51">
        <v>0</v>
      </c>
    </row>
    <row r="39" spans="1:16" x14ac:dyDescent="0.2">
      <c r="A39" s="52">
        <v>34366</v>
      </c>
      <c r="B39" s="51">
        <v>0.23169999999999999</v>
      </c>
      <c r="C39" s="51">
        <v>0.1973</v>
      </c>
      <c r="D39" s="51">
        <v>0.2319</v>
      </c>
      <c r="E39" s="51">
        <v>0.1699</v>
      </c>
      <c r="F39" s="51"/>
      <c r="G39" s="51">
        <v>0.3891</v>
      </c>
      <c r="J39" s="52">
        <v>38208</v>
      </c>
      <c r="K39" s="51">
        <v>3.0310000000000001</v>
      </c>
      <c r="L39" s="51">
        <v>3.0409999999999999</v>
      </c>
      <c r="M39" s="51">
        <v>3.0169999999999999</v>
      </c>
      <c r="N39" s="51">
        <v>3.0190000000000001</v>
      </c>
      <c r="O39" s="51">
        <v>3.0190000000000001</v>
      </c>
      <c r="P39" s="51">
        <v>0</v>
      </c>
    </row>
    <row r="40" spans="1:16" x14ac:dyDescent="0.2">
      <c r="A40" s="52">
        <v>34394</v>
      </c>
      <c r="B40" s="51">
        <v>0.33210000000000001</v>
      </c>
      <c r="C40" s="51">
        <v>0.23169999999999999</v>
      </c>
      <c r="D40" s="51">
        <v>0.33210000000000001</v>
      </c>
      <c r="E40" s="51">
        <v>0.23519999999999999</v>
      </c>
      <c r="F40" s="51"/>
      <c r="G40" s="51">
        <v>0.43330000000000002</v>
      </c>
      <c r="J40" s="52">
        <v>38215</v>
      </c>
      <c r="K40" s="51">
        <v>3.0190000000000001</v>
      </c>
      <c r="L40" s="51">
        <v>3.0259999999999998</v>
      </c>
      <c r="M40" s="51">
        <v>2.9630000000000001</v>
      </c>
      <c r="N40" s="51">
        <v>2.964</v>
      </c>
      <c r="O40" s="51">
        <v>2.964</v>
      </c>
      <c r="P40" s="51">
        <v>0</v>
      </c>
    </row>
    <row r="41" spans="1:16" x14ac:dyDescent="0.2">
      <c r="A41" s="52">
        <v>34425</v>
      </c>
      <c r="B41" s="51">
        <v>0.47360000000000002</v>
      </c>
      <c r="C41" s="51">
        <v>0.36530000000000001</v>
      </c>
      <c r="D41" s="51">
        <v>0.47360000000000002</v>
      </c>
      <c r="E41" s="51">
        <v>0.33850000000000002</v>
      </c>
      <c r="F41" s="51"/>
      <c r="G41" s="51">
        <v>0.42609999999999998</v>
      </c>
      <c r="J41" s="52">
        <v>38222</v>
      </c>
      <c r="K41" s="51">
        <v>2.964</v>
      </c>
      <c r="L41" s="51">
        <v>2.9750000000000001</v>
      </c>
      <c r="M41" s="51">
        <v>2.9449999999999998</v>
      </c>
      <c r="N41" s="51">
        <v>2.952</v>
      </c>
      <c r="O41" s="51">
        <v>2.952</v>
      </c>
      <c r="P41" s="51">
        <v>0</v>
      </c>
    </row>
    <row r="42" spans="1:16" x14ac:dyDescent="0.2">
      <c r="A42" s="52">
        <v>34455</v>
      </c>
      <c r="B42" s="51">
        <v>0.68189999999999995</v>
      </c>
      <c r="C42" s="51">
        <v>0.52200000000000002</v>
      </c>
      <c r="D42" s="51">
        <v>0.68189999999999995</v>
      </c>
      <c r="E42" s="51">
        <v>0.48130000000000001</v>
      </c>
      <c r="F42" s="51"/>
      <c r="G42" s="51">
        <v>0.43980000000000002</v>
      </c>
      <c r="J42" s="52">
        <v>38229</v>
      </c>
      <c r="K42" s="51" t="s">
        <v>518</v>
      </c>
      <c r="L42" s="51" t="s">
        <v>518</v>
      </c>
      <c r="M42" s="51" t="s">
        <v>518</v>
      </c>
      <c r="N42" s="51" t="s">
        <v>518</v>
      </c>
      <c r="O42" s="51" t="s">
        <v>518</v>
      </c>
      <c r="P42" s="51" t="s">
        <v>518</v>
      </c>
    </row>
    <row r="43" spans="1:16" x14ac:dyDescent="0.2">
      <c r="A43" s="52">
        <v>34486</v>
      </c>
      <c r="B43" s="51">
        <v>0.96250000000000002</v>
      </c>
      <c r="C43" s="51">
        <v>0.7571</v>
      </c>
      <c r="D43" s="51">
        <v>0.96250000000000002</v>
      </c>
      <c r="E43" s="51">
        <v>0.69379999999999997</v>
      </c>
      <c r="F43" s="51"/>
      <c r="G43" s="51">
        <v>0.41149999999999998</v>
      </c>
      <c r="J43" s="52">
        <v>38236</v>
      </c>
      <c r="K43" s="51" t="s">
        <v>518</v>
      </c>
      <c r="L43" s="51" t="s">
        <v>518</v>
      </c>
      <c r="M43" s="51" t="s">
        <v>518</v>
      </c>
      <c r="N43" s="51" t="s">
        <v>518</v>
      </c>
      <c r="O43" s="51" t="s">
        <v>518</v>
      </c>
      <c r="P43" s="51" t="s">
        <v>518</v>
      </c>
    </row>
    <row r="44" spans="1:16" x14ac:dyDescent="0.2">
      <c r="A44" s="52">
        <v>34516</v>
      </c>
      <c r="B44" s="51">
        <v>0.9365</v>
      </c>
      <c r="C44" s="51">
        <v>0.9355</v>
      </c>
      <c r="D44" s="51">
        <v>0.94550000000000001</v>
      </c>
      <c r="E44" s="51">
        <v>0.90049999999999997</v>
      </c>
      <c r="F44" s="51"/>
      <c r="G44" s="51">
        <v>-2.7E-2</v>
      </c>
      <c r="J44" s="52">
        <v>38243</v>
      </c>
      <c r="K44" s="51" t="s">
        <v>518</v>
      </c>
      <c r="L44" s="51" t="s">
        <v>518</v>
      </c>
      <c r="M44" s="51" t="s">
        <v>518</v>
      </c>
      <c r="N44" s="51" t="s">
        <v>518</v>
      </c>
      <c r="O44" s="51" t="s">
        <v>518</v>
      </c>
      <c r="P44" s="51" t="s">
        <v>518</v>
      </c>
    </row>
    <row r="45" spans="1:16" x14ac:dyDescent="0.2">
      <c r="A45" s="52">
        <v>34547</v>
      </c>
      <c r="B45" s="51">
        <v>0.88600000000000001</v>
      </c>
      <c r="C45" s="51">
        <v>0.93899999999999995</v>
      </c>
      <c r="D45" s="51">
        <v>0.93899999999999995</v>
      </c>
      <c r="E45" s="51">
        <v>0.88300000000000001</v>
      </c>
      <c r="F45" s="51"/>
      <c r="G45" s="51">
        <v>-5.3900000000000003E-2</v>
      </c>
      <c r="J45" s="52">
        <v>38250</v>
      </c>
      <c r="K45" s="51" t="s">
        <v>518</v>
      </c>
      <c r="L45" s="51" t="s">
        <v>518</v>
      </c>
      <c r="M45" s="51" t="s">
        <v>518</v>
      </c>
      <c r="N45" s="51" t="s">
        <v>518</v>
      </c>
      <c r="O45" s="51" t="s">
        <v>518</v>
      </c>
      <c r="P45" s="51" t="s">
        <v>518</v>
      </c>
    </row>
    <row r="46" spans="1:16" x14ac:dyDescent="0.2">
      <c r="A46" s="52">
        <v>34578</v>
      </c>
      <c r="B46" s="51">
        <v>0.85299999999999998</v>
      </c>
      <c r="C46" s="51">
        <v>0.88500000000000001</v>
      </c>
      <c r="D46" s="51">
        <v>0.89700000000000002</v>
      </c>
      <c r="E46" s="51">
        <v>0.84899999999999998</v>
      </c>
      <c r="F46" s="51"/>
      <c r="G46" s="51">
        <v>-3.7199999999999997E-2</v>
      </c>
      <c r="J46" s="52">
        <v>38257</v>
      </c>
      <c r="K46" s="51" t="s">
        <v>518</v>
      </c>
      <c r="L46" s="51" t="s">
        <v>518</v>
      </c>
      <c r="M46" s="51" t="s">
        <v>518</v>
      </c>
      <c r="N46" s="51" t="s">
        <v>518</v>
      </c>
      <c r="O46" s="51" t="s">
        <v>518</v>
      </c>
      <c r="P46" s="51" t="s">
        <v>518</v>
      </c>
    </row>
    <row r="47" spans="1:16" x14ac:dyDescent="0.2">
      <c r="A47" s="52">
        <v>34608</v>
      </c>
      <c r="B47" s="51">
        <v>0.84450000000000003</v>
      </c>
      <c r="C47" s="51">
        <v>0.85250000000000004</v>
      </c>
      <c r="D47" s="51">
        <v>0.86450000000000005</v>
      </c>
      <c r="E47" s="51">
        <v>0.82250000000000001</v>
      </c>
      <c r="F47" s="51"/>
      <c r="G47" s="51">
        <v>-0.01</v>
      </c>
      <c r="J47" s="52">
        <v>38264</v>
      </c>
      <c r="K47" s="51" t="s">
        <v>518</v>
      </c>
      <c r="L47" s="51" t="s">
        <v>518</v>
      </c>
      <c r="M47" s="51" t="s">
        <v>518</v>
      </c>
      <c r="N47" s="51" t="s">
        <v>518</v>
      </c>
      <c r="O47" s="51" t="s">
        <v>518</v>
      </c>
      <c r="P47" s="51" t="s">
        <v>518</v>
      </c>
    </row>
    <row r="48" spans="1:16" x14ac:dyDescent="0.2">
      <c r="A48" s="52">
        <v>34639</v>
      </c>
      <c r="B48" s="51">
        <v>0.84850000000000003</v>
      </c>
      <c r="C48" s="51">
        <v>0.84450000000000003</v>
      </c>
      <c r="D48" s="51">
        <v>0.86750000000000005</v>
      </c>
      <c r="E48" s="51">
        <v>0.82850000000000001</v>
      </c>
      <c r="F48" s="51"/>
      <c r="G48" s="51">
        <v>4.7000000000000002E-3</v>
      </c>
      <c r="J48" s="52">
        <v>38271</v>
      </c>
      <c r="K48" s="51" t="s">
        <v>518</v>
      </c>
      <c r="L48" s="51" t="s">
        <v>518</v>
      </c>
      <c r="M48" s="51" t="s">
        <v>518</v>
      </c>
      <c r="N48" s="51" t="s">
        <v>518</v>
      </c>
      <c r="O48" s="51" t="s">
        <v>518</v>
      </c>
      <c r="P48" s="51" t="s">
        <v>518</v>
      </c>
    </row>
    <row r="49" spans="1:16" x14ac:dyDescent="0.2">
      <c r="A49" s="52">
        <v>34669</v>
      </c>
      <c r="B49" s="51">
        <v>0.84699999999999998</v>
      </c>
      <c r="C49" s="51">
        <v>0.84899999999999998</v>
      </c>
      <c r="D49" s="51">
        <v>0.86699999999999999</v>
      </c>
      <c r="E49" s="51">
        <v>0.84099999999999997</v>
      </c>
      <c r="F49" s="51"/>
      <c r="G49" s="51">
        <v>-1.8E-3</v>
      </c>
      <c r="J49" s="52">
        <v>38278</v>
      </c>
      <c r="K49" s="51" t="s">
        <v>518</v>
      </c>
      <c r="L49" s="51" t="s">
        <v>518</v>
      </c>
      <c r="M49" s="51" t="s">
        <v>518</v>
      </c>
      <c r="N49" s="51" t="s">
        <v>518</v>
      </c>
      <c r="O49" s="51" t="s">
        <v>518</v>
      </c>
      <c r="P49" s="51" t="s">
        <v>518</v>
      </c>
    </row>
    <row r="50" spans="1:16" x14ac:dyDescent="0.2">
      <c r="A50" s="52">
        <v>34700</v>
      </c>
      <c r="B50" s="51">
        <v>0.84050000000000002</v>
      </c>
      <c r="C50" s="51">
        <v>0.84150000000000003</v>
      </c>
      <c r="D50" s="51">
        <v>0.85599999999999998</v>
      </c>
      <c r="E50" s="51">
        <v>0.83750000000000002</v>
      </c>
      <c r="F50" s="51"/>
      <c r="G50" s="51">
        <v>-7.7000000000000002E-3</v>
      </c>
      <c r="J50" s="52">
        <v>38285</v>
      </c>
      <c r="K50" s="51" t="s">
        <v>518</v>
      </c>
      <c r="L50" s="51" t="s">
        <v>518</v>
      </c>
      <c r="M50" s="51" t="s">
        <v>518</v>
      </c>
      <c r="N50" s="51" t="s">
        <v>518</v>
      </c>
      <c r="O50" s="51" t="s">
        <v>518</v>
      </c>
      <c r="P50" s="51" t="s">
        <v>518</v>
      </c>
    </row>
    <row r="51" spans="1:16" x14ac:dyDescent="0.2">
      <c r="A51" s="52">
        <v>34731</v>
      </c>
      <c r="B51" s="51">
        <v>0.85050000000000003</v>
      </c>
      <c r="C51" s="51">
        <v>0.84150000000000003</v>
      </c>
      <c r="D51" s="51">
        <v>0.85350000000000004</v>
      </c>
      <c r="E51" s="51">
        <v>0.83350000000000002</v>
      </c>
      <c r="F51" s="51"/>
      <c r="G51" s="51">
        <v>1.1900000000000001E-2</v>
      </c>
      <c r="J51" s="52">
        <v>38292</v>
      </c>
      <c r="K51" s="51" t="s">
        <v>518</v>
      </c>
      <c r="L51" s="51" t="s">
        <v>518</v>
      </c>
      <c r="M51" s="51" t="s">
        <v>518</v>
      </c>
      <c r="N51" s="51" t="s">
        <v>518</v>
      </c>
      <c r="O51" s="51" t="s">
        <v>518</v>
      </c>
      <c r="P51" s="51" t="s">
        <v>518</v>
      </c>
    </row>
    <row r="52" spans="1:16" x14ac:dyDescent="0.2">
      <c r="A52" s="52">
        <v>34759</v>
      </c>
      <c r="B52" s="51">
        <v>0.9</v>
      </c>
      <c r="C52" s="51">
        <v>0.85099999999999998</v>
      </c>
      <c r="D52" s="51">
        <v>0.92100000000000004</v>
      </c>
      <c r="E52" s="51">
        <v>0.84599999999999997</v>
      </c>
      <c r="F52" s="51"/>
      <c r="G52" s="51">
        <v>5.8200000000000002E-2</v>
      </c>
      <c r="J52" s="52">
        <v>38299</v>
      </c>
      <c r="K52" s="51" t="s">
        <v>518</v>
      </c>
      <c r="L52" s="51" t="s">
        <v>518</v>
      </c>
      <c r="M52" s="51" t="s">
        <v>518</v>
      </c>
      <c r="N52" s="51" t="s">
        <v>518</v>
      </c>
      <c r="O52" s="51" t="s">
        <v>518</v>
      </c>
      <c r="P52" s="51" t="s">
        <v>518</v>
      </c>
    </row>
    <row r="53" spans="1:16" x14ac:dyDescent="0.2">
      <c r="A53" s="52">
        <v>34790</v>
      </c>
      <c r="B53" s="51">
        <v>0.91749999999999998</v>
      </c>
      <c r="C53" s="51">
        <v>0.89949999999999997</v>
      </c>
      <c r="D53" s="51">
        <v>0.92249999999999999</v>
      </c>
      <c r="E53" s="51">
        <v>0.89049999999999996</v>
      </c>
      <c r="F53" s="51"/>
      <c r="G53" s="51">
        <v>1.9400000000000001E-2</v>
      </c>
      <c r="J53" s="52">
        <v>38306</v>
      </c>
      <c r="K53" s="51" t="s">
        <v>518</v>
      </c>
      <c r="L53" s="51" t="s">
        <v>518</v>
      </c>
      <c r="M53" s="51" t="s">
        <v>518</v>
      </c>
      <c r="N53" s="51" t="s">
        <v>518</v>
      </c>
      <c r="O53" s="51" t="s">
        <v>518</v>
      </c>
      <c r="P53" s="51" t="s">
        <v>518</v>
      </c>
    </row>
    <row r="54" spans="1:16" x14ac:dyDescent="0.2">
      <c r="A54" s="52">
        <v>34820</v>
      </c>
      <c r="B54" s="51">
        <v>0.90549999999999997</v>
      </c>
      <c r="C54" s="51">
        <v>0.91749999999999998</v>
      </c>
      <c r="D54" s="51">
        <v>0.91749999999999998</v>
      </c>
      <c r="E54" s="51">
        <v>0.88649999999999995</v>
      </c>
      <c r="F54" s="51"/>
      <c r="G54" s="51">
        <v>-1.3100000000000001E-2</v>
      </c>
      <c r="J54" s="52">
        <v>38313</v>
      </c>
      <c r="K54" s="51" t="s">
        <v>518</v>
      </c>
      <c r="L54" s="51" t="s">
        <v>518</v>
      </c>
      <c r="M54" s="51" t="s">
        <v>518</v>
      </c>
      <c r="N54" s="51" t="s">
        <v>518</v>
      </c>
      <c r="O54" s="51" t="s">
        <v>518</v>
      </c>
      <c r="P54" s="51" t="s">
        <v>518</v>
      </c>
    </row>
    <row r="55" spans="1:16" x14ac:dyDescent="0.2">
      <c r="A55" s="52">
        <v>34851</v>
      </c>
      <c r="B55" s="51">
        <v>0.91930000000000001</v>
      </c>
      <c r="C55" s="51">
        <v>0.9052</v>
      </c>
      <c r="D55" s="51">
        <v>0.92630000000000001</v>
      </c>
      <c r="E55" s="51">
        <v>0.9002</v>
      </c>
      <c r="F55" s="51"/>
      <c r="G55" s="51">
        <v>1.52E-2</v>
      </c>
      <c r="J55" s="52">
        <v>38320</v>
      </c>
      <c r="K55" s="51" t="s">
        <v>518</v>
      </c>
      <c r="L55" s="51" t="s">
        <v>518</v>
      </c>
      <c r="M55" s="51" t="s">
        <v>518</v>
      </c>
      <c r="N55" s="51" t="s">
        <v>518</v>
      </c>
      <c r="O55" s="51" t="s">
        <v>518</v>
      </c>
      <c r="P55" s="51" t="s">
        <v>518</v>
      </c>
    </row>
    <row r="56" spans="1:16" x14ac:dyDescent="0.2">
      <c r="A56" s="52">
        <v>34881</v>
      </c>
      <c r="B56" s="51">
        <v>0.93510000000000004</v>
      </c>
      <c r="C56" s="51">
        <v>0.91910000000000003</v>
      </c>
      <c r="D56" s="51">
        <v>0.93710000000000004</v>
      </c>
      <c r="E56" s="51">
        <v>0.91710000000000003</v>
      </c>
      <c r="F56" s="51"/>
      <c r="G56" s="51">
        <v>1.72E-2</v>
      </c>
      <c r="J56" s="52">
        <v>38327</v>
      </c>
      <c r="K56" s="51" t="s">
        <v>518</v>
      </c>
      <c r="L56" s="51" t="s">
        <v>518</v>
      </c>
      <c r="M56" s="51" t="s">
        <v>518</v>
      </c>
      <c r="N56" s="51" t="s">
        <v>518</v>
      </c>
      <c r="O56" s="51" t="s">
        <v>518</v>
      </c>
      <c r="P56" s="51" t="s">
        <v>518</v>
      </c>
    </row>
    <row r="57" spans="1:16" x14ac:dyDescent="0.2">
      <c r="A57" s="52">
        <v>34912</v>
      </c>
      <c r="B57" s="51">
        <v>0.94920000000000004</v>
      </c>
      <c r="C57" s="51">
        <v>0.93479999999999996</v>
      </c>
      <c r="D57" s="51">
        <v>0.95120000000000005</v>
      </c>
      <c r="E57" s="51">
        <v>0.93030000000000002</v>
      </c>
      <c r="F57" s="51"/>
      <c r="G57" s="51">
        <v>1.5100000000000001E-2</v>
      </c>
      <c r="J57" s="52">
        <v>38334</v>
      </c>
      <c r="K57" s="51" t="s">
        <v>518</v>
      </c>
      <c r="L57" s="51" t="s">
        <v>518</v>
      </c>
      <c r="M57" s="51" t="s">
        <v>518</v>
      </c>
      <c r="N57" s="51" t="s">
        <v>518</v>
      </c>
      <c r="O57" s="51" t="s">
        <v>518</v>
      </c>
      <c r="P57" s="51" t="s">
        <v>518</v>
      </c>
    </row>
    <row r="58" spans="1:16" x14ac:dyDescent="0.2">
      <c r="A58" s="52">
        <v>34943</v>
      </c>
      <c r="B58" s="51">
        <v>0.95289999999999997</v>
      </c>
      <c r="C58" s="51">
        <v>0.94899999999999995</v>
      </c>
      <c r="D58" s="51">
        <v>0.95550000000000002</v>
      </c>
      <c r="E58" s="51">
        <v>0.94769999999999999</v>
      </c>
      <c r="F58" s="51"/>
      <c r="G58" s="51">
        <v>3.8999999999999998E-3</v>
      </c>
      <c r="J58" s="52">
        <v>38341</v>
      </c>
      <c r="K58" s="51" t="s">
        <v>518</v>
      </c>
      <c r="L58" s="51" t="s">
        <v>518</v>
      </c>
      <c r="M58" s="51" t="s">
        <v>518</v>
      </c>
      <c r="N58" s="51" t="s">
        <v>518</v>
      </c>
      <c r="O58" s="51" t="s">
        <v>518</v>
      </c>
      <c r="P58" s="51" t="s">
        <v>518</v>
      </c>
    </row>
    <row r="59" spans="1:16" x14ac:dyDescent="0.2">
      <c r="A59" s="52">
        <v>34973</v>
      </c>
      <c r="B59" s="51">
        <v>0.96150000000000002</v>
      </c>
      <c r="C59" s="51">
        <v>0.95309999999999995</v>
      </c>
      <c r="D59" s="51">
        <v>0.96289999999999998</v>
      </c>
      <c r="E59" s="51">
        <v>0.95299999999999996</v>
      </c>
      <c r="F59" s="51"/>
      <c r="G59" s="51">
        <v>8.9999999999999993E-3</v>
      </c>
      <c r="J59" s="52">
        <v>38348</v>
      </c>
      <c r="K59" s="51" t="s">
        <v>518</v>
      </c>
      <c r="L59" s="51" t="s">
        <v>518</v>
      </c>
      <c r="M59" s="51" t="s">
        <v>518</v>
      </c>
      <c r="N59" s="51" t="s">
        <v>518</v>
      </c>
      <c r="O59" s="51" t="s">
        <v>518</v>
      </c>
      <c r="P59" s="51" t="s">
        <v>518</v>
      </c>
    </row>
    <row r="60" spans="1:16" x14ac:dyDescent="0.2">
      <c r="A60" s="52">
        <v>35004</v>
      </c>
      <c r="B60" s="51">
        <v>0.96599999999999997</v>
      </c>
      <c r="C60" s="51">
        <v>0.96140000000000003</v>
      </c>
      <c r="D60" s="51">
        <v>0.96599999999999997</v>
      </c>
      <c r="E60" s="51">
        <v>0.9607</v>
      </c>
      <c r="F60" s="51"/>
      <c r="G60" s="51">
        <v>4.7000000000000002E-3</v>
      </c>
      <c r="J60" s="52">
        <v>38355</v>
      </c>
      <c r="K60" s="51" t="s">
        <v>518</v>
      </c>
      <c r="L60" s="51" t="s">
        <v>518</v>
      </c>
      <c r="M60" s="51" t="s">
        <v>518</v>
      </c>
      <c r="N60" s="51" t="s">
        <v>518</v>
      </c>
      <c r="O60" s="51" t="s">
        <v>518</v>
      </c>
      <c r="P60" s="51" t="s">
        <v>518</v>
      </c>
    </row>
    <row r="61" spans="1:16" x14ac:dyDescent="0.2">
      <c r="A61" s="52">
        <v>35034</v>
      </c>
      <c r="B61" s="51">
        <v>0.97189999999999999</v>
      </c>
      <c r="C61" s="51">
        <v>0.96619999999999995</v>
      </c>
      <c r="D61" s="51">
        <v>0.97260000000000002</v>
      </c>
      <c r="E61" s="51">
        <v>0.96609999999999996</v>
      </c>
      <c r="F61" s="51"/>
      <c r="G61" s="51">
        <v>6.1000000000000004E-3</v>
      </c>
      <c r="J61" s="52">
        <v>38362</v>
      </c>
      <c r="K61" s="51" t="s">
        <v>518</v>
      </c>
      <c r="L61" s="51" t="s">
        <v>518</v>
      </c>
      <c r="M61" s="51" t="s">
        <v>518</v>
      </c>
      <c r="N61" s="51" t="s">
        <v>518</v>
      </c>
      <c r="O61" s="51" t="s">
        <v>518</v>
      </c>
      <c r="P61" s="51" t="s">
        <v>518</v>
      </c>
    </row>
    <row r="62" spans="1:16" x14ac:dyDescent="0.2">
      <c r="A62" s="52">
        <v>35065</v>
      </c>
      <c r="B62" s="51">
        <v>0.97799999999999998</v>
      </c>
      <c r="C62" s="51">
        <v>0.97199999999999998</v>
      </c>
      <c r="D62" s="51">
        <v>0.97899999999999998</v>
      </c>
      <c r="E62" s="51">
        <v>0.97189999999999999</v>
      </c>
      <c r="F62" s="51"/>
      <c r="G62" s="51">
        <v>6.3E-3</v>
      </c>
      <c r="J62" s="52">
        <v>38369</v>
      </c>
      <c r="K62" s="51" t="s">
        <v>518</v>
      </c>
      <c r="L62" s="51" t="s">
        <v>518</v>
      </c>
      <c r="M62" s="51" t="s">
        <v>518</v>
      </c>
      <c r="N62" s="51" t="s">
        <v>518</v>
      </c>
      <c r="O62" s="51" t="s">
        <v>518</v>
      </c>
      <c r="P62" s="51" t="s">
        <v>518</v>
      </c>
    </row>
    <row r="63" spans="1:16" x14ac:dyDescent="0.2">
      <c r="A63" s="52">
        <v>35096</v>
      </c>
      <c r="B63" s="51">
        <v>0.98450000000000004</v>
      </c>
      <c r="C63" s="51">
        <v>0.97809999999999997</v>
      </c>
      <c r="D63" s="51">
        <v>0.98709999999999998</v>
      </c>
      <c r="E63" s="51">
        <v>0.97799999999999998</v>
      </c>
      <c r="F63" s="51"/>
      <c r="G63" s="51">
        <v>6.6E-3</v>
      </c>
      <c r="J63" s="52">
        <v>38376</v>
      </c>
      <c r="K63" s="51" t="s">
        <v>518</v>
      </c>
      <c r="L63" s="51" t="s">
        <v>518</v>
      </c>
      <c r="M63" s="51" t="s">
        <v>518</v>
      </c>
      <c r="N63" s="51" t="s">
        <v>518</v>
      </c>
      <c r="O63" s="51" t="s">
        <v>518</v>
      </c>
      <c r="P63" s="51" t="s">
        <v>518</v>
      </c>
    </row>
    <row r="64" spans="1:16" x14ac:dyDescent="0.2">
      <c r="A64" s="52">
        <v>35125</v>
      </c>
      <c r="B64" s="51">
        <v>0.98770000000000002</v>
      </c>
      <c r="C64" s="51">
        <v>0.98450000000000004</v>
      </c>
      <c r="D64" s="51">
        <v>0.98980000000000001</v>
      </c>
      <c r="E64" s="51">
        <v>0.98229999999999995</v>
      </c>
      <c r="F64" s="51"/>
      <c r="G64" s="51">
        <v>3.3E-3</v>
      </c>
      <c r="J64" s="52">
        <v>38383</v>
      </c>
      <c r="K64" s="51" t="s">
        <v>518</v>
      </c>
      <c r="L64" s="51" t="s">
        <v>518</v>
      </c>
      <c r="M64" s="51" t="s">
        <v>518</v>
      </c>
      <c r="N64" s="51" t="s">
        <v>518</v>
      </c>
      <c r="O64" s="51" t="s">
        <v>518</v>
      </c>
      <c r="P64" s="51" t="s">
        <v>518</v>
      </c>
    </row>
    <row r="65" spans="1:16" x14ac:dyDescent="0.2">
      <c r="A65" s="52">
        <v>35156</v>
      </c>
      <c r="B65" s="51">
        <v>0.99199999999999999</v>
      </c>
      <c r="C65" s="51">
        <v>0.98770000000000002</v>
      </c>
      <c r="D65" s="51">
        <v>0.99339999999999995</v>
      </c>
      <c r="E65" s="51">
        <v>0.98650000000000004</v>
      </c>
      <c r="F65" s="51"/>
      <c r="G65" s="51">
        <v>4.4000000000000003E-3</v>
      </c>
      <c r="J65" s="52">
        <v>38390</v>
      </c>
      <c r="K65" s="51" t="s">
        <v>518</v>
      </c>
      <c r="L65" s="51" t="s">
        <v>518</v>
      </c>
      <c r="M65" s="51" t="s">
        <v>518</v>
      </c>
      <c r="N65" s="51" t="s">
        <v>518</v>
      </c>
      <c r="O65" s="51" t="s">
        <v>518</v>
      </c>
      <c r="P65" s="51" t="s">
        <v>518</v>
      </c>
    </row>
    <row r="66" spans="1:16" x14ac:dyDescent="0.2">
      <c r="A66" s="52">
        <v>35186</v>
      </c>
      <c r="B66" s="51">
        <v>0.99829999999999997</v>
      </c>
      <c r="C66" s="51">
        <v>0.99229999999999996</v>
      </c>
      <c r="D66" s="51">
        <v>1.0002</v>
      </c>
      <c r="E66" s="51">
        <v>0.99219999999999997</v>
      </c>
      <c r="F66" s="51"/>
      <c r="G66" s="51">
        <v>6.4000000000000003E-3</v>
      </c>
      <c r="J66" s="52">
        <v>38397</v>
      </c>
      <c r="K66" s="51" t="s">
        <v>518</v>
      </c>
      <c r="L66" s="51" t="s">
        <v>518</v>
      </c>
      <c r="M66" s="51" t="s">
        <v>518</v>
      </c>
      <c r="N66" s="51" t="s">
        <v>518</v>
      </c>
      <c r="O66" s="51" t="s">
        <v>518</v>
      </c>
      <c r="P66" s="51" t="s">
        <v>518</v>
      </c>
    </row>
    <row r="67" spans="1:16" x14ac:dyDescent="0.2">
      <c r="A67" s="52">
        <v>35217</v>
      </c>
      <c r="B67" s="51">
        <v>1.0042</v>
      </c>
      <c r="C67" s="51">
        <v>0.99839999999999995</v>
      </c>
      <c r="D67" s="51">
        <v>1.0044</v>
      </c>
      <c r="E67" s="51">
        <v>0.99739999999999995</v>
      </c>
      <c r="F67" s="51"/>
      <c r="G67" s="51">
        <v>5.8999999999999999E-3</v>
      </c>
      <c r="J67" s="52">
        <v>38404</v>
      </c>
      <c r="K67" s="51" t="s">
        <v>518</v>
      </c>
      <c r="L67" s="51" t="s">
        <v>518</v>
      </c>
      <c r="M67" s="51" t="s">
        <v>518</v>
      </c>
      <c r="N67" s="51" t="s">
        <v>518</v>
      </c>
      <c r="O67" s="51" t="s">
        <v>518</v>
      </c>
      <c r="P67" s="51" t="s">
        <v>518</v>
      </c>
    </row>
    <row r="68" spans="1:16" x14ac:dyDescent="0.2">
      <c r="A68" s="52">
        <v>35247</v>
      </c>
      <c r="B68" s="51">
        <v>1.0143</v>
      </c>
      <c r="C68" s="51">
        <v>1.0042</v>
      </c>
      <c r="D68" s="51">
        <v>1.0165999999999999</v>
      </c>
      <c r="E68" s="51">
        <v>1.0042</v>
      </c>
      <c r="F68" s="51"/>
      <c r="G68" s="51">
        <v>1.01E-2</v>
      </c>
      <c r="J68" s="52">
        <v>38411</v>
      </c>
      <c r="K68" s="51" t="s">
        <v>518</v>
      </c>
      <c r="L68" s="51" t="s">
        <v>518</v>
      </c>
      <c r="M68" s="51" t="s">
        <v>518</v>
      </c>
      <c r="N68" s="51" t="s">
        <v>518</v>
      </c>
      <c r="O68" s="51" t="s">
        <v>518</v>
      </c>
      <c r="P68" s="51" t="s">
        <v>518</v>
      </c>
    </row>
    <row r="69" spans="1:16" x14ac:dyDescent="0.2">
      <c r="A69" s="52">
        <v>35278</v>
      </c>
      <c r="B69" s="51">
        <v>1.0165</v>
      </c>
      <c r="C69" s="51">
        <v>1.0142</v>
      </c>
      <c r="D69" s="51">
        <v>1.0169999999999999</v>
      </c>
      <c r="E69" s="51">
        <v>1.0086999999999999</v>
      </c>
      <c r="F69" s="51"/>
      <c r="G69" s="51">
        <v>2.2000000000000001E-3</v>
      </c>
      <c r="J69" s="52">
        <v>38418</v>
      </c>
      <c r="K69" s="51" t="s">
        <v>518</v>
      </c>
      <c r="L69" s="51" t="s">
        <v>518</v>
      </c>
      <c r="M69" s="51" t="s">
        <v>518</v>
      </c>
      <c r="N69" s="51" t="s">
        <v>518</v>
      </c>
      <c r="O69" s="51" t="s">
        <v>518</v>
      </c>
      <c r="P69" s="51" t="s">
        <v>518</v>
      </c>
    </row>
    <row r="70" spans="1:16" x14ac:dyDescent="0.2">
      <c r="A70" s="52">
        <v>35309</v>
      </c>
      <c r="B70" s="51">
        <v>1.0212000000000001</v>
      </c>
      <c r="C70" s="51">
        <v>1.0165</v>
      </c>
      <c r="D70" s="51">
        <v>1.0212000000000001</v>
      </c>
      <c r="E70" s="51">
        <v>1.0161</v>
      </c>
      <c r="F70" s="51"/>
      <c r="G70" s="51">
        <v>4.5999999999999999E-3</v>
      </c>
      <c r="J70" s="52">
        <v>38425</v>
      </c>
      <c r="K70" s="51" t="s">
        <v>518</v>
      </c>
      <c r="L70" s="51" t="s">
        <v>518</v>
      </c>
      <c r="M70" s="51" t="s">
        <v>518</v>
      </c>
      <c r="N70" s="51" t="s">
        <v>518</v>
      </c>
      <c r="O70" s="51" t="s">
        <v>518</v>
      </c>
      <c r="P70" s="51" t="s">
        <v>518</v>
      </c>
    </row>
    <row r="71" spans="1:16" x14ac:dyDescent="0.2">
      <c r="A71" s="52">
        <v>35339</v>
      </c>
      <c r="B71" s="51">
        <v>1.0275000000000001</v>
      </c>
      <c r="C71" s="51">
        <v>1.0212000000000001</v>
      </c>
      <c r="D71" s="51">
        <v>1.0293000000000001</v>
      </c>
      <c r="E71" s="51">
        <v>1.0209999999999999</v>
      </c>
      <c r="F71" s="51"/>
      <c r="G71" s="51">
        <v>6.1999999999999998E-3</v>
      </c>
      <c r="J71" s="52">
        <v>38432</v>
      </c>
      <c r="K71" s="51" t="s">
        <v>518</v>
      </c>
      <c r="L71" s="51" t="s">
        <v>518</v>
      </c>
      <c r="M71" s="51" t="s">
        <v>518</v>
      </c>
      <c r="N71" s="51" t="s">
        <v>518</v>
      </c>
      <c r="O71" s="51" t="s">
        <v>518</v>
      </c>
      <c r="P71" s="51" t="s">
        <v>518</v>
      </c>
    </row>
    <row r="72" spans="1:16" x14ac:dyDescent="0.2">
      <c r="A72" s="52">
        <v>35370</v>
      </c>
      <c r="B72" s="51">
        <v>1.0327</v>
      </c>
      <c r="C72" s="51">
        <v>1.0274000000000001</v>
      </c>
      <c r="D72" s="51">
        <v>1.0333000000000001</v>
      </c>
      <c r="E72" s="51">
        <v>1.0273000000000001</v>
      </c>
      <c r="F72" s="51"/>
      <c r="G72" s="51">
        <v>5.1000000000000004E-3</v>
      </c>
      <c r="J72" s="52">
        <v>38439</v>
      </c>
      <c r="K72" s="51" t="s">
        <v>518</v>
      </c>
      <c r="L72" s="51" t="s">
        <v>518</v>
      </c>
      <c r="M72" s="51" t="s">
        <v>518</v>
      </c>
      <c r="N72" s="51" t="s">
        <v>518</v>
      </c>
      <c r="O72" s="51" t="s">
        <v>518</v>
      </c>
      <c r="P72" s="51" t="s">
        <v>518</v>
      </c>
    </row>
    <row r="73" spans="1:16" x14ac:dyDescent="0.2">
      <c r="A73" s="52">
        <v>35400</v>
      </c>
      <c r="B73" s="51">
        <v>1.0390999999999999</v>
      </c>
      <c r="C73" s="51">
        <v>1.0327999999999999</v>
      </c>
      <c r="D73" s="51">
        <v>1.0418000000000001</v>
      </c>
      <c r="E73" s="51">
        <v>1.0326</v>
      </c>
      <c r="F73" s="51"/>
      <c r="G73" s="51">
        <v>6.1999999999999998E-3</v>
      </c>
      <c r="J73" s="52">
        <v>38446</v>
      </c>
      <c r="K73" s="51" t="s">
        <v>518</v>
      </c>
      <c r="L73" s="51" t="s">
        <v>518</v>
      </c>
      <c r="M73" s="51" t="s">
        <v>518</v>
      </c>
      <c r="N73" s="51" t="s">
        <v>518</v>
      </c>
      <c r="O73" s="51" t="s">
        <v>518</v>
      </c>
      <c r="P73" s="51" t="s">
        <v>518</v>
      </c>
    </row>
    <row r="74" spans="1:16" x14ac:dyDescent="0.2">
      <c r="A74" s="52">
        <v>35431</v>
      </c>
      <c r="B74" s="51">
        <v>1.0457000000000001</v>
      </c>
      <c r="C74" s="51">
        <v>1.0389999999999999</v>
      </c>
      <c r="D74" s="51">
        <v>1.0463</v>
      </c>
      <c r="E74" s="51">
        <v>1.0325</v>
      </c>
      <c r="F74" s="51"/>
      <c r="G74" s="51">
        <v>6.4000000000000003E-3</v>
      </c>
      <c r="J74" s="52">
        <v>38453</v>
      </c>
      <c r="K74" s="51" t="s">
        <v>518</v>
      </c>
      <c r="L74" s="51" t="s">
        <v>518</v>
      </c>
      <c r="M74" s="51" t="s">
        <v>518</v>
      </c>
      <c r="N74" s="51" t="s">
        <v>518</v>
      </c>
      <c r="O74" s="51" t="s">
        <v>518</v>
      </c>
      <c r="P74" s="51" t="s">
        <v>518</v>
      </c>
    </row>
    <row r="75" spans="1:16" x14ac:dyDescent="0.2">
      <c r="A75" s="52">
        <v>35462</v>
      </c>
      <c r="B75" s="51">
        <v>1.0509999999999999</v>
      </c>
      <c r="C75" s="51">
        <v>1.0457000000000001</v>
      </c>
      <c r="D75" s="51">
        <v>1.0519000000000001</v>
      </c>
      <c r="E75" s="51">
        <v>1.0406</v>
      </c>
      <c r="F75" s="51"/>
      <c r="G75" s="51">
        <v>5.1000000000000004E-3</v>
      </c>
      <c r="J75" s="52">
        <v>38460</v>
      </c>
      <c r="K75" s="51" t="s">
        <v>518</v>
      </c>
      <c r="L75" s="51" t="s">
        <v>518</v>
      </c>
      <c r="M75" s="51" t="s">
        <v>518</v>
      </c>
      <c r="N75" s="51" t="s">
        <v>518</v>
      </c>
      <c r="O75" s="51" t="s">
        <v>518</v>
      </c>
      <c r="P75" s="51" t="s">
        <v>518</v>
      </c>
    </row>
    <row r="76" spans="1:16" x14ac:dyDescent="0.2">
      <c r="A76" s="52">
        <v>35490</v>
      </c>
      <c r="B76" s="51">
        <v>1.0608</v>
      </c>
      <c r="C76" s="51">
        <v>1.0510999999999999</v>
      </c>
      <c r="D76" s="51">
        <v>1.0617000000000001</v>
      </c>
      <c r="E76" s="51">
        <v>1.0510999999999999</v>
      </c>
      <c r="F76" s="51"/>
      <c r="G76" s="51">
        <v>9.2999999999999992E-3</v>
      </c>
      <c r="J76" s="52">
        <v>38467</v>
      </c>
      <c r="K76" s="51" t="s">
        <v>518</v>
      </c>
      <c r="L76" s="51" t="s">
        <v>518</v>
      </c>
      <c r="M76" s="51" t="s">
        <v>518</v>
      </c>
      <c r="N76" s="51" t="s">
        <v>518</v>
      </c>
      <c r="O76" s="51" t="s">
        <v>518</v>
      </c>
      <c r="P76" s="51" t="s">
        <v>518</v>
      </c>
    </row>
    <row r="77" spans="1:16" x14ac:dyDescent="0.2">
      <c r="A77" s="52">
        <v>35521</v>
      </c>
      <c r="B77" s="51">
        <v>1.0634999999999999</v>
      </c>
      <c r="C77" s="51">
        <v>1.0606</v>
      </c>
      <c r="D77" s="51">
        <v>1.0634999999999999</v>
      </c>
      <c r="E77" s="51">
        <v>1.0575000000000001</v>
      </c>
      <c r="F77" s="51"/>
      <c r="G77" s="51">
        <v>2.5000000000000001E-3</v>
      </c>
      <c r="J77" s="52">
        <v>38474</v>
      </c>
      <c r="K77" s="51" t="s">
        <v>518</v>
      </c>
      <c r="L77" s="51" t="s">
        <v>518</v>
      </c>
      <c r="M77" s="51" t="s">
        <v>518</v>
      </c>
      <c r="N77" s="51" t="s">
        <v>518</v>
      </c>
      <c r="O77" s="51" t="s">
        <v>518</v>
      </c>
      <c r="P77" s="51" t="s">
        <v>518</v>
      </c>
    </row>
    <row r="78" spans="1:16" x14ac:dyDescent="0.2">
      <c r="A78" s="52">
        <v>35551</v>
      </c>
      <c r="B78" s="51">
        <v>1.0703</v>
      </c>
      <c r="C78" s="51">
        <v>1.0636000000000001</v>
      </c>
      <c r="D78" s="51">
        <v>1.0741000000000001</v>
      </c>
      <c r="E78" s="51">
        <v>1.0636000000000001</v>
      </c>
      <c r="F78" s="51"/>
      <c r="G78" s="51">
        <v>6.4000000000000003E-3</v>
      </c>
      <c r="J78" s="52">
        <v>38481</v>
      </c>
      <c r="K78" s="51" t="s">
        <v>518</v>
      </c>
      <c r="L78" s="51" t="s">
        <v>518</v>
      </c>
      <c r="M78" s="51" t="s">
        <v>518</v>
      </c>
      <c r="N78" s="51" t="s">
        <v>518</v>
      </c>
      <c r="O78" s="51" t="s">
        <v>518</v>
      </c>
      <c r="P78" s="51" t="s">
        <v>518</v>
      </c>
    </row>
    <row r="79" spans="1:16" x14ac:dyDescent="0.2">
      <c r="A79" s="52">
        <v>35582</v>
      </c>
      <c r="B79" s="51">
        <v>1.0765</v>
      </c>
      <c r="C79" s="51">
        <v>1.0703</v>
      </c>
      <c r="D79" s="51">
        <v>1.0783</v>
      </c>
      <c r="E79" s="51">
        <v>1.0703</v>
      </c>
      <c r="F79" s="51"/>
      <c r="G79" s="51">
        <v>5.7999999999999996E-3</v>
      </c>
      <c r="J79" s="52">
        <v>38488</v>
      </c>
      <c r="K79" s="51" t="s">
        <v>518</v>
      </c>
      <c r="L79" s="51" t="s">
        <v>518</v>
      </c>
      <c r="M79" s="51" t="s">
        <v>518</v>
      </c>
      <c r="N79" s="51" t="s">
        <v>518</v>
      </c>
      <c r="O79" s="51" t="s">
        <v>518</v>
      </c>
      <c r="P79" s="51" t="s">
        <v>518</v>
      </c>
    </row>
    <row r="80" spans="1:16" x14ac:dyDescent="0.2">
      <c r="A80" s="52">
        <v>35612</v>
      </c>
      <c r="B80" s="51">
        <v>1.0829</v>
      </c>
      <c r="C80" s="51">
        <v>1.0764</v>
      </c>
      <c r="D80" s="51">
        <v>1.0832999999999999</v>
      </c>
      <c r="E80" s="51">
        <v>1.0764</v>
      </c>
      <c r="F80" s="51"/>
      <c r="G80" s="51">
        <v>5.8999999999999999E-3</v>
      </c>
      <c r="J80" s="52">
        <v>38495</v>
      </c>
      <c r="K80" s="51" t="s">
        <v>518</v>
      </c>
      <c r="L80" s="51" t="s">
        <v>518</v>
      </c>
      <c r="M80" s="51" t="s">
        <v>518</v>
      </c>
      <c r="N80" s="51" t="s">
        <v>518</v>
      </c>
      <c r="O80" s="51" t="s">
        <v>518</v>
      </c>
      <c r="P80" s="51" t="s">
        <v>518</v>
      </c>
    </row>
    <row r="81" spans="1:16" x14ac:dyDescent="0.2">
      <c r="A81" s="52">
        <v>35643</v>
      </c>
      <c r="B81" s="51">
        <v>1.0916999999999999</v>
      </c>
      <c r="C81" s="51">
        <v>1.0831</v>
      </c>
      <c r="D81" s="51">
        <v>1.0933999999999999</v>
      </c>
      <c r="E81" s="51">
        <v>1.0831</v>
      </c>
      <c r="F81" s="51"/>
      <c r="G81" s="51">
        <v>8.0999999999999996E-3</v>
      </c>
      <c r="J81" s="52">
        <v>38502</v>
      </c>
      <c r="K81" s="51" t="s">
        <v>518</v>
      </c>
      <c r="L81" s="51" t="s">
        <v>518</v>
      </c>
      <c r="M81" s="51" t="s">
        <v>518</v>
      </c>
      <c r="N81" s="51" t="s">
        <v>518</v>
      </c>
      <c r="O81" s="51" t="s">
        <v>518</v>
      </c>
      <c r="P81" s="51" t="s">
        <v>518</v>
      </c>
    </row>
    <row r="82" spans="1:16" x14ac:dyDescent="0.2">
      <c r="A82" s="52">
        <v>35674</v>
      </c>
      <c r="B82" s="51">
        <v>1.0960000000000001</v>
      </c>
      <c r="C82" s="51">
        <v>1.0915999999999999</v>
      </c>
      <c r="D82" s="51">
        <v>1.0961000000000001</v>
      </c>
      <c r="E82" s="51">
        <v>1.0900000000000001</v>
      </c>
      <c r="F82" s="51"/>
      <c r="G82" s="51">
        <v>3.8999999999999998E-3</v>
      </c>
      <c r="J82" s="52">
        <v>38509</v>
      </c>
      <c r="K82" s="51" t="s">
        <v>518</v>
      </c>
      <c r="L82" s="51" t="s">
        <v>518</v>
      </c>
      <c r="M82" s="51" t="s">
        <v>518</v>
      </c>
      <c r="N82" s="51" t="s">
        <v>518</v>
      </c>
      <c r="O82" s="51" t="s">
        <v>518</v>
      </c>
      <c r="P82" s="51" t="s">
        <v>518</v>
      </c>
    </row>
    <row r="83" spans="1:16" x14ac:dyDescent="0.2">
      <c r="A83" s="52">
        <v>35704</v>
      </c>
      <c r="B83" s="51">
        <v>1.1026</v>
      </c>
      <c r="C83" s="51">
        <v>1.0959000000000001</v>
      </c>
      <c r="D83" s="51">
        <v>1.1073999999999999</v>
      </c>
      <c r="E83" s="51">
        <v>1.0959000000000001</v>
      </c>
      <c r="F83" s="51"/>
      <c r="G83" s="51">
        <v>6.0000000000000001E-3</v>
      </c>
      <c r="J83" s="52">
        <v>38516</v>
      </c>
      <c r="K83" s="51" t="s">
        <v>518</v>
      </c>
      <c r="L83" s="51" t="s">
        <v>518</v>
      </c>
      <c r="M83" s="51" t="s">
        <v>518</v>
      </c>
      <c r="N83" s="51" t="s">
        <v>518</v>
      </c>
      <c r="O83" s="51" t="s">
        <v>518</v>
      </c>
      <c r="P83" s="51" t="s">
        <v>518</v>
      </c>
    </row>
    <row r="84" spans="1:16" x14ac:dyDescent="0.2">
      <c r="A84" s="52">
        <v>35735</v>
      </c>
      <c r="B84" s="51">
        <v>1.109</v>
      </c>
      <c r="C84" s="51">
        <v>1.1025</v>
      </c>
      <c r="D84" s="51">
        <v>1.1109</v>
      </c>
      <c r="E84" s="51">
        <v>1.1023000000000001</v>
      </c>
      <c r="F84" s="51"/>
      <c r="G84" s="51">
        <v>5.7999999999999996E-3</v>
      </c>
      <c r="J84" s="52">
        <v>38523</v>
      </c>
      <c r="K84" s="51" t="s">
        <v>518</v>
      </c>
      <c r="L84" s="51" t="s">
        <v>518</v>
      </c>
      <c r="M84" s="51" t="s">
        <v>518</v>
      </c>
      <c r="N84" s="51" t="s">
        <v>518</v>
      </c>
      <c r="O84" s="51" t="s">
        <v>518</v>
      </c>
      <c r="P84" s="51" t="s">
        <v>518</v>
      </c>
    </row>
    <row r="85" spans="1:16" x14ac:dyDescent="0.2">
      <c r="A85" s="52">
        <v>35765</v>
      </c>
      <c r="B85" s="51">
        <v>1.1160000000000001</v>
      </c>
      <c r="C85" s="51">
        <v>1.1095999999999999</v>
      </c>
      <c r="D85" s="51">
        <v>1.117</v>
      </c>
      <c r="E85" s="51">
        <v>1.1088</v>
      </c>
      <c r="F85" s="51"/>
      <c r="G85" s="51">
        <v>6.3E-3</v>
      </c>
      <c r="J85" s="52">
        <v>38530</v>
      </c>
      <c r="K85" s="51" t="s">
        <v>518</v>
      </c>
      <c r="L85" s="51" t="s">
        <v>518</v>
      </c>
      <c r="M85" s="51" t="s">
        <v>518</v>
      </c>
      <c r="N85" s="51" t="s">
        <v>518</v>
      </c>
      <c r="O85" s="51" t="s">
        <v>518</v>
      </c>
      <c r="P85" s="51" t="s">
        <v>518</v>
      </c>
    </row>
    <row r="86" spans="1:16" x14ac:dyDescent="0.2">
      <c r="A86" s="52">
        <v>35796</v>
      </c>
      <c r="B86" s="51">
        <v>1.1231</v>
      </c>
      <c r="C86" s="51">
        <v>1.1160000000000001</v>
      </c>
      <c r="D86" s="51">
        <v>1.1236999999999999</v>
      </c>
      <c r="E86" s="51">
        <v>1.1156999999999999</v>
      </c>
      <c r="F86" s="51"/>
      <c r="G86" s="51">
        <v>6.4000000000000003E-3</v>
      </c>
      <c r="J86" s="52">
        <v>38537</v>
      </c>
      <c r="K86" s="51" t="s">
        <v>518</v>
      </c>
      <c r="L86" s="51" t="s">
        <v>518</v>
      </c>
      <c r="M86" s="51" t="s">
        <v>518</v>
      </c>
      <c r="N86" s="51" t="s">
        <v>518</v>
      </c>
      <c r="O86" s="51" t="s">
        <v>518</v>
      </c>
      <c r="P86" s="51" t="s">
        <v>518</v>
      </c>
    </row>
    <row r="87" spans="1:16" x14ac:dyDescent="0.2">
      <c r="A87" s="52">
        <v>35827</v>
      </c>
      <c r="B87" s="51">
        <v>1.1299999999999999</v>
      </c>
      <c r="C87" s="51">
        <v>1.1234</v>
      </c>
      <c r="D87" s="51">
        <v>1.1302000000000001</v>
      </c>
      <c r="E87" s="51">
        <v>1.123</v>
      </c>
      <c r="F87" s="51"/>
      <c r="G87" s="51">
        <v>6.1000000000000004E-3</v>
      </c>
      <c r="J87" s="52">
        <v>38544</v>
      </c>
      <c r="K87" s="51" t="s">
        <v>518</v>
      </c>
      <c r="L87" s="51" t="s">
        <v>518</v>
      </c>
      <c r="M87" s="51" t="s">
        <v>518</v>
      </c>
      <c r="N87" s="51" t="s">
        <v>518</v>
      </c>
      <c r="O87" s="51" t="s">
        <v>518</v>
      </c>
      <c r="P87" s="51" t="s">
        <v>518</v>
      </c>
    </row>
    <row r="88" spans="1:16" x14ac:dyDescent="0.2">
      <c r="A88" s="52">
        <v>35855</v>
      </c>
      <c r="B88" s="51">
        <v>1.137</v>
      </c>
      <c r="C88" s="51">
        <v>1.1301000000000001</v>
      </c>
      <c r="D88" s="51">
        <v>1.137</v>
      </c>
      <c r="E88" s="51">
        <v>1.1299999999999999</v>
      </c>
      <c r="F88" s="51"/>
      <c r="G88" s="51">
        <v>6.1999999999999998E-3</v>
      </c>
      <c r="J88" s="52">
        <v>38551</v>
      </c>
      <c r="K88" s="51" t="s">
        <v>518</v>
      </c>
      <c r="L88" s="51" t="s">
        <v>518</v>
      </c>
      <c r="M88" s="51" t="s">
        <v>518</v>
      </c>
      <c r="N88" s="51" t="s">
        <v>518</v>
      </c>
      <c r="O88" s="51" t="s">
        <v>518</v>
      </c>
      <c r="P88" s="51" t="s">
        <v>518</v>
      </c>
    </row>
    <row r="89" spans="1:16" x14ac:dyDescent="0.2">
      <c r="A89" s="52">
        <v>35886</v>
      </c>
      <c r="B89" s="51">
        <v>1.1435</v>
      </c>
      <c r="C89" s="51">
        <v>1.1372</v>
      </c>
      <c r="D89" s="51">
        <v>1.1465000000000001</v>
      </c>
      <c r="E89" s="51">
        <v>1.137</v>
      </c>
      <c r="F89" s="51"/>
      <c r="G89" s="51">
        <v>5.7000000000000002E-3</v>
      </c>
      <c r="J89" s="52">
        <v>38558</v>
      </c>
      <c r="K89" s="51" t="s">
        <v>518</v>
      </c>
      <c r="L89" s="51" t="s">
        <v>518</v>
      </c>
      <c r="M89" s="51" t="s">
        <v>518</v>
      </c>
      <c r="N89" s="51" t="s">
        <v>518</v>
      </c>
      <c r="O89" s="51" t="s">
        <v>518</v>
      </c>
      <c r="P89" s="51" t="s">
        <v>518</v>
      </c>
    </row>
    <row r="90" spans="1:16" x14ac:dyDescent="0.2">
      <c r="A90" s="52">
        <v>35916</v>
      </c>
      <c r="B90" s="51">
        <v>1.1505000000000001</v>
      </c>
      <c r="C90" s="51">
        <v>1.1438999999999999</v>
      </c>
      <c r="D90" s="51">
        <v>1.1551</v>
      </c>
      <c r="E90" s="51">
        <v>1.1435</v>
      </c>
      <c r="F90" s="51"/>
      <c r="G90" s="51">
        <v>6.1000000000000004E-3</v>
      </c>
      <c r="J90" s="52">
        <v>38565</v>
      </c>
      <c r="K90" s="51" t="s">
        <v>518</v>
      </c>
      <c r="L90" s="51" t="s">
        <v>518</v>
      </c>
      <c r="M90" s="51" t="s">
        <v>518</v>
      </c>
      <c r="N90" s="51" t="s">
        <v>518</v>
      </c>
      <c r="O90" s="51" t="s">
        <v>518</v>
      </c>
      <c r="P90" s="51" t="s">
        <v>518</v>
      </c>
    </row>
    <row r="91" spans="1:16" x14ac:dyDescent="0.2">
      <c r="A91" s="52">
        <v>35947</v>
      </c>
      <c r="B91" s="51">
        <v>1.1566000000000001</v>
      </c>
      <c r="C91" s="51">
        <v>1.1515</v>
      </c>
      <c r="D91" s="51">
        <v>1.1619999999999999</v>
      </c>
      <c r="E91" s="51">
        <v>1.1505000000000001</v>
      </c>
      <c r="F91" s="51"/>
      <c r="G91" s="51">
        <v>5.3E-3</v>
      </c>
      <c r="J91" s="52">
        <v>38572</v>
      </c>
      <c r="K91" s="51" t="s">
        <v>518</v>
      </c>
      <c r="L91" s="51" t="s">
        <v>518</v>
      </c>
      <c r="M91" s="51" t="s">
        <v>518</v>
      </c>
      <c r="N91" s="51" t="s">
        <v>518</v>
      </c>
      <c r="O91" s="51" t="s">
        <v>518</v>
      </c>
      <c r="P91" s="51" t="s">
        <v>518</v>
      </c>
    </row>
    <row r="92" spans="1:16" x14ac:dyDescent="0.2">
      <c r="A92" s="52">
        <v>35977</v>
      </c>
      <c r="B92" s="51">
        <v>1.1629</v>
      </c>
      <c r="C92" s="51">
        <v>1.1568000000000001</v>
      </c>
      <c r="D92" s="51">
        <v>1.1665000000000001</v>
      </c>
      <c r="E92" s="51">
        <v>1.1566000000000001</v>
      </c>
      <c r="F92" s="51"/>
      <c r="G92" s="51">
        <v>5.4000000000000003E-3</v>
      </c>
      <c r="J92" s="52">
        <v>38579</v>
      </c>
      <c r="K92" s="51" t="s">
        <v>518</v>
      </c>
      <c r="L92" s="51" t="s">
        <v>518</v>
      </c>
      <c r="M92" s="51" t="s">
        <v>518</v>
      </c>
      <c r="N92" s="51" t="s">
        <v>518</v>
      </c>
      <c r="O92" s="51" t="s">
        <v>518</v>
      </c>
      <c r="P92" s="51" t="s">
        <v>518</v>
      </c>
    </row>
    <row r="93" spans="1:16" x14ac:dyDescent="0.2">
      <c r="A93" s="52">
        <v>36008</v>
      </c>
      <c r="B93" s="51">
        <v>1.1768000000000001</v>
      </c>
      <c r="C93" s="51">
        <v>1.1637</v>
      </c>
      <c r="D93" s="51">
        <v>1.1772</v>
      </c>
      <c r="E93" s="51">
        <v>1.1637</v>
      </c>
      <c r="F93" s="51"/>
      <c r="G93" s="51">
        <v>1.2E-2</v>
      </c>
      <c r="J93" s="52">
        <v>38586</v>
      </c>
      <c r="K93" s="51" t="s">
        <v>518</v>
      </c>
      <c r="L93" s="51" t="s">
        <v>518</v>
      </c>
      <c r="M93" s="51" t="s">
        <v>518</v>
      </c>
      <c r="N93" s="51" t="s">
        <v>518</v>
      </c>
      <c r="O93" s="51" t="s">
        <v>518</v>
      </c>
      <c r="P93" s="51" t="s">
        <v>518</v>
      </c>
    </row>
    <row r="94" spans="1:16" x14ac:dyDescent="0.2">
      <c r="A94" s="52">
        <v>36039</v>
      </c>
      <c r="B94" s="51">
        <v>1.1842999999999999</v>
      </c>
      <c r="C94" s="51">
        <v>1.177</v>
      </c>
      <c r="D94" s="51">
        <v>1.2002999999999999</v>
      </c>
      <c r="E94" s="51">
        <v>1.1758</v>
      </c>
      <c r="F94" s="51"/>
      <c r="G94" s="51">
        <v>6.4000000000000003E-3</v>
      </c>
      <c r="J94" s="52">
        <v>38593</v>
      </c>
      <c r="K94" s="51" t="s">
        <v>518</v>
      </c>
      <c r="L94" s="51" t="s">
        <v>518</v>
      </c>
      <c r="M94" s="51" t="s">
        <v>518</v>
      </c>
      <c r="N94" s="51" t="s">
        <v>518</v>
      </c>
      <c r="O94" s="51" t="s">
        <v>518</v>
      </c>
      <c r="P94" s="51" t="s">
        <v>518</v>
      </c>
    </row>
    <row r="95" spans="1:16" x14ac:dyDescent="0.2">
      <c r="A95" s="52">
        <v>36069</v>
      </c>
      <c r="B95" s="51">
        <v>1.1930000000000001</v>
      </c>
      <c r="C95" s="51">
        <v>1.1846000000000001</v>
      </c>
      <c r="D95" s="51">
        <v>1.1930000000000001</v>
      </c>
      <c r="E95" s="51">
        <v>1.1758999999999999</v>
      </c>
      <c r="F95" s="51"/>
      <c r="G95" s="51">
        <v>7.3000000000000001E-3</v>
      </c>
      <c r="J95" s="52">
        <v>38600</v>
      </c>
      <c r="K95" s="51" t="s">
        <v>518</v>
      </c>
      <c r="L95" s="51" t="s">
        <v>518</v>
      </c>
      <c r="M95" s="51" t="s">
        <v>518</v>
      </c>
      <c r="N95" s="51" t="s">
        <v>518</v>
      </c>
      <c r="O95" s="51" t="s">
        <v>518</v>
      </c>
      <c r="P95" s="51" t="s">
        <v>518</v>
      </c>
    </row>
    <row r="96" spans="1:16" x14ac:dyDescent="0.2">
      <c r="A96" s="52">
        <v>36100</v>
      </c>
      <c r="B96" s="51">
        <v>1.2015</v>
      </c>
      <c r="C96" s="51">
        <v>1.1930000000000001</v>
      </c>
      <c r="D96" s="51">
        <v>1.2016</v>
      </c>
      <c r="E96" s="51">
        <v>1.1875</v>
      </c>
      <c r="F96" s="51"/>
      <c r="G96" s="51">
        <v>7.1000000000000004E-3</v>
      </c>
      <c r="J96" s="52">
        <v>38607</v>
      </c>
      <c r="K96" s="51" t="s">
        <v>518</v>
      </c>
      <c r="L96" s="51" t="s">
        <v>518</v>
      </c>
      <c r="M96" s="51" t="s">
        <v>518</v>
      </c>
      <c r="N96" s="51" t="s">
        <v>518</v>
      </c>
      <c r="O96" s="51" t="s">
        <v>518</v>
      </c>
      <c r="P96" s="51" t="s">
        <v>518</v>
      </c>
    </row>
    <row r="97" spans="1:16" x14ac:dyDescent="0.2">
      <c r="A97" s="52">
        <v>36130</v>
      </c>
      <c r="B97" s="51">
        <v>1.2082999999999999</v>
      </c>
      <c r="C97" s="51">
        <v>1.2010000000000001</v>
      </c>
      <c r="D97" s="51">
        <v>1.2090000000000001</v>
      </c>
      <c r="E97" s="51">
        <v>1.2002999999999999</v>
      </c>
      <c r="F97" s="51"/>
      <c r="G97" s="51">
        <v>5.7000000000000002E-3</v>
      </c>
      <c r="J97" s="52">
        <v>38614</v>
      </c>
      <c r="K97" s="51" t="s">
        <v>518</v>
      </c>
      <c r="L97" s="51" t="s">
        <v>518</v>
      </c>
      <c r="M97" s="51" t="s">
        <v>518</v>
      </c>
      <c r="N97" s="51" t="s">
        <v>518</v>
      </c>
      <c r="O97" s="51" t="s">
        <v>518</v>
      </c>
      <c r="P97" s="51" t="s">
        <v>518</v>
      </c>
    </row>
    <row r="98" spans="1:16" x14ac:dyDescent="0.2">
      <c r="A98" s="52">
        <v>36161</v>
      </c>
      <c r="B98" s="51">
        <v>2.085</v>
      </c>
      <c r="C98" s="51">
        <v>1.2230000000000001</v>
      </c>
      <c r="D98" s="51">
        <v>2.145</v>
      </c>
      <c r="E98" s="51">
        <v>1.2217</v>
      </c>
      <c r="F98" s="51"/>
      <c r="G98" s="51">
        <v>0.72560000000000002</v>
      </c>
      <c r="J98" s="52">
        <v>38621</v>
      </c>
      <c r="K98" s="51" t="s">
        <v>518</v>
      </c>
      <c r="L98" s="51" t="s">
        <v>518</v>
      </c>
      <c r="M98" s="51" t="s">
        <v>518</v>
      </c>
      <c r="N98" s="51" t="s">
        <v>518</v>
      </c>
      <c r="O98" s="51" t="s">
        <v>518</v>
      </c>
      <c r="P98" s="51" t="s">
        <v>518</v>
      </c>
    </row>
    <row r="99" spans="1:16" x14ac:dyDescent="0.2">
      <c r="A99" s="52">
        <v>36192</v>
      </c>
      <c r="B99" s="51">
        <v>2.0350000000000001</v>
      </c>
      <c r="C99" s="51">
        <v>2.0750000000000002</v>
      </c>
      <c r="D99" s="51">
        <v>2.085</v>
      </c>
      <c r="E99" s="51">
        <v>1.7250000000000001</v>
      </c>
      <c r="F99" s="51"/>
      <c r="G99" s="51">
        <v>-2.4E-2</v>
      </c>
      <c r="J99" s="52">
        <v>38628</v>
      </c>
      <c r="K99" s="51" t="s">
        <v>518</v>
      </c>
      <c r="L99" s="51" t="s">
        <v>518</v>
      </c>
      <c r="M99" s="51" t="s">
        <v>518</v>
      </c>
      <c r="N99" s="51" t="s">
        <v>518</v>
      </c>
      <c r="O99" s="51" t="s">
        <v>518</v>
      </c>
      <c r="P99" s="51" t="s">
        <v>518</v>
      </c>
    </row>
    <row r="100" spans="1:16" x14ac:dyDescent="0.2">
      <c r="A100" s="52">
        <v>36220</v>
      </c>
      <c r="B100" s="51">
        <v>1.7175</v>
      </c>
      <c r="C100" s="51">
        <v>1.9724999999999999</v>
      </c>
      <c r="D100" s="51">
        <v>2.2025000000000001</v>
      </c>
      <c r="E100" s="51">
        <v>1.7124999999999999</v>
      </c>
      <c r="F100" s="51"/>
      <c r="G100" s="51">
        <v>-0.156</v>
      </c>
      <c r="J100" s="52">
        <v>38635</v>
      </c>
      <c r="K100" s="51" t="s">
        <v>518</v>
      </c>
      <c r="L100" s="51" t="s">
        <v>518</v>
      </c>
      <c r="M100" s="51" t="s">
        <v>518</v>
      </c>
      <c r="N100" s="51" t="s">
        <v>518</v>
      </c>
      <c r="O100" s="51" t="s">
        <v>518</v>
      </c>
      <c r="P100" s="51" t="s">
        <v>518</v>
      </c>
    </row>
    <row r="101" spans="1:16" x14ac:dyDescent="0.2">
      <c r="A101" s="52">
        <v>36251</v>
      </c>
      <c r="B101" s="51">
        <v>1.6655</v>
      </c>
      <c r="C101" s="51">
        <v>1.7164999999999999</v>
      </c>
      <c r="D101" s="51">
        <v>1.7415</v>
      </c>
      <c r="E101" s="51">
        <v>1.6315</v>
      </c>
      <c r="F101" s="51"/>
      <c r="G101" s="51">
        <v>-3.0300000000000001E-2</v>
      </c>
      <c r="J101" s="52">
        <v>38642</v>
      </c>
      <c r="K101" s="51" t="s">
        <v>518</v>
      </c>
      <c r="L101" s="51" t="s">
        <v>518</v>
      </c>
      <c r="M101" s="51" t="s">
        <v>518</v>
      </c>
      <c r="N101" s="51" t="s">
        <v>518</v>
      </c>
      <c r="O101" s="51" t="s">
        <v>518</v>
      </c>
      <c r="P101" s="51" t="s">
        <v>518</v>
      </c>
    </row>
    <row r="102" spans="1:16" x14ac:dyDescent="0.2">
      <c r="A102" s="52">
        <v>36281</v>
      </c>
      <c r="B102" s="51">
        <v>1.72</v>
      </c>
      <c r="C102" s="51">
        <v>1.6659999999999999</v>
      </c>
      <c r="D102" s="51">
        <v>1.7569999999999999</v>
      </c>
      <c r="E102" s="51">
        <v>1.643</v>
      </c>
      <c r="F102" s="51"/>
      <c r="G102" s="51">
        <v>3.27E-2</v>
      </c>
      <c r="J102" s="52">
        <v>38649</v>
      </c>
      <c r="K102" s="51" t="s">
        <v>518</v>
      </c>
      <c r="L102" s="51" t="s">
        <v>518</v>
      </c>
      <c r="M102" s="51" t="s">
        <v>518</v>
      </c>
      <c r="N102" s="51" t="s">
        <v>518</v>
      </c>
      <c r="O102" s="51" t="s">
        <v>518</v>
      </c>
      <c r="P102" s="51" t="s">
        <v>518</v>
      </c>
    </row>
    <row r="103" spans="1:16" x14ac:dyDescent="0.2">
      <c r="A103" s="52">
        <v>36312</v>
      </c>
      <c r="B103" s="51">
        <v>1.7529999999999999</v>
      </c>
      <c r="C103" s="51">
        <v>1.72</v>
      </c>
      <c r="D103" s="51">
        <v>1.8149999999999999</v>
      </c>
      <c r="E103" s="51">
        <v>1.72</v>
      </c>
      <c r="F103" s="51"/>
      <c r="G103" s="51">
        <v>1.9199999999999998E-2</v>
      </c>
      <c r="J103" s="52">
        <v>38656</v>
      </c>
      <c r="K103" s="51" t="s">
        <v>518</v>
      </c>
      <c r="L103" s="51" t="s">
        <v>518</v>
      </c>
      <c r="M103" s="51" t="s">
        <v>518</v>
      </c>
      <c r="N103" s="51" t="s">
        <v>518</v>
      </c>
      <c r="O103" s="51" t="s">
        <v>518</v>
      </c>
      <c r="P103" s="51" t="s">
        <v>518</v>
      </c>
    </row>
    <row r="104" spans="1:16" x14ac:dyDescent="0.2">
      <c r="A104" s="52">
        <v>36342</v>
      </c>
      <c r="B104" s="51">
        <v>1.8029999999999999</v>
      </c>
      <c r="C104" s="51">
        <v>1.7529999999999999</v>
      </c>
      <c r="D104" s="51">
        <v>1.8620000000000001</v>
      </c>
      <c r="E104" s="51">
        <v>1.746</v>
      </c>
      <c r="F104" s="51"/>
      <c r="G104" s="51">
        <v>2.8500000000000001E-2</v>
      </c>
      <c r="J104" s="52">
        <v>38663</v>
      </c>
      <c r="K104" s="51" t="s">
        <v>518</v>
      </c>
      <c r="L104" s="51" t="s">
        <v>518</v>
      </c>
      <c r="M104" s="51" t="s">
        <v>518</v>
      </c>
      <c r="N104" s="51" t="s">
        <v>518</v>
      </c>
      <c r="O104" s="51" t="s">
        <v>518</v>
      </c>
      <c r="P104" s="51" t="s">
        <v>518</v>
      </c>
    </row>
    <row r="105" spans="1:16" x14ac:dyDescent="0.2">
      <c r="A105" s="52">
        <v>36373</v>
      </c>
      <c r="B105" s="51">
        <v>1.9179999999999999</v>
      </c>
      <c r="C105" s="51">
        <v>1.796</v>
      </c>
      <c r="D105" s="51">
        <v>1.9910000000000001</v>
      </c>
      <c r="E105" s="51">
        <v>1.796</v>
      </c>
      <c r="F105" s="51"/>
      <c r="G105" s="51">
        <v>6.3799999999999996E-2</v>
      </c>
      <c r="J105" s="52">
        <v>38670</v>
      </c>
      <c r="K105" s="51" t="s">
        <v>518</v>
      </c>
      <c r="L105" s="51" t="s">
        <v>518</v>
      </c>
      <c r="M105" s="51" t="s">
        <v>518</v>
      </c>
      <c r="N105" s="51" t="s">
        <v>518</v>
      </c>
      <c r="O105" s="51" t="s">
        <v>518</v>
      </c>
      <c r="P105" s="51" t="s">
        <v>518</v>
      </c>
    </row>
    <row r="106" spans="1:16" x14ac:dyDescent="0.2">
      <c r="A106" s="52">
        <v>36404</v>
      </c>
      <c r="B106" s="51">
        <v>1.9370000000000001</v>
      </c>
      <c r="C106" s="51">
        <v>1.9179999999999999</v>
      </c>
      <c r="D106" s="51">
        <v>1.9490000000000001</v>
      </c>
      <c r="E106" s="51">
        <v>1.8560000000000001</v>
      </c>
      <c r="F106" s="51"/>
      <c r="G106" s="51">
        <v>9.9000000000000008E-3</v>
      </c>
      <c r="J106" s="52">
        <v>38677</v>
      </c>
      <c r="K106" s="51" t="s">
        <v>518</v>
      </c>
      <c r="L106" s="51" t="s">
        <v>518</v>
      </c>
      <c r="M106" s="51" t="s">
        <v>518</v>
      </c>
      <c r="N106" s="51" t="s">
        <v>518</v>
      </c>
      <c r="O106" s="51" t="s">
        <v>518</v>
      </c>
      <c r="P106" s="51" t="s">
        <v>518</v>
      </c>
    </row>
    <row r="107" spans="1:16" x14ac:dyDescent="0.2">
      <c r="A107" s="52">
        <v>36434</v>
      </c>
      <c r="B107" s="51">
        <v>1.948</v>
      </c>
      <c r="C107" s="51">
        <v>1.9370000000000001</v>
      </c>
      <c r="D107" s="51">
        <v>2.0089999999999999</v>
      </c>
      <c r="E107" s="51">
        <v>1.9239999999999999</v>
      </c>
      <c r="F107" s="51"/>
      <c r="G107" s="51">
        <v>5.7000000000000002E-3</v>
      </c>
      <c r="J107" s="52">
        <v>38684</v>
      </c>
      <c r="K107" s="51" t="s">
        <v>518</v>
      </c>
      <c r="L107" s="51" t="s">
        <v>518</v>
      </c>
      <c r="M107" s="51" t="s">
        <v>518</v>
      </c>
      <c r="N107" s="51" t="s">
        <v>518</v>
      </c>
      <c r="O107" s="51" t="s">
        <v>518</v>
      </c>
      <c r="P107" s="51" t="s">
        <v>518</v>
      </c>
    </row>
    <row r="108" spans="1:16" x14ac:dyDescent="0.2">
      <c r="A108" s="52">
        <v>36465</v>
      </c>
      <c r="B108" s="51">
        <v>1.923</v>
      </c>
      <c r="C108" s="51">
        <v>1.948</v>
      </c>
      <c r="D108" s="51">
        <v>1.9510000000000001</v>
      </c>
      <c r="E108" s="51">
        <v>1.91</v>
      </c>
      <c r="F108" s="51"/>
      <c r="G108" s="51">
        <v>-1.2800000000000001E-2</v>
      </c>
      <c r="J108" s="52">
        <v>38691</v>
      </c>
      <c r="K108" s="51" t="s">
        <v>518</v>
      </c>
      <c r="L108" s="51" t="s">
        <v>518</v>
      </c>
      <c r="M108" s="51" t="s">
        <v>518</v>
      </c>
      <c r="N108" s="51" t="s">
        <v>518</v>
      </c>
      <c r="O108" s="51" t="s">
        <v>518</v>
      </c>
      <c r="P108" s="51" t="s">
        <v>518</v>
      </c>
    </row>
    <row r="109" spans="1:16" x14ac:dyDescent="0.2">
      <c r="A109" s="52">
        <v>36495</v>
      </c>
      <c r="B109" s="51">
        <v>1.8055000000000001</v>
      </c>
      <c r="C109" s="51">
        <v>1.9235</v>
      </c>
      <c r="D109" s="51">
        <v>1.9235</v>
      </c>
      <c r="E109" s="51">
        <v>1.7795000000000001</v>
      </c>
      <c r="F109" s="51"/>
      <c r="G109" s="51">
        <v>-6.1100000000000002E-2</v>
      </c>
      <c r="J109" s="52">
        <v>38698</v>
      </c>
      <c r="K109" s="51" t="s">
        <v>518</v>
      </c>
      <c r="L109" s="51" t="s">
        <v>518</v>
      </c>
      <c r="M109" s="51" t="s">
        <v>518</v>
      </c>
      <c r="N109" s="51" t="s">
        <v>518</v>
      </c>
      <c r="O109" s="51" t="s">
        <v>518</v>
      </c>
      <c r="P109" s="51" t="s">
        <v>518</v>
      </c>
    </row>
    <row r="110" spans="1:16" x14ac:dyDescent="0.2">
      <c r="A110" s="52">
        <v>36526</v>
      </c>
      <c r="B110" s="51">
        <v>1.784</v>
      </c>
      <c r="C110" s="51">
        <v>1.8009999999999999</v>
      </c>
      <c r="D110" s="51">
        <v>1.87</v>
      </c>
      <c r="E110" s="51">
        <v>1.7609999999999999</v>
      </c>
      <c r="F110" s="51"/>
      <c r="G110" s="51">
        <v>-1.1900000000000001E-2</v>
      </c>
      <c r="J110" s="52">
        <v>38705</v>
      </c>
      <c r="K110" s="51" t="s">
        <v>518</v>
      </c>
      <c r="L110" s="51" t="s">
        <v>518</v>
      </c>
      <c r="M110" s="51" t="s">
        <v>518</v>
      </c>
      <c r="N110" s="51" t="s">
        <v>518</v>
      </c>
      <c r="O110" s="51" t="s">
        <v>518</v>
      </c>
      <c r="P110" s="51" t="s">
        <v>518</v>
      </c>
    </row>
    <row r="111" spans="1:16" x14ac:dyDescent="0.2">
      <c r="A111" s="52">
        <v>36557</v>
      </c>
      <c r="B111" s="51">
        <v>1.768</v>
      </c>
      <c r="C111" s="51">
        <v>1.784</v>
      </c>
      <c r="D111" s="51">
        <v>1.7989999999999999</v>
      </c>
      <c r="E111" s="51">
        <v>1.756</v>
      </c>
      <c r="F111" s="51"/>
      <c r="G111" s="51">
        <v>-8.9999999999999993E-3</v>
      </c>
      <c r="J111" s="52">
        <v>38712</v>
      </c>
      <c r="K111" s="51" t="s">
        <v>518</v>
      </c>
      <c r="L111" s="51" t="s">
        <v>518</v>
      </c>
      <c r="M111" s="51" t="s">
        <v>518</v>
      </c>
      <c r="N111" s="51" t="s">
        <v>518</v>
      </c>
      <c r="O111" s="51" t="s">
        <v>518</v>
      </c>
      <c r="P111" s="51" t="s">
        <v>518</v>
      </c>
    </row>
    <row r="112" spans="1:16" x14ac:dyDescent="0.2">
      <c r="A112" s="52">
        <v>36586</v>
      </c>
      <c r="B112" s="51">
        <v>1.7395</v>
      </c>
      <c r="C112" s="51">
        <v>1.7675000000000001</v>
      </c>
      <c r="D112" s="51">
        <v>1.7695000000000001</v>
      </c>
      <c r="E112" s="51">
        <v>1.7084999999999999</v>
      </c>
      <c r="F112" s="51"/>
      <c r="G112" s="51">
        <v>-1.61E-2</v>
      </c>
      <c r="J112" s="52">
        <v>38719</v>
      </c>
      <c r="K112" s="51" t="s">
        <v>518</v>
      </c>
      <c r="L112" s="51" t="s">
        <v>518</v>
      </c>
      <c r="M112" s="51" t="s">
        <v>518</v>
      </c>
      <c r="N112" s="51" t="s">
        <v>518</v>
      </c>
      <c r="O112" s="51" t="s">
        <v>518</v>
      </c>
      <c r="P112" s="51" t="s">
        <v>518</v>
      </c>
    </row>
    <row r="113" spans="1:16" x14ac:dyDescent="0.2">
      <c r="A113" s="52">
        <v>36617</v>
      </c>
      <c r="B113" s="51">
        <v>1.8049999999999999</v>
      </c>
      <c r="C113" s="51">
        <v>1.736</v>
      </c>
      <c r="D113" s="51">
        <v>1.8169999999999999</v>
      </c>
      <c r="E113" s="51">
        <v>1.736</v>
      </c>
      <c r="F113" s="51"/>
      <c r="G113" s="51">
        <v>3.7699999999999997E-2</v>
      </c>
      <c r="J113" s="52">
        <v>38726</v>
      </c>
      <c r="K113" s="51" t="s">
        <v>518</v>
      </c>
      <c r="L113" s="51" t="s">
        <v>518</v>
      </c>
      <c r="M113" s="51" t="s">
        <v>518</v>
      </c>
      <c r="N113" s="51" t="s">
        <v>518</v>
      </c>
      <c r="O113" s="51" t="s">
        <v>518</v>
      </c>
      <c r="P113" s="51" t="s">
        <v>518</v>
      </c>
    </row>
    <row r="114" spans="1:16" x14ac:dyDescent="0.2">
      <c r="A114" s="52">
        <v>36647</v>
      </c>
      <c r="B114" s="51">
        <v>1.8240000000000001</v>
      </c>
      <c r="C114" s="51">
        <v>1.7989999999999999</v>
      </c>
      <c r="D114" s="51">
        <v>1.86</v>
      </c>
      <c r="E114" s="51">
        <v>1.796</v>
      </c>
      <c r="F114" s="51"/>
      <c r="G114" s="51">
        <v>1.0500000000000001E-2</v>
      </c>
      <c r="J114" s="52">
        <v>38733</v>
      </c>
      <c r="K114" s="51" t="s">
        <v>518</v>
      </c>
      <c r="L114" s="51" t="s">
        <v>518</v>
      </c>
      <c r="M114" s="51" t="s">
        <v>518</v>
      </c>
      <c r="N114" s="51" t="s">
        <v>518</v>
      </c>
      <c r="O114" s="51" t="s">
        <v>518</v>
      </c>
      <c r="P114" s="51" t="s">
        <v>518</v>
      </c>
    </row>
    <row r="115" spans="1:16" x14ac:dyDescent="0.2">
      <c r="A115" s="52">
        <v>36678</v>
      </c>
      <c r="B115" s="51">
        <v>1.8069999999999999</v>
      </c>
      <c r="C115" s="51">
        <v>1.8240000000000001</v>
      </c>
      <c r="D115" s="51">
        <v>1.83</v>
      </c>
      <c r="E115" s="51">
        <v>1.784</v>
      </c>
      <c r="F115" s="51"/>
      <c r="G115" s="51">
        <v>-9.2999999999999992E-3</v>
      </c>
      <c r="J115" s="52">
        <v>38740</v>
      </c>
      <c r="K115" s="51" t="s">
        <v>518</v>
      </c>
      <c r="L115" s="51" t="s">
        <v>518</v>
      </c>
      <c r="M115" s="51" t="s">
        <v>518</v>
      </c>
      <c r="N115" s="51" t="s">
        <v>518</v>
      </c>
      <c r="O115" s="51" t="s">
        <v>518</v>
      </c>
      <c r="P115" s="51" t="s">
        <v>518</v>
      </c>
    </row>
    <row r="116" spans="1:16" x14ac:dyDescent="0.2">
      <c r="A116" s="52">
        <v>36708</v>
      </c>
      <c r="B116" s="51">
        <v>1.7835000000000001</v>
      </c>
      <c r="C116" s="51">
        <v>1.8025</v>
      </c>
      <c r="D116" s="51">
        <v>1.8274999999999999</v>
      </c>
      <c r="E116" s="51">
        <v>1.7685</v>
      </c>
      <c r="F116" s="51"/>
      <c r="G116" s="51">
        <v>-1.2999999999999999E-2</v>
      </c>
      <c r="J116" s="52">
        <v>38747</v>
      </c>
      <c r="K116" s="51" t="s">
        <v>518</v>
      </c>
      <c r="L116" s="51" t="s">
        <v>518</v>
      </c>
      <c r="M116" s="51" t="s">
        <v>518</v>
      </c>
      <c r="N116" s="51" t="s">
        <v>518</v>
      </c>
      <c r="O116" s="51" t="s">
        <v>518</v>
      </c>
      <c r="P116" s="51" t="s">
        <v>518</v>
      </c>
    </row>
    <row r="117" spans="1:16" x14ac:dyDescent="0.2">
      <c r="A117" s="52">
        <v>36739</v>
      </c>
      <c r="B117" s="51">
        <v>1.8234999999999999</v>
      </c>
      <c r="C117" s="51">
        <v>1.7745</v>
      </c>
      <c r="D117" s="51">
        <v>1.8374999999999999</v>
      </c>
      <c r="E117" s="51">
        <v>1.7745</v>
      </c>
      <c r="F117" s="51"/>
      <c r="G117" s="51">
        <v>2.24E-2</v>
      </c>
      <c r="J117" s="52">
        <v>38754</v>
      </c>
      <c r="K117" s="51" t="s">
        <v>518</v>
      </c>
      <c r="L117" s="51" t="s">
        <v>518</v>
      </c>
      <c r="M117" s="51" t="s">
        <v>518</v>
      </c>
      <c r="N117" s="51" t="s">
        <v>518</v>
      </c>
      <c r="O117" s="51" t="s">
        <v>518</v>
      </c>
      <c r="P117" s="51" t="s">
        <v>518</v>
      </c>
    </row>
    <row r="118" spans="1:16" x14ac:dyDescent="0.2">
      <c r="A118" s="52">
        <v>36770</v>
      </c>
      <c r="B118" s="51">
        <v>1.8434999999999999</v>
      </c>
      <c r="C118" s="51">
        <v>1.8234999999999999</v>
      </c>
      <c r="D118" s="51">
        <v>1.8645</v>
      </c>
      <c r="E118" s="51">
        <v>1.8145</v>
      </c>
      <c r="F118" s="51"/>
      <c r="G118" s="51">
        <v>1.0999999999999999E-2</v>
      </c>
      <c r="J118" s="52">
        <v>38761</v>
      </c>
      <c r="K118" s="51" t="s">
        <v>518</v>
      </c>
      <c r="L118" s="51" t="s">
        <v>518</v>
      </c>
      <c r="M118" s="51" t="s">
        <v>518</v>
      </c>
      <c r="N118" s="51" t="s">
        <v>518</v>
      </c>
      <c r="O118" s="51" t="s">
        <v>518</v>
      </c>
      <c r="P118" s="51" t="s">
        <v>518</v>
      </c>
    </row>
    <row r="119" spans="1:16" x14ac:dyDescent="0.2">
      <c r="A119" s="52">
        <v>36800</v>
      </c>
      <c r="B119" s="51">
        <v>1.9</v>
      </c>
      <c r="C119" s="51">
        <v>1.843</v>
      </c>
      <c r="D119" s="51">
        <v>1.946</v>
      </c>
      <c r="E119" s="51">
        <v>1.841</v>
      </c>
      <c r="F119" s="51"/>
      <c r="G119" s="51">
        <v>3.0599999999999999E-2</v>
      </c>
      <c r="J119" s="52">
        <v>38768</v>
      </c>
      <c r="K119" s="51" t="s">
        <v>518</v>
      </c>
      <c r="L119" s="51" t="s">
        <v>518</v>
      </c>
      <c r="M119" s="51" t="s">
        <v>518</v>
      </c>
      <c r="N119" s="51" t="s">
        <v>518</v>
      </c>
      <c r="O119" s="51" t="s">
        <v>518</v>
      </c>
      <c r="P119" s="51" t="s">
        <v>518</v>
      </c>
    </row>
    <row r="120" spans="1:16" x14ac:dyDescent="0.2">
      <c r="A120" s="52">
        <v>36831</v>
      </c>
      <c r="B120" s="51">
        <v>1.9795</v>
      </c>
      <c r="C120" s="51">
        <v>1.8995</v>
      </c>
      <c r="D120" s="51">
        <v>1.9844999999999999</v>
      </c>
      <c r="E120" s="51">
        <v>1.8925000000000001</v>
      </c>
      <c r="F120" s="51"/>
      <c r="G120" s="51">
        <v>4.1799999999999997E-2</v>
      </c>
      <c r="J120" s="52">
        <v>38775</v>
      </c>
      <c r="K120" s="51" t="s">
        <v>518</v>
      </c>
      <c r="L120" s="51" t="s">
        <v>518</v>
      </c>
      <c r="M120" s="51" t="s">
        <v>518</v>
      </c>
      <c r="N120" s="51" t="s">
        <v>518</v>
      </c>
      <c r="O120" s="51" t="s">
        <v>518</v>
      </c>
      <c r="P120" s="51" t="s">
        <v>518</v>
      </c>
    </row>
    <row r="121" spans="1:16" x14ac:dyDescent="0.2">
      <c r="A121" s="52">
        <v>36861</v>
      </c>
      <c r="B121" s="51">
        <v>1.95</v>
      </c>
      <c r="C121" s="51">
        <v>1.98</v>
      </c>
      <c r="D121" s="51">
        <v>1.99</v>
      </c>
      <c r="E121" s="51">
        <v>1.9490000000000001</v>
      </c>
      <c r="F121" s="51"/>
      <c r="G121" s="51">
        <v>-1.49E-2</v>
      </c>
      <c r="J121" s="52">
        <v>38782</v>
      </c>
      <c r="K121" s="51" t="s">
        <v>518</v>
      </c>
      <c r="L121" s="51" t="s">
        <v>518</v>
      </c>
      <c r="M121" s="51" t="s">
        <v>518</v>
      </c>
      <c r="N121" s="51" t="s">
        <v>518</v>
      </c>
      <c r="O121" s="51" t="s">
        <v>518</v>
      </c>
      <c r="P121" s="51" t="s">
        <v>518</v>
      </c>
    </row>
    <row r="122" spans="1:16" x14ac:dyDescent="0.2">
      <c r="A122" s="52">
        <v>36892</v>
      </c>
      <c r="B122" s="51">
        <v>1.9710000000000001</v>
      </c>
      <c r="C122" s="51">
        <v>1.9508000000000001</v>
      </c>
      <c r="D122" s="51">
        <v>1.9810000000000001</v>
      </c>
      <c r="E122" s="51">
        <v>1.93</v>
      </c>
      <c r="F122" s="51"/>
      <c r="G122" s="51">
        <v>1.0800000000000001E-2</v>
      </c>
      <c r="J122" s="52">
        <v>38789</v>
      </c>
      <c r="K122" s="51" t="s">
        <v>518</v>
      </c>
      <c r="L122" s="51" t="s">
        <v>518</v>
      </c>
      <c r="M122" s="51" t="s">
        <v>518</v>
      </c>
      <c r="N122" s="51" t="s">
        <v>518</v>
      </c>
      <c r="O122" s="51" t="s">
        <v>518</v>
      </c>
      <c r="P122" s="51" t="s">
        <v>518</v>
      </c>
    </row>
    <row r="123" spans="1:16" x14ac:dyDescent="0.2">
      <c r="A123" s="52">
        <v>36923</v>
      </c>
      <c r="B123" s="51">
        <v>2.0463</v>
      </c>
      <c r="C123" s="51">
        <v>1.9708000000000001</v>
      </c>
      <c r="D123" s="51">
        <v>2.0507</v>
      </c>
      <c r="E123" s="51">
        <v>1.9708000000000001</v>
      </c>
      <c r="F123" s="51"/>
      <c r="G123" s="51">
        <v>3.8199999999999998E-2</v>
      </c>
      <c r="J123" s="52">
        <v>38796</v>
      </c>
      <c r="K123" s="51">
        <v>2.1665000000000001</v>
      </c>
      <c r="L123" s="51">
        <v>2.1665000000000001</v>
      </c>
      <c r="M123" s="51">
        <v>2.149</v>
      </c>
      <c r="N123" s="51">
        <v>2.149</v>
      </c>
      <c r="O123" s="51">
        <v>2.149</v>
      </c>
      <c r="P123" s="51">
        <v>0</v>
      </c>
    </row>
    <row r="124" spans="1:16" x14ac:dyDescent="0.2">
      <c r="A124" s="52">
        <v>36951</v>
      </c>
      <c r="B124" s="51">
        <v>2.153</v>
      </c>
      <c r="C124" s="51">
        <v>2.0470000000000002</v>
      </c>
      <c r="D124" s="51">
        <v>2.1779999999999999</v>
      </c>
      <c r="E124" s="51">
        <v>2.0150000000000001</v>
      </c>
      <c r="F124" s="51"/>
      <c r="G124" s="51">
        <v>5.21E-2</v>
      </c>
      <c r="J124" s="52">
        <v>38803</v>
      </c>
      <c r="K124" s="51">
        <v>2.1555</v>
      </c>
      <c r="L124" s="51">
        <v>2.2280000000000002</v>
      </c>
      <c r="M124" s="51">
        <v>2.1503000000000001</v>
      </c>
      <c r="N124" s="51">
        <v>2.1671999999999998</v>
      </c>
      <c r="O124" s="51">
        <v>2.1671999999999998</v>
      </c>
      <c r="P124" s="51">
        <v>0</v>
      </c>
    </row>
    <row r="125" spans="1:16" x14ac:dyDescent="0.2">
      <c r="A125" s="52">
        <v>36982</v>
      </c>
      <c r="B125" s="51">
        <v>2.2010000000000001</v>
      </c>
      <c r="C125" s="51">
        <v>2.1520000000000001</v>
      </c>
      <c r="D125" s="51">
        <v>2.3109999999999999</v>
      </c>
      <c r="E125" s="51">
        <v>2.1320000000000001</v>
      </c>
      <c r="F125" s="51"/>
      <c r="G125" s="51">
        <v>2.23E-2</v>
      </c>
      <c r="J125" s="52">
        <v>38810</v>
      </c>
      <c r="K125" s="51">
        <v>2.1617999999999999</v>
      </c>
      <c r="L125" s="51">
        <v>2.1657000000000002</v>
      </c>
      <c r="M125" s="51">
        <v>2.1227999999999998</v>
      </c>
      <c r="N125" s="51">
        <v>2.1352000000000002</v>
      </c>
      <c r="O125" s="51">
        <v>2.1352000000000002</v>
      </c>
      <c r="P125" s="51">
        <v>0</v>
      </c>
    </row>
    <row r="126" spans="1:16" x14ac:dyDescent="0.2">
      <c r="A126" s="52">
        <v>37012</v>
      </c>
      <c r="B126" s="51">
        <v>2.3809999999999998</v>
      </c>
      <c r="C126" s="51">
        <v>2.2000000000000002</v>
      </c>
      <c r="D126" s="51">
        <v>2.3860000000000001</v>
      </c>
      <c r="E126" s="51">
        <v>2.1920000000000002</v>
      </c>
      <c r="F126" s="51"/>
      <c r="G126" s="51">
        <v>8.1799999999999998E-2</v>
      </c>
      <c r="J126" s="52">
        <v>38817</v>
      </c>
      <c r="K126" s="51">
        <v>2.1459999999999999</v>
      </c>
      <c r="L126" s="51">
        <v>2.1463999999999999</v>
      </c>
      <c r="M126" s="51">
        <v>2.1255000000000002</v>
      </c>
      <c r="N126" s="51">
        <v>2.1406999999999998</v>
      </c>
      <c r="O126" s="51">
        <v>2.1406999999999998</v>
      </c>
      <c r="P126" s="51">
        <v>0</v>
      </c>
    </row>
    <row r="127" spans="1:16" x14ac:dyDescent="0.2">
      <c r="A127" s="52">
        <v>37043</v>
      </c>
      <c r="B127" s="51">
        <v>2.3105000000000002</v>
      </c>
      <c r="C127" s="51">
        <v>2.3795000000000002</v>
      </c>
      <c r="D127" s="51">
        <v>2.4845000000000002</v>
      </c>
      <c r="E127" s="51">
        <v>2.2665000000000002</v>
      </c>
      <c r="F127" s="51"/>
      <c r="G127" s="51">
        <v>-2.9600000000000001E-2</v>
      </c>
      <c r="J127" s="52">
        <v>38824</v>
      </c>
      <c r="K127" s="51">
        <v>2.1374</v>
      </c>
      <c r="L127" s="51">
        <v>2.1374</v>
      </c>
      <c r="M127" s="51">
        <v>2.1095999999999999</v>
      </c>
      <c r="N127" s="51">
        <v>2.1185999999999998</v>
      </c>
      <c r="O127" s="51">
        <v>2.1185999999999998</v>
      </c>
      <c r="P127" s="51">
        <v>0</v>
      </c>
    </row>
    <row r="128" spans="1:16" x14ac:dyDescent="0.2">
      <c r="A128" s="52">
        <v>37073</v>
      </c>
      <c r="B128" s="51">
        <v>2.4729999999999999</v>
      </c>
      <c r="C128" s="51">
        <v>2.3180000000000001</v>
      </c>
      <c r="D128" s="51">
        <v>2.6080000000000001</v>
      </c>
      <c r="E128" s="51">
        <v>2.3090000000000002</v>
      </c>
      <c r="F128" s="51"/>
      <c r="G128" s="51">
        <v>7.0300000000000001E-2</v>
      </c>
      <c r="J128" s="52">
        <v>38831</v>
      </c>
      <c r="K128" s="51">
        <v>2.1181999999999999</v>
      </c>
      <c r="L128" s="51">
        <v>2.1236000000000002</v>
      </c>
      <c r="M128" s="51">
        <v>2.1025999999999998</v>
      </c>
      <c r="N128" s="51">
        <v>2.0937000000000001</v>
      </c>
      <c r="O128" s="51">
        <v>2.0937000000000001</v>
      </c>
      <c r="P128" s="51">
        <v>0</v>
      </c>
    </row>
    <row r="129" spans="1:16" x14ac:dyDescent="0.2">
      <c r="A129" s="52">
        <v>37104</v>
      </c>
      <c r="B129" s="51">
        <v>2.5640000000000001</v>
      </c>
      <c r="C129" s="51">
        <v>2.4790000000000001</v>
      </c>
      <c r="D129" s="51">
        <v>2.5830000000000002</v>
      </c>
      <c r="E129" s="51">
        <v>2.4380000000000002</v>
      </c>
      <c r="F129" s="51"/>
      <c r="G129" s="51">
        <v>3.6799999999999999E-2</v>
      </c>
      <c r="J129" s="52">
        <v>38838</v>
      </c>
      <c r="K129" s="51">
        <v>2.0838000000000001</v>
      </c>
      <c r="L129" s="51">
        <v>2.0863</v>
      </c>
      <c r="M129" s="51">
        <v>2.0548000000000002</v>
      </c>
      <c r="N129" s="51">
        <v>2.0569999999999999</v>
      </c>
      <c r="O129" s="51">
        <v>2.0569999999999999</v>
      </c>
      <c r="P129" s="51">
        <v>0</v>
      </c>
    </row>
    <row r="130" spans="1:16" x14ac:dyDescent="0.2">
      <c r="A130" s="52">
        <v>37135</v>
      </c>
      <c r="B130" s="51">
        <v>2.67</v>
      </c>
      <c r="C130" s="51">
        <v>2.5653000000000001</v>
      </c>
      <c r="D130" s="51">
        <v>2.84</v>
      </c>
      <c r="E130" s="51">
        <v>2.548</v>
      </c>
      <c r="F130" s="51"/>
      <c r="G130" s="51">
        <v>4.1300000000000003E-2</v>
      </c>
      <c r="J130" s="52">
        <v>38845</v>
      </c>
      <c r="K130" s="51">
        <v>2.0522</v>
      </c>
      <c r="L130" s="51">
        <v>2.1274999999999999</v>
      </c>
      <c r="M130" s="51">
        <v>2.0516999999999999</v>
      </c>
      <c r="N130" s="51">
        <v>2.1274999999999999</v>
      </c>
      <c r="O130" s="51">
        <v>2.1274999999999999</v>
      </c>
      <c r="P130" s="51">
        <v>0</v>
      </c>
    </row>
    <row r="131" spans="1:16" x14ac:dyDescent="0.2">
      <c r="A131" s="52">
        <v>37165</v>
      </c>
      <c r="B131" s="51">
        <v>2.6960000000000002</v>
      </c>
      <c r="C131" s="51">
        <v>2.694</v>
      </c>
      <c r="D131" s="51">
        <v>2.8069999999999999</v>
      </c>
      <c r="E131" s="51">
        <v>2.6589999999999998</v>
      </c>
      <c r="F131" s="51"/>
      <c r="G131" s="51">
        <v>9.7000000000000003E-3</v>
      </c>
      <c r="J131" s="52">
        <v>38852</v>
      </c>
      <c r="K131" s="51">
        <v>2.1360000000000001</v>
      </c>
      <c r="L131" s="51">
        <v>2.2052999999999998</v>
      </c>
      <c r="M131" s="51">
        <v>2.1225000000000001</v>
      </c>
      <c r="N131" s="51">
        <v>2.1970000000000001</v>
      </c>
      <c r="O131" s="51">
        <v>2.1970000000000001</v>
      </c>
      <c r="P131" s="51">
        <v>0</v>
      </c>
    </row>
    <row r="132" spans="1:16" x14ac:dyDescent="0.2">
      <c r="A132" s="52">
        <v>37196</v>
      </c>
      <c r="B132" s="51">
        <v>2.4950000000000001</v>
      </c>
      <c r="C132" s="51">
        <v>2.6720000000000002</v>
      </c>
      <c r="D132" s="51">
        <v>2.6720000000000002</v>
      </c>
      <c r="E132" s="51">
        <v>2.448</v>
      </c>
      <c r="F132" s="51"/>
      <c r="G132" s="51">
        <v>-7.46E-2</v>
      </c>
      <c r="J132" s="52">
        <v>38859</v>
      </c>
      <c r="K132" s="51">
        <v>2.1970000000000001</v>
      </c>
      <c r="L132" s="51">
        <v>2.3685</v>
      </c>
      <c r="M132" s="51">
        <v>2.1970000000000001</v>
      </c>
      <c r="N132" s="51">
        <v>2.2555000000000001</v>
      </c>
      <c r="O132" s="51">
        <v>2.2555000000000001</v>
      </c>
      <c r="P132" s="51">
        <v>0</v>
      </c>
    </row>
    <row r="133" spans="1:16" x14ac:dyDescent="0.2">
      <c r="A133" s="52">
        <v>37226</v>
      </c>
      <c r="B133" s="51">
        <v>2.3109999999999999</v>
      </c>
      <c r="C133" s="51">
        <v>2.4940000000000002</v>
      </c>
      <c r="D133" s="51">
        <v>2.496</v>
      </c>
      <c r="E133" s="51">
        <v>2.274</v>
      </c>
      <c r="F133" s="51"/>
      <c r="G133" s="51">
        <v>-7.3700000000000002E-2</v>
      </c>
      <c r="J133" s="52">
        <v>38866</v>
      </c>
      <c r="K133" s="51">
        <v>2.2357999999999998</v>
      </c>
      <c r="L133" s="51">
        <v>2.3553000000000002</v>
      </c>
      <c r="M133" s="51">
        <v>2.2084999999999999</v>
      </c>
      <c r="N133" s="51">
        <v>2.2823000000000002</v>
      </c>
      <c r="O133" s="51">
        <v>2.2823000000000002</v>
      </c>
      <c r="P133" s="51">
        <v>0</v>
      </c>
    </row>
    <row r="134" spans="1:16" x14ac:dyDescent="0.2">
      <c r="A134" s="52">
        <v>37257</v>
      </c>
      <c r="B134" s="51">
        <v>2.4129999999999998</v>
      </c>
      <c r="C134" s="51">
        <v>2.3109999999999999</v>
      </c>
      <c r="D134" s="51">
        <v>2.4700000000000002</v>
      </c>
      <c r="E134" s="51">
        <v>2.2770000000000001</v>
      </c>
      <c r="F134" s="51"/>
      <c r="G134" s="51">
        <v>4.41E-2</v>
      </c>
      <c r="J134" s="52">
        <v>38873</v>
      </c>
      <c r="K134" s="51">
        <v>2.2823000000000002</v>
      </c>
      <c r="L134" s="51">
        <v>2.2869999999999999</v>
      </c>
      <c r="M134" s="51">
        <v>2.2343999999999999</v>
      </c>
      <c r="N134" s="51">
        <v>2.2599999999999998</v>
      </c>
      <c r="O134" s="51">
        <v>2.2599999999999998</v>
      </c>
      <c r="P134" s="51">
        <v>0</v>
      </c>
    </row>
    <row r="135" spans="1:16" x14ac:dyDescent="0.2">
      <c r="A135" s="52">
        <v>37288</v>
      </c>
      <c r="B135" s="51">
        <v>2.3650000000000002</v>
      </c>
      <c r="C135" s="51">
        <v>2.4119999999999999</v>
      </c>
      <c r="D135" s="51">
        <v>2.4929999999999999</v>
      </c>
      <c r="E135" s="51">
        <v>2.3359999999999999</v>
      </c>
      <c r="F135" s="51"/>
      <c r="G135" s="51">
        <v>-1.9900000000000001E-2</v>
      </c>
      <c r="J135" s="52">
        <v>38880</v>
      </c>
      <c r="K135" s="51">
        <v>2.2551999999999999</v>
      </c>
      <c r="L135" s="51">
        <v>2.3268</v>
      </c>
      <c r="M135" s="51">
        <v>2.1642999999999999</v>
      </c>
      <c r="N135" s="51">
        <v>2.2467999999999999</v>
      </c>
      <c r="O135" s="51">
        <v>2.2467999999999999</v>
      </c>
      <c r="P135" s="51">
        <v>0</v>
      </c>
    </row>
    <row r="136" spans="1:16" x14ac:dyDescent="0.2">
      <c r="A136" s="52">
        <v>37316</v>
      </c>
      <c r="B136" s="51">
        <v>2.3250000000000002</v>
      </c>
      <c r="C136" s="51">
        <v>2.3639999999999999</v>
      </c>
      <c r="D136" s="51">
        <v>2.3860000000000001</v>
      </c>
      <c r="E136" s="51">
        <v>2.3140000000000001</v>
      </c>
      <c r="F136" s="51"/>
      <c r="G136" s="51">
        <v>-1.6899999999999998E-2</v>
      </c>
      <c r="J136" s="52">
        <v>38887</v>
      </c>
      <c r="K136" s="51">
        <v>2.2467999999999999</v>
      </c>
      <c r="L136" s="51">
        <v>2.2622</v>
      </c>
      <c r="M136" s="51">
        <v>2.2195999999999998</v>
      </c>
      <c r="N136" s="51">
        <v>2.2444999999999999</v>
      </c>
      <c r="O136" s="51">
        <v>2.2444999999999999</v>
      </c>
      <c r="P136" s="51">
        <v>0</v>
      </c>
    </row>
    <row r="137" spans="1:16" x14ac:dyDescent="0.2">
      <c r="A137" s="52">
        <v>37347</v>
      </c>
      <c r="B137" s="51">
        <v>2.3610000000000002</v>
      </c>
      <c r="C137" s="51">
        <v>2.3260000000000001</v>
      </c>
      <c r="D137" s="51">
        <v>2.3769999999999998</v>
      </c>
      <c r="E137" s="51">
        <v>2.2519999999999998</v>
      </c>
      <c r="F137" s="51"/>
      <c r="G137" s="51">
        <v>1.55E-2</v>
      </c>
      <c r="J137" s="52">
        <v>38894</v>
      </c>
      <c r="K137" s="51">
        <v>2.2282000000000002</v>
      </c>
      <c r="L137" s="51">
        <v>2.2372999999999998</v>
      </c>
      <c r="M137" s="51">
        <v>2.1520999999999999</v>
      </c>
      <c r="N137" s="51">
        <v>2.1615000000000002</v>
      </c>
      <c r="O137" s="51">
        <v>2.1615000000000002</v>
      </c>
      <c r="P137" s="51">
        <v>0</v>
      </c>
    </row>
    <row r="138" spans="1:16" x14ac:dyDescent="0.2">
      <c r="A138" s="52">
        <v>37377</v>
      </c>
      <c r="B138" s="51">
        <v>2.5179999999999998</v>
      </c>
      <c r="C138" s="51">
        <v>2.3610000000000002</v>
      </c>
      <c r="D138" s="51">
        <v>2.552</v>
      </c>
      <c r="E138" s="51">
        <v>2.3610000000000002</v>
      </c>
      <c r="F138" s="51"/>
      <c r="G138" s="51">
        <v>6.6500000000000004E-2</v>
      </c>
      <c r="J138" s="52">
        <v>38901</v>
      </c>
      <c r="K138" s="51">
        <v>2.1627000000000001</v>
      </c>
      <c r="L138" s="51">
        <v>2.1966000000000001</v>
      </c>
      <c r="M138" s="51">
        <v>2.1545000000000001</v>
      </c>
      <c r="N138" s="51">
        <v>2.1673</v>
      </c>
      <c r="O138" s="51">
        <v>2.1673</v>
      </c>
      <c r="P138" s="51">
        <v>0</v>
      </c>
    </row>
    <row r="139" spans="1:16" x14ac:dyDescent="0.2">
      <c r="A139" s="52">
        <v>37408</v>
      </c>
      <c r="B139" s="51">
        <v>2.8174999999999999</v>
      </c>
      <c r="C139" s="51">
        <v>2.5194999999999999</v>
      </c>
      <c r="D139" s="51">
        <v>2.8915000000000002</v>
      </c>
      <c r="E139" s="51">
        <v>2.5125000000000002</v>
      </c>
      <c r="F139" s="51"/>
      <c r="G139" s="51">
        <v>0.11890000000000001</v>
      </c>
      <c r="J139" s="52">
        <v>38908</v>
      </c>
      <c r="K139" s="51">
        <v>2.1787000000000001</v>
      </c>
      <c r="L139" s="51">
        <v>2.2109999999999999</v>
      </c>
      <c r="M139" s="51">
        <v>2.0968</v>
      </c>
      <c r="N139" s="51">
        <v>2.0968</v>
      </c>
      <c r="O139" s="51">
        <v>2.0968</v>
      </c>
      <c r="P139" s="51">
        <v>0</v>
      </c>
    </row>
    <row r="140" spans="1:16" x14ac:dyDescent="0.2">
      <c r="A140" s="52">
        <v>37438</v>
      </c>
      <c r="B140" s="51">
        <v>3.46</v>
      </c>
      <c r="C140" s="51">
        <v>2.8380000000000001</v>
      </c>
      <c r="D140" s="51">
        <v>3.6259999999999999</v>
      </c>
      <c r="E140" s="51">
        <v>2.81</v>
      </c>
      <c r="F140" s="51"/>
      <c r="G140" s="51">
        <v>0.22800000000000001</v>
      </c>
      <c r="J140" s="52">
        <v>38915</v>
      </c>
      <c r="K140" s="51">
        <v>2.2115</v>
      </c>
      <c r="L140" s="51">
        <v>2.2170999999999998</v>
      </c>
      <c r="M140" s="51">
        <v>2.17</v>
      </c>
      <c r="N140" s="51">
        <v>2.1884000000000001</v>
      </c>
      <c r="O140" s="51">
        <v>2.1884000000000001</v>
      </c>
      <c r="P140" s="51">
        <v>0</v>
      </c>
    </row>
    <row r="141" spans="1:16" x14ac:dyDescent="0.2">
      <c r="A141" s="52">
        <v>37469</v>
      </c>
      <c r="B141" s="51">
        <v>3.0074999999999998</v>
      </c>
      <c r="C141" s="51">
        <v>3.4525000000000001</v>
      </c>
      <c r="D141" s="51">
        <v>3.4525000000000001</v>
      </c>
      <c r="E141" s="51">
        <v>2.8525</v>
      </c>
      <c r="F141" s="51"/>
      <c r="G141" s="51">
        <v>-0.1308</v>
      </c>
      <c r="J141" s="52">
        <v>38922</v>
      </c>
      <c r="K141" s="51">
        <v>2.1953</v>
      </c>
      <c r="L141" s="51">
        <v>2.2115999999999998</v>
      </c>
      <c r="M141" s="51">
        <v>2.0621999999999998</v>
      </c>
      <c r="N141" s="51">
        <v>2.1756000000000002</v>
      </c>
      <c r="O141" s="51">
        <v>2.1756000000000002</v>
      </c>
      <c r="P141" s="51">
        <v>0</v>
      </c>
    </row>
    <row r="142" spans="1:16" x14ac:dyDescent="0.2">
      <c r="A142" s="52">
        <v>37500</v>
      </c>
      <c r="B142" s="51">
        <v>3.76</v>
      </c>
      <c r="C142" s="51">
        <v>3.01</v>
      </c>
      <c r="D142" s="51">
        <v>3.9540000000000002</v>
      </c>
      <c r="E142" s="51">
        <v>3.0049999999999999</v>
      </c>
      <c r="F142" s="51"/>
      <c r="G142" s="51">
        <v>0.25019999999999998</v>
      </c>
      <c r="J142" s="52">
        <v>38929</v>
      </c>
      <c r="K142" s="51">
        <v>2.0602999999999998</v>
      </c>
      <c r="L142" s="51">
        <v>2.1934</v>
      </c>
      <c r="M142" s="51">
        <v>2.048</v>
      </c>
      <c r="N142" s="51">
        <v>2.169</v>
      </c>
      <c r="O142" s="51">
        <v>2.169</v>
      </c>
      <c r="P142" s="51">
        <v>0</v>
      </c>
    </row>
    <row r="143" spans="1:16" x14ac:dyDescent="0.2">
      <c r="A143" s="52">
        <v>37530</v>
      </c>
      <c r="B143" s="51">
        <v>3.65</v>
      </c>
      <c r="C143" s="51">
        <v>3.7440000000000002</v>
      </c>
      <c r="D143" s="51">
        <v>4.0190000000000001</v>
      </c>
      <c r="E143" s="51">
        <v>3.5190000000000001</v>
      </c>
      <c r="F143" s="51"/>
      <c r="G143" s="51">
        <v>-2.93E-2</v>
      </c>
      <c r="J143" s="52">
        <v>38936</v>
      </c>
      <c r="K143" s="51">
        <v>2.0449999999999999</v>
      </c>
      <c r="L143" s="51">
        <v>2.1882999999999999</v>
      </c>
      <c r="M143" s="51">
        <v>2.0449999999999999</v>
      </c>
      <c r="N143" s="51">
        <v>2.0503999999999998</v>
      </c>
      <c r="O143" s="51">
        <v>2.0503999999999998</v>
      </c>
      <c r="P143" s="51">
        <v>0</v>
      </c>
    </row>
    <row r="144" spans="1:16" x14ac:dyDescent="0.2">
      <c r="A144" s="52">
        <v>37561</v>
      </c>
      <c r="B144" s="51">
        <v>3.653</v>
      </c>
      <c r="C144" s="51">
        <v>3.62</v>
      </c>
      <c r="D144" s="51">
        <v>3.7330000000000001</v>
      </c>
      <c r="E144" s="51">
        <v>3.4649999999999999</v>
      </c>
      <c r="F144" s="51"/>
      <c r="G144" s="51">
        <v>8.0000000000000004E-4</v>
      </c>
      <c r="J144" s="52">
        <v>38943</v>
      </c>
      <c r="K144" s="51">
        <v>2.0488</v>
      </c>
      <c r="L144" s="51">
        <v>2.1743999999999999</v>
      </c>
      <c r="M144" s="51">
        <v>2.0108999999999999</v>
      </c>
      <c r="N144" s="51">
        <v>2.1455000000000002</v>
      </c>
      <c r="O144" s="51">
        <v>2.1455000000000002</v>
      </c>
      <c r="P144" s="51">
        <v>0</v>
      </c>
    </row>
    <row r="145" spans="1:16" x14ac:dyDescent="0.2">
      <c r="A145" s="52">
        <v>37591</v>
      </c>
      <c r="B145" s="51">
        <v>3.54</v>
      </c>
      <c r="C145" s="51">
        <v>3.5550000000000002</v>
      </c>
      <c r="D145" s="51">
        <v>3.8260000000000001</v>
      </c>
      <c r="E145" s="51">
        <v>3.4049999999999998</v>
      </c>
      <c r="F145" s="51"/>
      <c r="G145" s="51">
        <v>-3.09E-2</v>
      </c>
      <c r="J145" s="52">
        <v>38950</v>
      </c>
      <c r="K145" s="51">
        <v>2.0225</v>
      </c>
      <c r="L145" s="51">
        <v>2.1602000000000001</v>
      </c>
      <c r="M145" s="51">
        <v>2.0171999999999999</v>
      </c>
      <c r="N145" s="51">
        <v>2.1558000000000002</v>
      </c>
      <c r="O145" s="51">
        <v>2.1558000000000002</v>
      </c>
      <c r="P145" s="51">
        <v>0</v>
      </c>
    </row>
    <row r="146" spans="1:16" x14ac:dyDescent="0.2">
      <c r="A146" s="52">
        <v>37622</v>
      </c>
      <c r="B146" s="51">
        <v>3.504</v>
      </c>
      <c r="C146" s="51">
        <v>3.5379999999999998</v>
      </c>
      <c r="D146" s="51">
        <v>3.6909999999999998</v>
      </c>
      <c r="E146" s="51">
        <v>3.238</v>
      </c>
      <c r="F146" s="51"/>
      <c r="G146" s="51">
        <v>-1.0200000000000001E-2</v>
      </c>
      <c r="J146" s="52">
        <v>38957</v>
      </c>
      <c r="K146" s="51">
        <v>2.0366</v>
      </c>
      <c r="L146" s="51">
        <v>2.1564000000000001</v>
      </c>
      <c r="M146" s="51">
        <v>2.0171000000000001</v>
      </c>
      <c r="N146" s="51">
        <v>2.1457000000000002</v>
      </c>
      <c r="O146" s="51">
        <v>2.1457000000000002</v>
      </c>
      <c r="P146" s="51">
        <v>0</v>
      </c>
    </row>
    <row r="147" spans="1:16" x14ac:dyDescent="0.2">
      <c r="A147" s="52">
        <v>37653</v>
      </c>
      <c r="B147" s="51">
        <v>3.57</v>
      </c>
      <c r="C147" s="51">
        <v>3.5019999999999998</v>
      </c>
      <c r="D147" s="51">
        <v>3.6829999999999998</v>
      </c>
      <c r="E147" s="51">
        <v>3.45</v>
      </c>
      <c r="F147" s="51"/>
      <c r="G147" s="51">
        <v>1.8800000000000001E-2</v>
      </c>
      <c r="J147" s="52">
        <v>38964</v>
      </c>
      <c r="K147" s="51">
        <v>2.0217999999999998</v>
      </c>
      <c r="L147" s="51">
        <v>2.1589999999999998</v>
      </c>
      <c r="M147" s="51">
        <v>2.0186999999999999</v>
      </c>
      <c r="N147" s="51">
        <v>2.1520000000000001</v>
      </c>
      <c r="O147" s="51">
        <v>2.1520000000000001</v>
      </c>
      <c r="P147" s="51">
        <v>0</v>
      </c>
    </row>
    <row r="148" spans="1:16" x14ac:dyDescent="0.2">
      <c r="A148" s="52">
        <v>37681</v>
      </c>
      <c r="B148" s="51">
        <v>3.3639999999999999</v>
      </c>
      <c r="C148" s="51">
        <v>3.5659999999999998</v>
      </c>
      <c r="D148" s="51">
        <v>3.585</v>
      </c>
      <c r="E148" s="51">
        <v>3.323</v>
      </c>
      <c r="F148" s="51"/>
      <c r="G148" s="51">
        <v>-5.7700000000000001E-2</v>
      </c>
      <c r="J148" s="52">
        <v>38971</v>
      </c>
      <c r="K148" s="51">
        <v>2.1520000000000001</v>
      </c>
      <c r="L148" s="51">
        <v>2.1837</v>
      </c>
      <c r="M148" s="51">
        <v>2.0358000000000001</v>
      </c>
      <c r="N148" s="51">
        <v>2.1509999999999998</v>
      </c>
      <c r="O148" s="51">
        <v>2.1509999999999998</v>
      </c>
      <c r="P148" s="51">
        <v>0</v>
      </c>
    </row>
    <row r="149" spans="1:16" x14ac:dyDescent="0.2">
      <c r="A149" s="52">
        <v>37712</v>
      </c>
      <c r="B149" s="51">
        <v>2.911</v>
      </c>
      <c r="C149" s="51">
        <v>3.3650000000000002</v>
      </c>
      <c r="D149" s="51">
        <v>3.3650000000000002</v>
      </c>
      <c r="E149" s="51">
        <v>2.871</v>
      </c>
      <c r="F149" s="51"/>
      <c r="G149" s="51">
        <v>-0.13469999999999999</v>
      </c>
      <c r="J149" s="52">
        <v>38978</v>
      </c>
      <c r="K149" s="51">
        <v>2.0516000000000001</v>
      </c>
      <c r="L149" s="51">
        <v>2.2214999999999998</v>
      </c>
      <c r="M149" s="51">
        <v>2.0306000000000002</v>
      </c>
      <c r="N149" s="51">
        <v>2.2101000000000002</v>
      </c>
      <c r="O149" s="51">
        <v>2.2101000000000002</v>
      </c>
      <c r="P149" s="51">
        <v>0</v>
      </c>
    </row>
    <row r="150" spans="1:16" x14ac:dyDescent="0.2">
      <c r="A150" s="52">
        <v>37742</v>
      </c>
      <c r="B150" s="51">
        <v>2.9735</v>
      </c>
      <c r="C150" s="51">
        <v>2.9115000000000002</v>
      </c>
      <c r="D150" s="51">
        <v>3.0874999999999999</v>
      </c>
      <c r="E150" s="51">
        <v>2.8435000000000001</v>
      </c>
      <c r="F150" s="51"/>
      <c r="G150" s="51">
        <v>2.1499999999999998E-2</v>
      </c>
      <c r="J150" s="52">
        <v>38985</v>
      </c>
      <c r="K150" s="51">
        <v>2.0920999999999998</v>
      </c>
      <c r="L150" s="51">
        <v>2.2288999999999999</v>
      </c>
      <c r="M150" s="51">
        <v>2.0684999999999998</v>
      </c>
      <c r="N150" s="51">
        <v>2.1629</v>
      </c>
      <c r="O150" s="51">
        <v>2.1629</v>
      </c>
      <c r="P150" s="51">
        <v>0</v>
      </c>
    </row>
    <row r="151" spans="1:16" x14ac:dyDescent="0.2">
      <c r="A151" s="52">
        <v>37773</v>
      </c>
      <c r="B151" s="51">
        <v>2.8370000000000002</v>
      </c>
      <c r="C151" s="51">
        <v>2.9649999999999999</v>
      </c>
      <c r="D151" s="51">
        <v>2.9940000000000002</v>
      </c>
      <c r="E151" s="51">
        <v>2.8</v>
      </c>
      <c r="F151" s="51"/>
      <c r="G151" s="51">
        <v>-4.5900000000000003E-2</v>
      </c>
      <c r="J151" s="52">
        <v>38992</v>
      </c>
      <c r="K151" s="51">
        <v>2.0497000000000001</v>
      </c>
      <c r="L151" s="51">
        <v>2.1728000000000001</v>
      </c>
      <c r="M151" s="51">
        <v>2.0411000000000001</v>
      </c>
      <c r="N151" s="51">
        <v>2.1625000000000001</v>
      </c>
      <c r="O151" s="51">
        <v>2.1625000000000001</v>
      </c>
      <c r="P151" s="51">
        <v>0</v>
      </c>
    </row>
    <row r="152" spans="1:16" x14ac:dyDescent="0.2">
      <c r="A152" s="52">
        <v>37803</v>
      </c>
      <c r="B152" s="51">
        <v>2.9674999999999998</v>
      </c>
      <c r="C152" s="51">
        <v>2.8414999999999999</v>
      </c>
      <c r="D152" s="51">
        <v>2.9874999999999998</v>
      </c>
      <c r="E152" s="51">
        <v>2.8025000000000002</v>
      </c>
      <c r="F152" s="51"/>
      <c r="G152" s="51">
        <v>4.5999999999999999E-2</v>
      </c>
      <c r="J152" s="52">
        <v>38999</v>
      </c>
      <c r="K152" s="51">
        <v>2.1625000000000001</v>
      </c>
      <c r="L152" s="51">
        <v>2.1634000000000002</v>
      </c>
      <c r="M152" s="51">
        <v>2.1345999999999998</v>
      </c>
      <c r="N152" s="51">
        <v>2.1375000000000002</v>
      </c>
      <c r="O152" s="51">
        <v>2.1375000000000002</v>
      </c>
      <c r="P152" s="51">
        <v>0</v>
      </c>
    </row>
    <row r="153" spans="1:16" x14ac:dyDescent="0.2">
      <c r="A153" s="52">
        <v>37834</v>
      </c>
      <c r="B153" s="51">
        <v>2.9784999999999999</v>
      </c>
      <c r="C153" s="51">
        <v>2.9624999999999999</v>
      </c>
      <c r="D153" s="51">
        <v>3.0695000000000001</v>
      </c>
      <c r="E153" s="51">
        <v>2.9355000000000002</v>
      </c>
      <c r="F153" s="51"/>
      <c r="G153" s="51">
        <v>3.7000000000000002E-3</v>
      </c>
      <c r="J153" s="52">
        <v>39006</v>
      </c>
      <c r="K153" s="51">
        <v>2.1345000000000001</v>
      </c>
      <c r="L153" s="51">
        <v>2.1476000000000002</v>
      </c>
      <c r="M153" s="51">
        <v>2.1200999999999999</v>
      </c>
      <c r="N153" s="51">
        <v>2.1345000000000001</v>
      </c>
      <c r="O153" s="51">
        <v>2.1345000000000001</v>
      </c>
      <c r="P153" s="51">
        <v>0</v>
      </c>
    </row>
    <row r="154" spans="1:16" x14ac:dyDescent="0.2">
      <c r="A154" s="52">
        <v>37865</v>
      </c>
      <c r="B154" s="51">
        <v>2.8925000000000001</v>
      </c>
      <c r="C154" s="51">
        <v>2.9815</v>
      </c>
      <c r="D154" s="51">
        <v>3.0005000000000002</v>
      </c>
      <c r="E154" s="51">
        <v>2.8614999999999999</v>
      </c>
      <c r="F154" s="51"/>
      <c r="G154" s="51">
        <v>-2.8899999999999999E-2</v>
      </c>
      <c r="J154" s="52">
        <v>39013</v>
      </c>
      <c r="K154" s="51">
        <v>2.1345000000000001</v>
      </c>
      <c r="L154" s="51">
        <v>2.153</v>
      </c>
      <c r="M154" s="51">
        <v>2.1259999999999999</v>
      </c>
      <c r="N154" s="51">
        <v>2.1315</v>
      </c>
      <c r="O154" s="51">
        <v>2.1315</v>
      </c>
      <c r="P154" s="51">
        <v>0</v>
      </c>
    </row>
    <row r="155" spans="1:16" x14ac:dyDescent="0.2">
      <c r="A155" s="52">
        <v>37895</v>
      </c>
      <c r="B155" s="51">
        <v>2.8664999999999998</v>
      </c>
      <c r="C155" s="51">
        <v>2.8915000000000002</v>
      </c>
      <c r="D155" s="51">
        <v>2.9195000000000002</v>
      </c>
      <c r="E155" s="51">
        <v>2.8155000000000001</v>
      </c>
      <c r="F155" s="51"/>
      <c r="G155" s="51">
        <v>-8.9999999999999993E-3</v>
      </c>
      <c r="J155" s="52">
        <v>39020</v>
      </c>
      <c r="K155" s="51">
        <v>2.1341000000000001</v>
      </c>
      <c r="L155" s="51">
        <v>2.1463999999999999</v>
      </c>
      <c r="M155" s="51">
        <v>2.0089000000000001</v>
      </c>
      <c r="N155" s="51">
        <v>2.1412</v>
      </c>
      <c r="O155" s="51">
        <v>2.1412</v>
      </c>
      <c r="P155" s="51">
        <v>0</v>
      </c>
    </row>
    <row r="156" spans="1:16" x14ac:dyDescent="0.2">
      <c r="A156" s="52">
        <v>37926</v>
      </c>
      <c r="B156" s="51">
        <v>2.9464999999999999</v>
      </c>
      <c r="C156" s="51">
        <v>2.8675000000000002</v>
      </c>
      <c r="D156" s="51">
        <v>2.9725000000000001</v>
      </c>
      <c r="E156" s="51">
        <v>2.8445</v>
      </c>
      <c r="F156" s="51"/>
      <c r="G156" s="51">
        <v>2.7900000000000001E-2</v>
      </c>
      <c r="J156" s="52">
        <v>39027</v>
      </c>
      <c r="K156" s="51">
        <v>2.032</v>
      </c>
      <c r="L156" s="51">
        <v>2.1465000000000001</v>
      </c>
      <c r="M156" s="51">
        <v>2.0171000000000001</v>
      </c>
      <c r="N156" s="51">
        <v>2.1459999999999999</v>
      </c>
      <c r="O156" s="51">
        <v>2.1459999999999999</v>
      </c>
      <c r="P156" s="51">
        <v>0</v>
      </c>
    </row>
    <row r="157" spans="1:16" x14ac:dyDescent="0.2">
      <c r="A157" s="52">
        <v>37956</v>
      </c>
      <c r="B157" s="51">
        <v>2.8915000000000002</v>
      </c>
      <c r="C157" s="51">
        <v>2.9424999999999999</v>
      </c>
      <c r="D157" s="51">
        <v>2.9525000000000001</v>
      </c>
      <c r="E157" s="51">
        <v>2.8525</v>
      </c>
      <c r="F157" s="51"/>
      <c r="G157" s="51">
        <v>-1.8700000000000001E-2</v>
      </c>
      <c r="J157" s="52">
        <v>39034</v>
      </c>
      <c r="K157" s="51">
        <v>2.0287000000000002</v>
      </c>
      <c r="L157" s="51">
        <v>2.1634000000000002</v>
      </c>
      <c r="M157" s="51">
        <v>2.0287000000000002</v>
      </c>
      <c r="N157" s="51">
        <v>2.16</v>
      </c>
      <c r="O157" s="51">
        <v>2.16</v>
      </c>
      <c r="P157" s="51">
        <v>0</v>
      </c>
    </row>
    <row r="158" spans="1:16" x14ac:dyDescent="0.2">
      <c r="A158" s="52">
        <v>37987</v>
      </c>
      <c r="B158" s="51">
        <v>2.9344999999999999</v>
      </c>
      <c r="C158" s="51">
        <v>2.8975</v>
      </c>
      <c r="D158" s="51">
        <v>2.9729999999999999</v>
      </c>
      <c r="E158" s="51">
        <v>2.7665000000000002</v>
      </c>
      <c r="F158" s="51"/>
      <c r="G158" s="51">
        <v>1.49E-2</v>
      </c>
      <c r="J158" s="52">
        <v>39041</v>
      </c>
      <c r="K158" s="51">
        <v>2.16</v>
      </c>
      <c r="L158" s="51">
        <v>2.1711999999999998</v>
      </c>
      <c r="M158" s="51">
        <v>2.0455999999999999</v>
      </c>
      <c r="N158" s="51">
        <v>2.1629999999999998</v>
      </c>
      <c r="O158" s="51">
        <v>2.1629999999999998</v>
      </c>
      <c r="P158" s="51">
        <v>0</v>
      </c>
    </row>
    <row r="159" spans="1:16" x14ac:dyDescent="0.2">
      <c r="A159" s="52">
        <v>38018</v>
      </c>
      <c r="B159" s="51">
        <v>2.9060000000000001</v>
      </c>
      <c r="C159" s="51">
        <v>2.927</v>
      </c>
      <c r="D159" s="51">
        <v>3.0110000000000001</v>
      </c>
      <c r="E159" s="51">
        <v>2.895</v>
      </c>
      <c r="F159" s="51"/>
      <c r="G159" s="51">
        <v>-9.7000000000000003E-3</v>
      </c>
      <c r="J159" s="52">
        <v>39048</v>
      </c>
      <c r="K159" s="51">
        <v>2.1629999999999998</v>
      </c>
      <c r="L159" s="51">
        <v>2.1972999999999998</v>
      </c>
      <c r="M159" s="51">
        <v>2.0424000000000002</v>
      </c>
      <c r="N159" s="51">
        <v>2.1579999999999999</v>
      </c>
      <c r="O159" s="51">
        <v>2.1579999999999999</v>
      </c>
      <c r="P159" s="51">
        <v>0</v>
      </c>
    </row>
    <row r="160" spans="1:16" x14ac:dyDescent="0.2">
      <c r="A160" s="52">
        <v>38047</v>
      </c>
      <c r="B160" s="51">
        <v>2.8959999999999999</v>
      </c>
      <c r="C160" s="51">
        <v>2.9020000000000001</v>
      </c>
      <c r="D160" s="51">
        <v>2.9470000000000001</v>
      </c>
      <c r="E160" s="51">
        <v>2.8580000000000001</v>
      </c>
      <c r="F160" s="51"/>
      <c r="G160" s="51">
        <v>-3.3999999999999998E-3</v>
      </c>
      <c r="J160" s="52">
        <v>39055</v>
      </c>
      <c r="K160" s="51">
        <v>2.0407000000000002</v>
      </c>
      <c r="L160" s="51">
        <v>2.1695000000000002</v>
      </c>
      <c r="M160" s="51">
        <v>2.0406</v>
      </c>
      <c r="N160" s="51">
        <v>2.1362000000000001</v>
      </c>
      <c r="O160" s="51">
        <v>2.1362000000000001</v>
      </c>
      <c r="P160" s="51">
        <v>0</v>
      </c>
    </row>
    <row r="161" spans="1:16" x14ac:dyDescent="0.2">
      <c r="A161" s="52">
        <v>38078</v>
      </c>
      <c r="B161" s="51">
        <v>2.931</v>
      </c>
      <c r="C161" s="51">
        <v>2.8919999999999999</v>
      </c>
      <c r="D161" s="51">
        <v>2.9689999999999999</v>
      </c>
      <c r="E161" s="51">
        <v>2.867</v>
      </c>
      <c r="F161" s="51"/>
      <c r="G161" s="51">
        <v>1.21E-2</v>
      </c>
      <c r="J161" s="52">
        <v>39062</v>
      </c>
      <c r="K161" s="51">
        <v>2.1362000000000001</v>
      </c>
      <c r="L161" s="51">
        <v>2.1494</v>
      </c>
      <c r="M161" s="51">
        <v>2.1324999999999998</v>
      </c>
      <c r="N161" s="51">
        <v>2.1415000000000002</v>
      </c>
      <c r="O161" s="51">
        <v>2.1415000000000002</v>
      </c>
      <c r="P161" s="51">
        <v>0</v>
      </c>
    </row>
    <row r="162" spans="1:16" x14ac:dyDescent="0.2">
      <c r="A162" s="52">
        <v>38108</v>
      </c>
      <c r="B162" s="51">
        <v>3.1890000000000001</v>
      </c>
      <c r="C162" s="51">
        <v>2.9329999999999998</v>
      </c>
      <c r="D162" s="51">
        <v>3.234</v>
      </c>
      <c r="E162" s="51">
        <v>2.9420000000000002</v>
      </c>
      <c r="F162" s="51"/>
      <c r="G162" s="51">
        <v>8.7999999999999995E-2</v>
      </c>
      <c r="J162" s="52">
        <v>39069</v>
      </c>
      <c r="K162" s="51">
        <v>2.1415000000000002</v>
      </c>
      <c r="L162" s="51">
        <v>2.1617999999999999</v>
      </c>
      <c r="M162" s="51">
        <v>2.1389999999999998</v>
      </c>
      <c r="N162" s="51">
        <v>2.1475</v>
      </c>
      <c r="O162" s="51">
        <v>2.1475</v>
      </c>
      <c r="P162" s="51">
        <v>0</v>
      </c>
    </row>
    <row r="163" spans="1:16" x14ac:dyDescent="0.2">
      <c r="A163" s="52">
        <v>38139</v>
      </c>
      <c r="B163" s="51">
        <v>3.0859999999999999</v>
      </c>
      <c r="C163" s="51">
        <v>3.1850000000000001</v>
      </c>
      <c r="D163" s="51">
        <v>3.1709999999999998</v>
      </c>
      <c r="E163" s="51">
        <v>3.0859999999999999</v>
      </c>
      <c r="F163" s="51"/>
      <c r="G163" s="51">
        <v>-3.2300000000000002E-2</v>
      </c>
      <c r="J163" s="52">
        <v>39076</v>
      </c>
      <c r="K163" s="51">
        <v>2.1475</v>
      </c>
      <c r="L163" s="51">
        <v>2.1475</v>
      </c>
      <c r="M163" s="51">
        <v>2.1280000000000001</v>
      </c>
      <c r="N163" s="51">
        <v>2.1309999999999998</v>
      </c>
      <c r="O163" s="51">
        <v>2.1309999999999998</v>
      </c>
      <c r="P163" s="51">
        <v>0</v>
      </c>
    </row>
    <row r="164" spans="1:16" x14ac:dyDescent="0.2">
      <c r="A164" s="52">
        <v>38169</v>
      </c>
      <c r="B164" s="51">
        <v>3.0375000000000001</v>
      </c>
      <c r="C164" s="51">
        <v>3.0865</v>
      </c>
      <c r="D164" s="51">
        <v>3.0874999999999999</v>
      </c>
      <c r="E164" s="51">
        <v>2.9885000000000002</v>
      </c>
      <c r="F164" s="51"/>
      <c r="G164" s="51">
        <v>-1.5699999999999999E-2</v>
      </c>
      <c r="J164" s="52">
        <v>39083</v>
      </c>
      <c r="K164" s="51">
        <v>2.1309999999999998</v>
      </c>
      <c r="L164" s="51">
        <v>2.1524999999999999</v>
      </c>
      <c r="M164" s="51">
        <v>2.1278000000000001</v>
      </c>
      <c r="N164" s="51">
        <v>2.1469999999999998</v>
      </c>
      <c r="O164" s="51">
        <v>2.1469999999999998</v>
      </c>
      <c r="P164" s="51">
        <v>0</v>
      </c>
    </row>
    <row r="165" spans="1:16" x14ac:dyDescent="0.2">
      <c r="A165" s="52">
        <v>38200</v>
      </c>
      <c r="B165" s="51">
        <v>2.927</v>
      </c>
      <c r="C165" s="51">
        <v>3.036</v>
      </c>
      <c r="D165" s="51">
        <v>3.0779999999999998</v>
      </c>
      <c r="E165" s="51">
        <v>2.9220000000000002</v>
      </c>
      <c r="F165" s="51"/>
      <c r="G165" s="51">
        <v>-3.6400000000000002E-2</v>
      </c>
      <c r="J165" s="52">
        <v>39090</v>
      </c>
      <c r="K165" s="51">
        <v>2.1484999999999999</v>
      </c>
      <c r="L165" s="51">
        <v>2.1576</v>
      </c>
      <c r="M165" s="51">
        <v>2.1360000000000001</v>
      </c>
      <c r="N165" s="51">
        <v>2.137</v>
      </c>
      <c r="O165" s="51">
        <v>2.137</v>
      </c>
      <c r="P165" s="51">
        <v>0</v>
      </c>
    </row>
    <row r="166" spans="1:16" x14ac:dyDescent="0.2">
      <c r="A166" s="52">
        <v>38231</v>
      </c>
      <c r="B166" s="51">
        <v>2.8595000000000002</v>
      </c>
      <c r="C166" s="51">
        <v>2.9295</v>
      </c>
      <c r="D166" s="51">
        <v>2.9434999999999998</v>
      </c>
      <c r="E166" s="51">
        <v>2.8464999999999998</v>
      </c>
      <c r="F166" s="51"/>
      <c r="G166" s="51">
        <v>-2.3099999999999999E-2</v>
      </c>
      <c r="J166" s="52">
        <v>39097</v>
      </c>
      <c r="K166" s="51">
        <v>2.1368</v>
      </c>
      <c r="L166" s="51">
        <v>2.1429</v>
      </c>
      <c r="M166" s="51">
        <v>2.1240000000000001</v>
      </c>
      <c r="N166" s="51">
        <v>2.1244999999999998</v>
      </c>
      <c r="O166" s="51">
        <v>2.1244999999999998</v>
      </c>
      <c r="P166" s="51">
        <v>0</v>
      </c>
    </row>
    <row r="167" spans="1:16" x14ac:dyDescent="0.2">
      <c r="A167" s="52">
        <v>38261</v>
      </c>
      <c r="B167" s="51">
        <v>2.8592</v>
      </c>
      <c r="C167" s="51">
        <v>2.86</v>
      </c>
      <c r="D167" s="51">
        <v>2.895</v>
      </c>
      <c r="E167" s="51">
        <v>2.8050000000000002</v>
      </c>
      <c r="F167" s="51"/>
      <c r="G167" s="51">
        <v>-1E-4</v>
      </c>
      <c r="J167" s="52">
        <v>39104</v>
      </c>
      <c r="K167" s="51">
        <v>2.1244999999999998</v>
      </c>
      <c r="L167" s="51">
        <v>2.1377000000000002</v>
      </c>
      <c r="M167" s="51">
        <v>2.121</v>
      </c>
      <c r="N167" s="51">
        <v>2.1315</v>
      </c>
      <c r="O167" s="51">
        <v>2.1315</v>
      </c>
      <c r="P167" s="51">
        <v>0</v>
      </c>
    </row>
    <row r="168" spans="1:16" x14ac:dyDescent="0.2">
      <c r="A168" s="52">
        <v>38292</v>
      </c>
      <c r="B168" s="51">
        <v>2.72</v>
      </c>
      <c r="C168" s="51">
        <v>2.8580000000000001</v>
      </c>
      <c r="D168" s="51">
        <v>2.8730000000000002</v>
      </c>
      <c r="E168" s="51">
        <v>2.714</v>
      </c>
      <c r="F168" s="51"/>
      <c r="G168" s="51">
        <v>-4.87E-2</v>
      </c>
      <c r="J168" s="52">
        <v>39111</v>
      </c>
      <c r="K168" s="51">
        <v>2.1315</v>
      </c>
      <c r="L168" s="51">
        <v>2.1356000000000002</v>
      </c>
      <c r="M168" s="51">
        <v>2.0775999999999999</v>
      </c>
      <c r="N168" s="51">
        <v>2.0924999999999998</v>
      </c>
      <c r="O168" s="51">
        <v>2.0924999999999998</v>
      </c>
      <c r="P168" s="51">
        <v>0</v>
      </c>
    </row>
    <row r="169" spans="1:16" x14ac:dyDescent="0.2">
      <c r="A169" s="52">
        <v>38322</v>
      </c>
      <c r="B169" s="51">
        <v>2.6560000000000001</v>
      </c>
      <c r="C169" s="51">
        <v>2.7170000000000001</v>
      </c>
      <c r="D169" s="51">
        <v>2.8050000000000002</v>
      </c>
      <c r="E169" s="51">
        <v>2.6459999999999999</v>
      </c>
      <c r="F169" s="51"/>
      <c r="G169" s="51">
        <v>-2.35E-2</v>
      </c>
      <c r="J169" s="52">
        <v>39118</v>
      </c>
      <c r="K169" s="51">
        <v>2.0924999999999998</v>
      </c>
      <c r="L169" s="51">
        <v>2.1059999999999999</v>
      </c>
      <c r="M169" s="51">
        <v>2.0710999999999999</v>
      </c>
      <c r="N169" s="51">
        <v>2.0975000000000001</v>
      </c>
      <c r="O169" s="51">
        <v>2.0975000000000001</v>
      </c>
      <c r="P169" s="51">
        <v>0</v>
      </c>
    </row>
    <row r="170" spans="1:16" x14ac:dyDescent="0.2">
      <c r="A170" s="52">
        <v>38353</v>
      </c>
      <c r="B170" s="51">
        <v>2.6088</v>
      </c>
      <c r="C170" s="51">
        <v>2.661</v>
      </c>
      <c r="D170" s="51">
        <v>2.734</v>
      </c>
      <c r="E170" s="51">
        <v>2.6055000000000001</v>
      </c>
      <c r="F170" s="51"/>
      <c r="G170" s="51">
        <v>-1.78E-2</v>
      </c>
      <c r="J170" s="52">
        <v>39125</v>
      </c>
      <c r="K170" s="51">
        <v>2.0975000000000001</v>
      </c>
      <c r="L170" s="51">
        <v>2.1154000000000002</v>
      </c>
      <c r="M170" s="51">
        <v>2.0804</v>
      </c>
      <c r="N170" s="51">
        <v>2.0876999999999999</v>
      </c>
      <c r="O170" s="51">
        <v>2.0876999999999999</v>
      </c>
      <c r="P170" s="51">
        <v>0</v>
      </c>
    </row>
    <row r="171" spans="1:16" x14ac:dyDescent="0.2">
      <c r="A171" s="52">
        <v>38384</v>
      </c>
      <c r="B171" s="51">
        <v>2.5895000000000001</v>
      </c>
      <c r="C171" s="51">
        <v>2.6084999999999998</v>
      </c>
      <c r="D171" s="51">
        <v>2.6524999999999999</v>
      </c>
      <c r="E171" s="51">
        <v>2.5489999999999999</v>
      </c>
      <c r="F171" s="51"/>
      <c r="G171" s="51">
        <v>-7.4000000000000003E-3</v>
      </c>
      <c r="J171" s="52">
        <v>39132</v>
      </c>
      <c r="K171" s="51">
        <v>2.0876999999999999</v>
      </c>
      <c r="L171" s="51">
        <v>2.0897999999999999</v>
      </c>
      <c r="M171" s="51">
        <v>2.0602</v>
      </c>
      <c r="N171" s="51">
        <v>2.0844999999999998</v>
      </c>
      <c r="O171" s="51">
        <v>2.0844999999999998</v>
      </c>
      <c r="P171" s="51">
        <v>0</v>
      </c>
    </row>
    <row r="172" spans="1:16" x14ac:dyDescent="0.2">
      <c r="A172" s="52">
        <v>38412</v>
      </c>
      <c r="B172" s="51">
        <v>2.68</v>
      </c>
      <c r="C172" s="51">
        <v>2.5979999999999999</v>
      </c>
      <c r="D172" s="51">
        <v>2.7858000000000001</v>
      </c>
      <c r="E172" s="51">
        <v>2.5870000000000002</v>
      </c>
      <c r="F172" s="51"/>
      <c r="G172" s="51">
        <v>3.49E-2</v>
      </c>
      <c r="J172" s="52">
        <v>39139</v>
      </c>
      <c r="K172" s="51">
        <v>2.0844999999999998</v>
      </c>
      <c r="L172" s="51">
        <v>2.1423000000000001</v>
      </c>
      <c r="M172" s="51">
        <v>2.0739999999999998</v>
      </c>
      <c r="N172" s="51">
        <v>2.1175000000000002</v>
      </c>
      <c r="O172" s="51">
        <v>2.1175000000000002</v>
      </c>
      <c r="P172" s="51">
        <v>0</v>
      </c>
    </row>
    <row r="173" spans="1:16" x14ac:dyDescent="0.2">
      <c r="A173" s="52">
        <v>38443</v>
      </c>
      <c r="B173" s="51">
        <v>2.5282</v>
      </c>
      <c r="C173" s="51">
        <v>2.6659999999999999</v>
      </c>
      <c r="D173" s="51">
        <v>2.6775000000000002</v>
      </c>
      <c r="E173" s="51">
        <v>2.5059999999999998</v>
      </c>
      <c r="F173" s="51"/>
      <c r="G173" s="51">
        <v>-5.6599999999999998E-2</v>
      </c>
      <c r="J173" s="52">
        <v>39146</v>
      </c>
      <c r="K173" s="51">
        <v>2.1175000000000002</v>
      </c>
      <c r="L173" s="51">
        <v>2.1473</v>
      </c>
      <c r="M173" s="51">
        <v>2.0853999999999999</v>
      </c>
      <c r="N173" s="51">
        <v>2.0920000000000001</v>
      </c>
      <c r="O173" s="51">
        <v>2.0920000000000001</v>
      </c>
      <c r="P173" s="51">
        <v>0</v>
      </c>
    </row>
    <row r="174" spans="1:16" x14ac:dyDescent="0.2">
      <c r="A174" s="52">
        <v>38473</v>
      </c>
      <c r="B174" s="51">
        <v>2.4095</v>
      </c>
      <c r="C174" s="51">
        <v>2.5282</v>
      </c>
      <c r="D174" s="51">
        <v>2.5299999999999998</v>
      </c>
      <c r="E174" s="51">
        <v>2.363</v>
      </c>
      <c r="F174" s="51"/>
      <c r="G174" s="51">
        <v>-4.7E-2</v>
      </c>
      <c r="J174" s="52">
        <v>39153</v>
      </c>
      <c r="K174" s="51">
        <v>2.0920000000000001</v>
      </c>
      <c r="L174" s="51">
        <v>2.1107</v>
      </c>
      <c r="M174" s="51">
        <v>2.0815000000000001</v>
      </c>
      <c r="N174" s="51">
        <v>2.089</v>
      </c>
      <c r="O174" s="51">
        <v>2.089</v>
      </c>
      <c r="P174" s="51">
        <v>0</v>
      </c>
    </row>
    <row r="175" spans="1:16" x14ac:dyDescent="0.2">
      <c r="A175" s="52">
        <v>38504</v>
      </c>
      <c r="B175" s="51">
        <v>2.3363999999999998</v>
      </c>
      <c r="C175" s="51">
        <v>2.3992</v>
      </c>
      <c r="D175" s="51">
        <v>2.5059999999999998</v>
      </c>
      <c r="E175" s="51">
        <v>2.331</v>
      </c>
      <c r="F175" s="51"/>
      <c r="G175" s="51">
        <v>-3.0300000000000001E-2</v>
      </c>
      <c r="J175" s="52">
        <v>39160</v>
      </c>
      <c r="K175" s="51">
        <v>2.09</v>
      </c>
      <c r="L175" s="51">
        <v>2.0901999999999998</v>
      </c>
      <c r="M175" s="51">
        <v>2.0466000000000002</v>
      </c>
      <c r="N175" s="51">
        <v>2.0619999999999998</v>
      </c>
      <c r="O175" s="51">
        <v>2.0619999999999998</v>
      </c>
      <c r="P175" s="51">
        <v>0</v>
      </c>
    </row>
    <row r="176" spans="1:16" x14ac:dyDescent="0.2">
      <c r="A176" s="52">
        <v>38534</v>
      </c>
      <c r="B176" s="51">
        <v>2.38</v>
      </c>
      <c r="C176" s="51">
        <v>2.3363999999999998</v>
      </c>
      <c r="D176" s="51">
        <v>2.5127000000000002</v>
      </c>
      <c r="E176" s="51">
        <v>2.3210000000000002</v>
      </c>
      <c r="F176" s="51"/>
      <c r="G176" s="51">
        <v>1.8700000000000001E-2</v>
      </c>
      <c r="J176" s="52">
        <v>39167</v>
      </c>
      <c r="K176" s="51">
        <v>2.0590000000000002</v>
      </c>
      <c r="L176" s="51">
        <v>2.0739999999999998</v>
      </c>
      <c r="M176" s="51">
        <v>2.0219999999999998</v>
      </c>
      <c r="N176" s="51">
        <v>2.0550000000000002</v>
      </c>
      <c r="O176" s="51">
        <v>2.0550000000000002</v>
      </c>
      <c r="P176" s="51">
        <v>0</v>
      </c>
    </row>
    <row r="177" spans="1:16" x14ac:dyDescent="0.2">
      <c r="A177" s="52">
        <v>38565</v>
      </c>
      <c r="B177" s="51">
        <v>2.3555000000000001</v>
      </c>
      <c r="C177" s="51">
        <v>2.3849999999999998</v>
      </c>
      <c r="D177" s="51">
        <v>2.4590000000000001</v>
      </c>
      <c r="E177" s="51">
        <v>2.2629000000000001</v>
      </c>
      <c r="F177" s="51"/>
      <c r="G177" s="51">
        <v>-1.03E-2</v>
      </c>
      <c r="J177" s="52">
        <v>39174</v>
      </c>
      <c r="K177" s="51">
        <v>2.0533999999999999</v>
      </c>
      <c r="L177" s="51">
        <v>2.0571999999999999</v>
      </c>
      <c r="M177" s="51">
        <v>2.0270000000000001</v>
      </c>
      <c r="N177" s="51">
        <v>2.0274000000000001</v>
      </c>
      <c r="O177" s="51">
        <v>2.0274000000000001</v>
      </c>
      <c r="P177" s="51">
        <v>0</v>
      </c>
    </row>
    <row r="178" spans="1:16" x14ac:dyDescent="0.2">
      <c r="A178" s="52">
        <v>38596</v>
      </c>
      <c r="B178" s="51">
        <v>2.2275</v>
      </c>
      <c r="C178" s="51">
        <v>2.355</v>
      </c>
      <c r="D178" s="51">
        <v>2.3734999999999999</v>
      </c>
      <c r="E178" s="51">
        <v>2.206</v>
      </c>
      <c r="F178" s="51"/>
      <c r="G178" s="51">
        <v>-5.4300000000000001E-2</v>
      </c>
      <c r="J178" s="52">
        <v>39181</v>
      </c>
      <c r="K178" s="51">
        <v>2.0274000000000001</v>
      </c>
      <c r="L178" s="51">
        <v>2.0385</v>
      </c>
      <c r="M178" s="51">
        <v>2.0150000000000001</v>
      </c>
      <c r="N178" s="51">
        <v>2.0165000000000002</v>
      </c>
      <c r="O178" s="51">
        <v>2.0165000000000002</v>
      </c>
      <c r="P178" s="51">
        <v>0</v>
      </c>
    </row>
    <row r="179" spans="1:16" x14ac:dyDescent="0.2">
      <c r="A179" s="52">
        <v>38626</v>
      </c>
      <c r="B179" s="51">
        <v>2.2517999999999998</v>
      </c>
      <c r="C179" s="51">
        <v>2.2355</v>
      </c>
      <c r="D179" s="51">
        <v>2.3045</v>
      </c>
      <c r="E179" s="51">
        <v>2.2214999999999998</v>
      </c>
      <c r="F179" s="51"/>
      <c r="G179" s="51">
        <v>1.09E-2</v>
      </c>
      <c r="J179" s="52">
        <v>39188</v>
      </c>
      <c r="K179" s="51">
        <v>2.0165000000000002</v>
      </c>
      <c r="L179" s="51">
        <v>2.0379999999999998</v>
      </c>
      <c r="M179" s="51">
        <v>2.0095000000000001</v>
      </c>
      <c r="N179" s="51">
        <v>2.0221</v>
      </c>
      <c r="O179" s="51">
        <v>2.0221</v>
      </c>
      <c r="P179" s="51">
        <v>0</v>
      </c>
    </row>
    <row r="180" spans="1:16" x14ac:dyDescent="0.2">
      <c r="A180" s="52">
        <v>38657</v>
      </c>
      <c r="B180" s="51">
        <v>2.2035</v>
      </c>
      <c r="C180" s="51">
        <v>2.2505000000000002</v>
      </c>
      <c r="D180" s="51">
        <v>2.2685</v>
      </c>
      <c r="E180" s="51">
        <v>2.1524999999999999</v>
      </c>
      <c r="F180" s="51"/>
      <c r="G180" s="51">
        <v>-2.1399999999999999E-2</v>
      </c>
      <c r="J180" s="52">
        <v>39195</v>
      </c>
      <c r="K180" s="51">
        <v>2.0219</v>
      </c>
      <c r="L180" s="51">
        <v>2.0369999999999999</v>
      </c>
      <c r="M180" s="51">
        <v>2.012</v>
      </c>
      <c r="N180" s="51">
        <v>2.0274999999999999</v>
      </c>
      <c r="O180" s="51">
        <v>2.0274999999999999</v>
      </c>
      <c r="P180" s="51">
        <v>0</v>
      </c>
    </row>
    <row r="181" spans="1:16" x14ac:dyDescent="0.2">
      <c r="A181" s="52">
        <v>38687</v>
      </c>
      <c r="B181" s="51">
        <v>2.3382999999999998</v>
      </c>
      <c r="C181" s="51">
        <v>2.2039</v>
      </c>
      <c r="D181" s="51">
        <v>2.4005000000000001</v>
      </c>
      <c r="E181" s="51">
        <v>2.1585000000000001</v>
      </c>
      <c r="F181" s="51"/>
      <c r="G181" s="51">
        <v>6.1199999999999997E-2</v>
      </c>
      <c r="J181" s="52">
        <v>39202</v>
      </c>
      <c r="K181" s="51">
        <v>2.0286</v>
      </c>
      <c r="L181" s="51">
        <v>2.0322</v>
      </c>
      <c r="M181" s="51">
        <v>2.0051000000000001</v>
      </c>
      <c r="N181" s="51">
        <v>2.0253000000000001</v>
      </c>
      <c r="O181" s="51">
        <v>2.0253000000000001</v>
      </c>
      <c r="P181" s="51">
        <v>0</v>
      </c>
    </row>
    <row r="182" spans="1:16" x14ac:dyDescent="0.2">
      <c r="A182" s="52">
        <v>38718</v>
      </c>
      <c r="B182" s="51">
        <v>2.2120000000000002</v>
      </c>
      <c r="C182" s="51">
        <v>2.3334999999999999</v>
      </c>
      <c r="D182" s="51">
        <v>2.3540000000000001</v>
      </c>
      <c r="E182" s="51">
        <v>2.1960000000000002</v>
      </c>
      <c r="F182" s="51"/>
      <c r="G182" s="51">
        <v>-5.3999999999999999E-2</v>
      </c>
      <c r="J182" s="52">
        <v>39209</v>
      </c>
      <c r="K182" s="51">
        <v>2.0329999999999999</v>
      </c>
      <c r="L182" s="51">
        <v>2.0329999999999999</v>
      </c>
      <c r="M182" s="51">
        <v>2.0099999999999998</v>
      </c>
      <c r="N182" s="51">
        <v>2.0137999999999998</v>
      </c>
      <c r="O182" s="51">
        <v>2.0137999999999998</v>
      </c>
      <c r="P182" s="51">
        <v>0</v>
      </c>
    </row>
    <row r="183" spans="1:16" x14ac:dyDescent="0.2">
      <c r="A183" s="52">
        <v>38749</v>
      </c>
      <c r="B183" s="51">
        <v>2.1234999999999999</v>
      </c>
      <c r="C183" s="51">
        <v>2.2120000000000002</v>
      </c>
      <c r="D183" s="51">
        <v>2.2404999999999999</v>
      </c>
      <c r="E183" s="51">
        <v>2.1015000000000001</v>
      </c>
      <c r="F183" s="51"/>
      <c r="G183" s="51">
        <v>-0.04</v>
      </c>
      <c r="J183" s="52">
        <v>39216</v>
      </c>
      <c r="K183" s="51">
        <v>2.0150000000000001</v>
      </c>
      <c r="L183" s="51">
        <v>2.0158999999999998</v>
      </c>
      <c r="M183" s="51">
        <v>1.9479</v>
      </c>
      <c r="N183" s="51">
        <v>1.9601</v>
      </c>
      <c r="O183" s="51">
        <v>1.9601</v>
      </c>
      <c r="P183" s="51">
        <v>0</v>
      </c>
    </row>
    <row r="184" spans="1:16" x14ac:dyDescent="0.2">
      <c r="A184" s="52">
        <v>38777</v>
      </c>
      <c r="B184" s="51">
        <v>2.1640000000000001</v>
      </c>
      <c r="C184" s="51">
        <v>2.1315</v>
      </c>
      <c r="D184" s="51">
        <v>2.2458</v>
      </c>
      <c r="E184" s="51">
        <v>2.0964999999999998</v>
      </c>
      <c r="F184" s="51"/>
      <c r="G184" s="51">
        <v>1.9099999999999999E-2</v>
      </c>
      <c r="J184" s="52">
        <v>39223</v>
      </c>
      <c r="K184" s="51">
        <v>1.9552</v>
      </c>
      <c r="L184" s="51">
        <v>1.9662999999999999</v>
      </c>
      <c r="M184" s="51">
        <v>1.9295</v>
      </c>
      <c r="N184" s="51">
        <v>1.9424999999999999</v>
      </c>
      <c r="O184" s="51">
        <v>1.9424999999999999</v>
      </c>
      <c r="P184" s="51">
        <v>0</v>
      </c>
    </row>
    <row r="185" spans="1:16" x14ac:dyDescent="0.2">
      <c r="A185" s="52">
        <v>38808</v>
      </c>
      <c r="B185" s="51">
        <v>2.0870000000000002</v>
      </c>
      <c r="C185" s="51">
        <v>2.1657999999999999</v>
      </c>
      <c r="D185" s="51">
        <v>2.1764999999999999</v>
      </c>
      <c r="E185" s="51">
        <v>2.0830000000000002</v>
      </c>
      <c r="F185" s="51"/>
      <c r="G185" s="51">
        <v>-3.56E-2</v>
      </c>
      <c r="J185" s="52">
        <v>39230</v>
      </c>
      <c r="K185" s="51">
        <v>1.9424999999999999</v>
      </c>
      <c r="L185" s="51">
        <v>1.9578</v>
      </c>
      <c r="M185" s="51">
        <v>1.8968</v>
      </c>
      <c r="N185" s="51">
        <v>1.9450000000000001</v>
      </c>
      <c r="O185" s="51">
        <v>1.9450000000000001</v>
      </c>
      <c r="P185" s="51">
        <v>0</v>
      </c>
    </row>
    <row r="186" spans="1:16" x14ac:dyDescent="0.2">
      <c r="A186" s="52">
        <v>38838</v>
      </c>
      <c r="B186" s="51">
        <v>2.3050999999999999</v>
      </c>
      <c r="C186" s="51">
        <v>2.0870000000000002</v>
      </c>
      <c r="D186" s="51">
        <v>2.4045000000000001</v>
      </c>
      <c r="E186" s="51">
        <v>2.0499999999999998</v>
      </c>
      <c r="F186" s="51"/>
      <c r="G186" s="51">
        <v>0.1045</v>
      </c>
      <c r="J186" s="52">
        <v>39237</v>
      </c>
      <c r="K186" s="51">
        <v>1.9368000000000001</v>
      </c>
      <c r="L186" s="51">
        <v>1.9844999999999999</v>
      </c>
      <c r="M186" s="51">
        <v>1.9149</v>
      </c>
      <c r="N186" s="51">
        <v>1.9632000000000001</v>
      </c>
      <c r="O186" s="51">
        <v>1.9632000000000001</v>
      </c>
      <c r="P186" s="51">
        <v>0</v>
      </c>
    </row>
    <row r="187" spans="1:16" x14ac:dyDescent="0.2">
      <c r="A187" s="52">
        <v>38869</v>
      </c>
      <c r="B187" s="51">
        <v>2.1659000000000002</v>
      </c>
      <c r="C187" s="51">
        <v>2.3214999999999999</v>
      </c>
      <c r="D187" s="51">
        <v>2.3355000000000001</v>
      </c>
      <c r="E187" s="51">
        <v>2.1535000000000002</v>
      </c>
      <c r="F187" s="51"/>
      <c r="G187" s="51">
        <v>-6.0400000000000002E-2</v>
      </c>
      <c r="J187" s="52">
        <v>39244</v>
      </c>
      <c r="K187" s="51">
        <v>1.956</v>
      </c>
      <c r="L187" s="51">
        <v>1.9590000000000001</v>
      </c>
      <c r="M187" s="51">
        <v>1.9039999999999999</v>
      </c>
      <c r="N187" s="51">
        <v>1.907</v>
      </c>
      <c r="O187" s="51">
        <v>1.907</v>
      </c>
      <c r="P187" s="51">
        <v>0</v>
      </c>
    </row>
    <row r="188" spans="1:16" x14ac:dyDescent="0.2">
      <c r="A188" s="52">
        <v>38899</v>
      </c>
      <c r="B188" s="51">
        <v>2.1775000000000002</v>
      </c>
      <c r="C188" s="51">
        <v>2.1604999999999999</v>
      </c>
      <c r="D188" s="51">
        <v>2.2256</v>
      </c>
      <c r="E188" s="51">
        <v>2.1545000000000001</v>
      </c>
      <c r="F188" s="51"/>
      <c r="G188" s="51">
        <v>5.4000000000000003E-3</v>
      </c>
      <c r="J188" s="52">
        <v>39251</v>
      </c>
      <c r="K188" s="51">
        <v>1.907</v>
      </c>
      <c r="L188" s="51">
        <v>1.9302999999999999</v>
      </c>
      <c r="M188" s="51">
        <v>1.8845000000000001</v>
      </c>
      <c r="N188" s="51">
        <v>1.92</v>
      </c>
      <c r="O188" s="51">
        <v>1.92</v>
      </c>
      <c r="P188" s="51">
        <v>0</v>
      </c>
    </row>
    <row r="189" spans="1:16" x14ac:dyDescent="0.2">
      <c r="A189" s="52">
        <v>38930</v>
      </c>
      <c r="B189" s="51">
        <v>2.1434000000000002</v>
      </c>
      <c r="C189" s="51">
        <v>2.1756000000000002</v>
      </c>
      <c r="D189" s="51">
        <v>2.1985000000000001</v>
      </c>
      <c r="E189" s="51">
        <v>2.1215000000000002</v>
      </c>
      <c r="F189" s="51"/>
      <c r="G189" s="51">
        <v>-1.5699999999999999E-2</v>
      </c>
      <c r="J189" s="52">
        <v>39258</v>
      </c>
      <c r="K189" s="51">
        <v>1.9403999999999999</v>
      </c>
      <c r="L189" s="51">
        <v>1.9630000000000001</v>
      </c>
      <c r="M189" s="51">
        <v>1.9145000000000001</v>
      </c>
      <c r="N189" s="51">
        <v>1.9276</v>
      </c>
      <c r="O189" s="51">
        <v>1.9276</v>
      </c>
      <c r="P189" s="51">
        <v>0</v>
      </c>
    </row>
    <row r="190" spans="1:16" x14ac:dyDescent="0.2">
      <c r="A190" s="52">
        <v>38961</v>
      </c>
      <c r="B190" s="51">
        <v>2.1743000000000001</v>
      </c>
      <c r="C190" s="51">
        <v>2.1520000000000001</v>
      </c>
      <c r="D190" s="51">
        <v>2.2370000000000001</v>
      </c>
      <c r="E190" s="51">
        <v>2.1217000000000001</v>
      </c>
      <c r="F190" s="51"/>
      <c r="G190" s="51">
        <v>1.44E-2</v>
      </c>
      <c r="J190" s="52">
        <v>39265</v>
      </c>
      <c r="K190" s="51">
        <v>1.9259999999999999</v>
      </c>
      <c r="L190" s="51">
        <v>1.9262999999999999</v>
      </c>
      <c r="M190" s="51">
        <v>1.8957999999999999</v>
      </c>
      <c r="N190" s="51">
        <v>1.8977999999999999</v>
      </c>
      <c r="O190" s="51">
        <v>1.8977999999999999</v>
      </c>
      <c r="P190" s="51">
        <v>0</v>
      </c>
    </row>
    <row r="191" spans="1:16" x14ac:dyDescent="0.2">
      <c r="A191" s="52">
        <v>38991</v>
      </c>
      <c r="B191" s="51">
        <v>2.1427999999999998</v>
      </c>
      <c r="C191" s="51">
        <v>2.1680000000000001</v>
      </c>
      <c r="D191" s="51">
        <v>2.1800000000000002</v>
      </c>
      <c r="E191" s="51">
        <v>2.1219999999999999</v>
      </c>
      <c r="F191" s="51"/>
      <c r="G191" s="51">
        <v>-1.4500000000000001E-2</v>
      </c>
      <c r="J191" s="52">
        <v>39272</v>
      </c>
      <c r="K191" s="51">
        <v>1.8977999999999999</v>
      </c>
      <c r="L191" s="51">
        <v>1.9060999999999999</v>
      </c>
      <c r="M191" s="51">
        <v>1.8626</v>
      </c>
      <c r="N191" s="51">
        <v>1.8689</v>
      </c>
      <c r="O191" s="51">
        <v>1.8689</v>
      </c>
      <c r="P191" s="51">
        <v>0</v>
      </c>
    </row>
    <row r="192" spans="1:16" x14ac:dyDescent="0.2">
      <c r="A192" s="52">
        <v>39022</v>
      </c>
      <c r="B192" s="51">
        <v>2.165</v>
      </c>
      <c r="C192" s="51">
        <v>2.1429999999999998</v>
      </c>
      <c r="D192" s="51">
        <v>2.2040000000000002</v>
      </c>
      <c r="E192" s="51">
        <v>2.1307</v>
      </c>
      <c r="F192" s="51"/>
      <c r="G192" s="51">
        <v>1.04E-2</v>
      </c>
      <c r="J192" s="52">
        <v>39279</v>
      </c>
      <c r="K192" s="51">
        <v>1.8585</v>
      </c>
      <c r="L192" s="51">
        <v>1.8678999999999999</v>
      </c>
      <c r="M192" s="51">
        <v>1.8463000000000001</v>
      </c>
      <c r="N192" s="51">
        <v>1.8588</v>
      </c>
      <c r="O192" s="51">
        <v>1.8588</v>
      </c>
      <c r="P192" s="51">
        <v>0</v>
      </c>
    </row>
    <row r="193" spans="1:16" x14ac:dyDescent="0.2">
      <c r="A193" s="52">
        <v>39052</v>
      </c>
      <c r="B193" s="51">
        <v>2.1364999999999998</v>
      </c>
      <c r="C193" s="51">
        <v>2.1644999999999999</v>
      </c>
      <c r="D193" s="51">
        <v>2.1745000000000001</v>
      </c>
      <c r="E193" s="51">
        <v>2.1301999999999999</v>
      </c>
      <c r="F193" s="51"/>
      <c r="G193" s="51">
        <v>-1.32E-2</v>
      </c>
      <c r="J193" s="52">
        <v>39286</v>
      </c>
      <c r="K193" s="51">
        <v>1.8531</v>
      </c>
      <c r="L193" s="51">
        <v>1.9384999999999999</v>
      </c>
      <c r="M193" s="51">
        <v>1.8239000000000001</v>
      </c>
      <c r="N193" s="51">
        <v>1.9135</v>
      </c>
      <c r="O193" s="51">
        <v>1.9135</v>
      </c>
      <c r="P193" s="51">
        <v>0</v>
      </c>
    </row>
    <row r="194" spans="1:16" x14ac:dyDescent="0.2">
      <c r="A194" s="52">
        <v>39083</v>
      </c>
      <c r="B194" s="51">
        <v>2.1240000000000001</v>
      </c>
      <c r="C194" s="51">
        <v>2.1366999999999998</v>
      </c>
      <c r="D194" s="51">
        <v>2.1627000000000001</v>
      </c>
      <c r="E194" s="51">
        <v>2.1212</v>
      </c>
      <c r="F194" s="51"/>
      <c r="G194" s="51">
        <v>-5.8999999999999999E-3</v>
      </c>
      <c r="J194" s="52">
        <v>39293</v>
      </c>
      <c r="K194" s="51">
        <v>1.8911</v>
      </c>
      <c r="L194" s="51">
        <v>1.9011</v>
      </c>
      <c r="M194" s="51">
        <v>1.8454999999999999</v>
      </c>
      <c r="N194" s="51">
        <v>1.875</v>
      </c>
      <c r="O194" s="51">
        <v>1.875</v>
      </c>
      <c r="P194" s="51">
        <v>0</v>
      </c>
    </row>
    <row r="195" spans="1:16" x14ac:dyDescent="0.2">
      <c r="A195" s="52">
        <v>39114</v>
      </c>
      <c r="B195" s="51">
        <v>2.1204000000000001</v>
      </c>
      <c r="C195" s="51">
        <v>2.1238000000000001</v>
      </c>
      <c r="D195" s="51">
        <v>2.15</v>
      </c>
      <c r="E195" s="51">
        <v>2.0638000000000001</v>
      </c>
      <c r="F195" s="51"/>
      <c r="G195" s="51">
        <v>-1.6999999999999999E-3</v>
      </c>
      <c r="J195" s="52">
        <v>39300</v>
      </c>
      <c r="K195" s="51">
        <v>1.8992</v>
      </c>
      <c r="L195" s="51">
        <v>1.9621</v>
      </c>
      <c r="M195" s="51">
        <v>1.8787</v>
      </c>
      <c r="N195" s="51">
        <v>1.9379999999999999</v>
      </c>
      <c r="O195" s="51">
        <v>1.9379999999999999</v>
      </c>
      <c r="P195" s="51">
        <v>0</v>
      </c>
    </row>
    <row r="196" spans="1:16" x14ac:dyDescent="0.2">
      <c r="A196" s="52">
        <v>39142</v>
      </c>
      <c r="B196" s="51">
        <v>2.0590000000000002</v>
      </c>
      <c r="C196" s="51">
        <v>2.1175000000000002</v>
      </c>
      <c r="D196" s="51">
        <v>2.1520000000000001</v>
      </c>
      <c r="E196" s="51">
        <v>2.0247000000000002</v>
      </c>
      <c r="F196" s="51"/>
      <c r="G196" s="51">
        <v>-2.9000000000000001E-2</v>
      </c>
      <c r="J196" s="52">
        <v>39307</v>
      </c>
      <c r="K196" s="51">
        <v>1.9502999999999999</v>
      </c>
      <c r="L196" s="51">
        <v>2.1164999999999998</v>
      </c>
      <c r="M196" s="51">
        <v>1.9247000000000001</v>
      </c>
      <c r="N196" s="51">
        <v>2.0186000000000002</v>
      </c>
      <c r="O196" s="51">
        <v>2.0186000000000002</v>
      </c>
      <c r="P196" s="51">
        <v>0</v>
      </c>
    </row>
    <row r="197" spans="1:16" x14ac:dyDescent="0.2">
      <c r="A197" s="52">
        <v>39173</v>
      </c>
      <c r="B197" s="51">
        <v>2.0348000000000002</v>
      </c>
      <c r="C197" s="51">
        <v>2.06</v>
      </c>
      <c r="D197" s="51">
        <v>2.06</v>
      </c>
      <c r="E197" s="51">
        <v>2.0129999999999999</v>
      </c>
      <c r="F197" s="51"/>
      <c r="G197" s="51">
        <v>-1.18E-2</v>
      </c>
      <c r="J197" s="52">
        <v>39314</v>
      </c>
      <c r="K197" s="51">
        <v>2.0198999999999998</v>
      </c>
      <c r="L197" s="51">
        <v>2.0436999999999999</v>
      </c>
      <c r="M197" s="51">
        <v>1.9718</v>
      </c>
      <c r="N197" s="51">
        <v>1.9719</v>
      </c>
      <c r="O197" s="51">
        <v>1.9719</v>
      </c>
      <c r="P197" s="51">
        <v>0</v>
      </c>
    </row>
    <row r="198" spans="1:16" x14ac:dyDescent="0.2">
      <c r="A198" s="52">
        <v>39203</v>
      </c>
      <c r="B198" s="51">
        <v>1.9205000000000001</v>
      </c>
      <c r="C198" s="51">
        <v>2.0350000000000001</v>
      </c>
      <c r="D198" s="51">
        <v>2.0365000000000002</v>
      </c>
      <c r="E198" s="51">
        <v>1.9165000000000001</v>
      </c>
      <c r="F198" s="51"/>
      <c r="G198" s="51">
        <v>-5.62E-2</v>
      </c>
      <c r="J198" s="52">
        <v>39321</v>
      </c>
      <c r="K198" s="51">
        <v>1.9402999999999999</v>
      </c>
      <c r="L198" s="51">
        <v>1.9985999999999999</v>
      </c>
      <c r="M198" s="51">
        <v>1.9373</v>
      </c>
      <c r="N198" s="51">
        <v>1.9632000000000001</v>
      </c>
      <c r="O198" s="51">
        <v>1.9632000000000001</v>
      </c>
      <c r="P198" s="51">
        <v>0</v>
      </c>
    </row>
    <row r="199" spans="1:16" x14ac:dyDescent="0.2">
      <c r="A199" s="52">
        <v>39234</v>
      </c>
      <c r="B199" s="51">
        <v>1.929</v>
      </c>
      <c r="C199" s="51">
        <v>1.9287000000000001</v>
      </c>
      <c r="D199" s="51">
        <v>1.9910000000000001</v>
      </c>
      <c r="E199" s="51">
        <v>1.8945000000000001</v>
      </c>
      <c r="F199" s="51"/>
      <c r="G199" s="51">
        <v>4.4000000000000003E-3</v>
      </c>
      <c r="J199" s="52">
        <v>39328</v>
      </c>
      <c r="K199" s="51">
        <v>1.9621</v>
      </c>
      <c r="L199" s="51">
        <v>1.9709000000000001</v>
      </c>
      <c r="M199" s="51">
        <v>1.9015</v>
      </c>
      <c r="N199" s="51">
        <v>1.9015</v>
      </c>
      <c r="O199" s="51">
        <v>1.9015</v>
      </c>
      <c r="P199" s="51">
        <v>0</v>
      </c>
    </row>
    <row r="200" spans="1:16" x14ac:dyDescent="0.2">
      <c r="A200" s="52">
        <v>39264</v>
      </c>
      <c r="B200" s="51">
        <v>1.8819999999999999</v>
      </c>
      <c r="C200" s="51">
        <v>1.9259999999999999</v>
      </c>
      <c r="D200" s="51">
        <v>1.944</v>
      </c>
      <c r="E200" s="51">
        <v>1.8365</v>
      </c>
      <c r="F200" s="51"/>
      <c r="G200" s="51">
        <v>-2.4400000000000002E-2</v>
      </c>
      <c r="J200" s="52">
        <v>39335</v>
      </c>
      <c r="K200" s="51">
        <v>1.9570000000000001</v>
      </c>
      <c r="L200" s="51">
        <v>1.9570000000000001</v>
      </c>
      <c r="M200" s="51">
        <v>1.8895</v>
      </c>
      <c r="N200" s="51">
        <v>1.89</v>
      </c>
      <c r="O200" s="51">
        <v>1.89</v>
      </c>
      <c r="P200" s="51">
        <v>0</v>
      </c>
    </row>
    <row r="201" spans="1:16" x14ac:dyDescent="0.2">
      <c r="A201" s="52">
        <v>39295</v>
      </c>
      <c r="B201" s="51">
        <v>1.9681</v>
      </c>
      <c r="C201" s="51">
        <v>1.8823000000000001</v>
      </c>
      <c r="D201" s="51">
        <v>2.1396000000000002</v>
      </c>
      <c r="E201" s="51">
        <v>1.8654999999999999</v>
      </c>
      <c r="F201" s="51"/>
      <c r="G201" s="51">
        <v>4.5699999999999998E-2</v>
      </c>
      <c r="J201" s="52">
        <v>39342</v>
      </c>
      <c r="K201" s="51">
        <v>1.897</v>
      </c>
      <c r="L201" s="51">
        <v>1.915</v>
      </c>
      <c r="M201" s="51">
        <v>1.8508</v>
      </c>
      <c r="N201" s="51">
        <v>1.857</v>
      </c>
      <c r="O201" s="51">
        <v>1.857</v>
      </c>
      <c r="P201" s="51">
        <v>0</v>
      </c>
    </row>
    <row r="202" spans="1:16" x14ac:dyDescent="0.2">
      <c r="A202" s="52">
        <v>39326</v>
      </c>
      <c r="B202" s="51">
        <v>1.833</v>
      </c>
      <c r="C202" s="51">
        <v>1.9610000000000001</v>
      </c>
      <c r="D202" s="51">
        <v>1.9764999999999999</v>
      </c>
      <c r="E202" s="51">
        <v>1.83</v>
      </c>
      <c r="F202" s="51"/>
      <c r="G202" s="51">
        <v>-6.8599999999999994E-2</v>
      </c>
      <c r="J202" s="52">
        <v>39349</v>
      </c>
      <c r="K202" s="51">
        <v>1.865</v>
      </c>
      <c r="L202" s="51">
        <v>1.8754999999999999</v>
      </c>
      <c r="M202" s="51">
        <v>1.8307</v>
      </c>
      <c r="N202" s="51">
        <v>1.8340000000000001</v>
      </c>
      <c r="O202" s="51">
        <v>1.8340000000000001</v>
      </c>
      <c r="P202" s="51">
        <v>0</v>
      </c>
    </row>
    <row r="203" spans="1:16" x14ac:dyDescent="0.2">
      <c r="A203" s="52">
        <v>39356</v>
      </c>
      <c r="B203" s="51">
        <v>1.7367999999999999</v>
      </c>
      <c r="C203" s="51">
        <v>1.8325</v>
      </c>
      <c r="D203" s="51">
        <v>1.8480000000000001</v>
      </c>
      <c r="E203" s="51">
        <v>1.7292000000000001</v>
      </c>
      <c r="F203" s="51"/>
      <c r="G203" s="51">
        <v>-5.2499999999999998E-2</v>
      </c>
      <c r="J203" s="52">
        <v>39356</v>
      </c>
      <c r="K203" s="51">
        <v>1.8285</v>
      </c>
      <c r="L203" s="51">
        <v>1.8388</v>
      </c>
      <c r="M203" s="51">
        <v>1.8035000000000001</v>
      </c>
      <c r="N203" s="51">
        <v>1.8049999999999999</v>
      </c>
      <c r="O203" s="51">
        <v>1.8049999999999999</v>
      </c>
      <c r="P203" s="51">
        <v>0</v>
      </c>
    </row>
    <row r="204" spans="1:16" x14ac:dyDescent="0.2">
      <c r="A204" s="52">
        <v>39387</v>
      </c>
      <c r="B204" s="51">
        <v>1.7982</v>
      </c>
      <c r="C204" s="51">
        <v>1.7367999999999999</v>
      </c>
      <c r="D204" s="51">
        <v>1.8723000000000001</v>
      </c>
      <c r="E204" s="51">
        <v>1.7246999999999999</v>
      </c>
      <c r="F204" s="51"/>
      <c r="G204" s="51">
        <v>3.5400000000000001E-2</v>
      </c>
      <c r="J204" s="52">
        <v>39363</v>
      </c>
      <c r="K204" s="51">
        <v>1.7989999999999999</v>
      </c>
      <c r="L204" s="51">
        <v>1.8169</v>
      </c>
      <c r="M204" s="51">
        <v>1.7815000000000001</v>
      </c>
      <c r="N204" s="51">
        <v>1.7992999999999999</v>
      </c>
      <c r="O204" s="51">
        <v>1.7992999999999999</v>
      </c>
      <c r="P204" s="51">
        <v>0</v>
      </c>
    </row>
    <row r="205" spans="1:16" x14ac:dyDescent="0.2">
      <c r="A205" s="52">
        <v>39417</v>
      </c>
      <c r="B205" s="51">
        <v>1.78</v>
      </c>
      <c r="C205" s="51">
        <v>1.7901</v>
      </c>
      <c r="D205" s="51">
        <v>1.8320000000000001</v>
      </c>
      <c r="E205" s="51">
        <v>1.75</v>
      </c>
      <c r="F205" s="51"/>
      <c r="G205" s="51">
        <v>-1.01E-2</v>
      </c>
      <c r="J205" s="52">
        <v>39370</v>
      </c>
      <c r="K205" s="51">
        <v>1.798</v>
      </c>
      <c r="L205" s="51">
        <v>1.8286</v>
      </c>
      <c r="M205" s="51">
        <v>1.7778</v>
      </c>
      <c r="N205" s="51">
        <v>1.7905</v>
      </c>
      <c r="O205" s="51">
        <v>1.7905</v>
      </c>
      <c r="P205" s="51">
        <v>0</v>
      </c>
    </row>
    <row r="206" spans="1:16" x14ac:dyDescent="0.2">
      <c r="A206" s="52">
        <v>39448</v>
      </c>
      <c r="B206" s="51">
        <v>1.7587999999999999</v>
      </c>
      <c r="C206" s="51">
        <v>1.7795000000000001</v>
      </c>
      <c r="D206" s="51">
        <v>1.8407</v>
      </c>
      <c r="E206" s="51">
        <v>1.7284999999999999</v>
      </c>
      <c r="F206" s="51"/>
      <c r="G206" s="51">
        <v>-1.1900000000000001E-2</v>
      </c>
      <c r="J206" s="52">
        <v>39377</v>
      </c>
      <c r="K206" s="51">
        <v>1.7988</v>
      </c>
      <c r="L206" s="51">
        <v>1.8391</v>
      </c>
      <c r="M206" s="51">
        <v>1.7693000000000001</v>
      </c>
      <c r="N206" s="51">
        <v>1.7721</v>
      </c>
      <c r="O206" s="51">
        <v>1.7721</v>
      </c>
      <c r="P206" s="51">
        <v>0</v>
      </c>
    </row>
    <row r="207" spans="1:16" x14ac:dyDescent="0.2">
      <c r="A207" s="52">
        <v>39479</v>
      </c>
      <c r="B207" s="51">
        <v>1.6914</v>
      </c>
      <c r="C207" s="51">
        <v>1.7589999999999999</v>
      </c>
      <c r="D207" s="51">
        <v>1.782</v>
      </c>
      <c r="E207" s="51">
        <v>1.6612</v>
      </c>
      <c r="F207" s="51"/>
      <c r="G207" s="51">
        <v>-3.8300000000000001E-2</v>
      </c>
      <c r="J207" s="52">
        <v>39384</v>
      </c>
      <c r="K207" s="51">
        <v>1.7738</v>
      </c>
      <c r="L207" s="51">
        <v>1.7753000000000001</v>
      </c>
      <c r="M207" s="51">
        <v>1.7322</v>
      </c>
      <c r="N207" s="51">
        <v>1.7475000000000001</v>
      </c>
      <c r="O207" s="51">
        <v>1.7475000000000001</v>
      </c>
      <c r="P207" s="51">
        <v>0</v>
      </c>
    </row>
    <row r="208" spans="1:16" x14ac:dyDescent="0.2">
      <c r="A208" s="52">
        <v>39508</v>
      </c>
      <c r="B208" s="51">
        <v>1.7564</v>
      </c>
      <c r="C208" s="51">
        <v>1.6910000000000001</v>
      </c>
      <c r="D208" s="51">
        <v>1.7650999999999999</v>
      </c>
      <c r="E208" s="51">
        <v>1.659</v>
      </c>
      <c r="F208" s="51"/>
      <c r="G208" s="51">
        <v>3.8399999999999997E-2</v>
      </c>
      <c r="J208" s="52">
        <v>39391</v>
      </c>
      <c r="K208" s="51">
        <v>1.748</v>
      </c>
      <c r="L208" s="51">
        <v>1.7584</v>
      </c>
      <c r="M208" s="51">
        <v>1.7244999999999999</v>
      </c>
      <c r="N208" s="51">
        <v>1.7473000000000001</v>
      </c>
      <c r="O208" s="51">
        <v>1.7473000000000001</v>
      </c>
      <c r="P208" s="51">
        <v>0</v>
      </c>
    </row>
    <row r="209" spans="1:16" x14ac:dyDescent="0.2">
      <c r="A209" s="52">
        <v>39539</v>
      </c>
      <c r="B209" s="51">
        <v>1.6621999999999999</v>
      </c>
      <c r="C209" s="51">
        <v>1.7559</v>
      </c>
      <c r="D209" s="51">
        <v>1.7605</v>
      </c>
      <c r="E209" s="51">
        <v>1.6471</v>
      </c>
      <c r="F209" s="51"/>
      <c r="G209" s="51">
        <v>-5.3600000000000002E-2</v>
      </c>
      <c r="J209" s="52">
        <v>39398</v>
      </c>
      <c r="K209" s="51">
        <v>1.7423999999999999</v>
      </c>
      <c r="L209" s="51">
        <v>1.7974000000000001</v>
      </c>
      <c r="M209" s="51">
        <v>1.7296</v>
      </c>
      <c r="N209" s="51">
        <v>1.7415</v>
      </c>
      <c r="O209" s="51">
        <v>1.7415</v>
      </c>
      <c r="P209" s="51">
        <v>0</v>
      </c>
    </row>
    <row r="210" spans="1:16" x14ac:dyDescent="0.2">
      <c r="A210" s="52">
        <v>39569</v>
      </c>
      <c r="B210" s="51">
        <v>1.6265000000000001</v>
      </c>
      <c r="C210" s="51">
        <v>1.6617</v>
      </c>
      <c r="D210" s="51">
        <v>1.7055</v>
      </c>
      <c r="E210" s="51">
        <v>1.6241000000000001</v>
      </c>
      <c r="F210" s="51"/>
      <c r="G210" s="51">
        <v>-2.1499999999999998E-2</v>
      </c>
      <c r="J210" s="52">
        <v>39405</v>
      </c>
      <c r="K210" s="51">
        <v>1.7427999999999999</v>
      </c>
      <c r="L210" s="51">
        <v>1.8036000000000001</v>
      </c>
      <c r="M210" s="51">
        <v>1.7408999999999999</v>
      </c>
      <c r="N210" s="51">
        <v>1.7975000000000001</v>
      </c>
      <c r="O210" s="51">
        <v>1.7975000000000001</v>
      </c>
      <c r="P210" s="51">
        <v>0</v>
      </c>
    </row>
    <row r="211" spans="1:16" x14ac:dyDescent="0.2">
      <c r="A211" s="52">
        <v>39600</v>
      </c>
      <c r="B211" s="51">
        <v>1.6041000000000001</v>
      </c>
      <c r="C211" s="51">
        <v>1.6259999999999999</v>
      </c>
      <c r="D211" s="51">
        <v>1.6521999999999999</v>
      </c>
      <c r="E211" s="51">
        <v>1.5880000000000001</v>
      </c>
      <c r="F211" s="51"/>
      <c r="G211" s="51">
        <v>-1.38E-2</v>
      </c>
      <c r="J211" s="52">
        <v>39412</v>
      </c>
      <c r="K211" s="51">
        <v>1.8248</v>
      </c>
      <c r="L211" s="51">
        <v>1.8674999999999999</v>
      </c>
      <c r="M211" s="51">
        <v>1.7639</v>
      </c>
      <c r="N211" s="51">
        <v>1.7759</v>
      </c>
      <c r="O211" s="51">
        <v>1.7759</v>
      </c>
      <c r="P211" s="51">
        <v>0</v>
      </c>
    </row>
    <row r="212" spans="1:16" x14ac:dyDescent="0.2">
      <c r="A212" s="52">
        <v>39630</v>
      </c>
      <c r="B212" s="51">
        <v>1.5669999999999999</v>
      </c>
      <c r="C212" s="51">
        <v>1.6039000000000001</v>
      </c>
      <c r="D212" s="51">
        <v>1.6211</v>
      </c>
      <c r="E212" s="51">
        <v>1.5604</v>
      </c>
      <c r="F212" s="51"/>
      <c r="G212" s="51">
        <v>-2.3099999999999999E-2</v>
      </c>
      <c r="J212" s="52">
        <v>39419</v>
      </c>
      <c r="K212" s="51">
        <v>1.7955000000000001</v>
      </c>
      <c r="L212" s="51">
        <v>1.8269</v>
      </c>
      <c r="M212" s="51">
        <v>1.7595000000000001</v>
      </c>
      <c r="N212" s="51">
        <v>1.7597</v>
      </c>
      <c r="O212" s="51">
        <v>1.7597</v>
      </c>
      <c r="P212" s="51">
        <v>0</v>
      </c>
    </row>
    <row r="213" spans="1:16" x14ac:dyDescent="0.2">
      <c r="A213" s="52">
        <v>39661</v>
      </c>
      <c r="B213" s="51">
        <v>1.63</v>
      </c>
      <c r="C213" s="51">
        <v>1.5609999999999999</v>
      </c>
      <c r="D213" s="51">
        <v>1.6493</v>
      </c>
      <c r="E213" s="51">
        <v>1.5550999999999999</v>
      </c>
      <c r="F213" s="51"/>
      <c r="G213" s="51">
        <v>4.02E-2</v>
      </c>
      <c r="J213" s="52">
        <v>39426</v>
      </c>
      <c r="K213" s="51">
        <v>1.7547999999999999</v>
      </c>
      <c r="L213" s="51">
        <v>1.7956000000000001</v>
      </c>
      <c r="M213" s="51">
        <v>1.7502</v>
      </c>
      <c r="N213" s="51">
        <v>1.794</v>
      </c>
      <c r="O213" s="51">
        <v>1.794</v>
      </c>
      <c r="P213" s="51">
        <v>0</v>
      </c>
    </row>
    <row r="214" spans="1:16" x14ac:dyDescent="0.2">
      <c r="A214" s="52">
        <v>39692</v>
      </c>
      <c r="B214" s="51">
        <v>1.9066000000000001</v>
      </c>
      <c r="C214" s="51">
        <v>1.6422000000000001</v>
      </c>
      <c r="D214" s="51">
        <v>1.9686999999999999</v>
      </c>
      <c r="E214" s="51">
        <v>1.6397999999999999</v>
      </c>
      <c r="F214" s="51"/>
      <c r="G214" s="51">
        <v>0.16969999999999999</v>
      </c>
      <c r="J214" s="52">
        <v>39433</v>
      </c>
      <c r="K214" s="51">
        <v>1.7927</v>
      </c>
      <c r="L214" s="51">
        <v>1.8202</v>
      </c>
      <c r="M214" s="51">
        <v>1.7845</v>
      </c>
      <c r="N214" s="51">
        <v>1.7892999999999999</v>
      </c>
      <c r="O214" s="51">
        <v>1.7892999999999999</v>
      </c>
      <c r="P214" s="51">
        <v>0</v>
      </c>
    </row>
    <row r="215" spans="1:16" x14ac:dyDescent="0.2">
      <c r="A215" s="52">
        <v>39722</v>
      </c>
      <c r="B215" s="51">
        <v>2.1642000000000001</v>
      </c>
      <c r="C215" s="51">
        <v>1.9035</v>
      </c>
      <c r="D215" s="51">
        <v>2.5305</v>
      </c>
      <c r="E215" s="51">
        <v>1.8951</v>
      </c>
      <c r="F215" s="51"/>
      <c r="G215" s="51">
        <v>0.1351</v>
      </c>
      <c r="J215" s="52">
        <v>39440</v>
      </c>
      <c r="K215" s="51">
        <v>1.7895000000000001</v>
      </c>
      <c r="L215" s="51">
        <v>1.7895000000000001</v>
      </c>
      <c r="M215" s="51">
        <v>1.7475000000000001</v>
      </c>
      <c r="N215" s="51">
        <v>1.7673000000000001</v>
      </c>
      <c r="O215" s="51">
        <v>1.7673000000000001</v>
      </c>
      <c r="P215" s="51">
        <v>0</v>
      </c>
    </row>
    <row r="216" spans="1:16" x14ac:dyDescent="0.2">
      <c r="A216" s="52">
        <v>39753</v>
      </c>
      <c r="B216" s="51">
        <v>2.3033999999999999</v>
      </c>
      <c r="C216" s="51">
        <v>2.1646999999999998</v>
      </c>
      <c r="D216" s="51">
        <v>2.4786999999999999</v>
      </c>
      <c r="E216" s="51">
        <v>2.0876999999999999</v>
      </c>
      <c r="F216" s="51"/>
      <c r="G216" s="51">
        <v>6.4299999999999996E-2</v>
      </c>
      <c r="J216" s="52">
        <v>39447</v>
      </c>
      <c r="K216" s="51">
        <v>1.7471000000000001</v>
      </c>
      <c r="L216" s="51">
        <v>1.7822</v>
      </c>
      <c r="M216" s="51">
        <v>1.7391000000000001</v>
      </c>
      <c r="N216" s="51">
        <v>1.7572000000000001</v>
      </c>
      <c r="O216" s="51">
        <v>1.7572000000000001</v>
      </c>
      <c r="P216" s="51">
        <v>0</v>
      </c>
    </row>
    <row r="217" spans="1:16" x14ac:dyDescent="0.2">
      <c r="A217" s="52">
        <v>39783</v>
      </c>
      <c r="B217" s="51">
        <v>2.3144999999999998</v>
      </c>
      <c r="C217" s="51">
        <v>2.3045</v>
      </c>
      <c r="D217" s="51">
        <v>2.6217999999999999</v>
      </c>
      <c r="E217" s="51">
        <v>2.2833999999999999</v>
      </c>
      <c r="F217" s="51"/>
      <c r="G217" s="51">
        <v>4.7999999999999996E-3</v>
      </c>
      <c r="J217" s="52">
        <v>39454</v>
      </c>
      <c r="K217" s="51">
        <v>1.7615000000000001</v>
      </c>
      <c r="L217" s="51">
        <v>1.7777000000000001</v>
      </c>
      <c r="M217" s="51">
        <v>1.7451000000000001</v>
      </c>
      <c r="N217" s="51">
        <v>1.7456</v>
      </c>
      <c r="O217" s="51">
        <v>1.7456</v>
      </c>
      <c r="P217" s="51">
        <v>0</v>
      </c>
    </row>
    <row r="218" spans="1:16" x14ac:dyDescent="0.2">
      <c r="A218" s="52">
        <v>39814</v>
      </c>
      <c r="B218" s="51">
        <v>2.3199999999999998</v>
      </c>
      <c r="C218" s="51">
        <v>2.3317000000000001</v>
      </c>
      <c r="D218" s="51">
        <v>2.4009999999999998</v>
      </c>
      <c r="E218" s="51">
        <v>2.1585000000000001</v>
      </c>
      <c r="F218" s="51"/>
      <c r="G218" s="51">
        <v>2.3999999999999998E-3</v>
      </c>
      <c r="J218" s="52">
        <v>39461</v>
      </c>
      <c r="K218" s="51">
        <v>1.7430000000000001</v>
      </c>
      <c r="L218" s="51">
        <v>1.7935000000000001</v>
      </c>
      <c r="M218" s="51">
        <v>1.7267999999999999</v>
      </c>
      <c r="N218" s="51">
        <v>1.7911999999999999</v>
      </c>
      <c r="O218" s="51">
        <v>1.7911999999999999</v>
      </c>
      <c r="P218" s="51">
        <v>0</v>
      </c>
    </row>
    <row r="219" spans="1:16" x14ac:dyDescent="0.2">
      <c r="A219" s="52">
        <v>39845</v>
      </c>
      <c r="B219" s="51">
        <v>2.3914</v>
      </c>
      <c r="C219" s="51">
        <v>2.3222</v>
      </c>
      <c r="D219" s="51">
        <v>2.4085000000000001</v>
      </c>
      <c r="E219" s="51">
        <v>2.2277</v>
      </c>
      <c r="F219" s="51"/>
      <c r="G219" s="51">
        <v>3.0800000000000001E-2</v>
      </c>
      <c r="J219" s="52">
        <v>39468</v>
      </c>
      <c r="K219" s="51">
        <v>1.7911999999999999</v>
      </c>
      <c r="L219" s="51">
        <v>1.837</v>
      </c>
      <c r="M219" s="51">
        <v>1.774</v>
      </c>
      <c r="N219" s="51">
        <v>1.7803</v>
      </c>
      <c r="O219" s="51">
        <v>1.7803</v>
      </c>
      <c r="P219" s="51">
        <v>0</v>
      </c>
    </row>
    <row r="220" spans="1:16" x14ac:dyDescent="0.2">
      <c r="A220" s="52">
        <v>39873</v>
      </c>
      <c r="B220" s="51">
        <v>2.3169</v>
      </c>
      <c r="C220" s="51">
        <v>2.3904999999999998</v>
      </c>
      <c r="D220" s="51">
        <v>2.4504999999999999</v>
      </c>
      <c r="E220" s="51">
        <v>2.2149999999999999</v>
      </c>
      <c r="F220" s="51"/>
      <c r="G220" s="51">
        <v>-3.1199999999999999E-2</v>
      </c>
      <c r="J220" s="52">
        <v>39475</v>
      </c>
      <c r="K220" s="51">
        <v>1.7827999999999999</v>
      </c>
      <c r="L220" s="51">
        <v>1.7952999999999999</v>
      </c>
      <c r="M220" s="51">
        <v>1.7352000000000001</v>
      </c>
      <c r="N220" s="51">
        <v>1.7403</v>
      </c>
      <c r="O220" s="51">
        <v>1.7403</v>
      </c>
      <c r="P220" s="51">
        <v>0</v>
      </c>
    </row>
    <row r="221" spans="1:16" x14ac:dyDescent="0.2">
      <c r="A221" s="52">
        <v>39904</v>
      </c>
      <c r="B221" s="51">
        <v>2.1898</v>
      </c>
      <c r="C221" s="51">
        <v>2.3170000000000002</v>
      </c>
      <c r="D221" s="51">
        <v>2.3174999999999999</v>
      </c>
      <c r="E221" s="51">
        <v>2.1585000000000001</v>
      </c>
      <c r="F221" s="51"/>
      <c r="G221" s="51">
        <v>-5.4899999999999997E-2</v>
      </c>
      <c r="J221" s="52">
        <v>39482</v>
      </c>
      <c r="K221" s="51">
        <v>1.742</v>
      </c>
      <c r="L221" s="51">
        <v>1.7737000000000001</v>
      </c>
      <c r="M221" s="51">
        <v>1.7293000000000001</v>
      </c>
      <c r="N221" s="51">
        <v>1.7594000000000001</v>
      </c>
      <c r="O221" s="51">
        <v>1.7594000000000001</v>
      </c>
      <c r="P221" s="51">
        <v>0</v>
      </c>
    </row>
    <row r="222" spans="1:16" x14ac:dyDescent="0.2">
      <c r="A222" s="52">
        <v>39934</v>
      </c>
      <c r="B222" s="51">
        <v>1.9715</v>
      </c>
      <c r="C222" s="51">
        <v>2.1898</v>
      </c>
      <c r="D222" s="51">
        <v>2.1898</v>
      </c>
      <c r="E222" s="51">
        <v>1.9650000000000001</v>
      </c>
      <c r="F222" s="51"/>
      <c r="G222" s="51">
        <v>-9.9699999999999997E-2</v>
      </c>
      <c r="J222" s="52">
        <v>39489</v>
      </c>
      <c r="K222" s="51">
        <v>1.7669999999999999</v>
      </c>
      <c r="L222" s="51">
        <v>1.7685</v>
      </c>
      <c r="M222" s="51">
        <v>1.7327999999999999</v>
      </c>
      <c r="N222" s="51">
        <v>1.7475000000000001</v>
      </c>
      <c r="O222" s="51">
        <v>1.7475000000000001</v>
      </c>
      <c r="P222" s="51">
        <v>0</v>
      </c>
    </row>
    <row r="223" spans="1:16" x14ac:dyDescent="0.2">
      <c r="A223" s="52">
        <v>39965</v>
      </c>
      <c r="B223" s="51">
        <v>1.9524999999999999</v>
      </c>
      <c r="C223" s="51">
        <v>1.9715</v>
      </c>
      <c r="D223" s="51">
        <v>2.0383</v>
      </c>
      <c r="E223" s="51">
        <v>1.9083000000000001</v>
      </c>
      <c r="F223" s="51"/>
      <c r="G223" s="51">
        <v>-9.5999999999999992E-3</v>
      </c>
      <c r="J223" s="52">
        <v>39496</v>
      </c>
      <c r="K223" s="51">
        <v>1.7495000000000001</v>
      </c>
      <c r="L223" s="51">
        <v>1.7508999999999999</v>
      </c>
      <c r="M223" s="51">
        <v>1.6927000000000001</v>
      </c>
      <c r="N223" s="51">
        <v>1.7050000000000001</v>
      </c>
      <c r="O223" s="51">
        <v>1.7050000000000001</v>
      </c>
      <c r="P223" s="51">
        <v>0</v>
      </c>
    </row>
    <row r="224" spans="1:16" x14ac:dyDescent="0.2">
      <c r="A224" s="52">
        <v>39995</v>
      </c>
      <c r="B224" s="51">
        <v>1.865</v>
      </c>
      <c r="C224" s="51">
        <v>1.9524999999999999</v>
      </c>
      <c r="D224" s="51">
        <v>2.028</v>
      </c>
      <c r="E224" s="51">
        <v>1.861</v>
      </c>
      <c r="F224" s="51"/>
      <c r="G224" s="51">
        <v>-4.48E-2</v>
      </c>
      <c r="J224" s="52">
        <v>39503</v>
      </c>
      <c r="K224" s="51">
        <v>1.7041999999999999</v>
      </c>
      <c r="L224" s="51">
        <v>1.7073</v>
      </c>
      <c r="M224" s="51">
        <v>1.6612</v>
      </c>
      <c r="N224" s="51">
        <v>1.6785000000000001</v>
      </c>
      <c r="O224" s="51">
        <v>1.6785000000000001</v>
      </c>
      <c r="P224" s="51">
        <v>0</v>
      </c>
    </row>
    <row r="225" spans="1:16" x14ac:dyDescent="0.2">
      <c r="A225" s="52">
        <v>40026</v>
      </c>
      <c r="B225" s="51">
        <v>1.8802000000000001</v>
      </c>
      <c r="C225" s="51">
        <v>1.8654999999999999</v>
      </c>
      <c r="D225" s="51">
        <v>1.9052</v>
      </c>
      <c r="E225" s="51">
        <v>1.8070999999999999</v>
      </c>
      <c r="F225" s="51"/>
      <c r="G225" s="51">
        <v>8.2000000000000007E-3</v>
      </c>
      <c r="J225" s="52">
        <v>39510</v>
      </c>
      <c r="K225" s="51">
        <v>1.6866000000000001</v>
      </c>
      <c r="L225" s="51">
        <v>1.6971000000000001</v>
      </c>
      <c r="M225" s="51">
        <v>1.6548</v>
      </c>
      <c r="N225" s="51">
        <v>1.6867000000000001</v>
      </c>
      <c r="O225" s="51">
        <v>1.6867000000000001</v>
      </c>
      <c r="P225" s="51">
        <v>0</v>
      </c>
    </row>
    <row r="226" spans="1:16" x14ac:dyDescent="0.2">
      <c r="A226" s="52">
        <v>40057</v>
      </c>
      <c r="B226" s="51">
        <v>1.7715000000000001</v>
      </c>
      <c r="C226" s="51">
        <v>1.879</v>
      </c>
      <c r="D226" s="51">
        <v>1.9217</v>
      </c>
      <c r="E226" s="51">
        <v>1.7587999999999999</v>
      </c>
      <c r="F226" s="51"/>
      <c r="G226" s="51">
        <v>-5.7799999999999997E-2</v>
      </c>
      <c r="J226" s="52">
        <v>39517</v>
      </c>
      <c r="K226" s="51">
        <v>1.6788000000000001</v>
      </c>
      <c r="L226" s="51">
        <v>1.7084999999999999</v>
      </c>
      <c r="M226" s="51">
        <v>1.6704000000000001</v>
      </c>
      <c r="N226" s="51">
        <v>1.7074</v>
      </c>
      <c r="O226" s="51">
        <v>1.7074</v>
      </c>
      <c r="P226" s="51">
        <v>0</v>
      </c>
    </row>
    <row r="227" spans="1:16" x14ac:dyDescent="0.2">
      <c r="A227" s="52">
        <v>40087</v>
      </c>
      <c r="B227" s="51">
        <v>1.7635000000000001</v>
      </c>
      <c r="C227" s="51">
        <v>1.772</v>
      </c>
      <c r="D227" s="51">
        <v>1.8073999999999999</v>
      </c>
      <c r="E227" s="51">
        <v>1.6970000000000001</v>
      </c>
      <c r="F227" s="51"/>
      <c r="G227" s="51">
        <v>-4.4999999999999997E-3</v>
      </c>
      <c r="J227" s="52">
        <v>39524</v>
      </c>
      <c r="K227" s="51">
        <v>1.7090000000000001</v>
      </c>
      <c r="L227" s="51">
        <v>1.7473000000000001</v>
      </c>
      <c r="M227" s="51">
        <v>1.6797</v>
      </c>
      <c r="N227" s="51">
        <v>1.7379</v>
      </c>
      <c r="O227" s="51">
        <v>1.7379</v>
      </c>
      <c r="P227" s="51">
        <v>0</v>
      </c>
    </row>
    <row r="228" spans="1:16" x14ac:dyDescent="0.2">
      <c r="A228" s="52">
        <v>40118</v>
      </c>
      <c r="B228" s="51">
        <v>1.7555000000000001</v>
      </c>
      <c r="C228" s="51">
        <v>1.7635000000000001</v>
      </c>
      <c r="D228" s="51">
        <v>1.7805</v>
      </c>
      <c r="E228" s="51">
        <v>1.6930000000000001</v>
      </c>
      <c r="F228" s="51"/>
      <c r="G228" s="51">
        <v>-4.4999999999999997E-3</v>
      </c>
      <c r="J228" s="52">
        <v>39531</v>
      </c>
      <c r="K228" s="51">
        <v>1.7379</v>
      </c>
      <c r="L228" s="51">
        <v>1.7470000000000001</v>
      </c>
      <c r="M228" s="51">
        <v>1.7196</v>
      </c>
      <c r="N228" s="51">
        <v>1.7377</v>
      </c>
      <c r="O228" s="51">
        <v>1.7377</v>
      </c>
      <c r="P228" s="51">
        <v>0</v>
      </c>
    </row>
    <row r="229" spans="1:16" x14ac:dyDescent="0.2">
      <c r="A229" s="52">
        <v>40148</v>
      </c>
      <c r="B229" s="51">
        <v>1.7430000000000001</v>
      </c>
      <c r="C229" s="51">
        <v>1.7497</v>
      </c>
      <c r="D229" s="51">
        <v>1.8010999999999999</v>
      </c>
      <c r="E229" s="51">
        <v>1.6995</v>
      </c>
      <c r="F229" s="51"/>
      <c r="G229" s="51">
        <v>-7.1000000000000004E-3</v>
      </c>
      <c r="J229" s="52">
        <v>39538</v>
      </c>
      <c r="K229" s="51">
        <v>1.7406999999999999</v>
      </c>
      <c r="L229" s="51">
        <v>1.748</v>
      </c>
      <c r="M229" s="51">
        <v>1.7016</v>
      </c>
      <c r="N229" s="51">
        <v>1.7044999999999999</v>
      </c>
      <c r="O229" s="51">
        <v>1.7044999999999999</v>
      </c>
      <c r="P229" s="51">
        <v>0</v>
      </c>
    </row>
    <row r="230" spans="1:16" x14ac:dyDescent="0.2">
      <c r="A230" s="52">
        <v>40179</v>
      </c>
      <c r="B230" s="51">
        <v>1.885</v>
      </c>
      <c r="C230" s="51">
        <v>1.7291000000000001</v>
      </c>
      <c r="D230" s="51">
        <v>1.8971</v>
      </c>
      <c r="E230" s="51">
        <v>1.7138</v>
      </c>
      <c r="F230" s="51"/>
      <c r="G230" s="51">
        <v>8.1500000000000003E-2</v>
      </c>
      <c r="J230" s="52">
        <v>39545</v>
      </c>
      <c r="K230" s="51">
        <v>1.7055</v>
      </c>
      <c r="L230" s="51">
        <v>1.708</v>
      </c>
      <c r="M230" s="51">
        <v>1.675</v>
      </c>
      <c r="N230" s="51">
        <v>1.6813</v>
      </c>
      <c r="O230" s="51">
        <v>1.6813</v>
      </c>
      <c r="P230" s="51">
        <v>0</v>
      </c>
    </row>
    <row r="231" spans="1:16" x14ac:dyDescent="0.2">
      <c r="A231" s="52">
        <v>40210</v>
      </c>
      <c r="B231" s="51">
        <v>1.8071999999999999</v>
      </c>
      <c r="C231" s="51">
        <v>1.8685</v>
      </c>
      <c r="D231" s="51">
        <v>1.8979999999999999</v>
      </c>
      <c r="E231" s="51">
        <v>1.7874000000000001</v>
      </c>
      <c r="F231" s="51"/>
      <c r="G231" s="51">
        <v>-4.1300000000000003E-2</v>
      </c>
      <c r="J231" s="52">
        <v>39552</v>
      </c>
      <c r="K231" s="51">
        <v>1.6855</v>
      </c>
      <c r="L231" s="51">
        <v>1.6933</v>
      </c>
      <c r="M231" s="51">
        <v>1.6456</v>
      </c>
      <c r="N231" s="51">
        <v>1.6605000000000001</v>
      </c>
      <c r="O231" s="51">
        <v>1.6605000000000001</v>
      </c>
      <c r="P231" s="51">
        <v>0</v>
      </c>
    </row>
    <row r="232" spans="1:16" x14ac:dyDescent="0.2">
      <c r="A232" s="52">
        <v>40238</v>
      </c>
      <c r="B232" s="51">
        <v>1.7837000000000001</v>
      </c>
      <c r="C232" s="51">
        <v>1.8058000000000001</v>
      </c>
      <c r="D232" s="51">
        <v>1.8302</v>
      </c>
      <c r="E232" s="51">
        <v>1.7563</v>
      </c>
      <c r="F232" s="51"/>
      <c r="G232" s="51">
        <v>-1.2999999999999999E-2</v>
      </c>
      <c r="J232" s="52">
        <v>39559</v>
      </c>
      <c r="K232" s="51">
        <v>1.665</v>
      </c>
      <c r="L232" s="51">
        <v>1.6774</v>
      </c>
      <c r="M232" s="51">
        <v>1.649</v>
      </c>
      <c r="N232" s="51">
        <v>1.663</v>
      </c>
      <c r="O232" s="51">
        <v>1.663</v>
      </c>
      <c r="P232" s="51">
        <v>0</v>
      </c>
    </row>
    <row r="233" spans="1:16" x14ac:dyDescent="0.2">
      <c r="A233" s="52">
        <v>40269</v>
      </c>
      <c r="B233" s="51">
        <v>1.7375</v>
      </c>
      <c r="C233" s="51">
        <v>1.7831999999999999</v>
      </c>
      <c r="D233" s="51">
        <v>1.7931999999999999</v>
      </c>
      <c r="E233" s="51">
        <v>1.7224999999999999</v>
      </c>
      <c r="F233" s="51"/>
      <c r="G233" s="51">
        <v>-2.5899999999999999E-2</v>
      </c>
      <c r="J233" s="52">
        <v>39566</v>
      </c>
      <c r="K233" s="51">
        <v>1.663</v>
      </c>
      <c r="L233" s="51">
        <v>1.7054</v>
      </c>
      <c r="M233" s="51">
        <v>1.6418999999999999</v>
      </c>
      <c r="N233" s="51">
        <v>1.6425000000000001</v>
      </c>
      <c r="O233" s="51">
        <v>1.6425000000000001</v>
      </c>
      <c r="P233" s="51">
        <v>0</v>
      </c>
    </row>
    <row r="234" spans="1:16" x14ac:dyDescent="0.2">
      <c r="A234" s="52">
        <v>40299</v>
      </c>
      <c r="B234" s="51">
        <v>1.8201000000000001</v>
      </c>
      <c r="C234" s="51">
        <v>1.7372000000000001</v>
      </c>
      <c r="D234" s="51">
        <v>1.9159999999999999</v>
      </c>
      <c r="E234" s="51">
        <v>1.7252000000000001</v>
      </c>
      <c r="F234" s="51"/>
      <c r="G234" s="51">
        <v>4.7500000000000001E-2</v>
      </c>
      <c r="J234" s="52">
        <v>39573</v>
      </c>
      <c r="K234" s="51">
        <v>1.645</v>
      </c>
      <c r="L234" s="51">
        <v>1.7009000000000001</v>
      </c>
      <c r="M234" s="51">
        <v>1.645</v>
      </c>
      <c r="N234" s="51">
        <v>1.6855</v>
      </c>
      <c r="O234" s="51">
        <v>1.6855</v>
      </c>
      <c r="P234" s="51">
        <v>0</v>
      </c>
    </row>
    <row r="235" spans="1:16" x14ac:dyDescent="0.2">
      <c r="A235" s="52">
        <v>40330</v>
      </c>
      <c r="B235" s="51">
        <v>1.8039000000000001</v>
      </c>
      <c r="C235" s="51">
        <v>1.8193999999999999</v>
      </c>
      <c r="D235" s="51">
        <v>1.8824000000000001</v>
      </c>
      <c r="E235" s="51">
        <v>1.7486999999999999</v>
      </c>
      <c r="F235" s="51"/>
      <c r="G235" s="51">
        <v>-8.8999999999999999E-3</v>
      </c>
      <c r="J235" s="52">
        <v>39580</v>
      </c>
      <c r="K235" s="51">
        <v>1.6904999999999999</v>
      </c>
      <c r="L235" s="51">
        <v>1.6904999999999999</v>
      </c>
      <c r="M235" s="51">
        <v>1.6395</v>
      </c>
      <c r="N235" s="51">
        <v>1.6395</v>
      </c>
      <c r="O235" s="51">
        <v>1.6395</v>
      </c>
      <c r="P235" s="51">
        <v>0</v>
      </c>
    </row>
    <row r="236" spans="1:16" x14ac:dyDescent="0.2">
      <c r="A236" s="52">
        <v>40360</v>
      </c>
      <c r="B236" s="51">
        <v>1.754</v>
      </c>
      <c r="C236" s="51">
        <v>1.8051999999999999</v>
      </c>
      <c r="D236" s="51">
        <v>1.8138000000000001</v>
      </c>
      <c r="E236" s="51">
        <v>1.7495000000000001</v>
      </c>
      <c r="F236" s="51"/>
      <c r="G236" s="51">
        <v>-2.7699999999999999E-2</v>
      </c>
      <c r="J236" s="52">
        <v>39587</v>
      </c>
      <c r="K236" s="51">
        <v>1.6382000000000001</v>
      </c>
      <c r="L236" s="51">
        <v>1.6561999999999999</v>
      </c>
      <c r="M236" s="51">
        <v>1.6357999999999999</v>
      </c>
      <c r="N236" s="51">
        <v>1.65</v>
      </c>
      <c r="O236" s="51">
        <v>1.65</v>
      </c>
      <c r="P236" s="51">
        <v>0</v>
      </c>
    </row>
    <row r="237" spans="1:16" x14ac:dyDescent="0.2">
      <c r="A237" s="52">
        <v>40391</v>
      </c>
      <c r="B237" s="51">
        <v>1.7549999999999999</v>
      </c>
      <c r="C237" s="51">
        <v>1.7541</v>
      </c>
      <c r="D237" s="51">
        <v>1.7822</v>
      </c>
      <c r="E237" s="51">
        <v>1.7431000000000001</v>
      </c>
      <c r="F237" s="51"/>
      <c r="G237" s="51">
        <v>5.9999999999999995E-4</v>
      </c>
      <c r="J237" s="52">
        <v>39594</v>
      </c>
      <c r="K237" s="51">
        <v>1.6559999999999999</v>
      </c>
      <c r="L237" s="51">
        <v>1.67</v>
      </c>
      <c r="M237" s="51">
        <v>1.6225000000000001</v>
      </c>
      <c r="N237" s="51">
        <v>1.6225000000000001</v>
      </c>
      <c r="O237" s="51">
        <v>1.6225000000000001</v>
      </c>
      <c r="P237" s="51">
        <v>0</v>
      </c>
    </row>
    <row r="238" spans="1:16" x14ac:dyDescent="0.2">
      <c r="A238" s="52">
        <v>40422</v>
      </c>
      <c r="B238" s="51">
        <v>1.6876</v>
      </c>
      <c r="C238" s="51">
        <v>1.7548999999999999</v>
      </c>
      <c r="D238" s="51">
        <v>1.7593000000000001</v>
      </c>
      <c r="E238" s="51">
        <v>1.6855</v>
      </c>
      <c r="F238" s="51"/>
      <c r="G238" s="51">
        <v>-3.8399999999999997E-2</v>
      </c>
      <c r="J238" s="52">
        <v>39601</v>
      </c>
      <c r="K238" s="51">
        <v>1.6225000000000001</v>
      </c>
      <c r="L238" s="51">
        <v>1.6341000000000001</v>
      </c>
      <c r="M238" s="51">
        <v>1.6138999999999999</v>
      </c>
      <c r="N238" s="51">
        <v>1.6226</v>
      </c>
      <c r="O238" s="51">
        <v>1.6226</v>
      </c>
      <c r="P238" s="51">
        <v>0</v>
      </c>
    </row>
    <row r="239" spans="1:16" x14ac:dyDescent="0.2">
      <c r="A239" s="52">
        <v>40452</v>
      </c>
      <c r="B239" s="51">
        <v>1.7012</v>
      </c>
      <c r="C239" s="51">
        <v>1.6876</v>
      </c>
      <c r="D239" s="51">
        <v>1.7252000000000001</v>
      </c>
      <c r="E239" s="51">
        <v>1.6433</v>
      </c>
      <c r="F239" s="51"/>
      <c r="G239" s="51">
        <v>8.0999999999999996E-3</v>
      </c>
      <c r="J239" s="52">
        <v>39608</v>
      </c>
      <c r="K239" s="51">
        <v>1.6294999999999999</v>
      </c>
      <c r="L239" s="51">
        <v>1.649</v>
      </c>
      <c r="M239" s="51">
        <v>1.6166</v>
      </c>
      <c r="N239" s="51">
        <v>1.6268</v>
      </c>
      <c r="O239" s="51">
        <v>1.6268</v>
      </c>
      <c r="P239" s="51">
        <v>0</v>
      </c>
    </row>
    <row r="240" spans="1:16" x14ac:dyDescent="0.2">
      <c r="A240" s="52">
        <v>40483</v>
      </c>
      <c r="B240" s="51">
        <v>1.7150000000000001</v>
      </c>
      <c r="C240" s="51">
        <v>1.7012</v>
      </c>
      <c r="D240" s="51">
        <v>1.7427999999999999</v>
      </c>
      <c r="E240" s="51">
        <v>1.6685000000000001</v>
      </c>
      <c r="F240" s="51"/>
      <c r="G240" s="51">
        <v>8.0999999999999996E-3</v>
      </c>
      <c r="J240" s="52">
        <v>39615</v>
      </c>
      <c r="K240" s="51">
        <v>1.6313</v>
      </c>
      <c r="L240" s="51">
        <v>1.633</v>
      </c>
      <c r="M240" s="51">
        <v>1.5986</v>
      </c>
      <c r="N240" s="51">
        <v>1.5992</v>
      </c>
      <c r="O240" s="51">
        <v>1.5992</v>
      </c>
      <c r="P240" s="51">
        <v>0</v>
      </c>
    </row>
    <row r="241" spans="1:16" x14ac:dyDescent="0.2">
      <c r="A241" s="52">
        <v>40513</v>
      </c>
      <c r="B241" s="51">
        <v>1.6595</v>
      </c>
      <c r="C241" s="51">
        <v>1.7138</v>
      </c>
      <c r="D241" s="51">
        <v>1.722</v>
      </c>
      <c r="E241" s="51">
        <v>1.6593</v>
      </c>
      <c r="F241" s="51"/>
      <c r="G241" s="51">
        <v>-3.2399999999999998E-2</v>
      </c>
      <c r="J241" s="52">
        <v>39622</v>
      </c>
      <c r="K241" s="51">
        <v>1.6020000000000001</v>
      </c>
      <c r="L241" s="51">
        <v>1.6131</v>
      </c>
      <c r="M241" s="51">
        <v>1.5868</v>
      </c>
      <c r="N241" s="51">
        <v>1.601</v>
      </c>
      <c r="O241" s="51">
        <v>1.601</v>
      </c>
      <c r="P241" s="51">
        <v>0</v>
      </c>
    </row>
    <row r="242" spans="1:16" x14ac:dyDescent="0.2">
      <c r="A242" s="52">
        <v>40544</v>
      </c>
      <c r="B242" s="51">
        <v>1.6675</v>
      </c>
      <c r="C242" s="51">
        <v>1.6597999999999999</v>
      </c>
      <c r="D242" s="51">
        <v>1.6967000000000001</v>
      </c>
      <c r="E242" s="51">
        <v>1.6433</v>
      </c>
      <c r="F242" s="51"/>
      <c r="G242" s="51">
        <v>4.7999999999999996E-3</v>
      </c>
      <c r="J242" s="52">
        <v>39629</v>
      </c>
      <c r="K242" s="51">
        <v>1.591</v>
      </c>
      <c r="L242" s="51">
        <v>1.6120000000000001</v>
      </c>
      <c r="M242" s="51">
        <v>1.5860000000000001</v>
      </c>
      <c r="N242" s="51">
        <v>1.6020000000000001</v>
      </c>
      <c r="O242" s="51">
        <v>1.6020000000000001</v>
      </c>
      <c r="P242" s="51">
        <v>0</v>
      </c>
    </row>
    <row r="243" spans="1:16" x14ac:dyDescent="0.2">
      <c r="A243" s="52">
        <v>40575</v>
      </c>
      <c r="B243" s="51">
        <v>1.6637999999999999</v>
      </c>
      <c r="C243" s="51">
        <v>1.6672</v>
      </c>
      <c r="D243" s="51">
        <v>1.6806000000000001</v>
      </c>
      <c r="E243" s="51">
        <v>1.6553</v>
      </c>
      <c r="F243" s="51"/>
      <c r="G243" s="51">
        <v>-2.2000000000000001E-3</v>
      </c>
      <c r="J243" s="52">
        <v>39636</v>
      </c>
      <c r="K243" s="51">
        <v>1.6044</v>
      </c>
      <c r="L243" s="51">
        <v>1.6172</v>
      </c>
      <c r="M243" s="51">
        <v>1.5914999999999999</v>
      </c>
      <c r="N243" s="51">
        <v>1.6014999999999999</v>
      </c>
      <c r="O243" s="51">
        <v>1.6014999999999999</v>
      </c>
      <c r="P243" s="51">
        <v>0</v>
      </c>
    </row>
    <row r="244" spans="1:16" x14ac:dyDescent="0.2">
      <c r="A244" s="52">
        <v>40603</v>
      </c>
      <c r="B244" s="51">
        <v>1.6319999999999999</v>
      </c>
      <c r="C244" s="51">
        <v>1.6639999999999999</v>
      </c>
      <c r="D244" s="51">
        <v>1.6932</v>
      </c>
      <c r="E244" s="51">
        <v>1.6205000000000001</v>
      </c>
      <c r="F244" s="51"/>
      <c r="G244" s="51">
        <v>-1.9099999999999999E-2</v>
      </c>
      <c r="J244" s="52">
        <v>39643</v>
      </c>
      <c r="K244" s="51">
        <v>1.597</v>
      </c>
      <c r="L244" s="51">
        <v>1.5992</v>
      </c>
      <c r="M244" s="51">
        <v>1.5828</v>
      </c>
      <c r="N244" s="51">
        <v>1.589</v>
      </c>
      <c r="O244" s="51">
        <v>1.589</v>
      </c>
      <c r="P244" s="51">
        <v>0</v>
      </c>
    </row>
    <row r="245" spans="1:16" x14ac:dyDescent="0.2">
      <c r="A245" s="52">
        <v>40634</v>
      </c>
      <c r="B245" s="51">
        <v>1.5774999999999999</v>
      </c>
      <c r="C245" s="51">
        <v>1.6317999999999999</v>
      </c>
      <c r="D245" s="51">
        <v>1.6317999999999999</v>
      </c>
      <c r="E245" s="51">
        <v>1.5565</v>
      </c>
      <c r="F245" s="51"/>
      <c r="G245" s="51">
        <v>-3.3399999999999999E-2</v>
      </c>
      <c r="J245" s="52">
        <v>39650</v>
      </c>
      <c r="K245" s="51">
        <v>1.5854999999999999</v>
      </c>
      <c r="L245" s="51">
        <v>1.5871</v>
      </c>
      <c r="M245" s="51">
        <v>1.5682</v>
      </c>
      <c r="N245" s="51">
        <v>1.5691999999999999</v>
      </c>
      <c r="O245" s="51">
        <v>1.5691999999999999</v>
      </c>
      <c r="P245" s="51">
        <v>0</v>
      </c>
    </row>
    <row r="246" spans="1:16" x14ac:dyDescent="0.2">
      <c r="A246" s="52">
        <v>40664</v>
      </c>
      <c r="B246" s="51">
        <v>1.58</v>
      </c>
      <c r="C246" s="51">
        <v>1.577</v>
      </c>
      <c r="D246" s="51">
        <v>1.6456999999999999</v>
      </c>
      <c r="E246" s="51">
        <v>1.5685</v>
      </c>
      <c r="F246" s="51"/>
      <c r="G246" s="51">
        <v>1.6000000000000001E-3</v>
      </c>
      <c r="J246" s="52">
        <v>39657</v>
      </c>
      <c r="K246" s="51">
        <v>1.5708</v>
      </c>
      <c r="L246" s="51">
        <v>1.5760000000000001</v>
      </c>
      <c r="M246" s="51">
        <v>1.5565</v>
      </c>
      <c r="N246" s="51">
        <v>1.5618000000000001</v>
      </c>
      <c r="O246" s="51">
        <v>1.5618000000000001</v>
      </c>
      <c r="P246" s="51">
        <v>0</v>
      </c>
    </row>
    <row r="247" spans="1:16" x14ac:dyDescent="0.2">
      <c r="A247" s="52">
        <v>40695</v>
      </c>
      <c r="B247" s="51">
        <v>1.5622</v>
      </c>
      <c r="C247" s="51">
        <v>1.5788</v>
      </c>
      <c r="D247" s="51">
        <v>1.6163000000000001</v>
      </c>
      <c r="E247" s="51">
        <v>1.5572999999999999</v>
      </c>
      <c r="F247" s="51"/>
      <c r="G247" s="51">
        <v>-1.1299999999999999E-2</v>
      </c>
      <c r="J247" s="52">
        <v>39664</v>
      </c>
      <c r="K247" s="51" t="s">
        <v>518</v>
      </c>
      <c r="L247" s="51" t="s">
        <v>518</v>
      </c>
      <c r="M247" s="51" t="s">
        <v>518</v>
      </c>
      <c r="N247" s="51" t="s">
        <v>518</v>
      </c>
      <c r="O247" s="51" t="s">
        <v>518</v>
      </c>
      <c r="P247" s="51" t="s">
        <v>518</v>
      </c>
    </row>
    <row r="248" spans="1:16" x14ac:dyDescent="0.2">
      <c r="A248" s="52">
        <v>40725</v>
      </c>
      <c r="B248" s="51">
        <v>1.5489999999999999</v>
      </c>
      <c r="C248" s="51">
        <v>1.5621</v>
      </c>
      <c r="D248" s="51">
        <v>1.5853999999999999</v>
      </c>
      <c r="E248" s="51">
        <v>1.528</v>
      </c>
      <c r="F248" s="51"/>
      <c r="G248" s="51">
        <v>-8.3999999999999995E-3</v>
      </c>
      <c r="J248" s="52">
        <v>39671</v>
      </c>
      <c r="K248" s="51" t="s">
        <v>518</v>
      </c>
      <c r="L248" s="51" t="s">
        <v>518</v>
      </c>
      <c r="M248" s="51" t="s">
        <v>518</v>
      </c>
      <c r="N248" s="51" t="s">
        <v>518</v>
      </c>
      <c r="O248" s="51" t="s">
        <v>518</v>
      </c>
      <c r="P248" s="51" t="s">
        <v>518</v>
      </c>
    </row>
    <row r="249" spans="1:16" x14ac:dyDescent="0.2">
      <c r="A249" s="52">
        <v>40756</v>
      </c>
      <c r="B249" s="51">
        <v>1.5891999999999999</v>
      </c>
      <c r="C249" s="51">
        <v>1.5501</v>
      </c>
      <c r="D249" s="51">
        <v>1.6585000000000001</v>
      </c>
      <c r="E249" s="51">
        <v>1.5449999999999999</v>
      </c>
      <c r="F249" s="51"/>
      <c r="G249" s="51">
        <v>2.5999999999999999E-2</v>
      </c>
      <c r="J249" s="52">
        <v>39678</v>
      </c>
      <c r="K249" s="51" t="s">
        <v>518</v>
      </c>
      <c r="L249" s="51" t="s">
        <v>518</v>
      </c>
      <c r="M249" s="51" t="s">
        <v>518</v>
      </c>
      <c r="N249" s="51" t="s">
        <v>518</v>
      </c>
      <c r="O249" s="51" t="s">
        <v>518</v>
      </c>
      <c r="P249" s="51" t="s">
        <v>518</v>
      </c>
    </row>
    <row r="250" spans="1:16" x14ac:dyDescent="0.2">
      <c r="A250" s="52">
        <v>40787</v>
      </c>
      <c r="B250" s="51">
        <v>1.879</v>
      </c>
      <c r="C250" s="51">
        <v>1.5891999999999999</v>
      </c>
      <c r="D250" s="51">
        <v>1.9498</v>
      </c>
      <c r="E250" s="51">
        <v>1.5886</v>
      </c>
      <c r="F250" s="51"/>
      <c r="G250" s="51">
        <v>0.18240000000000001</v>
      </c>
      <c r="J250" s="52">
        <v>39685</v>
      </c>
      <c r="K250" s="51">
        <v>1.6282000000000001</v>
      </c>
      <c r="L250" s="51">
        <v>1.6413</v>
      </c>
      <c r="M250" s="51">
        <v>1.6125</v>
      </c>
      <c r="N250" s="51">
        <v>1.6307</v>
      </c>
      <c r="O250" s="51">
        <v>1.6307</v>
      </c>
      <c r="P250" s="51">
        <v>0</v>
      </c>
    </row>
    <row r="251" spans="1:16" x14ac:dyDescent="0.2">
      <c r="A251" s="52">
        <v>40817</v>
      </c>
      <c r="B251" s="51">
        <v>1.7172000000000001</v>
      </c>
      <c r="C251" s="51">
        <v>1.8776999999999999</v>
      </c>
      <c r="D251" s="51">
        <v>1.9175</v>
      </c>
      <c r="E251" s="51">
        <v>1.6711</v>
      </c>
      <c r="F251" s="51"/>
      <c r="G251" s="51">
        <v>-8.6099999999999996E-2</v>
      </c>
      <c r="J251" s="52">
        <v>39692</v>
      </c>
      <c r="K251" s="51">
        <v>1.6259999999999999</v>
      </c>
      <c r="L251" s="51">
        <v>1.74</v>
      </c>
      <c r="M251" s="51">
        <v>1.6259999999999999</v>
      </c>
      <c r="N251" s="51">
        <v>1.7289000000000001</v>
      </c>
      <c r="O251" s="51">
        <v>1.7289000000000001</v>
      </c>
      <c r="P251" s="51">
        <v>0</v>
      </c>
    </row>
    <row r="252" spans="1:16" x14ac:dyDescent="0.2">
      <c r="A252" s="52">
        <v>40848</v>
      </c>
      <c r="B252" s="51">
        <v>1.8083</v>
      </c>
      <c r="C252" s="51">
        <v>1.7172000000000001</v>
      </c>
      <c r="D252" s="51">
        <v>1.9139999999999999</v>
      </c>
      <c r="E252" s="51">
        <v>1.7130000000000001</v>
      </c>
      <c r="F252" s="51"/>
      <c r="G252" s="51">
        <v>5.3100000000000001E-2</v>
      </c>
      <c r="J252" s="52">
        <v>39699</v>
      </c>
      <c r="K252" s="51">
        <v>1.7295</v>
      </c>
      <c r="L252" s="51">
        <v>1.8340000000000001</v>
      </c>
      <c r="M252" s="51">
        <v>1.6953</v>
      </c>
      <c r="N252" s="51">
        <v>1.7775000000000001</v>
      </c>
      <c r="O252" s="51">
        <v>1.7775000000000001</v>
      </c>
      <c r="P252" s="51">
        <v>0</v>
      </c>
    </row>
    <row r="253" spans="1:16" x14ac:dyDescent="0.2">
      <c r="A253" s="52">
        <v>40878</v>
      </c>
      <c r="B253" s="51">
        <v>1.8632</v>
      </c>
      <c r="C253" s="51">
        <v>1.8083</v>
      </c>
      <c r="D253" s="51">
        <v>1.8884000000000001</v>
      </c>
      <c r="E253" s="51">
        <v>1.7755000000000001</v>
      </c>
      <c r="F253" s="51"/>
      <c r="G253" s="51">
        <v>3.04E-2</v>
      </c>
      <c r="J253" s="52">
        <v>39706</v>
      </c>
      <c r="K253" s="51">
        <v>1.7784</v>
      </c>
      <c r="L253" s="51">
        <v>1.9125000000000001</v>
      </c>
      <c r="M253" s="51">
        <v>1.7744</v>
      </c>
      <c r="N253" s="51">
        <v>1.8160000000000001</v>
      </c>
      <c r="O253" s="51">
        <v>1.8160000000000001</v>
      </c>
      <c r="P253" s="51">
        <v>0</v>
      </c>
    </row>
    <row r="254" spans="1:16" x14ac:dyDescent="0.2">
      <c r="A254" s="52">
        <v>40909</v>
      </c>
      <c r="B254" s="51">
        <v>1.7472000000000001</v>
      </c>
      <c r="C254" s="51">
        <v>1.8665</v>
      </c>
      <c r="D254" s="51">
        <v>1.8754</v>
      </c>
      <c r="E254" s="51">
        <v>1.7321</v>
      </c>
      <c r="F254" s="51"/>
      <c r="G254" s="51">
        <v>-6.2300000000000001E-2</v>
      </c>
      <c r="J254" s="52">
        <v>39713</v>
      </c>
      <c r="K254" s="51">
        <v>1.8129999999999999</v>
      </c>
      <c r="L254" s="51">
        <v>1.8684000000000001</v>
      </c>
      <c r="M254" s="51">
        <v>1.7838000000000001</v>
      </c>
      <c r="N254" s="51">
        <v>1.8475999999999999</v>
      </c>
      <c r="O254" s="51">
        <v>1.8475999999999999</v>
      </c>
      <c r="P254" s="51">
        <v>0</v>
      </c>
    </row>
    <row r="255" spans="1:16" x14ac:dyDescent="0.2">
      <c r="A255" s="52">
        <v>40940</v>
      </c>
      <c r="B255" s="51">
        <v>1.7174</v>
      </c>
      <c r="C255" s="51">
        <v>1.7498</v>
      </c>
      <c r="D255" s="51">
        <v>1.7498</v>
      </c>
      <c r="E255" s="51">
        <v>1.6867000000000001</v>
      </c>
      <c r="F255" s="51"/>
      <c r="G255" s="51">
        <v>-1.7100000000000001E-2</v>
      </c>
      <c r="J255" s="52">
        <v>39720</v>
      </c>
      <c r="K255" s="51">
        <v>1.8480000000000001</v>
      </c>
      <c r="L255" s="51">
        <v>2.0314000000000001</v>
      </c>
      <c r="M255" s="51">
        <v>1.8480000000000001</v>
      </c>
      <c r="N255" s="51">
        <v>2.0219999999999998</v>
      </c>
      <c r="O255" s="51">
        <v>2.0219999999999998</v>
      </c>
      <c r="P255" s="51">
        <v>0</v>
      </c>
    </row>
    <row r="256" spans="1:16" x14ac:dyDescent="0.2">
      <c r="A256" s="52">
        <v>40969</v>
      </c>
      <c r="B256" s="51">
        <v>1.8264</v>
      </c>
      <c r="C256" s="51">
        <v>1.7174</v>
      </c>
      <c r="D256" s="51">
        <v>1.8374999999999999</v>
      </c>
      <c r="E256" s="51">
        <v>1.7098</v>
      </c>
      <c r="F256" s="51"/>
      <c r="G256" s="51">
        <v>6.3500000000000001E-2</v>
      </c>
      <c r="J256" s="52">
        <v>39727</v>
      </c>
      <c r="K256" s="51">
        <v>2.0219999999999998</v>
      </c>
      <c r="L256" s="51">
        <v>2.4443999999999999</v>
      </c>
      <c r="M256" s="51">
        <v>2.0219999999999998</v>
      </c>
      <c r="N256" s="51">
        <v>2.2484999999999999</v>
      </c>
      <c r="O256" s="51">
        <v>2.2484999999999999</v>
      </c>
      <c r="P256" s="51">
        <v>0</v>
      </c>
    </row>
    <row r="257" spans="1:16" x14ac:dyDescent="0.2">
      <c r="A257" s="52">
        <v>41000</v>
      </c>
      <c r="B257" s="51">
        <v>1.9088000000000001</v>
      </c>
      <c r="C257" s="51">
        <v>1.8266</v>
      </c>
      <c r="D257" s="51">
        <v>1.9123000000000001</v>
      </c>
      <c r="E257" s="51">
        <v>1.8154999999999999</v>
      </c>
      <c r="F257" s="51"/>
      <c r="G257" s="51">
        <v>4.5100000000000001E-2</v>
      </c>
      <c r="J257" s="52">
        <v>39734</v>
      </c>
      <c r="K257" s="51">
        <v>2.2629999999999999</v>
      </c>
      <c r="L257" s="51">
        <v>2.3108</v>
      </c>
      <c r="M257" s="51">
        <v>2.0259999999999998</v>
      </c>
      <c r="N257" s="51">
        <v>2.0684999999999998</v>
      </c>
      <c r="O257" s="51">
        <v>2.0684999999999998</v>
      </c>
      <c r="P257" s="51">
        <v>0</v>
      </c>
    </row>
    <row r="258" spans="1:16" x14ac:dyDescent="0.2">
      <c r="A258" s="52">
        <v>41030</v>
      </c>
      <c r="B258" s="51">
        <v>2.0226000000000002</v>
      </c>
      <c r="C258" s="51">
        <v>1.9041999999999999</v>
      </c>
      <c r="D258" s="51">
        <v>2.1065</v>
      </c>
      <c r="E258" s="51">
        <v>1.9041999999999999</v>
      </c>
      <c r="F258" s="51"/>
      <c r="G258" s="51">
        <v>5.96E-2</v>
      </c>
      <c r="J258" s="52">
        <v>39741</v>
      </c>
      <c r="K258" s="51">
        <v>2.0710000000000002</v>
      </c>
      <c r="L258" s="51">
        <v>2.5240999999999998</v>
      </c>
      <c r="M258" s="51">
        <v>2.0589</v>
      </c>
      <c r="N258" s="51">
        <v>2.2768000000000002</v>
      </c>
      <c r="O258" s="51">
        <v>2.2768000000000002</v>
      </c>
      <c r="P258" s="51">
        <v>0</v>
      </c>
    </row>
    <row r="259" spans="1:16" x14ac:dyDescent="0.2">
      <c r="A259" s="52">
        <v>41061</v>
      </c>
      <c r="B259" s="51">
        <v>2.0095000000000001</v>
      </c>
      <c r="C259" s="51">
        <v>2.0224000000000002</v>
      </c>
      <c r="D259" s="51">
        <v>2.0991</v>
      </c>
      <c r="E259" s="51">
        <v>2.0042</v>
      </c>
      <c r="F259" s="51"/>
      <c r="G259" s="51">
        <v>-6.4999999999999997E-3</v>
      </c>
      <c r="J259" s="52">
        <v>39748</v>
      </c>
      <c r="K259" s="51">
        <v>2.3031000000000001</v>
      </c>
      <c r="L259" s="51">
        <v>2.3203999999999998</v>
      </c>
      <c r="M259" s="51">
        <v>2.0493999999999999</v>
      </c>
      <c r="N259" s="51">
        <v>2.097</v>
      </c>
      <c r="O259" s="51">
        <v>2.097</v>
      </c>
      <c r="P259" s="51">
        <v>0</v>
      </c>
    </row>
    <row r="260" spans="1:16" x14ac:dyDescent="0.2">
      <c r="A260" s="52">
        <v>41091</v>
      </c>
      <c r="B260" s="51">
        <v>2.0567000000000002</v>
      </c>
      <c r="C260" s="51">
        <v>2.0055999999999998</v>
      </c>
      <c r="D260" s="51">
        <v>2.0567000000000002</v>
      </c>
      <c r="E260" s="51">
        <v>1.9779</v>
      </c>
      <c r="F260" s="51"/>
      <c r="G260" s="51">
        <v>2.35E-2</v>
      </c>
      <c r="J260" s="52">
        <v>39755</v>
      </c>
      <c r="K260" s="51">
        <v>2.1150000000000002</v>
      </c>
      <c r="L260" s="51">
        <v>2.2202999999999999</v>
      </c>
      <c r="M260" s="51">
        <v>2.0891000000000002</v>
      </c>
      <c r="N260" s="51">
        <v>2.1455000000000002</v>
      </c>
      <c r="O260" s="51">
        <v>2.1455000000000002</v>
      </c>
      <c r="P260" s="51">
        <v>0</v>
      </c>
    </row>
    <row r="261" spans="1:16" x14ac:dyDescent="0.2">
      <c r="A261" s="52">
        <v>41122</v>
      </c>
      <c r="B261" s="51">
        <v>2.0293000000000001</v>
      </c>
      <c r="C261" s="51">
        <v>2.0571000000000002</v>
      </c>
      <c r="D261" s="51">
        <v>2.0575000000000001</v>
      </c>
      <c r="E261" s="51">
        <v>2.0059999999999998</v>
      </c>
      <c r="F261" s="51"/>
      <c r="G261" s="51">
        <v>-1.3299999999999999E-2</v>
      </c>
      <c r="J261" s="52">
        <v>39762</v>
      </c>
      <c r="K261" s="51">
        <v>2.149</v>
      </c>
      <c r="L261" s="51">
        <v>2.3357999999999999</v>
      </c>
      <c r="M261" s="51">
        <v>2.069</v>
      </c>
      <c r="N261" s="51">
        <v>2.2265000000000001</v>
      </c>
      <c r="O261" s="51">
        <v>2.2265000000000001</v>
      </c>
      <c r="P261" s="51">
        <v>0</v>
      </c>
    </row>
    <row r="262" spans="1:16" x14ac:dyDescent="0.2">
      <c r="A262" s="52">
        <v>41153</v>
      </c>
      <c r="B262" s="51">
        <v>2.0257000000000001</v>
      </c>
      <c r="C262" s="51">
        <v>2.0297000000000001</v>
      </c>
      <c r="D262" s="51">
        <v>2.0449999999999999</v>
      </c>
      <c r="E262" s="51">
        <v>2.0059999999999998</v>
      </c>
      <c r="F262" s="51"/>
      <c r="G262" s="51">
        <v>-1.8E-3</v>
      </c>
      <c r="J262" s="52">
        <v>39769</v>
      </c>
      <c r="K262" s="51">
        <v>2.1749999999999998</v>
      </c>
      <c r="L262" s="51">
        <v>2.4693999999999998</v>
      </c>
      <c r="M262" s="51">
        <v>2.1749999999999998</v>
      </c>
      <c r="N262" s="51">
        <v>2.4049999999999998</v>
      </c>
      <c r="O262" s="51">
        <v>2.4049999999999998</v>
      </c>
      <c r="P262" s="51">
        <v>0</v>
      </c>
    </row>
    <row r="263" spans="1:16" x14ac:dyDescent="0.2">
      <c r="A263" s="52">
        <v>41183</v>
      </c>
      <c r="B263" s="51">
        <v>2.0308999999999999</v>
      </c>
      <c r="C263" s="51">
        <v>2.0286</v>
      </c>
      <c r="D263" s="51">
        <v>2.0438999999999998</v>
      </c>
      <c r="E263" s="51">
        <v>2.0156999999999998</v>
      </c>
      <c r="F263" s="51"/>
      <c r="G263" s="51">
        <v>2.5999999999999999E-3</v>
      </c>
      <c r="J263" s="52">
        <v>39776</v>
      </c>
      <c r="K263" s="51">
        <v>2.3812000000000002</v>
      </c>
      <c r="L263" s="51">
        <v>2.4750000000000001</v>
      </c>
      <c r="M263" s="51">
        <v>2.1985000000000001</v>
      </c>
      <c r="N263" s="51">
        <v>2.2566999999999999</v>
      </c>
      <c r="O263" s="51">
        <v>2.2566999999999999</v>
      </c>
      <c r="P263" s="51">
        <v>0</v>
      </c>
    </row>
    <row r="264" spans="1:16" x14ac:dyDescent="0.2">
      <c r="A264" s="52">
        <v>41214</v>
      </c>
      <c r="B264" s="51">
        <v>2.1360999999999999</v>
      </c>
      <c r="C264" s="51">
        <v>2.0316999999999998</v>
      </c>
      <c r="D264" s="51">
        <v>2.1377000000000002</v>
      </c>
      <c r="E264" s="51">
        <v>2.0303</v>
      </c>
      <c r="F264" s="51"/>
      <c r="G264" s="51">
        <v>5.1799999999999999E-2</v>
      </c>
      <c r="J264" s="52">
        <v>39783</v>
      </c>
      <c r="K264" s="51">
        <v>2.254</v>
      </c>
      <c r="L264" s="51">
        <v>2.6120000000000001</v>
      </c>
      <c r="M264" s="51">
        <v>2.254</v>
      </c>
      <c r="N264" s="51">
        <v>2.5659999999999998</v>
      </c>
      <c r="O264" s="51">
        <v>2.5659999999999998</v>
      </c>
      <c r="P264" s="51">
        <v>0</v>
      </c>
    </row>
    <row r="265" spans="1:16" x14ac:dyDescent="0.2">
      <c r="A265" s="52">
        <v>41244</v>
      </c>
      <c r="B265" s="51">
        <v>2.0485000000000002</v>
      </c>
      <c r="C265" s="51">
        <v>2.1360000000000001</v>
      </c>
      <c r="D265" s="51">
        <v>2.1392000000000002</v>
      </c>
      <c r="E265" s="51">
        <v>2.0390000000000001</v>
      </c>
      <c r="F265" s="51"/>
      <c r="G265" s="51">
        <v>-4.1000000000000002E-2</v>
      </c>
      <c r="J265" s="52">
        <v>39790</v>
      </c>
      <c r="K265" s="51">
        <v>2.3862999999999999</v>
      </c>
      <c r="L265" s="51">
        <v>2.5394000000000001</v>
      </c>
      <c r="M265" s="51">
        <v>2.2395</v>
      </c>
      <c r="N265" s="51">
        <v>2.3494999999999999</v>
      </c>
      <c r="O265" s="51">
        <v>2.3494999999999999</v>
      </c>
      <c r="P265" s="51">
        <v>0</v>
      </c>
    </row>
    <row r="266" spans="1:16" x14ac:dyDescent="0.2">
      <c r="A266" s="52">
        <v>41275</v>
      </c>
      <c r="B266" s="51">
        <v>1.9907999999999999</v>
      </c>
      <c r="C266" s="51">
        <v>2.0333000000000001</v>
      </c>
      <c r="D266" s="51">
        <v>2.0507</v>
      </c>
      <c r="E266" s="51">
        <v>1.9811000000000001</v>
      </c>
      <c r="F266" s="51"/>
      <c r="G266" s="51">
        <v>-2.8199999999999999E-2</v>
      </c>
      <c r="J266" s="52">
        <v>39797</v>
      </c>
      <c r="K266" s="51">
        <v>2.35</v>
      </c>
      <c r="L266" s="51">
        <v>2.4540999999999999</v>
      </c>
      <c r="M266" s="51">
        <v>2.2589999999999999</v>
      </c>
      <c r="N266" s="51">
        <v>2.3704999999999998</v>
      </c>
      <c r="O266" s="51">
        <v>2.3704999999999998</v>
      </c>
      <c r="P266" s="51">
        <v>0</v>
      </c>
    </row>
    <row r="267" spans="1:16" x14ac:dyDescent="0.2">
      <c r="A267" s="52">
        <v>41306</v>
      </c>
      <c r="B267" s="51">
        <v>1.9802999999999999</v>
      </c>
      <c r="C267" s="51">
        <v>1.9908999999999999</v>
      </c>
      <c r="D267" s="51">
        <v>1.9975000000000001</v>
      </c>
      <c r="E267" s="51">
        <v>1.9498</v>
      </c>
      <c r="F267" s="51"/>
      <c r="G267" s="51">
        <v>-5.3E-3</v>
      </c>
      <c r="J267" s="52">
        <v>39804</v>
      </c>
      <c r="K267" s="51">
        <v>2.3420000000000001</v>
      </c>
      <c r="L267" s="51">
        <v>2.4045999999999998</v>
      </c>
      <c r="M267" s="51">
        <v>2.3260999999999998</v>
      </c>
      <c r="N267" s="51">
        <v>2.3260999999999998</v>
      </c>
      <c r="O267" s="51">
        <v>2.3260999999999998</v>
      </c>
      <c r="P267" s="51">
        <v>0</v>
      </c>
    </row>
    <row r="268" spans="1:16" x14ac:dyDescent="0.2">
      <c r="A268" s="52">
        <v>41334</v>
      </c>
      <c r="B268" s="51">
        <v>2.0242</v>
      </c>
      <c r="C268" s="51">
        <v>1.976</v>
      </c>
      <c r="D268" s="51">
        <v>2.0276000000000001</v>
      </c>
      <c r="E268" s="51">
        <v>1.9412</v>
      </c>
      <c r="F268" s="51"/>
      <c r="G268" s="51">
        <v>2.2200000000000001E-2</v>
      </c>
      <c r="J268" s="52">
        <v>39811</v>
      </c>
      <c r="K268" s="51">
        <v>2.3727</v>
      </c>
      <c r="L268" s="51">
        <v>2.4140000000000001</v>
      </c>
      <c r="M268" s="51">
        <v>2.3016000000000001</v>
      </c>
      <c r="N268" s="51">
        <v>2.3130000000000002</v>
      </c>
      <c r="O268" s="51">
        <v>2.3130000000000002</v>
      </c>
      <c r="P268" s="51">
        <v>0</v>
      </c>
    </row>
    <row r="269" spans="1:16" x14ac:dyDescent="0.2">
      <c r="A269" s="52">
        <v>41365</v>
      </c>
      <c r="B269" s="51">
        <v>2.0017</v>
      </c>
      <c r="C269" s="51">
        <v>2.0182000000000002</v>
      </c>
      <c r="D269" s="51">
        <v>2.0301999999999998</v>
      </c>
      <c r="E269" s="51">
        <v>1.9637</v>
      </c>
      <c r="F269" s="51"/>
      <c r="G269" s="51">
        <v>-1.11E-2</v>
      </c>
      <c r="J269" s="52">
        <v>39818</v>
      </c>
      <c r="K269" s="51">
        <v>2.3140000000000001</v>
      </c>
      <c r="L269" s="51">
        <v>2.3300999999999998</v>
      </c>
      <c r="M269" s="51">
        <v>2.1389999999999998</v>
      </c>
      <c r="N269" s="51">
        <v>2.2431000000000001</v>
      </c>
      <c r="O269" s="51">
        <v>2.2431000000000001</v>
      </c>
      <c r="P269" s="51">
        <v>0</v>
      </c>
    </row>
    <row r="270" spans="1:16" x14ac:dyDescent="0.2">
      <c r="A270" s="52">
        <v>41395</v>
      </c>
      <c r="B270" s="51">
        <v>2.1423000000000001</v>
      </c>
      <c r="C270" s="51">
        <v>2.0015000000000001</v>
      </c>
      <c r="D270" s="51">
        <v>2.1507000000000001</v>
      </c>
      <c r="E270" s="51">
        <v>1.9944999999999999</v>
      </c>
      <c r="F270" s="51"/>
      <c r="G270" s="51">
        <v>7.0199999999999999E-2</v>
      </c>
      <c r="J270" s="52">
        <v>39825</v>
      </c>
      <c r="K270" s="51">
        <v>2.202</v>
      </c>
      <c r="L270" s="51">
        <v>2.3936000000000002</v>
      </c>
      <c r="M270" s="51">
        <v>2.202</v>
      </c>
      <c r="N270" s="51">
        <v>2.29</v>
      </c>
      <c r="O270" s="51">
        <v>2.29</v>
      </c>
      <c r="P270" s="51">
        <v>0</v>
      </c>
    </row>
    <row r="271" spans="1:16" x14ac:dyDescent="0.2">
      <c r="A271" s="52">
        <v>41426</v>
      </c>
      <c r="B271" s="51">
        <v>2.2321</v>
      </c>
      <c r="C271" s="51">
        <v>2.1438000000000001</v>
      </c>
      <c r="D271" s="51">
        <v>2.2774999999999999</v>
      </c>
      <c r="E271" s="51">
        <v>2.0842000000000001</v>
      </c>
      <c r="F271" s="51"/>
      <c r="G271" s="51">
        <v>4.19E-2</v>
      </c>
      <c r="J271" s="52">
        <v>39832</v>
      </c>
      <c r="K271" s="51">
        <v>2.2919999999999998</v>
      </c>
      <c r="L271" s="51">
        <v>2.3738999999999999</v>
      </c>
      <c r="M271" s="51">
        <v>2.2799999999999998</v>
      </c>
      <c r="N271" s="51">
        <v>2.3001999999999998</v>
      </c>
      <c r="O271" s="51">
        <v>2.3001999999999998</v>
      </c>
      <c r="P271" s="51">
        <v>0</v>
      </c>
    </row>
    <row r="272" spans="1:16" x14ac:dyDescent="0.2">
      <c r="A272" s="52">
        <v>41456</v>
      </c>
      <c r="B272" s="51">
        <v>2.2770999999999999</v>
      </c>
      <c r="C272" s="51">
        <v>2.2292000000000001</v>
      </c>
      <c r="D272" s="51">
        <v>2.3029999999999999</v>
      </c>
      <c r="E272" s="51">
        <v>2.2067000000000001</v>
      </c>
      <c r="F272" s="51"/>
      <c r="G272" s="51">
        <v>2.0199999999999999E-2</v>
      </c>
      <c r="J272" s="52">
        <v>39839</v>
      </c>
      <c r="K272" s="51">
        <v>2.2793000000000001</v>
      </c>
      <c r="L272" s="51">
        <v>2.3279000000000001</v>
      </c>
      <c r="M272" s="51">
        <v>2.2370000000000001</v>
      </c>
      <c r="N272" s="51">
        <v>2.3109000000000002</v>
      </c>
      <c r="O272" s="51">
        <v>2.3109000000000002</v>
      </c>
      <c r="P272" s="51">
        <v>0</v>
      </c>
    </row>
    <row r="273" spans="1:16" x14ac:dyDescent="0.2">
      <c r="A273" s="52">
        <v>41487</v>
      </c>
      <c r="B273" s="51">
        <v>2.3862000000000001</v>
      </c>
      <c r="C273" s="51">
        <v>2.2765</v>
      </c>
      <c r="D273" s="51">
        <v>2.4554</v>
      </c>
      <c r="E273" s="51">
        <v>2.2629000000000001</v>
      </c>
      <c r="F273" s="51"/>
      <c r="G273" s="51">
        <v>4.7899999999999998E-2</v>
      </c>
      <c r="J273" s="52">
        <v>39846</v>
      </c>
      <c r="K273" s="51">
        <v>2.27</v>
      </c>
      <c r="L273" s="51">
        <v>2.3645999999999998</v>
      </c>
      <c r="M273" s="51">
        <v>2.2118000000000002</v>
      </c>
      <c r="N273" s="51">
        <v>2.2118000000000002</v>
      </c>
      <c r="O273" s="51">
        <v>2.2118000000000002</v>
      </c>
      <c r="P273" s="51">
        <v>0</v>
      </c>
    </row>
    <row r="274" spans="1:16" x14ac:dyDescent="0.2">
      <c r="A274" s="52">
        <v>41518</v>
      </c>
      <c r="B274" s="51">
        <v>2.2162000000000002</v>
      </c>
      <c r="C274" s="51">
        <v>2.3826999999999998</v>
      </c>
      <c r="D274" s="51">
        <v>2.4041000000000001</v>
      </c>
      <c r="E274" s="51">
        <v>2.1796000000000002</v>
      </c>
      <c r="F274" s="51"/>
      <c r="G274" s="51">
        <v>-7.1199999999999999E-2</v>
      </c>
      <c r="J274" s="52">
        <v>39853</v>
      </c>
      <c r="K274" s="51">
        <v>2.2075</v>
      </c>
      <c r="L274" s="51">
        <v>2.3113000000000001</v>
      </c>
      <c r="M274" s="51">
        <v>2.1880000000000002</v>
      </c>
      <c r="N274" s="51">
        <v>2.2294999999999998</v>
      </c>
      <c r="O274" s="51">
        <v>2.2294999999999998</v>
      </c>
      <c r="P274" s="51">
        <v>0</v>
      </c>
    </row>
    <row r="275" spans="1:16" x14ac:dyDescent="0.2">
      <c r="A275" s="52">
        <v>41548</v>
      </c>
      <c r="B275" s="51">
        <v>2.2401</v>
      </c>
      <c r="C275" s="51">
        <v>2.2164000000000001</v>
      </c>
      <c r="D275" s="51">
        <v>2.2416999999999998</v>
      </c>
      <c r="E275" s="51">
        <v>2.1471</v>
      </c>
      <c r="F275" s="51"/>
      <c r="G275" s="51">
        <v>1.0800000000000001E-2</v>
      </c>
      <c r="J275" s="52">
        <v>39860</v>
      </c>
      <c r="K275" s="51">
        <v>2.2054999999999998</v>
      </c>
      <c r="L275" s="51">
        <v>2.3915999999999999</v>
      </c>
      <c r="M275" s="51">
        <v>2.2054999999999998</v>
      </c>
      <c r="N275" s="51">
        <v>2.3376999999999999</v>
      </c>
      <c r="O275" s="51">
        <v>2.3376999999999999</v>
      </c>
      <c r="P275" s="51">
        <v>0</v>
      </c>
    </row>
    <row r="276" spans="1:16" x14ac:dyDescent="0.2">
      <c r="A276" s="52">
        <v>41579</v>
      </c>
      <c r="B276" s="51">
        <v>2.3357999999999999</v>
      </c>
      <c r="C276" s="51">
        <v>2.2349999999999999</v>
      </c>
      <c r="D276" s="51">
        <v>2.3487</v>
      </c>
      <c r="E276" s="51">
        <v>2.2349999999999999</v>
      </c>
      <c r="F276" s="51"/>
      <c r="G276" s="51">
        <v>4.2700000000000002E-2</v>
      </c>
      <c r="J276" s="52">
        <v>39867</v>
      </c>
      <c r="K276" s="51">
        <v>2.33</v>
      </c>
      <c r="L276" s="51">
        <v>2.3980999999999999</v>
      </c>
      <c r="M276" s="51">
        <v>2.3016000000000001</v>
      </c>
      <c r="N276" s="51">
        <v>2.3260999999999998</v>
      </c>
      <c r="O276" s="51">
        <v>2.3260999999999998</v>
      </c>
      <c r="P276" s="51">
        <v>0</v>
      </c>
    </row>
    <row r="277" spans="1:16" x14ac:dyDescent="0.2">
      <c r="A277" s="52">
        <v>41609</v>
      </c>
      <c r="B277" s="51">
        <v>2.3620999999999999</v>
      </c>
      <c r="C277" s="51">
        <v>2.3363</v>
      </c>
      <c r="D277" s="51">
        <v>2.3959999999999999</v>
      </c>
      <c r="E277" s="51">
        <v>2.3043</v>
      </c>
      <c r="F277" s="51"/>
      <c r="G277" s="51">
        <v>1.1299999999999999E-2</v>
      </c>
      <c r="J277" s="52">
        <v>39874</v>
      </c>
      <c r="K277" s="51">
        <v>2.3414999999999999</v>
      </c>
      <c r="L277" s="51">
        <v>2.4485000000000001</v>
      </c>
      <c r="M277" s="51">
        <v>2.3224999999999998</v>
      </c>
      <c r="N277" s="51">
        <v>2.3224999999999998</v>
      </c>
      <c r="O277" s="51">
        <v>2.3224999999999998</v>
      </c>
      <c r="P277" s="51">
        <v>0</v>
      </c>
    </row>
    <row r="278" spans="1:16" x14ac:dyDescent="0.2">
      <c r="A278" s="52">
        <v>41640</v>
      </c>
      <c r="B278" s="51">
        <v>2.4127000000000001</v>
      </c>
      <c r="C278" s="51">
        <v>2.3780000000000001</v>
      </c>
      <c r="D278" s="51">
        <v>2.4506000000000001</v>
      </c>
      <c r="E278" s="51">
        <v>2.3275000000000001</v>
      </c>
      <c r="F278" s="51"/>
      <c r="G278" s="51">
        <v>2.1399999999999999E-2</v>
      </c>
      <c r="J278" s="52">
        <v>39881</v>
      </c>
      <c r="K278" s="51">
        <v>2.3370000000000002</v>
      </c>
      <c r="L278" s="51">
        <v>2.3877999999999999</v>
      </c>
      <c r="M278" s="51">
        <v>2.2461000000000002</v>
      </c>
      <c r="N278" s="51">
        <v>2.2947000000000002</v>
      </c>
      <c r="O278" s="51">
        <v>2.2947000000000002</v>
      </c>
      <c r="P278" s="51">
        <v>0</v>
      </c>
    </row>
    <row r="279" spans="1:16" x14ac:dyDescent="0.2">
      <c r="A279" s="52">
        <v>41671</v>
      </c>
      <c r="B279" s="51">
        <v>2.3384</v>
      </c>
      <c r="C279" s="51">
        <v>2.4123999999999999</v>
      </c>
      <c r="D279" s="51">
        <v>2.4401999999999999</v>
      </c>
      <c r="E279" s="51">
        <v>2.3178000000000001</v>
      </c>
      <c r="F279" s="51"/>
      <c r="G279" s="51">
        <v>-3.0800000000000001E-2</v>
      </c>
      <c r="J279" s="52">
        <v>39888</v>
      </c>
      <c r="K279" s="51">
        <v>2.2543000000000002</v>
      </c>
      <c r="L279" s="51">
        <v>2.3047</v>
      </c>
      <c r="M279" s="51">
        <v>2.1974999999999998</v>
      </c>
      <c r="N279" s="51">
        <v>2.2018</v>
      </c>
      <c r="O279" s="51">
        <v>2.2018</v>
      </c>
      <c r="P279" s="51">
        <v>0</v>
      </c>
    </row>
    <row r="280" spans="1:16" x14ac:dyDescent="0.2">
      <c r="A280" s="52">
        <v>41699</v>
      </c>
      <c r="B280" s="51">
        <v>2.2721</v>
      </c>
      <c r="C280" s="51">
        <v>2.3388</v>
      </c>
      <c r="D280" s="51">
        <v>2.3767999999999998</v>
      </c>
      <c r="E280" s="51">
        <v>2.2481</v>
      </c>
      <c r="F280" s="51"/>
      <c r="G280" s="51">
        <v>-2.8400000000000002E-2</v>
      </c>
      <c r="J280" s="52">
        <v>39895</v>
      </c>
      <c r="K280" s="51">
        <v>2.2149999999999999</v>
      </c>
      <c r="L280" s="51">
        <v>2.2776999999999998</v>
      </c>
      <c r="M280" s="51">
        <v>2.1867999999999999</v>
      </c>
      <c r="N280" s="51">
        <v>2.2292000000000001</v>
      </c>
      <c r="O280" s="51">
        <v>2.2292000000000001</v>
      </c>
      <c r="P280" s="51">
        <v>0</v>
      </c>
    </row>
    <row r="281" spans="1:16" x14ac:dyDescent="0.2">
      <c r="A281" s="52">
        <v>41730</v>
      </c>
      <c r="B281" s="51">
        <v>2.2330000000000001</v>
      </c>
      <c r="C281" s="51">
        <v>2.2726000000000002</v>
      </c>
      <c r="D281" s="51">
        <v>2.2892999999999999</v>
      </c>
      <c r="E281" s="51">
        <v>2.1819000000000002</v>
      </c>
      <c r="F281" s="51"/>
      <c r="G281" s="51">
        <v>-1.72E-2</v>
      </c>
      <c r="J281" s="52">
        <v>39902</v>
      </c>
      <c r="K281" s="51">
        <v>2.2404999999999999</v>
      </c>
      <c r="L281" s="51">
        <v>2.3302999999999998</v>
      </c>
      <c r="M281" s="51">
        <v>2.1533000000000002</v>
      </c>
      <c r="N281" s="51">
        <v>2.1533000000000002</v>
      </c>
      <c r="O281" s="51">
        <v>2.1533000000000002</v>
      </c>
      <c r="P281" s="51">
        <v>0</v>
      </c>
    </row>
    <row r="282" spans="1:16" x14ac:dyDescent="0.2">
      <c r="A282" s="52">
        <v>41760</v>
      </c>
      <c r="B282" s="51">
        <v>2.2408000000000001</v>
      </c>
      <c r="C282" s="51">
        <v>2.2334999999999998</v>
      </c>
      <c r="D282" s="51">
        <v>2.2492000000000001</v>
      </c>
      <c r="E282" s="51">
        <v>2.1993999999999998</v>
      </c>
      <c r="F282" s="51"/>
      <c r="G282" s="51">
        <v>3.5000000000000001E-3</v>
      </c>
      <c r="J282" s="52">
        <v>39909</v>
      </c>
      <c r="K282" s="51">
        <v>2.16</v>
      </c>
      <c r="L282" s="51">
        <v>2.2391000000000001</v>
      </c>
      <c r="M282" s="51">
        <v>2.1288999999999998</v>
      </c>
      <c r="N282" s="51">
        <v>2.1810999999999998</v>
      </c>
      <c r="O282" s="51">
        <v>2.1810999999999998</v>
      </c>
      <c r="P282" s="51">
        <v>0</v>
      </c>
    </row>
    <row r="283" spans="1:16" x14ac:dyDescent="0.2">
      <c r="A283" s="52">
        <v>41791</v>
      </c>
      <c r="B283" s="51">
        <v>2.2143000000000002</v>
      </c>
      <c r="C283" s="51">
        <v>2.2412000000000001</v>
      </c>
      <c r="D283" s="51">
        <v>2.2917999999999998</v>
      </c>
      <c r="E283" s="51">
        <v>2.1871</v>
      </c>
      <c r="F283" s="51"/>
      <c r="G283" s="51">
        <v>-1.18E-2</v>
      </c>
      <c r="J283" s="52">
        <v>39916</v>
      </c>
      <c r="K283" s="51">
        <v>2.1288999999999998</v>
      </c>
      <c r="L283" s="51">
        <v>2.2174</v>
      </c>
      <c r="M283" s="51">
        <v>2.1230000000000002</v>
      </c>
      <c r="N283" s="51">
        <v>2.1389999999999998</v>
      </c>
      <c r="O283" s="51">
        <v>2.1389999999999998</v>
      </c>
      <c r="P283" s="51">
        <v>0</v>
      </c>
    </row>
    <row r="284" spans="1:16" x14ac:dyDescent="0.2">
      <c r="A284" s="52">
        <v>41821</v>
      </c>
      <c r="B284" s="51">
        <v>2.2639</v>
      </c>
      <c r="C284" s="51">
        <v>2.2147999999999999</v>
      </c>
      <c r="D284" s="51">
        <v>2.2751000000000001</v>
      </c>
      <c r="E284" s="51">
        <v>2.1989999999999998</v>
      </c>
      <c r="F284" s="51"/>
      <c r="G284" s="51">
        <v>2.24E-2</v>
      </c>
      <c r="J284" s="52">
        <v>39923</v>
      </c>
      <c r="K284" s="51">
        <v>2.1389999999999998</v>
      </c>
      <c r="L284" s="51">
        <v>2.2389999999999999</v>
      </c>
      <c r="M284" s="51">
        <v>2.1389999999999998</v>
      </c>
      <c r="N284" s="51">
        <v>2.1488</v>
      </c>
      <c r="O284" s="51">
        <v>2.1488</v>
      </c>
      <c r="P284" s="51">
        <v>0</v>
      </c>
    </row>
    <row r="285" spans="1:16" x14ac:dyDescent="0.2">
      <c r="A285" s="52">
        <v>41852</v>
      </c>
      <c r="B285" s="51">
        <v>2.2360000000000002</v>
      </c>
      <c r="C285" s="51">
        <v>2.2629999999999999</v>
      </c>
      <c r="D285" s="51">
        <v>2.3079000000000001</v>
      </c>
      <c r="E285" s="51">
        <v>2.2330999999999999</v>
      </c>
      <c r="F285" s="51"/>
      <c r="G285" s="51">
        <v>-1.23E-2</v>
      </c>
      <c r="J285" s="52">
        <v>39930</v>
      </c>
      <c r="K285" s="51">
        <v>2.1328</v>
      </c>
      <c r="L285" s="51">
        <v>2.2353999999999998</v>
      </c>
      <c r="M285" s="51">
        <v>2.1219999999999999</v>
      </c>
      <c r="N285" s="51">
        <v>2.1800000000000002</v>
      </c>
      <c r="O285" s="51">
        <v>2.1800000000000002</v>
      </c>
      <c r="P285" s="51">
        <v>0</v>
      </c>
    </row>
    <row r="286" spans="1:16" x14ac:dyDescent="0.2">
      <c r="A286" s="52">
        <v>41883</v>
      </c>
      <c r="B286" s="51">
        <v>2.4462000000000002</v>
      </c>
      <c r="C286" s="51">
        <v>2.2370999999999999</v>
      </c>
      <c r="D286" s="51">
        <v>2.4790999999999999</v>
      </c>
      <c r="E286" s="51">
        <v>2.226</v>
      </c>
      <c r="F286" s="51"/>
      <c r="G286" s="51">
        <v>9.4E-2</v>
      </c>
      <c r="J286" s="52">
        <v>39937</v>
      </c>
      <c r="K286" s="51">
        <v>2.1240000000000001</v>
      </c>
      <c r="L286" s="51">
        <v>2.1720000000000002</v>
      </c>
      <c r="M286" s="51">
        <v>2.0268000000000002</v>
      </c>
      <c r="N286" s="51">
        <v>2.0583</v>
      </c>
      <c r="O286" s="51">
        <v>2.0583</v>
      </c>
      <c r="P286" s="51">
        <v>0</v>
      </c>
    </row>
    <row r="287" spans="1:16" x14ac:dyDescent="0.2">
      <c r="A287" s="52">
        <v>41913</v>
      </c>
      <c r="B287" s="51">
        <v>2.4782999999999999</v>
      </c>
      <c r="C287" s="51">
        <v>2.4437000000000002</v>
      </c>
      <c r="D287" s="51">
        <v>2.5594999999999999</v>
      </c>
      <c r="E287" s="51">
        <v>2.3559999999999999</v>
      </c>
      <c r="F287" s="51"/>
      <c r="G287" s="51">
        <v>1.3100000000000001E-2</v>
      </c>
      <c r="J287" s="52">
        <v>39944</v>
      </c>
      <c r="K287" s="51">
        <v>2.0125000000000002</v>
      </c>
      <c r="L287" s="51">
        <v>2.1219999999999999</v>
      </c>
      <c r="M287" s="51">
        <v>2.0125000000000002</v>
      </c>
      <c r="N287" s="51">
        <v>2.0299</v>
      </c>
      <c r="O287" s="51">
        <v>2.0299</v>
      </c>
      <c r="P287" s="51">
        <v>0</v>
      </c>
    </row>
    <row r="288" spans="1:16" x14ac:dyDescent="0.2">
      <c r="A288" s="52">
        <v>41944</v>
      </c>
      <c r="B288" s="51">
        <v>2.5659000000000001</v>
      </c>
      <c r="C288" s="51">
        <v>2.4786999999999999</v>
      </c>
      <c r="D288" s="51">
        <v>2.6295999999999999</v>
      </c>
      <c r="E288" s="51">
        <v>2.4539</v>
      </c>
      <c r="F288" s="51"/>
      <c r="G288" s="51">
        <v>3.5299999999999998E-2</v>
      </c>
      <c r="J288" s="52">
        <v>39951</v>
      </c>
      <c r="K288" s="51">
        <v>2.0630000000000002</v>
      </c>
      <c r="L288" s="51">
        <v>2.1111</v>
      </c>
      <c r="M288" s="51">
        <v>1.9697</v>
      </c>
      <c r="N288" s="51">
        <v>2.0238</v>
      </c>
      <c r="O288" s="51">
        <v>2.0238</v>
      </c>
      <c r="P288" s="51">
        <v>0</v>
      </c>
    </row>
    <row r="289" spans="1:16" x14ac:dyDescent="0.2">
      <c r="A289" s="52">
        <v>41974</v>
      </c>
      <c r="B289" s="51">
        <v>2.6575000000000002</v>
      </c>
      <c r="C289" s="51">
        <v>2.5655999999999999</v>
      </c>
      <c r="D289" s="51">
        <v>2.7605</v>
      </c>
      <c r="E289" s="51">
        <v>2.5434999999999999</v>
      </c>
      <c r="F289" s="51"/>
      <c r="G289" s="51">
        <v>3.5700000000000003E-2</v>
      </c>
      <c r="J289" s="52">
        <v>39958</v>
      </c>
      <c r="K289" s="51">
        <v>1.9764999999999999</v>
      </c>
      <c r="L289" s="51">
        <v>2.0444</v>
      </c>
      <c r="M289" s="51">
        <v>1.917</v>
      </c>
      <c r="N289" s="51">
        <v>1.917</v>
      </c>
      <c r="O289" s="51">
        <v>1.917</v>
      </c>
      <c r="P289" s="51">
        <v>0</v>
      </c>
    </row>
    <row r="290" spans="1:16" x14ac:dyDescent="0.2">
      <c r="A290" s="52">
        <v>42005</v>
      </c>
      <c r="B290" s="51">
        <v>2.6823999999999999</v>
      </c>
      <c r="C290" s="51">
        <v>2.6579999999999999</v>
      </c>
      <c r="D290" s="51">
        <v>2.7313999999999998</v>
      </c>
      <c r="E290" s="51">
        <v>2.5499000000000001</v>
      </c>
      <c r="F290" s="51"/>
      <c r="G290" s="51">
        <v>9.4000000000000004E-3</v>
      </c>
      <c r="J290" s="52">
        <v>39965</v>
      </c>
      <c r="K290" s="51">
        <v>1.9015</v>
      </c>
      <c r="L290" s="51">
        <v>1.9742</v>
      </c>
      <c r="M290" s="51">
        <v>1.873</v>
      </c>
      <c r="N290" s="51">
        <v>1.9084000000000001</v>
      </c>
      <c r="O290" s="51">
        <v>1.9084000000000001</v>
      </c>
      <c r="P290" s="51">
        <v>0</v>
      </c>
    </row>
    <row r="291" spans="1:16" x14ac:dyDescent="0.2">
      <c r="A291" s="52">
        <v>42036</v>
      </c>
      <c r="B291" s="51">
        <v>2.839</v>
      </c>
      <c r="C291" s="51">
        <v>2.6823999999999999</v>
      </c>
      <c r="D291" s="51">
        <v>2.9214000000000002</v>
      </c>
      <c r="E291" s="51">
        <v>2.6659999999999999</v>
      </c>
      <c r="F291" s="51"/>
      <c r="G291" s="51">
        <v>5.8400000000000001E-2</v>
      </c>
      <c r="J291" s="52">
        <v>39972</v>
      </c>
      <c r="K291" s="51">
        <v>1.909</v>
      </c>
      <c r="L291" s="51">
        <v>1.9799</v>
      </c>
      <c r="M291" s="51">
        <v>1.8819999999999999</v>
      </c>
      <c r="N291" s="51">
        <v>1.9205000000000001</v>
      </c>
      <c r="O291" s="51">
        <v>1.9205000000000001</v>
      </c>
      <c r="P291" s="51">
        <v>0</v>
      </c>
    </row>
    <row r="292" spans="1:16" x14ac:dyDescent="0.2">
      <c r="A292" s="52">
        <v>42064</v>
      </c>
      <c r="B292" s="51">
        <v>3.1958000000000002</v>
      </c>
      <c r="C292" s="51">
        <v>2.8391000000000002</v>
      </c>
      <c r="D292" s="51">
        <v>3.3172999999999999</v>
      </c>
      <c r="E292" s="51">
        <v>2.8391000000000002</v>
      </c>
      <c r="F292" s="51"/>
      <c r="G292" s="51">
        <v>0.12570000000000001</v>
      </c>
      <c r="J292" s="52">
        <v>39979</v>
      </c>
      <c r="K292" s="51">
        <v>1.8759999999999999</v>
      </c>
      <c r="L292" s="51">
        <v>1.9946999999999999</v>
      </c>
      <c r="M292" s="51">
        <v>1.8759999999999999</v>
      </c>
      <c r="N292" s="51">
        <v>1.9019999999999999</v>
      </c>
      <c r="O292" s="51">
        <v>1.9019999999999999</v>
      </c>
      <c r="P292" s="51">
        <v>0</v>
      </c>
    </row>
    <row r="293" spans="1:16" x14ac:dyDescent="0.2">
      <c r="A293" s="52">
        <v>42095</v>
      </c>
      <c r="B293" s="51">
        <v>3.0145</v>
      </c>
      <c r="C293" s="51">
        <v>3.1943000000000001</v>
      </c>
      <c r="D293" s="51">
        <v>3.1943000000000001</v>
      </c>
      <c r="E293" s="51">
        <v>2.8818000000000001</v>
      </c>
      <c r="F293" s="51"/>
      <c r="G293" s="51">
        <v>-5.67E-2</v>
      </c>
      <c r="J293" s="52">
        <v>39986</v>
      </c>
      <c r="K293" s="51">
        <v>1.9245000000000001</v>
      </c>
      <c r="L293" s="51">
        <v>2.028</v>
      </c>
      <c r="M293" s="51">
        <v>1.8915999999999999</v>
      </c>
      <c r="N293" s="51">
        <v>1.8939999999999999</v>
      </c>
      <c r="O293" s="51">
        <v>1.8939999999999999</v>
      </c>
      <c r="P293" s="51">
        <v>0</v>
      </c>
    </row>
    <row r="294" spans="1:16" x14ac:dyDescent="0.2">
      <c r="A294" s="52">
        <v>42125</v>
      </c>
      <c r="B294" s="51">
        <v>3.1798000000000002</v>
      </c>
      <c r="C294" s="51">
        <v>3.0146999999999999</v>
      </c>
      <c r="D294" s="51">
        <v>3.1972999999999998</v>
      </c>
      <c r="E294" s="51">
        <v>2.9708999999999999</v>
      </c>
      <c r="F294" s="51"/>
      <c r="G294" s="51">
        <v>5.4800000000000001E-2</v>
      </c>
      <c r="J294" s="52">
        <v>39993</v>
      </c>
      <c r="K294" s="51">
        <v>1.8835</v>
      </c>
      <c r="L294" s="51">
        <v>1.9652000000000001</v>
      </c>
      <c r="M294" s="51">
        <v>1.8792</v>
      </c>
      <c r="N294" s="51">
        <v>1.9033</v>
      </c>
      <c r="O294" s="51">
        <v>1.9033</v>
      </c>
      <c r="P294" s="51">
        <v>0</v>
      </c>
    </row>
    <row r="295" spans="1:16" x14ac:dyDescent="0.2">
      <c r="A295" s="52">
        <v>42156</v>
      </c>
      <c r="B295" s="51">
        <v>3.1030000000000002</v>
      </c>
      <c r="C295" s="51">
        <v>3.1791</v>
      </c>
      <c r="D295" s="51">
        <v>3.2149000000000001</v>
      </c>
      <c r="E295" s="51">
        <v>3.0301999999999998</v>
      </c>
      <c r="F295" s="51"/>
      <c r="G295" s="51">
        <v>-2.4199999999999999E-2</v>
      </c>
      <c r="J295" s="52">
        <v>40000</v>
      </c>
      <c r="K295" s="51">
        <v>1.8998999999999999</v>
      </c>
      <c r="L295" s="51">
        <v>2.0240999999999998</v>
      </c>
      <c r="M295" s="51">
        <v>1.8998999999999999</v>
      </c>
      <c r="N295" s="51">
        <v>1.9643999999999999</v>
      </c>
      <c r="O295" s="51">
        <v>1.9643999999999999</v>
      </c>
      <c r="P295" s="51">
        <v>0</v>
      </c>
    </row>
    <row r="296" spans="1:16" x14ac:dyDescent="0.2">
      <c r="A296" s="52">
        <v>42186</v>
      </c>
      <c r="B296" s="51">
        <v>3.4211999999999998</v>
      </c>
      <c r="C296" s="51">
        <v>3.1030000000000002</v>
      </c>
      <c r="D296" s="51">
        <v>3.4355000000000002</v>
      </c>
      <c r="E296" s="51">
        <v>3.0933000000000002</v>
      </c>
      <c r="F296" s="51"/>
      <c r="G296" s="51">
        <v>0.10249999999999999</v>
      </c>
      <c r="J296" s="52">
        <v>40007</v>
      </c>
      <c r="K296" s="51">
        <v>1.9450000000000001</v>
      </c>
      <c r="L296" s="51">
        <v>2.0072999999999999</v>
      </c>
      <c r="M296" s="51">
        <v>1.8766</v>
      </c>
      <c r="N296" s="51">
        <v>1.9256</v>
      </c>
      <c r="O296" s="51">
        <v>1.9256</v>
      </c>
      <c r="P296" s="51">
        <v>0</v>
      </c>
    </row>
    <row r="297" spans="1:16" x14ac:dyDescent="0.2">
      <c r="A297" s="52">
        <v>42217</v>
      </c>
      <c r="B297" s="51">
        <v>3.6193</v>
      </c>
      <c r="C297" s="51">
        <v>3.4218000000000002</v>
      </c>
      <c r="D297" s="51">
        <v>3.6838000000000002</v>
      </c>
      <c r="E297" s="51">
        <v>3.4201999999999999</v>
      </c>
      <c r="F297" s="51"/>
      <c r="G297" s="51">
        <v>5.79E-2</v>
      </c>
      <c r="J297" s="52">
        <v>40014</v>
      </c>
      <c r="K297" s="51">
        <v>1.8755999999999999</v>
      </c>
      <c r="L297" s="51">
        <v>1.9650000000000001</v>
      </c>
      <c r="M297" s="51">
        <v>1.8346</v>
      </c>
      <c r="N297" s="51">
        <v>1.8936999999999999</v>
      </c>
      <c r="O297" s="51">
        <v>1.8936999999999999</v>
      </c>
      <c r="P297" s="51">
        <v>0</v>
      </c>
    </row>
    <row r="298" spans="1:16" x14ac:dyDescent="0.2">
      <c r="A298" s="52">
        <v>42248</v>
      </c>
      <c r="B298" s="51">
        <v>3.9491000000000001</v>
      </c>
      <c r="C298" s="51">
        <v>3.6198999999999999</v>
      </c>
      <c r="D298" s="51">
        <v>4.2495000000000003</v>
      </c>
      <c r="E298" s="51">
        <v>3.6194999999999999</v>
      </c>
      <c r="F298" s="51"/>
      <c r="G298" s="51">
        <v>9.11E-2</v>
      </c>
      <c r="J298" s="52">
        <v>40021</v>
      </c>
      <c r="K298" s="51">
        <v>1.8458000000000001</v>
      </c>
      <c r="L298" s="51">
        <v>1.9052</v>
      </c>
      <c r="M298" s="51">
        <v>1.8261000000000001</v>
      </c>
      <c r="N298" s="51">
        <v>1.8633999999999999</v>
      </c>
      <c r="O298" s="51">
        <v>1.8633999999999999</v>
      </c>
      <c r="P298" s="51">
        <v>0</v>
      </c>
    </row>
    <row r="299" spans="1:16" x14ac:dyDescent="0.2">
      <c r="A299" s="52">
        <v>42278</v>
      </c>
      <c r="B299" s="51">
        <v>3.8563999999999998</v>
      </c>
      <c r="C299" s="51">
        <v>3.9508000000000001</v>
      </c>
      <c r="D299" s="51">
        <v>4.0457000000000001</v>
      </c>
      <c r="E299" s="51">
        <v>3.7227000000000001</v>
      </c>
      <c r="F299" s="51"/>
      <c r="G299" s="51">
        <v>-2.35E-2</v>
      </c>
      <c r="J299" s="52">
        <v>40028</v>
      </c>
      <c r="K299" s="51">
        <v>1.8145</v>
      </c>
      <c r="L299" s="51">
        <v>1.8626</v>
      </c>
      <c r="M299" s="51">
        <v>1.7641</v>
      </c>
      <c r="N299" s="51">
        <v>1.7707999999999999</v>
      </c>
      <c r="O299" s="51">
        <v>1.7707999999999999</v>
      </c>
      <c r="P299" s="51">
        <v>0</v>
      </c>
    </row>
    <row r="300" spans="1:16" x14ac:dyDescent="0.2">
      <c r="A300" s="52">
        <v>42309</v>
      </c>
      <c r="B300" s="51">
        <v>3.8690000000000002</v>
      </c>
      <c r="C300" s="51">
        <v>3.8561999999999999</v>
      </c>
      <c r="D300" s="51">
        <v>3.9243000000000001</v>
      </c>
      <c r="E300" s="51">
        <v>3.6937000000000002</v>
      </c>
      <c r="F300" s="51"/>
      <c r="G300" s="51">
        <v>3.3E-3</v>
      </c>
      <c r="J300" s="52">
        <v>40035</v>
      </c>
      <c r="K300" s="51">
        <v>1.7706</v>
      </c>
      <c r="L300" s="51">
        <v>1.8584000000000001</v>
      </c>
      <c r="M300" s="51">
        <v>1.7706</v>
      </c>
      <c r="N300" s="51">
        <v>1.8</v>
      </c>
      <c r="O300" s="51">
        <v>1.8</v>
      </c>
      <c r="P300" s="51">
        <v>0</v>
      </c>
    </row>
    <row r="301" spans="1:16" x14ac:dyDescent="0.2">
      <c r="A301" s="52">
        <v>42339</v>
      </c>
      <c r="B301" s="51">
        <v>3.9607999999999999</v>
      </c>
      <c r="C301" s="51">
        <v>3.8687</v>
      </c>
      <c r="D301" s="51">
        <v>4.0423999999999998</v>
      </c>
      <c r="E301" s="51">
        <v>3.7164999999999999</v>
      </c>
      <c r="F301" s="51"/>
      <c r="G301" s="51">
        <v>2.3699999999999999E-2</v>
      </c>
      <c r="J301" s="52">
        <v>40042</v>
      </c>
      <c r="K301" s="51">
        <v>1.8</v>
      </c>
      <c r="L301" s="51">
        <v>1.8613</v>
      </c>
      <c r="M301" s="51">
        <v>1.7779</v>
      </c>
      <c r="N301" s="51">
        <v>1.7779</v>
      </c>
      <c r="O301" s="51">
        <v>1.7779</v>
      </c>
      <c r="P301" s="51">
        <v>0</v>
      </c>
    </row>
    <row r="302" spans="1:16" x14ac:dyDescent="0.2">
      <c r="A302" s="52">
        <v>42370</v>
      </c>
      <c r="B302" s="51">
        <v>3.9988000000000001</v>
      </c>
      <c r="C302" s="51">
        <v>3.9607999999999999</v>
      </c>
      <c r="D302" s="51">
        <v>4.1738</v>
      </c>
      <c r="E302" s="51">
        <v>3.9590000000000001</v>
      </c>
      <c r="F302" s="51"/>
      <c r="G302" s="51">
        <v>9.5999999999999992E-3</v>
      </c>
      <c r="J302" s="52">
        <v>40049</v>
      </c>
      <c r="K302" s="51">
        <v>1.7806</v>
      </c>
      <c r="L302" s="51">
        <v>1.8868</v>
      </c>
      <c r="M302" s="51">
        <v>1.7806</v>
      </c>
      <c r="N302" s="51">
        <v>1.8313999999999999</v>
      </c>
      <c r="O302" s="51">
        <v>1.8313999999999999</v>
      </c>
      <c r="P302" s="51">
        <v>0</v>
      </c>
    </row>
    <row r="303" spans="1:16" x14ac:dyDescent="0.2">
      <c r="A303" s="52">
        <v>42401</v>
      </c>
      <c r="B303" s="51">
        <v>4.0171000000000001</v>
      </c>
      <c r="C303" s="51">
        <v>3.9992000000000001</v>
      </c>
      <c r="D303" s="51">
        <v>4.0791000000000004</v>
      </c>
      <c r="E303" s="51">
        <v>3.8452999999999999</v>
      </c>
      <c r="F303" s="51"/>
      <c r="G303" s="51">
        <v>4.5999999999999999E-3</v>
      </c>
      <c r="J303" s="52">
        <v>40056</v>
      </c>
      <c r="K303" s="51">
        <v>1.8312999999999999</v>
      </c>
      <c r="L303" s="51">
        <v>1.9177999999999999</v>
      </c>
      <c r="M303" s="51">
        <v>1.7988</v>
      </c>
      <c r="N303" s="51">
        <v>1.8433999999999999</v>
      </c>
      <c r="O303" s="51">
        <v>1.8433999999999999</v>
      </c>
      <c r="P303" s="51">
        <v>0</v>
      </c>
    </row>
    <row r="304" spans="1:16" x14ac:dyDescent="0.2">
      <c r="A304" s="52">
        <v>42430</v>
      </c>
      <c r="B304" s="51">
        <v>3.5935000000000001</v>
      </c>
      <c r="C304" s="51">
        <v>4.0167000000000002</v>
      </c>
      <c r="D304" s="51">
        <v>4.0221999999999998</v>
      </c>
      <c r="E304" s="51">
        <v>3.5323000000000002</v>
      </c>
      <c r="F304" s="51"/>
      <c r="G304" s="51">
        <v>-0.10539999999999999</v>
      </c>
      <c r="J304" s="52">
        <v>40063</v>
      </c>
      <c r="K304" s="51">
        <v>1.7988</v>
      </c>
      <c r="L304" s="51">
        <v>1.8415999999999999</v>
      </c>
      <c r="M304" s="51">
        <v>1.7603</v>
      </c>
      <c r="N304" s="51">
        <v>1.8085</v>
      </c>
      <c r="O304" s="51">
        <v>1.8085</v>
      </c>
      <c r="P304" s="51">
        <v>0</v>
      </c>
    </row>
    <row r="305" spans="1:16" x14ac:dyDescent="0.2">
      <c r="A305" s="52">
        <v>42461</v>
      </c>
      <c r="B305" s="51">
        <v>3.4358</v>
      </c>
      <c r="C305" s="51">
        <v>3.5901000000000001</v>
      </c>
      <c r="D305" s="51">
        <v>3.7191000000000001</v>
      </c>
      <c r="E305" s="51">
        <v>3.4289000000000001</v>
      </c>
      <c r="F305" s="51"/>
      <c r="G305" s="51">
        <v>-4.3900000000000002E-2</v>
      </c>
      <c r="J305" s="52">
        <v>40070</v>
      </c>
      <c r="K305" s="51">
        <v>1.7815000000000001</v>
      </c>
      <c r="L305" s="51">
        <v>1.8342000000000001</v>
      </c>
      <c r="M305" s="51">
        <v>1.7506999999999999</v>
      </c>
      <c r="N305" s="51">
        <v>1.7593000000000001</v>
      </c>
      <c r="O305" s="51">
        <v>1.7593000000000001</v>
      </c>
      <c r="P305" s="51">
        <v>0</v>
      </c>
    </row>
    <row r="306" spans="1:16" x14ac:dyDescent="0.2">
      <c r="A306" s="52">
        <v>42491</v>
      </c>
      <c r="B306" s="51">
        <v>3.6111</v>
      </c>
      <c r="C306" s="51">
        <v>3.4354</v>
      </c>
      <c r="D306" s="51">
        <v>3.6760999999999999</v>
      </c>
      <c r="E306" s="51">
        <v>3.4331</v>
      </c>
      <c r="F306" s="51"/>
      <c r="G306" s="51">
        <v>5.0999999999999997E-2</v>
      </c>
      <c r="J306" s="52">
        <v>40077</v>
      </c>
      <c r="K306" s="51">
        <v>1.7593000000000001</v>
      </c>
      <c r="L306" s="51">
        <v>1.8218000000000001</v>
      </c>
      <c r="M306" s="51">
        <v>1.7430000000000001</v>
      </c>
      <c r="N306" s="51">
        <v>1.7503</v>
      </c>
      <c r="O306" s="51">
        <v>1.7503</v>
      </c>
      <c r="P306" s="51">
        <v>0</v>
      </c>
    </row>
    <row r="307" spans="1:16" x14ac:dyDescent="0.2">
      <c r="A307" s="52">
        <v>42522</v>
      </c>
      <c r="B307" s="51">
        <v>3.2134</v>
      </c>
      <c r="C307" s="51">
        <v>3.6089000000000002</v>
      </c>
      <c r="D307" s="51">
        <v>3.6360999999999999</v>
      </c>
      <c r="E307" s="51">
        <v>3.1825999999999999</v>
      </c>
      <c r="F307" s="51"/>
      <c r="G307" s="51">
        <v>-0.1101</v>
      </c>
      <c r="J307" s="52">
        <v>40084</v>
      </c>
      <c r="K307" s="51">
        <v>1.7410000000000001</v>
      </c>
      <c r="L307" s="51">
        <v>1.7938000000000001</v>
      </c>
      <c r="M307" s="51">
        <v>1.7216</v>
      </c>
      <c r="N307" s="51">
        <v>1.7333000000000001</v>
      </c>
      <c r="O307" s="51">
        <v>1.7333000000000001</v>
      </c>
      <c r="P307" s="51">
        <v>0</v>
      </c>
    </row>
    <row r="308" spans="1:16" x14ac:dyDescent="0.2">
      <c r="A308" s="52">
        <v>42552</v>
      </c>
      <c r="B308" s="51">
        <v>3.2486000000000002</v>
      </c>
      <c r="C308" s="51">
        <v>3.2136999999999998</v>
      </c>
      <c r="D308" s="51">
        <v>3.3723999999999998</v>
      </c>
      <c r="E308" s="51">
        <v>3.1968999999999999</v>
      </c>
      <c r="F308" s="51"/>
      <c r="G308" s="51">
        <v>1.0999999999999999E-2</v>
      </c>
      <c r="J308" s="52">
        <v>40091</v>
      </c>
      <c r="K308" s="51">
        <v>1.7318</v>
      </c>
      <c r="L308" s="51">
        <v>1.78</v>
      </c>
      <c r="M308" s="51">
        <v>1.6875</v>
      </c>
      <c r="N308" s="51">
        <v>1.6875</v>
      </c>
      <c r="O308" s="51">
        <v>1.6875</v>
      </c>
      <c r="P308" s="51">
        <v>0</v>
      </c>
    </row>
    <row r="309" spans="1:16" x14ac:dyDescent="0.2">
      <c r="A309" s="52">
        <v>42583</v>
      </c>
      <c r="B309" s="51">
        <v>3.2271999999999998</v>
      </c>
      <c r="C309" s="51">
        <v>3.2488000000000001</v>
      </c>
      <c r="D309" s="51">
        <v>3.2927</v>
      </c>
      <c r="E309" s="51">
        <v>3.1128</v>
      </c>
      <c r="F309" s="51"/>
      <c r="G309" s="51">
        <v>-6.6E-3</v>
      </c>
      <c r="J309" s="52">
        <v>40098</v>
      </c>
      <c r="K309" s="51">
        <v>1.6932</v>
      </c>
      <c r="L309" s="51">
        <v>1.7411000000000001</v>
      </c>
      <c r="M309" s="51">
        <v>1.6513</v>
      </c>
      <c r="N309" s="51">
        <v>1.6595</v>
      </c>
      <c r="O309" s="51">
        <v>1.6595</v>
      </c>
      <c r="P309" s="51">
        <v>0</v>
      </c>
    </row>
    <row r="310" spans="1:16" x14ac:dyDescent="0.2">
      <c r="A310" s="52">
        <v>42614</v>
      </c>
      <c r="B310" s="51">
        <v>3.2603</v>
      </c>
      <c r="C310" s="51">
        <v>3.2265000000000001</v>
      </c>
      <c r="D310" s="51">
        <v>3.3689</v>
      </c>
      <c r="E310" s="51">
        <v>3.1657000000000002</v>
      </c>
      <c r="F310" s="51"/>
      <c r="G310" s="51">
        <v>1.03E-2</v>
      </c>
      <c r="J310" s="52">
        <v>40105</v>
      </c>
      <c r="K310" s="51">
        <v>1.6575</v>
      </c>
      <c r="L310" s="51">
        <v>1.7637</v>
      </c>
      <c r="M310" s="51">
        <v>1.6575</v>
      </c>
      <c r="N310" s="51">
        <v>1.6641999999999999</v>
      </c>
      <c r="O310" s="51">
        <v>1.6641999999999999</v>
      </c>
      <c r="P310" s="51">
        <v>0</v>
      </c>
    </row>
    <row r="311" spans="1:16" x14ac:dyDescent="0.2">
      <c r="A311" s="52">
        <v>42644</v>
      </c>
      <c r="B311" s="51">
        <v>3.1892999999999998</v>
      </c>
      <c r="C311" s="51">
        <v>3.2631000000000001</v>
      </c>
      <c r="D311" s="51">
        <v>3.2639999999999998</v>
      </c>
      <c r="E311" s="51">
        <v>3.1025999999999998</v>
      </c>
      <c r="F311" s="51"/>
      <c r="G311" s="51">
        <v>-2.18E-2</v>
      </c>
      <c r="J311" s="52">
        <v>40112</v>
      </c>
      <c r="K311" s="51">
        <v>1.6677999999999999</v>
      </c>
      <c r="L311" s="51">
        <v>1.7757000000000001</v>
      </c>
      <c r="M311" s="51">
        <v>1.6677999999999999</v>
      </c>
      <c r="N311" s="51">
        <v>1.7518</v>
      </c>
      <c r="O311" s="51">
        <v>1.7518</v>
      </c>
      <c r="P311" s="51">
        <v>0</v>
      </c>
    </row>
    <row r="312" spans="1:16" x14ac:dyDescent="0.2">
      <c r="A312" s="52">
        <v>42675</v>
      </c>
      <c r="B312" s="51">
        <v>3.3841999999999999</v>
      </c>
      <c r="C312" s="51">
        <v>3.1890999999999998</v>
      </c>
      <c r="D312" s="51">
        <v>3.5085999999999999</v>
      </c>
      <c r="E312" s="51">
        <v>3.1629999999999998</v>
      </c>
      <c r="F312" s="51"/>
      <c r="G312" s="51">
        <v>6.1100000000000002E-2</v>
      </c>
      <c r="J312" s="52">
        <v>40119</v>
      </c>
      <c r="K312" s="51">
        <v>1.7135</v>
      </c>
      <c r="L312" s="51">
        <v>1.7806</v>
      </c>
      <c r="M312" s="51">
        <v>1.6659999999999999</v>
      </c>
      <c r="N312" s="51">
        <v>1.7151000000000001</v>
      </c>
      <c r="O312" s="51">
        <v>1.7151000000000001</v>
      </c>
      <c r="P312" s="51">
        <v>0</v>
      </c>
    </row>
    <row r="313" spans="1:16" x14ac:dyDescent="0.2">
      <c r="A313" s="52">
        <v>42705</v>
      </c>
      <c r="B313" s="51">
        <v>3.2547000000000001</v>
      </c>
      <c r="C313" s="51">
        <v>3.3854000000000002</v>
      </c>
      <c r="D313" s="51">
        <v>3.4937999999999998</v>
      </c>
      <c r="E313" s="51">
        <v>3.2416</v>
      </c>
      <c r="F313" s="51"/>
      <c r="G313" s="51">
        <v>-3.8300000000000001E-2</v>
      </c>
      <c r="J313" s="52">
        <v>40126</v>
      </c>
      <c r="K313" s="51">
        <v>1.6681999999999999</v>
      </c>
      <c r="L313" s="51">
        <v>1.7406999999999999</v>
      </c>
      <c r="M313" s="51">
        <v>1.6488</v>
      </c>
      <c r="N313" s="51">
        <v>1.7234</v>
      </c>
      <c r="O313" s="51">
        <v>1.7234</v>
      </c>
      <c r="P313" s="51">
        <v>0</v>
      </c>
    </row>
    <row r="314" spans="1:16" x14ac:dyDescent="0.2">
      <c r="A314" s="52">
        <v>42736</v>
      </c>
      <c r="B314" s="51">
        <v>3.1509</v>
      </c>
      <c r="C314" s="51">
        <v>3.2534000000000001</v>
      </c>
      <c r="D314" s="51">
        <v>3.2923</v>
      </c>
      <c r="E314" s="51">
        <v>3.1012</v>
      </c>
      <c r="F314" s="51"/>
      <c r="G314" s="51">
        <v>-3.1899999999999998E-2</v>
      </c>
      <c r="J314" s="52">
        <v>40133</v>
      </c>
      <c r="K314" s="51">
        <v>1.6713</v>
      </c>
      <c r="L314" s="51">
        <v>1.7361</v>
      </c>
      <c r="M314" s="51">
        <v>1.661</v>
      </c>
      <c r="N314" s="51">
        <v>1.7327999999999999</v>
      </c>
      <c r="O314" s="51">
        <v>1.7327999999999999</v>
      </c>
      <c r="P314" s="51">
        <v>0</v>
      </c>
    </row>
    <row r="315" spans="1:16" x14ac:dyDescent="0.2">
      <c r="A315" s="52">
        <v>42767</v>
      </c>
      <c r="B315" s="51">
        <v>3.1091000000000002</v>
      </c>
      <c r="C315" s="51">
        <v>3.1515</v>
      </c>
      <c r="D315" s="51">
        <v>3.1633</v>
      </c>
      <c r="E315" s="51">
        <v>3.0388999999999999</v>
      </c>
      <c r="F315" s="51"/>
      <c r="G315" s="51">
        <v>-1.3299999999999999E-2</v>
      </c>
      <c r="J315" s="52">
        <v>40140</v>
      </c>
      <c r="K315" s="51">
        <v>1.6819999999999999</v>
      </c>
      <c r="L315" s="51">
        <v>1.7577</v>
      </c>
      <c r="M315" s="51">
        <v>1.6768000000000001</v>
      </c>
      <c r="N315" s="51">
        <v>1.7353000000000001</v>
      </c>
      <c r="O315" s="51">
        <v>1.7353000000000001</v>
      </c>
      <c r="P315" s="51">
        <v>0</v>
      </c>
    </row>
    <row r="316" spans="1:16" x14ac:dyDescent="0.2">
      <c r="A316" s="52">
        <v>42795</v>
      </c>
      <c r="B316" s="51">
        <v>3.1233</v>
      </c>
      <c r="C316" s="51">
        <v>3.1086999999999998</v>
      </c>
      <c r="D316" s="51">
        <v>3.1983999999999999</v>
      </c>
      <c r="E316" s="51">
        <v>3.0594999999999999</v>
      </c>
      <c r="F316" s="51"/>
      <c r="G316" s="51">
        <v>4.5999999999999999E-3</v>
      </c>
      <c r="J316" s="52">
        <v>40147</v>
      </c>
      <c r="K316" s="51">
        <v>1.6921999999999999</v>
      </c>
      <c r="L316" s="51">
        <v>1.7529999999999999</v>
      </c>
      <c r="M316" s="51">
        <v>1.6587000000000001</v>
      </c>
      <c r="N316" s="51">
        <v>1.7224999999999999</v>
      </c>
      <c r="O316" s="51">
        <v>1.7224999999999999</v>
      </c>
      <c r="P316" s="51">
        <v>0</v>
      </c>
    </row>
    <row r="317" spans="1:16" x14ac:dyDescent="0.2">
      <c r="A317" s="52">
        <v>42826</v>
      </c>
      <c r="B317" s="51">
        <v>3.1766999999999999</v>
      </c>
      <c r="C317" s="51">
        <v>3.1234999999999999</v>
      </c>
      <c r="D317" s="51">
        <v>3.2149000000000001</v>
      </c>
      <c r="E317" s="51">
        <v>3.0804999999999998</v>
      </c>
      <c r="F317" s="51"/>
      <c r="G317" s="51">
        <v>1.7100000000000001E-2</v>
      </c>
      <c r="J317" s="52">
        <v>40154</v>
      </c>
      <c r="K317" s="51">
        <v>1.6815</v>
      </c>
      <c r="L317" s="51">
        <v>1.7698</v>
      </c>
      <c r="M317" s="51">
        <v>1.6815</v>
      </c>
      <c r="N317" s="51">
        <v>1.7115</v>
      </c>
      <c r="O317" s="51">
        <v>1.7115</v>
      </c>
      <c r="P317" s="51">
        <v>0</v>
      </c>
    </row>
    <row r="318" spans="1:16" x14ac:dyDescent="0.2">
      <c r="A318" s="52">
        <v>42856</v>
      </c>
      <c r="B318" s="51">
        <v>3.2265999999999999</v>
      </c>
      <c r="C318" s="51">
        <v>3.1766000000000001</v>
      </c>
      <c r="D318" s="51">
        <v>3.4095</v>
      </c>
      <c r="E318" s="51">
        <v>3.0874999999999999</v>
      </c>
      <c r="F318" s="51"/>
      <c r="G318" s="51">
        <v>1.5699999999999999E-2</v>
      </c>
      <c r="J318" s="52">
        <v>40161</v>
      </c>
      <c r="K318" s="51">
        <v>1.7095</v>
      </c>
      <c r="L318" s="51">
        <v>1.7983</v>
      </c>
      <c r="M318" s="51">
        <v>1.6913</v>
      </c>
      <c r="N318" s="51">
        <v>1.7865</v>
      </c>
      <c r="O318" s="51">
        <v>1.7865</v>
      </c>
      <c r="P318" s="51">
        <v>0</v>
      </c>
    </row>
    <row r="319" spans="1:16" x14ac:dyDescent="0.2">
      <c r="A319" s="52">
        <v>42887</v>
      </c>
      <c r="B319" s="51">
        <v>3.3071999999999999</v>
      </c>
      <c r="C319" s="51">
        <v>3.2271000000000001</v>
      </c>
      <c r="D319" s="51">
        <v>3.3494999999999999</v>
      </c>
      <c r="E319" s="51">
        <v>3.2149000000000001</v>
      </c>
      <c r="F319" s="51"/>
      <c r="G319" s="51">
        <v>2.5000000000000001E-2</v>
      </c>
      <c r="J319" s="52">
        <v>40168</v>
      </c>
      <c r="K319" s="51">
        <v>1.7307999999999999</v>
      </c>
      <c r="L319" s="51">
        <v>1.7863</v>
      </c>
      <c r="M319" s="51">
        <v>1.7272000000000001</v>
      </c>
      <c r="N319" s="51">
        <v>1.7272000000000001</v>
      </c>
      <c r="O319" s="51">
        <v>1.7272000000000001</v>
      </c>
      <c r="P319" s="51">
        <v>0</v>
      </c>
    </row>
    <row r="320" spans="1:16" x14ac:dyDescent="0.2">
      <c r="A320" s="52">
        <v>42917</v>
      </c>
      <c r="B320" s="51">
        <v>3.1263999999999998</v>
      </c>
      <c r="C320" s="51">
        <v>3.3189000000000002</v>
      </c>
      <c r="D320" s="51">
        <v>3.3311999999999999</v>
      </c>
      <c r="E320" s="51">
        <v>3.1101999999999999</v>
      </c>
      <c r="F320" s="51"/>
      <c r="G320" s="51">
        <v>-5.4699999999999999E-2</v>
      </c>
      <c r="J320" s="52">
        <v>40175</v>
      </c>
      <c r="K320" s="51">
        <v>1.7124999999999999</v>
      </c>
      <c r="L320" s="51">
        <v>1.7604</v>
      </c>
      <c r="M320" s="51">
        <v>1.6884999999999999</v>
      </c>
      <c r="N320" s="51">
        <v>1.7430000000000001</v>
      </c>
      <c r="O320" s="51">
        <v>1.7430000000000001</v>
      </c>
      <c r="P320" s="51">
        <v>0</v>
      </c>
    </row>
    <row r="321" spans="1:16" x14ac:dyDescent="0.2">
      <c r="A321" s="52">
        <v>42948</v>
      </c>
      <c r="B321" s="51">
        <v>3.1478999999999999</v>
      </c>
      <c r="C321" s="51">
        <v>3.1271</v>
      </c>
      <c r="D321" s="51">
        <v>3.2212000000000001</v>
      </c>
      <c r="E321" s="51">
        <v>3.1073</v>
      </c>
      <c r="F321" s="51"/>
      <c r="G321" s="51">
        <v>6.8999999999999999E-3</v>
      </c>
      <c r="J321" s="52">
        <v>40182</v>
      </c>
      <c r="K321" s="51">
        <v>1.6930000000000001</v>
      </c>
      <c r="L321" s="51">
        <v>1.7492000000000001</v>
      </c>
      <c r="M321" s="51">
        <v>1.6713</v>
      </c>
      <c r="N321" s="51">
        <v>1.732</v>
      </c>
      <c r="O321" s="51">
        <v>1.732</v>
      </c>
      <c r="P321" s="51">
        <v>0</v>
      </c>
    </row>
    <row r="322" spans="1:16" x14ac:dyDescent="0.2">
      <c r="A322" s="52">
        <v>42979</v>
      </c>
      <c r="B322" s="51">
        <v>3.1619000000000002</v>
      </c>
      <c r="C322" s="51">
        <v>3.1475</v>
      </c>
      <c r="D322" s="51">
        <v>3.2004999999999999</v>
      </c>
      <c r="E322" s="51">
        <v>3.0789</v>
      </c>
      <c r="F322" s="51"/>
      <c r="G322" s="51">
        <v>4.4000000000000003E-3</v>
      </c>
      <c r="J322" s="52">
        <v>40189</v>
      </c>
      <c r="K322" s="51">
        <v>1.6765000000000001</v>
      </c>
      <c r="L322" s="51">
        <v>1.7704</v>
      </c>
      <c r="M322" s="51">
        <v>1.6765000000000001</v>
      </c>
      <c r="N322" s="51">
        <v>1.7312000000000001</v>
      </c>
      <c r="O322" s="51">
        <v>1.7312000000000001</v>
      </c>
      <c r="P322" s="51">
        <v>0</v>
      </c>
    </row>
    <row r="323" spans="1:16" x14ac:dyDescent="0.2">
      <c r="A323" s="52">
        <v>43009</v>
      </c>
      <c r="B323" s="51">
        <v>3.2728000000000002</v>
      </c>
      <c r="C323" s="51">
        <v>3.1642000000000001</v>
      </c>
      <c r="D323" s="51">
        <v>3.3029999999999999</v>
      </c>
      <c r="E323" s="51">
        <v>3.1221000000000001</v>
      </c>
      <c r="F323" s="51"/>
      <c r="G323" s="51">
        <v>3.5099999999999999E-2</v>
      </c>
      <c r="J323" s="52">
        <v>40196</v>
      </c>
      <c r="K323" s="51">
        <v>1.7215</v>
      </c>
      <c r="L323" s="51">
        <v>1.8301000000000001</v>
      </c>
      <c r="M323" s="51">
        <v>1.71</v>
      </c>
      <c r="N323" s="51">
        <v>1.8189</v>
      </c>
      <c r="O323" s="51">
        <v>1.8189</v>
      </c>
      <c r="P323" s="51">
        <v>0</v>
      </c>
    </row>
    <row r="324" spans="1:16" x14ac:dyDescent="0.2">
      <c r="A324" s="52">
        <v>43040</v>
      </c>
      <c r="B324" s="51">
        <v>3.2726999999999999</v>
      </c>
      <c r="C324" s="51">
        <v>3.2725</v>
      </c>
      <c r="D324" s="51">
        <v>3.3349000000000002</v>
      </c>
      <c r="E324" s="51">
        <v>3.2002000000000002</v>
      </c>
      <c r="F324" s="51"/>
      <c r="G324" s="51">
        <v>0</v>
      </c>
      <c r="J324" s="52">
        <v>40203</v>
      </c>
      <c r="K324" s="51">
        <v>1.7715000000000001</v>
      </c>
      <c r="L324" s="51">
        <v>1.8729</v>
      </c>
      <c r="M324" s="51">
        <v>1.7655000000000001</v>
      </c>
      <c r="N324" s="51">
        <v>1.8393999999999999</v>
      </c>
      <c r="O324" s="51">
        <v>1.8393999999999999</v>
      </c>
      <c r="P324" s="51">
        <v>0</v>
      </c>
    </row>
    <row r="325" spans="1:16" x14ac:dyDescent="0.2">
      <c r="A325" s="52">
        <v>43070</v>
      </c>
      <c r="B325" s="51">
        <v>3.3125</v>
      </c>
      <c r="C325" s="51">
        <v>3.2730000000000001</v>
      </c>
      <c r="D325" s="51">
        <v>3.3479000000000001</v>
      </c>
      <c r="E325" s="51">
        <v>3.2197</v>
      </c>
      <c r="F325" s="51"/>
      <c r="G325" s="51">
        <v>1.2200000000000001E-2</v>
      </c>
      <c r="J325" s="52">
        <v>40210</v>
      </c>
      <c r="K325" s="51">
        <v>1.819</v>
      </c>
      <c r="L325" s="51">
        <v>1.8952</v>
      </c>
      <c r="M325" s="51">
        <v>1.7797000000000001</v>
      </c>
      <c r="N325" s="51">
        <v>1.8334999999999999</v>
      </c>
      <c r="O325" s="51">
        <v>1.8334999999999999</v>
      </c>
      <c r="P325" s="51">
        <v>0</v>
      </c>
    </row>
    <row r="326" spans="1:16" x14ac:dyDescent="0.2">
      <c r="A326" s="52">
        <v>43101</v>
      </c>
      <c r="B326" s="51">
        <v>3.1859000000000002</v>
      </c>
      <c r="C326" s="51">
        <v>3.3134000000000001</v>
      </c>
      <c r="D326" s="51">
        <v>3.3134000000000001</v>
      </c>
      <c r="E326" s="51">
        <v>3.1194999999999999</v>
      </c>
      <c r="F326" s="51"/>
      <c r="G326" s="51">
        <v>-3.8199999999999998E-2</v>
      </c>
      <c r="J326" s="52">
        <v>40217</v>
      </c>
      <c r="K326" s="51">
        <v>1.8320000000000001</v>
      </c>
      <c r="L326" s="51">
        <v>1.8857999999999999</v>
      </c>
      <c r="M326" s="51">
        <v>1.7975000000000001</v>
      </c>
      <c r="N326" s="51">
        <v>1.8115000000000001</v>
      </c>
      <c r="O326" s="51">
        <v>1.8115000000000001</v>
      </c>
      <c r="P326" s="51">
        <v>0</v>
      </c>
    </row>
    <row r="327" spans="1:16" x14ac:dyDescent="0.2">
      <c r="A327" s="52">
        <v>43132</v>
      </c>
      <c r="B327" s="51">
        <v>3.2462</v>
      </c>
      <c r="C327" s="51">
        <v>3.1857000000000002</v>
      </c>
      <c r="D327" s="51">
        <v>3.3188</v>
      </c>
      <c r="E327" s="51">
        <v>3.1616</v>
      </c>
      <c r="F327" s="51"/>
      <c r="G327" s="51">
        <v>1.89E-2</v>
      </c>
      <c r="J327" s="52">
        <v>40224</v>
      </c>
      <c r="K327" s="51">
        <v>1.8120000000000001</v>
      </c>
      <c r="L327" s="51">
        <v>1.8593</v>
      </c>
      <c r="M327" s="51">
        <v>1.7467999999999999</v>
      </c>
      <c r="N327" s="51">
        <v>1.7794000000000001</v>
      </c>
      <c r="O327" s="51">
        <v>1.7794000000000001</v>
      </c>
      <c r="P327" s="51">
        <v>0</v>
      </c>
    </row>
    <row r="328" spans="1:16" x14ac:dyDescent="0.2">
      <c r="A328" s="52">
        <v>43160</v>
      </c>
      <c r="B328" s="51">
        <v>3.3050999999999999</v>
      </c>
      <c r="C328" s="51">
        <v>3.2463000000000002</v>
      </c>
      <c r="D328" s="51">
        <v>3.3464</v>
      </c>
      <c r="E328" s="51">
        <v>3.2054999999999998</v>
      </c>
      <c r="F328" s="51"/>
      <c r="G328" s="51">
        <v>1.8100000000000002E-2</v>
      </c>
      <c r="J328" s="52">
        <v>40231</v>
      </c>
      <c r="K328" s="51">
        <v>1.7615000000000001</v>
      </c>
      <c r="L328" s="51">
        <v>1.8380000000000001</v>
      </c>
      <c r="M328" s="51">
        <v>1.7490000000000001</v>
      </c>
      <c r="N328" s="51">
        <v>1.7490000000000001</v>
      </c>
      <c r="O328" s="51">
        <v>1.7490000000000001</v>
      </c>
      <c r="P328" s="51">
        <v>0</v>
      </c>
    </row>
    <row r="329" spans="1:16" x14ac:dyDescent="0.2">
      <c r="A329" s="52">
        <v>43191</v>
      </c>
      <c r="B329" s="51">
        <v>3.5072000000000001</v>
      </c>
      <c r="C329" s="51">
        <v>3.3050000000000002</v>
      </c>
      <c r="D329" s="51">
        <v>3.5158999999999998</v>
      </c>
      <c r="E329" s="51">
        <v>3.2957999999999998</v>
      </c>
      <c r="F329" s="51"/>
      <c r="G329" s="51">
        <v>6.1100000000000002E-2</v>
      </c>
      <c r="J329" s="52">
        <v>40238</v>
      </c>
      <c r="K329" s="51">
        <v>1.7563</v>
      </c>
      <c r="L329" s="51">
        <v>1.8111999999999999</v>
      </c>
      <c r="M329" s="51">
        <v>1.7275</v>
      </c>
      <c r="N329" s="51">
        <v>1.7275</v>
      </c>
      <c r="O329" s="51">
        <v>1.7275</v>
      </c>
      <c r="P329" s="51">
        <v>0</v>
      </c>
    </row>
    <row r="330" spans="1:16" x14ac:dyDescent="0.2">
      <c r="A330" s="52">
        <v>43221</v>
      </c>
      <c r="B330" s="51">
        <v>3.7235</v>
      </c>
      <c r="C330" s="51">
        <v>3.508</v>
      </c>
      <c r="D330" s="51">
        <v>3.7772999999999999</v>
      </c>
      <c r="E330" s="51">
        <v>3.5078999999999998</v>
      </c>
      <c r="F330" s="51"/>
      <c r="G330" s="51">
        <v>6.1699999999999998E-2</v>
      </c>
      <c r="J330" s="52">
        <v>40245</v>
      </c>
      <c r="K330" s="51">
        <v>1.7276</v>
      </c>
      <c r="L330" s="51">
        <v>1.7974000000000001</v>
      </c>
      <c r="M330" s="51">
        <v>1.7141999999999999</v>
      </c>
      <c r="N330" s="51">
        <v>1.7143999999999999</v>
      </c>
      <c r="O330" s="51">
        <v>1.7143999999999999</v>
      </c>
      <c r="P330" s="51">
        <v>0</v>
      </c>
    </row>
    <row r="331" spans="1:16" x14ac:dyDescent="0.2">
      <c r="A331" s="52">
        <v>43252</v>
      </c>
      <c r="B331" s="51">
        <v>3.8771</v>
      </c>
      <c r="C331" s="51">
        <v>3.7252999999999998</v>
      </c>
      <c r="D331" s="51">
        <v>3.9676999999999998</v>
      </c>
      <c r="E331" s="51">
        <v>3.6680000000000001</v>
      </c>
      <c r="F331" s="51"/>
      <c r="G331" s="51">
        <v>4.1300000000000003E-2</v>
      </c>
      <c r="J331" s="52">
        <v>40252</v>
      </c>
      <c r="K331" s="51">
        <v>1.7136</v>
      </c>
      <c r="L331" s="51">
        <v>1.7994000000000001</v>
      </c>
      <c r="M331" s="51">
        <v>1.7125999999999999</v>
      </c>
      <c r="N331" s="51">
        <v>1.7464</v>
      </c>
      <c r="O331" s="51">
        <v>1.7464</v>
      </c>
      <c r="P331" s="51">
        <v>0</v>
      </c>
    </row>
    <row r="332" spans="1:16" x14ac:dyDescent="0.2">
      <c r="A332" s="52">
        <v>43282</v>
      </c>
      <c r="B332" s="51">
        <v>3.7564000000000002</v>
      </c>
      <c r="C332" s="51">
        <v>3.8784000000000001</v>
      </c>
      <c r="D332" s="51">
        <v>3.9531000000000001</v>
      </c>
      <c r="E332" s="51">
        <v>3.6882999999999999</v>
      </c>
      <c r="F332" s="51"/>
      <c r="G332" s="51">
        <v>-3.1099999999999999E-2</v>
      </c>
      <c r="J332" s="52">
        <v>40259</v>
      </c>
      <c r="K332" s="51">
        <v>1.7508999999999999</v>
      </c>
      <c r="L332" s="51">
        <v>1.823</v>
      </c>
      <c r="M332" s="51">
        <v>1.7266999999999999</v>
      </c>
      <c r="N332" s="51">
        <v>1.7723</v>
      </c>
      <c r="O332" s="51">
        <v>1.7723</v>
      </c>
      <c r="P332" s="51">
        <v>0</v>
      </c>
    </row>
    <row r="333" spans="1:16" x14ac:dyDescent="0.2">
      <c r="A333" s="52">
        <v>43313</v>
      </c>
      <c r="B333" s="51">
        <v>4.0556000000000001</v>
      </c>
      <c r="C333" s="51">
        <v>3.7568999999999999</v>
      </c>
      <c r="D333" s="51">
        <v>4.2159000000000004</v>
      </c>
      <c r="E333" s="51">
        <v>3.6907000000000001</v>
      </c>
      <c r="F333" s="51"/>
      <c r="G333" s="51">
        <v>7.9699999999999993E-2</v>
      </c>
      <c r="J333" s="52">
        <v>40266</v>
      </c>
      <c r="K333" s="51">
        <v>1.7723</v>
      </c>
      <c r="L333" s="51">
        <v>1.8159000000000001</v>
      </c>
      <c r="M333" s="51">
        <v>1.7178</v>
      </c>
      <c r="N333" s="51">
        <v>1.7178</v>
      </c>
      <c r="O333" s="51">
        <v>1.7178</v>
      </c>
      <c r="P333" s="51">
        <v>0</v>
      </c>
    </row>
    <row r="334" spans="1:16" x14ac:dyDescent="0.2">
      <c r="A334" s="52">
        <v>43344</v>
      </c>
      <c r="B334" s="51">
        <v>4.0491000000000001</v>
      </c>
      <c r="C334" s="51">
        <v>4.0929000000000002</v>
      </c>
      <c r="D334" s="51">
        <v>4.2117000000000004</v>
      </c>
      <c r="E334" s="51">
        <v>3.9676</v>
      </c>
      <c r="F334" s="51"/>
      <c r="G334" s="51">
        <v>-1.6000000000000001E-3</v>
      </c>
      <c r="J334" s="52">
        <v>40273</v>
      </c>
      <c r="K334" s="51">
        <v>1.7178</v>
      </c>
      <c r="L334" s="51">
        <v>1.7874000000000001</v>
      </c>
      <c r="M334" s="51">
        <v>1.7043999999999999</v>
      </c>
      <c r="N334" s="51">
        <v>1.7709999999999999</v>
      </c>
      <c r="O334" s="51">
        <v>1.7709999999999999</v>
      </c>
      <c r="P334" s="51">
        <v>0</v>
      </c>
    </row>
    <row r="335" spans="1:16" x14ac:dyDescent="0.2">
      <c r="A335" s="52">
        <v>43374</v>
      </c>
      <c r="B335" s="51">
        <v>3.722</v>
      </c>
      <c r="C335" s="51">
        <v>4.0496999999999996</v>
      </c>
      <c r="D335" s="51">
        <v>4.0629999999999997</v>
      </c>
      <c r="E335" s="51">
        <v>3.5813000000000001</v>
      </c>
      <c r="F335" s="51"/>
      <c r="G335" s="51">
        <v>-8.0799999999999997E-2</v>
      </c>
      <c r="J335" s="52">
        <v>40280</v>
      </c>
      <c r="K335" s="51">
        <v>1.7146999999999999</v>
      </c>
      <c r="L335" s="51">
        <v>1.7665999999999999</v>
      </c>
      <c r="M335" s="51">
        <v>1.6950000000000001</v>
      </c>
      <c r="N335" s="51">
        <v>1.7579</v>
      </c>
      <c r="O335" s="51">
        <v>1.7579</v>
      </c>
      <c r="P335" s="51">
        <v>0</v>
      </c>
    </row>
    <row r="336" spans="1:16" x14ac:dyDescent="0.2">
      <c r="A336" s="52">
        <v>43405</v>
      </c>
      <c r="B336" s="51">
        <v>3.8668999999999998</v>
      </c>
      <c r="C336" s="51">
        <v>3.7225999999999999</v>
      </c>
      <c r="D336" s="51">
        <v>3.9447000000000001</v>
      </c>
      <c r="E336" s="51">
        <v>3.6793999999999998</v>
      </c>
      <c r="F336" s="51"/>
      <c r="G336" s="51">
        <v>3.8899999999999997E-2</v>
      </c>
      <c r="J336" s="52">
        <v>40287</v>
      </c>
      <c r="K336" s="51">
        <v>1.7099</v>
      </c>
      <c r="L336" s="51">
        <v>1.7669999999999999</v>
      </c>
      <c r="M336" s="51">
        <v>1.7022999999999999</v>
      </c>
      <c r="N336" s="51">
        <v>1.7627999999999999</v>
      </c>
      <c r="O336" s="51">
        <v>1.7627999999999999</v>
      </c>
      <c r="P336" s="51">
        <v>0</v>
      </c>
    </row>
    <row r="337" spans="1:16" x14ac:dyDescent="0.2">
      <c r="A337" s="52">
        <v>43435</v>
      </c>
      <c r="B337" s="51">
        <v>3.8812000000000002</v>
      </c>
      <c r="C337" s="51">
        <v>3.867</v>
      </c>
      <c r="D337" s="51">
        <v>3.9462000000000002</v>
      </c>
      <c r="E337" s="51">
        <v>3.8155000000000001</v>
      </c>
      <c r="F337" s="51"/>
      <c r="G337" s="51">
        <v>3.7000000000000002E-3</v>
      </c>
      <c r="J337" s="52">
        <v>40294</v>
      </c>
      <c r="K337" s="51">
        <v>1.7057</v>
      </c>
      <c r="L337" s="51">
        <v>1.7687999999999999</v>
      </c>
      <c r="M337" s="51">
        <v>1.6759999999999999</v>
      </c>
      <c r="N337" s="51">
        <v>1.6759999999999999</v>
      </c>
      <c r="O337" s="51">
        <v>1.6759999999999999</v>
      </c>
      <c r="P337" s="51">
        <v>0</v>
      </c>
    </row>
    <row r="338" spans="1:16" x14ac:dyDescent="0.2">
      <c r="A338" s="52">
        <v>43466</v>
      </c>
      <c r="B338" s="51">
        <v>3.6440000000000001</v>
      </c>
      <c r="C338" s="51">
        <v>3.8784000000000001</v>
      </c>
      <c r="D338" s="51">
        <v>3.8969</v>
      </c>
      <c r="E338" s="51">
        <v>3.6358000000000001</v>
      </c>
      <c r="F338" s="51"/>
      <c r="G338" s="51">
        <v>-6.1100000000000002E-2</v>
      </c>
      <c r="J338" s="52">
        <v>40301</v>
      </c>
      <c r="K338" s="51">
        <v>1.6890000000000001</v>
      </c>
      <c r="L338" s="51">
        <v>1.8671</v>
      </c>
      <c r="M338" s="51">
        <v>1.6772</v>
      </c>
      <c r="N338" s="51">
        <v>1.7892999999999999</v>
      </c>
      <c r="O338" s="51">
        <v>1.7892999999999999</v>
      </c>
      <c r="P338" s="51">
        <v>0</v>
      </c>
    </row>
    <row r="339" spans="1:16" x14ac:dyDescent="0.2">
      <c r="A339" s="52">
        <v>43497</v>
      </c>
      <c r="B339" s="51">
        <v>3.7513999999999998</v>
      </c>
      <c r="C339" s="51">
        <v>3.6457000000000002</v>
      </c>
      <c r="D339" s="51">
        <v>3.7953999999999999</v>
      </c>
      <c r="E339" s="51">
        <v>3.6377999999999999</v>
      </c>
      <c r="F339" s="51"/>
      <c r="G339" s="51">
        <v>2.9499999999999998E-2</v>
      </c>
      <c r="J339" s="52">
        <v>40308</v>
      </c>
      <c r="K339" s="51">
        <v>1.7869999999999999</v>
      </c>
      <c r="L339" s="51">
        <v>1.835</v>
      </c>
      <c r="M339" s="51">
        <v>1.7215</v>
      </c>
      <c r="N339" s="51">
        <v>1.7564</v>
      </c>
      <c r="O339" s="51">
        <v>1.7564</v>
      </c>
      <c r="P339" s="51">
        <v>0</v>
      </c>
    </row>
    <row r="340" spans="1:16" x14ac:dyDescent="0.2">
      <c r="A340" s="52">
        <v>43525</v>
      </c>
      <c r="B340" s="51">
        <v>3.9247000000000001</v>
      </c>
      <c r="C340" s="51">
        <v>3.7517999999999998</v>
      </c>
      <c r="D340" s="51">
        <v>4.0163000000000002</v>
      </c>
      <c r="E340" s="51">
        <v>3.7387000000000001</v>
      </c>
      <c r="F340" s="51"/>
      <c r="G340" s="51">
        <v>4.6199999999999998E-2</v>
      </c>
      <c r="J340" s="52">
        <v>40315</v>
      </c>
      <c r="K340" s="51">
        <v>1.7493000000000001</v>
      </c>
      <c r="L340" s="51">
        <v>1.899</v>
      </c>
      <c r="M340" s="51">
        <v>1.7493000000000001</v>
      </c>
      <c r="N340" s="51">
        <v>1.7999000000000001</v>
      </c>
      <c r="O340" s="51">
        <v>1.7999000000000001</v>
      </c>
      <c r="P340" s="51">
        <v>0</v>
      </c>
    </row>
    <row r="341" spans="1:16" x14ac:dyDescent="0.2">
      <c r="A341" s="52">
        <v>43556</v>
      </c>
      <c r="B341" s="51">
        <v>3.9215</v>
      </c>
      <c r="C341" s="51">
        <v>3.8895</v>
      </c>
      <c r="D341" s="51">
        <v>4.0065999999999997</v>
      </c>
      <c r="E341" s="51">
        <v>3.8148</v>
      </c>
      <c r="F341" s="51"/>
      <c r="G341" s="51">
        <v>-8.0000000000000004E-4</v>
      </c>
      <c r="J341" s="52">
        <v>40322</v>
      </c>
      <c r="K341" s="51">
        <v>1.8118000000000001</v>
      </c>
      <c r="L341" s="51">
        <v>1.909</v>
      </c>
      <c r="M341" s="51">
        <v>1.7643</v>
      </c>
      <c r="N341" s="51">
        <v>1.8144</v>
      </c>
      <c r="O341" s="51">
        <v>1.8144</v>
      </c>
      <c r="P341" s="51">
        <v>0</v>
      </c>
    </row>
    <row r="342" spans="1:16" x14ac:dyDescent="0.2">
      <c r="A342" s="52">
        <v>43586</v>
      </c>
      <c r="B342" s="51">
        <v>3.9228000000000001</v>
      </c>
      <c r="C342" s="51">
        <v>3.9203999999999999</v>
      </c>
      <c r="D342" s="51">
        <v>4.1223000000000001</v>
      </c>
      <c r="E342" s="51">
        <v>3.9089999999999998</v>
      </c>
      <c r="F342" s="51"/>
      <c r="G342" s="51">
        <v>2.9999999999999997E-4</v>
      </c>
      <c r="J342" s="52">
        <v>40329</v>
      </c>
      <c r="K342" s="51">
        <v>1.7647999999999999</v>
      </c>
      <c r="L342" s="51">
        <v>1.8452999999999999</v>
      </c>
      <c r="M342" s="51">
        <v>1.7327999999999999</v>
      </c>
      <c r="N342" s="51">
        <v>1.7923</v>
      </c>
      <c r="O342" s="51">
        <v>1.7923</v>
      </c>
      <c r="P342" s="51">
        <v>0</v>
      </c>
    </row>
    <row r="343" spans="1:16" x14ac:dyDescent="0.2">
      <c r="A343" s="52">
        <v>43617</v>
      </c>
      <c r="B343" s="51">
        <v>3.8519999999999999</v>
      </c>
      <c r="C343" s="51">
        <v>3.9226999999999999</v>
      </c>
      <c r="D343" s="51">
        <v>3.9342999999999999</v>
      </c>
      <c r="E343" s="51">
        <v>3.8060999999999998</v>
      </c>
      <c r="F343" s="51"/>
      <c r="G343" s="51">
        <v>-1.7999999999999999E-2</v>
      </c>
      <c r="J343" s="52">
        <v>40336</v>
      </c>
      <c r="K343" s="51">
        <v>1.8148</v>
      </c>
      <c r="L343" s="51">
        <v>1.8768</v>
      </c>
      <c r="M343" s="51">
        <v>1.7524999999999999</v>
      </c>
      <c r="N343" s="51">
        <v>1.7563</v>
      </c>
      <c r="O343" s="51">
        <v>1.7563</v>
      </c>
      <c r="P343" s="51">
        <v>0</v>
      </c>
    </row>
    <row r="344" spans="1:16" x14ac:dyDescent="0.2">
      <c r="A344" s="52">
        <v>43647</v>
      </c>
      <c r="B344" s="51">
        <v>3.8129</v>
      </c>
      <c r="C344" s="51">
        <v>3.8374999999999999</v>
      </c>
      <c r="D344" s="51">
        <v>3.8807999999999998</v>
      </c>
      <c r="E344" s="51">
        <v>3.7176</v>
      </c>
      <c r="F344" s="51"/>
      <c r="G344" s="51">
        <v>-1.0200000000000001E-2</v>
      </c>
      <c r="J344" s="52">
        <v>40343</v>
      </c>
      <c r="K344" s="51">
        <v>1.7592000000000001</v>
      </c>
      <c r="L344" s="51">
        <v>1.8089999999999999</v>
      </c>
      <c r="M344" s="51">
        <v>1.7246999999999999</v>
      </c>
      <c r="N344" s="51">
        <v>1.7246999999999999</v>
      </c>
      <c r="O344" s="51">
        <v>1.7246999999999999</v>
      </c>
      <c r="P344" s="51">
        <v>0</v>
      </c>
    </row>
    <row r="345" spans="1:16" x14ac:dyDescent="0.2">
      <c r="A345" s="52">
        <v>43678</v>
      </c>
      <c r="B345" s="51">
        <v>4.1454000000000004</v>
      </c>
      <c r="C345" s="51">
        <v>3.8159000000000001</v>
      </c>
      <c r="D345" s="51">
        <v>4.1951000000000001</v>
      </c>
      <c r="E345" s="51">
        <v>3.8109000000000002</v>
      </c>
      <c r="F345" s="51"/>
      <c r="G345" s="51">
        <v>8.72E-2</v>
      </c>
      <c r="J345" s="52">
        <v>40350</v>
      </c>
      <c r="K345" s="51">
        <v>1.7213000000000001</v>
      </c>
      <c r="L345" s="51">
        <v>1.8045</v>
      </c>
      <c r="M345" s="51">
        <v>1.7206999999999999</v>
      </c>
      <c r="N345" s="51">
        <v>1.78</v>
      </c>
      <c r="O345" s="51">
        <v>1.78</v>
      </c>
      <c r="P345" s="51">
        <v>0</v>
      </c>
    </row>
    <row r="346" spans="1:16" x14ac:dyDescent="0.2">
      <c r="A346" s="52">
        <v>43709</v>
      </c>
      <c r="B346" s="51">
        <v>4.1555999999999997</v>
      </c>
      <c r="C346" s="51">
        <v>4.1435000000000004</v>
      </c>
      <c r="D346" s="51">
        <v>4.1947000000000001</v>
      </c>
      <c r="E346" s="51">
        <v>4.0265000000000004</v>
      </c>
      <c r="F346" s="51"/>
      <c r="G346" s="51">
        <v>2.5000000000000001E-3</v>
      </c>
      <c r="J346" s="52">
        <v>40357</v>
      </c>
      <c r="K346" s="51">
        <v>1.7276</v>
      </c>
      <c r="L346" s="51">
        <v>1.8089999999999999</v>
      </c>
      <c r="M346" s="51">
        <v>1.7276</v>
      </c>
      <c r="N346" s="51">
        <v>1.7281</v>
      </c>
      <c r="O346" s="51">
        <v>1.7281</v>
      </c>
      <c r="P346" s="51">
        <v>0</v>
      </c>
    </row>
    <row r="347" spans="1:16" x14ac:dyDescent="0.2">
      <c r="A347" s="52">
        <v>43739</v>
      </c>
      <c r="B347" s="51">
        <v>4.0183999999999997</v>
      </c>
      <c r="C347" s="51">
        <v>4.1573000000000002</v>
      </c>
      <c r="D347" s="51">
        <v>4.1875</v>
      </c>
      <c r="E347" s="51">
        <v>3.9638</v>
      </c>
      <c r="F347" s="51"/>
      <c r="G347" s="51">
        <v>-3.3000000000000002E-2</v>
      </c>
      <c r="J347" s="52">
        <v>40364</v>
      </c>
      <c r="K347" s="51">
        <v>1.7210000000000001</v>
      </c>
      <c r="L347" s="51">
        <v>1.7819</v>
      </c>
      <c r="M347" s="51">
        <v>1.7095</v>
      </c>
      <c r="N347" s="51">
        <v>1.7095</v>
      </c>
      <c r="O347" s="51">
        <v>1.7095</v>
      </c>
      <c r="P347" s="51">
        <v>0</v>
      </c>
    </row>
    <row r="348" spans="1:16" x14ac:dyDescent="0.2">
      <c r="A348" s="52">
        <v>43770</v>
      </c>
      <c r="B348" s="51">
        <v>4.2366999999999999</v>
      </c>
      <c r="C348" s="51">
        <v>4.0175000000000001</v>
      </c>
      <c r="D348" s="51">
        <v>4.2773000000000003</v>
      </c>
      <c r="E348" s="51">
        <v>3.9687000000000001</v>
      </c>
      <c r="F348" s="51"/>
      <c r="G348" s="51">
        <v>5.4300000000000001E-2</v>
      </c>
      <c r="J348" s="52">
        <v>40371</v>
      </c>
      <c r="K348" s="51">
        <v>1.7088000000000001</v>
      </c>
      <c r="L348" s="51">
        <v>1.7842</v>
      </c>
      <c r="M348" s="51">
        <v>1.7019</v>
      </c>
      <c r="N348" s="51">
        <v>1.7827</v>
      </c>
      <c r="O348" s="51">
        <v>1.7827</v>
      </c>
      <c r="P348" s="51">
        <v>0</v>
      </c>
    </row>
    <row r="349" spans="1:16" x14ac:dyDescent="0.2">
      <c r="A349" s="52">
        <v>43800</v>
      </c>
      <c r="B349" s="51">
        <v>4.0194999999999999</v>
      </c>
      <c r="C349" s="51">
        <v>4.2366000000000001</v>
      </c>
      <c r="D349" s="51">
        <v>4.2537000000000003</v>
      </c>
      <c r="E349" s="51">
        <v>4.0084999999999997</v>
      </c>
      <c r="F349" s="51"/>
      <c r="G349" s="51">
        <v>-5.1299999999999998E-2</v>
      </c>
      <c r="J349" s="52">
        <v>40378</v>
      </c>
      <c r="K349" s="51">
        <v>1.7317</v>
      </c>
      <c r="L349" s="51">
        <v>1.7964</v>
      </c>
      <c r="M349" s="51">
        <v>1.7078</v>
      </c>
      <c r="N349" s="51">
        <v>1.712</v>
      </c>
      <c r="O349" s="51">
        <v>1.712</v>
      </c>
      <c r="P349" s="51">
        <v>0</v>
      </c>
    </row>
    <row r="350" spans="1:16" x14ac:dyDescent="0.2">
      <c r="A350" s="52">
        <v>43831</v>
      </c>
      <c r="B350" s="51">
        <v>4.2824</v>
      </c>
      <c r="C350" s="51">
        <v>4.0198999999999998</v>
      </c>
      <c r="D350" s="51">
        <v>4.2904</v>
      </c>
      <c r="E350" s="51">
        <v>4.0033000000000003</v>
      </c>
      <c r="F350" s="51"/>
      <c r="G350" s="51">
        <v>6.54E-2</v>
      </c>
      <c r="J350" s="52">
        <v>40385</v>
      </c>
      <c r="K350" s="51">
        <v>1.7232000000000001</v>
      </c>
      <c r="L350" s="51">
        <v>1.7706999999999999</v>
      </c>
      <c r="M350" s="51">
        <v>1.708</v>
      </c>
      <c r="N350" s="51">
        <v>1.7128000000000001</v>
      </c>
      <c r="O350" s="51">
        <v>1.7128000000000001</v>
      </c>
      <c r="P350" s="51">
        <v>0</v>
      </c>
    </row>
    <row r="351" spans="1:16" x14ac:dyDescent="0.2">
      <c r="A351" s="52">
        <v>43862</v>
      </c>
      <c r="B351" s="51">
        <v>4.4734999999999996</v>
      </c>
      <c r="C351" s="51">
        <v>4.2805</v>
      </c>
      <c r="D351" s="51">
        <v>4.5137999999999998</v>
      </c>
      <c r="E351" s="51">
        <v>4.2081</v>
      </c>
      <c r="F351" s="51"/>
      <c r="G351" s="51">
        <v>4.4600000000000001E-2</v>
      </c>
      <c r="J351" s="52">
        <v>40392</v>
      </c>
      <c r="K351" s="51">
        <v>1.704</v>
      </c>
      <c r="L351" s="51">
        <v>1.76</v>
      </c>
      <c r="M351" s="51">
        <v>1.7012</v>
      </c>
      <c r="N351" s="51">
        <v>1.7535000000000001</v>
      </c>
      <c r="O351" s="51">
        <v>1.7535000000000001</v>
      </c>
      <c r="P351" s="51">
        <v>0</v>
      </c>
    </row>
    <row r="352" spans="1:16" x14ac:dyDescent="0.2">
      <c r="A352" s="52">
        <v>43891</v>
      </c>
      <c r="B352" s="51">
        <v>5.2054</v>
      </c>
      <c r="C352" s="51">
        <v>4.4954000000000001</v>
      </c>
      <c r="D352" s="51">
        <v>5.2546999999999997</v>
      </c>
      <c r="E352" s="51">
        <v>4.4520999999999997</v>
      </c>
      <c r="F352" s="51"/>
      <c r="G352" s="51">
        <v>0.1636</v>
      </c>
      <c r="J352" s="52">
        <v>40399</v>
      </c>
      <c r="K352" s="51">
        <v>1.7076</v>
      </c>
      <c r="L352" s="51">
        <v>1.7768999999999999</v>
      </c>
      <c r="M352" s="51">
        <v>1.698</v>
      </c>
      <c r="N352" s="51">
        <v>1.7664</v>
      </c>
      <c r="O352" s="51">
        <v>1.7664</v>
      </c>
      <c r="P352" s="51">
        <v>0</v>
      </c>
    </row>
    <row r="353" spans="1:16" x14ac:dyDescent="0.2">
      <c r="A353" s="52">
        <v>43922</v>
      </c>
      <c r="B353" s="51">
        <v>5.4875999999999996</v>
      </c>
      <c r="C353" s="51">
        <v>5.2252000000000001</v>
      </c>
      <c r="D353" s="51">
        <v>5.7489999999999997</v>
      </c>
      <c r="E353" s="51">
        <v>5.0502000000000002</v>
      </c>
      <c r="F353" s="51"/>
      <c r="G353" s="51">
        <v>5.4199999999999998E-2</v>
      </c>
      <c r="J353" s="52">
        <v>40406</v>
      </c>
      <c r="K353" s="51">
        <v>1.7222999999999999</v>
      </c>
      <c r="L353" s="51">
        <v>1.77</v>
      </c>
      <c r="M353" s="51">
        <v>1.7034</v>
      </c>
      <c r="N353" s="51">
        <v>1.7605999999999999</v>
      </c>
      <c r="O353" s="51">
        <v>1.7605999999999999</v>
      </c>
      <c r="P353" s="51">
        <v>0</v>
      </c>
    </row>
    <row r="354" spans="1:16" x14ac:dyDescent="0.2">
      <c r="A354" s="52">
        <v>43952</v>
      </c>
      <c r="B354" s="51">
        <v>5.3369999999999997</v>
      </c>
      <c r="C354" s="51">
        <v>5.4865000000000004</v>
      </c>
      <c r="D354" s="51">
        <v>5.9717000000000002</v>
      </c>
      <c r="E354" s="51">
        <v>5.2690999999999999</v>
      </c>
      <c r="F354" s="51"/>
      <c r="G354" s="51">
        <v>-2.7400000000000001E-2</v>
      </c>
      <c r="J354" s="52">
        <v>40413</v>
      </c>
      <c r="K354" s="51">
        <v>1.7081</v>
      </c>
      <c r="L354" s="51">
        <v>1.7782</v>
      </c>
      <c r="M354" s="51">
        <v>1.7081</v>
      </c>
      <c r="N354" s="51">
        <v>1.7563</v>
      </c>
      <c r="O354" s="51">
        <v>1.7563</v>
      </c>
      <c r="P354" s="51">
        <v>0</v>
      </c>
    </row>
    <row r="355" spans="1:16" x14ac:dyDescent="0.2">
      <c r="A355" s="52">
        <v>43983</v>
      </c>
      <c r="B355" s="51">
        <v>5.4672000000000001</v>
      </c>
      <c r="C355" s="51">
        <v>5.3341000000000003</v>
      </c>
      <c r="D355" s="51">
        <v>5.5084</v>
      </c>
      <c r="E355" s="51">
        <v>4.8174999999999999</v>
      </c>
      <c r="F355" s="51"/>
      <c r="G355" s="51">
        <v>2.4400000000000002E-2</v>
      </c>
      <c r="J355" s="52">
        <v>40420</v>
      </c>
      <c r="K355" s="51">
        <v>1.6997</v>
      </c>
      <c r="L355" s="51">
        <v>1.7646999999999999</v>
      </c>
      <c r="M355" s="51">
        <v>1.6756</v>
      </c>
      <c r="N355" s="51">
        <v>1.7395</v>
      </c>
      <c r="O355" s="51">
        <v>1.7395</v>
      </c>
      <c r="P355" s="51">
        <v>0</v>
      </c>
    </row>
    <row r="356" spans="1:16" x14ac:dyDescent="0.2">
      <c r="A356" s="52">
        <v>44013</v>
      </c>
      <c r="B356" s="51">
        <v>5.2241999999999997</v>
      </c>
      <c r="C356" s="51">
        <v>5.4659000000000004</v>
      </c>
      <c r="D356" s="51">
        <v>5.4756</v>
      </c>
      <c r="E356" s="51">
        <v>5.0823</v>
      </c>
      <c r="F356" s="51"/>
      <c r="G356" s="51">
        <v>-4.4400000000000002E-2</v>
      </c>
      <c r="J356" s="52">
        <v>40427</v>
      </c>
      <c r="K356" s="51">
        <v>1.6825000000000001</v>
      </c>
      <c r="L356" s="51">
        <v>1.7312000000000001</v>
      </c>
      <c r="M356" s="51">
        <v>1.6732</v>
      </c>
      <c r="N356" s="51">
        <v>1.7232000000000001</v>
      </c>
      <c r="O356" s="51">
        <v>1.7232000000000001</v>
      </c>
      <c r="P356" s="51">
        <v>0</v>
      </c>
    </row>
    <row r="357" spans="1:16" x14ac:dyDescent="0.2">
      <c r="A357" s="52">
        <v>44044</v>
      </c>
      <c r="B357" s="51">
        <v>5.4927999999999999</v>
      </c>
      <c r="C357" s="51">
        <v>5.2233999999999998</v>
      </c>
      <c r="D357" s="51">
        <v>5.6738999999999997</v>
      </c>
      <c r="E357" s="51">
        <v>5.2123999999999997</v>
      </c>
      <c r="F357" s="51"/>
      <c r="G357" s="51">
        <v>5.1400000000000001E-2</v>
      </c>
      <c r="J357" s="52">
        <v>40434</v>
      </c>
      <c r="K357" s="51">
        <v>1.6718</v>
      </c>
      <c r="L357" s="51">
        <v>1.7213000000000001</v>
      </c>
      <c r="M357" s="51">
        <v>1.6598999999999999</v>
      </c>
      <c r="N357" s="51">
        <v>1.7175</v>
      </c>
      <c r="O357" s="51">
        <v>1.7175</v>
      </c>
      <c r="P357" s="51">
        <v>0</v>
      </c>
    </row>
    <row r="358" spans="1:16" x14ac:dyDescent="0.2">
      <c r="A358" s="52">
        <v>44075</v>
      </c>
      <c r="B358" s="51">
        <v>5.6120000000000001</v>
      </c>
      <c r="C358" s="51">
        <v>5.4931000000000001</v>
      </c>
      <c r="D358" s="51">
        <v>5.6783999999999999</v>
      </c>
      <c r="E358" s="51">
        <v>5.2103000000000002</v>
      </c>
      <c r="F358" s="51"/>
      <c r="G358" s="51">
        <v>2.1700000000000001E-2</v>
      </c>
      <c r="J358" s="52">
        <v>40441</v>
      </c>
      <c r="K358" s="51">
        <v>1.6718</v>
      </c>
      <c r="L358" s="51">
        <v>1.7316</v>
      </c>
      <c r="M358" s="51">
        <v>1.6616</v>
      </c>
      <c r="N358" s="51">
        <v>1.7177</v>
      </c>
      <c r="O358" s="51">
        <v>1.7177</v>
      </c>
      <c r="P358" s="51">
        <v>0</v>
      </c>
    </row>
    <row r="359" spans="1:16" x14ac:dyDescent="0.2">
      <c r="A359" s="52">
        <v>44105</v>
      </c>
      <c r="B359" s="51">
        <v>5.7460000000000004</v>
      </c>
      <c r="C359" s="51">
        <v>5.6119000000000003</v>
      </c>
      <c r="D359" s="51">
        <v>5.8090000000000002</v>
      </c>
      <c r="E359" s="51">
        <v>5.4836999999999998</v>
      </c>
      <c r="F359" s="51"/>
      <c r="G359" s="51">
        <v>2.3900000000000001E-2</v>
      </c>
      <c r="J359" s="52">
        <v>40448</v>
      </c>
      <c r="K359" s="51">
        <v>1.6606000000000001</v>
      </c>
      <c r="L359" s="51">
        <v>1.7114</v>
      </c>
      <c r="M359" s="51">
        <v>1.6375999999999999</v>
      </c>
      <c r="N359" s="51">
        <v>1.6960999999999999</v>
      </c>
      <c r="O359" s="51">
        <v>1.6960999999999999</v>
      </c>
      <c r="P359" s="51">
        <v>0</v>
      </c>
    </row>
    <row r="360" spans="1:16" x14ac:dyDescent="0.2">
      <c r="A360" s="52">
        <v>44136</v>
      </c>
      <c r="B360" s="51">
        <v>5.3323</v>
      </c>
      <c r="C360" s="51">
        <v>5.7428999999999997</v>
      </c>
      <c r="D360" s="51">
        <v>5.7664</v>
      </c>
      <c r="E360" s="51">
        <v>5.2233000000000001</v>
      </c>
      <c r="F360" s="51"/>
      <c r="G360" s="51">
        <v>-7.1999999999999995E-2</v>
      </c>
      <c r="J360" s="52">
        <v>40455</v>
      </c>
      <c r="K360" s="51">
        <v>1.6394</v>
      </c>
      <c r="L360" s="51">
        <v>1.6976</v>
      </c>
      <c r="M360" s="51">
        <v>1.6135999999999999</v>
      </c>
      <c r="N360" s="51">
        <v>1.6778</v>
      </c>
      <c r="O360" s="51">
        <v>1.6778</v>
      </c>
      <c r="P360" s="51">
        <v>0</v>
      </c>
    </row>
    <row r="361" spans="1:16" x14ac:dyDescent="0.2">
      <c r="A361" s="52">
        <v>44166</v>
      </c>
      <c r="B361" s="51">
        <v>5.194</v>
      </c>
      <c r="C361" s="51">
        <v>5.3144</v>
      </c>
      <c r="D361" s="51">
        <v>5.33</v>
      </c>
      <c r="E361" s="51">
        <v>5.0096999999999996</v>
      </c>
      <c r="F361" s="51"/>
      <c r="G361" s="51">
        <v>-2.5899999999999999E-2</v>
      </c>
      <c r="J361" s="52">
        <v>40462</v>
      </c>
      <c r="K361" s="51">
        <v>1.6163000000000001</v>
      </c>
      <c r="L361" s="51">
        <v>1.669</v>
      </c>
      <c r="M361" s="51">
        <v>1.6029</v>
      </c>
      <c r="N361" s="51">
        <v>1.6606000000000001</v>
      </c>
      <c r="O361" s="51">
        <v>1.6606000000000001</v>
      </c>
      <c r="P361" s="51">
        <v>0</v>
      </c>
    </row>
    <row r="362" spans="1:16" x14ac:dyDescent="0.2">
      <c r="A362" s="52">
        <v>44197</v>
      </c>
      <c r="B362" s="51">
        <v>5.4630000000000001</v>
      </c>
      <c r="C362" s="51">
        <v>5.1341000000000001</v>
      </c>
      <c r="D362" s="51">
        <v>5.5164</v>
      </c>
      <c r="E362" s="51">
        <v>5.1199000000000003</v>
      </c>
      <c r="F362" s="51"/>
      <c r="G362" s="51">
        <v>5.1799999999999999E-2</v>
      </c>
      <c r="J362" s="52">
        <v>40469</v>
      </c>
      <c r="K362" s="51">
        <v>1.6145</v>
      </c>
      <c r="L362" s="51">
        <v>1.6989000000000001</v>
      </c>
      <c r="M362" s="51">
        <v>1.6145</v>
      </c>
      <c r="N362" s="51">
        <v>1.694</v>
      </c>
      <c r="O362" s="51">
        <v>1.694</v>
      </c>
      <c r="P362" s="51">
        <v>0</v>
      </c>
    </row>
    <row r="363" spans="1:16" x14ac:dyDescent="0.2">
      <c r="A363" s="52">
        <v>44228</v>
      </c>
      <c r="B363" s="51">
        <v>5.5989000000000004</v>
      </c>
      <c r="C363" s="51">
        <v>5.4650999999999996</v>
      </c>
      <c r="D363" s="51">
        <v>5.6089000000000002</v>
      </c>
      <c r="E363" s="51">
        <v>5.3033000000000001</v>
      </c>
      <c r="F363" s="51"/>
      <c r="G363" s="51">
        <v>2.4899999999999999E-2</v>
      </c>
      <c r="J363" s="52">
        <v>40476</v>
      </c>
      <c r="K363" s="51">
        <v>1.6558999999999999</v>
      </c>
      <c r="L363" s="51">
        <v>1.718</v>
      </c>
      <c r="M363" s="51">
        <v>1.6457999999999999</v>
      </c>
      <c r="N363" s="51">
        <v>1.7135</v>
      </c>
      <c r="O363" s="51">
        <v>1.7135</v>
      </c>
      <c r="P363" s="51">
        <v>0</v>
      </c>
    </row>
    <row r="364" spans="1:16" x14ac:dyDescent="0.2">
      <c r="A364" s="52">
        <v>44256</v>
      </c>
      <c r="B364" s="51">
        <v>5.6333000000000002</v>
      </c>
      <c r="C364" s="51">
        <v>5.5876999999999999</v>
      </c>
      <c r="D364" s="51">
        <v>5.8803000000000001</v>
      </c>
      <c r="E364" s="51">
        <v>5.4492000000000003</v>
      </c>
      <c r="F364" s="51"/>
      <c r="G364" s="51">
        <v>6.1000000000000004E-3</v>
      </c>
      <c r="J364" s="52">
        <v>40483</v>
      </c>
      <c r="K364" s="51">
        <v>1.6513</v>
      </c>
      <c r="L364" s="51">
        <v>1.7053</v>
      </c>
      <c r="M364" s="51">
        <v>1.62</v>
      </c>
      <c r="N364" s="51">
        <v>1.6747000000000001</v>
      </c>
      <c r="O364" s="51">
        <v>1.6747000000000001</v>
      </c>
      <c r="P364" s="51">
        <v>0</v>
      </c>
    </row>
    <row r="365" spans="1:16" x14ac:dyDescent="0.2">
      <c r="A365" s="52">
        <v>44287</v>
      </c>
      <c r="B365" s="51">
        <v>5.4367999999999999</v>
      </c>
      <c r="C365" s="51">
        <v>5.6318000000000001</v>
      </c>
      <c r="D365" s="51">
        <v>5.7558999999999996</v>
      </c>
      <c r="E365" s="51">
        <v>5.327</v>
      </c>
      <c r="F365" s="51"/>
      <c r="G365" s="51">
        <v>-3.49E-2</v>
      </c>
      <c r="J365" s="52">
        <v>40490</v>
      </c>
      <c r="K365" s="51">
        <v>1.6286</v>
      </c>
      <c r="L365" s="51">
        <v>1.7205999999999999</v>
      </c>
      <c r="M365" s="51">
        <v>1.6286</v>
      </c>
      <c r="N365" s="51">
        <v>1.7215</v>
      </c>
      <c r="O365" s="51">
        <v>1.7215</v>
      </c>
      <c r="P365" s="51">
        <v>0</v>
      </c>
    </row>
    <row r="366" spans="1:16" x14ac:dyDescent="0.2">
      <c r="A366" s="52">
        <v>44317</v>
      </c>
      <c r="B366" s="51">
        <v>5.2183000000000002</v>
      </c>
      <c r="C366" s="51">
        <v>5.4367999999999999</v>
      </c>
      <c r="D366" s="51">
        <v>5.4844999999999997</v>
      </c>
      <c r="E366" s="51">
        <v>5.1961000000000004</v>
      </c>
      <c r="F366" s="51"/>
      <c r="G366" s="51">
        <v>-4.02E-2</v>
      </c>
      <c r="J366" s="52">
        <v>40497</v>
      </c>
      <c r="K366" s="51">
        <v>1.6704000000000001</v>
      </c>
      <c r="L366" s="51">
        <v>1.7384999999999999</v>
      </c>
      <c r="M366" s="51">
        <v>1.6609</v>
      </c>
      <c r="N366" s="51">
        <v>1.7110000000000001</v>
      </c>
      <c r="O366" s="51">
        <v>1.7110000000000001</v>
      </c>
      <c r="P366" s="51">
        <v>0</v>
      </c>
    </row>
    <row r="367" spans="1:16" x14ac:dyDescent="0.2">
      <c r="A367" s="52">
        <v>44348</v>
      </c>
      <c r="B367" s="51">
        <v>4.9695999999999998</v>
      </c>
      <c r="C367" s="51">
        <v>5.2206999999999999</v>
      </c>
      <c r="D367" s="51">
        <v>5.2209000000000003</v>
      </c>
      <c r="E367" s="51">
        <v>4.8932000000000002</v>
      </c>
      <c r="F367" s="51"/>
      <c r="G367" s="51">
        <v>-4.7699999999999999E-2</v>
      </c>
      <c r="J367" s="52">
        <v>40504</v>
      </c>
      <c r="K367" s="51">
        <v>1.6655</v>
      </c>
      <c r="L367" s="51">
        <v>1.7346999999999999</v>
      </c>
      <c r="M367" s="51">
        <v>1.6654</v>
      </c>
      <c r="N367" s="51">
        <v>1.7155</v>
      </c>
      <c r="O367" s="51">
        <v>1.7155</v>
      </c>
      <c r="P367" s="51">
        <v>0</v>
      </c>
    </row>
    <row r="368" spans="1:16" x14ac:dyDescent="0.2">
      <c r="A368" s="52">
        <v>44378</v>
      </c>
      <c r="B368" s="51">
        <v>5.2134</v>
      </c>
      <c r="C368" s="51">
        <v>4.9711999999999996</v>
      </c>
      <c r="D368" s="51">
        <v>5.3150000000000004</v>
      </c>
      <c r="E368" s="51">
        <v>4.9470999999999998</v>
      </c>
      <c r="F368" s="51"/>
      <c r="G368" s="51">
        <v>4.9099999999999998E-2</v>
      </c>
      <c r="J368" s="52">
        <v>40511</v>
      </c>
      <c r="K368" s="51">
        <v>1.6769000000000001</v>
      </c>
      <c r="L368" s="51">
        <v>1.7310000000000001</v>
      </c>
      <c r="M368" s="51">
        <v>1.6459999999999999</v>
      </c>
      <c r="N368" s="51">
        <v>1.7015</v>
      </c>
      <c r="O368" s="51">
        <v>1.7015</v>
      </c>
      <c r="P368" s="51">
        <v>0</v>
      </c>
    </row>
    <row r="369" spans="1:16" x14ac:dyDescent="0.2">
      <c r="A369" s="52">
        <v>44409</v>
      </c>
      <c r="B369" s="51">
        <v>5.1508000000000003</v>
      </c>
      <c r="C369" s="51">
        <v>5.2159000000000004</v>
      </c>
      <c r="D369" s="51">
        <v>5.4766000000000004</v>
      </c>
      <c r="E369" s="51">
        <v>5.1109</v>
      </c>
      <c r="F369" s="51"/>
      <c r="G369" s="51">
        <v>-1.2E-2</v>
      </c>
      <c r="J369" s="52">
        <v>40518</v>
      </c>
      <c r="K369" s="51">
        <v>1.6347</v>
      </c>
      <c r="L369" s="51">
        <v>1.7170000000000001</v>
      </c>
      <c r="M369" s="51">
        <v>1.6249</v>
      </c>
      <c r="N369" s="51">
        <v>1.7036</v>
      </c>
      <c r="O369" s="51">
        <v>1.7036</v>
      </c>
      <c r="P369" s="51">
        <v>0</v>
      </c>
    </row>
    <row r="370" spans="1:16" x14ac:dyDescent="0.2">
      <c r="A370" s="52">
        <v>44440</v>
      </c>
      <c r="B370" s="51">
        <v>5.4432999999999998</v>
      </c>
      <c r="C370" s="51">
        <v>5.1684000000000001</v>
      </c>
      <c r="D370" s="51">
        <v>5.4767999999999999</v>
      </c>
      <c r="E370" s="51">
        <v>5.1304999999999996</v>
      </c>
      <c r="F370" s="51"/>
      <c r="G370" s="51">
        <v>5.6800000000000003E-2</v>
      </c>
      <c r="J370" s="52">
        <v>40525</v>
      </c>
      <c r="K370" s="51">
        <v>1.6567000000000001</v>
      </c>
      <c r="L370" s="51">
        <v>1.7117</v>
      </c>
      <c r="M370" s="51">
        <v>1.6435</v>
      </c>
      <c r="N370" s="51">
        <v>1.7042999999999999</v>
      </c>
      <c r="O370" s="51">
        <v>1.7042999999999999</v>
      </c>
      <c r="P370" s="51">
        <v>0</v>
      </c>
    </row>
    <row r="371" spans="1:16" x14ac:dyDescent="0.2">
      <c r="A371" s="52">
        <v>44470</v>
      </c>
      <c r="B371" s="51">
        <v>5.6387999999999998</v>
      </c>
      <c r="C371" s="51">
        <v>5.444</v>
      </c>
      <c r="D371" s="51">
        <v>5.7558999999999996</v>
      </c>
      <c r="E371" s="51">
        <v>5.3533999999999997</v>
      </c>
      <c r="F371" s="51"/>
      <c r="G371" s="51">
        <v>3.5900000000000001E-2</v>
      </c>
      <c r="J371" s="52">
        <v>40532</v>
      </c>
      <c r="K371" s="51">
        <v>1.6644000000000001</v>
      </c>
      <c r="L371" s="51">
        <v>1.7118</v>
      </c>
      <c r="M371" s="51">
        <v>1.6440999999999999</v>
      </c>
      <c r="N371" s="51">
        <v>1.6922999999999999</v>
      </c>
      <c r="O371" s="51">
        <v>1.6922999999999999</v>
      </c>
      <c r="P371" s="51">
        <v>0</v>
      </c>
    </row>
    <row r="372" spans="1:16" x14ac:dyDescent="0.2">
      <c r="A372" s="52">
        <v>44501</v>
      </c>
      <c r="B372" s="51">
        <v>5.6243999999999996</v>
      </c>
      <c r="C372" s="51">
        <v>5.6220999999999997</v>
      </c>
      <c r="D372" s="51">
        <v>5.6994999999999996</v>
      </c>
      <c r="E372" s="51">
        <v>5.3875000000000002</v>
      </c>
      <c r="F372" s="51"/>
      <c r="G372" s="51">
        <v>-2.5999999999999999E-3</v>
      </c>
      <c r="J372" s="52">
        <v>40539</v>
      </c>
      <c r="K372" s="51">
        <v>1.641</v>
      </c>
      <c r="L372" s="51">
        <v>1.6904999999999999</v>
      </c>
      <c r="M372" s="51">
        <v>1.6216999999999999</v>
      </c>
      <c r="N372" s="51">
        <v>1.6619999999999999</v>
      </c>
      <c r="O372" s="51">
        <v>1.6619999999999999</v>
      </c>
      <c r="P372" s="51">
        <v>0</v>
      </c>
    </row>
    <row r="373" spans="1:16" x14ac:dyDescent="0.2">
      <c r="A373" s="52">
        <v>44531</v>
      </c>
      <c r="B373" s="51">
        <v>5.5712999999999999</v>
      </c>
      <c r="C373" s="51">
        <v>5.6249000000000002</v>
      </c>
      <c r="D373" s="51">
        <v>5.758</v>
      </c>
      <c r="E373" s="51">
        <v>5.5180999999999996</v>
      </c>
      <c r="F373" s="51"/>
      <c r="G373" s="51">
        <v>-9.4000000000000004E-3</v>
      </c>
      <c r="J373" s="52">
        <v>40546</v>
      </c>
      <c r="K373" s="51">
        <v>1.6095999999999999</v>
      </c>
      <c r="L373" s="51">
        <v>1.6902999999999999</v>
      </c>
      <c r="M373" s="51">
        <v>1.5979000000000001</v>
      </c>
      <c r="N373" s="51">
        <v>1.6859</v>
      </c>
      <c r="O373" s="51">
        <v>1.6859</v>
      </c>
      <c r="P373" s="51">
        <v>0</v>
      </c>
    </row>
    <row r="374" spans="1:16" x14ac:dyDescent="0.2">
      <c r="A374" s="52">
        <v>44562</v>
      </c>
      <c r="B374" s="51">
        <v>5.3045999999999998</v>
      </c>
      <c r="C374" s="51">
        <v>5.5667999999999997</v>
      </c>
      <c r="D374" s="51">
        <v>5.7255000000000003</v>
      </c>
      <c r="E374" s="51">
        <v>5.2831999999999999</v>
      </c>
      <c r="F374" s="51"/>
      <c r="G374" s="51">
        <v>-4.7899999999999998E-2</v>
      </c>
      <c r="J374" s="52">
        <v>40553</v>
      </c>
      <c r="K374" s="51">
        <v>1.6324000000000001</v>
      </c>
      <c r="L374" s="51">
        <v>1.6933</v>
      </c>
      <c r="M374" s="51">
        <v>1.6226</v>
      </c>
      <c r="N374" s="51">
        <v>1.669</v>
      </c>
      <c r="O374" s="51">
        <v>1.669</v>
      </c>
      <c r="P374" s="51">
        <v>0</v>
      </c>
    </row>
    <row r="375" spans="1:16" x14ac:dyDescent="0.2">
      <c r="A375" s="52">
        <v>44593</v>
      </c>
      <c r="B375" s="51">
        <v>5.1599000000000004</v>
      </c>
      <c r="C375" s="51">
        <v>5.2983000000000002</v>
      </c>
      <c r="D375" s="51">
        <v>5.3509000000000002</v>
      </c>
      <c r="E375" s="51">
        <v>4.9939</v>
      </c>
      <c r="F375" s="51"/>
      <c r="G375" s="51">
        <v>-2.7300000000000001E-2</v>
      </c>
      <c r="J375" s="52">
        <v>40560</v>
      </c>
      <c r="K375" s="51">
        <v>1.6362000000000001</v>
      </c>
      <c r="L375" s="51">
        <v>1.6842999999999999</v>
      </c>
      <c r="M375" s="51">
        <v>1.6215999999999999</v>
      </c>
      <c r="N375" s="51">
        <v>1.6352</v>
      </c>
      <c r="O375" s="51">
        <v>1.6352</v>
      </c>
      <c r="P375" s="51">
        <v>0</v>
      </c>
    </row>
    <row r="376" spans="1:16" x14ac:dyDescent="0.2">
      <c r="A376" s="52">
        <v>44621</v>
      </c>
      <c r="B376" s="51">
        <v>4.7389999999999999</v>
      </c>
      <c r="C376" s="51">
        <v>5.1604999999999999</v>
      </c>
      <c r="D376" s="51">
        <v>5.2233000000000001</v>
      </c>
      <c r="E376" s="51">
        <v>4.7148000000000003</v>
      </c>
      <c r="F376" s="51"/>
      <c r="G376" s="51">
        <v>-8.1600000000000006E-2</v>
      </c>
      <c r="J376" s="52">
        <v>40567</v>
      </c>
      <c r="K376" s="51">
        <v>1.6265000000000001</v>
      </c>
      <c r="L376" s="51">
        <v>1.68</v>
      </c>
      <c r="M376" s="51">
        <v>1.6171</v>
      </c>
      <c r="N376" s="51">
        <v>1.6722999999999999</v>
      </c>
      <c r="O376" s="51">
        <v>1.6722999999999999</v>
      </c>
      <c r="P376" s="51">
        <v>0</v>
      </c>
    </row>
    <row r="377" spans="1:16" x14ac:dyDescent="0.2">
      <c r="A377" s="52">
        <v>44652</v>
      </c>
      <c r="B377" s="51">
        <v>4.9721000000000002</v>
      </c>
      <c r="C377" s="51">
        <v>4.7408000000000001</v>
      </c>
      <c r="D377" s="51">
        <v>5.0461</v>
      </c>
      <c r="E377" s="51">
        <v>4.5804999999999998</v>
      </c>
      <c r="F377" s="51"/>
      <c r="G377" s="51">
        <v>4.9200000000000001E-2</v>
      </c>
      <c r="J377" s="52">
        <v>40574</v>
      </c>
      <c r="K377" s="51">
        <v>1.6343000000000001</v>
      </c>
      <c r="L377" s="51">
        <v>1.6829000000000001</v>
      </c>
      <c r="M377" s="51">
        <v>1.6123000000000001</v>
      </c>
      <c r="N377" s="51">
        <v>1.6684000000000001</v>
      </c>
      <c r="O377" s="51">
        <v>1.6684000000000001</v>
      </c>
      <c r="P377" s="51">
        <v>0</v>
      </c>
    </row>
    <row r="378" spans="1:16" x14ac:dyDescent="0.2">
      <c r="A378" s="52">
        <v>44682</v>
      </c>
      <c r="B378" s="51">
        <v>4.7314999999999996</v>
      </c>
      <c r="C378" s="51">
        <v>4.9691999999999998</v>
      </c>
      <c r="D378" s="51">
        <v>5.2102000000000004</v>
      </c>
      <c r="E378" s="51">
        <v>4.6904000000000003</v>
      </c>
      <c r="F378" s="51"/>
      <c r="G378" s="51">
        <v>-4.8399999999999999E-2</v>
      </c>
      <c r="J378" s="52">
        <v>40581</v>
      </c>
      <c r="K378" s="51">
        <v>1.6235999999999999</v>
      </c>
      <c r="L378" s="51">
        <v>1.6779999999999999</v>
      </c>
      <c r="M378" s="51">
        <v>1.6107</v>
      </c>
      <c r="N378" s="51">
        <v>1.6640999999999999</v>
      </c>
      <c r="O378" s="51">
        <v>1.6640999999999999</v>
      </c>
      <c r="P378" s="51">
        <v>0</v>
      </c>
    </row>
    <row r="379" spans="1:16" x14ac:dyDescent="0.2">
      <c r="A379" s="52">
        <v>44713</v>
      </c>
      <c r="B379" s="51">
        <v>5.2561999999999998</v>
      </c>
      <c r="C379" s="51">
        <v>4.7319000000000004</v>
      </c>
      <c r="D379" s="51">
        <v>5.2792000000000003</v>
      </c>
      <c r="E379" s="51">
        <v>4.7218</v>
      </c>
      <c r="F379" s="51"/>
      <c r="G379" s="51">
        <v>0.1109</v>
      </c>
      <c r="J379" s="52">
        <v>40588</v>
      </c>
      <c r="K379" s="51">
        <v>1.6144000000000001</v>
      </c>
      <c r="L379" s="51">
        <v>1.6736</v>
      </c>
      <c r="M379" s="51">
        <v>1.6124000000000001</v>
      </c>
      <c r="N379" s="51">
        <v>1.6619999999999999</v>
      </c>
      <c r="O379" s="51">
        <v>1.6619999999999999</v>
      </c>
      <c r="P379" s="51">
        <v>0</v>
      </c>
    </row>
    <row r="380" spans="1:16" x14ac:dyDescent="0.2">
      <c r="A380" s="52">
        <v>44743</v>
      </c>
      <c r="B380" s="51">
        <v>5.1734</v>
      </c>
      <c r="C380" s="51">
        <v>5.2568999999999999</v>
      </c>
      <c r="D380" s="51">
        <v>5.5152000000000001</v>
      </c>
      <c r="E380" s="51">
        <v>5.1448</v>
      </c>
      <c r="F380" s="51"/>
      <c r="G380" s="51">
        <v>-1.5800000000000002E-2</v>
      </c>
      <c r="J380" s="52">
        <v>40595</v>
      </c>
      <c r="K380" s="51">
        <v>1.6133999999999999</v>
      </c>
      <c r="L380" s="51">
        <v>1.6734</v>
      </c>
      <c r="M380" s="51">
        <v>1.6133999999999999</v>
      </c>
      <c r="N380" s="51">
        <v>1.6627000000000001</v>
      </c>
      <c r="O380" s="51">
        <v>1.6627000000000001</v>
      </c>
      <c r="P380" s="51">
        <v>0</v>
      </c>
    </row>
    <row r="381" spans="1:16" x14ac:dyDescent="0.2">
      <c r="A381" s="52">
        <v>44774</v>
      </c>
      <c r="B381" s="51">
        <v>5.1830999999999996</v>
      </c>
      <c r="C381" s="51">
        <v>5.1759000000000004</v>
      </c>
      <c r="D381" s="51">
        <v>5.3163</v>
      </c>
      <c r="E381" s="51">
        <v>5.0076000000000001</v>
      </c>
      <c r="F381" s="51"/>
      <c r="G381" s="51">
        <v>1.9E-3</v>
      </c>
      <c r="J381" s="52">
        <v>40602</v>
      </c>
      <c r="K381" s="51">
        <v>1.6583000000000001</v>
      </c>
      <c r="L381" s="51">
        <v>1.6613</v>
      </c>
      <c r="M381" s="51">
        <v>1.6398999999999999</v>
      </c>
      <c r="N381" s="51">
        <v>1.6495</v>
      </c>
      <c r="O381" s="51">
        <v>1.6495</v>
      </c>
      <c r="P381" s="51">
        <v>0</v>
      </c>
    </row>
    <row r="382" spans="1:16" x14ac:dyDescent="0.2">
      <c r="A382" s="52">
        <v>44805</v>
      </c>
      <c r="B382" s="51">
        <v>5.4154</v>
      </c>
      <c r="C382" s="51">
        <v>5.1833</v>
      </c>
      <c r="D382" s="51">
        <v>5.43</v>
      </c>
      <c r="E382" s="51">
        <v>5.0766</v>
      </c>
      <c r="F382" s="51"/>
      <c r="G382" s="51">
        <v>4.48E-2</v>
      </c>
      <c r="J382" s="52">
        <v>40609</v>
      </c>
      <c r="K382" s="51">
        <v>1.6500999999999999</v>
      </c>
      <c r="L382" s="51">
        <v>1.6632</v>
      </c>
      <c r="M382" s="51">
        <v>1.6394</v>
      </c>
      <c r="N382" s="51">
        <v>1.659</v>
      </c>
      <c r="O382" s="51">
        <v>1.659</v>
      </c>
      <c r="P382" s="51">
        <v>0</v>
      </c>
    </row>
    <row r="383" spans="1:16" x14ac:dyDescent="0.2">
      <c r="A383" s="52">
        <v>44835</v>
      </c>
      <c r="B383" s="51">
        <v>5.218</v>
      </c>
      <c r="C383" s="51">
        <v>5.4157999999999999</v>
      </c>
      <c r="D383" s="51">
        <v>5.4157999999999999</v>
      </c>
      <c r="E383" s="51">
        <v>5.1104000000000003</v>
      </c>
      <c r="F383" s="51"/>
      <c r="G383" s="51">
        <v>-3.6499999999999998E-2</v>
      </c>
      <c r="J383" s="52">
        <v>40616</v>
      </c>
      <c r="K383" s="51">
        <v>1.6598999999999999</v>
      </c>
      <c r="L383" s="51">
        <v>1.6767000000000001</v>
      </c>
      <c r="M383" s="51">
        <v>1.6545000000000001</v>
      </c>
      <c r="N383" s="51">
        <v>1.6795</v>
      </c>
      <c r="O383" s="51">
        <v>1.6795</v>
      </c>
      <c r="P383" s="51">
        <v>0</v>
      </c>
    </row>
    <row r="384" spans="1:16" x14ac:dyDescent="0.2">
      <c r="A384" s="52">
        <v>44866</v>
      </c>
      <c r="B384" s="166">
        <v>5.1787999999999998</v>
      </c>
      <c r="C384" s="166">
        <v>5.5195999999999996</v>
      </c>
      <c r="D384" s="166">
        <v>4.9974999999999996</v>
      </c>
      <c r="E384" s="166">
        <v>5.2682000000000002</v>
      </c>
      <c r="G384" s="29">
        <f>B384/B383-1</f>
        <v>-7.5124568800306601E-3</v>
      </c>
      <c r="J384" s="52">
        <v>40623</v>
      </c>
      <c r="K384" s="51">
        <v>1.6637</v>
      </c>
      <c r="L384" s="51">
        <v>1.6658999999999999</v>
      </c>
      <c r="M384" s="51">
        <v>1.6498999999999999</v>
      </c>
      <c r="N384" s="51">
        <v>1.6575</v>
      </c>
      <c r="O384" s="51">
        <v>1.6575</v>
      </c>
      <c r="P384" s="51">
        <v>0</v>
      </c>
    </row>
    <row r="385" spans="1:16" x14ac:dyDescent="0.2">
      <c r="A385" s="52">
        <v>44896</v>
      </c>
      <c r="B385" s="166">
        <v>5.1816000000000004</v>
      </c>
      <c r="C385" s="166">
        <v>5.3662000000000001</v>
      </c>
      <c r="D385" s="166">
        <v>5.1162999999999998</v>
      </c>
      <c r="E385" s="166">
        <v>5.2828999999999997</v>
      </c>
      <c r="G385" s="29">
        <f>B385/B384-1</f>
        <v>5.4066579130318537E-4</v>
      </c>
      <c r="J385" s="52">
        <v>40630</v>
      </c>
      <c r="K385" s="51">
        <v>1.6498999999999999</v>
      </c>
      <c r="L385" s="51">
        <v>1.6614</v>
      </c>
      <c r="M385" s="51">
        <v>1.5952999999999999</v>
      </c>
      <c r="N385" s="51">
        <v>1.6272</v>
      </c>
      <c r="O385" s="51">
        <v>1.6272</v>
      </c>
      <c r="P385" s="51">
        <v>0</v>
      </c>
    </row>
    <row r="386" spans="1:16" x14ac:dyDescent="0.2">
      <c r="A386" s="52">
        <v>44927</v>
      </c>
      <c r="B386" s="166">
        <v>5.2854999999999999</v>
      </c>
      <c r="C386" s="166">
        <v>5.4794</v>
      </c>
      <c r="D386" s="166">
        <v>5.0544000000000002</v>
      </c>
      <c r="E386" s="166">
        <v>5.1148999999999996</v>
      </c>
      <c r="G386" s="29">
        <f>B386/B385-1</f>
        <v>2.0051721475991879E-2</v>
      </c>
      <c r="J386" s="52">
        <v>40637</v>
      </c>
      <c r="K386" s="51">
        <v>1.6023000000000001</v>
      </c>
      <c r="L386" s="51">
        <v>1.6176999999999999</v>
      </c>
      <c r="M386" s="51">
        <v>1.5659000000000001</v>
      </c>
      <c r="N386" s="51">
        <v>1.5929</v>
      </c>
      <c r="O386" s="51">
        <v>1.5929</v>
      </c>
      <c r="P386" s="51">
        <v>0</v>
      </c>
    </row>
    <row r="387" spans="1:16" x14ac:dyDescent="0.2">
      <c r="A387" s="52">
        <v>44958</v>
      </c>
      <c r="B387" s="166">
        <v>5.0721999999999996</v>
      </c>
      <c r="C387" s="166">
        <v>5.3045999999999998</v>
      </c>
      <c r="D387" s="166">
        <v>4.9417</v>
      </c>
      <c r="E387" s="166">
        <v>5.1997</v>
      </c>
      <c r="G387" s="29">
        <f>B387/B386-1</f>
        <v>-4.0355690095544516E-2</v>
      </c>
      <c r="J387" s="52">
        <v>40644</v>
      </c>
      <c r="K387" s="51">
        <v>1.5788</v>
      </c>
      <c r="L387" s="51">
        <v>1.5936999999999999</v>
      </c>
      <c r="M387" s="51">
        <v>1.5639000000000001</v>
      </c>
      <c r="N387" s="51">
        <v>1.5920000000000001</v>
      </c>
      <c r="O387" s="51">
        <v>1.5920000000000001</v>
      </c>
      <c r="P387" s="51">
        <v>0</v>
      </c>
    </row>
    <row r="388" spans="1:16" x14ac:dyDescent="0.2">
      <c r="A388" s="52">
        <v>44986</v>
      </c>
      <c r="B388" s="166">
        <v>5.2359</v>
      </c>
      <c r="C388" s="166">
        <v>5.2782999999999998</v>
      </c>
      <c r="D388" s="166">
        <v>5.1029</v>
      </c>
      <c r="E388" s="166">
        <v>5.2457000000000003</v>
      </c>
      <c r="G388" s="29">
        <f>B388/B387-1</f>
        <v>3.2273963960411711E-2</v>
      </c>
      <c r="J388" s="52">
        <v>40651</v>
      </c>
      <c r="K388" s="51">
        <v>1.5711999999999999</v>
      </c>
      <c r="L388" s="51">
        <v>1.5969</v>
      </c>
      <c r="M388" s="51">
        <v>1.5586</v>
      </c>
      <c r="N388" s="51">
        <v>1.569</v>
      </c>
      <c r="O388" s="51">
        <v>1.569</v>
      </c>
      <c r="P388" s="51">
        <v>0</v>
      </c>
    </row>
    <row r="389" spans="1:16" x14ac:dyDescent="0.2">
      <c r="J389" s="52">
        <v>40658</v>
      </c>
      <c r="K389" s="51">
        <v>1.5586</v>
      </c>
      <c r="L389" s="51">
        <v>1.5918000000000001</v>
      </c>
      <c r="M389" s="51">
        <v>1.5541</v>
      </c>
      <c r="N389" s="51">
        <v>1.5863</v>
      </c>
      <c r="O389" s="51">
        <v>1.5863</v>
      </c>
      <c r="P389" s="51">
        <v>0</v>
      </c>
    </row>
    <row r="390" spans="1:16" x14ac:dyDescent="0.2">
      <c r="J390" s="52">
        <v>40665</v>
      </c>
      <c r="K390" s="51">
        <v>1.5711999999999999</v>
      </c>
      <c r="L390" s="51">
        <v>1.6213</v>
      </c>
      <c r="M390" s="51">
        <v>1.5659000000000001</v>
      </c>
      <c r="N390" s="51">
        <v>1.625</v>
      </c>
      <c r="O390" s="51">
        <v>1.625</v>
      </c>
      <c r="P390" s="51">
        <v>0</v>
      </c>
    </row>
    <row r="391" spans="1:16" x14ac:dyDescent="0.2">
      <c r="J391" s="52">
        <v>40672</v>
      </c>
      <c r="K391" s="51">
        <v>1.5993999999999999</v>
      </c>
      <c r="L391" s="51">
        <v>1.6377999999999999</v>
      </c>
      <c r="M391" s="51">
        <v>1.5987</v>
      </c>
      <c r="N391" s="51">
        <v>1.6165</v>
      </c>
      <c r="O391" s="51">
        <v>1.6165</v>
      </c>
      <c r="P391" s="51">
        <v>0</v>
      </c>
    </row>
    <row r="392" spans="1:16" x14ac:dyDescent="0.2">
      <c r="J392" s="52">
        <v>40679</v>
      </c>
      <c r="K392" s="51">
        <v>1.6311</v>
      </c>
      <c r="L392" s="51">
        <v>1.6361000000000001</v>
      </c>
      <c r="M392" s="51">
        <v>1.6025</v>
      </c>
      <c r="N392" s="51">
        <v>1.6158999999999999</v>
      </c>
      <c r="O392" s="51">
        <v>1.6158999999999999</v>
      </c>
      <c r="P392" s="51">
        <v>0</v>
      </c>
    </row>
    <row r="393" spans="1:16" x14ac:dyDescent="0.2">
      <c r="J393" s="52">
        <v>40686</v>
      </c>
      <c r="K393" s="51">
        <v>1.6174999999999999</v>
      </c>
      <c r="L393" s="51">
        <v>1.6369</v>
      </c>
      <c r="M393" s="51">
        <v>1.5943000000000001</v>
      </c>
      <c r="N393" s="51">
        <v>1.6223000000000001</v>
      </c>
      <c r="O393" s="51">
        <v>1.6223000000000001</v>
      </c>
      <c r="P393" s="51">
        <v>0</v>
      </c>
    </row>
    <row r="394" spans="1:16" x14ac:dyDescent="0.2">
      <c r="J394" s="52">
        <v>40693</v>
      </c>
      <c r="K394" s="51">
        <v>1.5894999999999999</v>
      </c>
      <c r="L394" s="51">
        <v>1.5945</v>
      </c>
      <c r="M394" s="51">
        <v>1.5408999999999999</v>
      </c>
      <c r="N394" s="51">
        <v>1.5774999999999999</v>
      </c>
      <c r="O394" s="51">
        <v>1.5774999999999999</v>
      </c>
      <c r="P394" s="51">
        <v>0</v>
      </c>
    </row>
    <row r="395" spans="1:16" x14ac:dyDescent="0.2">
      <c r="J395" s="52">
        <v>40700</v>
      </c>
      <c r="K395" s="51">
        <v>1.5688</v>
      </c>
      <c r="L395" s="51">
        <v>1.5960000000000001</v>
      </c>
      <c r="M395" s="51">
        <v>1.55</v>
      </c>
      <c r="N395" s="51">
        <v>1.5869</v>
      </c>
      <c r="O395" s="51">
        <v>1.5869</v>
      </c>
      <c r="P395" s="51">
        <v>0</v>
      </c>
    </row>
    <row r="396" spans="1:16" x14ac:dyDescent="0.2">
      <c r="J396" s="52">
        <v>40707</v>
      </c>
      <c r="K396" s="51">
        <v>1.5948</v>
      </c>
      <c r="L396" s="51">
        <v>1.6119000000000001</v>
      </c>
      <c r="M396" s="51">
        <v>1.5765</v>
      </c>
      <c r="N396" s="51">
        <v>1.6061000000000001</v>
      </c>
      <c r="O396" s="51">
        <v>1.6061000000000001</v>
      </c>
      <c r="P396" s="51">
        <v>0</v>
      </c>
    </row>
    <row r="397" spans="1:16" x14ac:dyDescent="0.2">
      <c r="J397" s="52">
        <v>40714</v>
      </c>
      <c r="K397" s="51">
        <v>1.5898000000000001</v>
      </c>
      <c r="L397" s="51">
        <v>1.6051</v>
      </c>
      <c r="M397" s="51">
        <v>1.5818000000000001</v>
      </c>
      <c r="N397" s="51">
        <v>1.5905</v>
      </c>
      <c r="O397" s="51">
        <v>1.5905</v>
      </c>
      <c r="P397" s="51">
        <v>0</v>
      </c>
    </row>
    <row r="398" spans="1:16" x14ac:dyDescent="0.2">
      <c r="J398" s="52">
        <v>40721</v>
      </c>
      <c r="K398" s="51">
        <v>1.59</v>
      </c>
      <c r="L398" s="51">
        <v>1.6017999999999999</v>
      </c>
      <c r="M398" s="51">
        <v>1.5488</v>
      </c>
      <c r="N398" s="51">
        <v>1.5613999999999999</v>
      </c>
      <c r="O398" s="51">
        <v>1.5613999999999999</v>
      </c>
      <c r="P398" s="51">
        <v>0</v>
      </c>
    </row>
    <row r="399" spans="1:16" x14ac:dyDescent="0.2">
      <c r="J399" s="52">
        <v>40728</v>
      </c>
      <c r="K399" s="51">
        <v>1.5523</v>
      </c>
      <c r="L399" s="51">
        <v>1.5698000000000001</v>
      </c>
      <c r="M399" s="51">
        <v>1.5477000000000001</v>
      </c>
      <c r="N399" s="51">
        <v>1.5545</v>
      </c>
      <c r="O399" s="51">
        <v>1.5545</v>
      </c>
      <c r="P399" s="51">
        <v>0</v>
      </c>
    </row>
    <row r="400" spans="1:16" x14ac:dyDescent="0.2">
      <c r="J400" s="52">
        <v>40735</v>
      </c>
      <c r="K400" s="51">
        <v>1.5450999999999999</v>
      </c>
      <c r="L400" s="51">
        <v>1.5820000000000001</v>
      </c>
      <c r="M400" s="51">
        <v>1.5450999999999999</v>
      </c>
      <c r="N400" s="51">
        <v>1.5765</v>
      </c>
      <c r="O400" s="51">
        <v>1.5765</v>
      </c>
      <c r="P400" s="51">
        <v>0</v>
      </c>
    </row>
    <row r="401" spans="10:16" x14ac:dyDescent="0.2">
      <c r="J401" s="52">
        <v>40742</v>
      </c>
      <c r="K401" s="51">
        <v>1.5696000000000001</v>
      </c>
      <c r="L401" s="51">
        <v>1.5825</v>
      </c>
      <c r="M401" s="51">
        <v>1.5478000000000001</v>
      </c>
      <c r="N401" s="51">
        <v>1.5523</v>
      </c>
      <c r="O401" s="51">
        <v>1.5523</v>
      </c>
      <c r="P401" s="51">
        <v>0</v>
      </c>
    </row>
    <row r="402" spans="10:16" x14ac:dyDescent="0.2">
      <c r="J402" s="52">
        <v>40749</v>
      </c>
      <c r="K402" s="51">
        <v>1.5539000000000001</v>
      </c>
      <c r="L402" s="51">
        <v>1.5707</v>
      </c>
      <c r="M402" s="51">
        <v>1.5251999999999999</v>
      </c>
      <c r="N402" s="51">
        <v>1.5628</v>
      </c>
      <c r="O402" s="51">
        <v>1.5628</v>
      </c>
      <c r="P402" s="51">
        <v>0</v>
      </c>
    </row>
    <row r="403" spans="10:16" x14ac:dyDescent="0.2">
      <c r="J403" s="52">
        <v>40756</v>
      </c>
      <c r="K403" s="51">
        <v>1.544</v>
      </c>
      <c r="L403" s="51">
        <v>1.5952</v>
      </c>
      <c r="M403" s="51">
        <v>1.5427</v>
      </c>
      <c r="N403" s="51">
        <v>1.5768</v>
      </c>
      <c r="O403" s="51">
        <v>1.5768</v>
      </c>
      <c r="P403" s="51">
        <v>0</v>
      </c>
    </row>
    <row r="404" spans="10:16" x14ac:dyDescent="0.2">
      <c r="J404" s="52">
        <v>40763</v>
      </c>
      <c r="K404" s="51">
        <v>1.593</v>
      </c>
      <c r="L404" s="51">
        <v>1.6548</v>
      </c>
      <c r="M404" s="51">
        <v>1.5720000000000001</v>
      </c>
      <c r="N404" s="51">
        <v>1.6233</v>
      </c>
      <c r="O404" s="51">
        <v>1.6233</v>
      </c>
      <c r="P404" s="51">
        <v>0</v>
      </c>
    </row>
    <row r="405" spans="10:16" x14ac:dyDescent="0.2">
      <c r="J405" s="52">
        <v>40770</v>
      </c>
      <c r="K405" s="51">
        <v>1.6060000000000001</v>
      </c>
      <c r="L405" s="51">
        <v>1.6112</v>
      </c>
      <c r="M405" s="51">
        <v>1.5722</v>
      </c>
      <c r="N405" s="51">
        <v>1.607</v>
      </c>
      <c r="O405" s="51">
        <v>1.607</v>
      </c>
      <c r="P405" s="51">
        <v>0</v>
      </c>
    </row>
    <row r="406" spans="10:16" x14ac:dyDescent="0.2">
      <c r="J406" s="52">
        <v>40777</v>
      </c>
      <c r="K406" s="51">
        <v>1.5933999999999999</v>
      </c>
      <c r="L406" s="51">
        <v>1.6152</v>
      </c>
      <c r="M406" s="51">
        <v>1.5837000000000001</v>
      </c>
      <c r="N406" s="51">
        <v>1.609</v>
      </c>
      <c r="O406" s="51">
        <v>1.609</v>
      </c>
      <c r="P406" s="51">
        <v>0</v>
      </c>
    </row>
    <row r="407" spans="10:16" x14ac:dyDescent="0.2">
      <c r="J407" s="52">
        <v>40784</v>
      </c>
      <c r="K407" s="51">
        <v>1.6</v>
      </c>
      <c r="L407" s="51">
        <v>1.6378999999999999</v>
      </c>
      <c r="M407" s="51">
        <v>1.5793999999999999</v>
      </c>
      <c r="N407" s="51">
        <v>1.599</v>
      </c>
      <c r="O407" s="51">
        <v>1.599</v>
      </c>
      <c r="P407" s="51">
        <v>0</v>
      </c>
    </row>
    <row r="408" spans="10:16" x14ac:dyDescent="0.2">
      <c r="J408" s="52">
        <v>40791</v>
      </c>
      <c r="K408" s="51">
        <v>1.6365000000000001</v>
      </c>
      <c r="L408" s="51">
        <v>1.6794</v>
      </c>
      <c r="M408" s="51">
        <v>1.6365000000000001</v>
      </c>
      <c r="N408" s="51">
        <v>1.6516</v>
      </c>
      <c r="O408" s="51">
        <v>1.6516</v>
      </c>
      <c r="P408" s="51">
        <v>0</v>
      </c>
    </row>
    <row r="409" spans="10:16" x14ac:dyDescent="0.2">
      <c r="J409" s="52">
        <v>40798</v>
      </c>
      <c r="K409" s="51">
        <v>1.6749000000000001</v>
      </c>
      <c r="L409" s="51">
        <v>1.7336</v>
      </c>
      <c r="M409" s="51">
        <v>1.6697</v>
      </c>
      <c r="N409" s="51">
        <v>1.7091000000000001</v>
      </c>
      <c r="O409" s="51">
        <v>1.7091000000000001</v>
      </c>
      <c r="P409" s="51">
        <v>0</v>
      </c>
    </row>
    <row r="410" spans="10:16" x14ac:dyDescent="0.2">
      <c r="J410" s="52">
        <v>40805</v>
      </c>
      <c r="K410" s="51">
        <v>1.7277</v>
      </c>
      <c r="L410" s="51">
        <v>1.9462999999999999</v>
      </c>
      <c r="M410" s="51">
        <v>1.7142999999999999</v>
      </c>
      <c r="N410" s="51">
        <v>1.8768</v>
      </c>
      <c r="O410" s="51">
        <v>1.8768</v>
      </c>
      <c r="P410" s="51">
        <v>0</v>
      </c>
    </row>
    <row r="411" spans="10:16" x14ac:dyDescent="0.2">
      <c r="J411" s="52">
        <v>40812</v>
      </c>
      <c r="K411" s="51">
        <v>1.8283</v>
      </c>
      <c r="L411" s="51">
        <v>1.8624000000000001</v>
      </c>
      <c r="M411" s="51">
        <v>1.7919</v>
      </c>
      <c r="N411" s="51">
        <v>1.8277000000000001</v>
      </c>
      <c r="O411" s="51">
        <v>1.8277000000000001</v>
      </c>
      <c r="P411" s="51">
        <v>0</v>
      </c>
    </row>
    <row r="412" spans="10:16" x14ac:dyDescent="0.2">
      <c r="J412" s="52">
        <v>40819</v>
      </c>
      <c r="K412" s="51">
        <v>1.8740000000000001</v>
      </c>
      <c r="L412" s="51">
        <v>1.8992</v>
      </c>
      <c r="M412" s="51">
        <v>1.7511000000000001</v>
      </c>
      <c r="N412" s="51">
        <v>1.8067</v>
      </c>
      <c r="O412" s="51">
        <v>1.8067</v>
      </c>
      <c r="P412" s="51">
        <v>0</v>
      </c>
    </row>
    <row r="413" spans="10:16" x14ac:dyDescent="0.2">
      <c r="J413" s="52">
        <v>40826</v>
      </c>
      <c r="K413" s="51">
        <v>1.7666999999999999</v>
      </c>
      <c r="L413" s="51">
        <v>1.7798</v>
      </c>
      <c r="M413" s="51">
        <v>1.7234</v>
      </c>
      <c r="N413" s="51">
        <v>1.7431000000000001</v>
      </c>
      <c r="O413" s="51">
        <v>1.7431000000000001</v>
      </c>
      <c r="P413" s="51">
        <v>0</v>
      </c>
    </row>
    <row r="414" spans="10:16" x14ac:dyDescent="0.2">
      <c r="J414" s="52">
        <v>40833</v>
      </c>
      <c r="K414" s="51">
        <v>1.7306999999999999</v>
      </c>
      <c r="L414" s="51">
        <v>1.7987</v>
      </c>
      <c r="M414" s="51">
        <v>1.7306999999999999</v>
      </c>
      <c r="N414" s="51">
        <v>1.7869999999999999</v>
      </c>
      <c r="O414" s="51">
        <v>1.7869999999999999</v>
      </c>
      <c r="P414" s="51">
        <v>0</v>
      </c>
    </row>
    <row r="415" spans="10:16" x14ac:dyDescent="0.2">
      <c r="J415" s="52">
        <v>40840</v>
      </c>
      <c r="K415" s="51">
        <v>1.7699</v>
      </c>
      <c r="L415" s="51">
        <v>1.7815000000000001</v>
      </c>
      <c r="M415" s="51">
        <v>1.6827000000000001</v>
      </c>
      <c r="N415" s="51">
        <v>1.7090000000000001</v>
      </c>
      <c r="O415" s="51">
        <v>1.7090000000000001</v>
      </c>
      <c r="P415" s="51">
        <v>0</v>
      </c>
    </row>
    <row r="416" spans="10:16" x14ac:dyDescent="0.2">
      <c r="J416" s="52">
        <v>40847</v>
      </c>
      <c r="K416" s="51">
        <v>1.6675</v>
      </c>
      <c r="L416" s="51">
        <v>1.7575000000000001</v>
      </c>
      <c r="M416" s="51">
        <v>1.6651</v>
      </c>
      <c r="N416" s="51">
        <v>1.7315</v>
      </c>
      <c r="O416" s="51">
        <v>1.7315</v>
      </c>
      <c r="P416" s="51">
        <v>0</v>
      </c>
    </row>
    <row r="417" spans="10:16" x14ac:dyDescent="0.2">
      <c r="J417" s="52">
        <v>40854</v>
      </c>
      <c r="K417" s="51">
        <v>1.7476</v>
      </c>
      <c r="L417" s="51">
        <v>1.7805</v>
      </c>
      <c r="M417" s="51">
        <v>1.7273000000000001</v>
      </c>
      <c r="N417" s="51">
        <v>1.76</v>
      </c>
      <c r="O417" s="51">
        <v>1.76</v>
      </c>
      <c r="P417" s="51">
        <v>0</v>
      </c>
    </row>
    <row r="418" spans="10:16" x14ac:dyDescent="0.2">
      <c r="J418" s="52">
        <v>40861</v>
      </c>
      <c r="K418" s="51">
        <v>1.7374000000000001</v>
      </c>
      <c r="L418" s="51">
        <v>1.7842</v>
      </c>
      <c r="M418" s="51">
        <v>1.7374000000000001</v>
      </c>
      <c r="N418" s="51">
        <v>1.7645</v>
      </c>
      <c r="O418" s="51">
        <v>1.7645</v>
      </c>
      <c r="P418" s="51">
        <v>0</v>
      </c>
    </row>
    <row r="419" spans="10:16" x14ac:dyDescent="0.2">
      <c r="J419" s="52">
        <v>40868</v>
      </c>
      <c r="K419" s="51">
        <v>1.7809999999999999</v>
      </c>
      <c r="L419" s="51">
        <v>1.9105000000000001</v>
      </c>
      <c r="M419" s="51">
        <v>1.7809999999999999</v>
      </c>
      <c r="N419" s="51">
        <v>1.8754999999999999</v>
      </c>
      <c r="O419" s="51">
        <v>1.8754999999999999</v>
      </c>
      <c r="P419" s="51">
        <v>0</v>
      </c>
    </row>
    <row r="420" spans="10:16" x14ac:dyDescent="0.2">
      <c r="J420" s="52">
        <v>40875</v>
      </c>
      <c r="K420" s="51">
        <v>1.887</v>
      </c>
      <c r="L420" s="51">
        <v>1.8891</v>
      </c>
      <c r="M420" s="51">
        <v>1.7638</v>
      </c>
      <c r="N420" s="51">
        <v>1.7989999999999999</v>
      </c>
      <c r="O420" s="51">
        <v>1.7989999999999999</v>
      </c>
      <c r="P420" s="51">
        <v>0</v>
      </c>
    </row>
    <row r="421" spans="10:16" x14ac:dyDescent="0.2">
      <c r="J421" s="52">
        <v>40882</v>
      </c>
      <c r="K421" s="51">
        <v>1.7862</v>
      </c>
      <c r="L421" s="51">
        <v>1.8220000000000001</v>
      </c>
      <c r="M421" s="51">
        <v>1.7732000000000001</v>
      </c>
      <c r="N421" s="51">
        <v>1.8169999999999999</v>
      </c>
      <c r="O421" s="51">
        <v>1.8169999999999999</v>
      </c>
      <c r="P421" s="51">
        <v>0</v>
      </c>
    </row>
    <row r="422" spans="10:16" x14ac:dyDescent="0.2">
      <c r="J422" s="52">
        <v>40889</v>
      </c>
      <c r="K422" s="51">
        <v>1.8015000000000001</v>
      </c>
      <c r="L422" s="51">
        <v>1.8794</v>
      </c>
      <c r="M422" s="51">
        <v>1.7928999999999999</v>
      </c>
      <c r="N422" s="51">
        <v>1.8588</v>
      </c>
      <c r="O422" s="51">
        <v>1.8588</v>
      </c>
      <c r="P422" s="51">
        <v>0</v>
      </c>
    </row>
    <row r="423" spans="10:16" x14ac:dyDescent="0.2">
      <c r="J423" s="52">
        <v>40896</v>
      </c>
      <c r="K423" s="51">
        <v>1.849</v>
      </c>
      <c r="L423" s="51">
        <v>1.8654999999999999</v>
      </c>
      <c r="M423" s="51">
        <v>1.8290999999999999</v>
      </c>
      <c r="N423" s="51">
        <v>1.851</v>
      </c>
      <c r="O423" s="51">
        <v>1.851</v>
      </c>
      <c r="P423" s="51">
        <v>0</v>
      </c>
    </row>
    <row r="424" spans="10:16" x14ac:dyDescent="0.2">
      <c r="J424" s="52">
        <v>40903</v>
      </c>
      <c r="K424" s="51">
        <v>1.8574999999999999</v>
      </c>
      <c r="L424" s="51">
        <v>1.8844000000000001</v>
      </c>
      <c r="M424" s="51">
        <v>1.8365</v>
      </c>
      <c r="N424" s="51">
        <v>1.8652</v>
      </c>
      <c r="O424" s="51">
        <v>1.8652</v>
      </c>
      <c r="P424" s="51">
        <v>0</v>
      </c>
    </row>
    <row r="425" spans="10:16" x14ac:dyDescent="0.2">
      <c r="J425" s="52">
        <v>40910</v>
      </c>
      <c r="K425" s="51">
        <v>1.8599000000000001</v>
      </c>
      <c r="L425" s="51">
        <v>1.8696999999999999</v>
      </c>
      <c r="M425" s="51">
        <v>1.8130999999999999</v>
      </c>
      <c r="N425" s="51">
        <v>1.8475999999999999</v>
      </c>
      <c r="O425" s="51">
        <v>1.8475999999999999</v>
      </c>
      <c r="P425" s="51">
        <v>0</v>
      </c>
    </row>
    <row r="426" spans="10:16" x14ac:dyDescent="0.2">
      <c r="J426" s="52">
        <v>40917</v>
      </c>
      <c r="K426" s="51">
        <v>1.8548</v>
      </c>
      <c r="L426" s="51">
        <v>1.8549</v>
      </c>
      <c r="M426" s="51">
        <v>1.7658</v>
      </c>
      <c r="N426" s="51">
        <v>1.7907999999999999</v>
      </c>
      <c r="O426" s="51">
        <v>1.7907999999999999</v>
      </c>
      <c r="P426" s="51">
        <v>0</v>
      </c>
    </row>
    <row r="427" spans="10:16" x14ac:dyDescent="0.2">
      <c r="J427" s="52">
        <v>40924</v>
      </c>
      <c r="K427" s="51">
        <v>1.7818000000000001</v>
      </c>
      <c r="L427" s="51">
        <v>1.7857000000000001</v>
      </c>
      <c r="M427" s="51">
        <v>1.7564</v>
      </c>
      <c r="N427" s="51">
        <v>1.7601</v>
      </c>
      <c r="O427" s="51">
        <v>1.7601</v>
      </c>
      <c r="P427" s="51">
        <v>0</v>
      </c>
    </row>
    <row r="428" spans="10:16" x14ac:dyDescent="0.2">
      <c r="J428" s="52">
        <v>40931</v>
      </c>
      <c r="K428" s="51">
        <v>1.7681</v>
      </c>
      <c r="L428" s="51">
        <v>1.7682</v>
      </c>
      <c r="M428" s="51">
        <v>1.7295</v>
      </c>
      <c r="N428" s="51">
        <v>1.738</v>
      </c>
      <c r="O428" s="51">
        <v>1.738</v>
      </c>
      <c r="P428" s="51">
        <v>0</v>
      </c>
    </row>
    <row r="429" spans="10:16" x14ac:dyDescent="0.2">
      <c r="J429" s="52">
        <v>40938</v>
      </c>
      <c r="K429" s="51">
        <v>1.7408999999999999</v>
      </c>
      <c r="L429" s="51">
        <v>1.7533000000000001</v>
      </c>
      <c r="M429" s="51">
        <v>1.7145999999999999</v>
      </c>
      <c r="N429" s="51">
        <v>1.7153</v>
      </c>
      <c r="O429" s="51">
        <v>1.7153</v>
      </c>
      <c r="P429" s="51">
        <v>0</v>
      </c>
    </row>
    <row r="430" spans="10:16" x14ac:dyDescent="0.2">
      <c r="J430" s="52">
        <v>40945</v>
      </c>
      <c r="K430" s="51">
        <v>1.7157</v>
      </c>
      <c r="L430" s="51">
        <v>1.7319</v>
      </c>
      <c r="M430" s="51">
        <v>1.7065999999999999</v>
      </c>
      <c r="N430" s="51">
        <v>1.7188000000000001</v>
      </c>
      <c r="O430" s="51">
        <v>1.7188000000000001</v>
      </c>
      <c r="P430" s="51">
        <v>0</v>
      </c>
    </row>
    <row r="431" spans="10:16" x14ac:dyDescent="0.2">
      <c r="J431" s="52">
        <v>40952</v>
      </c>
      <c r="K431" s="51">
        <v>1.726</v>
      </c>
      <c r="L431" s="51">
        <v>1.7355</v>
      </c>
      <c r="M431" s="51">
        <v>1.7053</v>
      </c>
      <c r="N431" s="51">
        <v>1.7093</v>
      </c>
      <c r="O431" s="51">
        <v>1.7093</v>
      </c>
      <c r="P431" s="51">
        <v>0</v>
      </c>
    </row>
    <row r="432" spans="10:16" x14ac:dyDescent="0.2">
      <c r="J432" s="52">
        <v>40959</v>
      </c>
      <c r="K432" s="51">
        <v>1.7129000000000001</v>
      </c>
      <c r="L432" s="51">
        <v>1.7257</v>
      </c>
      <c r="M432" s="51">
        <v>1.6922999999999999</v>
      </c>
      <c r="N432" s="51">
        <v>1.7065999999999999</v>
      </c>
      <c r="O432" s="51">
        <v>1.7065999999999999</v>
      </c>
      <c r="P432" s="51">
        <v>0</v>
      </c>
    </row>
    <row r="433" spans="10:16" x14ac:dyDescent="0.2">
      <c r="J433" s="52">
        <v>40966</v>
      </c>
      <c r="K433" s="51">
        <v>1.7085999999999999</v>
      </c>
      <c r="L433" s="51">
        <v>1.7293000000000001</v>
      </c>
      <c r="M433" s="51">
        <v>1.6867000000000001</v>
      </c>
      <c r="N433" s="51">
        <v>1.7293000000000001</v>
      </c>
      <c r="O433" s="51">
        <v>1.7293000000000001</v>
      </c>
      <c r="P433" s="51">
        <v>0</v>
      </c>
    </row>
    <row r="434" spans="10:16" x14ac:dyDescent="0.2">
      <c r="J434" s="52">
        <v>40973</v>
      </c>
      <c r="K434" s="51">
        <v>1.7297</v>
      </c>
      <c r="L434" s="51">
        <v>1.7890999999999999</v>
      </c>
      <c r="M434" s="51">
        <v>1.7128000000000001</v>
      </c>
      <c r="N434" s="51">
        <v>1.7890999999999999</v>
      </c>
      <c r="O434" s="51">
        <v>1.7890999999999999</v>
      </c>
      <c r="P434" s="51">
        <v>0</v>
      </c>
    </row>
    <row r="435" spans="10:16" x14ac:dyDescent="0.2">
      <c r="J435" s="52">
        <v>40980</v>
      </c>
      <c r="K435" s="51">
        <v>1.7903</v>
      </c>
      <c r="L435" s="51">
        <v>1.8214999999999999</v>
      </c>
      <c r="M435" s="51">
        <v>1.7718</v>
      </c>
      <c r="N435" s="51">
        <v>1.7975000000000001</v>
      </c>
      <c r="O435" s="51">
        <v>1.7975000000000001</v>
      </c>
      <c r="P435" s="51">
        <v>0</v>
      </c>
    </row>
    <row r="436" spans="10:16" x14ac:dyDescent="0.2">
      <c r="J436" s="52">
        <v>40987</v>
      </c>
      <c r="K436" s="51">
        <v>1.7988</v>
      </c>
      <c r="L436" s="51">
        <v>1.8306</v>
      </c>
      <c r="M436" s="51">
        <v>1.7954000000000001</v>
      </c>
      <c r="N436" s="51">
        <v>1.8091999999999999</v>
      </c>
      <c r="O436" s="51">
        <v>1.8091999999999999</v>
      </c>
      <c r="P436" s="51">
        <v>0</v>
      </c>
    </row>
    <row r="437" spans="10:16" x14ac:dyDescent="0.2">
      <c r="J437" s="52">
        <v>40994</v>
      </c>
      <c r="K437" s="51">
        <v>1.8092999999999999</v>
      </c>
      <c r="L437" s="51">
        <v>1.8341000000000001</v>
      </c>
      <c r="M437" s="51">
        <v>1.7911999999999999</v>
      </c>
      <c r="N437" s="51">
        <v>1.8244</v>
      </c>
      <c r="O437" s="51">
        <v>1.8244</v>
      </c>
      <c r="P437" s="51">
        <v>0</v>
      </c>
    </row>
    <row r="438" spans="10:16" x14ac:dyDescent="0.2">
      <c r="J438" s="52">
        <v>41001</v>
      </c>
      <c r="K438" s="51">
        <v>1.8257000000000001</v>
      </c>
      <c r="L438" s="51">
        <v>1.8419000000000001</v>
      </c>
      <c r="M438" s="51">
        <v>1.8072999999999999</v>
      </c>
      <c r="N438" s="51">
        <v>1.8179000000000001</v>
      </c>
      <c r="O438" s="51">
        <v>1.8179000000000001</v>
      </c>
      <c r="P438" s="51">
        <v>0</v>
      </c>
    </row>
    <row r="439" spans="10:16" x14ac:dyDescent="0.2">
      <c r="J439" s="52">
        <v>41008</v>
      </c>
      <c r="K439" s="51">
        <v>1.8219000000000001</v>
      </c>
      <c r="L439" s="51">
        <v>1.8385</v>
      </c>
      <c r="M439" s="51">
        <v>1.7978000000000001</v>
      </c>
      <c r="N439" s="51">
        <v>1.8374999999999999</v>
      </c>
      <c r="O439" s="51">
        <v>1.8374999999999999</v>
      </c>
      <c r="P439" s="51">
        <v>0</v>
      </c>
    </row>
    <row r="440" spans="10:16" x14ac:dyDescent="0.2">
      <c r="J440" s="52">
        <v>41015</v>
      </c>
      <c r="K440" s="51">
        <v>1.8373999999999999</v>
      </c>
      <c r="L440" s="51">
        <v>1.8883000000000001</v>
      </c>
      <c r="M440" s="51">
        <v>1.8181</v>
      </c>
      <c r="N440" s="51">
        <v>1.8704000000000001</v>
      </c>
      <c r="O440" s="51">
        <v>1.8704000000000001</v>
      </c>
      <c r="P440" s="51">
        <v>0</v>
      </c>
    </row>
    <row r="441" spans="10:16" x14ac:dyDescent="0.2">
      <c r="J441" s="52">
        <v>41022</v>
      </c>
      <c r="K441" s="51">
        <v>1.8718999999999999</v>
      </c>
      <c r="L441" s="51">
        <v>1.89</v>
      </c>
      <c r="M441" s="51">
        <v>1.8529</v>
      </c>
      <c r="N441" s="51">
        <v>1.885</v>
      </c>
      <c r="O441" s="51">
        <v>1.885</v>
      </c>
      <c r="P441" s="51">
        <v>0</v>
      </c>
    </row>
    <row r="442" spans="10:16" x14ac:dyDescent="0.2">
      <c r="J442" s="52">
        <v>41029</v>
      </c>
      <c r="K442" s="51">
        <v>1.8864000000000001</v>
      </c>
      <c r="L442" s="51">
        <v>1.9326000000000001</v>
      </c>
      <c r="M442" s="51">
        <v>1.8672</v>
      </c>
      <c r="N442" s="51">
        <v>1.8962000000000001</v>
      </c>
      <c r="O442" s="51">
        <v>1.8962000000000001</v>
      </c>
      <c r="P442" s="51">
        <v>0</v>
      </c>
    </row>
    <row r="443" spans="10:16" x14ac:dyDescent="0.2">
      <c r="J443" s="52">
        <v>41036</v>
      </c>
      <c r="K443" s="51">
        <v>1.9269000000000001</v>
      </c>
      <c r="L443" s="51">
        <v>1.9737</v>
      </c>
      <c r="M443" s="51">
        <v>1.9013</v>
      </c>
      <c r="N443" s="51">
        <v>1.9610000000000001</v>
      </c>
      <c r="O443" s="51">
        <v>1.9610000000000001</v>
      </c>
      <c r="P443" s="51">
        <v>0</v>
      </c>
    </row>
    <row r="444" spans="10:16" x14ac:dyDescent="0.2">
      <c r="J444" s="52">
        <v>41043</v>
      </c>
      <c r="K444" s="51">
        <v>1.9652000000000001</v>
      </c>
      <c r="L444" s="51">
        <v>2.0226999999999999</v>
      </c>
      <c r="M444" s="51">
        <v>1.9467000000000001</v>
      </c>
      <c r="N444" s="51">
        <v>2.0226000000000002</v>
      </c>
      <c r="O444" s="51">
        <v>2.0226000000000002</v>
      </c>
      <c r="P444" s="51">
        <v>0</v>
      </c>
    </row>
    <row r="445" spans="10:16" x14ac:dyDescent="0.2">
      <c r="J445" s="52">
        <v>41050</v>
      </c>
      <c r="K445" s="51">
        <v>2.0224000000000002</v>
      </c>
      <c r="L445" s="51">
        <v>2.1017000000000001</v>
      </c>
      <c r="M445" s="51">
        <v>1.9823</v>
      </c>
      <c r="N445" s="51">
        <v>1.9823</v>
      </c>
      <c r="O445" s="51">
        <v>1.9823</v>
      </c>
      <c r="P445" s="51">
        <v>0</v>
      </c>
    </row>
    <row r="446" spans="10:16" x14ac:dyDescent="0.2">
      <c r="J446" s="52">
        <v>41057</v>
      </c>
      <c r="K446" s="51">
        <v>1.9846999999999999</v>
      </c>
      <c r="L446" s="51">
        <v>2.0385</v>
      </c>
      <c r="M446" s="51">
        <v>1.9617</v>
      </c>
      <c r="N446" s="51">
        <v>2.0379</v>
      </c>
      <c r="O446" s="51">
        <v>2.0379</v>
      </c>
      <c r="P446" s="51">
        <v>0</v>
      </c>
    </row>
    <row r="447" spans="10:16" x14ac:dyDescent="0.2">
      <c r="J447" s="52">
        <v>41064</v>
      </c>
      <c r="K447" s="51">
        <v>2.0388000000000002</v>
      </c>
      <c r="L447" s="51">
        <v>2.0579000000000001</v>
      </c>
      <c r="M447" s="51">
        <v>2.0030000000000001</v>
      </c>
      <c r="N447" s="51">
        <v>2.0030999999999999</v>
      </c>
      <c r="O447" s="51">
        <v>2.0030999999999999</v>
      </c>
      <c r="P447" s="51">
        <v>0</v>
      </c>
    </row>
    <row r="448" spans="10:16" x14ac:dyDescent="0.2">
      <c r="J448" s="52">
        <v>41071</v>
      </c>
      <c r="K448" s="51">
        <v>2.0219999999999998</v>
      </c>
      <c r="L448" s="51">
        <v>2.0741999999999998</v>
      </c>
      <c r="M448" s="51">
        <v>2.0015999999999998</v>
      </c>
      <c r="N448" s="51">
        <v>2.0432000000000001</v>
      </c>
      <c r="O448" s="51">
        <v>2.0432000000000001</v>
      </c>
      <c r="P448" s="51">
        <v>0</v>
      </c>
    </row>
    <row r="449" spans="10:16" x14ac:dyDescent="0.2">
      <c r="J449" s="52">
        <v>41078</v>
      </c>
      <c r="K449" s="51">
        <v>2.0480999999999998</v>
      </c>
      <c r="L449" s="51">
        <v>2.0655000000000001</v>
      </c>
      <c r="M449" s="51">
        <v>2.0066999999999999</v>
      </c>
      <c r="N449" s="51">
        <v>2.0651000000000002</v>
      </c>
      <c r="O449" s="51">
        <v>2.0651000000000002</v>
      </c>
      <c r="P449" s="51">
        <v>0</v>
      </c>
    </row>
    <row r="450" spans="10:16" x14ac:dyDescent="0.2">
      <c r="J450" s="52">
        <v>41085</v>
      </c>
      <c r="K450" s="51">
        <v>2.0659999999999998</v>
      </c>
      <c r="L450" s="51">
        <v>2.0912999999999999</v>
      </c>
      <c r="M450" s="51">
        <v>2.0065</v>
      </c>
      <c r="N450" s="51">
        <v>2.0095999999999998</v>
      </c>
      <c r="O450" s="51">
        <v>2.0095999999999998</v>
      </c>
      <c r="P450" s="51">
        <v>0</v>
      </c>
    </row>
    <row r="451" spans="10:16" x14ac:dyDescent="0.2">
      <c r="J451" s="52">
        <v>41092</v>
      </c>
      <c r="K451" s="51">
        <v>2.0089000000000001</v>
      </c>
      <c r="L451" s="51">
        <v>2.0390000000000001</v>
      </c>
      <c r="M451" s="51">
        <v>1.9756</v>
      </c>
      <c r="N451" s="51">
        <v>2.0137</v>
      </c>
      <c r="O451" s="51">
        <v>2.0137</v>
      </c>
      <c r="P451" s="51">
        <v>0</v>
      </c>
    </row>
    <row r="452" spans="10:16" x14ac:dyDescent="0.2">
      <c r="J452" s="52">
        <v>41099</v>
      </c>
      <c r="K452" s="51">
        <v>2.0274999999999999</v>
      </c>
      <c r="L452" s="51">
        <v>2.0497000000000001</v>
      </c>
      <c r="M452" s="51">
        <v>2.0078</v>
      </c>
      <c r="N452" s="51">
        <v>2.0350999999999999</v>
      </c>
      <c r="O452" s="51">
        <v>2.0350999999999999</v>
      </c>
      <c r="P452" s="51">
        <v>0</v>
      </c>
    </row>
    <row r="453" spans="10:16" x14ac:dyDescent="0.2">
      <c r="J453" s="52">
        <v>41106</v>
      </c>
      <c r="K453" s="51">
        <v>2.0367000000000002</v>
      </c>
      <c r="L453" s="51">
        <v>2.0400999999999998</v>
      </c>
      <c r="M453" s="51">
        <v>1.9923999999999999</v>
      </c>
      <c r="N453" s="51">
        <v>2.0232000000000001</v>
      </c>
      <c r="O453" s="51">
        <v>2.0232000000000001</v>
      </c>
      <c r="P453" s="51">
        <v>0</v>
      </c>
    </row>
    <row r="454" spans="10:16" x14ac:dyDescent="0.2">
      <c r="J454" s="52">
        <v>41113</v>
      </c>
      <c r="K454" s="51">
        <v>2.0226999999999999</v>
      </c>
      <c r="L454" s="51">
        <v>2.0472000000000001</v>
      </c>
      <c r="M454" s="51">
        <v>2.0030000000000001</v>
      </c>
      <c r="N454" s="51">
        <v>2.0192000000000001</v>
      </c>
      <c r="O454" s="51">
        <v>2.0192000000000001</v>
      </c>
      <c r="P454" s="51">
        <v>0</v>
      </c>
    </row>
    <row r="455" spans="10:16" x14ac:dyDescent="0.2">
      <c r="J455" s="52">
        <v>41120</v>
      </c>
      <c r="K455" s="51">
        <v>2.0211000000000001</v>
      </c>
      <c r="L455" s="51">
        <v>2.0568</v>
      </c>
      <c r="M455" s="51">
        <v>2.0019</v>
      </c>
      <c r="N455" s="51">
        <v>2.0261999999999998</v>
      </c>
      <c r="O455" s="51">
        <v>2.0261999999999998</v>
      </c>
      <c r="P455" s="51">
        <v>0</v>
      </c>
    </row>
    <row r="456" spans="10:16" x14ac:dyDescent="0.2">
      <c r="J456" s="52">
        <v>41127</v>
      </c>
      <c r="K456" s="51">
        <v>2.0270000000000001</v>
      </c>
      <c r="L456" s="51">
        <v>2.0333000000000001</v>
      </c>
      <c r="M456" s="51">
        <v>2.0085999999999999</v>
      </c>
      <c r="N456" s="51">
        <v>2.0141</v>
      </c>
      <c r="O456" s="51">
        <v>2.0141</v>
      </c>
      <c r="P456" s="51">
        <v>0</v>
      </c>
    </row>
    <row r="457" spans="10:16" x14ac:dyDescent="0.2">
      <c r="J457" s="52">
        <v>41134</v>
      </c>
      <c r="K457" s="51">
        <v>2.0137999999999998</v>
      </c>
      <c r="L457" s="51">
        <v>2.0286</v>
      </c>
      <c r="M457" s="51">
        <v>1.9954000000000001</v>
      </c>
      <c r="N457" s="51">
        <v>2.0125999999999999</v>
      </c>
      <c r="O457" s="51">
        <v>2.0125999999999999</v>
      </c>
      <c r="P457" s="51">
        <v>0</v>
      </c>
    </row>
    <row r="458" spans="10:16" x14ac:dyDescent="0.2">
      <c r="J458" s="52">
        <v>41141</v>
      </c>
      <c r="K458" s="51">
        <v>2.0145</v>
      </c>
      <c r="L458" s="51">
        <v>2.0293999999999999</v>
      </c>
      <c r="M458" s="51">
        <v>1.9957</v>
      </c>
      <c r="N458" s="51">
        <v>2.0230999999999999</v>
      </c>
      <c r="O458" s="51">
        <v>2.0230999999999999</v>
      </c>
      <c r="P458" s="51">
        <v>0</v>
      </c>
    </row>
    <row r="459" spans="10:16" x14ac:dyDescent="0.2">
      <c r="J459" s="52">
        <v>41148</v>
      </c>
      <c r="K459" s="51">
        <v>2.0230999999999999</v>
      </c>
      <c r="L459" s="51">
        <v>2.0529000000000002</v>
      </c>
      <c r="M459" s="51">
        <v>2.0049999999999999</v>
      </c>
      <c r="N459" s="51">
        <v>2.0276999999999998</v>
      </c>
      <c r="O459" s="51">
        <v>2.0276999999999998</v>
      </c>
      <c r="P459" s="51">
        <v>0</v>
      </c>
    </row>
    <row r="460" spans="10:16" x14ac:dyDescent="0.2">
      <c r="J460" s="52">
        <v>41155</v>
      </c>
      <c r="K460" s="51">
        <v>2.0276999999999998</v>
      </c>
      <c r="L460" s="51">
        <v>2.0405000000000002</v>
      </c>
      <c r="M460" s="51">
        <v>2.0078999999999998</v>
      </c>
      <c r="N460" s="51">
        <v>2.0253000000000001</v>
      </c>
      <c r="O460" s="51">
        <v>2.0253000000000001</v>
      </c>
      <c r="P460" s="51">
        <v>0</v>
      </c>
    </row>
    <row r="461" spans="10:16" x14ac:dyDescent="0.2">
      <c r="J461" s="52">
        <v>41162</v>
      </c>
      <c r="K461" s="51">
        <v>2.0253000000000001</v>
      </c>
      <c r="L461" s="51">
        <v>2.0266999999999999</v>
      </c>
      <c r="M461" s="51">
        <v>1.9923</v>
      </c>
      <c r="N461" s="51">
        <v>2.0093000000000001</v>
      </c>
      <c r="O461" s="51">
        <v>2.0093000000000001</v>
      </c>
      <c r="P461" s="51">
        <v>0</v>
      </c>
    </row>
    <row r="462" spans="10:16" x14ac:dyDescent="0.2">
      <c r="J462" s="52">
        <v>41169</v>
      </c>
      <c r="K462" s="51">
        <v>2.0093000000000001</v>
      </c>
      <c r="L462" s="51">
        <v>2.0312000000000001</v>
      </c>
      <c r="M462" s="51">
        <v>1.9932000000000001</v>
      </c>
      <c r="N462" s="51">
        <v>2.0188000000000001</v>
      </c>
      <c r="O462" s="51">
        <v>2.0188000000000001</v>
      </c>
      <c r="P462" s="51">
        <v>0</v>
      </c>
    </row>
    <row r="463" spans="10:16" x14ac:dyDescent="0.2">
      <c r="J463" s="52">
        <v>41176</v>
      </c>
      <c r="K463" s="51">
        <v>2.0188000000000001</v>
      </c>
      <c r="L463" s="51">
        <v>2.0341</v>
      </c>
      <c r="M463" s="51">
        <v>2.0034000000000001</v>
      </c>
      <c r="N463" s="51">
        <v>2.0226000000000002</v>
      </c>
      <c r="O463" s="51">
        <v>2.0226000000000002</v>
      </c>
      <c r="P463" s="51">
        <v>0</v>
      </c>
    </row>
    <row r="464" spans="10:16" x14ac:dyDescent="0.2">
      <c r="J464" s="52">
        <v>41183</v>
      </c>
      <c r="K464" s="51">
        <v>2.0226000000000002</v>
      </c>
      <c r="L464" s="51">
        <v>2.0278</v>
      </c>
      <c r="M464" s="51">
        <v>1.9974000000000001</v>
      </c>
      <c r="N464" s="51">
        <v>1.9974000000000001</v>
      </c>
      <c r="O464" s="51">
        <v>1.9974000000000001</v>
      </c>
      <c r="P464" s="51">
        <v>0</v>
      </c>
    </row>
    <row r="465" spans="10:16" x14ac:dyDescent="0.2">
      <c r="J465" s="52">
        <v>41190</v>
      </c>
      <c r="K465" s="51">
        <v>2.0285000000000002</v>
      </c>
      <c r="L465" s="51">
        <v>2.0417999999999998</v>
      </c>
      <c r="M465" s="51">
        <v>2.0118999999999998</v>
      </c>
      <c r="N465" s="51">
        <v>2.0417999999999998</v>
      </c>
      <c r="O465" s="51">
        <v>2.0417999999999998</v>
      </c>
      <c r="P465" s="51">
        <v>0</v>
      </c>
    </row>
    <row r="466" spans="10:16" x14ac:dyDescent="0.2">
      <c r="J466" s="52">
        <v>41197</v>
      </c>
      <c r="K466" s="51">
        <v>2.0419999999999998</v>
      </c>
      <c r="L466" s="51">
        <v>2.0421999999999998</v>
      </c>
      <c r="M466" s="51">
        <v>2.0085000000000002</v>
      </c>
      <c r="N466" s="51">
        <v>2.0247000000000002</v>
      </c>
      <c r="O466" s="51">
        <v>2.0247000000000002</v>
      </c>
      <c r="P466" s="51">
        <v>0</v>
      </c>
    </row>
    <row r="467" spans="10:16" x14ac:dyDescent="0.2">
      <c r="J467" s="52">
        <v>41204</v>
      </c>
      <c r="K467" s="51">
        <v>2.0261</v>
      </c>
      <c r="L467" s="51">
        <v>2.0297000000000001</v>
      </c>
      <c r="M467" s="51">
        <v>2</v>
      </c>
      <c r="N467" s="51">
        <v>2.0251999999999999</v>
      </c>
      <c r="O467" s="51">
        <v>2.0251999999999999</v>
      </c>
      <c r="P467" s="51">
        <v>0</v>
      </c>
    </row>
    <row r="468" spans="10:16" x14ac:dyDescent="0.2">
      <c r="J468" s="52">
        <v>41211</v>
      </c>
      <c r="K468" s="51">
        <v>2.0255000000000001</v>
      </c>
      <c r="L468" s="51">
        <v>2.0423</v>
      </c>
      <c r="M468" s="51">
        <v>2.0083000000000002</v>
      </c>
      <c r="N468" s="51">
        <v>2.0287999999999999</v>
      </c>
      <c r="O468" s="51">
        <v>2.0287999999999999</v>
      </c>
      <c r="P468" s="51">
        <v>0</v>
      </c>
    </row>
    <row r="469" spans="10:16" x14ac:dyDescent="0.2">
      <c r="J469" s="52">
        <v>41218</v>
      </c>
      <c r="K469" s="51">
        <v>2.0297999999999998</v>
      </c>
      <c r="L469" s="51">
        <v>2.0617000000000001</v>
      </c>
      <c r="M469" s="51">
        <v>2.0116999999999998</v>
      </c>
      <c r="N469" s="51">
        <v>2.0445000000000002</v>
      </c>
      <c r="O469" s="51">
        <v>2.0445000000000002</v>
      </c>
      <c r="P469" s="51">
        <v>0</v>
      </c>
    </row>
    <row r="470" spans="10:16" x14ac:dyDescent="0.2">
      <c r="J470" s="52">
        <v>41225</v>
      </c>
      <c r="K470" s="51">
        <v>2.0448</v>
      </c>
      <c r="L470" s="51">
        <v>2.0809000000000002</v>
      </c>
      <c r="M470" s="51">
        <v>2.0276000000000001</v>
      </c>
      <c r="N470" s="51">
        <v>2.0806</v>
      </c>
      <c r="O470" s="51">
        <v>2.0806</v>
      </c>
      <c r="P470" s="51">
        <v>0</v>
      </c>
    </row>
    <row r="471" spans="10:16" x14ac:dyDescent="0.2">
      <c r="J471" s="52">
        <v>41232</v>
      </c>
      <c r="K471" s="51">
        <v>2.0828000000000002</v>
      </c>
      <c r="L471" s="51">
        <v>2.1137000000000001</v>
      </c>
      <c r="M471" s="51">
        <v>2.0558000000000001</v>
      </c>
      <c r="N471" s="51">
        <v>2.0800999999999998</v>
      </c>
      <c r="O471" s="51">
        <v>2.0800999999999998</v>
      </c>
      <c r="P471" s="51">
        <v>0</v>
      </c>
    </row>
    <row r="472" spans="10:16" x14ac:dyDescent="0.2">
      <c r="J472" s="52">
        <v>41239</v>
      </c>
      <c r="K472" s="51">
        <v>2.0802999999999998</v>
      </c>
      <c r="L472" s="51">
        <v>2.1355</v>
      </c>
      <c r="M472" s="51">
        <v>2.0560999999999998</v>
      </c>
      <c r="N472" s="51">
        <v>2.1339000000000001</v>
      </c>
      <c r="O472" s="51">
        <v>2.1339000000000001</v>
      </c>
      <c r="P472" s="51">
        <v>0</v>
      </c>
    </row>
    <row r="473" spans="10:16" x14ac:dyDescent="0.2">
      <c r="J473" s="52">
        <v>41246</v>
      </c>
      <c r="K473" s="51">
        <v>2.1347</v>
      </c>
      <c r="L473" s="51">
        <v>2.1402999999999999</v>
      </c>
      <c r="M473" s="51">
        <v>2.0589</v>
      </c>
      <c r="N473" s="51">
        <v>2.0735000000000001</v>
      </c>
      <c r="O473" s="51">
        <v>2.0735000000000001</v>
      </c>
      <c r="P473" s="51">
        <v>0</v>
      </c>
    </row>
    <row r="474" spans="10:16" x14ac:dyDescent="0.2">
      <c r="J474" s="52">
        <v>41253</v>
      </c>
      <c r="K474" s="51">
        <v>2.0741000000000001</v>
      </c>
      <c r="L474" s="51">
        <v>2.0869</v>
      </c>
      <c r="M474" s="51">
        <v>2.0529000000000002</v>
      </c>
      <c r="N474" s="51">
        <v>2.0851000000000002</v>
      </c>
      <c r="O474" s="51">
        <v>2.0851000000000002</v>
      </c>
      <c r="P474" s="51">
        <v>0</v>
      </c>
    </row>
    <row r="475" spans="10:16" x14ac:dyDescent="0.2">
      <c r="J475" s="52">
        <v>41260</v>
      </c>
      <c r="K475" s="51">
        <v>2.0846</v>
      </c>
      <c r="L475" s="51">
        <v>2.1059999999999999</v>
      </c>
      <c r="M475" s="51">
        <v>2.0436999999999999</v>
      </c>
      <c r="N475" s="51">
        <v>2.0693000000000001</v>
      </c>
      <c r="O475" s="51">
        <v>2.0693000000000001</v>
      </c>
      <c r="P475" s="51">
        <v>0</v>
      </c>
    </row>
    <row r="476" spans="10:16" x14ac:dyDescent="0.2">
      <c r="J476" s="52">
        <v>41267</v>
      </c>
      <c r="K476" s="51">
        <v>2.0771999999999999</v>
      </c>
      <c r="L476" s="51">
        <v>2.0888</v>
      </c>
      <c r="M476" s="51">
        <v>2.0223</v>
      </c>
      <c r="N476" s="51">
        <v>2.0451000000000001</v>
      </c>
      <c r="O476" s="51">
        <v>2.0451000000000001</v>
      </c>
      <c r="P476" s="51">
        <v>0</v>
      </c>
    </row>
    <row r="477" spans="10:16" x14ac:dyDescent="0.2">
      <c r="J477" s="52">
        <v>41274</v>
      </c>
      <c r="K477" s="51">
        <v>2.0455999999999999</v>
      </c>
      <c r="L477" s="51">
        <v>2.0539999999999998</v>
      </c>
      <c r="M477" s="51">
        <v>2.0272999999999999</v>
      </c>
      <c r="N477" s="51">
        <v>2.0324</v>
      </c>
      <c r="O477" s="51">
        <v>2.0324</v>
      </c>
      <c r="P477" s="51">
        <v>0</v>
      </c>
    </row>
    <row r="478" spans="10:16" x14ac:dyDescent="0.2">
      <c r="J478" s="52">
        <v>41281</v>
      </c>
      <c r="K478" s="51">
        <v>2.0329000000000002</v>
      </c>
      <c r="L478" s="51">
        <v>2.0476999999999999</v>
      </c>
      <c r="M478" s="51">
        <v>2.0038</v>
      </c>
      <c r="N478" s="51">
        <v>2.0297000000000001</v>
      </c>
      <c r="O478" s="51">
        <v>2.0297000000000001</v>
      </c>
      <c r="P478" s="51">
        <v>0</v>
      </c>
    </row>
    <row r="479" spans="10:16" x14ac:dyDescent="0.2">
      <c r="J479" s="52">
        <v>41288</v>
      </c>
      <c r="K479" s="51">
        <v>2.0297000000000001</v>
      </c>
      <c r="L479" s="51">
        <v>2.0436999999999999</v>
      </c>
      <c r="M479" s="51">
        <v>2.0118999999999998</v>
      </c>
      <c r="N479" s="51">
        <v>2.0297999999999998</v>
      </c>
      <c r="O479" s="51">
        <v>2.0297999999999998</v>
      </c>
      <c r="P479" s="51">
        <v>0</v>
      </c>
    </row>
    <row r="480" spans="10:16" x14ac:dyDescent="0.2">
      <c r="J480" s="52">
        <v>41295</v>
      </c>
      <c r="K480" s="51">
        <v>2.0390999999999999</v>
      </c>
      <c r="L480" s="51">
        <v>2.0503</v>
      </c>
      <c r="M480" s="51">
        <v>2.0068999999999999</v>
      </c>
      <c r="N480" s="51">
        <v>2.0285000000000002</v>
      </c>
      <c r="O480" s="51">
        <v>2.0285000000000002</v>
      </c>
      <c r="P480" s="51">
        <v>0</v>
      </c>
    </row>
    <row r="481" spans="10:16" x14ac:dyDescent="0.2">
      <c r="J481" s="52">
        <v>41302</v>
      </c>
      <c r="K481" s="51">
        <v>2.0285000000000002</v>
      </c>
      <c r="L481" s="51">
        <v>2.0345</v>
      </c>
      <c r="M481" s="51">
        <v>1.9653</v>
      </c>
      <c r="N481" s="51">
        <v>1.9863999999999999</v>
      </c>
      <c r="O481" s="51">
        <v>1.9863999999999999</v>
      </c>
      <c r="P481" s="51">
        <v>0</v>
      </c>
    </row>
    <row r="482" spans="10:16" x14ac:dyDescent="0.2">
      <c r="J482" s="52">
        <v>41309</v>
      </c>
      <c r="K482" s="51">
        <v>1.9863999999999999</v>
      </c>
      <c r="L482" s="51">
        <v>1.9948999999999999</v>
      </c>
      <c r="M482" s="51">
        <v>1.9382999999999999</v>
      </c>
      <c r="N482" s="51">
        <v>1.9701</v>
      </c>
      <c r="O482" s="51">
        <v>1.9701</v>
      </c>
      <c r="P482" s="51">
        <v>0</v>
      </c>
    </row>
    <row r="483" spans="10:16" x14ac:dyDescent="0.2">
      <c r="J483" s="52">
        <v>41316</v>
      </c>
      <c r="K483" s="51">
        <v>1.9701</v>
      </c>
      <c r="L483" s="51">
        <v>1.9724999999999999</v>
      </c>
      <c r="M483" s="51">
        <v>1.9480999999999999</v>
      </c>
      <c r="N483" s="51">
        <v>1.9652000000000001</v>
      </c>
      <c r="O483" s="51">
        <v>1.9652000000000001</v>
      </c>
      <c r="P483" s="51">
        <v>0</v>
      </c>
    </row>
    <row r="484" spans="10:16" x14ac:dyDescent="0.2">
      <c r="J484" s="52">
        <v>41323</v>
      </c>
      <c r="K484" s="51">
        <v>1.9652000000000001</v>
      </c>
      <c r="L484" s="51">
        <v>1.9766999999999999</v>
      </c>
      <c r="M484" s="51">
        <v>1.9357</v>
      </c>
      <c r="N484" s="51">
        <v>1.9691000000000001</v>
      </c>
      <c r="O484" s="51">
        <v>1.9691000000000001</v>
      </c>
      <c r="P484" s="51">
        <v>0</v>
      </c>
    </row>
    <row r="485" spans="10:16" x14ac:dyDescent="0.2">
      <c r="J485" s="52">
        <v>41330</v>
      </c>
      <c r="K485" s="51">
        <v>1.9722999999999999</v>
      </c>
      <c r="L485" s="51">
        <v>1.9890000000000001</v>
      </c>
      <c r="M485" s="51">
        <v>1.9593</v>
      </c>
      <c r="N485" s="51">
        <v>1.9811000000000001</v>
      </c>
      <c r="O485" s="51">
        <v>1.9811000000000001</v>
      </c>
      <c r="P485" s="51">
        <v>0</v>
      </c>
    </row>
    <row r="486" spans="10:16" x14ac:dyDescent="0.2">
      <c r="J486" s="52">
        <v>41337</v>
      </c>
      <c r="K486" s="51">
        <v>1.9804999999999999</v>
      </c>
      <c r="L486" s="51">
        <v>1.9839</v>
      </c>
      <c r="M486" s="51">
        <v>1.9418</v>
      </c>
      <c r="N486" s="51">
        <v>1.9419</v>
      </c>
      <c r="O486" s="51">
        <v>1.9419</v>
      </c>
      <c r="P486" s="51">
        <v>0</v>
      </c>
    </row>
    <row r="487" spans="10:16" x14ac:dyDescent="0.2">
      <c r="J487" s="52">
        <v>41344</v>
      </c>
      <c r="K487" s="51">
        <v>1.9448000000000001</v>
      </c>
      <c r="L487" s="51">
        <v>1.9787999999999999</v>
      </c>
      <c r="M487" s="51">
        <v>1.9287000000000001</v>
      </c>
      <c r="N487" s="51">
        <v>1.9787999999999999</v>
      </c>
      <c r="O487" s="51">
        <v>1.9787999999999999</v>
      </c>
      <c r="P487" s="51">
        <v>0</v>
      </c>
    </row>
    <row r="488" spans="10:16" x14ac:dyDescent="0.2">
      <c r="J488" s="52">
        <v>41351</v>
      </c>
      <c r="K488" s="51">
        <v>1.9812000000000001</v>
      </c>
      <c r="L488" s="51">
        <v>2.0131000000000001</v>
      </c>
      <c r="M488" s="51">
        <v>1.962</v>
      </c>
      <c r="N488" s="51">
        <v>2.0065</v>
      </c>
      <c r="O488" s="51">
        <v>2.0065</v>
      </c>
      <c r="P488" s="51">
        <v>0</v>
      </c>
    </row>
    <row r="489" spans="10:16" x14ac:dyDescent="0.2">
      <c r="J489" s="52">
        <v>41358</v>
      </c>
      <c r="K489" s="51">
        <v>2.0065</v>
      </c>
      <c r="L489" s="51">
        <v>2.0238</v>
      </c>
      <c r="M489" s="51">
        <v>1.9874000000000001</v>
      </c>
      <c r="N489" s="51">
        <v>2.0190000000000001</v>
      </c>
      <c r="O489" s="51">
        <v>2.0190000000000001</v>
      </c>
      <c r="P489" s="51">
        <v>0</v>
      </c>
    </row>
    <row r="490" spans="10:16" x14ac:dyDescent="0.2">
      <c r="J490" s="52">
        <v>41365</v>
      </c>
      <c r="K490" s="51">
        <v>2.0150000000000001</v>
      </c>
      <c r="L490" s="51">
        <v>2.0230000000000001</v>
      </c>
      <c r="M490" s="51">
        <v>1.9807999999999999</v>
      </c>
      <c r="N490" s="51">
        <v>1.9832000000000001</v>
      </c>
      <c r="O490" s="51">
        <v>1.9832000000000001</v>
      </c>
      <c r="P490" s="51">
        <v>0</v>
      </c>
    </row>
    <row r="491" spans="10:16" x14ac:dyDescent="0.2">
      <c r="J491" s="52">
        <v>41372</v>
      </c>
      <c r="K491" s="51">
        <v>1.9832000000000001</v>
      </c>
      <c r="L491" s="51">
        <v>1.9903</v>
      </c>
      <c r="M491" s="51">
        <v>1.9517</v>
      </c>
      <c r="N491" s="51">
        <v>1.9661999999999999</v>
      </c>
      <c r="O491" s="51">
        <v>1.9661999999999999</v>
      </c>
      <c r="P491" s="51">
        <v>0</v>
      </c>
    </row>
    <row r="492" spans="10:16" x14ac:dyDescent="0.2">
      <c r="J492" s="52">
        <v>41379</v>
      </c>
      <c r="K492" s="51">
        <v>1.9661999999999999</v>
      </c>
      <c r="L492" s="51">
        <v>2.0169000000000001</v>
      </c>
      <c r="M492" s="51">
        <v>1.9505999999999999</v>
      </c>
      <c r="N492" s="51">
        <v>2.0051999999999999</v>
      </c>
      <c r="O492" s="51">
        <v>2.0051999999999999</v>
      </c>
      <c r="P492" s="51">
        <v>0</v>
      </c>
    </row>
    <row r="493" spans="10:16" x14ac:dyDescent="0.2">
      <c r="J493" s="52">
        <v>41386</v>
      </c>
      <c r="K493" s="51">
        <v>2.0051999999999999</v>
      </c>
      <c r="L493" s="51">
        <v>2.0228999999999999</v>
      </c>
      <c r="M493" s="51">
        <v>1.9834000000000001</v>
      </c>
      <c r="N493" s="51">
        <v>1.9933000000000001</v>
      </c>
      <c r="O493" s="51">
        <v>1.9933000000000001</v>
      </c>
      <c r="P493" s="51">
        <v>0</v>
      </c>
    </row>
    <row r="494" spans="10:16" x14ac:dyDescent="0.2">
      <c r="J494" s="52">
        <v>41393</v>
      </c>
      <c r="K494" s="51">
        <v>1.9971000000000001</v>
      </c>
      <c r="L494" s="51">
        <v>2.012</v>
      </c>
      <c r="M494" s="51">
        <v>1.9805999999999999</v>
      </c>
      <c r="N494" s="51">
        <v>2.0099999999999998</v>
      </c>
      <c r="O494" s="51">
        <v>2.0099999999999998</v>
      </c>
      <c r="P494" s="51">
        <v>0</v>
      </c>
    </row>
    <row r="495" spans="10:16" x14ac:dyDescent="0.2">
      <c r="J495" s="52">
        <v>41400</v>
      </c>
      <c r="K495" s="51">
        <v>2.0053999999999998</v>
      </c>
      <c r="L495" s="51">
        <v>2.0253000000000001</v>
      </c>
      <c r="M495" s="51">
        <v>1.9887999999999999</v>
      </c>
      <c r="N495" s="51">
        <v>2.0137999999999998</v>
      </c>
      <c r="O495" s="51">
        <v>2.0137999999999998</v>
      </c>
      <c r="P495" s="51">
        <v>0</v>
      </c>
    </row>
    <row r="496" spans="10:16" x14ac:dyDescent="0.2">
      <c r="J496" s="52">
        <v>41407</v>
      </c>
      <c r="K496" s="51">
        <v>1.9982</v>
      </c>
      <c r="L496" s="51">
        <v>2.0364</v>
      </c>
      <c r="M496" s="51">
        <v>1.9894000000000001</v>
      </c>
      <c r="N496" s="51">
        <v>2.0312000000000001</v>
      </c>
      <c r="O496" s="51">
        <v>2.0312000000000001</v>
      </c>
      <c r="P496" s="51">
        <v>0</v>
      </c>
    </row>
    <row r="497" spans="10:16" x14ac:dyDescent="0.2">
      <c r="J497" s="52">
        <v>41414</v>
      </c>
      <c r="K497" s="51">
        <v>2.0329000000000002</v>
      </c>
      <c r="L497" s="51">
        <v>2.0528</v>
      </c>
      <c r="M497" s="51">
        <v>2.0165999999999999</v>
      </c>
      <c r="N497" s="51">
        <v>2.0468999999999999</v>
      </c>
      <c r="O497" s="51">
        <v>2.0468999999999999</v>
      </c>
      <c r="P497" s="51">
        <v>0</v>
      </c>
    </row>
    <row r="498" spans="10:16" x14ac:dyDescent="0.2">
      <c r="J498" s="52">
        <v>41421</v>
      </c>
      <c r="K498" s="51">
        <v>2.0169000000000001</v>
      </c>
      <c r="L498" s="51">
        <v>2.1408</v>
      </c>
      <c r="M498" s="51">
        <v>2.0169000000000001</v>
      </c>
      <c r="N498" s="51">
        <v>2.0899000000000001</v>
      </c>
      <c r="O498" s="51">
        <v>2.0899000000000001</v>
      </c>
      <c r="P498" s="51">
        <v>0</v>
      </c>
    </row>
    <row r="499" spans="10:16" x14ac:dyDescent="0.2">
      <c r="J499" s="52">
        <v>41428</v>
      </c>
      <c r="K499" s="51">
        <v>2.1392000000000002</v>
      </c>
      <c r="L499" s="51">
        <v>2.1480999999999999</v>
      </c>
      <c r="M499" s="51">
        <v>2.0874999999999999</v>
      </c>
      <c r="N499" s="51">
        <v>2.1291000000000002</v>
      </c>
      <c r="O499" s="51">
        <v>2.1291000000000002</v>
      </c>
      <c r="P499" s="51">
        <v>0</v>
      </c>
    </row>
    <row r="500" spans="10:16" x14ac:dyDescent="0.2">
      <c r="J500" s="52">
        <v>41435</v>
      </c>
      <c r="K500" s="51">
        <v>2.1273</v>
      </c>
      <c r="L500" s="51">
        <v>2.1619999999999999</v>
      </c>
      <c r="M500" s="51">
        <v>2.0964</v>
      </c>
      <c r="N500" s="51">
        <v>2.0964</v>
      </c>
      <c r="O500" s="51">
        <v>2.0964</v>
      </c>
      <c r="P500" s="51">
        <v>0</v>
      </c>
    </row>
    <row r="501" spans="10:16" x14ac:dyDescent="0.2">
      <c r="J501" s="52">
        <v>41442</v>
      </c>
      <c r="K501" s="51">
        <v>2.0960999999999999</v>
      </c>
      <c r="L501" s="51">
        <v>2.2717000000000001</v>
      </c>
      <c r="M501" s="51">
        <v>2.0960999999999999</v>
      </c>
      <c r="N501" s="51">
        <v>2.2385000000000002</v>
      </c>
      <c r="O501" s="51">
        <v>2.2385000000000002</v>
      </c>
      <c r="P501" s="51">
        <v>0</v>
      </c>
    </row>
    <row r="502" spans="10:16" x14ac:dyDescent="0.2">
      <c r="J502" s="52">
        <v>41449</v>
      </c>
      <c r="K502" s="51">
        <v>2.2553999999999998</v>
      </c>
      <c r="L502" s="51">
        <v>2.2612000000000001</v>
      </c>
      <c r="M502" s="51">
        <v>2.1697000000000002</v>
      </c>
      <c r="N502" s="51">
        <v>2.1892</v>
      </c>
      <c r="O502" s="51">
        <v>2.1892</v>
      </c>
      <c r="P502" s="51">
        <v>0</v>
      </c>
    </row>
    <row r="503" spans="10:16" x14ac:dyDescent="0.2">
      <c r="J503" s="52">
        <v>41456</v>
      </c>
      <c r="K503" s="51">
        <v>2.226</v>
      </c>
      <c r="L503" s="51">
        <v>2.2690000000000001</v>
      </c>
      <c r="M503" s="51">
        <v>2.2065999999999999</v>
      </c>
      <c r="N503" s="51">
        <v>2.2475000000000001</v>
      </c>
      <c r="O503" s="51">
        <v>2.2475000000000001</v>
      </c>
      <c r="P503" s="51">
        <v>0</v>
      </c>
    </row>
    <row r="504" spans="10:16" x14ac:dyDescent="0.2">
      <c r="J504" s="52">
        <v>41463</v>
      </c>
      <c r="K504" s="51">
        <v>2.2475000000000001</v>
      </c>
      <c r="L504" s="51">
        <v>2.2709999999999999</v>
      </c>
      <c r="M504" s="51">
        <v>2.2328999999999999</v>
      </c>
      <c r="N504" s="51">
        <v>2.2618999999999998</v>
      </c>
      <c r="O504" s="51">
        <v>2.2618999999999998</v>
      </c>
      <c r="P504" s="51">
        <v>0</v>
      </c>
    </row>
    <row r="505" spans="10:16" x14ac:dyDescent="0.2">
      <c r="J505" s="52">
        <v>41470</v>
      </c>
      <c r="K505" s="51">
        <v>2.2665000000000002</v>
      </c>
      <c r="L505" s="51">
        <v>2.2698</v>
      </c>
      <c r="M505" s="51">
        <v>2.2000999999999999</v>
      </c>
      <c r="N505" s="51">
        <v>2.2440000000000002</v>
      </c>
      <c r="O505" s="51">
        <v>2.2440000000000002</v>
      </c>
      <c r="P505" s="51">
        <v>0</v>
      </c>
    </row>
    <row r="506" spans="10:16" x14ac:dyDescent="0.2">
      <c r="J506" s="52">
        <v>41477</v>
      </c>
      <c r="K506" s="51">
        <v>2.2399</v>
      </c>
      <c r="L506" s="51">
        <v>2.2565</v>
      </c>
      <c r="M506" s="51">
        <v>2.1993999999999998</v>
      </c>
      <c r="N506" s="51">
        <v>2.2544</v>
      </c>
      <c r="O506" s="51">
        <v>2.2544</v>
      </c>
      <c r="P506" s="51">
        <v>0</v>
      </c>
    </row>
    <row r="507" spans="10:16" x14ac:dyDescent="0.2">
      <c r="J507" s="52">
        <v>41484</v>
      </c>
      <c r="K507" s="51">
        <v>2.2492999999999999</v>
      </c>
      <c r="L507" s="51">
        <v>2.3096000000000001</v>
      </c>
      <c r="M507" s="51">
        <v>2.2342</v>
      </c>
      <c r="N507" s="51">
        <v>2.2839999999999998</v>
      </c>
      <c r="O507" s="51">
        <v>2.2839999999999998</v>
      </c>
      <c r="P507" s="51">
        <v>0</v>
      </c>
    </row>
    <row r="508" spans="10:16" x14ac:dyDescent="0.2">
      <c r="J508" s="52">
        <v>41491</v>
      </c>
      <c r="K508" s="51">
        <v>2.2473000000000001</v>
      </c>
      <c r="L508" s="51">
        <v>2.3045</v>
      </c>
      <c r="M508" s="51">
        <v>2.2473000000000001</v>
      </c>
      <c r="N508" s="51">
        <v>2.2785000000000002</v>
      </c>
      <c r="O508" s="51">
        <v>2.2785000000000002</v>
      </c>
      <c r="P508" s="51">
        <v>0</v>
      </c>
    </row>
    <row r="509" spans="10:16" x14ac:dyDescent="0.2">
      <c r="J509" s="52">
        <v>41498</v>
      </c>
      <c r="K509" s="51">
        <v>2.2473000000000001</v>
      </c>
      <c r="L509" s="51">
        <v>2.3875000000000002</v>
      </c>
      <c r="M509" s="51">
        <v>2.2473000000000001</v>
      </c>
      <c r="N509" s="51">
        <v>2.3875000000000002</v>
      </c>
      <c r="O509" s="51">
        <v>2.3875000000000002</v>
      </c>
      <c r="P509" s="51">
        <v>0</v>
      </c>
    </row>
    <row r="510" spans="10:16" x14ac:dyDescent="0.2">
      <c r="J510" s="52">
        <v>41505</v>
      </c>
      <c r="K510" s="51">
        <v>2.3896000000000002</v>
      </c>
      <c r="L510" s="51">
        <v>2.4516</v>
      </c>
      <c r="M510" s="51">
        <v>2.3454999999999999</v>
      </c>
      <c r="N510" s="51">
        <v>2.4119999999999999</v>
      </c>
      <c r="O510" s="51">
        <v>2.4119999999999999</v>
      </c>
      <c r="P510" s="51">
        <v>0</v>
      </c>
    </row>
    <row r="511" spans="10:16" x14ac:dyDescent="0.2">
      <c r="J511" s="52">
        <v>41512</v>
      </c>
      <c r="K511" s="51">
        <v>2.4457</v>
      </c>
      <c r="L511" s="51">
        <v>2.4457</v>
      </c>
      <c r="M511" s="51">
        <v>2.3252000000000002</v>
      </c>
      <c r="N511" s="51">
        <v>2.3807</v>
      </c>
      <c r="O511" s="51">
        <v>2.3807</v>
      </c>
      <c r="P511" s="51">
        <v>0</v>
      </c>
    </row>
    <row r="512" spans="10:16" x14ac:dyDescent="0.2">
      <c r="J512" s="52">
        <v>41519</v>
      </c>
      <c r="K512" s="51">
        <v>2.4457</v>
      </c>
      <c r="L512" s="51">
        <v>2.4457</v>
      </c>
      <c r="M512" s="51">
        <v>2.2812999999999999</v>
      </c>
      <c r="N512" s="51">
        <v>2.3006000000000002</v>
      </c>
      <c r="O512" s="51">
        <v>2.3006000000000002</v>
      </c>
      <c r="P512" s="51">
        <v>0</v>
      </c>
    </row>
    <row r="513" spans="10:16" x14ac:dyDescent="0.2">
      <c r="J513" s="52">
        <v>41526</v>
      </c>
      <c r="K513" s="51">
        <v>2.4457</v>
      </c>
      <c r="L513" s="51">
        <v>2.4457</v>
      </c>
      <c r="M513" s="51">
        <v>2.2547000000000001</v>
      </c>
      <c r="N513" s="51">
        <v>2.2547000000000001</v>
      </c>
      <c r="O513" s="51">
        <v>2.2547000000000001</v>
      </c>
      <c r="P513" s="51">
        <v>0</v>
      </c>
    </row>
    <row r="514" spans="10:16" x14ac:dyDescent="0.2">
      <c r="J514" s="52">
        <v>41533</v>
      </c>
      <c r="K514" s="51">
        <v>2.2776000000000001</v>
      </c>
      <c r="L514" s="51">
        <v>2.2827999999999999</v>
      </c>
      <c r="M514" s="51">
        <v>2.1665000000000001</v>
      </c>
      <c r="N514" s="51">
        <v>2.2075</v>
      </c>
      <c r="O514" s="51">
        <v>2.2075</v>
      </c>
      <c r="P514" s="51">
        <v>0</v>
      </c>
    </row>
    <row r="515" spans="10:16" x14ac:dyDescent="0.2">
      <c r="J515" s="52">
        <v>41540</v>
      </c>
      <c r="K515" s="51">
        <v>2.3778000000000001</v>
      </c>
      <c r="L515" s="51">
        <v>2.3778000000000001</v>
      </c>
      <c r="M515" s="51">
        <v>2.1793</v>
      </c>
      <c r="N515" s="51">
        <v>2.2227000000000001</v>
      </c>
      <c r="O515" s="51">
        <v>2.2227000000000001</v>
      </c>
      <c r="P515" s="51">
        <v>0</v>
      </c>
    </row>
    <row r="516" spans="10:16" x14ac:dyDescent="0.2">
      <c r="J516" s="52">
        <v>41547</v>
      </c>
      <c r="K516" s="51">
        <v>2.2538999999999998</v>
      </c>
      <c r="L516" s="51">
        <v>2.2553000000000001</v>
      </c>
      <c r="M516" s="51">
        <v>2.1739999999999999</v>
      </c>
      <c r="N516" s="51">
        <v>2.2075</v>
      </c>
      <c r="O516" s="51">
        <v>2.2075</v>
      </c>
      <c r="P516" s="51">
        <v>0</v>
      </c>
    </row>
    <row r="517" spans="10:16" x14ac:dyDescent="0.2">
      <c r="J517" s="52">
        <v>41554</v>
      </c>
      <c r="K517" s="51">
        <v>2.2075</v>
      </c>
      <c r="L517" s="51">
        <v>2.2178</v>
      </c>
      <c r="M517" s="51">
        <v>2.1619000000000002</v>
      </c>
      <c r="N517" s="51">
        <v>2.1659999999999999</v>
      </c>
      <c r="O517" s="51">
        <v>2.1659999999999999</v>
      </c>
      <c r="P517" s="51">
        <v>0</v>
      </c>
    </row>
    <row r="518" spans="10:16" x14ac:dyDescent="0.2">
      <c r="J518" s="52">
        <v>41561</v>
      </c>
      <c r="K518" s="51">
        <v>2.1760000000000002</v>
      </c>
      <c r="L518" s="51">
        <v>2.1899000000000002</v>
      </c>
      <c r="M518" s="51">
        <v>2.1435</v>
      </c>
      <c r="N518" s="51">
        <v>2.1661000000000001</v>
      </c>
      <c r="O518" s="51">
        <v>2.1661000000000001</v>
      </c>
      <c r="P518" s="51">
        <v>0</v>
      </c>
    </row>
    <row r="519" spans="10:16" x14ac:dyDescent="0.2">
      <c r="J519" s="52">
        <v>41568</v>
      </c>
      <c r="K519" s="51">
        <v>2.1661000000000001</v>
      </c>
      <c r="L519" s="51">
        <v>2.2052999999999998</v>
      </c>
      <c r="M519" s="51">
        <v>2.1501000000000001</v>
      </c>
      <c r="N519" s="51">
        <v>2.1844000000000001</v>
      </c>
      <c r="O519" s="51">
        <v>2.1844000000000001</v>
      </c>
      <c r="P519" s="51">
        <v>0</v>
      </c>
    </row>
    <row r="520" spans="10:16" x14ac:dyDescent="0.2">
      <c r="J520" s="52">
        <v>41575</v>
      </c>
      <c r="K520" s="51">
        <v>2.1861999999999999</v>
      </c>
      <c r="L520" s="51">
        <v>2.2565</v>
      </c>
      <c r="M520" s="51">
        <v>2.1631999999999998</v>
      </c>
      <c r="N520" s="51">
        <v>2.2517</v>
      </c>
      <c r="O520" s="51">
        <v>2.2517</v>
      </c>
      <c r="P520" s="51">
        <v>0</v>
      </c>
    </row>
    <row r="521" spans="10:16" x14ac:dyDescent="0.2">
      <c r="J521" s="52">
        <v>41582</v>
      </c>
      <c r="K521" s="51">
        <v>2.254</v>
      </c>
      <c r="L521" s="51">
        <v>2.3395999999999999</v>
      </c>
      <c r="M521" s="51">
        <v>2.2262</v>
      </c>
      <c r="N521" s="51">
        <v>2.3092999999999999</v>
      </c>
      <c r="O521" s="51">
        <v>2.3092999999999999</v>
      </c>
      <c r="P521" s="51">
        <v>0</v>
      </c>
    </row>
    <row r="522" spans="10:16" x14ac:dyDescent="0.2">
      <c r="J522" s="52">
        <v>41589</v>
      </c>
      <c r="K522" s="51">
        <v>2.3125</v>
      </c>
      <c r="L522" s="51">
        <v>2.3449</v>
      </c>
      <c r="M522" s="51">
        <v>2.2884000000000002</v>
      </c>
      <c r="N522" s="51">
        <v>2.3159000000000001</v>
      </c>
      <c r="O522" s="51">
        <v>2.3159000000000001</v>
      </c>
      <c r="P522" s="51">
        <v>0</v>
      </c>
    </row>
    <row r="523" spans="10:16" x14ac:dyDescent="0.2">
      <c r="J523" s="52">
        <v>41596</v>
      </c>
      <c r="K523" s="51">
        <v>2.3157000000000001</v>
      </c>
      <c r="L523" s="51">
        <v>2.3161999999999998</v>
      </c>
      <c r="M523" s="51">
        <v>2.2469999999999999</v>
      </c>
      <c r="N523" s="51">
        <v>2.2738</v>
      </c>
      <c r="O523" s="51">
        <v>2.2738</v>
      </c>
      <c r="P523" s="51">
        <v>0</v>
      </c>
    </row>
    <row r="524" spans="10:16" x14ac:dyDescent="0.2">
      <c r="J524" s="52">
        <v>41603</v>
      </c>
      <c r="K524" s="51">
        <v>2.2757999999999998</v>
      </c>
      <c r="L524" s="51">
        <v>2.3372999999999999</v>
      </c>
      <c r="M524" s="51">
        <v>2.262</v>
      </c>
      <c r="N524" s="51">
        <v>2.3308</v>
      </c>
      <c r="O524" s="51">
        <v>2.3308</v>
      </c>
      <c r="P524" s="51">
        <v>0</v>
      </c>
    </row>
    <row r="525" spans="10:16" x14ac:dyDescent="0.2">
      <c r="J525" s="52">
        <v>41610</v>
      </c>
      <c r="K525" s="51">
        <v>2.3308</v>
      </c>
      <c r="L525" s="51">
        <v>2.3914</v>
      </c>
      <c r="M525" s="51">
        <v>2.3218000000000001</v>
      </c>
      <c r="N525" s="51">
        <v>2.3218000000000001</v>
      </c>
      <c r="O525" s="51">
        <v>2.3218000000000001</v>
      </c>
      <c r="P525" s="51">
        <v>0</v>
      </c>
    </row>
    <row r="526" spans="10:16" x14ac:dyDescent="0.2">
      <c r="J526" s="52">
        <v>41617</v>
      </c>
      <c r="K526" s="51">
        <v>2.3218000000000001</v>
      </c>
      <c r="L526" s="51">
        <v>2.347</v>
      </c>
      <c r="M526" s="51">
        <v>2.2894000000000001</v>
      </c>
      <c r="N526" s="51">
        <v>2.3250000000000002</v>
      </c>
      <c r="O526" s="51">
        <v>2.3250000000000002</v>
      </c>
      <c r="P526" s="51">
        <v>0</v>
      </c>
    </row>
    <row r="527" spans="10:16" x14ac:dyDescent="0.2">
      <c r="J527" s="52">
        <v>41624</v>
      </c>
      <c r="K527" s="51">
        <v>2.3250000000000002</v>
      </c>
      <c r="L527" s="51">
        <v>2.3856000000000002</v>
      </c>
      <c r="M527" s="51">
        <v>2.3008999999999999</v>
      </c>
      <c r="N527" s="51">
        <v>2.3826999999999998</v>
      </c>
      <c r="O527" s="51">
        <v>2.3826999999999998</v>
      </c>
      <c r="P527" s="51">
        <v>0</v>
      </c>
    </row>
    <row r="528" spans="10:16" x14ac:dyDescent="0.2">
      <c r="J528" s="52">
        <v>41631</v>
      </c>
      <c r="K528" s="51">
        <v>2.3559999999999999</v>
      </c>
      <c r="L528" s="51">
        <v>2.3849999999999998</v>
      </c>
      <c r="M528" s="51">
        <v>2.3334999999999999</v>
      </c>
      <c r="N528" s="51">
        <v>2.3334999999999999</v>
      </c>
      <c r="O528" s="51">
        <v>2.3334999999999999</v>
      </c>
      <c r="P528" s="51">
        <v>0</v>
      </c>
    </row>
    <row r="529" spans="10:16" x14ac:dyDescent="0.2">
      <c r="J529" s="52">
        <v>41638</v>
      </c>
      <c r="K529" s="51">
        <v>2.3578999999999999</v>
      </c>
      <c r="L529" s="51">
        <v>2.4056999999999999</v>
      </c>
      <c r="M529" s="51">
        <v>2.3083</v>
      </c>
      <c r="N529" s="51">
        <v>2.3715000000000002</v>
      </c>
      <c r="O529" s="51">
        <v>2.3715000000000002</v>
      </c>
      <c r="P529" s="51">
        <v>0</v>
      </c>
    </row>
    <row r="530" spans="10:16" x14ac:dyDescent="0.2">
      <c r="J530" s="52">
        <v>41645</v>
      </c>
      <c r="K530" s="51">
        <v>2.3715000000000002</v>
      </c>
      <c r="L530" s="51">
        <v>2.3995000000000002</v>
      </c>
      <c r="M530" s="51">
        <v>2.3443999999999998</v>
      </c>
      <c r="N530" s="51">
        <v>2.3534999999999999</v>
      </c>
      <c r="O530" s="51">
        <v>2.3534999999999999</v>
      </c>
      <c r="P530" s="51">
        <v>0</v>
      </c>
    </row>
    <row r="531" spans="10:16" x14ac:dyDescent="0.2">
      <c r="J531" s="52">
        <v>41652</v>
      </c>
      <c r="K531" s="51">
        <v>2.3534999999999999</v>
      </c>
      <c r="L531" s="51">
        <v>2.3742000000000001</v>
      </c>
      <c r="M531" s="51">
        <v>2.3231000000000002</v>
      </c>
      <c r="N531" s="51">
        <v>2.3475000000000001</v>
      </c>
      <c r="O531" s="51">
        <v>2.3475000000000001</v>
      </c>
      <c r="P531" s="51">
        <v>0</v>
      </c>
    </row>
    <row r="532" spans="10:16" x14ac:dyDescent="0.2">
      <c r="J532" s="52">
        <v>41659</v>
      </c>
      <c r="K532" s="51">
        <v>2.3494999999999999</v>
      </c>
      <c r="L532" s="51">
        <v>2.4297</v>
      </c>
      <c r="M532" s="51">
        <v>2.3184999999999998</v>
      </c>
      <c r="N532" s="51">
        <v>2.3932000000000002</v>
      </c>
      <c r="O532" s="51">
        <v>2.3932000000000002</v>
      </c>
      <c r="P532" s="51">
        <v>0</v>
      </c>
    </row>
    <row r="533" spans="10:16" x14ac:dyDescent="0.2">
      <c r="J533" s="52">
        <v>41666</v>
      </c>
      <c r="K533" s="51">
        <v>2.3932000000000002</v>
      </c>
      <c r="L533" s="51">
        <v>2.4468000000000001</v>
      </c>
      <c r="M533" s="51">
        <v>2.3862000000000001</v>
      </c>
      <c r="N533" s="51">
        <v>2.4222999999999999</v>
      </c>
      <c r="O533" s="51">
        <v>2.4222999999999999</v>
      </c>
      <c r="P533" s="51">
        <v>0</v>
      </c>
    </row>
    <row r="534" spans="10:16" x14ac:dyDescent="0.2">
      <c r="J534" s="52">
        <v>41673</v>
      </c>
      <c r="K534" s="51">
        <v>2.4077000000000002</v>
      </c>
      <c r="L534" s="51">
        <v>2.4375</v>
      </c>
      <c r="M534" s="51">
        <v>2.3574999999999999</v>
      </c>
      <c r="N534" s="51">
        <v>2.3752</v>
      </c>
      <c r="O534" s="51">
        <v>2.3752</v>
      </c>
      <c r="P534" s="51">
        <v>0</v>
      </c>
    </row>
    <row r="535" spans="10:16" x14ac:dyDescent="0.2">
      <c r="J535" s="52">
        <v>41680</v>
      </c>
      <c r="K535" s="51">
        <v>2.3752</v>
      </c>
      <c r="L535" s="51">
        <v>2.4298000000000002</v>
      </c>
      <c r="M535" s="51">
        <v>2.3687999999999998</v>
      </c>
      <c r="N535" s="51">
        <v>2.3841000000000001</v>
      </c>
      <c r="O535" s="51">
        <v>2.3841000000000001</v>
      </c>
      <c r="P535" s="51">
        <v>0</v>
      </c>
    </row>
    <row r="536" spans="10:16" x14ac:dyDescent="0.2">
      <c r="J536" s="52">
        <v>41687</v>
      </c>
      <c r="K536" s="51">
        <v>2.3841000000000001</v>
      </c>
      <c r="L536" s="51">
        <v>2.4093</v>
      </c>
      <c r="M536" s="51">
        <v>2.3405999999999998</v>
      </c>
      <c r="N536" s="51">
        <v>2.3405999999999998</v>
      </c>
      <c r="O536" s="51">
        <v>2.3405999999999998</v>
      </c>
      <c r="P536" s="51">
        <v>0</v>
      </c>
    </row>
    <row r="537" spans="10:16" x14ac:dyDescent="0.2">
      <c r="J537" s="52">
        <v>41694</v>
      </c>
      <c r="K537" s="51">
        <v>2.3405999999999998</v>
      </c>
      <c r="L537" s="51">
        <v>2.3498000000000001</v>
      </c>
      <c r="M537" s="51">
        <v>2.3136000000000001</v>
      </c>
      <c r="N537" s="51">
        <v>2.3334000000000001</v>
      </c>
      <c r="O537" s="51">
        <v>2.3334000000000001</v>
      </c>
      <c r="P537" s="51">
        <v>0</v>
      </c>
    </row>
    <row r="538" spans="10:16" x14ac:dyDescent="0.2">
      <c r="J538" s="52">
        <v>41701</v>
      </c>
      <c r="K538" s="51">
        <v>2.3334000000000001</v>
      </c>
      <c r="L538" s="51">
        <v>2.3454999999999999</v>
      </c>
      <c r="M538" s="51">
        <v>2.2974000000000001</v>
      </c>
      <c r="N538" s="51">
        <v>2.3355999999999999</v>
      </c>
      <c r="O538" s="51">
        <v>2.3355999999999999</v>
      </c>
      <c r="P538" s="51">
        <v>0</v>
      </c>
    </row>
    <row r="539" spans="10:16" x14ac:dyDescent="0.2">
      <c r="J539" s="52">
        <v>41708</v>
      </c>
      <c r="K539" s="51">
        <v>2.3088000000000002</v>
      </c>
      <c r="L539" s="51">
        <v>2.3729</v>
      </c>
      <c r="M539" s="51">
        <v>2.3088000000000002</v>
      </c>
      <c r="N539" s="51">
        <v>2.3405</v>
      </c>
      <c r="O539" s="51">
        <v>2.3405</v>
      </c>
      <c r="P539" s="51">
        <v>0</v>
      </c>
    </row>
    <row r="540" spans="10:16" x14ac:dyDescent="0.2">
      <c r="J540" s="52">
        <v>41715</v>
      </c>
      <c r="K540" s="51">
        <v>2.3405</v>
      </c>
      <c r="L540" s="51">
        <v>2.3557000000000001</v>
      </c>
      <c r="M540" s="51">
        <v>2.3079000000000001</v>
      </c>
      <c r="N540" s="51">
        <v>2.3197999999999999</v>
      </c>
      <c r="O540" s="51">
        <v>2.3197999999999999</v>
      </c>
      <c r="P540" s="51">
        <v>0</v>
      </c>
    </row>
    <row r="541" spans="10:16" x14ac:dyDescent="0.2">
      <c r="J541" s="52">
        <v>41722</v>
      </c>
      <c r="K541" s="51">
        <v>2.3197999999999999</v>
      </c>
      <c r="L541" s="51">
        <v>2.3309000000000002</v>
      </c>
      <c r="M541" s="51">
        <v>2.2446999999999999</v>
      </c>
      <c r="N541" s="51">
        <v>2.2561</v>
      </c>
      <c r="O541" s="51">
        <v>2.2561</v>
      </c>
      <c r="P541" s="51">
        <v>0</v>
      </c>
    </row>
    <row r="542" spans="10:16" x14ac:dyDescent="0.2">
      <c r="J542" s="52">
        <v>41729</v>
      </c>
      <c r="K542" s="51">
        <v>2.2561</v>
      </c>
      <c r="L542" s="51">
        <v>2.2860999999999998</v>
      </c>
      <c r="M542" s="51">
        <v>2.2307999999999999</v>
      </c>
      <c r="N542" s="51">
        <v>2.2606999999999999</v>
      </c>
      <c r="O542" s="51">
        <v>2.2606999999999999</v>
      </c>
      <c r="P542" s="51">
        <v>0</v>
      </c>
    </row>
    <row r="543" spans="10:16" x14ac:dyDescent="0.2">
      <c r="J543" s="52">
        <v>41736</v>
      </c>
      <c r="K543" s="51">
        <v>2.2336</v>
      </c>
      <c r="L543" s="51">
        <v>2.2448999999999999</v>
      </c>
      <c r="M543" s="51">
        <v>2.1688000000000001</v>
      </c>
      <c r="N543" s="51">
        <v>2.2160000000000002</v>
      </c>
      <c r="O543" s="51">
        <v>2.2160000000000002</v>
      </c>
      <c r="P543" s="51">
        <v>0</v>
      </c>
    </row>
    <row r="544" spans="10:16" x14ac:dyDescent="0.2">
      <c r="J544" s="52">
        <v>41743</v>
      </c>
      <c r="K544" s="51">
        <v>2.2139000000000002</v>
      </c>
      <c r="L544" s="51">
        <v>2.2469999999999999</v>
      </c>
      <c r="M544" s="51">
        <v>2.1962999999999999</v>
      </c>
      <c r="N544" s="51">
        <v>2.2282000000000002</v>
      </c>
      <c r="O544" s="51">
        <v>2.2282000000000002</v>
      </c>
      <c r="P544" s="51">
        <v>0</v>
      </c>
    </row>
    <row r="545" spans="10:16" x14ac:dyDescent="0.2">
      <c r="J545" s="52">
        <v>41750</v>
      </c>
      <c r="K545" s="51">
        <v>2.2282000000000002</v>
      </c>
      <c r="L545" s="51">
        <v>2.2469999999999999</v>
      </c>
      <c r="M545" s="51">
        <v>2.1936</v>
      </c>
      <c r="N545" s="51">
        <v>2.2387999999999999</v>
      </c>
      <c r="O545" s="51">
        <v>2.2387999999999999</v>
      </c>
      <c r="P545" s="51">
        <v>0</v>
      </c>
    </row>
    <row r="546" spans="10:16" x14ac:dyDescent="0.2">
      <c r="J546" s="52">
        <v>41757</v>
      </c>
      <c r="K546" s="51">
        <v>2.2387999999999999</v>
      </c>
      <c r="L546" s="51">
        <v>2.2545999999999999</v>
      </c>
      <c r="M546" s="51">
        <v>2.2010000000000001</v>
      </c>
      <c r="N546" s="51">
        <v>2.2307000000000001</v>
      </c>
      <c r="O546" s="51">
        <v>2.2307000000000001</v>
      </c>
      <c r="P546" s="51">
        <v>0</v>
      </c>
    </row>
    <row r="547" spans="10:16" x14ac:dyDescent="0.2">
      <c r="J547" s="52">
        <v>41764</v>
      </c>
      <c r="K547" s="51">
        <v>2.2149999999999999</v>
      </c>
      <c r="L547" s="51">
        <v>2.2423999999999999</v>
      </c>
      <c r="M547" s="51">
        <v>2.1983000000000001</v>
      </c>
      <c r="N547" s="51">
        <v>2.2075</v>
      </c>
      <c r="O547" s="51">
        <v>2.2075</v>
      </c>
      <c r="P547" s="51">
        <v>0</v>
      </c>
    </row>
    <row r="548" spans="10:16" x14ac:dyDescent="0.2">
      <c r="J548" s="52">
        <v>41771</v>
      </c>
      <c r="K548" s="51">
        <v>2.2075</v>
      </c>
      <c r="L548" s="51">
        <v>2.2240000000000002</v>
      </c>
      <c r="M548" s="51">
        <v>2.1844999999999999</v>
      </c>
      <c r="N548" s="51">
        <v>2.2000000000000002</v>
      </c>
      <c r="O548" s="51">
        <v>2.2000000000000002</v>
      </c>
      <c r="P548" s="51">
        <v>0</v>
      </c>
    </row>
    <row r="549" spans="10:16" x14ac:dyDescent="0.2">
      <c r="J549" s="52">
        <v>41778</v>
      </c>
      <c r="K549" s="51">
        <v>2.2103000000000002</v>
      </c>
      <c r="L549" s="51">
        <v>2.2195999999999998</v>
      </c>
      <c r="M549" s="51">
        <v>2.1875</v>
      </c>
      <c r="N549" s="51">
        <v>2.2189999999999999</v>
      </c>
      <c r="O549" s="51">
        <v>2.2189999999999999</v>
      </c>
      <c r="P549" s="51">
        <v>0</v>
      </c>
    </row>
    <row r="550" spans="10:16" x14ac:dyDescent="0.2">
      <c r="J550" s="52">
        <v>41785</v>
      </c>
      <c r="K550" s="51">
        <v>2.2189999999999999</v>
      </c>
      <c r="L550" s="51">
        <v>2.2441</v>
      </c>
      <c r="M550" s="51">
        <v>2.2039</v>
      </c>
      <c r="N550" s="51">
        <v>2.2235999999999998</v>
      </c>
      <c r="O550" s="51">
        <v>2.2235999999999998</v>
      </c>
      <c r="P550" s="51">
        <v>0</v>
      </c>
    </row>
    <row r="551" spans="10:16" x14ac:dyDescent="0.2">
      <c r="J551" s="52">
        <v>41792</v>
      </c>
      <c r="K551" s="51">
        <v>2.2368000000000001</v>
      </c>
      <c r="L551" s="51">
        <v>2.2869999999999999</v>
      </c>
      <c r="M551" s="51">
        <v>2.2229999999999999</v>
      </c>
      <c r="N551" s="51">
        <v>2.2427999999999999</v>
      </c>
      <c r="O551" s="51">
        <v>2.2427999999999999</v>
      </c>
      <c r="P551" s="51">
        <v>0</v>
      </c>
    </row>
    <row r="552" spans="10:16" x14ac:dyDescent="0.2">
      <c r="J552" s="52">
        <v>41799</v>
      </c>
      <c r="K552" s="51">
        <v>2.2425999999999999</v>
      </c>
      <c r="L552" s="51">
        <v>2.2465000000000002</v>
      </c>
      <c r="M552" s="51">
        <v>2.2038000000000002</v>
      </c>
      <c r="N552" s="51">
        <v>2.2195999999999998</v>
      </c>
      <c r="O552" s="51">
        <v>2.2195999999999998</v>
      </c>
      <c r="P552" s="51">
        <v>0</v>
      </c>
    </row>
    <row r="553" spans="10:16" x14ac:dyDescent="0.2">
      <c r="J553" s="52">
        <v>41806</v>
      </c>
      <c r="K553" s="51">
        <v>2.2195999999999998</v>
      </c>
      <c r="L553" s="51">
        <v>2.2591000000000001</v>
      </c>
      <c r="M553" s="51">
        <v>2.2040000000000002</v>
      </c>
      <c r="N553" s="51">
        <v>2.2252999999999998</v>
      </c>
      <c r="O553" s="51">
        <v>2.2252999999999998</v>
      </c>
      <c r="P553" s="51">
        <v>0</v>
      </c>
    </row>
    <row r="554" spans="10:16" x14ac:dyDescent="0.2">
      <c r="J554" s="52">
        <v>41813</v>
      </c>
      <c r="K554" s="51">
        <v>2.2269000000000001</v>
      </c>
      <c r="L554" s="51">
        <v>2.234</v>
      </c>
      <c r="M554" s="51">
        <v>2.1783999999999999</v>
      </c>
      <c r="N554" s="51">
        <v>2.1939000000000002</v>
      </c>
      <c r="O554" s="51">
        <v>2.1939000000000002</v>
      </c>
      <c r="P554" s="51">
        <v>0</v>
      </c>
    </row>
    <row r="555" spans="10:16" x14ac:dyDescent="0.2">
      <c r="J555" s="52">
        <v>41820</v>
      </c>
      <c r="K555" s="51">
        <v>2.1732999999999998</v>
      </c>
      <c r="L555" s="51">
        <v>2.2404999999999999</v>
      </c>
      <c r="M555" s="51">
        <v>2.1724000000000001</v>
      </c>
      <c r="N555" s="51">
        <v>2.2098</v>
      </c>
      <c r="O555" s="51">
        <v>2.2098</v>
      </c>
      <c r="P555" s="51">
        <v>0</v>
      </c>
    </row>
    <row r="556" spans="10:16" x14ac:dyDescent="0.2">
      <c r="J556" s="52">
        <v>41827</v>
      </c>
      <c r="K556" s="51">
        <v>2.1905999999999999</v>
      </c>
      <c r="L556" s="51">
        <v>2.2250000000000001</v>
      </c>
      <c r="M556" s="51">
        <v>2.1905999999999999</v>
      </c>
      <c r="N556" s="51">
        <v>2.2174999999999998</v>
      </c>
      <c r="O556" s="51">
        <v>2.2174999999999998</v>
      </c>
      <c r="P556" s="51">
        <v>0</v>
      </c>
    </row>
    <row r="557" spans="10:16" x14ac:dyDescent="0.2">
      <c r="J557" s="52">
        <v>41834</v>
      </c>
      <c r="K557" s="51">
        <v>2.2031999999999998</v>
      </c>
      <c r="L557" s="51">
        <v>2.2559</v>
      </c>
      <c r="M557" s="51">
        <v>2.1905000000000001</v>
      </c>
      <c r="N557" s="51">
        <v>2.2223000000000002</v>
      </c>
      <c r="O557" s="51">
        <v>2.2223000000000002</v>
      </c>
      <c r="P557" s="51">
        <v>0</v>
      </c>
    </row>
    <row r="558" spans="10:16" x14ac:dyDescent="0.2">
      <c r="J558" s="52">
        <v>41841</v>
      </c>
      <c r="K558" s="51">
        <v>2.2223000000000002</v>
      </c>
      <c r="L558" s="51">
        <v>2.2292999999999998</v>
      </c>
      <c r="M558" s="51">
        <v>2.1945999999999999</v>
      </c>
      <c r="N558" s="51">
        <v>2.2221000000000002</v>
      </c>
      <c r="O558" s="51">
        <v>2.2221000000000002</v>
      </c>
      <c r="P558" s="51">
        <v>0</v>
      </c>
    </row>
    <row r="559" spans="10:16" x14ac:dyDescent="0.2">
      <c r="J559" s="52">
        <v>41848</v>
      </c>
      <c r="K559" s="51">
        <v>2.2221000000000002</v>
      </c>
      <c r="L559" s="51">
        <v>2.2804000000000002</v>
      </c>
      <c r="M559" s="51">
        <v>2.2038000000000002</v>
      </c>
      <c r="N559" s="51">
        <v>2.2523</v>
      </c>
      <c r="O559" s="51">
        <v>2.2523</v>
      </c>
      <c r="P559" s="51">
        <v>0</v>
      </c>
    </row>
    <row r="560" spans="10:16" x14ac:dyDescent="0.2">
      <c r="J560" s="52">
        <v>41855</v>
      </c>
      <c r="K560" s="51">
        <v>2.2359</v>
      </c>
      <c r="L560" s="51">
        <v>2.3041</v>
      </c>
      <c r="M560" s="51">
        <v>2.2359</v>
      </c>
      <c r="N560" s="51">
        <v>2.2789999999999999</v>
      </c>
      <c r="O560" s="51">
        <v>2.2789999999999999</v>
      </c>
      <c r="P560" s="51">
        <v>0</v>
      </c>
    </row>
    <row r="561" spans="10:16" x14ac:dyDescent="0.2">
      <c r="J561" s="52">
        <v>41862</v>
      </c>
      <c r="K561" s="51">
        <v>2.2789999999999999</v>
      </c>
      <c r="L561" s="51">
        <v>2.2848000000000002</v>
      </c>
      <c r="M561" s="51">
        <v>2.2480000000000002</v>
      </c>
      <c r="N561" s="51">
        <v>2.2564000000000002</v>
      </c>
      <c r="O561" s="51">
        <v>2.2564000000000002</v>
      </c>
      <c r="P561" s="51">
        <v>0</v>
      </c>
    </row>
    <row r="562" spans="10:16" x14ac:dyDescent="0.2">
      <c r="J562" s="52">
        <v>41869</v>
      </c>
      <c r="K562" s="51">
        <v>2.2566999999999999</v>
      </c>
      <c r="L562" s="51">
        <v>2.2808000000000002</v>
      </c>
      <c r="M562" s="51">
        <v>2.2275</v>
      </c>
      <c r="N562" s="51">
        <v>2.2728999999999999</v>
      </c>
      <c r="O562" s="51">
        <v>2.2728999999999999</v>
      </c>
      <c r="P562" s="51">
        <v>0</v>
      </c>
    </row>
    <row r="563" spans="10:16" x14ac:dyDescent="0.2">
      <c r="J563" s="52">
        <v>41876</v>
      </c>
      <c r="K563" s="51">
        <v>2.2625000000000002</v>
      </c>
      <c r="L563" s="51">
        <v>2.2850000000000001</v>
      </c>
      <c r="M563" s="51">
        <v>2.2214999999999998</v>
      </c>
      <c r="N563" s="51">
        <v>2.2315999999999998</v>
      </c>
      <c r="O563" s="51">
        <v>2.2315999999999998</v>
      </c>
      <c r="P563" s="51">
        <v>0</v>
      </c>
    </row>
    <row r="564" spans="10:16" x14ac:dyDescent="0.2">
      <c r="J564" s="52">
        <v>41883</v>
      </c>
      <c r="K564" s="51">
        <v>2.2315999999999998</v>
      </c>
      <c r="L564" s="51">
        <v>2.2530999999999999</v>
      </c>
      <c r="M564" s="51">
        <v>2.2168000000000001</v>
      </c>
      <c r="N564" s="51">
        <v>2.2393000000000001</v>
      </c>
      <c r="O564" s="51">
        <v>2.2393000000000001</v>
      </c>
      <c r="P564" s="51">
        <v>0</v>
      </c>
    </row>
    <row r="565" spans="10:16" x14ac:dyDescent="0.2">
      <c r="J565" s="52">
        <v>41890</v>
      </c>
      <c r="K565" s="51">
        <v>2.2378</v>
      </c>
      <c r="L565" s="51">
        <v>2.3401000000000001</v>
      </c>
      <c r="M565" s="51">
        <v>2.2244000000000002</v>
      </c>
      <c r="N565" s="51">
        <v>2.2719</v>
      </c>
      <c r="O565" s="51">
        <v>2.2719</v>
      </c>
      <c r="P565" s="51">
        <v>0</v>
      </c>
    </row>
    <row r="566" spans="10:16" x14ac:dyDescent="0.2">
      <c r="J566" s="52">
        <v>41897</v>
      </c>
      <c r="K566" s="51">
        <v>2.3348</v>
      </c>
      <c r="L566" s="51">
        <v>2.3818999999999999</v>
      </c>
      <c r="M566" s="51">
        <v>2.3180000000000001</v>
      </c>
      <c r="N566" s="51">
        <v>2.3650000000000002</v>
      </c>
      <c r="O566" s="51">
        <v>2.3650000000000002</v>
      </c>
      <c r="P566" s="51">
        <v>0</v>
      </c>
    </row>
    <row r="567" spans="10:16" x14ac:dyDescent="0.2">
      <c r="J567" s="52">
        <v>41904</v>
      </c>
      <c r="K567" s="51">
        <v>2.3643000000000001</v>
      </c>
      <c r="L567" s="51">
        <v>2.4401000000000002</v>
      </c>
      <c r="M567" s="51">
        <v>2.3481000000000001</v>
      </c>
      <c r="N567" s="51">
        <v>2.4198</v>
      </c>
      <c r="O567" s="51">
        <v>2.4198</v>
      </c>
      <c r="P567" s="51">
        <v>0</v>
      </c>
    </row>
    <row r="568" spans="10:16" x14ac:dyDescent="0.2">
      <c r="J568" s="52">
        <v>41911</v>
      </c>
      <c r="K568" s="51">
        <v>2.4131</v>
      </c>
      <c r="L568" s="51">
        <v>2.5030000000000001</v>
      </c>
      <c r="M568" s="51">
        <v>2.4001000000000001</v>
      </c>
      <c r="N568" s="51">
        <v>2.4548999999999999</v>
      </c>
      <c r="O568" s="51">
        <v>2.4548999999999999</v>
      </c>
      <c r="P568" s="51">
        <v>0</v>
      </c>
    </row>
    <row r="569" spans="10:16" x14ac:dyDescent="0.2">
      <c r="J569" s="52">
        <v>41918</v>
      </c>
      <c r="K569" s="51">
        <v>2.4958999999999998</v>
      </c>
      <c r="L569" s="51">
        <v>2.4964</v>
      </c>
      <c r="M569" s="51">
        <v>2.3565999999999998</v>
      </c>
      <c r="N569" s="51">
        <v>2.3860000000000001</v>
      </c>
      <c r="O569" s="51">
        <v>2.3860000000000001</v>
      </c>
      <c r="P569" s="51">
        <v>0</v>
      </c>
    </row>
    <row r="570" spans="10:16" x14ac:dyDescent="0.2">
      <c r="J570" s="52">
        <v>41925</v>
      </c>
      <c r="K570" s="51">
        <v>2.423</v>
      </c>
      <c r="L570" s="51">
        <v>2.4988999999999999</v>
      </c>
      <c r="M570" s="51">
        <v>2.3774999999999999</v>
      </c>
      <c r="N570" s="51">
        <v>2.4306999999999999</v>
      </c>
      <c r="O570" s="51">
        <v>2.4306999999999999</v>
      </c>
      <c r="P570" s="51">
        <v>0</v>
      </c>
    </row>
    <row r="571" spans="10:16" x14ac:dyDescent="0.2">
      <c r="J571" s="52">
        <v>41932</v>
      </c>
      <c r="K571" s="51">
        <v>2.4306999999999999</v>
      </c>
      <c r="L571" s="51">
        <v>2.5049999999999999</v>
      </c>
      <c r="M571" s="51">
        <v>2.4197000000000002</v>
      </c>
      <c r="N571" s="51">
        <v>2.4689000000000001</v>
      </c>
      <c r="O571" s="51">
        <v>2.4689000000000001</v>
      </c>
      <c r="P571" s="51">
        <v>0</v>
      </c>
    </row>
    <row r="572" spans="10:16" x14ac:dyDescent="0.2">
      <c r="J572" s="52">
        <v>41939</v>
      </c>
      <c r="K572" s="51">
        <v>2.4668000000000001</v>
      </c>
      <c r="L572" s="51">
        <v>2.5520999999999998</v>
      </c>
      <c r="M572" s="51">
        <v>2.3889999999999998</v>
      </c>
      <c r="N572" s="51">
        <v>2.4135</v>
      </c>
      <c r="O572" s="51">
        <v>2.4135</v>
      </c>
      <c r="P572" s="51">
        <v>0</v>
      </c>
    </row>
    <row r="573" spans="10:16" x14ac:dyDescent="0.2">
      <c r="J573" s="52">
        <v>41946</v>
      </c>
      <c r="K573" s="51">
        <v>2.4236</v>
      </c>
      <c r="L573" s="51">
        <v>2.5851000000000002</v>
      </c>
      <c r="M573" s="51">
        <v>2.4236</v>
      </c>
      <c r="N573" s="51">
        <v>2.5666000000000002</v>
      </c>
      <c r="O573" s="51">
        <v>2.5666000000000002</v>
      </c>
      <c r="P573" s="51">
        <v>0</v>
      </c>
    </row>
    <row r="574" spans="10:16" x14ac:dyDescent="0.2">
      <c r="J574" s="52">
        <v>41953</v>
      </c>
      <c r="K574" s="51">
        <v>2.5537999999999998</v>
      </c>
      <c r="L574" s="51">
        <v>2.625</v>
      </c>
      <c r="M574" s="51">
        <v>2.5295000000000001</v>
      </c>
      <c r="N574" s="51">
        <v>2.5968</v>
      </c>
      <c r="O574" s="51">
        <v>2.5968</v>
      </c>
      <c r="P574" s="51">
        <v>0</v>
      </c>
    </row>
    <row r="575" spans="10:16" x14ac:dyDescent="0.2">
      <c r="J575" s="52">
        <v>41960</v>
      </c>
      <c r="K575" s="51">
        <v>2.5968</v>
      </c>
      <c r="L575" s="51">
        <v>2.6149</v>
      </c>
      <c r="M575" s="51">
        <v>2.512</v>
      </c>
      <c r="N575" s="51">
        <v>2.512</v>
      </c>
      <c r="O575" s="51">
        <v>2.512</v>
      </c>
      <c r="P575" s="51">
        <v>0</v>
      </c>
    </row>
    <row r="576" spans="10:16" x14ac:dyDescent="0.2">
      <c r="J576" s="52">
        <v>41967</v>
      </c>
      <c r="K576" s="51">
        <v>2.5141</v>
      </c>
      <c r="L576" s="51">
        <v>2.5788000000000002</v>
      </c>
      <c r="M576" s="51">
        <v>2.4906999999999999</v>
      </c>
      <c r="N576" s="51">
        <v>2.5272000000000001</v>
      </c>
      <c r="O576" s="51">
        <v>2.5272000000000001</v>
      </c>
      <c r="P576" s="51">
        <v>0</v>
      </c>
    </row>
    <row r="577" spans="10:16" x14ac:dyDescent="0.2">
      <c r="J577" s="52">
        <v>41974</v>
      </c>
      <c r="K577" s="51">
        <v>2.5609000000000002</v>
      </c>
      <c r="L577" s="51">
        <v>2.6034999999999999</v>
      </c>
      <c r="M577" s="51">
        <v>2.5413000000000001</v>
      </c>
      <c r="N577" s="51">
        <v>2.5861000000000001</v>
      </c>
      <c r="O577" s="51">
        <v>2.5861000000000001</v>
      </c>
      <c r="P577" s="51">
        <v>0</v>
      </c>
    </row>
    <row r="578" spans="10:16" x14ac:dyDescent="0.2">
      <c r="J578" s="52">
        <v>41981</v>
      </c>
      <c r="K578" s="51">
        <v>2.5834999999999999</v>
      </c>
      <c r="L578" s="51">
        <v>2.6656</v>
      </c>
      <c r="M578" s="51">
        <v>2.5737000000000001</v>
      </c>
      <c r="N578" s="51">
        <v>2.6496</v>
      </c>
      <c r="O578" s="51">
        <v>2.6496</v>
      </c>
      <c r="P578" s="51">
        <v>0</v>
      </c>
    </row>
    <row r="579" spans="10:16" x14ac:dyDescent="0.2">
      <c r="J579" s="52">
        <v>41988</v>
      </c>
      <c r="K579" s="51">
        <v>2.6295999999999999</v>
      </c>
      <c r="L579" s="51">
        <v>2.7547999999999999</v>
      </c>
      <c r="M579" s="51">
        <v>2.6295999999999999</v>
      </c>
      <c r="N579" s="51">
        <v>2.6593</v>
      </c>
      <c r="O579" s="51">
        <v>2.6593</v>
      </c>
      <c r="P579" s="51">
        <v>0</v>
      </c>
    </row>
    <row r="580" spans="10:16" x14ac:dyDescent="0.2">
      <c r="J580" s="52">
        <v>41995</v>
      </c>
      <c r="K580" s="51">
        <v>2.6392000000000002</v>
      </c>
      <c r="L580" s="51">
        <v>2.7061999999999999</v>
      </c>
      <c r="M580" s="51">
        <v>2.6339999999999999</v>
      </c>
      <c r="N580" s="51">
        <v>2.6951999999999998</v>
      </c>
      <c r="O580" s="51">
        <v>2.6951999999999998</v>
      </c>
      <c r="P580" s="51">
        <v>0</v>
      </c>
    </row>
    <row r="581" spans="10:16" x14ac:dyDescent="0.2">
      <c r="J581" s="52">
        <v>42002</v>
      </c>
      <c r="K581" s="51">
        <v>2.6783000000000001</v>
      </c>
      <c r="L581" s="51">
        <v>2.7040999999999999</v>
      </c>
      <c r="M581" s="51">
        <v>2.6374</v>
      </c>
      <c r="N581" s="51">
        <v>2.6532</v>
      </c>
      <c r="O581" s="51">
        <v>2.6532</v>
      </c>
      <c r="P581" s="51">
        <v>0</v>
      </c>
    </row>
    <row r="582" spans="10:16" x14ac:dyDescent="0.2">
      <c r="J582" s="52">
        <v>42009</v>
      </c>
      <c r="K582" s="51">
        <v>2.6779000000000002</v>
      </c>
      <c r="L582" s="51">
        <v>2.7187000000000001</v>
      </c>
      <c r="M582" s="51">
        <v>2.6257999999999999</v>
      </c>
      <c r="N582" s="51">
        <v>2.6597</v>
      </c>
      <c r="O582" s="51">
        <v>2.6597</v>
      </c>
      <c r="P582" s="51">
        <v>0</v>
      </c>
    </row>
    <row r="583" spans="10:16" x14ac:dyDescent="0.2">
      <c r="J583" s="52">
        <v>42016</v>
      </c>
      <c r="K583" s="51">
        <v>2.621</v>
      </c>
      <c r="L583" s="51">
        <v>2.6789999999999998</v>
      </c>
      <c r="M583" s="51">
        <v>2.593</v>
      </c>
      <c r="N583" s="51">
        <v>2.6387</v>
      </c>
      <c r="O583" s="51">
        <v>2.6387</v>
      </c>
      <c r="P583" s="51">
        <v>0</v>
      </c>
    </row>
    <row r="584" spans="10:16" x14ac:dyDescent="0.2">
      <c r="J584" s="52">
        <v>42023</v>
      </c>
      <c r="K584" s="51">
        <v>2.6031</v>
      </c>
      <c r="L584" s="51">
        <v>2.6490999999999998</v>
      </c>
      <c r="M584" s="51">
        <v>2.5453999999999999</v>
      </c>
      <c r="N584" s="51">
        <v>2.5707</v>
      </c>
      <c r="O584" s="51">
        <v>2.5707</v>
      </c>
      <c r="P584" s="51">
        <v>0</v>
      </c>
    </row>
    <row r="585" spans="10:16" x14ac:dyDescent="0.2">
      <c r="J585" s="52">
        <v>42030</v>
      </c>
      <c r="K585" s="51">
        <v>2.5840999999999998</v>
      </c>
      <c r="L585" s="51">
        <v>2.6854</v>
      </c>
      <c r="M585" s="51">
        <v>2.5476000000000001</v>
      </c>
      <c r="N585" s="51">
        <v>2.6787999999999998</v>
      </c>
      <c r="O585" s="51">
        <v>2.6787999999999998</v>
      </c>
      <c r="P585" s="51">
        <v>0</v>
      </c>
    </row>
    <row r="586" spans="10:16" x14ac:dyDescent="0.2">
      <c r="J586" s="52">
        <v>42037</v>
      </c>
      <c r="K586" s="51">
        <v>2.6787999999999998</v>
      </c>
      <c r="L586" s="51">
        <v>2.7791000000000001</v>
      </c>
      <c r="M586" s="51">
        <v>2.6514000000000002</v>
      </c>
      <c r="N586" s="51">
        <v>2.7416</v>
      </c>
      <c r="O586" s="51">
        <v>2.7416</v>
      </c>
      <c r="P586" s="51">
        <v>0</v>
      </c>
    </row>
    <row r="587" spans="10:16" x14ac:dyDescent="0.2">
      <c r="J587" s="52">
        <v>42044</v>
      </c>
      <c r="K587" s="51">
        <v>2.7583000000000002</v>
      </c>
      <c r="L587" s="51">
        <v>2.8742000000000001</v>
      </c>
      <c r="M587" s="51">
        <v>2.754</v>
      </c>
      <c r="N587" s="51">
        <v>2.8309000000000002</v>
      </c>
      <c r="O587" s="51">
        <v>2.8309000000000002</v>
      </c>
      <c r="P587" s="51">
        <v>0</v>
      </c>
    </row>
    <row r="588" spans="10:16" x14ac:dyDescent="0.2">
      <c r="J588" s="52">
        <v>42051</v>
      </c>
      <c r="K588" s="51">
        <v>2.8254999999999999</v>
      </c>
      <c r="L588" s="51">
        <v>2.8807999999999998</v>
      </c>
      <c r="M588" s="51">
        <v>2.8068</v>
      </c>
      <c r="N588" s="51">
        <v>2.8633000000000002</v>
      </c>
      <c r="O588" s="51">
        <v>2.8633000000000002</v>
      </c>
      <c r="P588" s="51">
        <v>0</v>
      </c>
    </row>
    <row r="589" spans="10:16" x14ac:dyDescent="0.2">
      <c r="J589" s="52">
        <v>42058</v>
      </c>
      <c r="K589" s="51">
        <v>2.8641000000000001</v>
      </c>
      <c r="L589" s="51">
        <v>2.9152999999999998</v>
      </c>
      <c r="M589" s="51">
        <v>2.8281000000000001</v>
      </c>
      <c r="N589" s="51">
        <v>2.9049999999999998</v>
      </c>
      <c r="O589" s="51">
        <v>2.9049999999999998</v>
      </c>
      <c r="P589" s="51">
        <v>0</v>
      </c>
    </row>
    <row r="590" spans="10:16" x14ac:dyDescent="0.2">
      <c r="J590" s="52">
        <v>42065</v>
      </c>
      <c r="K590" s="51">
        <v>2.8368000000000002</v>
      </c>
      <c r="L590" s="51">
        <v>3.0668000000000002</v>
      </c>
      <c r="M590" s="51">
        <v>2.8340000000000001</v>
      </c>
      <c r="N590" s="51">
        <v>3.0001000000000002</v>
      </c>
      <c r="O590" s="51">
        <v>3.0001000000000002</v>
      </c>
      <c r="P590" s="51">
        <v>0</v>
      </c>
    </row>
    <row r="591" spans="10:16" x14ac:dyDescent="0.2">
      <c r="J591" s="52">
        <v>42072</v>
      </c>
      <c r="K591" s="51">
        <v>3.0577000000000001</v>
      </c>
      <c r="L591" s="51">
        <v>3.2719999999999998</v>
      </c>
      <c r="M591" s="51">
        <v>3.056</v>
      </c>
      <c r="N591" s="51">
        <v>3.2450000000000001</v>
      </c>
      <c r="O591" s="51">
        <v>3.2450000000000001</v>
      </c>
      <c r="P591" s="51">
        <v>0</v>
      </c>
    </row>
    <row r="592" spans="10:16" x14ac:dyDescent="0.2">
      <c r="J592" s="52">
        <v>42079</v>
      </c>
      <c r="K592" s="51">
        <v>3.2443</v>
      </c>
      <c r="L592" s="51">
        <v>3.3102999999999998</v>
      </c>
      <c r="M592" s="51">
        <v>3.206</v>
      </c>
      <c r="N592" s="51">
        <v>3.2904</v>
      </c>
      <c r="O592" s="51">
        <v>3.2904</v>
      </c>
      <c r="P592" s="51">
        <v>0</v>
      </c>
    </row>
    <row r="593" spans="10:16" x14ac:dyDescent="0.2">
      <c r="J593" s="52">
        <v>42086</v>
      </c>
      <c r="K593" s="51">
        <v>3.2311000000000001</v>
      </c>
      <c r="L593" s="51">
        <v>3.2433000000000001</v>
      </c>
      <c r="M593" s="51">
        <v>3.0905999999999998</v>
      </c>
      <c r="N593" s="51">
        <v>3.1795</v>
      </c>
      <c r="O593" s="51">
        <v>3.1795</v>
      </c>
      <c r="P593" s="51">
        <v>0</v>
      </c>
    </row>
    <row r="594" spans="10:16" x14ac:dyDescent="0.2">
      <c r="J594" s="52">
        <v>42093</v>
      </c>
      <c r="K594" s="51">
        <v>3.2538999999999998</v>
      </c>
      <c r="L594" s="51">
        <v>3.2850000000000001</v>
      </c>
      <c r="M594" s="51">
        <v>3.12</v>
      </c>
      <c r="N594" s="51">
        <v>3.1221999999999999</v>
      </c>
      <c r="O594" s="51">
        <v>3.1221999999999999</v>
      </c>
      <c r="P594" s="51">
        <v>0</v>
      </c>
    </row>
    <row r="595" spans="10:16" x14ac:dyDescent="0.2">
      <c r="J595" s="52">
        <v>42100</v>
      </c>
      <c r="K595" s="51">
        <v>3.0895000000000001</v>
      </c>
      <c r="L595" s="51">
        <v>3.1431</v>
      </c>
      <c r="M595" s="51">
        <v>3.0192999999999999</v>
      </c>
      <c r="N595" s="51">
        <v>3.0552999999999999</v>
      </c>
      <c r="O595" s="51">
        <v>3.0552999999999999</v>
      </c>
      <c r="P595" s="51">
        <v>0</v>
      </c>
    </row>
    <row r="596" spans="10:16" x14ac:dyDescent="0.2">
      <c r="J596" s="52">
        <v>42107</v>
      </c>
      <c r="K596" s="51">
        <v>3.0688</v>
      </c>
      <c r="L596" s="51">
        <v>3.1217999999999999</v>
      </c>
      <c r="M596" s="51">
        <v>3.0011999999999999</v>
      </c>
      <c r="N596" s="51">
        <v>3.0367000000000002</v>
      </c>
      <c r="O596" s="51">
        <v>3.0367000000000002</v>
      </c>
      <c r="P596" s="51">
        <v>0</v>
      </c>
    </row>
    <row r="597" spans="10:16" x14ac:dyDescent="0.2">
      <c r="J597" s="52">
        <v>42114</v>
      </c>
      <c r="K597" s="51">
        <v>3.0371999999999999</v>
      </c>
      <c r="L597" s="51">
        <v>3.0529000000000002</v>
      </c>
      <c r="M597" s="51">
        <v>2.9483000000000001</v>
      </c>
      <c r="N597" s="51">
        <v>2.9483000000000001</v>
      </c>
      <c r="O597" s="51">
        <v>2.9483000000000001</v>
      </c>
      <c r="P597" s="51">
        <v>0</v>
      </c>
    </row>
    <row r="598" spans="10:16" x14ac:dyDescent="0.2">
      <c r="J598" s="52">
        <v>42121</v>
      </c>
      <c r="K598" s="51">
        <v>2.9478</v>
      </c>
      <c r="L598" s="51">
        <v>3.0804999999999998</v>
      </c>
      <c r="M598" s="51">
        <v>2.8799000000000001</v>
      </c>
      <c r="N598" s="51">
        <v>3.0110999999999999</v>
      </c>
      <c r="O598" s="51">
        <v>3.0110999999999999</v>
      </c>
      <c r="P598" s="51">
        <v>0</v>
      </c>
    </row>
    <row r="599" spans="10:16" x14ac:dyDescent="0.2">
      <c r="J599" s="52">
        <v>42128</v>
      </c>
      <c r="K599" s="51">
        <v>3.0215000000000001</v>
      </c>
      <c r="L599" s="51">
        <v>3.0865</v>
      </c>
      <c r="M599" s="51">
        <v>2.9750000000000001</v>
      </c>
      <c r="N599" s="51">
        <v>3.0213000000000001</v>
      </c>
      <c r="O599" s="51">
        <v>3.0213000000000001</v>
      </c>
      <c r="P599" s="51">
        <v>0</v>
      </c>
    </row>
    <row r="600" spans="10:16" x14ac:dyDescent="0.2">
      <c r="J600" s="52">
        <v>42135</v>
      </c>
      <c r="K600" s="51">
        <v>2.9735</v>
      </c>
      <c r="L600" s="51">
        <v>3.0729000000000002</v>
      </c>
      <c r="M600" s="51">
        <v>2.9523000000000001</v>
      </c>
      <c r="N600" s="51">
        <v>2.9899</v>
      </c>
      <c r="O600" s="51">
        <v>2.9899</v>
      </c>
      <c r="P600" s="51">
        <v>0</v>
      </c>
    </row>
    <row r="601" spans="10:16" x14ac:dyDescent="0.2">
      <c r="J601" s="52">
        <v>42142</v>
      </c>
      <c r="K601" s="51">
        <v>2.9958</v>
      </c>
      <c r="L601" s="51">
        <v>3.0697000000000001</v>
      </c>
      <c r="M601" s="51">
        <v>2.9855999999999998</v>
      </c>
      <c r="N601" s="51">
        <v>3.0367000000000002</v>
      </c>
      <c r="O601" s="51">
        <v>3.0367000000000002</v>
      </c>
      <c r="P601" s="51">
        <v>0</v>
      </c>
    </row>
    <row r="602" spans="10:16" x14ac:dyDescent="0.2">
      <c r="J602" s="52">
        <v>42149</v>
      </c>
      <c r="K602" s="51">
        <v>3.0749</v>
      </c>
      <c r="L602" s="51">
        <v>3.1901000000000002</v>
      </c>
      <c r="M602" s="51">
        <v>3.0749</v>
      </c>
      <c r="N602" s="51">
        <v>3.1583999999999999</v>
      </c>
      <c r="O602" s="51">
        <v>3.1583999999999999</v>
      </c>
      <c r="P602" s="51">
        <v>0</v>
      </c>
    </row>
    <row r="603" spans="10:16" x14ac:dyDescent="0.2">
      <c r="J603" s="52">
        <v>42156</v>
      </c>
      <c r="K603" s="51">
        <v>3.1854</v>
      </c>
      <c r="L603" s="51">
        <v>3.2079</v>
      </c>
      <c r="M603" s="51">
        <v>3.0983000000000001</v>
      </c>
      <c r="N603" s="51">
        <v>3.1402000000000001</v>
      </c>
      <c r="O603" s="51">
        <v>3.1402000000000001</v>
      </c>
      <c r="P603" s="51">
        <v>0</v>
      </c>
    </row>
    <row r="604" spans="10:16" x14ac:dyDescent="0.2">
      <c r="J604" s="52">
        <v>42163</v>
      </c>
      <c r="K604" s="51">
        <v>3.1427999999999998</v>
      </c>
      <c r="L604" s="51">
        <v>3.1659999999999999</v>
      </c>
      <c r="M604" s="51">
        <v>3.0615000000000001</v>
      </c>
      <c r="N604" s="51">
        <v>3.0871</v>
      </c>
      <c r="O604" s="51">
        <v>3.0871</v>
      </c>
      <c r="P604" s="51">
        <v>0</v>
      </c>
    </row>
    <row r="605" spans="10:16" x14ac:dyDescent="0.2">
      <c r="J605" s="52">
        <v>42170</v>
      </c>
      <c r="K605" s="51">
        <v>3.1265000000000001</v>
      </c>
      <c r="L605" s="51">
        <v>3.1352000000000002</v>
      </c>
      <c r="M605" s="51">
        <v>3.0286</v>
      </c>
      <c r="N605" s="51">
        <v>3.0577999999999999</v>
      </c>
      <c r="O605" s="51">
        <v>3.0577999999999999</v>
      </c>
      <c r="P605" s="51">
        <v>0</v>
      </c>
    </row>
    <row r="606" spans="10:16" x14ac:dyDescent="0.2">
      <c r="J606" s="52">
        <v>42177</v>
      </c>
      <c r="K606" s="51">
        <v>3.0901999999999998</v>
      </c>
      <c r="L606" s="51">
        <v>3.1358000000000001</v>
      </c>
      <c r="M606" s="51">
        <v>3.0566</v>
      </c>
      <c r="N606" s="51">
        <v>3.1244000000000001</v>
      </c>
      <c r="O606" s="51">
        <v>3.1244000000000001</v>
      </c>
      <c r="P606" s="51">
        <v>0</v>
      </c>
    </row>
    <row r="607" spans="10:16" x14ac:dyDescent="0.2">
      <c r="J607" s="52">
        <v>42184</v>
      </c>
      <c r="K607" s="51">
        <v>3.1678999999999999</v>
      </c>
      <c r="L607" s="51">
        <v>3.1678999999999999</v>
      </c>
      <c r="M607" s="51">
        <v>3.0838000000000001</v>
      </c>
      <c r="N607" s="51">
        <v>3.0939999999999999</v>
      </c>
      <c r="O607" s="51">
        <v>3.0939999999999999</v>
      </c>
      <c r="P607" s="51">
        <v>0</v>
      </c>
    </row>
    <row r="608" spans="10:16" x14ac:dyDescent="0.2">
      <c r="J608" s="52">
        <v>42191</v>
      </c>
      <c r="K608" s="51">
        <v>3.1585000000000001</v>
      </c>
      <c r="L608" s="51">
        <v>3.2378999999999998</v>
      </c>
      <c r="M608" s="51">
        <v>3.1261000000000001</v>
      </c>
      <c r="N608" s="51">
        <v>3.2210999999999999</v>
      </c>
      <c r="O608" s="51">
        <v>3.2210999999999999</v>
      </c>
      <c r="P608" s="51">
        <v>0</v>
      </c>
    </row>
    <row r="609" spans="10:16" x14ac:dyDescent="0.2">
      <c r="J609" s="52">
        <v>42198</v>
      </c>
      <c r="K609" s="51">
        <v>3.165</v>
      </c>
      <c r="L609" s="51">
        <v>3.1974</v>
      </c>
      <c r="M609" s="51">
        <v>3.1105999999999998</v>
      </c>
      <c r="N609" s="51">
        <v>3.1852</v>
      </c>
      <c r="O609" s="51">
        <v>3.1852</v>
      </c>
      <c r="P609" s="51">
        <v>0</v>
      </c>
    </row>
    <row r="610" spans="10:16" x14ac:dyDescent="0.2">
      <c r="J610" s="52">
        <v>42205</v>
      </c>
      <c r="K610" s="51">
        <v>3.1863000000000001</v>
      </c>
      <c r="L610" s="51">
        <v>3.3344999999999998</v>
      </c>
      <c r="M610" s="51">
        <v>3.1509999999999998</v>
      </c>
      <c r="N610" s="51">
        <v>3.2841999999999998</v>
      </c>
      <c r="O610" s="51">
        <v>3.2841999999999998</v>
      </c>
      <c r="P610" s="51">
        <v>0</v>
      </c>
    </row>
    <row r="611" spans="10:16" x14ac:dyDescent="0.2">
      <c r="J611" s="52">
        <v>42212</v>
      </c>
      <c r="K611" s="51">
        <v>3.3504</v>
      </c>
      <c r="L611" s="51">
        <v>3.4104000000000001</v>
      </c>
      <c r="M611" s="51">
        <v>3.3079000000000001</v>
      </c>
      <c r="N611" s="51">
        <v>3.3708</v>
      </c>
      <c r="O611" s="51">
        <v>3.3708</v>
      </c>
      <c r="P611" s="51">
        <v>0</v>
      </c>
    </row>
    <row r="612" spans="10:16" x14ac:dyDescent="0.2">
      <c r="J612" s="52">
        <v>42219</v>
      </c>
      <c r="K612" s="51">
        <v>3.4243000000000001</v>
      </c>
      <c r="L612" s="51">
        <v>3.5630000000000002</v>
      </c>
      <c r="M612" s="51">
        <v>3.4007999999999998</v>
      </c>
      <c r="N612" s="51">
        <v>3.5316000000000001</v>
      </c>
      <c r="O612" s="51">
        <v>3.5316000000000001</v>
      </c>
      <c r="P612" s="51">
        <v>0</v>
      </c>
    </row>
    <row r="613" spans="10:16" x14ac:dyDescent="0.2">
      <c r="J613" s="52">
        <v>42226</v>
      </c>
      <c r="K613" s="51">
        <v>3.5076000000000001</v>
      </c>
      <c r="L613" s="51">
        <v>3.5232000000000001</v>
      </c>
      <c r="M613" s="51">
        <v>3.4186000000000001</v>
      </c>
      <c r="N613" s="51">
        <v>3.5192999999999999</v>
      </c>
      <c r="O613" s="51">
        <v>3.5192999999999999</v>
      </c>
      <c r="P613" s="51">
        <v>0</v>
      </c>
    </row>
    <row r="614" spans="10:16" x14ac:dyDescent="0.2">
      <c r="J614" s="52">
        <v>42233</v>
      </c>
      <c r="K614" s="51">
        <v>3.4843000000000002</v>
      </c>
      <c r="L614" s="51">
        <v>3.5148000000000001</v>
      </c>
      <c r="M614" s="51">
        <v>3.4413999999999998</v>
      </c>
      <c r="N614" s="51">
        <v>3.4578000000000002</v>
      </c>
      <c r="O614" s="51">
        <v>3.4578000000000002</v>
      </c>
      <c r="P614" s="51">
        <v>0</v>
      </c>
    </row>
    <row r="615" spans="10:16" x14ac:dyDescent="0.2">
      <c r="J615" s="52">
        <v>42240</v>
      </c>
      <c r="K615" s="51">
        <v>3.5017</v>
      </c>
      <c r="L615" s="51">
        <v>3.6497999999999999</v>
      </c>
      <c r="M615" s="51">
        <v>3.4847999999999999</v>
      </c>
      <c r="N615" s="51">
        <v>3.5501999999999998</v>
      </c>
      <c r="O615" s="51">
        <v>3.5501999999999998</v>
      </c>
      <c r="P615" s="51">
        <v>0</v>
      </c>
    </row>
    <row r="616" spans="10:16" x14ac:dyDescent="0.2">
      <c r="J616" s="52">
        <v>42247</v>
      </c>
      <c r="K616" s="51">
        <v>3.5594999999999999</v>
      </c>
      <c r="L616" s="51">
        <v>3.8111000000000002</v>
      </c>
      <c r="M616" s="51">
        <v>3.5594999999999999</v>
      </c>
      <c r="N616" s="51">
        <v>3.7349999999999999</v>
      </c>
      <c r="O616" s="51">
        <v>3.7349999999999999</v>
      </c>
      <c r="P616" s="51">
        <v>0</v>
      </c>
    </row>
    <row r="617" spans="10:16" x14ac:dyDescent="0.2">
      <c r="J617" s="52">
        <v>42254</v>
      </c>
      <c r="K617" s="51">
        <v>3.8395000000000001</v>
      </c>
      <c r="L617" s="51">
        <v>3.9041000000000001</v>
      </c>
      <c r="M617" s="51">
        <v>3.7627999999999999</v>
      </c>
      <c r="N617" s="51">
        <v>3.8481000000000001</v>
      </c>
      <c r="O617" s="51">
        <v>3.8481000000000001</v>
      </c>
      <c r="P617" s="51">
        <v>0</v>
      </c>
    </row>
    <row r="618" spans="10:16" x14ac:dyDescent="0.2">
      <c r="J618" s="52">
        <v>42261</v>
      </c>
      <c r="K618" s="51">
        <v>3.8650000000000002</v>
      </c>
      <c r="L618" s="51">
        <v>3.9196</v>
      </c>
      <c r="M618" s="51">
        <v>3.7854999999999999</v>
      </c>
      <c r="N618" s="51">
        <v>3.8914</v>
      </c>
      <c r="O618" s="51">
        <v>3.8914</v>
      </c>
      <c r="P618" s="51">
        <v>0</v>
      </c>
    </row>
    <row r="619" spans="10:16" x14ac:dyDescent="0.2">
      <c r="J619" s="52">
        <v>42268</v>
      </c>
      <c r="K619" s="51">
        <v>3.9174000000000002</v>
      </c>
      <c r="L619" s="51">
        <v>4.2411000000000003</v>
      </c>
      <c r="M619" s="51">
        <v>3.8822999999999999</v>
      </c>
      <c r="N619" s="51">
        <v>3.9329999999999998</v>
      </c>
      <c r="O619" s="51">
        <v>3.9329999999999998</v>
      </c>
      <c r="P619" s="51">
        <v>0</v>
      </c>
    </row>
    <row r="620" spans="10:16" x14ac:dyDescent="0.2">
      <c r="J620" s="52">
        <v>42275</v>
      </c>
      <c r="K620" s="51">
        <v>3.9712999999999998</v>
      </c>
      <c r="L620" s="51">
        <v>4.1443000000000003</v>
      </c>
      <c r="M620" s="51">
        <v>3.9348000000000001</v>
      </c>
      <c r="N620" s="51">
        <v>3.9988000000000001</v>
      </c>
      <c r="O620" s="51">
        <v>3.9988000000000001</v>
      </c>
      <c r="P620" s="51">
        <v>0</v>
      </c>
    </row>
    <row r="621" spans="10:16" x14ac:dyDescent="0.2">
      <c r="J621" s="52">
        <v>42282</v>
      </c>
      <c r="K621" s="51">
        <v>3.9262999999999999</v>
      </c>
      <c r="L621" s="51">
        <v>3.9449000000000001</v>
      </c>
      <c r="M621" s="51">
        <v>3.7201</v>
      </c>
      <c r="N621" s="51">
        <v>3.7591000000000001</v>
      </c>
      <c r="O621" s="51">
        <v>3.7591000000000001</v>
      </c>
      <c r="P621" s="51">
        <v>0</v>
      </c>
    </row>
    <row r="622" spans="10:16" x14ac:dyDescent="0.2">
      <c r="J622" s="52">
        <v>42289</v>
      </c>
      <c r="K622" s="51">
        <v>3.7614999999999998</v>
      </c>
      <c r="L622" s="51">
        <v>3.8900999999999999</v>
      </c>
      <c r="M622" s="51">
        <v>3.7359</v>
      </c>
      <c r="N622" s="51">
        <v>3.7925</v>
      </c>
      <c r="O622" s="51">
        <v>3.7925</v>
      </c>
      <c r="P622" s="51">
        <v>0</v>
      </c>
    </row>
    <row r="623" spans="10:16" x14ac:dyDescent="0.2">
      <c r="J623" s="52">
        <v>42296</v>
      </c>
      <c r="K623" s="51">
        <v>3.9146000000000001</v>
      </c>
      <c r="L623" s="51">
        <v>3.9603000000000002</v>
      </c>
      <c r="M623" s="51">
        <v>3.8435999999999999</v>
      </c>
      <c r="N623" s="51">
        <v>3.9022999999999999</v>
      </c>
      <c r="O623" s="51">
        <v>3.9022999999999999</v>
      </c>
      <c r="P623" s="51">
        <v>0</v>
      </c>
    </row>
    <row r="624" spans="10:16" x14ac:dyDescent="0.2">
      <c r="J624" s="52">
        <v>42303</v>
      </c>
      <c r="K624" s="51">
        <v>3.8713000000000002</v>
      </c>
      <c r="L624" s="51">
        <v>3.9525000000000001</v>
      </c>
      <c r="M624" s="51">
        <v>3.8246000000000002</v>
      </c>
      <c r="N624" s="51">
        <v>3.8447</v>
      </c>
      <c r="O624" s="51">
        <v>3.8447</v>
      </c>
      <c r="P624" s="51">
        <v>0</v>
      </c>
    </row>
    <row r="625" spans="10:16" x14ac:dyDescent="0.2">
      <c r="J625" s="52">
        <v>42310</v>
      </c>
      <c r="K625" s="51">
        <v>3.8386</v>
      </c>
      <c r="L625" s="51">
        <v>3.8706</v>
      </c>
      <c r="M625" s="51">
        <v>3.7444000000000002</v>
      </c>
      <c r="N625" s="51">
        <v>3.7801</v>
      </c>
      <c r="O625" s="51">
        <v>3.7801</v>
      </c>
      <c r="P625" s="51">
        <v>0</v>
      </c>
    </row>
    <row r="626" spans="10:16" x14ac:dyDescent="0.2">
      <c r="J626" s="52">
        <v>42317</v>
      </c>
      <c r="K626" s="51">
        <v>3.7765</v>
      </c>
      <c r="L626" s="51">
        <v>3.8224999999999998</v>
      </c>
      <c r="M626" s="51">
        <v>3.7033</v>
      </c>
      <c r="N626" s="51">
        <v>3.7669000000000001</v>
      </c>
      <c r="O626" s="51">
        <v>3.7669000000000001</v>
      </c>
      <c r="P626" s="51">
        <v>0</v>
      </c>
    </row>
    <row r="627" spans="10:16" x14ac:dyDescent="0.2">
      <c r="J627" s="52">
        <v>42324</v>
      </c>
      <c r="K627" s="51">
        <v>3.8622000000000001</v>
      </c>
      <c r="L627" s="51">
        <v>3.8622000000000001</v>
      </c>
      <c r="M627" s="51">
        <v>3.7017000000000002</v>
      </c>
      <c r="N627" s="51">
        <v>3.7612000000000001</v>
      </c>
      <c r="O627" s="51">
        <v>3.7612000000000001</v>
      </c>
      <c r="P627" s="51">
        <v>0</v>
      </c>
    </row>
    <row r="628" spans="10:16" x14ac:dyDescent="0.2">
      <c r="J628" s="52">
        <v>42331</v>
      </c>
      <c r="K628" s="51">
        <v>3.7002000000000002</v>
      </c>
      <c r="L628" s="51">
        <v>3.8012999999999999</v>
      </c>
      <c r="M628" s="51">
        <v>3.6880999999999999</v>
      </c>
      <c r="N628" s="51">
        <v>3.7383999999999999</v>
      </c>
      <c r="O628" s="51">
        <v>3.7383999999999999</v>
      </c>
      <c r="P628" s="51">
        <v>0</v>
      </c>
    </row>
    <row r="629" spans="10:16" x14ac:dyDescent="0.2">
      <c r="J629" s="52">
        <v>42338</v>
      </c>
      <c r="K629" s="51">
        <v>3.8414000000000001</v>
      </c>
      <c r="L629" s="51">
        <v>3.9104999999999999</v>
      </c>
      <c r="M629" s="51">
        <v>3.7204999999999999</v>
      </c>
      <c r="N629" s="51">
        <v>3.7559</v>
      </c>
      <c r="O629" s="51">
        <v>3.7559</v>
      </c>
      <c r="P629" s="51">
        <v>0</v>
      </c>
    </row>
    <row r="630" spans="10:16" x14ac:dyDescent="0.2">
      <c r="J630" s="52">
        <v>42345</v>
      </c>
      <c r="K630" s="51">
        <v>3.7549999999999999</v>
      </c>
      <c r="L630" s="51">
        <v>3.8839999999999999</v>
      </c>
      <c r="M630" s="51">
        <v>3.7170000000000001</v>
      </c>
      <c r="N630" s="51">
        <v>3.8077999999999999</v>
      </c>
      <c r="O630" s="51">
        <v>3.8077999999999999</v>
      </c>
      <c r="P630" s="51">
        <v>0</v>
      </c>
    </row>
    <row r="631" spans="10:16" x14ac:dyDescent="0.2">
      <c r="J631" s="52">
        <v>42352</v>
      </c>
      <c r="K631" s="51">
        <v>3.8679999999999999</v>
      </c>
      <c r="L631" s="51">
        <v>3.9598</v>
      </c>
      <c r="M631" s="51">
        <v>3.8475000000000001</v>
      </c>
      <c r="N631" s="51">
        <v>3.8763000000000001</v>
      </c>
      <c r="O631" s="51">
        <v>3.8763000000000001</v>
      </c>
      <c r="P631" s="51">
        <v>0</v>
      </c>
    </row>
    <row r="632" spans="10:16" x14ac:dyDescent="0.2">
      <c r="J632" s="52">
        <v>42359</v>
      </c>
      <c r="K632" s="51">
        <v>3.9767000000000001</v>
      </c>
      <c r="L632" s="51">
        <v>4.0353000000000003</v>
      </c>
      <c r="M632" s="51">
        <v>3.9127999999999998</v>
      </c>
      <c r="N632" s="51">
        <v>3.9129999999999998</v>
      </c>
      <c r="O632" s="51">
        <v>3.9129999999999998</v>
      </c>
      <c r="P632" s="51">
        <v>0</v>
      </c>
    </row>
    <row r="633" spans="10:16" x14ac:dyDescent="0.2">
      <c r="J633" s="52">
        <v>42366</v>
      </c>
      <c r="K633" s="51">
        <v>3.9098000000000002</v>
      </c>
      <c r="L633" s="51">
        <v>3.9992000000000001</v>
      </c>
      <c r="M633" s="51">
        <v>3.8359999999999999</v>
      </c>
      <c r="N633" s="51">
        <v>3.95</v>
      </c>
      <c r="O633" s="51">
        <v>3.95</v>
      </c>
      <c r="P633" s="51">
        <v>0</v>
      </c>
    </row>
    <row r="634" spans="10:16" x14ac:dyDescent="0.2">
      <c r="J634" s="52">
        <v>42373</v>
      </c>
      <c r="K634" s="51">
        <v>3.9605000000000001</v>
      </c>
      <c r="L634" s="51">
        <v>4.0686999999999998</v>
      </c>
      <c r="M634" s="51">
        <v>3.9557000000000002</v>
      </c>
      <c r="N634" s="51">
        <v>4.0415000000000001</v>
      </c>
      <c r="O634" s="51">
        <v>4.0415000000000001</v>
      </c>
      <c r="P634" s="51">
        <v>0</v>
      </c>
    </row>
    <row r="635" spans="10:16" x14ac:dyDescent="0.2">
      <c r="J635" s="52">
        <v>42380</v>
      </c>
      <c r="K635" s="51">
        <v>4.0201000000000002</v>
      </c>
      <c r="L635" s="51">
        <v>4.0553999999999997</v>
      </c>
      <c r="M635" s="51">
        <v>3.9668000000000001</v>
      </c>
      <c r="N635" s="51">
        <v>4.0058999999999996</v>
      </c>
      <c r="O635" s="51">
        <v>4.0058999999999996</v>
      </c>
      <c r="P635" s="51">
        <v>0</v>
      </c>
    </row>
    <row r="636" spans="10:16" x14ac:dyDescent="0.2">
      <c r="J636" s="52">
        <v>42387</v>
      </c>
      <c r="K636" s="51">
        <v>4.0429000000000004</v>
      </c>
      <c r="L636" s="51">
        <v>4.1669</v>
      </c>
      <c r="M636" s="51">
        <v>3.9981</v>
      </c>
      <c r="N636" s="51">
        <v>4.0895000000000001</v>
      </c>
      <c r="O636" s="51">
        <v>4.0895000000000001</v>
      </c>
      <c r="P636" s="51">
        <v>0</v>
      </c>
    </row>
    <row r="637" spans="10:16" x14ac:dyDescent="0.2">
      <c r="J637" s="52">
        <v>42394</v>
      </c>
      <c r="K637" s="51">
        <v>4.0923999999999996</v>
      </c>
      <c r="L637" s="51">
        <v>4.1188000000000002</v>
      </c>
      <c r="M637" s="51">
        <v>4.0014000000000003</v>
      </c>
      <c r="N637" s="51">
        <v>4.0670000000000002</v>
      </c>
      <c r="O637" s="51">
        <v>4.0670000000000002</v>
      </c>
      <c r="P637" s="51">
        <v>0</v>
      </c>
    </row>
    <row r="638" spans="10:16" x14ac:dyDescent="0.2">
      <c r="J638" s="52">
        <v>42401</v>
      </c>
      <c r="K638" s="51">
        <v>3.9942000000000002</v>
      </c>
      <c r="L638" s="51">
        <v>4.0168999999999997</v>
      </c>
      <c r="M638" s="51">
        <v>3.835</v>
      </c>
      <c r="N638" s="51">
        <v>3.8984999999999999</v>
      </c>
      <c r="O638" s="51">
        <v>3.8984999999999999</v>
      </c>
      <c r="P638" s="51">
        <v>0</v>
      </c>
    </row>
    <row r="639" spans="10:16" x14ac:dyDescent="0.2">
      <c r="J639" s="52">
        <v>42408</v>
      </c>
      <c r="K639" s="51">
        <v>3.8944999999999999</v>
      </c>
      <c r="L639" s="51">
        <v>3.9984000000000002</v>
      </c>
      <c r="M639" s="51">
        <v>3.8647999999999998</v>
      </c>
      <c r="N639" s="51">
        <v>3.9681999999999999</v>
      </c>
      <c r="O639" s="51">
        <v>3.9681999999999999</v>
      </c>
      <c r="P639" s="51">
        <v>0</v>
      </c>
    </row>
    <row r="640" spans="10:16" x14ac:dyDescent="0.2">
      <c r="J640" s="52">
        <v>42415</v>
      </c>
      <c r="K640" s="51">
        <v>4.0084</v>
      </c>
      <c r="L640" s="51">
        <v>4.0674999999999999</v>
      </c>
      <c r="M640" s="51">
        <v>3.9679000000000002</v>
      </c>
      <c r="N640" s="51">
        <v>4.0164</v>
      </c>
      <c r="O640" s="51">
        <v>4.0164</v>
      </c>
      <c r="P640" s="51">
        <v>0</v>
      </c>
    </row>
    <row r="641" spans="10:16" x14ac:dyDescent="0.2">
      <c r="J641" s="52">
        <v>42422</v>
      </c>
      <c r="K641" s="51">
        <v>4.0274999999999999</v>
      </c>
      <c r="L641" s="51">
        <v>4.0335000000000001</v>
      </c>
      <c r="M641" s="51">
        <v>3.9167999999999998</v>
      </c>
      <c r="N641" s="51">
        <v>3.9519000000000002</v>
      </c>
      <c r="O641" s="51">
        <v>3.9519000000000002</v>
      </c>
      <c r="P641" s="51">
        <v>0</v>
      </c>
    </row>
    <row r="642" spans="10:16" x14ac:dyDescent="0.2">
      <c r="J642" s="52">
        <v>42429</v>
      </c>
      <c r="K642" s="51">
        <v>3.9931999999999999</v>
      </c>
      <c r="L642" s="51">
        <v>4.0141</v>
      </c>
      <c r="M642" s="51">
        <v>3.6505000000000001</v>
      </c>
      <c r="N642" s="51">
        <v>3.7961</v>
      </c>
      <c r="O642" s="51">
        <v>3.7961</v>
      </c>
      <c r="P642" s="51">
        <v>0</v>
      </c>
    </row>
    <row r="643" spans="10:16" x14ac:dyDescent="0.2">
      <c r="J643" s="52">
        <v>42436</v>
      </c>
      <c r="K643" s="51">
        <v>3.7543000000000002</v>
      </c>
      <c r="L643" s="51">
        <v>3.7978000000000001</v>
      </c>
      <c r="M643" s="51">
        <v>3.5868000000000002</v>
      </c>
      <c r="N643" s="51">
        <v>3.6139999999999999</v>
      </c>
      <c r="O643" s="51">
        <v>3.6139999999999999</v>
      </c>
      <c r="P643" s="51">
        <v>0</v>
      </c>
    </row>
    <row r="644" spans="10:16" x14ac:dyDescent="0.2">
      <c r="J644" s="52">
        <v>42443</v>
      </c>
      <c r="K644" s="51">
        <v>3.5785999999999998</v>
      </c>
      <c r="L644" s="51">
        <v>3.847</v>
      </c>
      <c r="M644" s="51">
        <v>3.5726</v>
      </c>
      <c r="N644" s="51">
        <v>3.6211000000000002</v>
      </c>
      <c r="O644" s="51">
        <v>3.6211000000000002</v>
      </c>
      <c r="P644" s="51">
        <v>0</v>
      </c>
    </row>
    <row r="645" spans="10:16" x14ac:dyDescent="0.2">
      <c r="J645" s="52">
        <v>42450</v>
      </c>
      <c r="K645" s="51">
        <v>3.6198999999999999</v>
      </c>
      <c r="L645" s="51">
        <v>3.7158000000000002</v>
      </c>
      <c r="M645" s="51">
        <v>3.5737000000000001</v>
      </c>
      <c r="N645" s="51">
        <v>3.6772</v>
      </c>
      <c r="O645" s="51">
        <v>3.6772</v>
      </c>
      <c r="P645" s="51">
        <v>0</v>
      </c>
    </row>
    <row r="646" spans="10:16" x14ac:dyDescent="0.2">
      <c r="J646" s="52">
        <v>42457</v>
      </c>
      <c r="K646" s="51">
        <v>3.6539000000000001</v>
      </c>
      <c r="L646" s="51">
        <v>3.6718000000000002</v>
      </c>
      <c r="M646" s="51">
        <v>3.5297000000000001</v>
      </c>
      <c r="N646" s="51">
        <v>3.5486</v>
      </c>
      <c r="O646" s="51">
        <v>3.5486</v>
      </c>
      <c r="P646" s="51">
        <v>0</v>
      </c>
    </row>
    <row r="647" spans="10:16" x14ac:dyDescent="0.2">
      <c r="J647" s="52">
        <v>42464</v>
      </c>
      <c r="K647" s="51">
        <v>3.5486</v>
      </c>
      <c r="L647" s="51">
        <v>3.7048999999999999</v>
      </c>
      <c r="M647" s="51">
        <v>3.5314999999999999</v>
      </c>
      <c r="N647" s="51">
        <v>3.5861999999999998</v>
      </c>
      <c r="O647" s="51">
        <v>3.5861999999999998</v>
      </c>
      <c r="P647" s="51">
        <v>0</v>
      </c>
    </row>
    <row r="648" spans="10:16" x14ac:dyDescent="0.2">
      <c r="J648" s="52">
        <v>42471</v>
      </c>
      <c r="K648" s="51">
        <v>3.5840999999999998</v>
      </c>
      <c r="L648" s="51">
        <v>3.5876999999999999</v>
      </c>
      <c r="M648" s="51">
        <v>3.4464000000000001</v>
      </c>
      <c r="N648" s="51">
        <v>3.5310000000000001</v>
      </c>
      <c r="O648" s="51">
        <v>3.5310000000000001</v>
      </c>
      <c r="P648" s="51">
        <v>0</v>
      </c>
    </row>
    <row r="649" spans="10:16" x14ac:dyDescent="0.2">
      <c r="J649" s="52">
        <v>42478</v>
      </c>
      <c r="K649" s="51">
        <v>3.5240999999999998</v>
      </c>
      <c r="L649" s="51">
        <v>3.6122000000000001</v>
      </c>
      <c r="M649" s="51">
        <v>3.4754</v>
      </c>
      <c r="N649" s="51">
        <v>3.5244</v>
      </c>
      <c r="O649" s="51">
        <v>3.5244</v>
      </c>
      <c r="P649" s="51">
        <v>0</v>
      </c>
    </row>
    <row r="650" spans="10:16" x14ac:dyDescent="0.2">
      <c r="J650" s="52">
        <v>42485</v>
      </c>
      <c r="K650" s="51">
        <v>3.5598999999999998</v>
      </c>
      <c r="L650" s="51">
        <v>3.5657000000000001</v>
      </c>
      <c r="M650" s="51">
        <v>3.4247000000000001</v>
      </c>
      <c r="N650" s="51">
        <v>3.4327999999999999</v>
      </c>
      <c r="O650" s="51">
        <v>3.4327999999999999</v>
      </c>
      <c r="P650" s="51">
        <v>0</v>
      </c>
    </row>
    <row r="651" spans="10:16" x14ac:dyDescent="0.2">
      <c r="J651" s="52">
        <v>42492</v>
      </c>
      <c r="K651" s="51">
        <v>3.4314</v>
      </c>
      <c r="L651" s="51">
        <v>3.5771000000000002</v>
      </c>
      <c r="M651" s="51">
        <v>3.4129</v>
      </c>
      <c r="N651" s="51">
        <v>3.5331000000000001</v>
      </c>
      <c r="O651" s="51">
        <v>3.5331000000000001</v>
      </c>
      <c r="P651" s="51">
        <v>0</v>
      </c>
    </row>
    <row r="652" spans="10:16" x14ac:dyDescent="0.2">
      <c r="J652" s="52">
        <v>42499</v>
      </c>
      <c r="K652" s="51">
        <v>3.5045000000000002</v>
      </c>
      <c r="L652" s="51">
        <v>3.6640999999999999</v>
      </c>
      <c r="M652" s="51">
        <v>3.4224999999999999</v>
      </c>
      <c r="N652" s="51">
        <v>3.4771000000000001</v>
      </c>
      <c r="O652" s="51">
        <v>3.4771000000000001</v>
      </c>
      <c r="P652" s="51">
        <v>0</v>
      </c>
    </row>
    <row r="653" spans="10:16" x14ac:dyDescent="0.2">
      <c r="J653" s="52">
        <v>42506</v>
      </c>
      <c r="K653" s="51">
        <v>3.5278999999999998</v>
      </c>
      <c r="L653" s="51">
        <v>3.6128</v>
      </c>
      <c r="M653" s="51">
        <v>3.4767999999999999</v>
      </c>
      <c r="N653" s="51">
        <v>3.5573000000000001</v>
      </c>
      <c r="O653" s="51">
        <v>3.5573000000000001</v>
      </c>
      <c r="P653" s="51">
        <v>0</v>
      </c>
    </row>
    <row r="654" spans="10:16" x14ac:dyDescent="0.2">
      <c r="J654" s="52">
        <v>42513</v>
      </c>
      <c r="K654" s="51">
        <v>3.5375000000000001</v>
      </c>
      <c r="L654" s="51">
        <v>3.6242000000000001</v>
      </c>
      <c r="M654" s="51">
        <v>3.51</v>
      </c>
      <c r="N654" s="51">
        <v>3.6089000000000002</v>
      </c>
      <c r="O654" s="51">
        <v>3.6089000000000002</v>
      </c>
      <c r="P654" s="51">
        <v>0</v>
      </c>
    </row>
    <row r="655" spans="10:16" x14ac:dyDescent="0.2">
      <c r="J655" s="52">
        <v>42520</v>
      </c>
      <c r="K655" s="51">
        <v>3.5815999999999999</v>
      </c>
      <c r="L655" s="51">
        <v>3.6314000000000002</v>
      </c>
      <c r="M655" s="51">
        <v>3.5257999999999998</v>
      </c>
      <c r="N655" s="51">
        <v>3.5800999999999998</v>
      </c>
      <c r="O655" s="51">
        <v>3.5800999999999998</v>
      </c>
      <c r="P655" s="51">
        <v>0</v>
      </c>
    </row>
    <row r="656" spans="10:16" x14ac:dyDescent="0.2">
      <c r="J656" s="52">
        <v>42527</v>
      </c>
      <c r="K656" s="51">
        <v>3.5297999999999998</v>
      </c>
      <c r="L656" s="51">
        <v>3.5297999999999998</v>
      </c>
      <c r="M656" s="51">
        <v>3.3357000000000001</v>
      </c>
      <c r="N656" s="51">
        <v>3.3959000000000001</v>
      </c>
      <c r="O656" s="51">
        <v>3.3959000000000001</v>
      </c>
      <c r="P656" s="51">
        <v>0</v>
      </c>
    </row>
    <row r="657" spans="10:16" x14ac:dyDescent="0.2">
      <c r="J657" s="52">
        <v>42534</v>
      </c>
      <c r="K657" s="51">
        <v>3.3982999999999999</v>
      </c>
      <c r="L657" s="51">
        <v>3.5103</v>
      </c>
      <c r="M657" s="51">
        <v>3.3929999999999998</v>
      </c>
      <c r="N657" s="51">
        <v>3.4127999999999998</v>
      </c>
      <c r="O657" s="51">
        <v>3.4127999999999998</v>
      </c>
      <c r="P657" s="51">
        <v>0</v>
      </c>
    </row>
    <row r="658" spans="10:16" x14ac:dyDescent="0.2">
      <c r="J658" s="52">
        <v>42541</v>
      </c>
      <c r="K658" s="51">
        <v>3.4140999999999999</v>
      </c>
      <c r="L658" s="51">
        <v>3.4432</v>
      </c>
      <c r="M658" s="51">
        <v>3.3153000000000001</v>
      </c>
      <c r="N658" s="51">
        <v>3.3370000000000002</v>
      </c>
      <c r="O658" s="51">
        <v>3.3370000000000002</v>
      </c>
      <c r="P658" s="51">
        <v>0</v>
      </c>
    </row>
    <row r="659" spans="10:16" x14ac:dyDescent="0.2">
      <c r="J659" s="52">
        <v>42548</v>
      </c>
      <c r="K659" s="51">
        <v>3.3677000000000001</v>
      </c>
      <c r="L659" s="51">
        <v>3.4070999999999998</v>
      </c>
      <c r="M659" s="51">
        <v>3.1907999999999999</v>
      </c>
      <c r="N659" s="51">
        <v>3.2305999999999999</v>
      </c>
      <c r="O659" s="51">
        <v>3.2305999999999999</v>
      </c>
      <c r="P659" s="51">
        <v>0</v>
      </c>
    </row>
    <row r="660" spans="10:16" x14ac:dyDescent="0.2">
      <c r="J660" s="52">
        <v>42555</v>
      </c>
      <c r="K660" s="51">
        <v>3.2332000000000001</v>
      </c>
      <c r="L660" s="51">
        <v>3.3631000000000002</v>
      </c>
      <c r="M660" s="51">
        <v>3.2105999999999999</v>
      </c>
      <c r="N660" s="51">
        <v>3.2976999999999999</v>
      </c>
      <c r="O660" s="51">
        <v>3.2976999999999999</v>
      </c>
      <c r="P660" s="51">
        <v>0</v>
      </c>
    </row>
    <row r="661" spans="10:16" x14ac:dyDescent="0.2">
      <c r="J661" s="52">
        <v>42562</v>
      </c>
      <c r="K661" s="51">
        <v>3.2951999999999999</v>
      </c>
      <c r="L661" s="51">
        <v>3.3148</v>
      </c>
      <c r="M661" s="51">
        <v>3.2120000000000002</v>
      </c>
      <c r="N661" s="51">
        <v>3.2766000000000002</v>
      </c>
      <c r="O661" s="51">
        <v>3.2766000000000002</v>
      </c>
      <c r="P661" s="51">
        <v>0</v>
      </c>
    </row>
    <row r="662" spans="10:16" x14ac:dyDescent="0.2">
      <c r="J662" s="52">
        <v>42569</v>
      </c>
      <c r="K662" s="51">
        <v>3.2703000000000002</v>
      </c>
      <c r="L662" s="51">
        <v>3.2896000000000001</v>
      </c>
      <c r="M662" s="51">
        <v>3.2298</v>
      </c>
      <c r="N662" s="51">
        <v>3.2686000000000002</v>
      </c>
      <c r="O662" s="51">
        <v>3.2686000000000002</v>
      </c>
      <c r="P662" s="51">
        <v>0</v>
      </c>
    </row>
    <row r="663" spans="10:16" x14ac:dyDescent="0.2">
      <c r="J663" s="52">
        <v>42576</v>
      </c>
      <c r="K663" s="51">
        <v>3.2515000000000001</v>
      </c>
      <c r="L663" s="51">
        <v>3.2886000000000002</v>
      </c>
      <c r="M663" s="51">
        <v>3.2265999999999999</v>
      </c>
      <c r="N663" s="51">
        <v>3.2462</v>
      </c>
      <c r="O663" s="51">
        <v>3.2462</v>
      </c>
      <c r="P663" s="51">
        <v>0</v>
      </c>
    </row>
    <row r="664" spans="10:16" x14ac:dyDescent="0.2">
      <c r="J664" s="52">
        <v>42583</v>
      </c>
      <c r="K664" s="51">
        <v>3.2467999999999999</v>
      </c>
      <c r="L664" s="51">
        <v>3.2881999999999998</v>
      </c>
      <c r="M664" s="51">
        <v>3.1579000000000002</v>
      </c>
      <c r="N664" s="51">
        <v>3.1869000000000001</v>
      </c>
      <c r="O664" s="51">
        <v>3.1869000000000001</v>
      </c>
      <c r="P664" s="51">
        <v>0</v>
      </c>
    </row>
    <row r="665" spans="10:16" x14ac:dyDescent="0.2">
      <c r="J665" s="52">
        <v>42590</v>
      </c>
      <c r="K665" s="51">
        <v>3.1600999999999999</v>
      </c>
      <c r="L665" s="51">
        <v>3.1905000000000001</v>
      </c>
      <c r="M665" s="51">
        <v>3.1012</v>
      </c>
      <c r="N665" s="51">
        <v>3.1905000000000001</v>
      </c>
      <c r="O665" s="51">
        <v>3.1905000000000001</v>
      </c>
      <c r="P665" s="51">
        <v>0</v>
      </c>
    </row>
    <row r="666" spans="10:16" x14ac:dyDescent="0.2">
      <c r="J666" s="52">
        <v>42597</v>
      </c>
      <c r="K666" s="51">
        <v>3.1899000000000002</v>
      </c>
      <c r="L666" s="51">
        <v>3.2441</v>
      </c>
      <c r="M666" s="51">
        <v>3.1551</v>
      </c>
      <c r="N666" s="51">
        <v>3.2044999999999999</v>
      </c>
      <c r="O666" s="51">
        <v>3.2044999999999999</v>
      </c>
      <c r="P666" s="51">
        <v>0</v>
      </c>
    </row>
    <row r="667" spans="10:16" x14ac:dyDescent="0.2">
      <c r="J667" s="52">
        <v>42604</v>
      </c>
      <c r="K667" s="51">
        <v>3.2056</v>
      </c>
      <c r="L667" s="51">
        <v>3.2646000000000002</v>
      </c>
      <c r="M667" s="51">
        <v>3.1844000000000001</v>
      </c>
      <c r="N667" s="51">
        <v>3.2641</v>
      </c>
      <c r="O667" s="51">
        <v>3.2641</v>
      </c>
      <c r="P667" s="51">
        <v>0</v>
      </c>
    </row>
    <row r="668" spans="10:16" x14ac:dyDescent="0.2">
      <c r="J668" s="52">
        <v>42611</v>
      </c>
      <c r="K668" s="51">
        <v>3.2637999999999998</v>
      </c>
      <c r="L668" s="51">
        <v>3.2867999999999999</v>
      </c>
      <c r="M668" s="51">
        <v>3.2012</v>
      </c>
      <c r="N668" s="51">
        <v>3.2561</v>
      </c>
      <c r="O668" s="51">
        <v>3.2561</v>
      </c>
      <c r="P668" s="51">
        <v>0</v>
      </c>
    </row>
    <row r="669" spans="10:16" x14ac:dyDescent="0.2">
      <c r="J669" s="52">
        <v>42618</v>
      </c>
      <c r="K669" s="51">
        <v>3.2557999999999998</v>
      </c>
      <c r="L669" s="51">
        <v>3.2806000000000002</v>
      </c>
      <c r="M669" s="51">
        <v>3.1635</v>
      </c>
      <c r="N669" s="51">
        <v>3.2717000000000001</v>
      </c>
      <c r="O669" s="51">
        <v>3.2717000000000001</v>
      </c>
      <c r="P669" s="51">
        <v>0</v>
      </c>
    </row>
    <row r="670" spans="10:16" x14ac:dyDescent="0.2">
      <c r="J670" s="52">
        <v>42625</v>
      </c>
      <c r="K670" s="51">
        <v>3.2717000000000001</v>
      </c>
      <c r="L670" s="51">
        <v>3.3643999999999998</v>
      </c>
      <c r="M670" s="51">
        <v>3.2433000000000001</v>
      </c>
      <c r="N670" s="51">
        <v>3.2654999999999998</v>
      </c>
      <c r="O670" s="51">
        <v>3.2654999999999998</v>
      </c>
      <c r="P670" s="51">
        <v>0</v>
      </c>
    </row>
    <row r="671" spans="10:16" x14ac:dyDescent="0.2">
      <c r="J671" s="52">
        <v>42632</v>
      </c>
      <c r="K671" s="51">
        <v>3.2652000000000001</v>
      </c>
      <c r="L671" s="51">
        <v>3.2755999999999998</v>
      </c>
      <c r="M671" s="51">
        <v>3.1795</v>
      </c>
      <c r="N671" s="51">
        <v>3.2431999999999999</v>
      </c>
      <c r="O671" s="51">
        <v>3.2431999999999999</v>
      </c>
      <c r="P671" s="51">
        <v>0</v>
      </c>
    </row>
    <row r="672" spans="10:16" x14ac:dyDescent="0.2">
      <c r="J672" s="52">
        <v>42639</v>
      </c>
      <c r="K672" s="51">
        <v>3.2435999999999998</v>
      </c>
      <c r="L672" s="51">
        <v>3.2597999999999998</v>
      </c>
      <c r="M672" s="51">
        <v>3.2111999999999998</v>
      </c>
      <c r="N672" s="51">
        <v>3.2597999999999998</v>
      </c>
      <c r="O672" s="51">
        <v>3.2597999999999998</v>
      </c>
      <c r="P672" s="51">
        <v>0</v>
      </c>
    </row>
    <row r="673" spans="10:16" x14ac:dyDescent="0.2">
      <c r="J673" s="52">
        <v>42646</v>
      </c>
      <c r="K673" s="51">
        <v>3.2608000000000001</v>
      </c>
      <c r="L673" s="51">
        <v>3.2612000000000001</v>
      </c>
      <c r="M673" s="51">
        <v>3.1890999999999998</v>
      </c>
      <c r="N673" s="51">
        <v>3.2193000000000001</v>
      </c>
      <c r="O673" s="51">
        <v>3.2193000000000001</v>
      </c>
      <c r="P673" s="51">
        <v>0</v>
      </c>
    </row>
    <row r="674" spans="10:16" x14ac:dyDescent="0.2">
      <c r="J674" s="52">
        <v>42653</v>
      </c>
      <c r="K674" s="51">
        <v>3.2216</v>
      </c>
      <c r="L674" s="51">
        <v>3.2241</v>
      </c>
      <c r="M674" s="51">
        <v>3.1558999999999999</v>
      </c>
      <c r="N674" s="51">
        <v>3.202</v>
      </c>
      <c r="O674" s="51">
        <v>3.202</v>
      </c>
      <c r="P674" s="51">
        <v>0</v>
      </c>
    </row>
    <row r="675" spans="10:16" x14ac:dyDescent="0.2">
      <c r="J675" s="52">
        <v>42660</v>
      </c>
      <c r="K675" s="51">
        <v>3.2039</v>
      </c>
      <c r="L675" s="51">
        <v>3.2046000000000001</v>
      </c>
      <c r="M675" s="51">
        <v>3.1347</v>
      </c>
      <c r="N675" s="51">
        <v>3.1488999999999998</v>
      </c>
      <c r="O675" s="51">
        <v>3.1488999999999998</v>
      </c>
      <c r="P675" s="51">
        <v>0</v>
      </c>
    </row>
    <row r="676" spans="10:16" x14ac:dyDescent="0.2">
      <c r="J676" s="52">
        <v>42667</v>
      </c>
      <c r="K676" s="51">
        <v>3.1454</v>
      </c>
      <c r="L676" s="51">
        <v>3.2031000000000001</v>
      </c>
      <c r="M676" s="51">
        <v>3.0981000000000001</v>
      </c>
      <c r="N676" s="51">
        <v>3.2031000000000001</v>
      </c>
      <c r="O676" s="51">
        <v>3.2031000000000001</v>
      </c>
      <c r="P676" s="51">
        <v>0</v>
      </c>
    </row>
    <row r="677" spans="10:16" x14ac:dyDescent="0.2">
      <c r="J677" s="52">
        <v>42674</v>
      </c>
      <c r="K677" s="51">
        <v>3.2031000000000001</v>
      </c>
      <c r="L677" s="51">
        <v>3.2604000000000002</v>
      </c>
      <c r="M677" s="51">
        <v>3.1631999999999998</v>
      </c>
      <c r="N677" s="51">
        <v>3.2323</v>
      </c>
      <c r="O677" s="51">
        <v>3.2323</v>
      </c>
      <c r="P677" s="51">
        <v>0</v>
      </c>
    </row>
    <row r="678" spans="10:16" x14ac:dyDescent="0.2">
      <c r="J678" s="52">
        <v>42681</v>
      </c>
      <c r="K678" s="51">
        <v>3.2323</v>
      </c>
      <c r="L678" s="51">
        <v>3.4941</v>
      </c>
      <c r="M678" s="51">
        <v>3.1619999999999999</v>
      </c>
      <c r="N678" s="51">
        <v>3.39</v>
      </c>
      <c r="O678" s="51">
        <v>3.39</v>
      </c>
      <c r="P678" s="51">
        <v>0</v>
      </c>
    </row>
    <row r="679" spans="10:16" x14ac:dyDescent="0.2">
      <c r="J679" s="52">
        <v>42688</v>
      </c>
      <c r="K679" s="51">
        <v>3.3917000000000002</v>
      </c>
      <c r="L679" s="51">
        <v>3.4731000000000001</v>
      </c>
      <c r="M679" s="51">
        <v>3.3692000000000002</v>
      </c>
      <c r="N679" s="51">
        <v>3.3822999999999999</v>
      </c>
      <c r="O679" s="51">
        <v>3.3822999999999999</v>
      </c>
      <c r="P679" s="51">
        <v>0</v>
      </c>
    </row>
    <row r="680" spans="10:16" x14ac:dyDescent="0.2">
      <c r="J680" s="52">
        <v>42695</v>
      </c>
      <c r="K680" s="51">
        <v>3.3832</v>
      </c>
      <c r="L680" s="51">
        <v>3.4624000000000001</v>
      </c>
      <c r="M680" s="51">
        <v>3.3271000000000002</v>
      </c>
      <c r="N680" s="51">
        <v>3.4209999999999998</v>
      </c>
      <c r="O680" s="51">
        <v>3.4209999999999998</v>
      </c>
      <c r="P680" s="51">
        <v>0</v>
      </c>
    </row>
    <row r="681" spans="10:16" x14ac:dyDescent="0.2">
      <c r="J681" s="52">
        <v>42702</v>
      </c>
      <c r="K681" s="51">
        <v>3.4209999999999998</v>
      </c>
      <c r="L681" s="51">
        <v>3.5773000000000001</v>
      </c>
      <c r="M681" s="51">
        <v>3.3765999999999998</v>
      </c>
      <c r="N681" s="51">
        <v>3.4746999999999999</v>
      </c>
      <c r="O681" s="51">
        <v>3.4746999999999999</v>
      </c>
      <c r="P681" s="51">
        <v>0</v>
      </c>
    </row>
    <row r="682" spans="10:16" x14ac:dyDescent="0.2">
      <c r="J682" s="52">
        <v>42709</v>
      </c>
      <c r="K682" s="51">
        <v>3.4746999999999999</v>
      </c>
      <c r="L682" s="51">
        <v>3.5043000000000002</v>
      </c>
      <c r="M682" s="51">
        <v>3.3500999999999999</v>
      </c>
      <c r="N682" s="51">
        <v>3.3769999999999998</v>
      </c>
      <c r="O682" s="51">
        <v>3.3769999999999998</v>
      </c>
      <c r="P682" s="51">
        <v>0</v>
      </c>
    </row>
    <row r="683" spans="10:16" x14ac:dyDescent="0.2">
      <c r="J683" s="52">
        <v>42716</v>
      </c>
      <c r="K683" s="51">
        <v>3.3776999999999999</v>
      </c>
      <c r="L683" s="51">
        <v>3.4066000000000001</v>
      </c>
      <c r="M683" s="51">
        <v>3.3020999999999998</v>
      </c>
      <c r="N683" s="51">
        <v>3.3904000000000001</v>
      </c>
      <c r="O683" s="51">
        <v>3.3904000000000001</v>
      </c>
      <c r="P683" s="51">
        <v>0</v>
      </c>
    </row>
    <row r="684" spans="10:16" x14ac:dyDescent="0.2">
      <c r="J684" s="52">
        <v>42723</v>
      </c>
      <c r="K684" s="51">
        <v>3.3923999999999999</v>
      </c>
      <c r="L684" s="51">
        <v>3.4011</v>
      </c>
      <c r="M684" s="51">
        <v>3.2595000000000001</v>
      </c>
      <c r="N684" s="51">
        <v>3.2694999999999999</v>
      </c>
      <c r="O684" s="51">
        <v>3.2694999999999999</v>
      </c>
      <c r="P684" s="51">
        <v>0</v>
      </c>
    </row>
    <row r="685" spans="10:16" x14ac:dyDescent="0.2">
      <c r="J685" s="52">
        <v>42730</v>
      </c>
      <c r="K685" s="51">
        <v>3.2694999999999999</v>
      </c>
      <c r="L685" s="51">
        <v>3.2938000000000001</v>
      </c>
      <c r="M685" s="51">
        <v>3.2421000000000002</v>
      </c>
      <c r="N685" s="51">
        <v>3.2532000000000001</v>
      </c>
      <c r="O685" s="51">
        <v>3.2532000000000001</v>
      </c>
      <c r="P685" s="51">
        <v>0</v>
      </c>
    </row>
    <row r="686" spans="10:16" x14ac:dyDescent="0.2">
      <c r="J686" s="52">
        <v>42737</v>
      </c>
      <c r="K686" s="51">
        <v>3.2532000000000001</v>
      </c>
      <c r="L686" s="51">
        <v>3.2896999999999998</v>
      </c>
      <c r="M686" s="51">
        <v>3.1894</v>
      </c>
      <c r="N686" s="51">
        <v>3.2222</v>
      </c>
      <c r="O686" s="51">
        <v>3.2222</v>
      </c>
      <c r="P686" s="51">
        <v>0</v>
      </c>
    </row>
    <row r="687" spans="10:16" x14ac:dyDescent="0.2">
      <c r="J687" s="52">
        <v>42744</v>
      </c>
      <c r="K687" s="51">
        <v>3.2223999999999999</v>
      </c>
      <c r="L687" s="51">
        <v>3.2269999999999999</v>
      </c>
      <c r="M687" s="51">
        <v>3.1566000000000001</v>
      </c>
      <c r="N687" s="51">
        <v>3.1867999999999999</v>
      </c>
      <c r="O687" s="51">
        <v>3.1867999999999999</v>
      </c>
      <c r="P687" s="51">
        <v>0</v>
      </c>
    </row>
    <row r="688" spans="10:16" x14ac:dyDescent="0.2">
      <c r="J688" s="52">
        <v>42751</v>
      </c>
      <c r="K688" s="51">
        <v>3.2198000000000002</v>
      </c>
      <c r="L688" s="51">
        <v>3.2412999999999998</v>
      </c>
      <c r="M688" s="51">
        <v>3.1423000000000001</v>
      </c>
      <c r="N688" s="51">
        <v>3.1423000000000001</v>
      </c>
      <c r="O688" s="51">
        <v>3.1423000000000001</v>
      </c>
      <c r="P688" s="51">
        <v>0</v>
      </c>
    </row>
    <row r="689" spans="10:16" x14ac:dyDescent="0.2">
      <c r="J689" s="52">
        <v>42758</v>
      </c>
      <c r="K689" s="51">
        <v>3.1688999999999998</v>
      </c>
      <c r="L689" s="51">
        <v>3.1878000000000002</v>
      </c>
      <c r="M689" s="51">
        <v>3.1095999999999999</v>
      </c>
      <c r="N689" s="51">
        <v>3.1095999999999999</v>
      </c>
      <c r="O689" s="51">
        <v>3.1095999999999999</v>
      </c>
      <c r="P689" s="51">
        <v>0</v>
      </c>
    </row>
    <row r="690" spans="10:16" x14ac:dyDescent="0.2">
      <c r="J690" s="52">
        <v>42765</v>
      </c>
      <c r="K690" s="51">
        <v>3.1387</v>
      </c>
      <c r="L690" s="51">
        <v>3.1602999999999999</v>
      </c>
      <c r="M690" s="51">
        <v>3.0929000000000002</v>
      </c>
      <c r="N690" s="51">
        <v>3.1194999999999999</v>
      </c>
      <c r="O690" s="51">
        <v>3.1194999999999999</v>
      </c>
      <c r="P690" s="51">
        <v>0</v>
      </c>
    </row>
    <row r="691" spans="10:16" x14ac:dyDescent="0.2">
      <c r="J691" s="52">
        <v>42772</v>
      </c>
      <c r="K691" s="51">
        <v>3.1160000000000001</v>
      </c>
      <c r="L691" s="51">
        <v>3.1333000000000002</v>
      </c>
      <c r="M691" s="51">
        <v>3.0958999999999999</v>
      </c>
      <c r="N691" s="51">
        <v>3.1071</v>
      </c>
      <c r="O691" s="51">
        <v>3.1071</v>
      </c>
      <c r="P691" s="51">
        <v>0</v>
      </c>
    </row>
    <row r="692" spans="10:16" x14ac:dyDescent="0.2">
      <c r="J692" s="52">
        <v>42779</v>
      </c>
      <c r="K692" s="51">
        <v>3.1158000000000001</v>
      </c>
      <c r="L692" s="51">
        <v>3.121</v>
      </c>
      <c r="M692" s="51">
        <v>3.0413000000000001</v>
      </c>
      <c r="N692" s="51">
        <v>3.0954999999999999</v>
      </c>
      <c r="O692" s="51">
        <v>3.0954999999999999</v>
      </c>
      <c r="P692" s="51">
        <v>0</v>
      </c>
    </row>
    <row r="693" spans="10:16" x14ac:dyDescent="0.2">
      <c r="J693" s="52">
        <v>42786</v>
      </c>
      <c r="K693" s="51">
        <v>3.1034999999999999</v>
      </c>
      <c r="L693" s="51">
        <v>3.1095000000000002</v>
      </c>
      <c r="M693" s="51">
        <v>3.0503999999999998</v>
      </c>
      <c r="N693" s="51">
        <v>3.0945999999999998</v>
      </c>
      <c r="O693" s="51">
        <v>3.0945999999999998</v>
      </c>
      <c r="P693" s="51">
        <v>0</v>
      </c>
    </row>
    <row r="694" spans="10:16" x14ac:dyDescent="0.2">
      <c r="J694" s="52">
        <v>42793</v>
      </c>
      <c r="K694" s="51">
        <v>3.1095000000000002</v>
      </c>
      <c r="L694" s="51">
        <v>3.1570999999999998</v>
      </c>
      <c r="M694" s="51">
        <v>3.0773999999999999</v>
      </c>
      <c r="N694" s="51">
        <v>3.12</v>
      </c>
      <c r="O694" s="51">
        <v>3.12</v>
      </c>
      <c r="P694" s="51">
        <v>0</v>
      </c>
    </row>
    <row r="695" spans="10:16" x14ac:dyDescent="0.2">
      <c r="J695" s="52">
        <v>42800</v>
      </c>
      <c r="K695" s="51">
        <v>3.1153</v>
      </c>
      <c r="L695" s="51">
        <v>3.194</v>
      </c>
      <c r="M695" s="51">
        <v>3.0949</v>
      </c>
      <c r="N695" s="51">
        <v>3.1475</v>
      </c>
      <c r="O695" s="51">
        <v>3.1475</v>
      </c>
      <c r="P695" s="51">
        <v>0</v>
      </c>
    </row>
    <row r="696" spans="10:16" x14ac:dyDescent="0.2">
      <c r="J696" s="52">
        <v>42807</v>
      </c>
      <c r="K696" s="51">
        <v>3.1381999999999999</v>
      </c>
      <c r="L696" s="51">
        <v>3.1779999999999999</v>
      </c>
      <c r="M696" s="51">
        <v>3.0865999999999998</v>
      </c>
      <c r="N696" s="51">
        <v>3.0865999999999998</v>
      </c>
      <c r="O696" s="51">
        <v>3.0865999999999998</v>
      </c>
      <c r="P696" s="51">
        <v>0</v>
      </c>
    </row>
    <row r="697" spans="10:16" x14ac:dyDescent="0.2">
      <c r="J697" s="52">
        <v>42814</v>
      </c>
      <c r="K697" s="51">
        <v>3.0918000000000001</v>
      </c>
      <c r="L697" s="51">
        <v>3.1469</v>
      </c>
      <c r="M697" s="51">
        <v>3.0535000000000001</v>
      </c>
      <c r="N697" s="51">
        <v>3.1097000000000001</v>
      </c>
      <c r="O697" s="51">
        <v>3.1097000000000001</v>
      </c>
      <c r="P697" s="51">
        <v>0</v>
      </c>
    </row>
    <row r="698" spans="10:16" x14ac:dyDescent="0.2">
      <c r="J698" s="52">
        <v>42821</v>
      </c>
      <c r="K698" s="51">
        <v>3.1063000000000001</v>
      </c>
      <c r="L698" s="51">
        <v>3.1747000000000001</v>
      </c>
      <c r="M698" s="51">
        <v>3.0914999999999999</v>
      </c>
      <c r="N698" s="51">
        <v>3.1217999999999999</v>
      </c>
      <c r="O698" s="51">
        <v>3.1217999999999999</v>
      </c>
      <c r="P698" s="51">
        <v>0</v>
      </c>
    </row>
    <row r="699" spans="10:16" x14ac:dyDescent="0.2">
      <c r="J699" s="52">
        <v>42828</v>
      </c>
      <c r="K699" s="51">
        <v>3.1202999999999999</v>
      </c>
      <c r="L699" s="51">
        <v>3.1454</v>
      </c>
      <c r="M699" s="51">
        <v>3.0718000000000001</v>
      </c>
      <c r="N699" s="51">
        <v>3.1446999999999998</v>
      </c>
      <c r="O699" s="51">
        <v>3.1446999999999998</v>
      </c>
      <c r="P699" s="51">
        <v>0</v>
      </c>
    </row>
    <row r="700" spans="10:16" x14ac:dyDescent="0.2">
      <c r="J700" s="52">
        <v>42835</v>
      </c>
      <c r="K700" s="51">
        <v>3.1459999999999999</v>
      </c>
      <c r="L700" s="51">
        <v>3.1524999999999999</v>
      </c>
      <c r="M700" s="51">
        <v>3.1177000000000001</v>
      </c>
      <c r="N700" s="51">
        <v>3.1436999999999999</v>
      </c>
      <c r="O700" s="51">
        <v>3.1436999999999999</v>
      </c>
      <c r="P700" s="51">
        <v>0</v>
      </c>
    </row>
    <row r="701" spans="10:16" x14ac:dyDescent="0.2">
      <c r="J701" s="52">
        <v>42842</v>
      </c>
      <c r="K701" s="51">
        <v>3.1402000000000001</v>
      </c>
      <c r="L701" s="51">
        <v>3.1545000000000001</v>
      </c>
      <c r="M701" s="51">
        <v>3.0811999999999999</v>
      </c>
      <c r="N701" s="51">
        <v>3.1467999999999998</v>
      </c>
      <c r="O701" s="51">
        <v>3.1467999999999998</v>
      </c>
      <c r="P701" s="51">
        <v>0</v>
      </c>
    </row>
    <row r="702" spans="10:16" x14ac:dyDescent="0.2">
      <c r="J702" s="52">
        <v>42849</v>
      </c>
      <c r="K702" s="51">
        <v>3.1467999999999998</v>
      </c>
      <c r="L702" s="51">
        <v>3.2086999999999999</v>
      </c>
      <c r="M702" s="51">
        <v>3.0779000000000001</v>
      </c>
      <c r="N702" s="51">
        <v>3.1760999999999999</v>
      </c>
      <c r="O702" s="51">
        <v>3.1760999999999999</v>
      </c>
      <c r="P702" s="51">
        <v>0</v>
      </c>
    </row>
    <row r="703" spans="10:16" x14ac:dyDescent="0.2">
      <c r="J703" s="52">
        <v>42856</v>
      </c>
      <c r="K703" s="51">
        <v>3.1732999999999998</v>
      </c>
      <c r="L703" s="51">
        <v>3.1907000000000001</v>
      </c>
      <c r="M703" s="51">
        <v>3.1360000000000001</v>
      </c>
      <c r="N703" s="51">
        <v>3.1777000000000002</v>
      </c>
      <c r="O703" s="51">
        <v>3.1777000000000002</v>
      </c>
      <c r="P703" s="51">
        <v>0</v>
      </c>
    </row>
    <row r="704" spans="10:16" x14ac:dyDescent="0.2">
      <c r="J704" s="52">
        <v>42863</v>
      </c>
      <c r="K704" s="51">
        <v>3.1665000000000001</v>
      </c>
      <c r="L704" s="51">
        <v>3.1976</v>
      </c>
      <c r="M704" s="51">
        <v>3.1185</v>
      </c>
      <c r="N704" s="51">
        <v>3.1777000000000002</v>
      </c>
      <c r="O704" s="51">
        <v>3.1777000000000002</v>
      </c>
      <c r="P704" s="51">
        <v>0</v>
      </c>
    </row>
    <row r="705" spans="10:16" x14ac:dyDescent="0.2">
      <c r="J705" s="52">
        <v>42870</v>
      </c>
      <c r="K705" s="51">
        <v>3.1240999999999999</v>
      </c>
      <c r="L705" s="51">
        <v>3.4051999999999998</v>
      </c>
      <c r="M705" s="51">
        <v>3.0889000000000002</v>
      </c>
      <c r="N705" s="51">
        <v>3.2532999999999999</v>
      </c>
      <c r="O705" s="51">
        <v>3.2532999999999999</v>
      </c>
      <c r="P705" s="51">
        <v>0</v>
      </c>
    </row>
    <row r="706" spans="10:16" x14ac:dyDescent="0.2">
      <c r="J706" s="52">
        <v>42877</v>
      </c>
      <c r="K706" s="51">
        <v>3.2559</v>
      </c>
      <c r="L706" s="51">
        <v>3.3047</v>
      </c>
      <c r="M706" s="51">
        <v>3.1777000000000002</v>
      </c>
      <c r="N706" s="51">
        <v>3.1777000000000002</v>
      </c>
      <c r="O706" s="51">
        <v>3.1777000000000002</v>
      </c>
      <c r="P706" s="51">
        <v>0</v>
      </c>
    </row>
    <row r="707" spans="10:16" x14ac:dyDescent="0.2">
      <c r="J707" s="52">
        <v>42884</v>
      </c>
      <c r="K707" s="51">
        <v>3.2581000000000002</v>
      </c>
      <c r="L707" s="51">
        <v>3.2728999999999999</v>
      </c>
      <c r="M707" s="51">
        <v>3.1777000000000002</v>
      </c>
      <c r="N707" s="51">
        <v>3.2492000000000001</v>
      </c>
      <c r="O707" s="51">
        <v>3.2492000000000001</v>
      </c>
      <c r="P707" s="51">
        <v>0</v>
      </c>
    </row>
    <row r="708" spans="10:16" x14ac:dyDescent="0.2">
      <c r="J708" s="52">
        <v>42891</v>
      </c>
      <c r="K708" s="51">
        <v>3.2469000000000001</v>
      </c>
      <c r="L708" s="51">
        <v>3.2989999999999999</v>
      </c>
      <c r="M708" s="51">
        <v>3.1777000000000002</v>
      </c>
      <c r="N708" s="51">
        <v>3.1777000000000002</v>
      </c>
      <c r="O708" s="51">
        <v>3.1777000000000002</v>
      </c>
      <c r="P708" s="51">
        <v>0</v>
      </c>
    </row>
    <row r="709" spans="10:16" x14ac:dyDescent="0.2">
      <c r="J709" s="52">
        <v>42898</v>
      </c>
      <c r="K709" s="51">
        <v>3.2936999999999999</v>
      </c>
      <c r="L709" s="51">
        <v>3.3313000000000001</v>
      </c>
      <c r="M709" s="51">
        <v>3.1777000000000002</v>
      </c>
      <c r="N709" s="51">
        <v>3.2886000000000002</v>
      </c>
      <c r="O709" s="51">
        <v>3.2886000000000002</v>
      </c>
      <c r="P709" s="51">
        <v>0</v>
      </c>
    </row>
    <row r="710" spans="10:16" x14ac:dyDescent="0.2">
      <c r="J710" s="52">
        <v>42905</v>
      </c>
      <c r="K710" s="51">
        <v>3.2892999999999999</v>
      </c>
      <c r="L710" s="51">
        <v>3.3439999999999999</v>
      </c>
      <c r="M710" s="51">
        <v>3.2789000000000001</v>
      </c>
      <c r="N710" s="51">
        <v>3.3414999999999999</v>
      </c>
      <c r="O710" s="51">
        <v>3.3414999999999999</v>
      </c>
      <c r="P710" s="51">
        <v>0</v>
      </c>
    </row>
    <row r="711" spans="10:16" x14ac:dyDescent="0.2">
      <c r="J711" s="52">
        <v>42912</v>
      </c>
      <c r="K711" s="51">
        <v>3.3397000000000001</v>
      </c>
      <c r="L711" s="51">
        <v>3.3424</v>
      </c>
      <c r="M711" s="51">
        <v>3.1777000000000002</v>
      </c>
      <c r="N711" s="51">
        <v>3.1777000000000002</v>
      </c>
      <c r="O711" s="51">
        <v>3.1777000000000002</v>
      </c>
      <c r="P711" s="51">
        <v>0</v>
      </c>
    </row>
    <row r="712" spans="10:16" x14ac:dyDescent="0.2">
      <c r="J712" s="52">
        <v>42919</v>
      </c>
      <c r="K712" s="51">
        <v>3.2968000000000002</v>
      </c>
      <c r="L712" s="51">
        <v>3.3290000000000002</v>
      </c>
      <c r="M712" s="51">
        <v>3.1777000000000002</v>
      </c>
      <c r="N712" s="51">
        <v>3.1777000000000002</v>
      </c>
      <c r="O712" s="51">
        <v>3.1777000000000002</v>
      </c>
      <c r="P712" s="51">
        <v>0</v>
      </c>
    </row>
    <row r="713" spans="10:16" x14ac:dyDescent="0.2">
      <c r="J713" s="52">
        <v>42926</v>
      </c>
      <c r="K713" s="51">
        <v>3.2789000000000001</v>
      </c>
      <c r="L713" s="51">
        <v>3.3</v>
      </c>
      <c r="M713" s="51">
        <v>3.1777000000000002</v>
      </c>
      <c r="N713" s="51">
        <v>3.1777000000000002</v>
      </c>
      <c r="O713" s="51">
        <v>3.1777000000000002</v>
      </c>
      <c r="P713" s="51">
        <v>0</v>
      </c>
    </row>
    <row r="714" spans="10:16" x14ac:dyDescent="0.2">
      <c r="J714" s="52">
        <v>42933</v>
      </c>
      <c r="K714" s="51">
        <v>3.1815000000000002</v>
      </c>
      <c r="L714" s="51">
        <v>3.1852999999999998</v>
      </c>
      <c r="M714" s="51">
        <v>3.0947</v>
      </c>
      <c r="N714" s="51">
        <v>3.1777000000000002</v>
      </c>
      <c r="O714" s="51">
        <v>3.1777000000000002</v>
      </c>
      <c r="P714" s="51">
        <v>0</v>
      </c>
    </row>
    <row r="715" spans="10:16" x14ac:dyDescent="0.2">
      <c r="J715" s="52">
        <v>42940</v>
      </c>
      <c r="K715" s="51">
        <v>3.1395</v>
      </c>
      <c r="L715" s="51">
        <v>3.1777000000000002</v>
      </c>
      <c r="M715" s="51">
        <v>3.1160999999999999</v>
      </c>
      <c r="N715" s="51">
        <v>3.1777000000000002</v>
      </c>
      <c r="O715" s="51">
        <v>3.1777000000000002</v>
      </c>
      <c r="P715" s="51">
        <v>0</v>
      </c>
    </row>
    <row r="716" spans="10:16" x14ac:dyDescent="0.2">
      <c r="J716" s="52">
        <v>42947</v>
      </c>
      <c r="K716" s="51">
        <v>3.1303999999999998</v>
      </c>
      <c r="L716" s="51">
        <v>3.1777000000000002</v>
      </c>
      <c r="M716" s="51">
        <v>3.0924</v>
      </c>
      <c r="N716" s="51">
        <v>3.1293000000000002</v>
      </c>
      <c r="O716" s="51">
        <v>3.1293000000000002</v>
      </c>
      <c r="P716" s="51">
        <v>0</v>
      </c>
    </row>
    <row r="717" spans="10:16" x14ac:dyDescent="0.2">
      <c r="J717" s="52">
        <v>42954</v>
      </c>
      <c r="K717" s="51">
        <v>3.1162000000000001</v>
      </c>
      <c r="L717" s="51">
        <v>3.1909999999999998</v>
      </c>
      <c r="M717" s="51">
        <v>3.1078999999999999</v>
      </c>
      <c r="N717" s="51">
        <v>3.1777000000000002</v>
      </c>
      <c r="O717" s="51">
        <v>3.1777000000000002</v>
      </c>
      <c r="P717" s="51">
        <v>0</v>
      </c>
    </row>
    <row r="718" spans="10:16" x14ac:dyDescent="0.2">
      <c r="J718" s="52">
        <v>42961</v>
      </c>
      <c r="K718" s="51">
        <v>3.1888000000000001</v>
      </c>
      <c r="L718" s="51">
        <v>3.2027000000000001</v>
      </c>
      <c r="M718" s="51">
        <v>3.1284999999999998</v>
      </c>
      <c r="N718" s="51">
        <v>3.1777000000000002</v>
      </c>
      <c r="O718" s="51">
        <v>3.1777000000000002</v>
      </c>
      <c r="P718" s="51">
        <v>0</v>
      </c>
    </row>
    <row r="719" spans="10:16" x14ac:dyDescent="0.2">
      <c r="J719" s="52">
        <v>42968</v>
      </c>
      <c r="K719" s="51">
        <v>3.1448999999999998</v>
      </c>
      <c r="L719" s="51">
        <v>3.1793</v>
      </c>
      <c r="M719" s="51">
        <v>3.1333000000000002</v>
      </c>
      <c r="N719" s="51">
        <v>3.1587000000000001</v>
      </c>
      <c r="O719" s="51">
        <v>3.1587000000000001</v>
      </c>
      <c r="P719" s="51">
        <v>0</v>
      </c>
    </row>
    <row r="720" spans="10:16" x14ac:dyDescent="0.2">
      <c r="J720" s="52">
        <v>42975</v>
      </c>
      <c r="K720" s="51">
        <v>3.1558000000000002</v>
      </c>
      <c r="L720" s="51">
        <v>3.1777000000000002</v>
      </c>
      <c r="M720" s="51">
        <v>3.1227999999999998</v>
      </c>
      <c r="N720" s="51">
        <v>3.1777000000000002</v>
      </c>
      <c r="O720" s="51">
        <v>3.1777000000000002</v>
      </c>
      <c r="P720" s="51">
        <v>0</v>
      </c>
    </row>
    <row r="721" spans="10:16" x14ac:dyDescent="0.2">
      <c r="J721" s="52">
        <v>42982</v>
      </c>
      <c r="K721" s="51">
        <v>3.1358000000000001</v>
      </c>
      <c r="L721" s="51">
        <v>3.1777000000000002</v>
      </c>
      <c r="M721" s="51">
        <v>3.0851000000000002</v>
      </c>
      <c r="N721" s="51">
        <v>3.1777000000000002</v>
      </c>
      <c r="O721" s="51">
        <v>3.1777000000000002</v>
      </c>
      <c r="P721" s="51">
        <v>0</v>
      </c>
    </row>
    <row r="722" spans="10:16" x14ac:dyDescent="0.2">
      <c r="J722" s="52">
        <v>42989</v>
      </c>
      <c r="K722" s="51">
        <v>3.0884999999999998</v>
      </c>
      <c r="L722" s="51">
        <v>3.1777000000000002</v>
      </c>
      <c r="M722" s="51">
        <v>3.0788000000000002</v>
      </c>
      <c r="N722" s="51">
        <v>3.1097000000000001</v>
      </c>
      <c r="O722" s="51">
        <v>3.1097000000000001</v>
      </c>
      <c r="P722" s="51">
        <v>0</v>
      </c>
    </row>
    <row r="723" spans="10:16" x14ac:dyDescent="0.2">
      <c r="J723" s="52">
        <v>42996</v>
      </c>
      <c r="K723" s="51">
        <v>3.1120000000000001</v>
      </c>
      <c r="L723" s="51">
        <v>3.1777000000000002</v>
      </c>
      <c r="M723" s="51">
        <v>3.1055000000000001</v>
      </c>
      <c r="N723" s="51">
        <v>3.1234999999999999</v>
      </c>
      <c r="O723" s="51">
        <v>3.1234999999999999</v>
      </c>
      <c r="P723" s="51">
        <v>0</v>
      </c>
    </row>
    <row r="724" spans="10:16" x14ac:dyDescent="0.2">
      <c r="J724" s="52">
        <v>43003</v>
      </c>
      <c r="K724" s="51">
        <v>3.1172</v>
      </c>
      <c r="L724" s="51">
        <v>3.1976</v>
      </c>
      <c r="M724" s="51">
        <v>3.1172</v>
      </c>
      <c r="N724" s="51">
        <v>3.1634000000000002</v>
      </c>
      <c r="O724" s="51">
        <v>3.1634000000000002</v>
      </c>
      <c r="P724" s="51">
        <v>0</v>
      </c>
    </row>
    <row r="725" spans="10:16" x14ac:dyDescent="0.2">
      <c r="J725" s="52">
        <v>43010</v>
      </c>
      <c r="K725" s="51">
        <v>3.1621999999999999</v>
      </c>
      <c r="L725" s="51">
        <v>3.1711</v>
      </c>
      <c r="M725" s="51">
        <v>3.1198000000000001</v>
      </c>
      <c r="N725" s="51">
        <v>3.1555</v>
      </c>
      <c r="O725" s="51">
        <v>3.1555</v>
      </c>
      <c r="P725" s="51">
        <v>0</v>
      </c>
    </row>
    <row r="726" spans="10:16" x14ac:dyDescent="0.2">
      <c r="J726" s="52">
        <v>43017</v>
      </c>
      <c r="K726" s="51">
        <v>3.1233</v>
      </c>
      <c r="L726" s="51">
        <v>3.1873999999999998</v>
      </c>
      <c r="M726" s="51">
        <v>3.1233</v>
      </c>
      <c r="N726" s="51">
        <v>3.1435</v>
      </c>
      <c r="O726" s="51">
        <v>3.1435</v>
      </c>
      <c r="P726" s="51">
        <v>0</v>
      </c>
    </row>
    <row r="727" spans="10:16" x14ac:dyDescent="0.2">
      <c r="J727" s="52">
        <v>43024</v>
      </c>
      <c r="K727" s="51">
        <v>3.1442999999999999</v>
      </c>
      <c r="L727" s="51">
        <v>3.1956000000000002</v>
      </c>
      <c r="M727" s="51">
        <v>3.1286999999999998</v>
      </c>
      <c r="N727" s="51">
        <v>3.1922000000000001</v>
      </c>
      <c r="O727" s="51">
        <v>3.1922000000000001</v>
      </c>
      <c r="P727" s="51">
        <v>0</v>
      </c>
    </row>
    <row r="728" spans="10:16" x14ac:dyDescent="0.2">
      <c r="J728" s="52">
        <v>43031</v>
      </c>
      <c r="K728" s="51">
        <v>3.1911</v>
      </c>
      <c r="L728" s="51">
        <v>3.2968000000000002</v>
      </c>
      <c r="M728" s="51">
        <v>3.1873999999999998</v>
      </c>
      <c r="N728" s="51">
        <v>3.2313000000000001</v>
      </c>
      <c r="O728" s="51">
        <v>3.2313000000000001</v>
      </c>
      <c r="P728" s="51">
        <v>0</v>
      </c>
    </row>
    <row r="729" spans="10:16" x14ac:dyDescent="0.2">
      <c r="J729" s="52">
        <v>43038</v>
      </c>
      <c r="K729" s="51">
        <v>3.2347999999999999</v>
      </c>
      <c r="L729" s="51">
        <v>3.3315000000000001</v>
      </c>
      <c r="M729" s="51">
        <v>3.2330000000000001</v>
      </c>
      <c r="N729" s="51">
        <v>3.3129</v>
      </c>
      <c r="O729" s="51">
        <v>3.3129</v>
      </c>
      <c r="P729" s="51">
        <v>0</v>
      </c>
    </row>
    <row r="730" spans="10:16" x14ac:dyDescent="0.2">
      <c r="J730" s="52">
        <v>43045</v>
      </c>
      <c r="K730" s="51">
        <v>3.3127</v>
      </c>
      <c r="L730" s="51">
        <v>3.3136999999999999</v>
      </c>
      <c r="M730" s="51">
        <v>3.2370000000000001</v>
      </c>
      <c r="N730" s="51">
        <v>3.2728999999999999</v>
      </c>
      <c r="O730" s="51">
        <v>3.2728999999999999</v>
      </c>
      <c r="P730" s="51">
        <v>0</v>
      </c>
    </row>
    <row r="731" spans="10:16" x14ac:dyDescent="0.2">
      <c r="J731" s="52">
        <v>43052</v>
      </c>
      <c r="K731" s="51">
        <v>3.2766000000000002</v>
      </c>
      <c r="L731" s="51">
        <v>3.3132000000000001</v>
      </c>
      <c r="M731" s="51">
        <v>3.2524000000000002</v>
      </c>
      <c r="N731" s="51">
        <v>3.2524000000000002</v>
      </c>
      <c r="O731" s="51">
        <v>3.2524000000000002</v>
      </c>
      <c r="P731" s="51">
        <v>0</v>
      </c>
    </row>
    <row r="732" spans="10:16" x14ac:dyDescent="0.2">
      <c r="J732" s="52">
        <v>43059</v>
      </c>
      <c r="K732" s="51">
        <v>3.2557999999999998</v>
      </c>
      <c r="L732" s="51">
        <v>3.2728999999999999</v>
      </c>
      <c r="M732" s="51">
        <v>3.2185000000000001</v>
      </c>
      <c r="N732" s="51">
        <v>3.2315</v>
      </c>
      <c r="O732" s="51">
        <v>3.2315</v>
      </c>
      <c r="P732" s="51">
        <v>0</v>
      </c>
    </row>
    <row r="733" spans="10:16" x14ac:dyDescent="0.2">
      <c r="J733" s="52">
        <v>43066</v>
      </c>
      <c r="K733" s="51">
        <v>3.2317999999999998</v>
      </c>
      <c r="L733" s="51">
        <v>3.2858000000000001</v>
      </c>
      <c r="M733" s="51">
        <v>3.2006999999999999</v>
      </c>
      <c r="N733" s="51">
        <v>3.2530000000000001</v>
      </c>
      <c r="O733" s="51">
        <v>3.2530000000000001</v>
      </c>
      <c r="P733" s="51">
        <v>0</v>
      </c>
    </row>
    <row r="734" spans="10:16" x14ac:dyDescent="0.2">
      <c r="J734" s="52">
        <v>43073</v>
      </c>
      <c r="K734" s="51">
        <v>3.2566000000000002</v>
      </c>
      <c r="L734" s="51">
        <v>3.3161</v>
      </c>
      <c r="M734" s="51">
        <v>3.2193000000000001</v>
      </c>
      <c r="N734" s="51">
        <v>3.2877999999999998</v>
      </c>
      <c r="O734" s="51">
        <v>3.2877999999999998</v>
      </c>
      <c r="P734" s="51">
        <v>0</v>
      </c>
    </row>
    <row r="735" spans="10:16" x14ac:dyDescent="0.2">
      <c r="J735" s="52">
        <v>43080</v>
      </c>
      <c r="K735" s="51">
        <v>3.2877999999999998</v>
      </c>
      <c r="L735" s="51">
        <v>3.3443999999999998</v>
      </c>
      <c r="M735" s="51">
        <v>3.2728999999999999</v>
      </c>
      <c r="N735" s="51">
        <v>3.2896999999999998</v>
      </c>
      <c r="O735" s="51">
        <v>3.2896999999999998</v>
      </c>
      <c r="P735" s="51">
        <v>0</v>
      </c>
    </row>
    <row r="736" spans="10:16" x14ac:dyDescent="0.2">
      <c r="J736" s="52">
        <v>43087</v>
      </c>
      <c r="K736" s="51">
        <v>3.2934999999999999</v>
      </c>
      <c r="L736" s="51">
        <v>3.3355000000000001</v>
      </c>
      <c r="M736" s="51">
        <v>3.2568999999999999</v>
      </c>
      <c r="N736" s="51">
        <v>3.3355000000000001</v>
      </c>
      <c r="O736" s="51">
        <v>3.3355000000000001</v>
      </c>
      <c r="P736" s="51">
        <v>0</v>
      </c>
    </row>
    <row r="737" spans="10:16" x14ac:dyDescent="0.2">
      <c r="J737" s="52">
        <v>43094</v>
      </c>
      <c r="K737" s="51">
        <v>3.3359999999999999</v>
      </c>
      <c r="L737" s="51">
        <v>3.3363999999999998</v>
      </c>
      <c r="M737" s="51">
        <v>3.2795000000000001</v>
      </c>
      <c r="N737" s="51">
        <v>3.3109999999999999</v>
      </c>
      <c r="O737" s="51">
        <v>3.3109999999999999</v>
      </c>
      <c r="P737" s="51">
        <v>0</v>
      </c>
    </row>
    <row r="738" spans="10:16" x14ac:dyDescent="0.2">
      <c r="J738" s="52">
        <v>43101</v>
      </c>
      <c r="K738" s="51">
        <v>3.3105000000000002</v>
      </c>
      <c r="L738" s="51">
        <v>3.3127</v>
      </c>
      <c r="M738" s="51">
        <v>3.2214</v>
      </c>
      <c r="N738" s="51">
        <v>3.2259000000000002</v>
      </c>
      <c r="O738" s="51">
        <v>3.2259000000000002</v>
      </c>
      <c r="P738" s="51">
        <v>0</v>
      </c>
    </row>
    <row r="739" spans="10:16" x14ac:dyDescent="0.2">
      <c r="J739" s="52">
        <v>43108</v>
      </c>
      <c r="K739" s="51">
        <v>3.2281</v>
      </c>
      <c r="L739" s="51">
        <v>3.2538999999999998</v>
      </c>
      <c r="M739" s="51">
        <v>3.1772999999999998</v>
      </c>
      <c r="N739" s="51">
        <v>3.2006999999999999</v>
      </c>
      <c r="O739" s="51">
        <v>3.2006999999999999</v>
      </c>
      <c r="P739" s="51">
        <v>0</v>
      </c>
    </row>
    <row r="740" spans="10:16" x14ac:dyDescent="0.2">
      <c r="J740" s="52">
        <v>43115</v>
      </c>
      <c r="K740" s="51">
        <v>3.2023999999999999</v>
      </c>
      <c r="L740" s="51">
        <v>3.2374000000000001</v>
      </c>
      <c r="M740" s="51">
        <v>3.1760999999999999</v>
      </c>
      <c r="N740" s="51">
        <v>3.1911999999999998</v>
      </c>
      <c r="O740" s="51">
        <v>3.1911999999999998</v>
      </c>
      <c r="P740" s="51">
        <v>0</v>
      </c>
    </row>
    <row r="741" spans="10:16" x14ac:dyDescent="0.2">
      <c r="J741" s="52">
        <v>43122</v>
      </c>
      <c r="K741" s="51">
        <v>3.1938</v>
      </c>
      <c r="L741" s="51">
        <v>3.2382</v>
      </c>
      <c r="M741" s="51">
        <v>3.1215000000000002</v>
      </c>
      <c r="N741" s="51">
        <v>3.1469</v>
      </c>
      <c r="O741" s="51">
        <v>3.1469</v>
      </c>
      <c r="P741" s="51">
        <v>0</v>
      </c>
    </row>
    <row r="742" spans="10:16" x14ac:dyDescent="0.2">
      <c r="J742" s="52">
        <v>43129</v>
      </c>
      <c r="K742" s="51">
        <v>3.1526000000000001</v>
      </c>
      <c r="L742" s="51">
        <v>3.2206000000000001</v>
      </c>
      <c r="M742" s="51">
        <v>3.1438000000000001</v>
      </c>
      <c r="N742" s="51">
        <v>3.2168999999999999</v>
      </c>
      <c r="O742" s="51">
        <v>3.2168999999999999</v>
      </c>
      <c r="P742" s="51">
        <v>0</v>
      </c>
    </row>
    <row r="743" spans="10:16" x14ac:dyDescent="0.2">
      <c r="J743" s="52">
        <v>43136</v>
      </c>
      <c r="K743" s="51">
        <v>3.2168999999999999</v>
      </c>
      <c r="L743" s="51">
        <v>3.3075000000000001</v>
      </c>
      <c r="M743" s="51">
        <v>3.2138</v>
      </c>
      <c r="N743" s="51">
        <v>3.2928000000000002</v>
      </c>
      <c r="O743" s="51">
        <v>3.2928000000000002</v>
      </c>
      <c r="P743" s="51">
        <v>0</v>
      </c>
    </row>
    <row r="744" spans="10:16" x14ac:dyDescent="0.2">
      <c r="J744" s="52">
        <v>43143</v>
      </c>
      <c r="K744" s="51">
        <v>3.2925</v>
      </c>
      <c r="L744" s="51">
        <v>3.2987000000000002</v>
      </c>
      <c r="M744" s="51">
        <v>3.1916000000000002</v>
      </c>
      <c r="N744" s="51">
        <v>3.2298</v>
      </c>
      <c r="O744" s="51">
        <v>3.2298</v>
      </c>
      <c r="P744" s="51">
        <v>0</v>
      </c>
    </row>
    <row r="745" spans="10:16" x14ac:dyDescent="0.2">
      <c r="J745" s="52">
        <v>43150</v>
      </c>
      <c r="K745" s="51">
        <v>3.2298</v>
      </c>
      <c r="L745" s="51">
        <v>3.2707999999999999</v>
      </c>
      <c r="M745" s="51">
        <v>3.2214999999999998</v>
      </c>
      <c r="N745" s="51">
        <v>3.2328999999999999</v>
      </c>
      <c r="O745" s="51">
        <v>3.2328999999999999</v>
      </c>
      <c r="P745" s="51">
        <v>0</v>
      </c>
    </row>
    <row r="746" spans="10:16" x14ac:dyDescent="0.2">
      <c r="J746" s="52">
        <v>43157</v>
      </c>
      <c r="K746" s="51">
        <v>3.2385000000000002</v>
      </c>
      <c r="L746" s="51">
        <v>3.2692000000000001</v>
      </c>
      <c r="M746" s="51">
        <v>3.2204999999999999</v>
      </c>
      <c r="N746" s="51">
        <v>3.2505000000000002</v>
      </c>
      <c r="O746" s="51">
        <v>3.2505000000000002</v>
      </c>
      <c r="P746" s="51">
        <v>0</v>
      </c>
    </row>
    <row r="747" spans="10:16" x14ac:dyDescent="0.2">
      <c r="J747" s="52">
        <v>43164</v>
      </c>
      <c r="K747" s="51">
        <v>3.2505000000000002</v>
      </c>
      <c r="L747" s="51">
        <v>3.2673999999999999</v>
      </c>
      <c r="M747" s="51">
        <v>3.2061000000000002</v>
      </c>
      <c r="N747" s="51">
        <v>3.2660999999999998</v>
      </c>
      <c r="O747" s="51">
        <v>3.2660999999999998</v>
      </c>
      <c r="P747" s="51">
        <v>0</v>
      </c>
    </row>
    <row r="748" spans="10:16" x14ac:dyDescent="0.2">
      <c r="J748" s="52">
        <v>43171</v>
      </c>
      <c r="K748" s="51">
        <v>3.2561</v>
      </c>
      <c r="L748" s="51">
        <v>3.2972000000000001</v>
      </c>
      <c r="M748" s="51">
        <v>3.2357</v>
      </c>
      <c r="N748" s="51">
        <v>3.2820999999999998</v>
      </c>
      <c r="O748" s="51">
        <v>3.2820999999999998</v>
      </c>
      <c r="P748" s="51">
        <v>0</v>
      </c>
    </row>
    <row r="749" spans="10:16" x14ac:dyDescent="0.2">
      <c r="J749" s="52">
        <v>43178</v>
      </c>
      <c r="K749" s="51">
        <v>3.2786</v>
      </c>
      <c r="L749" s="51">
        <v>3.3148</v>
      </c>
      <c r="M749" s="51">
        <v>3.2673000000000001</v>
      </c>
      <c r="N749" s="51">
        <v>3.3105000000000002</v>
      </c>
      <c r="O749" s="51">
        <v>3.3105000000000002</v>
      </c>
      <c r="P749" s="51">
        <v>0</v>
      </c>
    </row>
    <row r="750" spans="10:16" x14ac:dyDescent="0.2">
      <c r="J750" s="52">
        <v>43185</v>
      </c>
      <c r="K750" s="51">
        <v>3.3087</v>
      </c>
      <c r="L750" s="51">
        <v>3.343</v>
      </c>
      <c r="M750" s="51">
        <v>3.2896999999999998</v>
      </c>
      <c r="N750" s="51">
        <v>3.3035999999999999</v>
      </c>
      <c r="O750" s="51">
        <v>3.3035999999999999</v>
      </c>
      <c r="P750" s="51">
        <v>0</v>
      </c>
    </row>
    <row r="751" spans="10:16" x14ac:dyDescent="0.2">
      <c r="J751" s="52">
        <v>43192</v>
      </c>
      <c r="K751" s="51">
        <v>3.3028</v>
      </c>
      <c r="L751" s="51">
        <v>3.3772000000000002</v>
      </c>
      <c r="M751" s="51">
        <v>3.2964000000000002</v>
      </c>
      <c r="N751" s="51">
        <v>3.3664999999999998</v>
      </c>
      <c r="O751" s="51">
        <v>3.3664999999999998</v>
      </c>
      <c r="P751" s="51">
        <v>0</v>
      </c>
    </row>
    <row r="752" spans="10:16" x14ac:dyDescent="0.2">
      <c r="J752" s="52">
        <v>43199</v>
      </c>
      <c r="K752" s="51">
        <v>3.3690000000000002</v>
      </c>
      <c r="L752" s="51">
        <v>3.4344000000000001</v>
      </c>
      <c r="M752" s="51">
        <v>3.3603000000000001</v>
      </c>
      <c r="N752" s="51">
        <v>3.4211999999999998</v>
      </c>
      <c r="O752" s="51">
        <v>3.4211999999999998</v>
      </c>
      <c r="P752" s="51">
        <v>0</v>
      </c>
    </row>
    <row r="753" spans="10:16" x14ac:dyDescent="0.2">
      <c r="J753" s="52">
        <v>43206</v>
      </c>
      <c r="K753" s="51">
        <v>3.3896999999999999</v>
      </c>
      <c r="L753" s="51">
        <v>3.4331999999999998</v>
      </c>
      <c r="M753" s="51">
        <v>3.3605999999999998</v>
      </c>
      <c r="N753" s="51">
        <v>3.4102999999999999</v>
      </c>
      <c r="O753" s="51">
        <v>3.4102999999999999</v>
      </c>
      <c r="P753" s="51">
        <v>0</v>
      </c>
    </row>
    <row r="754" spans="10:16" x14ac:dyDescent="0.2">
      <c r="J754" s="52">
        <v>43213</v>
      </c>
      <c r="K754" s="51">
        <v>3.4138000000000002</v>
      </c>
      <c r="L754" s="51">
        <v>3.5135000000000001</v>
      </c>
      <c r="M754" s="51">
        <v>3.4041000000000001</v>
      </c>
      <c r="N754" s="51">
        <v>3.4559000000000002</v>
      </c>
      <c r="O754" s="51">
        <v>3.4559000000000002</v>
      </c>
      <c r="P754" s="51">
        <v>0</v>
      </c>
    </row>
    <row r="755" spans="10:16" x14ac:dyDescent="0.2">
      <c r="J755" s="52">
        <v>43220</v>
      </c>
      <c r="K755" s="51">
        <v>3.4569000000000001</v>
      </c>
      <c r="L755" s="51">
        <v>3.5644</v>
      </c>
      <c r="M755" s="51">
        <v>3.4538000000000002</v>
      </c>
      <c r="N755" s="51">
        <v>3.5284</v>
      </c>
      <c r="O755" s="51">
        <v>3.5284</v>
      </c>
      <c r="P755" s="51">
        <v>0</v>
      </c>
    </row>
    <row r="756" spans="10:16" x14ac:dyDescent="0.2">
      <c r="J756" s="52">
        <v>43227</v>
      </c>
      <c r="K756" s="51">
        <v>3.5106999999999999</v>
      </c>
      <c r="L756" s="51">
        <v>3.5994999999999999</v>
      </c>
      <c r="M756" s="51">
        <v>3.5106999999999999</v>
      </c>
      <c r="N756" s="51">
        <v>3.5994999999999999</v>
      </c>
      <c r="O756" s="51">
        <v>3.5994999999999999</v>
      </c>
      <c r="P756" s="51">
        <v>0</v>
      </c>
    </row>
    <row r="757" spans="10:16" x14ac:dyDescent="0.2">
      <c r="J757" s="52">
        <v>43234</v>
      </c>
      <c r="K757" s="51">
        <v>3.6030000000000002</v>
      </c>
      <c r="L757" s="51">
        <v>3.7656000000000001</v>
      </c>
      <c r="M757" s="51">
        <v>3.5684</v>
      </c>
      <c r="N757" s="51">
        <v>3.7360000000000002</v>
      </c>
      <c r="O757" s="51">
        <v>3.7360000000000002</v>
      </c>
      <c r="P757" s="51">
        <v>0</v>
      </c>
    </row>
    <row r="758" spans="10:16" x14ac:dyDescent="0.2">
      <c r="J758" s="52">
        <v>43241</v>
      </c>
      <c r="K758" s="51">
        <v>3.7357</v>
      </c>
      <c r="L758" s="51">
        <v>3.7372999999999998</v>
      </c>
      <c r="M758" s="51">
        <v>3.6</v>
      </c>
      <c r="N758" s="51">
        <v>3.6730999999999998</v>
      </c>
      <c r="O758" s="51">
        <v>3.6730999999999998</v>
      </c>
      <c r="P758" s="51">
        <v>0</v>
      </c>
    </row>
    <row r="759" spans="10:16" x14ac:dyDescent="0.2">
      <c r="J759" s="52">
        <v>43248</v>
      </c>
      <c r="K759" s="51">
        <v>3.6261999999999999</v>
      </c>
      <c r="L759" s="51">
        <v>3.7658999999999998</v>
      </c>
      <c r="M759" s="51">
        <v>3.625</v>
      </c>
      <c r="N759" s="51">
        <v>3.7587000000000002</v>
      </c>
      <c r="O759" s="51">
        <v>3.7587000000000002</v>
      </c>
      <c r="P759" s="51">
        <v>0</v>
      </c>
    </row>
    <row r="760" spans="10:16" x14ac:dyDescent="0.2">
      <c r="J760" s="52">
        <v>43255</v>
      </c>
      <c r="K760" s="51">
        <v>3.7622</v>
      </c>
      <c r="L760" s="51">
        <v>3.9420000000000002</v>
      </c>
      <c r="M760" s="51">
        <v>3.7035</v>
      </c>
      <c r="N760" s="51">
        <v>3.7035</v>
      </c>
      <c r="O760" s="51">
        <v>3.7035</v>
      </c>
      <c r="P760" s="51">
        <v>0</v>
      </c>
    </row>
    <row r="761" spans="10:16" x14ac:dyDescent="0.2">
      <c r="J761" s="52">
        <v>43262</v>
      </c>
      <c r="K761" s="51">
        <v>3.7069999999999999</v>
      </c>
      <c r="L761" s="51">
        <v>3.8045</v>
      </c>
      <c r="M761" s="51">
        <v>3.6703999999999999</v>
      </c>
      <c r="N761" s="51">
        <v>3.7284000000000002</v>
      </c>
      <c r="O761" s="51">
        <v>3.7284000000000002</v>
      </c>
      <c r="P761" s="51">
        <v>0</v>
      </c>
    </row>
    <row r="762" spans="10:16" x14ac:dyDescent="0.2">
      <c r="J762" s="52">
        <v>43269</v>
      </c>
      <c r="K762" s="51">
        <v>3.7303999999999999</v>
      </c>
      <c r="L762" s="51">
        <v>3.8003999999999998</v>
      </c>
      <c r="M762" s="51">
        <v>3.7067999999999999</v>
      </c>
      <c r="N762" s="51">
        <v>3.7650999999999999</v>
      </c>
      <c r="O762" s="51">
        <v>3.7650999999999999</v>
      </c>
      <c r="P762" s="51">
        <v>0</v>
      </c>
    </row>
    <row r="763" spans="10:16" x14ac:dyDescent="0.2">
      <c r="J763" s="52">
        <v>43276</v>
      </c>
      <c r="K763" s="51">
        <v>3.7793000000000001</v>
      </c>
      <c r="L763" s="51">
        <v>3.8782999999999999</v>
      </c>
      <c r="M763" s="51">
        <v>3.7450000000000001</v>
      </c>
      <c r="N763" s="51">
        <v>3.8755000000000002</v>
      </c>
      <c r="O763" s="51">
        <v>3.8755000000000002</v>
      </c>
      <c r="P763" s="51">
        <v>0</v>
      </c>
    </row>
    <row r="764" spans="10:16" x14ac:dyDescent="0.2">
      <c r="J764" s="52">
        <v>43283</v>
      </c>
      <c r="K764" s="51">
        <v>3.8753000000000002</v>
      </c>
      <c r="L764" s="51">
        <v>3.9506000000000001</v>
      </c>
      <c r="M764" s="51">
        <v>3.8570000000000002</v>
      </c>
      <c r="N764" s="51">
        <v>3.8614999999999999</v>
      </c>
      <c r="O764" s="51">
        <v>3.8614999999999999</v>
      </c>
      <c r="P764" s="51">
        <v>0</v>
      </c>
    </row>
    <row r="765" spans="10:16" x14ac:dyDescent="0.2">
      <c r="J765" s="52">
        <v>43290</v>
      </c>
      <c r="K765" s="51">
        <v>3.8570000000000002</v>
      </c>
      <c r="L765" s="51">
        <v>3.8984999999999999</v>
      </c>
      <c r="M765" s="51">
        <v>3.8117999999999999</v>
      </c>
      <c r="N765" s="51">
        <v>3.8489</v>
      </c>
      <c r="O765" s="51">
        <v>3.8489</v>
      </c>
      <c r="P765" s="51">
        <v>0</v>
      </c>
    </row>
    <row r="766" spans="10:16" x14ac:dyDescent="0.2">
      <c r="J766" s="52">
        <v>43297</v>
      </c>
      <c r="K766" s="51">
        <v>3.8508</v>
      </c>
      <c r="L766" s="51">
        <v>3.8898000000000001</v>
      </c>
      <c r="M766" s="51">
        <v>3.7604000000000002</v>
      </c>
      <c r="N766" s="51">
        <v>3.7622</v>
      </c>
      <c r="O766" s="51">
        <v>3.7622</v>
      </c>
      <c r="P766" s="51">
        <v>0</v>
      </c>
    </row>
    <row r="767" spans="10:16" x14ac:dyDescent="0.2">
      <c r="J767" s="52">
        <v>43304</v>
      </c>
      <c r="K767" s="51">
        <v>3.7622</v>
      </c>
      <c r="L767" s="51">
        <v>3.8010000000000002</v>
      </c>
      <c r="M767" s="51">
        <v>3.6688000000000001</v>
      </c>
      <c r="N767" s="51">
        <v>3.7118000000000002</v>
      </c>
      <c r="O767" s="51">
        <v>3.7118000000000002</v>
      </c>
      <c r="P767" s="51">
        <v>0</v>
      </c>
    </row>
    <row r="768" spans="10:16" x14ac:dyDescent="0.2">
      <c r="J768" s="52">
        <v>43311</v>
      </c>
      <c r="K768" s="51">
        <v>3.7099000000000002</v>
      </c>
      <c r="L768" s="51">
        <v>3.7791999999999999</v>
      </c>
      <c r="M768" s="51">
        <v>3.6865999999999999</v>
      </c>
      <c r="N768" s="51">
        <v>3.7054999999999998</v>
      </c>
      <c r="O768" s="51">
        <v>3.7054999999999998</v>
      </c>
      <c r="P768" s="51">
        <v>0</v>
      </c>
    </row>
    <row r="769" spans="10:16" x14ac:dyDescent="0.2">
      <c r="J769" s="52">
        <v>43318</v>
      </c>
      <c r="K769" s="51">
        <v>3.7059000000000002</v>
      </c>
      <c r="L769" s="51">
        <v>3.8711000000000002</v>
      </c>
      <c r="M769" s="51">
        <v>3.6907999999999999</v>
      </c>
      <c r="N769" s="51">
        <v>3.8595999999999999</v>
      </c>
      <c r="O769" s="51">
        <v>3.8595999999999999</v>
      </c>
      <c r="P769" s="51">
        <v>0</v>
      </c>
    </row>
    <row r="770" spans="10:16" x14ac:dyDescent="0.2">
      <c r="J770" s="52">
        <v>43325</v>
      </c>
      <c r="K770" s="51">
        <v>3.8582000000000001</v>
      </c>
      <c r="L770" s="51">
        <v>3.95</v>
      </c>
      <c r="M770" s="51">
        <v>3.8525999999999998</v>
      </c>
      <c r="N770" s="51">
        <v>3.9091</v>
      </c>
      <c r="O770" s="51">
        <v>3.9091</v>
      </c>
      <c r="P770" s="51">
        <v>0</v>
      </c>
    </row>
    <row r="771" spans="10:16" x14ac:dyDescent="0.2">
      <c r="J771" s="52">
        <v>43332</v>
      </c>
      <c r="K771" s="51">
        <v>3.9075000000000002</v>
      </c>
      <c r="L771" s="51">
        <v>4.1280000000000001</v>
      </c>
      <c r="M771" s="51">
        <v>3.9073000000000002</v>
      </c>
      <c r="N771" s="51">
        <v>4.1123000000000003</v>
      </c>
      <c r="O771" s="51">
        <v>4.1123000000000003</v>
      </c>
      <c r="P771" s="51">
        <v>0</v>
      </c>
    </row>
    <row r="772" spans="10:16" x14ac:dyDescent="0.2">
      <c r="J772" s="52">
        <v>43339</v>
      </c>
      <c r="K772" s="51">
        <v>4.0709</v>
      </c>
      <c r="L772" s="51">
        <v>4.2076000000000002</v>
      </c>
      <c r="M772" s="51">
        <v>4.0492999999999997</v>
      </c>
      <c r="N772" s="51">
        <v>4.0537999999999998</v>
      </c>
      <c r="O772" s="51">
        <v>4.0537999999999998</v>
      </c>
      <c r="P772" s="51">
        <v>0</v>
      </c>
    </row>
    <row r="773" spans="10:16" x14ac:dyDescent="0.2">
      <c r="J773" s="52">
        <v>43346</v>
      </c>
      <c r="K773" s="51">
        <v>4.0525000000000002</v>
      </c>
      <c r="L773" s="51">
        <v>4.1848000000000001</v>
      </c>
      <c r="M773" s="51">
        <v>4.0305999999999997</v>
      </c>
      <c r="N773" s="51">
        <v>4.0580999999999996</v>
      </c>
      <c r="O773" s="51">
        <v>4.0580999999999996</v>
      </c>
      <c r="P773" s="51">
        <v>0</v>
      </c>
    </row>
    <row r="774" spans="10:16" x14ac:dyDescent="0.2">
      <c r="J774" s="52">
        <v>43353</v>
      </c>
      <c r="K774" s="51">
        <v>4.0547000000000004</v>
      </c>
      <c r="L774" s="51">
        <v>4.2068000000000003</v>
      </c>
      <c r="M774" s="51">
        <v>4.0547000000000004</v>
      </c>
      <c r="N774" s="51">
        <v>4.2050000000000001</v>
      </c>
      <c r="O774" s="51">
        <v>4.2050000000000001</v>
      </c>
      <c r="P774" s="51">
        <v>0</v>
      </c>
    </row>
    <row r="775" spans="10:16" x14ac:dyDescent="0.2">
      <c r="J775" s="52">
        <v>43360</v>
      </c>
      <c r="K775" s="51">
        <v>4.1696999999999997</v>
      </c>
      <c r="L775" s="51">
        <v>4.2023999999999999</v>
      </c>
      <c r="M775" s="51">
        <v>4.0403000000000002</v>
      </c>
      <c r="N775" s="51">
        <v>4.0492999999999997</v>
      </c>
      <c r="O775" s="51">
        <v>4.0492999999999997</v>
      </c>
      <c r="P775" s="51">
        <v>0</v>
      </c>
    </row>
    <row r="776" spans="10:16" x14ac:dyDescent="0.2">
      <c r="J776" s="52">
        <v>43367</v>
      </c>
      <c r="K776" s="51">
        <v>4.0496999999999996</v>
      </c>
      <c r="L776" s="51">
        <v>4.1395</v>
      </c>
      <c r="M776" s="51">
        <v>3.9698000000000002</v>
      </c>
      <c r="N776" s="51">
        <v>4.048</v>
      </c>
      <c r="O776" s="51">
        <v>4.048</v>
      </c>
      <c r="P776" s="51">
        <v>0</v>
      </c>
    </row>
    <row r="777" spans="10:16" x14ac:dyDescent="0.2">
      <c r="J777" s="52">
        <v>43374</v>
      </c>
      <c r="K777" s="51">
        <v>4.0456000000000003</v>
      </c>
      <c r="L777" s="51">
        <v>4.0602</v>
      </c>
      <c r="M777" s="51">
        <v>3.8239999999999998</v>
      </c>
      <c r="N777" s="51">
        <v>3.8342999999999998</v>
      </c>
      <c r="O777" s="51">
        <v>3.8342999999999998</v>
      </c>
      <c r="P777" s="51">
        <v>0</v>
      </c>
    </row>
    <row r="778" spans="10:16" x14ac:dyDescent="0.2">
      <c r="J778" s="52">
        <v>43381</v>
      </c>
      <c r="K778" s="51">
        <v>3.8342999999999998</v>
      </c>
      <c r="L778" s="51">
        <v>3.8437999999999999</v>
      </c>
      <c r="M778" s="51">
        <v>3.6625000000000001</v>
      </c>
      <c r="N778" s="51">
        <v>3.7814999999999999</v>
      </c>
      <c r="O778" s="51">
        <v>3.7814999999999999</v>
      </c>
      <c r="P778" s="51">
        <v>0</v>
      </c>
    </row>
    <row r="779" spans="10:16" x14ac:dyDescent="0.2">
      <c r="J779" s="52">
        <v>43388</v>
      </c>
      <c r="K779" s="51">
        <v>3.7814999999999999</v>
      </c>
      <c r="L779" s="51">
        <v>3.7824</v>
      </c>
      <c r="M779" s="51">
        <v>3.6734</v>
      </c>
      <c r="N779" s="51">
        <v>3.7202999999999999</v>
      </c>
      <c r="O779" s="51">
        <v>3.7202999999999999</v>
      </c>
      <c r="P779" s="51">
        <v>0</v>
      </c>
    </row>
    <row r="780" spans="10:16" x14ac:dyDescent="0.2">
      <c r="J780" s="52">
        <v>43395</v>
      </c>
      <c r="K780" s="51">
        <v>3.7103999999999999</v>
      </c>
      <c r="L780" s="51">
        <v>3.7328999999999999</v>
      </c>
      <c r="M780" s="51">
        <v>3.6402999999999999</v>
      </c>
      <c r="N780" s="51">
        <v>3.6415000000000002</v>
      </c>
      <c r="O780" s="51">
        <v>3.6415000000000002</v>
      </c>
      <c r="P780" s="51">
        <v>0</v>
      </c>
    </row>
    <row r="781" spans="10:16" x14ac:dyDescent="0.2">
      <c r="J781" s="52">
        <v>43402</v>
      </c>
      <c r="K781" s="51">
        <v>3.6415999999999999</v>
      </c>
      <c r="L781" s="51">
        <v>3.7422</v>
      </c>
      <c r="M781" s="51">
        <v>3.5861000000000001</v>
      </c>
      <c r="N781" s="51">
        <v>3.6938</v>
      </c>
      <c r="O781" s="51">
        <v>3.6938</v>
      </c>
      <c r="P781" s="51">
        <v>0</v>
      </c>
    </row>
    <row r="782" spans="10:16" x14ac:dyDescent="0.2">
      <c r="J782" s="52">
        <v>43409</v>
      </c>
      <c r="K782" s="51">
        <v>3.7002999999999999</v>
      </c>
      <c r="L782" s="51">
        <v>3.7841</v>
      </c>
      <c r="M782" s="51">
        <v>3.6918000000000002</v>
      </c>
      <c r="N782" s="51">
        <v>3.7323</v>
      </c>
      <c r="O782" s="51">
        <v>3.7323</v>
      </c>
      <c r="P782" s="51">
        <v>0</v>
      </c>
    </row>
    <row r="783" spans="10:16" x14ac:dyDescent="0.2">
      <c r="J783" s="52">
        <v>43416</v>
      </c>
      <c r="K783" s="51">
        <v>3.7294</v>
      </c>
      <c r="L783" s="51">
        <v>3.8163</v>
      </c>
      <c r="M783" s="51">
        <v>3.7284999999999999</v>
      </c>
      <c r="N783" s="51">
        <v>3.7385000000000002</v>
      </c>
      <c r="O783" s="51">
        <v>3.7385000000000002</v>
      </c>
      <c r="P783" s="51">
        <v>0</v>
      </c>
    </row>
    <row r="784" spans="10:16" x14ac:dyDescent="0.2">
      <c r="J784" s="52">
        <v>43423</v>
      </c>
      <c r="K784" s="51">
        <v>3.7425000000000002</v>
      </c>
      <c r="L784" s="51">
        <v>3.8298000000000001</v>
      </c>
      <c r="M784" s="51">
        <v>3.7181999999999999</v>
      </c>
      <c r="N784" s="51">
        <v>3.8233000000000001</v>
      </c>
      <c r="O784" s="51">
        <v>3.8233000000000001</v>
      </c>
      <c r="P784" s="51">
        <v>0</v>
      </c>
    </row>
    <row r="785" spans="10:16" x14ac:dyDescent="0.2">
      <c r="J785" s="52">
        <v>43430</v>
      </c>
      <c r="K785" s="51">
        <v>3.8256999999999999</v>
      </c>
      <c r="L785" s="51">
        <v>3.94</v>
      </c>
      <c r="M785" s="51">
        <v>3.8195999999999999</v>
      </c>
      <c r="N785" s="51">
        <v>3.8618999999999999</v>
      </c>
      <c r="O785" s="51">
        <v>3.8618999999999999</v>
      </c>
      <c r="P785" s="51">
        <v>0</v>
      </c>
    </row>
    <row r="786" spans="10:16" x14ac:dyDescent="0.2">
      <c r="J786" s="52">
        <v>43437</v>
      </c>
      <c r="K786" s="51">
        <v>3.8652000000000002</v>
      </c>
      <c r="L786" s="51">
        <v>3.9407999999999999</v>
      </c>
      <c r="M786" s="51">
        <v>3.806</v>
      </c>
      <c r="N786" s="51">
        <v>3.8778000000000001</v>
      </c>
      <c r="O786" s="51">
        <v>3.8778000000000001</v>
      </c>
      <c r="P786" s="51">
        <v>0</v>
      </c>
    </row>
    <row r="787" spans="10:16" x14ac:dyDescent="0.2">
      <c r="J787" s="52">
        <v>43444</v>
      </c>
      <c r="K787" s="51">
        <v>3.9062999999999999</v>
      </c>
      <c r="L787" s="51">
        <v>3.9331999999999998</v>
      </c>
      <c r="M787" s="51">
        <v>3.8311000000000002</v>
      </c>
      <c r="N787" s="51">
        <v>3.8906999999999998</v>
      </c>
      <c r="O787" s="51">
        <v>3.8906999999999998</v>
      </c>
      <c r="P787" s="51">
        <v>0</v>
      </c>
    </row>
    <row r="788" spans="10:16" x14ac:dyDescent="0.2">
      <c r="J788" s="52">
        <v>43451</v>
      </c>
      <c r="K788" s="51">
        <v>3.9159000000000002</v>
      </c>
      <c r="L788" s="51">
        <v>3.9266000000000001</v>
      </c>
      <c r="M788" s="51">
        <v>3.8304999999999998</v>
      </c>
      <c r="N788" s="51">
        <v>3.9026999999999998</v>
      </c>
      <c r="O788" s="51">
        <v>3.9026999999999998</v>
      </c>
      <c r="P788" s="51">
        <v>0</v>
      </c>
    </row>
    <row r="789" spans="10:16" x14ac:dyDescent="0.2">
      <c r="J789" s="52">
        <v>43458</v>
      </c>
      <c r="K789" s="51">
        <v>3.9030999999999998</v>
      </c>
      <c r="L789" s="51">
        <v>3.9419</v>
      </c>
      <c r="M789" s="51">
        <v>3.8285999999999998</v>
      </c>
      <c r="N789" s="51">
        <v>3.8799000000000001</v>
      </c>
      <c r="O789" s="51">
        <v>3.8799000000000001</v>
      </c>
      <c r="P789" s="51">
        <v>0</v>
      </c>
    </row>
    <row r="790" spans="10:16" x14ac:dyDescent="0.2">
      <c r="J790" s="52">
        <v>43465</v>
      </c>
      <c r="K790" s="51">
        <v>3.8794</v>
      </c>
      <c r="L790" s="51">
        <v>3.8959000000000001</v>
      </c>
      <c r="M790" s="51">
        <v>3.7115</v>
      </c>
      <c r="N790" s="51">
        <v>3.7138</v>
      </c>
      <c r="O790" s="51">
        <v>3.7138</v>
      </c>
      <c r="P790" s="51">
        <v>0</v>
      </c>
    </row>
    <row r="791" spans="10:16" x14ac:dyDescent="0.2">
      <c r="J791" s="52">
        <v>43472</v>
      </c>
      <c r="K791" s="51">
        <v>3.7136999999999998</v>
      </c>
      <c r="L791" s="51">
        <v>3.738</v>
      </c>
      <c r="M791" s="51">
        <v>3.6738</v>
      </c>
      <c r="N791" s="51">
        <v>3.7099000000000002</v>
      </c>
      <c r="O791" s="51">
        <v>3.7099000000000002</v>
      </c>
      <c r="P791" s="51">
        <v>0</v>
      </c>
    </row>
    <row r="792" spans="10:16" x14ac:dyDescent="0.2">
      <c r="J792" s="52">
        <v>43479</v>
      </c>
      <c r="K792" s="51">
        <v>3.71</v>
      </c>
      <c r="L792" s="51">
        <v>3.7719999999999998</v>
      </c>
      <c r="M792" s="51">
        <v>3.6903000000000001</v>
      </c>
      <c r="N792" s="51">
        <v>3.7488999999999999</v>
      </c>
      <c r="O792" s="51">
        <v>3.7488999999999999</v>
      </c>
      <c r="P792" s="51">
        <v>0</v>
      </c>
    </row>
    <row r="793" spans="10:16" x14ac:dyDescent="0.2">
      <c r="J793" s="52">
        <v>43486</v>
      </c>
      <c r="K793" s="51">
        <v>3.7502</v>
      </c>
      <c r="L793" s="51">
        <v>3.8142999999999998</v>
      </c>
      <c r="M793" s="51">
        <v>3.7103000000000002</v>
      </c>
      <c r="N793" s="51">
        <v>3.7696000000000001</v>
      </c>
      <c r="O793" s="51">
        <v>3.7696000000000001</v>
      </c>
      <c r="P793" s="51">
        <v>0</v>
      </c>
    </row>
    <row r="794" spans="10:16" x14ac:dyDescent="0.2">
      <c r="J794" s="52">
        <v>43493</v>
      </c>
      <c r="K794" s="51">
        <v>3.7532999999999999</v>
      </c>
      <c r="L794" s="51">
        <v>3.7852999999999999</v>
      </c>
      <c r="M794" s="51">
        <v>3.6352000000000002</v>
      </c>
      <c r="N794" s="51">
        <v>3.6583000000000001</v>
      </c>
      <c r="O794" s="51">
        <v>3.6583000000000001</v>
      </c>
      <c r="P794" s="51">
        <v>0</v>
      </c>
    </row>
    <row r="795" spans="10:16" x14ac:dyDescent="0.2">
      <c r="J795" s="52">
        <v>43500</v>
      </c>
      <c r="K795" s="51">
        <v>3.6573000000000002</v>
      </c>
      <c r="L795" s="51">
        <v>3.7456</v>
      </c>
      <c r="M795" s="51">
        <v>3.6556999999999999</v>
      </c>
      <c r="N795" s="51">
        <v>3.7286000000000001</v>
      </c>
      <c r="O795" s="51">
        <v>3.7286000000000001</v>
      </c>
      <c r="P795" s="51">
        <v>0</v>
      </c>
    </row>
    <row r="796" spans="10:16" x14ac:dyDescent="0.2">
      <c r="J796" s="52">
        <v>43507</v>
      </c>
      <c r="K796" s="51">
        <v>3.7279</v>
      </c>
      <c r="L796" s="51">
        <v>3.7913000000000001</v>
      </c>
      <c r="M796" s="51">
        <v>3.6958000000000002</v>
      </c>
      <c r="N796" s="51">
        <v>3.6989999999999998</v>
      </c>
      <c r="O796" s="51">
        <v>3.6989999999999998</v>
      </c>
      <c r="P796" s="51">
        <v>0</v>
      </c>
    </row>
    <row r="797" spans="10:16" x14ac:dyDescent="0.2">
      <c r="J797" s="52">
        <v>43514</v>
      </c>
      <c r="K797" s="51">
        <v>3.6987000000000001</v>
      </c>
      <c r="L797" s="51">
        <v>3.7696999999999998</v>
      </c>
      <c r="M797" s="51">
        <v>3.6856</v>
      </c>
      <c r="N797" s="51">
        <v>3.7435</v>
      </c>
      <c r="O797" s="51">
        <v>3.7435</v>
      </c>
      <c r="P797" s="51">
        <v>0</v>
      </c>
    </row>
    <row r="798" spans="10:16" x14ac:dyDescent="0.2">
      <c r="J798" s="52">
        <v>43521</v>
      </c>
      <c r="K798" s="51">
        <v>3.7463000000000002</v>
      </c>
      <c r="L798" s="51">
        <v>3.7938999999999998</v>
      </c>
      <c r="M798" s="51">
        <v>3.7166000000000001</v>
      </c>
      <c r="N798" s="51">
        <v>3.7726999999999999</v>
      </c>
      <c r="O798" s="51">
        <v>3.7726999999999999</v>
      </c>
      <c r="P798" s="51">
        <v>0</v>
      </c>
    </row>
    <row r="799" spans="10:16" x14ac:dyDescent="0.2">
      <c r="J799" s="52">
        <v>43528</v>
      </c>
      <c r="K799" s="51">
        <v>3.7726999999999999</v>
      </c>
      <c r="L799" s="51">
        <v>3.8997000000000002</v>
      </c>
      <c r="M799" s="51">
        <v>3.7587999999999999</v>
      </c>
      <c r="N799" s="51">
        <v>3.8681000000000001</v>
      </c>
      <c r="O799" s="51">
        <v>3.8681000000000001</v>
      </c>
      <c r="P799" s="51">
        <v>0</v>
      </c>
    </row>
    <row r="800" spans="10:16" x14ac:dyDescent="0.2">
      <c r="J800" s="52">
        <v>43535</v>
      </c>
      <c r="K800" s="51">
        <v>3.8666999999999998</v>
      </c>
      <c r="L800" s="51">
        <v>3.8685999999999998</v>
      </c>
      <c r="M800" s="51">
        <v>3.8006000000000002</v>
      </c>
      <c r="N800" s="51">
        <v>3.8405</v>
      </c>
      <c r="O800" s="51">
        <v>3.8405</v>
      </c>
      <c r="P800" s="51">
        <v>0</v>
      </c>
    </row>
    <row r="801" spans="10:16" x14ac:dyDescent="0.2">
      <c r="J801" s="52">
        <v>43542</v>
      </c>
      <c r="K801" s="51">
        <v>3.8115000000000001</v>
      </c>
      <c r="L801" s="51">
        <v>3.9089999999999998</v>
      </c>
      <c r="M801" s="51">
        <v>3.74</v>
      </c>
      <c r="N801" s="51">
        <v>3.9060000000000001</v>
      </c>
      <c r="O801" s="51">
        <v>3.9060000000000001</v>
      </c>
      <c r="P801" s="51">
        <v>0</v>
      </c>
    </row>
    <row r="802" spans="10:16" x14ac:dyDescent="0.2">
      <c r="J802" s="52">
        <v>43549</v>
      </c>
      <c r="K802" s="51">
        <v>3.9028999999999998</v>
      </c>
      <c r="L802" s="51">
        <v>4.0064000000000002</v>
      </c>
      <c r="M802" s="51">
        <v>3.8285999999999998</v>
      </c>
      <c r="N802" s="51">
        <v>3.9216000000000002</v>
      </c>
      <c r="O802" s="51">
        <v>3.9216000000000002</v>
      </c>
      <c r="P802" s="51">
        <v>0</v>
      </c>
    </row>
    <row r="803" spans="10:16" x14ac:dyDescent="0.2">
      <c r="J803" s="52">
        <v>43556</v>
      </c>
      <c r="K803" s="51">
        <v>3.8837000000000002</v>
      </c>
      <c r="L803" s="51">
        <v>3.9216000000000002</v>
      </c>
      <c r="M803" s="51">
        <v>3.8220000000000001</v>
      </c>
      <c r="N803" s="51">
        <v>3.8559000000000001</v>
      </c>
      <c r="O803" s="51">
        <v>3.8559000000000001</v>
      </c>
      <c r="P803" s="51">
        <v>0</v>
      </c>
    </row>
    <row r="804" spans="10:16" x14ac:dyDescent="0.2">
      <c r="J804" s="52">
        <v>43563</v>
      </c>
      <c r="K804" s="51">
        <v>3.8717999999999999</v>
      </c>
      <c r="L804" s="51">
        <v>3.8803999999999998</v>
      </c>
      <c r="M804" s="51">
        <v>3.8060999999999998</v>
      </c>
      <c r="N804" s="51">
        <v>3.8723000000000001</v>
      </c>
      <c r="O804" s="51">
        <v>3.8723000000000001</v>
      </c>
      <c r="P804" s="51">
        <v>0</v>
      </c>
    </row>
    <row r="805" spans="10:16" x14ac:dyDescent="0.2">
      <c r="J805" s="52">
        <v>43570</v>
      </c>
      <c r="K805" s="51">
        <v>3.8809</v>
      </c>
      <c r="L805" s="51">
        <v>3.9491999999999998</v>
      </c>
      <c r="M805" s="51">
        <v>3.8618000000000001</v>
      </c>
      <c r="N805" s="51">
        <v>3.9266999999999999</v>
      </c>
      <c r="O805" s="51">
        <v>3.9266999999999999</v>
      </c>
      <c r="P805" s="51">
        <v>0</v>
      </c>
    </row>
    <row r="806" spans="10:16" x14ac:dyDescent="0.2">
      <c r="J806" s="52">
        <v>43577</v>
      </c>
      <c r="K806" s="51">
        <v>3.9196</v>
      </c>
      <c r="L806" s="51">
        <v>4.0026000000000002</v>
      </c>
      <c r="M806" s="51">
        <v>3.9</v>
      </c>
      <c r="N806" s="51">
        <v>3.9283999999999999</v>
      </c>
      <c r="O806" s="51">
        <v>3.9283999999999999</v>
      </c>
      <c r="P806" s="51">
        <v>0</v>
      </c>
    </row>
    <row r="807" spans="10:16" x14ac:dyDescent="0.2">
      <c r="J807" s="52">
        <v>43584</v>
      </c>
      <c r="K807" s="51">
        <v>3.9237000000000002</v>
      </c>
      <c r="L807" s="51">
        <v>3.9699</v>
      </c>
      <c r="M807" s="51">
        <v>3.9072</v>
      </c>
      <c r="N807" s="51">
        <v>3.9662000000000002</v>
      </c>
      <c r="O807" s="51">
        <v>3.9662000000000002</v>
      </c>
      <c r="P807" s="51">
        <v>0</v>
      </c>
    </row>
    <row r="808" spans="10:16" x14ac:dyDescent="0.2">
      <c r="J808" s="52">
        <v>43591</v>
      </c>
      <c r="K808" s="51">
        <v>3.9338000000000002</v>
      </c>
      <c r="L808" s="51">
        <v>3.9973999999999998</v>
      </c>
      <c r="M808" s="51">
        <v>3.9060000000000001</v>
      </c>
      <c r="N808" s="51">
        <v>3.9453999999999998</v>
      </c>
      <c r="O808" s="51">
        <v>3.9453999999999998</v>
      </c>
      <c r="P808" s="51">
        <v>0</v>
      </c>
    </row>
    <row r="809" spans="10:16" x14ac:dyDescent="0.2">
      <c r="J809" s="52">
        <v>43598</v>
      </c>
      <c r="K809" s="51">
        <v>3.9241999999999999</v>
      </c>
      <c r="L809" s="51">
        <v>4.109</v>
      </c>
      <c r="M809" s="51">
        <v>3.9241999999999999</v>
      </c>
      <c r="N809" s="51">
        <v>4.0461999999999998</v>
      </c>
      <c r="O809" s="51">
        <v>4.0461999999999998</v>
      </c>
      <c r="P809" s="51">
        <v>0</v>
      </c>
    </row>
    <row r="810" spans="10:16" x14ac:dyDescent="0.2">
      <c r="J810" s="52">
        <v>43605</v>
      </c>
      <c r="K810" s="51">
        <v>4.0957999999999997</v>
      </c>
      <c r="L810" s="51">
        <v>4.1193</v>
      </c>
      <c r="M810" s="51">
        <v>4.0121000000000002</v>
      </c>
      <c r="N810" s="51">
        <v>4.0186999999999999</v>
      </c>
      <c r="O810" s="51">
        <v>4.0186999999999999</v>
      </c>
      <c r="P810" s="51">
        <v>0</v>
      </c>
    </row>
    <row r="811" spans="10:16" x14ac:dyDescent="0.2">
      <c r="J811" s="52">
        <v>43612</v>
      </c>
      <c r="K811" s="51">
        <v>4.0119999999999996</v>
      </c>
      <c r="L811" s="51">
        <v>4.0506000000000002</v>
      </c>
      <c r="M811" s="51">
        <v>3.9087000000000001</v>
      </c>
      <c r="N811" s="51">
        <v>3.98</v>
      </c>
      <c r="O811" s="51">
        <v>3.98</v>
      </c>
      <c r="P811" s="51">
        <v>0</v>
      </c>
    </row>
    <row r="812" spans="10:16" x14ac:dyDescent="0.2">
      <c r="J812" s="52">
        <v>43619</v>
      </c>
      <c r="K812" s="51">
        <v>3.9198</v>
      </c>
      <c r="L812" s="51">
        <v>3.9289999999999998</v>
      </c>
      <c r="M812" s="51">
        <v>3.8371</v>
      </c>
      <c r="N812" s="51">
        <v>3.8784000000000001</v>
      </c>
      <c r="O812" s="51">
        <v>3.8784000000000001</v>
      </c>
      <c r="P812" s="51">
        <v>0</v>
      </c>
    </row>
    <row r="813" spans="10:16" x14ac:dyDescent="0.2">
      <c r="J813" s="52">
        <v>43626</v>
      </c>
      <c r="K813" s="51">
        <v>3.8828999999999998</v>
      </c>
      <c r="L813" s="51">
        <v>3.8980000000000001</v>
      </c>
      <c r="M813" s="51">
        <v>3.8302</v>
      </c>
      <c r="N813" s="51">
        <v>3.895</v>
      </c>
      <c r="O813" s="51">
        <v>3.895</v>
      </c>
      <c r="P813" s="51">
        <v>0</v>
      </c>
    </row>
    <row r="814" spans="10:16" x14ac:dyDescent="0.2">
      <c r="J814" s="52">
        <v>43633</v>
      </c>
      <c r="K814" s="51">
        <v>3.8936999999999999</v>
      </c>
      <c r="L814" s="51">
        <v>3.9039999999999999</v>
      </c>
      <c r="M814" s="51">
        <v>3.8115999999999999</v>
      </c>
      <c r="N814" s="51">
        <v>3.8376999999999999</v>
      </c>
      <c r="O814" s="51">
        <v>3.8376999999999999</v>
      </c>
      <c r="P814" s="51">
        <v>0</v>
      </c>
    </row>
    <row r="815" spans="10:16" x14ac:dyDescent="0.2">
      <c r="J815" s="52">
        <v>43640</v>
      </c>
      <c r="K815" s="51">
        <v>3.7919999999999998</v>
      </c>
      <c r="L815" s="51">
        <v>3.871</v>
      </c>
      <c r="M815" s="51">
        <v>3.7919999999999998</v>
      </c>
      <c r="N815" s="51">
        <v>3.8159999999999998</v>
      </c>
      <c r="O815" s="51">
        <v>3.8159999999999998</v>
      </c>
      <c r="P815" s="51">
        <v>0</v>
      </c>
    </row>
    <row r="816" spans="10:16" x14ac:dyDescent="0.2">
      <c r="J816" s="52">
        <v>43647</v>
      </c>
      <c r="K816" s="51">
        <v>3.8494000000000002</v>
      </c>
      <c r="L816" s="51">
        <v>3.8782000000000001</v>
      </c>
      <c r="M816" s="51">
        <v>3.7835000000000001</v>
      </c>
      <c r="N816" s="51">
        <v>3.8205</v>
      </c>
      <c r="O816" s="51">
        <v>3.8205</v>
      </c>
      <c r="P816" s="51">
        <v>0</v>
      </c>
    </row>
    <row r="817" spans="10:16" x14ac:dyDescent="0.2">
      <c r="J817" s="52">
        <v>43654</v>
      </c>
      <c r="K817" s="51">
        <v>3.8189000000000002</v>
      </c>
      <c r="L817" s="51">
        <v>3.8212000000000002</v>
      </c>
      <c r="M817" s="51">
        <v>3.7206999999999999</v>
      </c>
      <c r="N817" s="51">
        <v>3.7368999999999999</v>
      </c>
      <c r="O817" s="51">
        <v>3.7368999999999999</v>
      </c>
      <c r="P817" s="51">
        <v>0</v>
      </c>
    </row>
    <row r="818" spans="10:16" x14ac:dyDescent="0.2">
      <c r="J818" s="52">
        <v>43661</v>
      </c>
      <c r="K818" s="51">
        <v>3.7294999999999998</v>
      </c>
      <c r="L818" s="51">
        <v>3.7677999999999998</v>
      </c>
      <c r="M818" s="51">
        <v>3.702</v>
      </c>
      <c r="N818" s="51">
        <v>3.7467000000000001</v>
      </c>
      <c r="O818" s="51">
        <v>3.7467000000000001</v>
      </c>
      <c r="P818" s="51">
        <v>0</v>
      </c>
    </row>
    <row r="819" spans="10:16" x14ac:dyDescent="0.2">
      <c r="J819" s="52">
        <v>43668</v>
      </c>
      <c r="K819" s="51">
        <v>3.7467000000000001</v>
      </c>
      <c r="L819" s="51">
        <v>3.8029000000000002</v>
      </c>
      <c r="M819" s="51">
        <v>3.7168000000000001</v>
      </c>
      <c r="N819" s="51">
        <v>3.7751999999999999</v>
      </c>
      <c r="O819" s="51">
        <v>3.7751999999999999</v>
      </c>
      <c r="P819" s="51">
        <v>0</v>
      </c>
    </row>
    <row r="820" spans="10:16" x14ac:dyDescent="0.2">
      <c r="J820" s="52">
        <v>43675</v>
      </c>
      <c r="K820" s="51">
        <v>3.7732000000000001</v>
      </c>
      <c r="L820" s="51">
        <v>3.8915000000000002</v>
      </c>
      <c r="M820" s="51">
        <v>3.7463000000000002</v>
      </c>
      <c r="N820" s="51">
        <v>3.8372999999999999</v>
      </c>
      <c r="O820" s="51">
        <v>3.8372999999999999</v>
      </c>
      <c r="P820" s="51">
        <v>0</v>
      </c>
    </row>
    <row r="821" spans="10:16" x14ac:dyDescent="0.2">
      <c r="J821" s="52">
        <v>43682</v>
      </c>
      <c r="K821" s="51">
        <v>3.8877000000000002</v>
      </c>
      <c r="L821" s="51">
        <v>3.9903</v>
      </c>
      <c r="M821" s="51">
        <v>3.8816999999999999</v>
      </c>
      <c r="N821" s="51">
        <v>3.9176000000000002</v>
      </c>
      <c r="O821" s="51">
        <v>3.9176000000000002</v>
      </c>
      <c r="P821" s="51">
        <v>0</v>
      </c>
    </row>
    <row r="822" spans="10:16" x14ac:dyDescent="0.2">
      <c r="J822" s="52">
        <v>43689</v>
      </c>
      <c r="K822" s="51">
        <v>3.9388999999999998</v>
      </c>
      <c r="L822" s="51">
        <v>4.0505000000000004</v>
      </c>
      <c r="M822" s="51">
        <v>3.9186999999999999</v>
      </c>
      <c r="N822" s="51">
        <v>3.9901</v>
      </c>
      <c r="O822" s="51">
        <v>3.9901</v>
      </c>
      <c r="P822" s="51">
        <v>0</v>
      </c>
    </row>
    <row r="823" spans="10:16" x14ac:dyDescent="0.2">
      <c r="J823" s="52">
        <v>43696</v>
      </c>
      <c r="K823" s="51">
        <v>4.0044000000000004</v>
      </c>
      <c r="L823" s="51">
        <v>4.1109</v>
      </c>
      <c r="M823" s="51">
        <v>3.9904000000000002</v>
      </c>
      <c r="N823" s="51">
        <v>4.1186999999999996</v>
      </c>
      <c r="O823" s="51">
        <v>4.1186999999999996</v>
      </c>
      <c r="P823" s="51">
        <v>0</v>
      </c>
    </row>
    <row r="824" spans="10:16" x14ac:dyDescent="0.2">
      <c r="J824" s="52">
        <v>43703</v>
      </c>
      <c r="K824" s="51">
        <v>4.1196000000000002</v>
      </c>
      <c r="L824" s="51">
        <v>4.1811999999999996</v>
      </c>
      <c r="M824" s="51">
        <v>4.0979999999999999</v>
      </c>
      <c r="N824" s="51">
        <v>4.1680999999999999</v>
      </c>
      <c r="O824" s="51">
        <v>4.1680999999999999</v>
      </c>
      <c r="P824" s="51">
        <v>0</v>
      </c>
    </row>
    <row r="825" spans="10:16" x14ac:dyDescent="0.2">
      <c r="J825" s="52">
        <v>43710</v>
      </c>
      <c r="K825" s="51">
        <v>4.1426999999999996</v>
      </c>
      <c r="L825" s="51">
        <v>4.1848000000000001</v>
      </c>
      <c r="M825" s="51">
        <v>4.0475000000000003</v>
      </c>
      <c r="N825" s="51">
        <v>4.0603999999999996</v>
      </c>
      <c r="O825" s="51">
        <v>4.0603999999999996</v>
      </c>
      <c r="P825" s="51">
        <v>0</v>
      </c>
    </row>
    <row r="826" spans="10:16" x14ac:dyDescent="0.2">
      <c r="J826" s="52">
        <v>43717</v>
      </c>
      <c r="K826" s="51">
        <v>4.0629999999999997</v>
      </c>
      <c r="L826" s="51">
        <v>4.1262999999999996</v>
      </c>
      <c r="M826" s="51">
        <v>4.0246000000000004</v>
      </c>
      <c r="N826" s="51">
        <v>4.0835999999999997</v>
      </c>
      <c r="O826" s="51">
        <v>4.0835999999999997</v>
      </c>
      <c r="P826" s="51">
        <v>0</v>
      </c>
    </row>
    <row r="827" spans="10:16" x14ac:dyDescent="0.2">
      <c r="J827" s="52">
        <v>43724</v>
      </c>
      <c r="K827" s="51">
        <v>4.0826000000000002</v>
      </c>
      <c r="L827" s="51">
        <v>4.1810999999999998</v>
      </c>
      <c r="M827" s="51">
        <v>4.0401999999999996</v>
      </c>
      <c r="N827" s="51">
        <v>4.1665999999999999</v>
      </c>
      <c r="O827" s="51">
        <v>4.1665999999999999</v>
      </c>
      <c r="P827" s="51">
        <v>0</v>
      </c>
    </row>
    <row r="828" spans="10:16" x14ac:dyDescent="0.2">
      <c r="J828" s="52">
        <v>43731</v>
      </c>
      <c r="K828" s="51">
        <v>4.1470000000000002</v>
      </c>
      <c r="L828" s="51">
        <v>4.1929999999999996</v>
      </c>
      <c r="M828" s="51">
        <v>4.1214000000000004</v>
      </c>
      <c r="N828" s="51">
        <v>4.1576000000000004</v>
      </c>
      <c r="O828" s="51">
        <v>4.1576000000000004</v>
      </c>
      <c r="P828" s="51">
        <v>0</v>
      </c>
    </row>
    <row r="829" spans="10:16" x14ac:dyDescent="0.2">
      <c r="J829" s="52">
        <v>43738</v>
      </c>
      <c r="K829" s="51">
        <v>4.1551999999999998</v>
      </c>
      <c r="L829" s="51">
        <v>4.1825999999999999</v>
      </c>
      <c r="M829" s="51">
        <v>4.0518999999999998</v>
      </c>
      <c r="N829" s="51">
        <v>4.0556000000000001</v>
      </c>
      <c r="O829" s="51">
        <v>4.0556000000000001</v>
      </c>
      <c r="P829" s="51">
        <v>0</v>
      </c>
    </row>
    <row r="830" spans="10:16" x14ac:dyDescent="0.2">
      <c r="J830" s="52">
        <v>43745</v>
      </c>
      <c r="K830" s="51">
        <v>4.0529999999999999</v>
      </c>
      <c r="L830" s="51">
        <v>4.1334</v>
      </c>
      <c r="M830" s="51">
        <v>4.0518999999999998</v>
      </c>
      <c r="N830" s="51">
        <v>4.1097000000000001</v>
      </c>
      <c r="O830" s="51">
        <v>4.1097000000000001</v>
      </c>
      <c r="P830" s="51">
        <v>0</v>
      </c>
    </row>
    <row r="831" spans="10:16" x14ac:dyDescent="0.2">
      <c r="J831" s="52">
        <v>43752</v>
      </c>
      <c r="K831" s="51">
        <v>4.1125020000000001</v>
      </c>
      <c r="L831" s="51">
        <v>4.1856999999999998</v>
      </c>
      <c r="M831" s="51">
        <v>4.0859120000000004</v>
      </c>
      <c r="N831" s="51">
        <v>4.1611000000000002</v>
      </c>
      <c r="O831" s="51">
        <v>4.1611000000000002</v>
      </c>
      <c r="P831" s="51">
        <v>0</v>
      </c>
    </row>
    <row r="832" spans="10:16" x14ac:dyDescent="0.2">
      <c r="J832" s="52">
        <v>43759</v>
      </c>
      <c r="K832" s="51">
        <v>4.1161000000000003</v>
      </c>
      <c r="L832" s="51">
        <v>4.149</v>
      </c>
      <c r="M832" s="51">
        <v>3.9908999999999999</v>
      </c>
      <c r="N832" s="51">
        <v>4.0030000000000001</v>
      </c>
      <c r="O832" s="51">
        <v>4.0030000000000001</v>
      </c>
      <c r="P832" s="51">
        <v>0</v>
      </c>
    </row>
    <row r="833" spans="10:16" x14ac:dyDescent="0.2">
      <c r="J833" s="52">
        <v>43766</v>
      </c>
      <c r="K833" s="51">
        <v>4.0030999999999999</v>
      </c>
      <c r="L833" s="51">
        <v>4.0289999999999999</v>
      </c>
      <c r="M833" s="51">
        <v>3.9554</v>
      </c>
      <c r="N833" s="51">
        <v>3.9881000000000002</v>
      </c>
      <c r="O833" s="51">
        <v>3.9881000000000002</v>
      </c>
      <c r="P833" s="51">
        <v>0</v>
      </c>
    </row>
    <row r="834" spans="10:16" x14ac:dyDescent="0.2">
      <c r="J834" s="52">
        <v>43773</v>
      </c>
      <c r="K834" s="51">
        <v>3.9881000000000002</v>
      </c>
      <c r="L834" s="51">
        <v>4.1698000000000004</v>
      </c>
      <c r="M834" s="51">
        <v>3.9729000000000001</v>
      </c>
      <c r="N834" s="51">
        <v>4.0994999999999999</v>
      </c>
      <c r="O834" s="51">
        <v>4.0994999999999999</v>
      </c>
      <c r="P834" s="51">
        <v>0</v>
      </c>
    </row>
    <row r="835" spans="10:16" x14ac:dyDescent="0.2">
      <c r="J835" s="52">
        <v>43780</v>
      </c>
      <c r="K835" s="51">
        <v>4.1334</v>
      </c>
      <c r="L835" s="51">
        <v>4.1948999999999996</v>
      </c>
      <c r="M835" s="51">
        <v>4.1334</v>
      </c>
      <c r="N835" s="51">
        <v>4.1929809999999996</v>
      </c>
      <c r="O835" s="51">
        <v>4.1929809999999996</v>
      </c>
      <c r="P835" s="51">
        <v>0</v>
      </c>
    </row>
    <row r="836" spans="10:16" x14ac:dyDescent="0.2">
      <c r="J836" s="52">
        <v>43787</v>
      </c>
      <c r="K836" s="51">
        <v>4.1947999999999999</v>
      </c>
      <c r="L836" s="51">
        <v>4.2196999999999996</v>
      </c>
      <c r="M836" s="51">
        <v>4.1672469999999997</v>
      </c>
      <c r="N836" s="51">
        <v>4.1948999999999996</v>
      </c>
      <c r="O836" s="51">
        <v>4.1948999999999996</v>
      </c>
      <c r="P836" s="51">
        <v>0</v>
      </c>
    </row>
    <row r="837" spans="10:16" x14ac:dyDescent="0.2">
      <c r="J837" s="52">
        <v>43794</v>
      </c>
      <c r="K837" s="51">
        <v>4.1954000000000002</v>
      </c>
      <c r="L837" s="51">
        <v>4.2685000000000004</v>
      </c>
      <c r="M837" s="51">
        <v>4.1744000000000003</v>
      </c>
      <c r="N837" s="51">
        <v>4.2345889999999997</v>
      </c>
      <c r="O837" s="51">
        <v>4.2345889999999997</v>
      </c>
      <c r="P837" s="51">
        <v>0</v>
      </c>
    </row>
    <row r="838" spans="10:16" x14ac:dyDescent="0.2">
      <c r="J838" s="52">
        <v>43801</v>
      </c>
      <c r="K838" s="51">
        <v>4.2361000000000004</v>
      </c>
      <c r="L838" s="51">
        <v>4.2472000000000003</v>
      </c>
      <c r="M838" s="51">
        <v>4.1398999999999999</v>
      </c>
      <c r="N838" s="51">
        <v>4.1398999999999999</v>
      </c>
      <c r="O838" s="51">
        <v>4.1398999999999999</v>
      </c>
      <c r="P838" s="51">
        <v>0</v>
      </c>
    </row>
    <row r="839" spans="10:16" x14ac:dyDescent="0.2">
      <c r="J839" s="52">
        <v>43808</v>
      </c>
      <c r="K839" s="51">
        <v>4.1189</v>
      </c>
      <c r="L839" s="51">
        <v>4.1581999999999999</v>
      </c>
      <c r="M839" s="51">
        <v>4.0735029999999997</v>
      </c>
      <c r="N839" s="51">
        <v>4.1069000000000004</v>
      </c>
      <c r="O839" s="51">
        <v>4.1069000000000004</v>
      </c>
      <c r="P839" s="51">
        <v>0</v>
      </c>
    </row>
    <row r="840" spans="10:16" x14ac:dyDescent="0.2">
      <c r="J840" s="52">
        <v>43815</v>
      </c>
      <c r="K840" s="51">
        <v>4.0857999999999999</v>
      </c>
      <c r="L840" s="51">
        <v>4.109</v>
      </c>
      <c r="M840" s="51">
        <v>4.0379990000000001</v>
      </c>
      <c r="N840" s="51">
        <v>4.0980480000000004</v>
      </c>
      <c r="O840" s="51">
        <v>4.0980480000000004</v>
      </c>
      <c r="P840" s="51">
        <v>0</v>
      </c>
    </row>
    <row r="841" spans="10:16" x14ac:dyDescent="0.2">
      <c r="J841" s="52">
        <v>43822</v>
      </c>
      <c r="K841" s="51">
        <v>4.0799000000000003</v>
      </c>
      <c r="L841" s="51">
        <v>4.1026999999999996</v>
      </c>
      <c r="M841" s="51">
        <v>4.0327739999999999</v>
      </c>
      <c r="N841" s="51">
        <v>4.0439559999999997</v>
      </c>
      <c r="O841" s="51">
        <v>4.0439559999999997</v>
      </c>
      <c r="P841" s="51">
        <v>0</v>
      </c>
    </row>
    <row r="842" spans="10:16" x14ac:dyDescent="0.2">
      <c r="J842" s="52">
        <v>43829</v>
      </c>
      <c r="K842" s="51">
        <v>4.0223000000000004</v>
      </c>
      <c r="L842" s="51">
        <v>4.067005</v>
      </c>
      <c r="M842" s="51">
        <v>4.00082</v>
      </c>
      <c r="N842" s="51">
        <v>4.0652999999999997</v>
      </c>
      <c r="O842" s="51">
        <v>4.0652999999999997</v>
      </c>
      <c r="P842" s="51">
        <v>0</v>
      </c>
    </row>
    <row r="843" spans="10:16" x14ac:dyDescent="0.2">
      <c r="J843" s="52">
        <v>43836</v>
      </c>
      <c r="K843" s="51">
        <v>4.0570000000000004</v>
      </c>
      <c r="L843" s="51">
        <v>4.0941999999999998</v>
      </c>
      <c r="M843" s="51">
        <v>4.0375209999999999</v>
      </c>
      <c r="N843" s="51">
        <v>4.0581839999999998</v>
      </c>
      <c r="O843" s="51">
        <v>4.0581839999999998</v>
      </c>
      <c r="P843" s="51">
        <v>0</v>
      </c>
    </row>
    <row r="844" spans="10:16" x14ac:dyDescent="0.2">
      <c r="J844" s="52">
        <v>43843</v>
      </c>
      <c r="K844" s="51">
        <v>4.0903999999999998</v>
      </c>
      <c r="L844" s="51">
        <v>4.1905000000000001</v>
      </c>
      <c r="M844" s="51">
        <v>4.0880280000000004</v>
      </c>
      <c r="N844" s="51">
        <v>4.1599000000000004</v>
      </c>
      <c r="O844" s="51">
        <v>4.1599000000000004</v>
      </c>
      <c r="P844" s="51">
        <v>0</v>
      </c>
    </row>
    <row r="845" spans="10:16" x14ac:dyDescent="0.2">
      <c r="J845" s="52">
        <v>43850</v>
      </c>
      <c r="K845" s="51">
        <v>4.1616</v>
      </c>
      <c r="L845" s="51">
        <v>4.2112999999999996</v>
      </c>
      <c r="M845" s="51">
        <v>4.1474000000000002</v>
      </c>
      <c r="N845" s="51">
        <v>4.1798000000000002</v>
      </c>
      <c r="O845" s="51">
        <v>4.1798000000000002</v>
      </c>
      <c r="P845" s="51">
        <v>0</v>
      </c>
    </row>
    <row r="846" spans="10:16" x14ac:dyDescent="0.2">
      <c r="J846" s="52">
        <v>43857</v>
      </c>
      <c r="K846" s="51">
        <v>4.1595000000000004</v>
      </c>
      <c r="L846" s="51">
        <v>4.2842000000000002</v>
      </c>
      <c r="M846" s="51">
        <v>4.1595000000000004</v>
      </c>
      <c r="N846" s="51">
        <v>4.2809999999999997</v>
      </c>
      <c r="O846" s="51">
        <v>4.2809999999999997</v>
      </c>
      <c r="P846" s="51">
        <v>0</v>
      </c>
    </row>
    <row r="847" spans="10:16" x14ac:dyDescent="0.2">
      <c r="J847" s="52">
        <v>43864</v>
      </c>
      <c r="K847" s="51">
        <v>4.2826000000000004</v>
      </c>
      <c r="L847" s="51">
        <v>4.3220999999999998</v>
      </c>
      <c r="M847" s="51">
        <v>4.2072250000000002</v>
      </c>
      <c r="N847" s="51">
        <v>4.319</v>
      </c>
      <c r="O847" s="51">
        <v>4.319</v>
      </c>
      <c r="P847" s="51">
        <v>0</v>
      </c>
    </row>
    <row r="848" spans="10:16" x14ac:dyDescent="0.2">
      <c r="J848" s="52">
        <v>43871</v>
      </c>
      <c r="K848" s="51">
        <v>4.3204000000000002</v>
      </c>
      <c r="L848" s="51">
        <v>4.3800999999999997</v>
      </c>
      <c r="M848" s="51">
        <v>4.2960000000000003</v>
      </c>
      <c r="N848" s="51">
        <v>4.2960000000000003</v>
      </c>
      <c r="O848" s="51">
        <v>4.2960000000000003</v>
      </c>
      <c r="P848" s="51">
        <v>0</v>
      </c>
    </row>
    <row r="849" spans="10:16" x14ac:dyDescent="0.2">
      <c r="J849" s="52">
        <v>43878</v>
      </c>
      <c r="K849" s="51">
        <v>4.2969999999999997</v>
      </c>
      <c r="L849" s="51">
        <v>4.4032</v>
      </c>
      <c r="M849" s="51">
        <v>4.2943530000000001</v>
      </c>
      <c r="N849" s="51">
        <v>4.3880999999999997</v>
      </c>
      <c r="O849" s="51">
        <v>4.3880999999999997</v>
      </c>
      <c r="P849" s="51">
        <v>0</v>
      </c>
    </row>
    <row r="850" spans="10:16" x14ac:dyDescent="0.2">
      <c r="J850" s="52">
        <v>43885</v>
      </c>
      <c r="K850" s="51">
        <v>4.3898000000000001</v>
      </c>
      <c r="L850" s="51">
        <v>4.5122999999999998</v>
      </c>
      <c r="M850" s="51">
        <v>4.3504769999999997</v>
      </c>
      <c r="N850" s="51">
        <v>4.4705079999999997</v>
      </c>
      <c r="O850" s="51">
        <v>4.4705079999999997</v>
      </c>
      <c r="P850" s="51">
        <v>0</v>
      </c>
    </row>
    <row r="851" spans="10:16" x14ac:dyDescent="0.2">
      <c r="J851" s="52">
        <v>43892</v>
      </c>
      <c r="K851" s="51">
        <v>4.4413</v>
      </c>
      <c r="L851" s="51">
        <v>4.6691000000000003</v>
      </c>
      <c r="M851" s="51">
        <v>4.4413</v>
      </c>
      <c r="N851" s="51">
        <v>4.6257999999999999</v>
      </c>
      <c r="O851" s="51">
        <v>4.6257999999999999</v>
      </c>
      <c r="P851" s="51">
        <v>0</v>
      </c>
    </row>
    <row r="852" spans="10:16" x14ac:dyDescent="0.2">
      <c r="J852" s="52">
        <v>43899</v>
      </c>
      <c r="K852" s="51">
        <v>4.6254999999999997</v>
      </c>
      <c r="L852" s="51">
        <v>5.0156999999999998</v>
      </c>
      <c r="M852" s="51">
        <v>4.6151999999999997</v>
      </c>
      <c r="N852" s="51">
        <v>4.8581000000000003</v>
      </c>
      <c r="O852" s="51">
        <v>4.8581000000000003</v>
      </c>
      <c r="P852" s="51">
        <v>0</v>
      </c>
    </row>
    <row r="853" spans="10:16" x14ac:dyDescent="0.2">
      <c r="J853" s="52">
        <v>43906</v>
      </c>
      <c r="K853" s="51">
        <v>4.8525999999999998</v>
      </c>
      <c r="L853" s="51">
        <v>5.2104999999999997</v>
      </c>
      <c r="M853" s="51">
        <v>4.8525999999999998</v>
      </c>
      <c r="N853" s="51">
        <v>5.0941999999999998</v>
      </c>
      <c r="O853" s="51">
        <v>5.0941999999999998</v>
      </c>
      <c r="P853" s="51">
        <v>0</v>
      </c>
    </row>
    <row r="854" spans="10:16" x14ac:dyDescent="0.2">
      <c r="J854" s="52">
        <v>43913</v>
      </c>
      <c r="K854" s="51">
        <v>5.0454999999999997</v>
      </c>
      <c r="L854" s="51">
        <v>5.1429</v>
      </c>
      <c r="M854" s="51">
        <v>4.9739000000000004</v>
      </c>
      <c r="N854" s="51">
        <v>5.0990000000000002</v>
      </c>
      <c r="O854" s="51">
        <v>5.0990000000000002</v>
      </c>
      <c r="P854" s="51">
        <v>0</v>
      </c>
    </row>
    <row r="855" spans="10:16" x14ac:dyDescent="0.2">
      <c r="J855" s="52">
        <v>43920</v>
      </c>
      <c r="K855" s="51">
        <v>5.1002999999999998</v>
      </c>
      <c r="L855" s="51">
        <v>5.3513000000000002</v>
      </c>
      <c r="M855" s="51">
        <v>5.0776539999999999</v>
      </c>
      <c r="N855" s="51">
        <v>5.2553000000000001</v>
      </c>
      <c r="O855" s="51">
        <v>5.2553000000000001</v>
      </c>
      <c r="P855" s="51">
        <v>0</v>
      </c>
    </row>
    <row r="856" spans="10:16" x14ac:dyDescent="0.2">
      <c r="J856" s="52">
        <v>43927</v>
      </c>
      <c r="K856" s="51">
        <v>5.3403999999999998</v>
      </c>
      <c r="L856" s="51">
        <v>5.3487</v>
      </c>
      <c r="M856" s="51">
        <v>5.05</v>
      </c>
      <c r="N856" s="51">
        <v>5.1055000000000001</v>
      </c>
      <c r="O856" s="51">
        <v>5.1055000000000001</v>
      </c>
      <c r="P856" s="51">
        <v>0</v>
      </c>
    </row>
    <row r="857" spans="10:16" x14ac:dyDescent="0.2">
      <c r="J857" s="52">
        <v>43934</v>
      </c>
      <c r="K857" s="51">
        <v>5.1055999999999999</v>
      </c>
      <c r="L857" s="51">
        <v>5.2721</v>
      </c>
      <c r="M857" s="51">
        <v>5.0718719999999999</v>
      </c>
      <c r="N857" s="51">
        <v>5.2354000000000003</v>
      </c>
      <c r="O857" s="51">
        <v>5.2354000000000003</v>
      </c>
      <c r="P857" s="51">
        <v>0</v>
      </c>
    </row>
    <row r="858" spans="10:16" x14ac:dyDescent="0.2">
      <c r="J858" s="52">
        <v>43941</v>
      </c>
      <c r="K858" s="51">
        <v>5.2336999999999998</v>
      </c>
      <c r="L858" s="51">
        <v>5.7134999999999998</v>
      </c>
      <c r="M858" s="51">
        <v>5.2330719999999999</v>
      </c>
      <c r="N858" s="51">
        <v>5.5918000000000001</v>
      </c>
      <c r="O858" s="51">
        <v>5.5918000000000001</v>
      </c>
      <c r="P858" s="51">
        <v>0</v>
      </c>
    </row>
    <row r="859" spans="10:16" x14ac:dyDescent="0.2">
      <c r="J859" s="52">
        <v>43948</v>
      </c>
      <c r="K859" s="51">
        <v>5.5921000000000003</v>
      </c>
      <c r="L859" s="51">
        <v>5.6825000000000001</v>
      </c>
      <c r="M859" s="51">
        <v>5.3310649999999997</v>
      </c>
      <c r="N859" s="51">
        <v>5.4859</v>
      </c>
      <c r="O859" s="51">
        <v>5.4859</v>
      </c>
      <c r="P859" s="51">
        <v>0</v>
      </c>
    </row>
    <row r="860" spans="10:16" x14ac:dyDescent="0.2">
      <c r="J860" s="52">
        <v>43955</v>
      </c>
      <c r="K860" s="51">
        <v>5.4852999999999996</v>
      </c>
      <c r="L860" s="51">
        <v>5.8710000000000004</v>
      </c>
      <c r="M860" s="51">
        <v>5.4813270000000003</v>
      </c>
      <c r="N860" s="51">
        <v>5.7308000000000003</v>
      </c>
      <c r="O860" s="51">
        <v>5.7308000000000003</v>
      </c>
      <c r="P860" s="51">
        <v>0</v>
      </c>
    </row>
    <row r="861" spans="10:16" x14ac:dyDescent="0.2">
      <c r="J861" s="52">
        <v>43962</v>
      </c>
      <c r="K861" s="51">
        <v>5.7308000000000003</v>
      </c>
      <c r="L861" s="51">
        <v>5.9664840000000003</v>
      </c>
      <c r="M861" s="51">
        <v>5.7290789999999996</v>
      </c>
      <c r="N861" s="51">
        <v>5.8530420000000003</v>
      </c>
      <c r="O861" s="51">
        <v>5.8530420000000003</v>
      </c>
      <c r="P861" s="51">
        <v>0</v>
      </c>
    </row>
    <row r="862" spans="10:16" x14ac:dyDescent="0.2">
      <c r="J862" s="52">
        <v>43969</v>
      </c>
      <c r="K862" s="51">
        <v>5.8547000000000002</v>
      </c>
      <c r="L862" s="51">
        <v>5.8551000000000002</v>
      </c>
      <c r="M862" s="51">
        <v>5.5277000000000003</v>
      </c>
      <c r="N862" s="51">
        <v>5.5277000000000003</v>
      </c>
      <c r="O862" s="51">
        <v>5.5277000000000003</v>
      </c>
      <c r="P862" s="51">
        <v>0</v>
      </c>
    </row>
    <row r="863" spans="10:16" x14ac:dyDescent="0.2">
      <c r="J863" s="52">
        <v>43976</v>
      </c>
      <c r="K863" s="51">
        <v>5.4771000000000001</v>
      </c>
      <c r="L863" s="51">
        <v>5.5338000000000003</v>
      </c>
      <c r="M863" s="51">
        <v>5.2689269999999997</v>
      </c>
      <c r="N863" s="51">
        <v>5.3323</v>
      </c>
      <c r="O863" s="51">
        <v>5.3323</v>
      </c>
      <c r="P863" s="51">
        <v>0</v>
      </c>
    </row>
    <row r="864" spans="10:16" x14ac:dyDescent="0.2">
      <c r="J864" s="52">
        <v>43983</v>
      </c>
      <c r="K864" s="51">
        <v>5.3349000000000002</v>
      </c>
      <c r="L864" s="51">
        <v>5.3951000000000002</v>
      </c>
      <c r="M864" s="51">
        <v>4.9333999999999998</v>
      </c>
      <c r="N864" s="51">
        <v>4.9613560000000003</v>
      </c>
      <c r="O864" s="51">
        <v>4.9613560000000003</v>
      </c>
      <c r="P864" s="51">
        <v>0</v>
      </c>
    </row>
    <row r="865" spans="10:16" x14ac:dyDescent="0.2">
      <c r="J865" s="52">
        <v>43990</v>
      </c>
      <c r="K865" s="51">
        <v>4.9593999999999996</v>
      </c>
      <c r="L865" s="51">
        <v>5.1048</v>
      </c>
      <c r="M865" s="51">
        <v>4.8185159999999998</v>
      </c>
      <c r="N865" s="51">
        <v>5.0473999999999997</v>
      </c>
      <c r="O865" s="51">
        <v>5.0473999999999997</v>
      </c>
      <c r="P865" s="51">
        <v>0</v>
      </c>
    </row>
    <row r="866" spans="10:16" x14ac:dyDescent="0.2">
      <c r="J866" s="52">
        <v>43997</v>
      </c>
      <c r="K866" s="51">
        <v>5.3613</v>
      </c>
      <c r="L866" s="51">
        <v>5.3807</v>
      </c>
      <c r="M866" s="51">
        <v>5.0465999999999998</v>
      </c>
      <c r="N866" s="51">
        <v>5.3083390000000001</v>
      </c>
      <c r="O866" s="51">
        <v>5.3083390000000001</v>
      </c>
      <c r="P866" s="51">
        <v>0</v>
      </c>
    </row>
    <row r="867" spans="10:16" x14ac:dyDescent="0.2">
      <c r="J867" s="52">
        <v>44004</v>
      </c>
      <c r="K867" s="51">
        <v>5.1405000000000003</v>
      </c>
      <c r="L867" s="51">
        <v>5.4897999999999998</v>
      </c>
      <c r="M867" s="51">
        <v>5.1405000000000003</v>
      </c>
      <c r="N867" s="51">
        <v>5.4763999999999999</v>
      </c>
      <c r="O867" s="51">
        <v>5.4763999999999999</v>
      </c>
      <c r="P867" s="51">
        <v>0</v>
      </c>
    </row>
    <row r="868" spans="10:16" x14ac:dyDescent="0.2">
      <c r="J868" s="52">
        <v>44011</v>
      </c>
      <c r="K868" s="51">
        <v>5.4847299999999999</v>
      </c>
      <c r="L868" s="51">
        <v>5.5048000000000004</v>
      </c>
      <c r="M868" s="51">
        <v>5.2675999999999998</v>
      </c>
      <c r="N868" s="51">
        <v>5.3106999999999998</v>
      </c>
      <c r="O868" s="51">
        <v>5.3106999999999998</v>
      </c>
      <c r="P868" s="51">
        <v>0</v>
      </c>
    </row>
    <row r="869" spans="10:16" x14ac:dyDescent="0.2">
      <c r="J869" s="52">
        <v>44018</v>
      </c>
      <c r="K869" s="51">
        <v>5.1405000000000003</v>
      </c>
      <c r="L869" s="51">
        <v>5.3951739999999999</v>
      </c>
      <c r="M869" s="51">
        <v>5.1405000000000003</v>
      </c>
      <c r="N869" s="51">
        <v>5.3163349999999996</v>
      </c>
      <c r="O869" s="51">
        <v>5.3163349999999996</v>
      </c>
      <c r="P869" s="51">
        <v>0</v>
      </c>
    </row>
    <row r="870" spans="10:16" x14ac:dyDescent="0.2">
      <c r="J870" s="52">
        <v>44025</v>
      </c>
      <c r="K870" s="51">
        <v>5.3235999999999999</v>
      </c>
      <c r="L870" s="51">
        <v>5.4496000000000002</v>
      </c>
      <c r="M870" s="51">
        <v>5.2901600000000002</v>
      </c>
      <c r="N870" s="51">
        <v>5.3847209999999999</v>
      </c>
      <c r="O870" s="51">
        <v>5.3847209999999999</v>
      </c>
      <c r="P870" s="51">
        <v>0</v>
      </c>
    </row>
    <row r="871" spans="10:16" x14ac:dyDescent="0.2">
      <c r="J871" s="52">
        <v>44032</v>
      </c>
      <c r="K871" s="51">
        <v>5.3826000000000001</v>
      </c>
      <c r="L871" s="51">
        <v>5.3868</v>
      </c>
      <c r="M871" s="51">
        <v>5.0929000000000002</v>
      </c>
      <c r="N871" s="51">
        <v>5.2276999999999996</v>
      </c>
      <c r="O871" s="51">
        <v>5.2276999999999996</v>
      </c>
      <c r="P871" s="51">
        <v>0</v>
      </c>
    </row>
    <row r="872" spans="10:16" x14ac:dyDescent="0.2">
      <c r="J872" s="52">
        <v>44039</v>
      </c>
      <c r="K872" s="51">
        <v>5.2298</v>
      </c>
      <c r="L872" s="51">
        <v>5.2324999999999999</v>
      </c>
      <c r="M872" s="51">
        <v>5.1113189999999999</v>
      </c>
      <c r="N872" s="51">
        <v>5.2209000000000003</v>
      </c>
      <c r="O872" s="51">
        <v>5.2209000000000003</v>
      </c>
      <c r="P872" s="51">
        <v>0</v>
      </c>
    </row>
    <row r="873" spans="10:16" x14ac:dyDescent="0.2">
      <c r="J873" s="52">
        <v>44046</v>
      </c>
      <c r="K873" s="51">
        <v>5.2217000000000002</v>
      </c>
      <c r="L873" s="51">
        <v>5.4356999999999998</v>
      </c>
      <c r="M873" s="51">
        <v>5.1967439999999998</v>
      </c>
      <c r="N873" s="51">
        <v>5.4348809999999999</v>
      </c>
      <c r="O873" s="51">
        <v>5.4348809999999999</v>
      </c>
      <c r="P873" s="51">
        <v>0</v>
      </c>
    </row>
    <row r="874" spans="10:16" x14ac:dyDescent="0.2">
      <c r="J874" s="52">
        <v>44053</v>
      </c>
      <c r="K874" s="51">
        <v>5.4371</v>
      </c>
      <c r="L874" s="51">
        <v>5.4836999999999998</v>
      </c>
      <c r="M874" s="51">
        <v>5.3474000000000004</v>
      </c>
      <c r="N874" s="51">
        <v>5.4199000000000002</v>
      </c>
      <c r="O874" s="51">
        <v>5.4199000000000002</v>
      </c>
      <c r="P874" s="51">
        <v>0</v>
      </c>
    </row>
    <row r="875" spans="10:16" x14ac:dyDescent="0.2">
      <c r="J875" s="52">
        <v>44060</v>
      </c>
      <c r="K875" s="51">
        <v>5.4245999999999999</v>
      </c>
      <c r="L875" s="51">
        <v>5.6678009999999999</v>
      </c>
      <c r="M875" s="51">
        <v>5.40984</v>
      </c>
      <c r="N875" s="51">
        <v>5.6177000000000001</v>
      </c>
      <c r="O875" s="51">
        <v>5.6177000000000001</v>
      </c>
      <c r="P875" s="51">
        <v>0</v>
      </c>
    </row>
    <row r="876" spans="10:16" x14ac:dyDescent="0.2">
      <c r="J876" s="52">
        <v>44067</v>
      </c>
      <c r="K876" s="51">
        <v>5.6231999999999998</v>
      </c>
      <c r="L876" s="51">
        <v>5.6235999999999997</v>
      </c>
      <c r="M876" s="51">
        <v>5.3893000000000004</v>
      </c>
      <c r="N876" s="51">
        <v>5.3893000000000004</v>
      </c>
      <c r="O876" s="51">
        <v>5.3893000000000004</v>
      </c>
      <c r="P876" s="51">
        <v>0</v>
      </c>
    </row>
    <row r="877" spans="10:16" x14ac:dyDescent="0.2">
      <c r="J877" s="52">
        <v>44074</v>
      </c>
      <c r="K877" s="51">
        <v>5.3909000000000002</v>
      </c>
      <c r="L877" s="51">
        <v>5.4924999999999997</v>
      </c>
      <c r="M877" s="51">
        <v>5.2480000000000002</v>
      </c>
      <c r="N877" s="51">
        <v>5.2999000000000001</v>
      </c>
      <c r="O877" s="51">
        <v>5.2999000000000001</v>
      </c>
      <c r="P877" s="51">
        <v>0</v>
      </c>
    </row>
    <row r="878" spans="10:16" x14ac:dyDescent="0.2">
      <c r="J878" s="52">
        <v>44081</v>
      </c>
      <c r="K878" s="51">
        <v>5.3029999999999999</v>
      </c>
      <c r="L878" s="51">
        <v>5.4044999999999996</v>
      </c>
      <c r="M878" s="51">
        <v>5.2590000000000003</v>
      </c>
      <c r="N878" s="51">
        <v>5.3160999999999996</v>
      </c>
      <c r="O878" s="51">
        <v>5.3160999999999996</v>
      </c>
      <c r="P878" s="51">
        <v>0</v>
      </c>
    </row>
    <row r="879" spans="10:16" x14ac:dyDescent="0.2">
      <c r="J879" s="52">
        <v>44088</v>
      </c>
      <c r="K879" s="51">
        <v>5.3216000000000001</v>
      </c>
      <c r="L879" s="51">
        <v>5.3894000000000002</v>
      </c>
      <c r="M879" s="51">
        <v>5.1925590000000001</v>
      </c>
      <c r="N879" s="51">
        <v>5.3894000000000002</v>
      </c>
      <c r="O879" s="51">
        <v>5.3894000000000002</v>
      </c>
      <c r="P879" s="51">
        <v>0</v>
      </c>
    </row>
    <row r="880" spans="10:16" x14ac:dyDescent="0.2">
      <c r="J880" s="52">
        <v>44095</v>
      </c>
      <c r="K880" s="51">
        <v>5.3964999999999996</v>
      </c>
      <c r="L880" s="51">
        <v>5.6212</v>
      </c>
      <c r="M880" s="51">
        <v>5.3810000000000002</v>
      </c>
      <c r="N880" s="51">
        <v>5.5594000000000001</v>
      </c>
      <c r="O880" s="51">
        <v>5.5594000000000001</v>
      </c>
      <c r="P880" s="51">
        <v>0</v>
      </c>
    </row>
    <row r="881" spans="10:16" x14ac:dyDescent="0.2">
      <c r="J881" s="52">
        <v>44102</v>
      </c>
      <c r="K881" s="51">
        <v>5.5586000000000002</v>
      </c>
      <c r="L881" s="51">
        <v>5.6835000000000004</v>
      </c>
      <c r="M881" s="51">
        <v>5.5127350000000002</v>
      </c>
      <c r="N881" s="51">
        <v>5.6797000000000004</v>
      </c>
      <c r="O881" s="51">
        <v>5.6797000000000004</v>
      </c>
      <c r="P881" s="51">
        <v>0</v>
      </c>
    </row>
    <row r="882" spans="10:16" x14ac:dyDescent="0.2">
      <c r="J882" s="52">
        <v>44109</v>
      </c>
      <c r="K882" s="51">
        <v>5.6841999999999997</v>
      </c>
      <c r="L882" s="51">
        <v>5.6872999999999996</v>
      </c>
      <c r="M882" s="51">
        <v>5.4844999999999997</v>
      </c>
      <c r="N882" s="51">
        <v>5.5274000000000001</v>
      </c>
      <c r="O882" s="51">
        <v>5.5274000000000001</v>
      </c>
      <c r="P882" s="51">
        <v>0</v>
      </c>
    </row>
    <row r="883" spans="10:16" x14ac:dyDescent="0.2">
      <c r="J883" s="52">
        <v>44116</v>
      </c>
      <c r="K883" s="51">
        <v>5.5248999999999997</v>
      </c>
      <c r="L883" s="51">
        <v>5.6440000000000001</v>
      </c>
      <c r="M883" s="51">
        <v>5.5217000000000001</v>
      </c>
      <c r="N883" s="51">
        <v>5.6435000000000004</v>
      </c>
      <c r="O883" s="51">
        <v>5.6435000000000004</v>
      </c>
      <c r="P883" s="51">
        <v>0</v>
      </c>
    </row>
    <row r="884" spans="10:16" x14ac:dyDescent="0.2">
      <c r="J884" s="52">
        <v>44123</v>
      </c>
      <c r="K884" s="51">
        <v>5.6448</v>
      </c>
      <c r="L884" s="51">
        <v>5.6459000000000001</v>
      </c>
      <c r="M884" s="51">
        <v>5.5637040000000004</v>
      </c>
      <c r="N884" s="51">
        <v>5.6162000000000001</v>
      </c>
      <c r="O884" s="51">
        <v>5.6162000000000001</v>
      </c>
      <c r="P884" s="51">
        <v>0</v>
      </c>
    </row>
    <row r="885" spans="10:16" x14ac:dyDescent="0.2">
      <c r="J885" s="52">
        <v>44130</v>
      </c>
      <c r="K885" s="51">
        <v>5.6181999999999999</v>
      </c>
      <c r="L885" s="51">
        <v>5.8034999999999997</v>
      </c>
      <c r="M885" s="51">
        <v>5.5994000000000002</v>
      </c>
      <c r="N885" s="51">
        <v>5.7778</v>
      </c>
      <c r="O885" s="51">
        <v>5.7778</v>
      </c>
      <c r="P885" s="51">
        <v>0</v>
      </c>
    </row>
    <row r="886" spans="10:16" x14ac:dyDescent="0.2">
      <c r="J886" s="52">
        <v>44137</v>
      </c>
      <c r="K886" s="51">
        <v>5.7382</v>
      </c>
      <c r="L886" s="51">
        <v>5.774</v>
      </c>
      <c r="M886" s="51">
        <v>5.3627000000000002</v>
      </c>
      <c r="N886" s="51">
        <v>5.3627000000000002</v>
      </c>
      <c r="O886" s="51">
        <v>5.3627000000000002</v>
      </c>
      <c r="P886" s="51">
        <v>0</v>
      </c>
    </row>
    <row r="887" spans="10:16" x14ac:dyDescent="0.2">
      <c r="J887" s="52">
        <v>44144</v>
      </c>
      <c r="K887" s="51">
        <v>5.3646000000000003</v>
      </c>
      <c r="L887" s="51">
        <v>5.5225999999999997</v>
      </c>
      <c r="M887" s="51">
        <v>5.2236000000000002</v>
      </c>
      <c r="N887" s="51">
        <v>5.4569999999999999</v>
      </c>
      <c r="O887" s="51">
        <v>5.4569999999999999</v>
      </c>
      <c r="P887" s="51">
        <v>0</v>
      </c>
    </row>
    <row r="888" spans="10:16" x14ac:dyDescent="0.2">
      <c r="J888" s="52">
        <v>44151</v>
      </c>
      <c r="K888" s="51">
        <v>5.4581</v>
      </c>
      <c r="L888" s="51">
        <v>5.4581</v>
      </c>
      <c r="M888" s="51">
        <v>5.2757870000000002</v>
      </c>
      <c r="N888" s="51">
        <v>5.3780999999999999</v>
      </c>
      <c r="O888" s="51">
        <v>5.3780999999999999</v>
      </c>
      <c r="P888" s="51">
        <v>0</v>
      </c>
    </row>
    <row r="889" spans="10:16" x14ac:dyDescent="0.2">
      <c r="J889" s="52">
        <v>44158</v>
      </c>
      <c r="K889" s="51">
        <v>5.3792</v>
      </c>
      <c r="L889" s="51">
        <v>5.4459999999999997</v>
      </c>
      <c r="M889" s="51">
        <v>5.2988530000000003</v>
      </c>
      <c r="N889" s="51">
        <v>5.3425000000000002</v>
      </c>
      <c r="O889" s="51">
        <v>5.3425000000000002</v>
      </c>
      <c r="P889" s="51">
        <v>0</v>
      </c>
    </row>
    <row r="890" spans="10:16" x14ac:dyDescent="0.2">
      <c r="J890" s="52">
        <v>44165</v>
      </c>
      <c r="K890" s="51">
        <v>5.3440000000000003</v>
      </c>
      <c r="L890" s="51">
        <v>5.3914</v>
      </c>
      <c r="M890" s="51">
        <v>5.1189260000000001</v>
      </c>
      <c r="N890" s="51">
        <v>5.1543999999999999</v>
      </c>
      <c r="O890" s="51">
        <v>5.1543999999999999</v>
      </c>
      <c r="P890" s="51">
        <v>0</v>
      </c>
    </row>
    <row r="891" spans="10:16" x14ac:dyDescent="0.2">
      <c r="J891" s="52">
        <v>44172</v>
      </c>
      <c r="K891" s="51">
        <v>5.1555</v>
      </c>
      <c r="L891" s="51">
        <v>5.1700999999999997</v>
      </c>
      <c r="M891" s="51">
        <v>5.0222740000000003</v>
      </c>
      <c r="N891" s="51">
        <v>5.0641999999999996</v>
      </c>
      <c r="O891" s="51">
        <v>5.0641999999999996</v>
      </c>
      <c r="P891" s="51">
        <v>0</v>
      </c>
    </row>
    <row r="892" spans="10:16" x14ac:dyDescent="0.2">
      <c r="J892" s="52">
        <v>44179</v>
      </c>
      <c r="K892" s="51">
        <v>5.0655999999999999</v>
      </c>
      <c r="L892" s="51">
        <v>5.1363529999999997</v>
      </c>
      <c r="M892" s="51">
        <v>5.0099739999999997</v>
      </c>
      <c r="N892" s="51">
        <v>5.1006</v>
      </c>
      <c r="O892" s="51">
        <v>5.1006</v>
      </c>
      <c r="P892" s="51">
        <v>0</v>
      </c>
    </row>
    <row r="893" spans="10:16" x14ac:dyDescent="0.2">
      <c r="J893" s="52">
        <v>44186</v>
      </c>
      <c r="K893" s="51">
        <v>5.101</v>
      </c>
      <c r="L893" s="51">
        <v>5.2202999999999999</v>
      </c>
      <c r="M893" s="51">
        <v>5.0976999999999997</v>
      </c>
      <c r="N893" s="51">
        <v>5.2153</v>
      </c>
      <c r="O893" s="51">
        <v>5.2153</v>
      </c>
      <c r="P893" s="51">
        <v>0</v>
      </c>
    </row>
    <row r="894" spans="10:16" x14ac:dyDescent="0.2">
      <c r="J894" s="52">
        <v>44193</v>
      </c>
      <c r="K894" s="51">
        <v>5.1753999999999998</v>
      </c>
      <c r="L894" s="51">
        <v>5.3055000000000003</v>
      </c>
      <c r="M894" s="51">
        <v>5.1560100000000002</v>
      </c>
      <c r="N894" s="51">
        <v>5.1919000000000004</v>
      </c>
      <c r="O894" s="51">
        <v>5.1919000000000004</v>
      </c>
      <c r="P894" s="51">
        <v>0</v>
      </c>
    </row>
    <row r="895" spans="10:16" x14ac:dyDescent="0.2">
      <c r="J895" s="52">
        <v>44200</v>
      </c>
      <c r="K895" s="51">
        <v>5.1727999999999996</v>
      </c>
      <c r="L895" s="51">
        <v>5.4161000000000001</v>
      </c>
      <c r="M895" s="51">
        <v>5.1163999999999996</v>
      </c>
      <c r="N895" s="51">
        <v>5.4121880000000004</v>
      </c>
      <c r="O895" s="51">
        <v>5.4121880000000004</v>
      </c>
      <c r="P895" s="51">
        <v>0</v>
      </c>
    </row>
    <row r="896" spans="10:16" x14ac:dyDescent="0.2">
      <c r="J896" s="52">
        <v>44207</v>
      </c>
      <c r="K896" s="51">
        <v>5.4175000000000004</v>
      </c>
      <c r="L896" s="51">
        <v>5.5119999999999996</v>
      </c>
      <c r="M896" s="51">
        <v>5.1931430000000001</v>
      </c>
      <c r="N896" s="51">
        <v>5.2912999999999997</v>
      </c>
      <c r="O896" s="51">
        <v>5.2912999999999997</v>
      </c>
      <c r="P896" s="51">
        <v>0</v>
      </c>
    </row>
    <row r="897" spans="10:16" x14ac:dyDescent="0.2">
      <c r="J897" s="52">
        <v>44214</v>
      </c>
      <c r="K897" s="51">
        <v>5.2896000000000001</v>
      </c>
      <c r="L897" s="51">
        <v>5.484</v>
      </c>
      <c r="M897" s="51">
        <v>5.2338259999999996</v>
      </c>
      <c r="N897" s="51">
        <v>5.3494999999999999</v>
      </c>
      <c r="O897" s="51">
        <v>5.3494999999999999</v>
      </c>
      <c r="P897" s="51">
        <v>0</v>
      </c>
    </row>
    <row r="898" spans="10:16" x14ac:dyDescent="0.2">
      <c r="J898" s="52">
        <v>44221</v>
      </c>
      <c r="K898" s="51">
        <v>5.4660000000000002</v>
      </c>
      <c r="L898" s="51">
        <v>5.5037000000000003</v>
      </c>
      <c r="M898" s="51">
        <v>5.3415910000000002</v>
      </c>
      <c r="N898" s="51">
        <v>5.4607999999999999</v>
      </c>
      <c r="O898" s="51">
        <v>5.4607999999999999</v>
      </c>
      <c r="P898" s="51">
        <v>0</v>
      </c>
    </row>
    <row r="899" spans="10:16" x14ac:dyDescent="0.2">
      <c r="J899" s="52">
        <v>44228</v>
      </c>
      <c r="K899" s="51">
        <v>5.4607999999999999</v>
      </c>
      <c r="L899" s="51">
        <v>5.4824999999999999</v>
      </c>
      <c r="M899" s="51">
        <v>5.3212999999999999</v>
      </c>
      <c r="N899" s="51">
        <v>5.3692000000000002</v>
      </c>
      <c r="O899" s="51">
        <v>5.3692000000000002</v>
      </c>
      <c r="P899" s="51">
        <v>0</v>
      </c>
    </row>
    <row r="900" spans="10:16" x14ac:dyDescent="0.2">
      <c r="J900" s="52">
        <v>44235</v>
      </c>
      <c r="K900" s="51">
        <v>5.3701999999999996</v>
      </c>
      <c r="L900" s="51">
        <v>5.4447999999999999</v>
      </c>
      <c r="M900" s="51">
        <v>5.3072999999999997</v>
      </c>
      <c r="N900" s="51">
        <v>5.3685</v>
      </c>
      <c r="O900" s="51">
        <v>5.3685</v>
      </c>
      <c r="P900" s="51">
        <v>0</v>
      </c>
    </row>
    <row r="901" spans="10:16" x14ac:dyDescent="0.2">
      <c r="J901" s="52">
        <v>44242</v>
      </c>
      <c r="K901" s="51">
        <v>5.3688000000000002</v>
      </c>
      <c r="L901" s="51">
        <v>5.4658790000000002</v>
      </c>
      <c r="M901" s="51">
        <v>5.3637560000000004</v>
      </c>
      <c r="N901" s="51">
        <v>5.3795719999999996</v>
      </c>
      <c r="O901" s="51">
        <v>5.3795719999999996</v>
      </c>
      <c r="P901" s="51">
        <v>0</v>
      </c>
    </row>
    <row r="902" spans="10:16" x14ac:dyDescent="0.2">
      <c r="J902" s="52">
        <v>44249</v>
      </c>
      <c r="K902" s="51">
        <v>5.3818000000000001</v>
      </c>
      <c r="L902" s="51">
        <v>5.5975999999999999</v>
      </c>
      <c r="M902" s="51">
        <v>5.3776000000000002</v>
      </c>
      <c r="N902" s="51">
        <v>5.5975999999999999</v>
      </c>
      <c r="O902" s="51">
        <v>5.5975999999999999</v>
      </c>
      <c r="P902" s="51">
        <v>0</v>
      </c>
    </row>
    <row r="903" spans="10:16" x14ac:dyDescent="0.2">
      <c r="J903" s="52">
        <v>44256</v>
      </c>
      <c r="K903" s="51">
        <v>5.6024000000000003</v>
      </c>
      <c r="L903" s="51">
        <v>5.7690999999999999</v>
      </c>
      <c r="M903" s="51">
        <v>5.5450999999999997</v>
      </c>
      <c r="N903" s="51">
        <v>5.6894999999999998</v>
      </c>
      <c r="O903" s="51">
        <v>5.6894999999999998</v>
      </c>
      <c r="P903" s="51">
        <v>0</v>
      </c>
    </row>
    <row r="904" spans="10:16" x14ac:dyDescent="0.2">
      <c r="J904" s="52">
        <v>44263</v>
      </c>
      <c r="K904" s="51">
        <v>5.6909999999999998</v>
      </c>
      <c r="L904" s="51">
        <v>5.8775000000000004</v>
      </c>
      <c r="M904" s="51">
        <v>5.5308999999999999</v>
      </c>
      <c r="N904" s="51">
        <v>5.5511999999999997</v>
      </c>
      <c r="O904" s="51">
        <v>5.5511999999999997</v>
      </c>
      <c r="P904" s="51">
        <v>0</v>
      </c>
    </row>
    <row r="905" spans="10:16" x14ac:dyDescent="0.2">
      <c r="J905" s="52">
        <v>44270</v>
      </c>
      <c r="K905" s="51">
        <v>5.4957560000000001</v>
      </c>
      <c r="L905" s="51">
        <v>5.6773999999999996</v>
      </c>
      <c r="M905" s="51">
        <v>5.4602000000000004</v>
      </c>
      <c r="N905" s="51">
        <v>5.4894999999999996</v>
      </c>
      <c r="O905" s="51">
        <v>5.4894999999999996</v>
      </c>
      <c r="P905" s="51">
        <v>0</v>
      </c>
    </row>
    <row r="906" spans="10:16" x14ac:dyDescent="0.2">
      <c r="J906" s="52">
        <v>44277</v>
      </c>
      <c r="K906" s="51">
        <v>5.4893000000000001</v>
      </c>
      <c r="L906" s="51">
        <v>5.7546999999999997</v>
      </c>
      <c r="M906" s="51">
        <v>5.4686389999999996</v>
      </c>
      <c r="N906" s="51">
        <v>5.7546999999999997</v>
      </c>
      <c r="O906" s="51">
        <v>5.7546999999999997</v>
      </c>
      <c r="P906" s="51">
        <v>0</v>
      </c>
    </row>
    <row r="907" spans="10:16" x14ac:dyDescent="0.2">
      <c r="J907" s="52">
        <v>44284</v>
      </c>
      <c r="K907" s="51">
        <v>5.7525000000000004</v>
      </c>
      <c r="L907" s="51">
        <v>5.8028000000000004</v>
      </c>
      <c r="M907" s="51">
        <v>5.6081000000000003</v>
      </c>
      <c r="N907" s="51">
        <v>5.7065000000000001</v>
      </c>
      <c r="O907" s="51">
        <v>5.7065000000000001</v>
      </c>
      <c r="P907" s="51">
        <v>0</v>
      </c>
    </row>
    <row r="908" spans="10:16" x14ac:dyDescent="0.2">
      <c r="J908" s="52">
        <v>44291</v>
      </c>
      <c r="K908" s="51">
        <v>5.7106000000000003</v>
      </c>
      <c r="L908" s="51">
        <v>5.7108999999999996</v>
      </c>
      <c r="M908" s="51">
        <v>5.5433529999999998</v>
      </c>
      <c r="N908" s="51">
        <v>5.6894999999999998</v>
      </c>
      <c r="O908" s="51">
        <v>5.6894999999999998</v>
      </c>
      <c r="P908" s="51">
        <v>0</v>
      </c>
    </row>
    <row r="909" spans="10:16" x14ac:dyDescent="0.2">
      <c r="J909" s="52">
        <v>44298</v>
      </c>
      <c r="K909" s="51">
        <v>5.6769999999999996</v>
      </c>
      <c r="L909" s="51">
        <v>5.7533000000000003</v>
      </c>
      <c r="M909" s="51">
        <v>5.5823</v>
      </c>
      <c r="N909" s="51">
        <v>5.5987549999999997</v>
      </c>
      <c r="O909" s="51">
        <v>5.5987549999999997</v>
      </c>
      <c r="P909" s="51">
        <v>0</v>
      </c>
    </row>
    <row r="910" spans="10:16" x14ac:dyDescent="0.2">
      <c r="J910" s="52">
        <v>44305</v>
      </c>
      <c r="K910" s="51">
        <v>5.5869999999999997</v>
      </c>
      <c r="L910" s="51">
        <v>5.6185</v>
      </c>
      <c r="M910" s="51">
        <v>5.4241999999999999</v>
      </c>
      <c r="N910" s="51">
        <v>5.4731069999999997</v>
      </c>
      <c r="O910" s="51">
        <v>5.4731069999999997</v>
      </c>
      <c r="P910" s="51">
        <v>0</v>
      </c>
    </row>
    <row r="911" spans="10:16" x14ac:dyDescent="0.2">
      <c r="J911" s="52">
        <v>44312</v>
      </c>
      <c r="K911" s="51">
        <v>5.4771000000000001</v>
      </c>
      <c r="L911" s="51">
        <v>5.4865000000000004</v>
      </c>
      <c r="M911" s="51">
        <v>5.3160040000000004</v>
      </c>
      <c r="N911" s="51">
        <v>5.4362000000000004</v>
      </c>
      <c r="O911" s="51">
        <v>5.4362000000000004</v>
      </c>
      <c r="P911" s="51">
        <v>0</v>
      </c>
    </row>
    <row r="912" spans="10:16" x14ac:dyDescent="0.2">
      <c r="J912" s="52">
        <v>44319</v>
      </c>
      <c r="K912" s="51">
        <v>5.4397000000000002</v>
      </c>
      <c r="L912" s="51">
        <v>5.4781000000000004</v>
      </c>
      <c r="M912" s="51">
        <v>5.2031999999999998</v>
      </c>
      <c r="N912" s="51">
        <v>5.2332229999999997</v>
      </c>
      <c r="O912" s="51">
        <v>5.2332229999999997</v>
      </c>
      <c r="P912" s="51">
        <v>0</v>
      </c>
    </row>
    <row r="913" spans="10:16" x14ac:dyDescent="0.2">
      <c r="J913" s="52">
        <v>44326</v>
      </c>
      <c r="K913" s="51">
        <v>5.2359</v>
      </c>
      <c r="L913" s="51">
        <v>5.3192000000000004</v>
      </c>
      <c r="M913" s="51">
        <v>5.1984000000000004</v>
      </c>
      <c r="N913" s="51">
        <v>5.2694999999999999</v>
      </c>
      <c r="O913" s="51">
        <v>5.2694999999999999</v>
      </c>
      <c r="P913" s="51">
        <v>0</v>
      </c>
    </row>
    <row r="914" spans="10:16" x14ac:dyDescent="0.2">
      <c r="J914" s="52">
        <v>44333</v>
      </c>
      <c r="K914" s="51">
        <v>5.2695999999999996</v>
      </c>
      <c r="L914" s="51">
        <v>5.3642000000000003</v>
      </c>
      <c r="M914" s="51">
        <v>5.2291910000000001</v>
      </c>
      <c r="N914" s="51">
        <v>5.3642000000000003</v>
      </c>
      <c r="O914" s="51">
        <v>5.3642000000000003</v>
      </c>
      <c r="P914" s="51">
        <v>0</v>
      </c>
    </row>
    <row r="915" spans="10:16" x14ac:dyDescent="0.2">
      <c r="J915" s="52">
        <v>44340</v>
      </c>
      <c r="K915" s="51">
        <v>5.3628</v>
      </c>
      <c r="L915" s="51">
        <v>5.3662999999999998</v>
      </c>
      <c r="M915" s="51">
        <v>5.2173020000000001</v>
      </c>
      <c r="N915" s="51">
        <v>5.2240000000000002</v>
      </c>
      <c r="O915" s="51">
        <v>5.2240000000000002</v>
      </c>
      <c r="P915" s="51">
        <v>0</v>
      </c>
    </row>
    <row r="916" spans="10:16" x14ac:dyDescent="0.2">
      <c r="J916" s="52">
        <v>44347</v>
      </c>
      <c r="K916" s="51">
        <v>5.2378999999999998</v>
      </c>
      <c r="L916" s="51">
        <v>5.2583019999999996</v>
      </c>
      <c r="M916" s="51">
        <v>5.0465999999999998</v>
      </c>
      <c r="N916" s="51">
        <v>5.0465999999999998</v>
      </c>
      <c r="O916" s="51">
        <v>5.0465999999999998</v>
      </c>
      <c r="P916" s="51">
        <v>0</v>
      </c>
    </row>
    <row r="917" spans="10:16" x14ac:dyDescent="0.2">
      <c r="J917" s="52">
        <v>44354</v>
      </c>
      <c r="K917" s="51">
        <v>5.0446999999999997</v>
      </c>
      <c r="L917" s="51">
        <v>5.1364000000000001</v>
      </c>
      <c r="M917" s="51">
        <v>5.0183</v>
      </c>
      <c r="N917" s="51">
        <v>5.1131120000000001</v>
      </c>
      <c r="O917" s="51">
        <v>5.1131120000000001</v>
      </c>
      <c r="P917" s="51">
        <v>0</v>
      </c>
    </row>
    <row r="918" spans="10:16" x14ac:dyDescent="0.2">
      <c r="J918" s="52">
        <v>44361</v>
      </c>
      <c r="K918" s="51">
        <v>5.1169000000000002</v>
      </c>
      <c r="L918" s="51">
        <v>5.1174999999999997</v>
      </c>
      <c r="M918" s="51">
        <v>4.9801679999999999</v>
      </c>
      <c r="N918" s="51">
        <v>5.0887000000000002</v>
      </c>
      <c r="O918" s="51">
        <v>5.0887000000000002</v>
      </c>
      <c r="P918" s="51">
        <v>0</v>
      </c>
    </row>
    <row r="919" spans="10:16" x14ac:dyDescent="0.2">
      <c r="J919" s="52">
        <v>44368</v>
      </c>
      <c r="K919" s="51">
        <v>5.0959000000000003</v>
      </c>
      <c r="L919" s="51">
        <v>5.0960000000000001</v>
      </c>
      <c r="M919" s="51">
        <v>4.8929999999999998</v>
      </c>
      <c r="N919" s="51">
        <v>4.9321000000000002</v>
      </c>
      <c r="O919" s="51">
        <v>4.9321000000000002</v>
      </c>
      <c r="P919" s="51">
        <v>0</v>
      </c>
    </row>
    <row r="920" spans="10:16" x14ac:dyDescent="0.2">
      <c r="J920" s="52">
        <v>44375</v>
      </c>
      <c r="K920" s="51">
        <v>4.9146000000000001</v>
      </c>
      <c r="L920" s="51">
        <v>5.0704000000000002</v>
      </c>
      <c r="M920" s="51">
        <v>4.8973370000000003</v>
      </c>
      <c r="N920" s="51">
        <v>5.055059</v>
      </c>
      <c r="O920" s="51">
        <v>5.055059</v>
      </c>
      <c r="P920" s="51">
        <v>0</v>
      </c>
    </row>
    <row r="921" spans="10:16" x14ac:dyDescent="0.2">
      <c r="J921" s="52">
        <v>44382</v>
      </c>
      <c r="K921" s="51">
        <v>5.0590999999999999</v>
      </c>
      <c r="L921" s="51">
        <v>5.3090000000000002</v>
      </c>
      <c r="M921" s="51">
        <v>5.0135759999999996</v>
      </c>
      <c r="N921" s="51">
        <v>5.2553679999999998</v>
      </c>
      <c r="O921" s="51">
        <v>5.2553679999999998</v>
      </c>
      <c r="P921" s="51">
        <v>0</v>
      </c>
    </row>
    <row r="922" spans="10:16" x14ac:dyDescent="0.2">
      <c r="J922" s="52">
        <v>44389</v>
      </c>
      <c r="K922" s="51">
        <v>5.1962000000000002</v>
      </c>
      <c r="L922" s="51">
        <v>5.2807000000000004</v>
      </c>
      <c r="M922" s="51">
        <v>5.0558259999999997</v>
      </c>
      <c r="N922" s="51">
        <v>5.1122209999999999</v>
      </c>
      <c r="O922" s="51">
        <v>5.1122209999999999</v>
      </c>
      <c r="P922" s="51">
        <v>0</v>
      </c>
    </row>
    <row r="923" spans="10:16" x14ac:dyDescent="0.2">
      <c r="J923" s="52">
        <v>44396</v>
      </c>
      <c r="K923" s="51">
        <v>5.1153000000000004</v>
      </c>
      <c r="L923" s="51">
        <v>5.2915000000000001</v>
      </c>
      <c r="M923" s="51">
        <v>5.111008</v>
      </c>
      <c r="N923" s="51">
        <v>5.2020160000000004</v>
      </c>
      <c r="O923" s="51">
        <v>5.2020160000000004</v>
      </c>
      <c r="P923" s="51">
        <v>0</v>
      </c>
    </row>
    <row r="924" spans="10:16" x14ac:dyDescent="0.2">
      <c r="J924" s="52">
        <v>44403</v>
      </c>
      <c r="K924" s="51">
        <v>5.1980000000000004</v>
      </c>
      <c r="L924" s="51">
        <v>5.2275999999999998</v>
      </c>
      <c r="M924" s="51">
        <v>5.0425969999999998</v>
      </c>
      <c r="N924" s="51">
        <v>5.2026000000000003</v>
      </c>
      <c r="O924" s="51">
        <v>5.2026000000000003</v>
      </c>
      <c r="P924" s="51">
        <v>0</v>
      </c>
    </row>
    <row r="925" spans="10:16" x14ac:dyDescent="0.2">
      <c r="J925" s="52">
        <v>44410</v>
      </c>
      <c r="K925" s="51">
        <v>5.2085999999999997</v>
      </c>
      <c r="L925" s="51">
        <v>5.2712000000000003</v>
      </c>
      <c r="M925" s="51">
        <v>5.1100000000000003</v>
      </c>
      <c r="N925" s="51">
        <v>5.2364230000000003</v>
      </c>
      <c r="O925" s="51">
        <v>5.2364230000000003</v>
      </c>
      <c r="P925" s="51">
        <v>0</v>
      </c>
    </row>
    <row r="926" spans="10:16" x14ac:dyDescent="0.2">
      <c r="J926" s="52">
        <v>44417</v>
      </c>
      <c r="K926" s="51">
        <v>5.2355</v>
      </c>
      <c r="L926" s="51">
        <v>5.2965</v>
      </c>
      <c r="M926" s="51">
        <v>5.1589999999999998</v>
      </c>
      <c r="N926" s="51">
        <v>5.2469999999999999</v>
      </c>
      <c r="O926" s="51">
        <v>5.2469999999999999</v>
      </c>
      <c r="P926" s="51">
        <v>0</v>
      </c>
    </row>
    <row r="927" spans="10:16" x14ac:dyDescent="0.2">
      <c r="J927" s="52">
        <v>44424</v>
      </c>
      <c r="K927" s="51">
        <v>5.2474999999999996</v>
      </c>
      <c r="L927" s="51">
        <v>5.4718</v>
      </c>
      <c r="M927" s="51">
        <v>5.2241</v>
      </c>
      <c r="N927" s="51">
        <v>5.3762780000000001</v>
      </c>
      <c r="O927" s="51">
        <v>5.3762780000000001</v>
      </c>
      <c r="P927" s="51">
        <v>0</v>
      </c>
    </row>
    <row r="928" spans="10:16" x14ac:dyDescent="0.2">
      <c r="J928" s="52">
        <v>44431</v>
      </c>
      <c r="K928" s="51">
        <v>5.3844089999999998</v>
      </c>
      <c r="L928" s="51">
        <v>5.4043000000000001</v>
      </c>
      <c r="M928" s="51">
        <v>5.1897000000000002</v>
      </c>
      <c r="N928" s="51">
        <v>5.2028999999999996</v>
      </c>
      <c r="O928" s="51">
        <v>5.2028999999999996</v>
      </c>
      <c r="P928" s="51">
        <v>0</v>
      </c>
    </row>
    <row r="929" spans="10:16" x14ac:dyDescent="0.2">
      <c r="J929" s="52">
        <v>44438</v>
      </c>
      <c r="K929" s="51">
        <v>5.2030000000000003</v>
      </c>
      <c r="L929" s="51">
        <v>5.2222999999999997</v>
      </c>
      <c r="M929" s="51">
        <v>5.1158000000000001</v>
      </c>
      <c r="N929" s="51">
        <v>5.1889000000000003</v>
      </c>
      <c r="O929" s="51">
        <v>5.1889000000000003</v>
      </c>
      <c r="P929" s="51">
        <v>0</v>
      </c>
    </row>
    <row r="930" spans="10:16" x14ac:dyDescent="0.2">
      <c r="J930" s="52">
        <v>44445</v>
      </c>
      <c r="K930" s="51">
        <v>5.1924999999999999</v>
      </c>
      <c r="L930" s="51">
        <v>5.3308999999999997</v>
      </c>
      <c r="M930" s="51">
        <v>5.1547000000000001</v>
      </c>
      <c r="N930" s="51">
        <v>5.2436999999999996</v>
      </c>
      <c r="O930" s="51">
        <v>5.2436999999999996</v>
      </c>
      <c r="P930" s="51">
        <v>0</v>
      </c>
    </row>
    <row r="931" spans="10:16" x14ac:dyDescent="0.2">
      <c r="J931" s="52">
        <v>44452</v>
      </c>
      <c r="K931" s="51">
        <v>5.2469000000000001</v>
      </c>
      <c r="L931" s="51">
        <v>5.3448000000000002</v>
      </c>
      <c r="M931" s="51">
        <v>5.1924409999999996</v>
      </c>
      <c r="N931" s="51">
        <v>5.2874999999999996</v>
      </c>
      <c r="O931" s="51">
        <v>5.2874999999999996</v>
      </c>
      <c r="P931" s="51">
        <v>0</v>
      </c>
    </row>
    <row r="932" spans="10:16" x14ac:dyDescent="0.2">
      <c r="J932" s="52">
        <v>44459</v>
      </c>
      <c r="K932" s="51">
        <v>5.2896000000000001</v>
      </c>
      <c r="L932" s="51">
        <v>5.3521999999999998</v>
      </c>
      <c r="M932" s="51">
        <v>5.2481989999999996</v>
      </c>
      <c r="N932" s="51">
        <v>5.3018999999999998</v>
      </c>
      <c r="O932" s="51">
        <v>5.3018999999999998</v>
      </c>
      <c r="P932" s="51">
        <v>0</v>
      </c>
    </row>
    <row r="933" spans="10:16" x14ac:dyDescent="0.2">
      <c r="J933" s="52">
        <v>44466</v>
      </c>
      <c r="K933" s="51">
        <v>5.3369</v>
      </c>
      <c r="L933" s="51">
        <v>5.4550320000000001</v>
      </c>
      <c r="M933" s="51">
        <v>5.3080999999999996</v>
      </c>
      <c r="N933" s="51">
        <v>5.3646000000000003</v>
      </c>
      <c r="O933" s="51">
        <v>5.3646000000000003</v>
      </c>
      <c r="P933" s="51">
        <v>0</v>
      </c>
    </row>
    <row r="934" spans="10:16" x14ac:dyDescent="0.2">
      <c r="J934" s="52">
        <v>44473</v>
      </c>
      <c r="K934" s="51">
        <v>5.3677999999999999</v>
      </c>
      <c r="L934" s="51">
        <v>5.5274999999999999</v>
      </c>
      <c r="M934" s="51">
        <v>5.36</v>
      </c>
      <c r="N934" s="51">
        <v>5.5082709999999997</v>
      </c>
      <c r="O934" s="51">
        <v>5.5082709999999997</v>
      </c>
      <c r="P934" s="51">
        <v>0</v>
      </c>
    </row>
    <row r="935" spans="10:16" x14ac:dyDescent="0.2">
      <c r="J935" s="52">
        <v>44480</v>
      </c>
      <c r="K935" s="51">
        <v>5.5102000000000002</v>
      </c>
      <c r="L935" s="51">
        <v>5.5608000000000004</v>
      </c>
      <c r="M935" s="51">
        <v>5.4328000000000003</v>
      </c>
      <c r="N935" s="51">
        <v>5.4565999999999999</v>
      </c>
      <c r="O935" s="51">
        <v>5.4565999999999999</v>
      </c>
      <c r="P935" s="51">
        <v>0</v>
      </c>
    </row>
    <row r="936" spans="10:16" x14ac:dyDescent="0.2">
      <c r="J936" s="52">
        <v>44487</v>
      </c>
      <c r="K936" s="51">
        <v>5.4584000000000001</v>
      </c>
      <c r="L936" s="51">
        <v>5.7522000000000002</v>
      </c>
      <c r="M936" s="51">
        <v>5.4541300000000001</v>
      </c>
      <c r="N936" s="51">
        <v>5.6488639999999997</v>
      </c>
      <c r="O936" s="51">
        <v>5.6488639999999997</v>
      </c>
      <c r="P936" s="51">
        <v>0</v>
      </c>
    </row>
    <row r="937" spans="10:16" x14ac:dyDescent="0.2">
      <c r="J937" s="52">
        <v>44494</v>
      </c>
      <c r="K937" s="51">
        <v>5.6492000000000004</v>
      </c>
      <c r="L937" s="51">
        <v>5.6589999999999998</v>
      </c>
      <c r="M937" s="51">
        <v>5.5328080000000002</v>
      </c>
      <c r="N937" s="51">
        <v>5.6337000000000002</v>
      </c>
      <c r="O937" s="51">
        <v>5.6337000000000002</v>
      </c>
      <c r="P937" s="51">
        <v>0</v>
      </c>
    </row>
    <row r="938" spans="10:16" x14ac:dyDescent="0.2">
      <c r="J938" s="52">
        <v>44501</v>
      </c>
      <c r="K938" s="51">
        <v>5.6355000000000004</v>
      </c>
      <c r="L938" s="51">
        <v>5.6957000000000004</v>
      </c>
      <c r="M938" s="51">
        <v>5.5225999999999997</v>
      </c>
      <c r="N938" s="51">
        <v>5.5411000000000001</v>
      </c>
      <c r="O938" s="51">
        <v>5.5411000000000001</v>
      </c>
      <c r="P938" s="51">
        <v>0</v>
      </c>
    </row>
    <row r="939" spans="10:16" x14ac:dyDescent="0.2">
      <c r="J939" s="52">
        <v>44508</v>
      </c>
      <c r="K939" s="51">
        <v>5.5385999999999997</v>
      </c>
      <c r="L939" s="51">
        <v>5.593</v>
      </c>
      <c r="M939" s="51">
        <v>5.3916000000000004</v>
      </c>
      <c r="N939" s="51">
        <v>5.4576000000000002</v>
      </c>
      <c r="O939" s="51">
        <v>5.4576000000000002</v>
      </c>
      <c r="P939" s="51">
        <v>0</v>
      </c>
    </row>
    <row r="940" spans="10:16" x14ac:dyDescent="0.2">
      <c r="J940" s="52">
        <v>44515</v>
      </c>
      <c r="K940" s="51">
        <v>5.4560000000000004</v>
      </c>
      <c r="L940" s="51">
        <v>5.6144670000000003</v>
      </c>
      <c r="M940" s="51">
        <v>5.4291999999999998</v>
      </c>
      <c r="N940" s="51">
        <v>5.5564</v>
      </c>
      <c r="O940" s="51">
        <v>5.5564</v>
      </c>
      <c r="P940" s="51">
        <v>0</v>
      </c>
    </row>
    <row r="941" spans="10:16" x14ac:dyDescent="0.2">
      <c r="J941" s="52">
        <v>44522</v>
      </c>
      <c r="K941" s="51">
        <v>5.6071999999999997</v>
      </c>
      <c r="L941" s="51">
        <v>5.6600999999999999</v>
      </c>
      <c r="M941" s="51">
        <v>5.546894</v>
      </c>
      <c r="N941" s="51">
        <v>5.6078000000000001</v>
      </c>
      <c r="O941" s="51">
        <v>5.6078000000000001</v>
      </c>
      <c r="P941" s="51">
        <v>0</v>
      </c>
    </row>
    <row r="942" spans="10:16" x14ac:dyDescent="0.2">
      <c r="J942" s="52">
        <v>44529</v>
      </c>
      <c r="K942" s="51">
        <v>5.5568999999999997</v>
      </c>
      <c r="L942" s="51">
        <v>5.6943000000000001</v>
      </c>
      <c r="M942" s="51">
        <v>5.5568999999999997</v>
      </c>
      <c r="N942" s="51">
        <v>5.650099</v>
      </c>
      <c r="O942" s="51">
        <v>5.650099</v>
      </c>
      <c r="P942" s="51">
        <v>0</v>
      </c>
    </row>
    <row r="943" spans="10:16" x14ac:dyDescent="0.2">
      <c r="J943" s="52">
        <v>44536</v>
      </c>
      <c r="K943" s="51">
        <v>5.6520999999999999</v>
      </c>
      <c r="L943" s="51">
        <v>5.6977000000000002</v>
      </c>
      <c r="M943" s="51">
        <v>5.5152999999999999</v>
      </c>
      <c r="N943" s="51">
        <v>5.6104690000000002</v>
      </c>
      <c r="O943" s="51">
        <v>5.6104690000000002</v>
      </c>
      <c r="P943" s="51">
        <v>0</v>
      </c>
    </row>
    <row r="944" spans="10:16" x14ac:dyDescent="0.2">
      <c r="J944" s="52">
        <v>44543</v>
      </c>
      <c r="K944" s="51">
        <v>5.6086609999999997</v>
      </c>
      <c r="L944" s="51">
        <v>5.7256999999999998</v>
      </c>
      <c r="M944" s="51">
        <v>5.6006999999999998</v>
      </c>
      <c r="N944" s="51">
        <v>5.69306</v>
      </c>
      <c r="O944" s="51">
        <v>5.69306</v>
      </c>
      <c r="P944" s="51">
        <v>0</v>
      </c>
    </row>
    <row r="945" spans="10:16" x14ac:dyDescent="0.2">
      <c r="J945" s="52">
        <v>44550</v>
      </c>
      <c r="K945" s="51">
        <v>5.6913999999999998</v>
      </c>
      <c r="L945" s="51">
        <v>5.7519</v>
      </c>
      <c r="M945" s="51">
        <v>5.6269999999999998</v>
      </c>
      <c r="N945" s="51">
        <v>5.6711</v>
      </c>
      <c r="O945" s="51">
        <v>5.6711</v>
      </c>
      <c r="P945" s="51">
        <v>0</v>
      </c>
    </row>
    <row r="946" spans="10:16" x14ac:dyDescent="0.2">
      <c r="J946" s="52">
        <v>44557</v>
      </c>
      <c r="K946" s="51">
        <v>5.6349999999999998</v>
      </c>
      <c r="L946" s="51">
        <v>5.7046999999999999</v>
      </c>
      <c r="M946" s="51">
        <v>5.5503</v>
      </c>
      <c r="N946" s="51">
        <v>5.5693000000000001</v>
      </c>
      <c r="O946" s="51">
        <v>5.5693000000000001</v>
      </c>
      <c r="P946" s="51">
        <v>0</v>
      </c>
    </row>
    <row r="947" spans="10:16" x14ac:dyDescent="0.2">
      <c r="J947" s="52">
        <v>44564</v>
      </c>
      <c r="K947" s="51">
        <v>5.4606000000000003</v>
      </c>
      <c r="L947" s="51">
        <v>5.7218</v>
      </c>
      <c r="M947" s="51">
        <v>5.4606000000000003</v>
      </c>
      <c r="N947" s="51">
        <v>5.6322000000000001</v>
      </c>
      <c r="O947" s="51">
        <v>5.6322000000000001</v>
      </c>
      <c r="P947" s="51">
        <v>0</v>
      </c>
    </row>
    <row r="948" spans="10:16" x14ac:dyDescent="0.2">
      <c r="J948" s="52">
        <v>44571</v>
      </c>
      <c r="K948" s="51">
        <v>5.6319999999999997</v>
      </c>
      <c r="L948" s="51">
        <v>5.6894999999999998</v>
      </c>
      <c r="M948" s="51">
        <v>5.4976539999999998</v>
      </c>
      <c r="N948" s="51">
        <v>5.5332999999999997</v>
      </c>
      <c r="O948" s="51">
        <v>5.5332999999999997</v>
      </c>
      <c r="P948" s="51">
        <v>0</v>
      </c>
    </row>
    <row r="949" spans="10:16" x14ac:dyDescent="0.2">
      <c r="J949" s="52">
        <v>44578</v>
      </c>
      <c r="K949" s="51">
        <v>5.5319000000000003</v>
      </c>
      <c r="L949" s="51">
        <v>5.5663</v>
      </c>
      <c r="M949" s="51">
        <v>5.3997000000000002</v>
      </c>
      <c r="N949" s="51">
        <v>5.4570999999999996</v>
      </c>
      <c r="O949" s="51">
        <v>5.4570999999999996</v>
      </c>
      <c r="P949" s="51">
        <v>0</v>
      </c>
    </row>
    <row r="950" spans="10:16" x14ac:dyDescent="0.2">
      <c r="J950" s="52">
        <v>44585</v>
      </c>
      <c r="K950" s="51">
        <v>5.4558</v>
      </c>
      <c r="L950" s="51">
        <v>5.5176999999999996</v>
      </c>
      <c r="M950" s="51">
        <v>5.3528000000000002</v>
      </c>
      <c r="N950" s="51">
        <v>5.3648999999999996</v>
      </c>
      <c r="O950" s="51">
        <v>5.3648999999999996</v>
      </c>
      <c r="P950" s="51">
        <v>0</v>
      </c>
    </row>
    <row r="951" spans="10:16" x14ac:dyDescent="0.2">
      <c r="J951" s="52">
        <v>44592</v>
      </c>
      <c r="K951" s="51">
        <v>5.3654999999999999</v>
      </c>
      <c r="L951" s="51">
        <v>5.3958000000000004</v>
      </c>
      <c r="M951" s="51">
        <v>5.2552669999999999</v>
      </c>
      <c r="N951" s="51">
        <v>5.3269000000000002</v>
      </c>
      <c r="O951" s="51">
        <v>5.3269000000000002</v>
      </c>
      <c r="P951" s="51">
        <v>0</v>
      </c>
    </row>
    <row r="952" spans="10:16" x14ac:dyDescent="0.2">
      <c r="J952" s="52">
        <v>44599</v>
      </c>
      <c r="K952" s="51">
        <v>5.3262</v>
      </c>
      <c r="L952" s="51">
        <v>5.343</v>
      </c>
      <c r="M952" s="51">
        <v>5.17</v>
      </c>
      <c r="N952" s="51">
        <v>5.2499560000000001</v>
      </c>
      <c r="O952" s="51">
        <v>5.2499560000000001</v>
      </c>
      <c r="P952" s="51">
        <v>0</v>
      </c>
    </row>
    <row r="953" spans="10:16" x14ac:dyDescent="0.2">
      <c r="J953" s="52">
        <v>44606</v>
      </c>
      <c r="K953" s="51">
        <v>5.2504999999999997</v>
      </c>
      <c r="L953" s="51">
        <v>5.2633000000000001</v>
      </c>
      <c r="M953" s="51">
        <v>5.1169000000000002</v>
      </c>
      <c r="N953" s="51">
        <v>5.1375000000000002</v>
      </c>
      <c r="O953" s="51">
        <v>5.1375000000000002</v>
      </c>
      <c r="P953" s="51">
        <v>0</v>
      </c>
    </row>
    <row r="954" spans="10:16" x14ac:dyDescent="0.2">
      <c r="J954" s="52">
        <v>44613</v>
      </c>
      <c r="K954" s="51">
        <v>5.1364000000000001</v>
      </c>
      <c r="L954" s="51">
        <v>5.1661999999999999</v>
      </c>
      <c r="M954" s="51">
        <v>4.9965000000000002</v>
      </c>
      <c r="N954" s="51">
        <v>5.1597439999999999</v>
      </c>
      <c r="O954" s="51">
        <v>5.1597439999999999</v>
      </c>
      <c r="P954" s="51">
        <v>0</v>
      </c>
    </row>
    <row r="955" spans="10:16" x14ac:dyDescent="0.2">
      <c r="J955" s="52">
        <v>44620</v>
      </c>
      <c r="K955" s="51">
        <v>5.1660000000000004</v>
      </c>
      <c r="L955" s="51">
        <v>5.2123999999999997</v>
      </c>
      <c r="M955" s="51">
        <v>5.0186000000000002</v>
      </c>
      <c r="N955" s="51">
        <v>5.0337360000000002</v>
      </c>
      <c r="O955" s="51">
        <v>5.0337360000000002</v>
      </c>
      <c r="P955" s="51">
        <v>0</v>
      </c>
    </row>
    <row r="956" spans="10:16" x14ac:dyDescent="0.2">
      <c r="J956" s="52">
        <v>44627</v>
      </c>
      <c r="K956" s="51">
        <v>5.0589000000000004</v>
      </c>
      <c r="L956" s="51">
        <v>5.1118300000000003</v>
      </c>
      <c r="M956" s="51">
        <v>4.9832999999999998</v>
      </c>
      <c r="N956" s="51">
        <v>5.0735000000000001</v>
      </c>
      <c r="O956" s="51">
        <v>5.0735000000000001</v>
      </c>
      <c r="P956" s="51">
        <v>0</v>
      </c>
    </row>
    <row r="957" spans="10:16" x14ac:dyDescent="0.2">
      <c r="J957" s="52">
        <v>44634</v>
      </c>
      <c r="K957" s="51">
        <v>5.0731000000000002</v>
      </c>
      <c r="L957" s="51">
        <v>5.1637000000000004</v>
      </c>
      <c r="M957" s="51">
        <v>5.0084200000000001</v>
      </c>
      <c r="N957" s="51">
        <v>5.0223000000000004</v>
      </c>
      <c r="O957" s="51">
        <v>5.0223000000000004</v>
      </c>
      <c r="P957" s="51">
        <v>0</v>
      </c>
    </row>
    <row r="958" spans="10:16" x14ac:dyDescent="0.2">
      <c r="J958" s="52">
        <v>44641</v>
      </c>
      <c r="K958" s="51">
        <v>5.0178000000000003</v>
      </c>
      <c r="L958" s="51">
        <v>5.0251000000000001</v>
      </c>
      <c r="M958" s="51">
        <v>4.7387350000000001</v>
      </c>
      <c r="N958" s="51">
        <v>4.7416999999999998</v>
      </c>
      <c r="O958" s="51">
        <v>4.7416999999999998</v>
      </c>
      <c r="P958" s="51">
        <v>0</v>
      </c>
    </row>
    <row r="959" spans="10:16" x14ac:dyDescent="0.2">
      <c r="J959" s="52">
        <v>44648</v>
      </c>
      <c r="K959" s="51">
        <v>4.7369000000000003</v>
      </c>
      <c r="L959" s="51">
        <v>4.8158000000000003</v>
      </c>
      <c r="M959" s="51">
        <v>4.6551749999999998</v>
      </c>
      <c r="N959" s="51">
        <v>4.6560750000000004</v>
      </c>
      <c r="O959" s="51">
        <v>4.6560750000000004</v>
      </c>
      <c r="P959" s="51">
        <v>0</v>
      </c>
    </row>
    <row r="960" spans="10:16" x14ac:dyDescent="0.2">
      <c r="J960" s="52">
        <v>44655</v>
      </c>
      <c r="K960" s="51">
        <v>4.6571999999999996</v>
      </c>
      <c r="L960" s="51">
        <v>4.7912999999999997</v>
      </c>
      <c r="M960" s="51">
        <v>4.5754999999999999</v>
      </c>
      <c r="N960" s="51">
        <v>4.6974999999999998</v>
      </c>
      <c r="O960" s="51">
        <v>4.6974999999999998</v>
      </c>
      <c r="P960" s="51">
        <v>0</v>
      </c>
    </row>
    <row r="961" spans="10:16" x14ac:dyDescent="0.2">
      <c r="J961" s="52">
        <v>44662</v>
      </c>
      <c r="K961" s="51">
        <v>4.6980000000000004</v>
      </c>
      <c r="L961" s="51">
        <v>4.7381000000000002</v>
      </c>
      <c r="M961" s="51">
        <v>4.6215000000000002</v>
      </c>
      <c r="N961" s="51">
        <v>4.7005999999999997</v>
      </c>
      <c r="O961" s="51">
        <v>4.7005999999999997</v>
      </c>
      <c r="P961" s="51">
        <v>0</v>
      </c>
    </row>
    <row r="962" spans="10:16" x14ac:dyDescent="0.2">
      <c r="J962" s="52">
        <v>44669</v>
      </c>
      <c r="K962" s="51">
        <v>4.7005999999999997</v>
      </c>
      <c r="L962" s="51">
        <v>4.794886</v>
      </c>
      <c r="M962" s="51">
        <v>4.6065550000000002</v>
      </c>
      <c r="N962" s="51">
        <v>4.794886</v>
      </c>
      <c r="O962" s="51">
        <v>4.794886</v>
      </c>
      <c r="P962" s="51">
        <v>0</v>
      </c>
    </row>
    <row r="963" spans="10:16" x14ac:dyDescent="0.2">
      <c r="J963" s="52">
        <v>44676</v>
      </c>
      <c r="K963" s="51">
        <v>4.7952000000000004</v>
      </c>
      <c r="L963" s="51">
        <v>5.0408999999999997</v>
      </c>
      <c r="M963" s="51">
        <v>4.7905870000000004</v>
      </c>
      <c r="N963" s="51">
        <v>4.9702999999999999</v>
      </c>
      <c r="O963" s="51">
        <v>4.9702999999999999</v>
      </c>
      <c r="P963" s="51">
        <v>0</v>
      </c>
    </row>
    <row r="964" spans="10:16" x14ac:dyDescent="0.2">
      <c r="J964" s="52">
        <v>44683</v>
      </c>
      <c r="K964" s="51">
        <v>4.9713000000000003</v>
      </c>
      <c r="L964" s="51">
        <v>5.1113999999999997</v>
      </c>
      <c r="M964" s="51">
        <v>4.9038009999999996</v>
      </c>
      <c r="N964" s="51">
        <v>5.0799000000000003</v>
      </c>
      <c r="O964" s="51">
        <v>5.0799000000000003</v>
      </c>
      <c r="P964" s="51">
        <v>0</v>
      </c>
    </row>
    <row r="965" spans="10:16" x14ac:dyDescent="0.2">
      <c r="J965" s="52">
        <v>44690</v>
      </c>
      <c r="K965" s="51">
        <v>5.0804</v>
      </c>
      <c r="L965" s="51">
        <v>5.2074999999999996</v>
      </c>
      <c r="M965" s="51">
        <v>5.0575999999999999</v>
      </c>
      <c r="N965" s="51">
        <v>5.0575999999999999</v>
      </c>
      <c r="O965" s="51">
        <v>5.0575999999999999</v>
      </c>
      <c r="P965" s="51">
        <v>0</v>
      </c>
    </row>
    <row r="966" spans="10:16" x14ac:dyDescent="0.2">
      <c r="J966" s="52">
        <v>44697</v>
      </c>
      <c r="K966" s="51">
        <v>5.0583</v>
      </c>
      <c r="L966" s="51">
        <v>5.1017000000000001</v>
      </c>
      <c r="M966" s="51">
        <v>4.8520000000000003</v>
      </c>
      <c r="N966" s="51">
        <v>4.8795000000000002</v>
      </c>
      <c r="O966" s="51">
        <v>4.8795000000000002</v>
      </c>
      <c r="P966" s="51">
        <v>0</v>
      </c>
    </row>
    <row r="967" spans="10:16" x14ac:dyDescent="0.2">
      <c r="J967" s="52">
        <v>44704</v>
      </c>
      <c r="K967" s="51">
        <v>4.8802000000000003</v>
      </c>
      <c r="L967" s="51">
        <v>4.8802000000000003</v>
      </c>
      <c r="M967" s="51">
        <v>4.7139170000000004</v>
      </c>
      <c r="N967" s="51">
        <v>4.7294</v>
      </c>
      <c r="O967" s="51">
        <v>4.7294</v>
      </c>
      <c r="P967" s="51">
        <v>0</v>
      </c>
    </row>
    <row r="968" spans="10:16" x14ac:dyDescent="0.2">
      <c r="J968" s="52">
        <v>44711</v>
      </c>
      <c r="K968" s="51">
        <v>4.7374000000000001</v>
      </c>
      <c r="L968" s="51">
        <v>4.7374000000000001</v>
      </c>
      <c r="M968" s="51">
        <v>4.6897000000000002</v>
      </c>
      <c r="N968" s="51">
        <v>4.7217000000000002</v>
      </c>
      <c r="O968" s="51">
        <v>4.7217000000000002</v>
      </c>
      <c r="P968" s="51">
        <v>0</v>
      </c>
    </row>
    <row r="969" spans="10:16" x14ac:dyDescent="0.2">
      <c r="J969" s="471">
        <v>44718</v>
      </c>
      <c r="K969" s="166">
        <v>4.7942</v>
      </c>
      <c r="L969" s="166">
        <v>5.0086000000000004</v>
      </c>
      <c r="M969" s="166">
        <v>4.7897999999999996</v>
      </c>
      <c r="N969" s="166">
        <v>4.9832000000000001</v>
      </c>
      <c r="O969" s="166">
        <v>4.9832000000000001</v>
      </c>
    </row>
    <row r="970" spans="10:16" x14ac:dyDescent="0.2">
      <c r="J970" s="471">
        <v>44725</v>
      </c>
      <c r="K970" s="166">
        <v>4.984</v>
      </c>
      <c r="L970" s="166">
        <v>5.1513</v>
      </c>
      <c r="M970" s="166">
        <v>4.9839000000000002</v>
      </c>
      <c r="N970" s="166">
        <v>5.1520000000000001</v>
      </c>
      <c r="O970" s="166">
        <v>5.1520000000000001</v>
      </c>
      <c r="P970" s="166" t="s">
        <v>123</v>
      </c>
    </row>
    <row r="971" spans="10:16" x14ac:dyDescent="0.2">
      <c r="J971" s="471">
        <v>44732</v>
      </c>
      <c r="K971" s="166">
        <v>5.1520999999999999</v>
      </c>
      <c r="L971" s="166">
        <v>5.2733999999999996</v>
      </c>
      <c r="M971" s="166">
        <v>5.1174999999999997</v>
      </c>
      <c r="N971" s="166">
        <v>5.2413999999999996</v>
      </c>
      <c r="O971" s="166">
        <v>5.2413999999999996</v>
      </c>
      <c r="P971" s="166" t="s">
        <v>123</v>
      </c>
    </row>
    <row r="972" spans="10:16" x14ac:dyDescent="0.2">
      <c r="J972" s="471">
        <v>44739</v>
      </c>
      <c r="K972" s="166">
        <v>5.2413999999999996</v>
      </c>
      <c r="L972" s="166">
        <v>5.3353999999999999</v>
      </c>
      <c r="M972" s="166">
        <v>5.1776</v>
      </c>
      <c r="N972" s="166">
        <v>5.3310000000000004</v>
      </c>
      <c r="O972" s="166">
        <v>5.3310000000000004</v>
      </c>
      <c r="P972" s="166" t="s">
        <v>123</v>
      </c>
    </row>
    <row r="973" spans="10:16" x14ac:dyDescent="0.2">
      <c r="J973" s="471">
        <v>44746</v>
      </c>
      <c r="K973" s="166">
        <v>5.3310000000000004</v>
      </c>
      <c r="L973" s="166">
        <v>5.4596999999999998</v>
      </c>
      <c r="M973" s="166">
        <v>5.2511999999999999</v>
      </c>
      <c r="N973" s="166">
        <v>5.2511999999999999</v>
      </c>
      <c r="O973" s="166">
        <v>5.2511999999999999</v>
      </c>
      <c r="P973" s="166" t="s">
        <v>123</v>
      </c>
    </row>
    <row r="974" spans="10:16" x14ac:dyDescent="0.2">
      <c r="J974" s="471">
        <v>44753</v>
      </c>
      <c r="K974" s="166">
        <v>5.2539999999999996</v>
      </c>
      <c r="L974" s="166">
        <v>5.4866000000000001</v>
      </c>
      <c r="M974" s="166">
        <v>5.2508999999999997</v>
      </c>
      <c r="N974" s="166">
        <v>5.4130000000000003</v>
      </c>
      <c r="O974" s="166">
        <v>5.4130000000000003</v>
      </c>
      <c r="P974" s="166" t="s">
        <v>123</v>
      </c>
    </row>
    <row r="975" spans="10:16" x14ac:dyDescent="0.2">
      <c r="J975" s="471">
        <v>44760</v>
      </c>
      <c r="K975" s="166">
        <v>5.4100999999999999</v>
      </c>
      <c r="L975" s="166">
        <v>5.5023</v>
      </c>
      <c r="M975" s="166">
        <v>5.3506999999999998</v>
      </c>
      <c r="N975" s="166">
        <v>5.4926000000000004</v>
      </c>
      <c r="O975" s="166">
        <v>5.4926000000000004</v>
      </c>
      <c r="P975" s="166" t="s">
        <v>123</v>
      </c>
    </row>
    <row r="976" spans="10:16" x14ac:dyDescent="0.2">
      <c r="J976" s="471">
        <v>44767</v>
      </c>
      <c r="K976" s="166">
        <v>5.4966999999999997</v>
      </c>
      <c r="L976" s="166">
        <v>5.4996</v>
      </c>
      <c r="M976" s="166">
        <v>5.1483999999999996</v>
      </c>
      <c r="N976" s="166">
        <v>5.1707999999999998</v>
      </c>
      <c r="O976" s="166">
        <v>5.1707999999999998</v>
      </c>
      <c r="P976" s="166" t="s">
        <v>123</v>
      </c>
    </row>
    <row r="977" spans="10:16" x14ac:dyDescent="0.2">
      <c r="J977" s="471">
        <v>44774</v>
      </c>
      <c r="K977" s="166">
        <v>5.1711999999999998</v>
      </c>
      <c r="L977" s="166">
        <v>5.3129999999999997</v>
      </c>
      <c r="M977" s="166">
        <v>5.1269999999999998</v>
      </c>
      <c r="N977" s="166">
        <v>5.1601999999999997</v>
      </c>
      <c r="O977" s="166">
        <v>5.1601999999999997</v>
      </c>
      <c r="P977" s="166" t="s">
        <v>123</v>
      </c>
    </row>
    <row r="978" spans="10:16" x14ac:dyDescent="0.2">
      <c r="J978" s="471">
        <v>44781</v>
      </c>
      <c r="K978" s="166">
        <v>5.1646000000000001</v>
      </c>
      <c r="L978" s="166">
        <v>5.1662999999999997</v>
      </c>
      <c r="M978" s="166">
        <v>5.0354999999999999</v>
      </c>
      <c r="N978" s="166">
        <v>5.0743999999999998</v>
      </c>
      <c r="O978" s="166">
        <v>5.0743999999999998</v>
      </c>
      <c r="P978" s="166" t="s">
        <v>123</v>
      </c>
    </row>
    <row r="979" spans="10:16" x14ac:dyDescent="0.2">
      <c r="J979" s="471">
        <v>44788</v>
      </c>
      <c r="K979" s="166">
        <v>5.0749000000000004</v>
      </c>
      <c r="L979" s="166">
        <v>5.2169999999999996</v>
      </c>
      <c r="M979" s="166">
        <v>5.0677000000000003</v>
      </c>
      <c r="N979" s="166">
        <v>5.1635999999999997</v>
      </c>
      <c r="O979" s="166">
        <v>5.1635999999999997</v>
      </c>
      <c r="P979" s="166" t="s">
        <v>123</v>
      </c>
    </row>
    <row r="980" spans="10:16" x14ac:dyDescent="0.2">
      <c r="J980" s="471">
        <v>44795</v>
      </c>
      <c r="K980" s="166">
        <v>5.1684000000000001</v>
      </c>
      <c r="L980" s="166">
        <v>5.2020999999999997</v>
      </c>
      <c r="M980" s="166">
        <v>5.0583999999999998</v>
      </c>
      <c r="N980" s="166">
        <v>5.0583999999999998</v>
      </c>
      <c r="O980" s="166">
        <v>5.0583999999999998</v>
      </c>
      <c r="P980" s="166" t="s">
        <v>123</v>
      </c>
    </row>
    <row r="981" spans="10:16" x14ac:dyDescent="0.2">
      <c r="J981" s="471">
        <v>44802</v>
      </c>
      <c r="K981" s="166">
        <v>5.0625</v>
      </c>
      <c r="L981" s="166">
        <v>5.2481</v>
      </c>
      <c r="M981" s="166">
        <v>4.9980000000000002</v>
      </c>
      <c r="N981" s="166">
        <v>5.1706000000000003</v>
      </c>
      <c r="O981" s="166">
        <v>5.1706000000000003</v>
      </c>
      <c r="P981" s="166" t="s">
        <v>123</v>
      </c>
    </row>
    <row r="982" spans="10:16" x14ac:dyDescent="0.2">
      <c r="J982" s="471">
        <v>44809</v>
      </c>
      <c r="K982" s="166">
        <v>5.1710000000000003</v>
      </c>
      <c r="L982" s="166">
        <v>5.2492000000000001</v>
      </c>
      <c r="M982" s="166">
        <v>5.1231999999999998</v>
      </c>
      <c r="N982" s="166">
        <v>5.1459000000000001</v>
      </c>
      <c r="O982" s="166">
        <v>5.1459000000000001</v>
      </c>
      <c r="P982" s="166" t="s">
        <v>123</v>
      </c>
    </row>
    <row r="983" spans="10:16" x14ac:dyDescent="0.2">
      <c r="J983" s="471">
        <v>44816</v>
      </c>
      <c r="K983" s="166">
        <v>5.1463000000000001</v>
      </c>
      <c r="L983" s="166">
        <v>5.3075999999999999</v>
      </c>
      <c r="M983" s="166">
        <v>5.0670000000000002</v>
      </c>
      <c r="N983" s="166">
        <v>5.2477</v>
      </c>
      <c r="O983" s="166">
        <v>5.2477</v>
      </c>
      <c r="P983" s="166" t="s">
        <v>123</v>
      </c>
    </row>
    <row r="984" spans="10:16" x14ac:dyDescent="0.2">
      <c r="J984" s="471">
        <v>44823</v>
      </c>
      <c r="K984" s="166">
        <v>5.2507000000000001</v>
      </c>
      <c r="L984" s="166">
        <v>5.298</v>
      </c>
      <c r="M984" s="166">
        <v>5.1127000000000002</v>
      </c>
      <c r="N984" s="166">
        <v>5.2610000000000001</v>
      </c>
      <c r="O984" s="166">
        <v>5.2610000000000001</v>
      </c>
      <c r="P984" s="166" t="s">
        <v>123</v>
      </c>
    </row>
    <row r="985" spans="10:16" x14ac:dyDescent="0.2">
      <c r="J985" s="471">
        <v>44830</v>
      </c>
      <c r="K985" s="166">
        <v>5.2587999999999999</v>
      </c>
      <c r="L985" s="166">
        <v>5.4283000000000001</v>
      </c>
      <c r="M985" s="166">
        <v>5.2553000000000001</v>
      </c>
      <c r="N985" s="166">
        <v>5.4076000000000004</v>
      </c>
      <c r="O985" s="166">
        <v>5.4076000000000004</v>
      </c>
      <c r="P985" s="166" t="s">
        <v>123</v>
      </c>
    </row>
    <row r="986" spans="10:16" x14ac:dyDescent="0.2">
      <c r="J986" s="471">
        <v>44837</v>
      </c>
      <c r="K986" s="166">
        <v>5.4142999999999999</v>
      </c>
      <c r="L986" s="166">
        <v>5.4157000000000002</v>
      </c>
      <c r="M986" s="166">
        <v>5.1089000000000002</v>
      </c>
      <c r="N986" s="166">
        <v>5.2026000000000003</v>
      </c>
      <c r="O986" s="166">
        <v>5.2026000000000003</v>
      </c>
      <c r="P986" s="166" t="s">
        <v>123</v>
      </c>
    </row>
    <row r="987" spans="10:16" x14ac:dyDescent="0.2">
      <c r="J987" s="471">
        <v>44844</v>
      </c>
      <c r="K987" s="166">
        <v>5.1984000000000004</v>
      </c>
      <c r="L987" s="166">
        <v>5.3784999999999998</v>
      </c>
      <c r="M987" s="166">
        <v>5.1597999999999997</v>
      </c>
      <c r="N987" s="166">
        <v>5.3228999999999997</v>
      </c>
      <c r="O987" s="166">
        <v>5.3228999999999997</v>
      </c>
      <c r="P987" s="166" t="s">
        <v>123</v>
      </c>
    </row>
    <row r="988" spans="10:16" x14ac:dyDescent="0.2">
      <c r="J988" s="471">
        <v>44851</v>
      </c>
      <c r="K988" s="166">
        <v>5.3273999999999999</v>
      </c>
      <c r="L988" s="166">
        <v>5.3300999999999998</v>
      </c>
      <c r="M988" s="166">
        <v>5.1341999999999999</v>
      </c>
      <c r="N988" s="166">
        <v>5.1578999999999997</v>
      </c>
      <c r="O988" s="166">
        <v>5.1578999999999997</v>
      </c>
      <c r="P988" s="166" t="s">
        <v>123</v>
      </c>
    </row>
    <row r="989" spans="10:16" x14ac:dyDescent="0.2">
      <c r="J989" s="471">
        <v>44858</v>
      </c>
      <c r="K989" s="166">
        <v>5.1634000000000002</v>
      </c>
      <c r="L989" s="166">
        <v>5.3852000000000002</v>
      </c>
      <c r="M989" s="166">
        <v>5.1599000000000004</v>
      </c>
      <c r="N989" s="166">
        <v>5.2885</v>
      </c>
      <c r="O989" s="166">
        <v>5.2885</v>
      </c>
      <c r="P989" s="166" t="s">
        <v>123</v>
      </c>
    </row>
    <row r="990" spans="10:16" x14ac:dyDescent="0.2">
      <c r="J990" s="471">
        <v>44865</v>
      </c>
      <c r="K990" s="166">
        <v>5.2885</v>
      </c>
      <c r="L990" s="166">
        <v>5.3997999999999999</v>
      </c>
      <c r="M990" s="166">
        <v>5.0228999999999999</v>
      </c>
      <c r="N990" s="166">
        <v>5.0427</v>
      </c>
      <c r="O990" s="166">
        <v>5.0427</v>
      </c>
      <c r="P990" s="166" t="s">
        <v>123</v>
      </c>
    </row>
    <row r="991" spans="10:16" x14ac:dyDescent="0.2">
      <c r="J991" s="471">
        <v>44872</v>
      </c>
      <c r="K991" s="166">
        <v>5.0781000000000001</v>
      </c>
      <c r="L991" s="166">
        <v>5.4009</v>
      </c>
      <c r="M991" s="166">
        <v>4.9974999999999996</v>
      </c>
      <c r="N991" s="166">
        <v>5.2790999999999997</v>
      </c>
      <c r="O991" s="166">
        <v>5.2790999999999997</v>
      </c>
      <c r="P991" s="166" t="s">
        <v>123</v>
      </c>
    </row>
    <row r="992" spans="10:16" x14ac:dyDescent="0.2">
      <c r="J992" s="471">
        <v>44879</v>
      </c>
      <c r="K992" s="166">
        <v>5.2790999999999997</v>
      </c>
      <c r="L992" s="166">
        <v>5.5195999999999996</v>
      </c>
      <c r="M992" s="166">
        <v>5.2629999999999999</v>
      </c>
      <c r="N992" s="166">
        <v>5.3813000000000004</v>
      </c>
      <c r="O992" s="166">
        <v>5.3813000000000004</v>
      </c>
      <c r="P992" s="166" t="s">
        <v>123</v>
      </c>
    </row>
    <row r="993" spans="10:16" x14ac:dyDescent="0.2">
      <c r="J993" s="471">
        <v>44886</v>
      </c>
      <c r="K993" s="166">
        <v>5.3813000000000004</v>
      </c>
      <c r="L993" s="166">
        <v>5.4085999999999999</v>
      </c>
      <c r="M993" s="166">
        <v>5.2817999999999996</v>
      </c>
      <c r="N993" s="166">
        <v>5.4085000000000001</v>
      </c>
      <c r="O993" s="166">
        <v>5.4085000000000001</v>
      </c>
      <c r="P993" s="166" t="s">
        <v>123</v>
      </c>
    </row>
    <row r="994" spans="10:16" x14ac:dyDescent="0.2">
      <c r="J994" s="471">
        <v>44893</v>
      </c>
      <c r="K994" s="166">
        <v>5.4085000000000001</v>
      </c>
      <c r="L994" s="166">
        <v>5.4238</v>
      </c>
      <c r="M994" s="166">
        <v>5.1631999999999998</v>
      </c>
      <c r="N994" s="166">
        <v>5.2175000000000002</v>
      </c>
      <c r="O994" s="166">
        <v>5.2175000000000002</v>
      </c>
      <c r="P994" s="166" t="s">
        <v>123</v>
      </c>
    </row>
    <row r="995" spans="10:16" x14ac:dyDescent="0.2">
      <c r="J995" s="471">
        <v>44900</v>
      </c>
      <c r="K995" s="166">
        <v>5.218</v>
      </c>
      <c r="L995" s="166">
        <v>5.2805999999999997</v>
      </c>
      <c r="M995" s="166">
        <v>5.1939000000000002</v>
      </c>
      <c r="N995" s="166">
        <v>5.2350000000000003</v>
      </c>
      <c r="O995" s="166">
        <v>5.2350000000000003</v>
      </c>
      <c r="P995" s="166" t="s">
        <v>123</v>
      </c>
    </row>
    <row r="996" spans="10:16" x14ac:dyDescent="0.2">
      <c r="J996" s="471">
        <v>44907</v>
      </c>
      <c r="K996" s="166">
        <v>5.2350000000000003</v>
      </c>
      <c r="L996" s="166">
        <v>5.3662000000000001</v>
      </c>
      <c r="M996" s="166">
        <v>5.2340999999999998</v>
      </c>
      <c r="N996" s="166">
        <v>5.3064999999999998</v>
      </c>
      <c r="O996" s="166">
        <v>5.3064999999999998</v>
      </c>
      <c r="P996" s="166" t="s">
        <v>123</v>
      </c>
    </row>
    <row r="997" spans="10:16" x14ac:dyDescent="0.2">
      <c r="J997" s="471">
        <v>44914</v>
      </c>
      <c r="K997" s="166">
        <v>5.3064999999999998</v>
      </c>
      <c r="L997" s="166">
        <v>5.3357999999999999</v>
      </c>
      <c r="M997" s="166">
        <v>5.1162999999999998</v>
      </c>
      <c r="N997" s="166">
        <v>5.1642999999999999</v>
      </c>
      <c r="O997" s="166">
        <v>5.1642999999999999</v>
      </c>
      <c r="P997" s="166" t="s">
        <v>123</v>
      </c>
    </row>
    <row r="998" spans="10:16" x14ac:dyDescent="0.2">
      <c r="J998" s="471">
        <v>44921</v>
      </c>
      <c r="K998" s="166">
        <v>5.1642999999999999</v>
      </c>
      <c r="L998" s="166">
        <v>5.2927</v>
      </c>
      <c r="M998" s="166">
        <v>5.125</v>
      </c>
      <c r="N998" s="166">
        <v>5.2854999999999999</v>
      </c>
      <c r="O998" s="166">
        <v>5.2854999999999999</v>
      </c>
      <c r="P998" s="166" t="s">
        <v>123</v>
      </c>
    </row>
    <row r="999" spans="10:16" x14ac:dyDescent="0.2">
      <c r="J999" s="471">
        <v>44928</v>
      </c>
      <c r="K999" s="166">
        <v>5.2854999999999999</v>
      </c>
      <c r="L999" s="166">
        <v>5.4794</v>
      </c>
      <c r="M999" s="166">
        <v>5.2243000000000004</v>
      </c>
      <c r="N999" s="166">
        <v>5.2244000000000002</v>
      </c>
      <c r="O999" s="166">
        <v>5.2244000000000002</v>
      </c>
      <c r="P999" s="166" t="s">
        <v>123</v>
      </c>
    </row>
    <row r="1000" spans="10:16" x14ac:dyDescent="0.2">
      <c r="J1000" s="471">
        <v>44935</v>
      </c>
      <c r="K1000" s="166">
        <v>5.2244000000000002</v>
      </c>
      <c r="L1000" s="166">
        <v>5.3064</v>
      </c>
      <c r="M1000" s="166">
        <v>5.0683999999999996</v>
      </c>
      <c r="N1000" s="166">
        <v>5.0807000000000002</v>
      </c>
      <c r="O1000" s="166">
        <v>5.0807000000000002</v>
      </c>
      <c r="P1000" s="166" t="s">
        <v>123</v>
      </c>
    </row>
    <row r="1001" spans="10:16" x14ac:dyDescent="0.2">
      <c r="J1001" s="471">
        <v>44942</v>
      </c>
      <c r="K1001" s="166">
        <v>5.0807000000000002</v>
      </c>
      <c r="L1001" s="166">
        <v>5.2492000000000001</v>
      </c>
      <c r="M1001" s="166">
        <v>5.0647000000000002</v>
      </c>
      <c r="N1001" s="166">
        <v>5.2062999999999997</v>
      </c>
      <c r="O1001" s="166">
        <v>5.2062999999999997</v>
      </c>
      <c r="P1001" s="166" t="s">
        <v>123</v>
      </c>
    </row>
    <row r="1002" spans="10:16" x14ac:dyDescent="0.2">
      <c r="J1002" s="471">
        <v>44949</v>
      </c>
      <c r="K1002" s="166">
        <v>5.2062999999999997</v>
      </c>
      <c r="L1002" s="166">
        <v>5.2148000000000003</v>
      </c>
      <c r="M1002" s="166">
        <v>5.0544000000000002</v>
      </c>
      <c r="N1002" s="166">
        <v>5.1071999999999997</v>
      </c>
      <c r="O1002" s="166">
        <v>5.1071999999999997</v>
      </c>
      <c r="P1002" s="166" t="s">
        <v>123</v>
      </c>
    </row>
    <row r="1003" spans="10:16" x14ac:dyDescent="0.2">
      <c r="J1003" s="471">
        <v>44956</v>
      </c>
      <c r="K1003" s="166">
        <v>5.1071999999999997</v>
      </c>
      <c r="L1003" s="166">
        <v>5.1509999999999998</v>
      </c>
      <c r="M1003" s="166">
        <v>4.9417</v>
      </c>
      <c r="N1003" s="166">
        <v>5.1497999999999999</v>
      </c>
      <c r="O1003" s="166">
        <v>5.1497999999999999</v>
      </c>
      <c r="P1003" s="166" t="s">
        <v>123</v>
      </c>
    </row>
    <row r="1004" spans="10:16" x14ac:dyDescent="0.2">
      <c r="J1004" s="471">
        <v>44963</v>
      </c>
      <c r="K1004" s="166">
        <v>5.1497999999999999</v>
      </c>
      <c r="L1004" s="166">
        <v>5.3045999999999998</v>
      </c>
      <c r="M1004" s="166">
        <v>5.1334</v>
      </c>
      <c r="N1004" s="166">
        <v>5.2134999999999998</v>
      </c>
      <c r="O1004" s="166">
        <v>5.2134999999999998</v>
      </c>
      <c r="P1004" s="166" t="s">
        <v>123</v>
      </c>
    </row>
    <row r="1005" spans="10:16" x14ac:dyDescent="0.2">
      <c r="J1005" s="471">
        <v>44970</v>
      </c>
      <c r="K1005" s="166">
        <v>5.2134999999999998</v>
      </c>
      <c r="L1005" s="166">
        <v>5.2556000000000003</v>
      </c>
      <c r="M1005" s="166">
        <v>5.1265999999999998</v>
      </c>
      <c r="N1005" s="166">
        <v>5.1627000000000001</v>
      </c>
      <c r="O1005" s="166">
        <v>5.1627000000000001</v>
      </c>
      <c r="P1005" s="166" t="s">
        <v>123</v>
      </c>
    </row>
    <row r="1006" spans="10:16" x14ac:dyDescent="0.2">
      <c r="J1006" s="471">
        <v>44977</v>
      </c>
      <c r="K1006" s="166">
        <v>5.1651999999999996</v>
      </c>
      <c r="L1006" s="166">
        <v>5.2098000000000004</v>
      </c>
      <c r="M1006" s="166">
        <v>5.1096000000000004</v>
      </c>
      <c r="N1006" s="166">
        <v>5.2077999999999998</v>
      </c>
      <c r="O1006" s="166">
        <v>5.2077999999999998</v>
      </c>
      <c r="P1006" s="166" t="s">
        <v>123</v>
      </c>
    </row>
    <row r="1007" spans="10:16" x14ac:dyDescent="0.2">
      <c r="J1007" s="471">
        <v>44984</v>
      </c>
      <c r="K1007" s="166">
        <v>5.2077999999999998</v>
      </c>
      <c r="L1007" s="166">
        <v>5.2398999999999996</v>
      </c>
      <c r="M1007" s="166">
        <v>5.1688999999999998</v>
      </c>
      <c r="N1007" s="166">
        <v>5.1943999999999999</v>
      </c>
      <c r="O1007" s="166">
        <v>5.1943999999999999</v>
      </c>
      <c r="P1007" s="166" t="s">
        <v>123</v>
      </c>
    </row>
    <row r="1008" spans="10:16" x14ac:dyDescent="0.2">
      <c r="J1008" s="471">
        <v>44991</v>
      </c>
      <c r="K1008" s="166">
        <v>5.1943999999999999</v>
      </c>
      <c r="L1008" s="166">
        <v>5.2157</v>
      </c>
      <c r="M1008" s="166">
        <v>5.1029</v>
      </c>
      <c r="N1008" s="166">
        <v>5.2156000000000002</v>
      </c>
      <c r="O1008" s="166">
        <v>5.2156000000000002</v>
      </c>
      <c r="P1008" s="166" t="s">
        <v>123</v>
      </c>
    </row>
    <row r="1009" spans="10:16" x14ac:dyDescent="0.2">
      <c r="J1009" s="471">
        <v>44998</v>
      </c>
      <c r="K1009" s="166">
        <v>5.2156000000000002</v>
      </c>
      <c r="L1009" s="166">
        <v>5.2782999999999998</v>
      </c>
      <c r="M1009" s="166">
        <v>5.21</v>
      </c>
      <c r="N1009" s="166">
        <v>5.2156000000000002</v>
      </c>
      <c r="O1009" s="166">
        <v>5.2156000000000002</v>
      </c>
      <c r="P1009" s="166" t="s">
        <v>123</v>
      </c>
    </row>
  </sheetData>
  <sortState xmlns:xlrd2="http://schemas.microsoft.com/office/spreadsheetml/2017/richdata2" ref="J969:P1009">
    <sortCondition ref="J969:J1009"/>
  </sortState>
  <mergeCells count="2">
    <mergeCell ref="A1:G1"/>
    <mergeCell ref="J1:P1"/>
  </mergeCells>
  <hyperlinks>
    <hyperlink ref="T1" r:id="rId1" xr:uid="{26811694-6691-4E30-8141-645F45E9A6EF}"/>
  </hyperlink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C89D-9D8A-4980-9DCF-08FDF4CBF939}">
  <sheetPr>
    <tabColor theme="7" tint="0.79998168889431442"/>
  </sheetPr>
  <dimension ref="A1:U987"/>
  <sheetViews>
    <sheetView workbookViewId="0">
      <pane xSplit="1" ySplit="2" topLeftCell="B111" activePane="bottomRight" state="frozen"/>
      <selection pane="topRight" activeCell="B1" sqref="B1"/>
      <selection pane="bottomLeft" activeCell="A3" sqref="A3"/>
      <selection pane="bottomRight" activeCell="T1" sqref="T1"/>
    </sheetView>
  </sheetViews>
  <sheetFormatPr baseColWidth="10" defaultColWidth="9.1640625" defaultRowHeight="15" x14ac:dyDescent="0.2"/>
  <cols>
    <col min="1" max="1" width="10.6640625" style="253" bestFit="1" customWidth="1"/>
    <col min="2" max="9" width="9.1640625" style="253"/>
    <col min="10" max="10" width="10.6640625" style="253" bestFit="1" customWidth="1"/>
    <col min="11" max="19" width="9.1640625" style="253"/>
    <col min="20" max="20" width="10.6640625" style="253" customWidth="1"/>
    <col min="21" max="16384" width="9.1640625" style="253"/>
  </cols>
  <sheetData>
    <row r="1" spans="1:21" x14ac:dyDescent="0.2">
      <c r="A1" s="534" t="s">
        <v>102</v>
      </c>
      <c r="B1" s="534"/>
      <c r="C1" s="534"/>
      <c r="D1" s="534"/>
      <c r="E1" s="534"/>
      <c r="F1" s="534"/>
      <c r="G1" s="534"/>
      <c r="H1" s="256"/>
      <c r="I1" s="252"/>
      <c r="J1" s="534" t="s">
        <v>103</v>
      </c>
      <c r="K1" s="534"/>
      <c r="L1" s="534"/>
      <c r="M1" s="534"/>
      <c r="N1" s="534"/>
      <c r="O1" s="534"/>
      <c r="P1" s="534"/>
      <c r="Q1" s="256"/>
      <c r="S1" s="255" t="s">
        <v>61</v>
      </c>
      <c r="T1" s="154" t="s">
        <v>612</v>
      </c>
    </row>
    <row r="2" spans="1:21" x14ac:dyDescent="0.2">
      <c r="A2" s="257" t="s">
        <v>104</v>
      </c>
      <c r="B2" s="257" t="s">
        <v>105</v>
      </c>
      <c r="C2" s="257" t="s">
        <v>106</v>
      </c>
      <c r="D2" s="257" t="s">
        <v>107</v>
      </c>
      <c r="E2" s="257" t="s">
        <v>108</v>
      </c>
      <c r="F2" s="257" t="s">
        <v>109</v>
      </c>
      <c r="G2" s="257" t="s">
        <v>75</v>
      </c>
      <c r="J2" s="257" t="s">
        <v>104</v>
      </c>
      <c r="K2" s="257" t="s">
        <v>105</v>
      </c>
      <c r="L2" s="257" t="s">
        <v>106</v>
      </c>
      <c r="M2" s="257" t="s">
        <v>107</v>
      </c>
      <c r="N2" s="257" t="s">
        <v>108</v>
      </c>
      <c r="O2" s="257" t="s">
        <v>109</v>
      </c>
      <c r="P2" s="257" t="s">
        <v>75</v>
      </c>
      <c r="T2" s="253" t="s">
        <v>611</v>
      </c>
    </row>
    <row r="3" spans="1:21" x14ac:dyDescent="0.2">
      <c r="A3" s="258"/>
      <c r="B3" s="257"/>
      <c r="C3" s="257"/>
      <c r="D3" s="257"/>
      <c r="E3" s="257"/>
      <c r="F3" s="257"/>
      <c r="G3" s="257"/>
      <c r="J3" s="258">
        <v>37956</v>
      </c>
      <c r="K3" s="257">
        <v>0.83098000000000005</v>
      </c>
      <c r="L3" s="257">
        <v>0.83723999999999998</v>
      </c>
      <c r="M3" s="257">
        <v>0.82028000000000001</v>
      </c>
      <c r="N3" s="257">
        <v>0.82162999999999997</v>
      </c>
      <c r="O3" s="257">
        <v>0.82162999999999997</v>
      </c>
      <c r="P3" s="257">
        <v>0</v>
      </c>
      <c r="T3" s="254">
        <v>44561</v>
      </c>
      <c r="U3" s="259">
        <v>0.88300000000000001</v>
      </c>
    </row>
    <row r="4" spans="1:21" x14ac:dyDescent="0.2">
      <c r="A4" s="258"/>
      <c r="B4" s="257"/>
      <c r="C4" s="257"/>
      <c r="D4" s="257"/>
      <c r="E4" s="257"/>
      <c r="F4" s="257"/>
      <c r="G4" s="257"/>
      <c r="J4" s="258">
        <v>37963</v>
      </c>
      <c r="K4" s="257">
        <v>0.82182999999999995</v>
      </c>
      <c r="L4" s="257">
        <v>0.82487999999999995</v>
      </c>
      <c r="M4" s="257">
        <v>0.81261000000000005</v>
      </c>
      <c r="N4" s="257">
        <v>0.82067999999999997</v>
      </c>
      <c r="O4" s="257">
        <v>0.82067999999999997</v>
      </c>
      <c r="P4" s="257">
        <v>0</v>
      </c>
    </row>
    <row r="5" spans="1:21" x14ac:dyDescent="0.2">
      <c r="A5" s="258"/>
      <c r="B5" s="257"/>
      <c r="C5" s="257"/>
      <c r="D5" s="257"/>
      <c r="E5" s="257"/>
      <c r="F5" s="257"/>
      <c r="G5" s="257"/>
      <c r="J5" s="258">
        <v>37970</v>
      </c>
      <c r="K5" s="257">
        <v>0.82055</v>
      </c>
      <c r="L5" s="257">
        <v>0.82115000000000005</v>
      </c>
      <c r="M5" s="257">
        <v>0.80373000000000006</v>
      </c>
      <c r="N5" s="257">
        <v>0.80918999999999996</v>
      </c>
      <c r="O5" s="257">
        <v>0.80918999999999996</v>
      </c>
      <c r="P5" s="257">
        <v>0</v>
      </c>
    </row>
    <row r="6" spans="1:21" x14ac:dyDescent="0.2">
      <c r="A6" s="258"/>
      <c r="B6" s="257"/>
      <c r="C6" s="257"/>
      <c r="D6" s="257"/>
      <c r="E6" s="257"/>
      <c r="F6" s="257"/>
      <c r="G6" s="257"/>
      <c r="J6" s="258">
        <v>37977</v>
      </c>
      <c r="K6" s="257">
        <v>0.80925999999999998</v>
      </c>
      <c r="L6" s="257">
        <v>0.80925999999999998</v>
      </c>
      <c r="M6" s="257">
        <v>0.78913999999999995</v>
      </c>
      <c r="N6" s="257">
        <v>0.80425000000000002</v>
      </c>
      <c r="O6" s="257">
        <v>0.80425000000000002</v>
      </c>
      <c r="P6" s="257">
        <v>0</v>
      </c>
    </row>
    <row r="7" spans="1:21" x14ac:dyDescent="0.2">
      <c r="A7" s="258"/>
      <c r="B7" s="257"/>
      <c r="C7" s="257"/>
      <c r="D7" s="257"/>
      <c r="E7" s="257"/>
      <c r="F7" s="257"/>
      <c r="G7" s="257"/>
      <c r="J7" s="258">
        <v>37984</v>
      </c>
      <c r="K7" s="257">
        <v>0.80425000000000002</v>
      </c>
      <c r="L7" s="257">
        <v>0.80450999999999995</v>
      </c>
      <c r="M7" s="257">
        <v>0.79057999999999995</v>
      </c>
      <c r="N7" s="257">
        <v>0.79125999999999996</v>
      </c>
      <c r="O7" s="257">
        <v>0.79125999999999996</v>
      </c>
      <c r="P7" s="257">
        <v>0</v>
      </c>
    </row>
    <row r="8" spans="1:21" x14ac:dyDescent="0.2">
      <c r="A8" s="258"/>
      <c r="B8" s="257"/>
      <c r="C8" s="257"/>
      <c r="D8" s="257"/>
      <c r="E8" s="257"/>
      <c r="F8" s="257"/>
      <c r="G8" s="257"/>
      <c r="J8" s="258">
        <v>37991</v>
      </c>
      <c r="K8" s="257">
        <v>0.79120000000000001</v>
      </c>
      <c r="L8" s="257">
        <v>0.79586000000000001</v>
      </c>
      <c r="M8" s="257">
        <v>0.77717999999999998</v>
      </c>
      <c r="N8" s="257">
        <v>0.77815000000000001</v>
      </c>
      <c r="O8" s="257">
        <v>0.77815000000000001</v>
      </c>
      <c r="P8" s="257">
        <v>0</v>
      </c>
    </row>
    <row r="9" spans="1:21" x14ac:dyDescent="0.2">
      <c r="A9" s="258"/>
      <c r="B9" s="257"/>
      <c r="C9" s="257"/>
      <c r="D9" s="257"/>
      <c r="E9" s="257"/>
      <c r="F9" s="257"/>
      <c r="G9" s="257"/>
      <c r="J9" s="258">
        <v>37998</v>
      </c>
      <c r="K9" s="257">
        <v>0.77832999999999997</v>
      </c>
      <c r="L9" s="257">
        <v>0.82277</v>
      </c>
      <c r="M9" s="257">
        <v>0.77537</v>
      </c>
      <c r="N9" s="257">
        <v>0.80723</v>
      </c>
      <c r="O9" s="257">
        <v>0.80723</v>
      </c>
      <c r="P9" s="257">
        <v>0</v>
      </c>
    </row>
    <row r="10" spans="1:21" x14ac:dyDescent="0.2">
      <c r="A10" s="258"/>
      <c r="B10" s="257"/>
      <c r="C10" s="257"/>
      <c r="D10" s="257"/>
      <c r="E10" s="257"/>
      <c r="F10" s="257"/>
      <c r="G10" s="257"/>
      <c r="J10" s="258">
        <v>38005</v>
      </c>
      <c r="K10" s="257">
        <v>0.80730000000000002</v>
      </c>
      <c r="L10" s="257">
        <v>0.81037000000000003</v>
      </c>
      <c r="M10" s="257">
        <v>0.78271999999999997</v>
      </c>
      <c r="N10" s="257">
        <v>0.79522999999999999</v>
      </c>
      <c r="O10" s="257">
        <v>0.79522999999999999</v>
      </c>
      <c r="P10" s="257">
        <v>0</v>
      </c>
    </row>
    <row r="11" spans="1:21" x14ac:dyDescent="0.2">
      <c r="A11" s="258"/>
      <c r="B11" s="257"/>
      <c r="C11" s="257"/>
      <c r="D11" s="257"/>
      <c r="E11" s="257"/>
      <c r="F11" s="257"/>
      <c r="G11" s="257"/>
      <c r="J11" s="258">
        <v>38012</v>
      </c>
      <c r="K11" s="257">
        <v>0.79522999999999999</v>
      </c>
      <c r="L11" s="257">
        <v>0.80939000000000005</v>
      </c>
      <c r="M11" s="257">
        <v>0.78988999999999998</v>
      </c>
      <c r="N11" s="257">
        <v>0.80147000000000002</v>
      </c>
      <c r="O11" s="257">
        <v>0.80147000000000002</v>
      </c>
      <c r="P11" s="257">
        <v>0</v>
      </c>
    </row>
    <row r="12" spans="1:21" x14ac:dyDescent="0.2">
      <c r="A12" s="258"/>
      <c r="B12" s="257"/>
      <c r="C12" s="257"/>
      <c r="D12" s="257"/>
      <c r="E12" s="257"/>
      <c r="F12" s="257"/>
      <c r="G12" s="257"/>
      <c r="J12" s="258">
        <v>38019</v>
      </c>
      <c r="K12" s="257">
        <v>0.80154000000000003</v>
      </c>
      <c r="L12" s="257">
        <v>0.80671000000000004</v>
      </c>
      <c r="M12" s="257">
        <v>0.78578999999999999</v>
      </c>
      <c r="N12" s="257">
        <v>0.79064000000000001</v>
      </c>
      <c r="O12" s="257">
        <v>0.79064000000000001</v>
      </c>
      <c r="P12" s="257">
        <v>0</v>
      </c>
    </row>
    <row r="13" spans="1:21" x14ac:dyDescent="0.2">
      <c r="A13" s="258"/>
      <c r="B13" s="257"/>
      <c r="C13" s="257"/>
      <c r="D13" s="257"/>
      <c r="E13" s="257"/>
      <c r="F13" s="257"/>
      <c r="G13" s="257"/>
      <c r="J13" s="258">
        <v>38026</v>
      </c>
      <c r="K13" s="257">
        <v>0.79020000000000001</v>
      </c>
      <c r="L13" s="257">
        <v>0.79020000000000001</v>
      </c>
      <c r="M13" s="257">
        <v>0.77580000000000005</v>
      </c>
      <c r="N13" s="257">
        <v>0.78566999999999998</v>
      </c>
      <c r="O13" s="257">
        <v>0.78566999999999998</v>
      </c>
      <c r="P13" s="257">
        <v>0</v>
      </c>
    </row>
    <row r="14" spans="1:21" x14ac:dyDescent="0.2">
      <c r="A14" s="258"/>
      <c r="B14" s="257"/>
      <c r="C14" s="257"/>
      <c r="D14" s="257"/>
      <c r="E14" s="257"/>
      <c r="F14" s="257"/>
      <c r="G14" s="257"/>
      <c r="J14" s="258">
        <v>38033</v>
      </c>
      <c r="K14" s="257">
        <v>0.78554999999999997</v>
      </c>
      <c r="L14" s="257">
        <v>0.79981000000000002</v>
      </c>
      <c r="M14" s="257">
        <v>0.77386999999999995</v>
      </c>
      <c r="N14" s="257">
        <v>0.79949000000000003</v>
      </c>
      <c r="O14" s="257">
        <v>0.79949000000000003</v>
      </c>
      <c r="P14" s="257">
        <v>0</v>
      </c>
    </row>
    <row r="15" spans="1:21" x14ac:dyDescent="0.2">
      <c r="A15" s="258"/>
      <c r="B15" s="257"/>
      <c r="C15" s="257"/>
      <c r="D15" s="257"/>
      <c r="E15" s="257"/>
      <c r="F15" s="257"/>
      <c r="G15" s="257"/>
      <c r="J15" s="258">
        <v>38040</v>
      </c>
      <c r="K15" s="257">
        <v>0.79993999999999998</v>
      </c>
      <c r="L15" s="257">
        <v>0.80769000000000002</v>
      </c>
      <c r="M15" s="257">
        <v>0.78671999999999997</v>
      </c>
      <c r="N15" s="257">
        <v>0.79808000000000001</v>
      </c>
      <c r="O15" s="257">
        <v>0.79808000000000001</v>
      </c>
      <c r="P15" s="257">
        <v>0</v>
      </c>
    </row>
    <row r="16" spans="1:21" x14ac:dyDescent="0.2">
      <c r="A16" s="258"/>
      <c r="B16" s="257"/>
      <c r="C16" s="257"/>
      <c r="D16" s="257"/>
      <c r="E16" s="257"/>
      <c r="F16" s="257"/>
      <c r="G16" s="257"/>
      <c r="J16" s="258">
        <v>38047</v>
      </c>
      <c r="K16" s="257">
        <v>0.79751000000000005</v>
      </c>
      <c r="L16" s="257">
        <v>0.82857000000000003</v>
      </c>
      <c r="M16" s="257">
        <v>0.79737999999999998</v>
      </c>
      <c r="N16" s="257">
        <v>0.80879999999999996</v>
      </c>
      <c r="O16" s="257">
        <v>0.80879999999999996</v>
      </c>
      <c r="P16" s="257">
        <v>0</v>
      </c>
    </row>
    <row r="17" spans="1:16" x14ac:dyDescent="0.2">
      <c r="A17" s="258"/>
      <c r="B17" s="257"/>
      <c r="C17" s="257"/>
      <c r="D17" s="257"/>
      <c r="E17" s="257"/>
      <c r="F17" s="257"/>
      <c r="G17" s="257"/>
      <c r="J17" s="258">
        <v>38054</v>
      </c>
      <c r="K17" s="257">
        <v>0.80872999999999995</v>
      </c>
      <c r="L17" s="257">
        <v>0.82142000000000004</v>
      </c>
      <c r="M17" s="257">
        <v>0.80230999999999997</v>
      </c>
      <c r="N17" s="257">
        <v>0.81886999999999999</v>
      </c>
      <c r="O17" s="257">
        <v>0.81886999999999999</v>
      </c>
      <c r="P17" s="257">
        <v>0</v>
      </c>
    </row>
    <row r="18" spans="1:16" x14ac:dyDescent="0.2">
      <c r="A18" s="258"/>
      <c r="B18" s="257"/>
      <c r="C18" s="257"/>
      <c r="D18" s="257"/>
      <c r="E18" s="257"/>
      <c r="F18" s="257"/>
      <c r="G18" s="257"/>
      <c r="J18" s="258">
        <v>38061</v>
      </c>
      <c r="K18" s="257">
        <v>0.81872999999999996</v>
      </c>
      <c r="L18" s="257">
        <v>0.82081999999999999</v>
      </c>
      <c r="M18" s="257">
        <v>0.80522000000000005</v>
      </c>
      <c r="N18" s="257">
        <v>0.81452999999999998</v>
      </c>
      <c r="O18" s="257">
        <v>0.81452999999999998</v>
      </c>
      <c r="P18" s="257">
        <v>0</v>
      </c>
    </row>
    <row r="19" spans="1:16" x14ac:dyDescent="0.2">
      <c r="A19" s="258"/>
      <c r="B19" s="257"/>
      <c r="C19" s="257"/>
      <c r="D19" s="257"/>
      <c r="E19" s="257"/>
      <c r="F19" s="257"/>
      <c r="G19" s="257"/>
      <c r="J19" s="258">
        <v>38068</v>
      </c>
      <c r="K19" s="257">
        <v>0.81452999999999998</v>
      </c>
      <c r="L19" s="257">
        <v>0.82713000000000003</v>
      </c>
      <c r="M19" s="257">
        <v>0.80671000000000004</v>
      </c>
      <c r="N19" s="257">
        <v>0.82542000000000004</v>
      </c>
      <c r="O19" s="257">
        <v>0.82542000000000004</v>
      </c>
      <c r="P19" s="257">
        <v>0</v>
      </c>
    </row>
    <row r="20" spans="1:16" x14ac:dyDescent="0.2">
      <c r="A20" s="258"/>
      <c r="B20" s="257"/>
      <c r="C20" s="257"/>
      <c r="D20" s="257"/>
      <c r="E20" s="257"/>
      <c r="F20" s="257"/>
      <c r="G20" s="257"/>
      <c r="J20" s="258">
        <v>38075</v>
      </c>
      <c r="K20" s="257">
        <v>0.82548999999999995</v>
      </c>
      <c r="L20" s="257">
        <v>0.82884000000000002</v>
      </c>
      <c r="M20" s="257">
        <v>0.80742999999999998</v>
      </c>
      <c r="N20" s="257">
        <v>0.82548999999999995</v>
      </c>
      <c r="O20" s="257">
        <v>0.82548999999999995</v>
      </c>
      <c r="P20" s="257">
        <v>0</v>
      </c>
    </row>
    <row r="21" spans="1:16" x14ac:dyDescent="0.2">
      <c r="A21" s="258"/>
      <c r="B21" s="257"/>
      <c r="C21" s="257"/>
      <c r="D21" s="257"/>
      <c r="E21" s="257"/>
      <c r="F21" s="257"/>
      <c r="G21" s="257"/>
      <c r="J21" s="258">
        <v>38082</v>
      </c>
      <c r="K21" s="257">
        <v>0.82542000000000004</v>
      </c>
      <c r="L21" s="257">
        <v>0.83409999999999995</v>
      </c>
      <c r="M21" s="257">
        <v>0.81852999999999998</v>
      </c>
      <c r="N21" s="257">
        <v>0.82686000000000004</v>
      </c>
      <c r="O21" s="257">
        <v>0.82686000000000004</v>
      </c>
      <c r="P21" s="257">
        <v>0</v>
      </c>
    </row>
    <row r="22" spans="1:16" x14ac:dyDescent="0.2">
      <c r="A22" s="258"/>
      <c r="B22" s="257"/>
      <c r="C22" s="257"/>
      <c r="D22" s="257"/>
      <c r="E22" s="257"/>
      <c r="F22" s="257"/>
      <c r="G22" s="257"/>
      <c r="J22" s="258">
        <v>38089</v>
      </c>
      <c r="K22" s="257">
        <v>0.82706000000000002</v>
      </c>
      <c r="L22" s="257">
        <v>0.84196000000000004</v>
      </c>
      <c r="M22" s="257">
        <v>0.82672000000000001</v>
      </c>
      <c r="N22" s="257">
        <v>0.83174000000000003</v>
      </c>
      <c r="O22" s="257">
        <v>0.83174000000000003</v>
      </c>
      <c r="P22" s="257">
        <v>0</v>
      </c>
    </row>
    <row r="23" spans="1:16" x14ac:dyDescent="0.2">
      <c r="A23" s="258"/>
      <c r="B23" s="257"/>
      <c r="C23" s="257"/>
      <c r="D23" s="257"/>
      <c r="E23" s="257"/>
      <c r="F23" s="257"/>
      <c r="G23" s="257"/>
      <c r="J23" s="258">
        <v>38096</v>
      </c>
      <c r="K23" s="257">
        <v>0.83194999999999997</v>
      </c>
      <c r="L23" s="257">
        <v>0.84809999999999997</v>
      </c>
      <c r="M23" s="257">
        <v>0.82794999999999996</v>
      </c>
      <c r="N23" s="257">
        <v>0.84687999999999997</v>
      </c>
      <c r="O23" s="257">
        <v>0.84687999999999997</v>
      </c>
      <c r="P23" s="257">
        <v>0</v>
      </c>
    </row>
    <row r="24" spans="1:16" x14ac:dyDescent="0.2">
      <c r="A24" s="258"/>
      <c r="B24" s="257"/>
      <c r="C24" s="257"/>
      <c r="D24" s="257"/>
      <c r="E24" s="257"/>
      <c r="F24" s="257"/>
      <c r="G24" s="257"/>
      <c r="J24" s="258">
        <v>38103</v>
      </c>
      <c r="K24" s="257">
        <v>0.84738999999999998</v>
      </c>
      <c r="L24" s="257">
        <v>0.84997999999999996</v>
      </c>
      <c r="M24" s="257">
        <v>0.83270999999999995</v>
      </c>
      <c r="N24" s="257">
        <v>0.83382000000000001</v>
      </c>
      <c r="O24" s="257">
        <v>0.83382000000000001</v>
      </c>
      <c r="P24" s="257">
        <v>0</v>
      </c>
    </row>
    <row r="25" spans="1:16" x14ac:dyDescent="0.2">
      <c r="A25" s="258"/>
      <c r="B25" s="257"/>
      <c r="C25" s="257"/>
      <c r="D25" s="257"/>
      <c r="E25" s="257"/>
      <c r="F25" s="257"/>
      <c r="G25" s="257"/>
      <c r="J25" s="258">
        <v>38110</v>
      </c>
      <c r="K25" s="257">
        <v>0.83374999999999999</v>
      </c>
      <c r="L25" s="257">
        <v>0.84238999999999997</v>
      </c>
      <c r="M25" s="257">
        <v>0.82115000000000005</v>
      </c>
      <c r="N25" s="257">
        <v>0.84082999999999997</v>
      </c>
      <c r="O25" s="257">
        <v>0.84082999999999997</v>
      </c>
      <c r="P25" s="257">
        <v>0</v>
      </c>
    </row>
    <row r="26" spans="1:16" x14ac:dyDescent="0.2">
      <c r="A26" s="258"/>
      <c r="B26" s="257"/>
      <c r="C26" s="257"/>
      <c r="D26" s="257"/>
      <c r="E26" s="257"/>
      <c r="F26" s="257"/>
      <c r="G26" s="257"/>
      <c r="J26" s="258">
        <v>38117</v>
      </c>
      <c r="K26" s="257">
        <v>0.84069000000000005</v>
      </c>
      <c r="L26" s="257">
        <v>0.84889999999999999</v>
      </c>
      <c r="M26" s="257">
        <v>0.83745000000000003</v>
      </c>
      <c r="N26" s="257">
        <v>0.84069000000000005</v>
      </c>
      <c r="O26" s="257">
        <v>0.84069000000000005</v>
      </c>
      <c r="P26" s="257">
        <v>0</v>
      </c>
    </row>
    <row r="27" spans="1:16" x14ac:dyDescent="0.2">
      <c r="A27" s="258"/>
      <c r="B27" s="257"/>
      <c r="C27" s="257"/>
      <c r="D27" s="257"/>
      <c r="E27" s="257"/>
      <c r="F27" s="257"/>
      <c r="G27" s="257"/>
      <c r="J27" s="258">
        <v>38124</v>
      </c>
      <c r="K27" s="257">
        <v>0.84069000000000005</v>
      </c>
      <c r="L27" s="257">
        <v>0.84160999999999997</v>
      </c>
      <c r="M27" s="257">
        <v>0.82864000000000004</v>
      </c>
      <c r="N27" s="257">
        <v>0.83326</v>
      </c>
      <c r="O27" s="257">
        <v>0.83326</v>
      </c>
      <c r="P27" s="257">
        <v>0</v>
      </c>
    </row>
    <row r="28" spans="1:16" x14ac:dyDescent="0.2">
      <c r="A28" s="258"/>
      <c r="B28" s="257"/>
      <c r="C28" s="257"/>
      <c r="D28" s="257"/>
      <c r="E28" s="257"/>
      <c r="F28" s="257"/>
      <c r="G28" s="257"/>
      <c r="J28" s="258">
        <v>38131</v>
      </c>
      <c r="K28" s="257">
        <v>0.83326</v>
      </c>
      <c r="L28" s="257">
        <v>0.83758999999999995</v>
      </c>
      <c r="M28" s="257">
        <v>0.81340000000000001</v>
      </c>
      <c r="N28" s="257">
        <v>0.81698999999999999</v>
      </c>
      <c r="O28" s="257">
        <v>0.81698999999999999</v>
      </c>
      <c r="P28" s="257">
        <v>0</v>
      </c>
    </row>
    <row r="29" spans="1:16" x14ac:dyDescent="0.2">
      <c r="A29" s="258"/>
      <c r="B29" s="257"/>
      <c r="C29" s="257"/>
      <c r="D29" s="257"/>
      <c r="E29" s="257"/>
      <c r="F29" s="257"/>
      <c r="G29" s="257"/>
      <c r="J29" s="258">
        <v>38138</v>
      </c>
      <c r="K29" s="257">
        <v>0.81698999999999999</v>
      </c>
      <c r="L29" s="257">
        <v>0.82237000000000005</v>
      </c>
      <c r="M29" s="257">
        <v>0.81174999999999997</v>
      </c>
      <c r="N29" s="257">
        <v>0.81201999999999996</v>
      </c>
      <c r="O29" s="257">
        <v>0.81201999999999996</v>
      </c>
      <c r="P29" s="257">
        <v>0</v>
      </c>
    </row>
    <row r="30" spans="1:16" x14ac:dyDescent="0.2">
      <c r="A30" s="258"/>
      <c r="B30" s="257"/>
      <c r="C30" s="257"/>
      <c r="D30" s="257"/>
      <c r="E30" s="257"/>
      <c r="F30" s="257"/>
      <c r="G30" s="257"/>
      <c r="J30" s="258">
        <v>38145</v>
      </c>
      <c r="K30" s="257">
        <v>0.81181999999999999</v>
      </c>
      <c r="L30" s="257">
        <v>0.83577000000000001</v>
      </c>
      <c r="M30" s="257">
        <v>0.80972</v>
      </c>
      <c r="N30" s="257">
        <v>0.83577000000000001</v>
      </c>
      <c r="O30" s="257">
        <v>0.83577000000000001</v>
      </c>
      <c r="P30" s="257">
        <v>0</v>
      </c>
    </row>
    <row r="31" spans="1:16" x14ac:dyDescent="0.2">
      <c r="A31" s="258"/>
      <c r="B31" s="257"/>
      <c r="C31" s="257"/>
      <c r="D31" s="257"/>
      <c r="E31" s="257"/>
      <c r="F31" s="257"/>
      <c r="G31" s="257"/>
      <c r="J31" s="258">
        <v>38152</v>
      </c>
      <c r="K31" s="257">
        <v>0.83555999999999997</v>
      </c>
      <c r="L31" s="257">
        <v>0.83633000000000002</v>
      </c>
      <c r="M31" s="257">
        <v>0.82162999999999997</v>
      </c>
      <c r="N31" s="257">
        <v>0.82399</v>
      </c>
      <c r="O31" s="257">
        <v>0.82399</v>
      </c>
      <c r="P31" s="257">
        <v>0</v>
      </c>
    </row>
    <row r="32" spans="1:16" x14ac:dyDescent="0.2">
      <c r="A32" s="258"/>
      <c r="B32" s="257"/>
      <c r="C32" s="257"/>
      <c r="D32" s="257"/>
      <c r="E32" s="257"/>
      <c r="F32" s="257"/>
      <c r="G32" s="257"/>
      <c r="J32" s="258">
        <v>38159</v>
      </c>
      <c r="K32" s="257">
        <v>0.82386000000000004</v>
      </c>
      <c r="L32" s="257">
        <v>0.83015000000000005</v>
      </c>
      <c r="M32" s="257">
        <v>0.81947000000000003</v>
      </c>
      <c r="N32" s="257">
        <v>0.82135999999999998</v>
      </c>
      <c r="O32" s="257">
        <v>0.82135999999999998</v>
      </c>
      <c r="P32" s="257">
        <v>0</v>
      </c>
    </row>
    <row r="33" spans="1:16" x14ac:dyDescent="0.2">
      <c r="A33" s="258"/>
      <c r="B33" s="257"/>
      <c r="C33" s="257"/>
      <c r="D33" s="257"/>
      <c r="E33" s="257"/>
      <c r="F33" s="257"/>
      <c r="G33" s="257"/>
      <c r="J33" s="258">
        <v>38166</v>
      </c>
      <c r="K33" s="257">
        <v>0.82135999999999998</v>
      </c>
      <c r="L33" s="257">
        <v>0.82864000000000004</v>
      </c>
      <c r="M33" s="257">
        <v>0.81057000000000001</v>
      </c>
      <c r="N33" s="257">
        <v>0.81083000000000005</v>
      </c>
      <c r="O33" s="257">
        <v>0.81083000000000005</v>
      </c>
      <c r="P33" s="257">
        <v>0</v>
      </c>
    </row>
    <row r="34" spans="1:16" x14ac:dyDescent="0.2">
      <c r="A34" s="258"/>
      <c r="B34" s="257"/>
      <c r="C34" s="257"/>
      <c r="D34" s="257"/>
      <c r="E34" s="257"/>
      <c r="F34" s="257"/>
      <c r="G34" s="257"/>
      <c r="J34" s="258">
        <v>38173</v>
      </c>
      <c r="K34" s="257">
        <v>0.81103000000000003</v>
      </c>
      <c r="L34" s="257">
        <v>0.81493000000000004</v>
      </c>
      <c r="M34" s="257">
        <v>0.80488999999999999</v>
      </c>
      <c r="N34" s="257">
        <v>0.80547999999999997</v>
      </c>
      <c r="O34" s="257">
        <v>0.80547999999999997</v>
      </c>
      <c r="P34" s="257">
        <v>0</v>
      </c>
    </row>
    <row r="35" spans="1:16" x14ac:dyDescent="0.2">
      <c r="A35" s="258"/>
      <c r="B35" s="257"/>
      <c r="C35" s="257"/>
      <c r="D35" s="257"/>
      <c r="E35" s="257"/>
      <c r="F35" s="257"/>
      <c r="G35" s="257"/>
      <c r="J35" s="258">
        <v>38180</v>
      </c>
      <c r="K35" s="257">
        <v>0.80567</v>
      </c>
      <c r="L35" s="257">
        <v>0.81274000000000002</v>
      </c>
      <c r="M35" s="257">
        <v>0.80257000000000001</v>
      </c>
      <c r="N35" s="257">
        <v>0.80276000000000003</v>
      </c>
      <c r="O35" s="257">
        <v>0.80276000000000003</v>
      </c>
      <c r="P35" s="257">
        <v>0</v>
      </c>
    </row>
    <row r="36" spans="1:16" x14ac:dyDescent="0.2">
      <c r="A36" s="258"/>
      <c r="B36" s="257"/>
      <c r="C36" s="257"/>
      <c r="D36" s="257"/>
      <c r="E36" s="257"/>
      <c r="F36" s="257"/>
      <c r="G36" s="257"/>
      <c r="J36" s="258">
        <v>38187</v>
      </c>
      <c r="K36" s="257">
        <v>0.80288999999999999</v>
      </c>
      <c r="L36" s="257">
        <v>0.82699</v>
      </c>
      <c r="M36" s="257">
        <v>0.80230999999999997</v>
      </c>
      <c r="N36" s="257">
        <v>0.82562999999999998</v>
      </c>
      <c r="O36" s="257">
        <v>0.82562999999999998</v>
      </c>
      <c r="P36" s="257">
        <v>0</v>
      </c>
    </row>
    <row r="37" spans="1:16" x14ac:dyDescent="0.2">
      <c r="A37" s="258"/>
      <c r="B37" s="257"/>
      <c r="C37" s="257"/>
      <c r="D37" s="257"/>
      <c r="E37" s="257"/>
      <c r="F37" s="257"/>
      <c r="G37" s="257"/>
      <c r="J37" s="258">
        <v>38194</v>
      </c>
      <c r="K37" s="257">
        <v>0.82589999999999997</v>
      </c>
      <c r="L37" s="257">
        <v>0.83347000000000004</v>
      </c>
      <c r="M37" s="257">
        <v>0.82033999999999996</v>
      </c>
      <c r="N37" s="257">
        <v>0.83021999999999996</v>
      </c>
      <c r="O37" s="257">
        <v>0.83021999999999996</v>
      </c>
      <c r="P37" s="257">
        <v>0</v>
      </c>
    </row>
    <row r="38" spans="1:16" x14ac:dyDescent="0.2">
      <c r="A38" s="258"/>
      <c r="B38" s="257"/>
      <c r="C38" s="257"/>
      <c r="D38" s="257"/>
      <c r="E38" s="257"/>
      <c r="F38" s="257"/>
      <c r="G38" s="257"/>
      <c r="J38" s="258">
        <v>38201</v>
      </c>
      <c r="K38" s="257">
        <v>0.83043</v>
      </c>
      <c r="L38" s="257">
        <v>0.83506999999999998</v>
      </c>
      <c r="M38" s="257">
        <v>0.81115999999999999</v>
      </c>
      <c r="N38" s="257">
        <v>0.81472999999999995</v>
      </c>
      <c r="O38" s="257">
        <v>0.81472999999999995</v>
      </c>
      <c r="P38" s="257">
        <v>0</v>
      </c>
    </row>
    <row r="39" spans="1:16" x14ac:dyDescent="0.2">
      <c r="A39" s="258"/>
      <c r="B39" s="257"/>
      <c r="C39" s="257"/>
      <c r="D39" s="257"/>
      <c r="E39" s="257"/>
      <c r="F39" s="257"/>
      <c r="G39" s="257"/>
      <c r="J39" s="258">
        <v>38208</v>
      </c>
      <c r="K39" s="257">
        <v>0.81499999999999995</v>
      </c>
      <c r="L39" s="257">
        <v>0.82067999999999997</v>
      </c>
      <c r="M39" s="257">
        <v>0.80749000000000004</v>
      </c>
      <c r="N39" s="257">
        <v>0.80788000000000004</v>
      </c>
      <c r="O39" s="257">
        <v>0.80788000000000004</v>
      </c>
      <c r="P39" s="257">
        <v>0</v>
      </c>
    </row>
    <row r="40" spans="1:16" x14ac:dyDescent="0.2">
      <c r="A40" s="258"/>
      <c r="B40" s="257"/>
      <c r="C40" s="257"/>
      <c r="D40" s="257"/>
      <c r="E40" s="257"/>
      <c r="F40" s="257"/>
      <c r="G40" s="257"/>
      <c r="J40" s="258">
        <v>38215</v>
      </c>
      <c r="K40" s="257">
        <v>0.80769000000000002</v>
      </c>
      <c r="L40" s="257">
        <v>0.81399999999999995</v>
      </c>
      <c r="M40" s="257">
        <v>0.80742999999999998</v>
      </c>
      <c r="N40" s="257">
        <v>0.81267999999999996</v>
      </c>
      <c r="O40" s="257">
        <v>0.81267999999999996</v>
      </c>
      <c r="P40" s="257">
        <v>0</v>
      </c>
    </row>
    <row r="41" spans="1:16" x14ac:dyDescent="0.2">
      <c r="A41" s="258"/>
      <c r="B41" s="257"/>
      <c r="C41" s="257"/>
      <c r="D41" s="257"/>
      <c r="E41" s="257"/>
      <c r="F41" s="257"/>
      <c r="G41" s="257"/>
      <c r="J41" s="258">
        <v>38222</v>
      </c>
      <c r="K41" s="257">
        <v>0.81247999999999998</v>
      </c>
      <c r="L41" s="257">
        <v>0.83318999999999999</v>
      </c>
      <c r="M41" s="257">
        <v>0.81181999999999999</v>
      </c>
      <c r="N41" s="257">
        <v>0.83214999999999995</v>
      </c>
      <c r="O41" s="257">
        <v>0.83214999999999995</v>
      </c>
      <c r="P41" s="257">
        <v>0</v>
      </c>
    </row>
    <row r="42" spans="1:16" x14ac:dyDescent="0.2">
      <c r="A42" s="258"/>
      <c r="B42" s="257"/>
      <c r="C42" s="257"/>
      <c r="D42" s="257"/>
      <c r="E42" s="257"/>
      <c r="F42" s="257"/>
      <c r="G42" s="257"/>
      <c r="J42" s="258">
        <v>38229</v>
      </c>
      <c r="K42" s="257">
        <v>0.83214999999999995</v>
      </c>
      <c r="L42" s="257">
        <v>0.83389000000000002</v>
      </c>
      <c r="M42" s="257">
        <v>0.81825999999999999</v>
      </c>
      <c r="N42" s="257">
        <v>0.82898000000000005</v>
      </c>
      <c r="O42" s="257">
        <v>0.82898000000000005</v>
      </c>
      <c r="P42" s="257">
        <v>0</v>
      </c>
    </row>
    <row r="43" spans="1:16" x14ac:dyDescent="0.2">
      <c r="A43" s="258"/>
      <c r="B43" s="257"/>
      <c r="C43" s="257"/>
      <c r="D43" s="257"/>
      <c r="E43" s="257"/>
      <c r="F43" s="257"/>
      <c r="G43" s="257"/>
      <c r="J43" s="258">
        <v>38236</v>
      </c>
      <c r="K43" s="257">
        <v>0.82898000000000005</v>
      </c>
      <c r="L43" s="257">
        <v>0.83104999999999996</v>
      </c>
      <c r="M43" s="257">
        <v>0.81261000000000005</v>
      </c>
      <c r="N43" s="257">
        <v>0.81427000000000005</v>
      </c>
      <c r="O43" s="257">
        <v>0.81427000000000005</v>
      </c>
      <c r="P43" s="257">
        <v>0</v>
      </c>
    </row>
    <row r="44" spans="1:16" x14ac:dyDescent="0.2">
      <c r="A44" s="258"/>
      <c r="B44" s="257"/>
      <c r="C44" s="257"/>
      <c r="D44" s="257"/>
      <c r="E44" s="257"/>
      <c r="F44" s="257"/>
      <c r="G44" s="257"/>
      <c r="J44" s="258">
        <v>38243</v>
      </c>
      <c r="K44" s="257">
        <v>0.81413000000000002</v>
      </c>
      <c r="L44" s="257">
        <v>0.82474000000000003</v>
      </c>
      <c r="M44" s="257">
        <v>0.81333999999999995</v>
      </c>
      <c r="N44" s="257">
        <v>0.82135999999999998</v>
      </c>
      <c r="O44" s="257">
        <v>0.82135999999999998</v>
      </c>
      <c r="P44" s="257">
        <v>0</v>
      </c>
    </row>
    <row r="45" spans="1:16" x14ac:dyDescent="0.2">
      <c r="A45" s="258"/>
      <c r="B45" s="257"/>
      <c r="C45" s="257"/>
      <c r="D45" s="257"/>
      <c r="E45" s="257"/>
      <c r="F45" s="257"/>
      <c r="G45" s="257"/>
      <c r="J45" s="258">
        <v>38250</v>
      </c>
      <c r="K45" s="257">
        <v>0.82135999999999998</v>
      </c>
      <c r="L45" s="257">
        <v>0.82447000000000004</v>
      </c>
      <c r="M45" s="257">
        <v>0.80925999999999998</v>
      </c>
      <c r="N45" s="257">
        <v>0.81413000000000002</v>
      </c>
      <c r="O45" s="257">
        <v>0.81413000000000002</v>
      </c>
      <c r="P45" s="257">
        <v>0</v>
      </c>
    </row>
    <row r="46" spans="1:16" x14ac:dyDescent="0.2">
      <c r="A46" s="258"/>
      <c r="B46" s="257"/>
      <c r="C46" s="257"/>
      <c r="D46" s="257"/>
      <c r="E46" s="257"/>
      <c r="F46" s="257"/>
      <c r="G46" s="257"/>
      <c r="J46" s="258">
        <v>38257</v>
      </c>
      <c r="K46" s="257">
        <v>0.81393000000000004</v>
      </c>
      <c r="L46" s="257">
        <v>0.81613000000000002</v>
      </c>
      <c r="M46" s="257">
        <v>0.80359999999999998</v>
      </c>
      <c r="N46" s="257">
        <v>0.80657999999999996</v>
      </c>
      <c r="O46" s="257">
        <v>0.80657999999999996</v>
      </c>
      <c r="P46" s="257">
        <v>0</v>
      </c>
    </row>
    <row r="47" spans="1:16" x14ac:dyDescent="0.2">
      <c r="A47" s="258"/>
      <c r="B47" s="257"/>
      <c r="C47" s="257"/>
      <c r="D47" s="257"/>
      <c r="E47" s="257"/>
      <c r="F47" s="257"/>
      <c r="G47" s="257"/>
      <c r="J47" s="258">
        <v>38264</v>
      </c>
      <c r="K47" s="257">
        <v>0.80632000000000004</v>
      </c>
      <c r="L47" s="257">
        <v>0.81566000000000005</v>
      </c>
      <c r="M47" s="257">
        <v>0.80418000000000001</v>
      </c>
      <c r="N47" s="257">
        <v>0.80574000000000001</v>
      </c>
      <c r="O47" s="257">
        <v>0.80574000000000001</v>
      </c>
      <c r="P47" s="257">
        <v>0</v>
      </c>
    </row>
    <row r="48" spans="1:16" x14ac:dyDescent="0.2">
      <c r="A48" s="258"/>
      <c r="B48" s="257"/>
      <c r="C48" s="257"/>
      <c r="D48" s="257"/>
      <c r="E48" s="257"/>
      <c r="F48" s="257"/>
      <c r="G48" s="257"/>
      <c r="J48" s="258">
        <v>38271</v>
      </c>
      <c r="K48" s="257">
        <v>0.80567</v>
      </c>
      <c r="L48" s="257">
        <v>0.81733</v>
      </c>
      <c r="M48" s="257">
        <v>0.8</v>
      </c>
      <c r="N48" s="257">
        <v>0.80115000000000003</v>
      </c>
      <c r="O48" s="257">
        <v>0.80115000000000003</v>
      </c>
      <c r="P48" s="257">
        <v>0</v>
      </c>
    </row>
    <row r="49" spans="1:16" x14ac:dyDescent="0.2">
      <c r="A49" s="258"/>
      <c r="B49" s="257"/>
      <c r="C49" s="257"/>
      <c r="D49" s="257"/>
      <c r="E49" s="257"/>
      <c r="F49" s="257"/>
      <c r="G49" s="257"/>
      <c r="J49" s="258">
        <v>38278</v>
      </c>
      <c r="K49" s="257">
        <v>0.80108999999999997</v>
      </c>
      <c r="L49" s="257">
        <v>0.80288999999999999</v>
      </c>
      <c r="M49" s="257">
        <v>0.78554999999999997</v>
      </c>
      <c r="N49" s="257">
        <v>0.78561000000000003</v>
      </c>
      <c r="O49" s="257">
        <v>0.78561000000000003</v>
      </c>
      <c r="P49" s="257">
        <v>0</v>
      </c>
    </row>
    <row r="50" spans="1:16" x14ac:dyDescent="0.2">
      <c r="A50" s="258"/>
      <c r="B50" s="257"/>
      <c r="C50" s="257"/>
      <c r="D50" s="257"/>
      <c r="E50" s="257"/>
      <c r="F50" s="257"/>
      <c r="G50" s="257"/>
      <c r="J50" s="258">
        <v>38285</v>
      </c>
      <c r="K50" s="257">
        <v>0.78554999999999997</v>
      </c>
      <c r="L50" s="257">
        <v>0.78976000000000002</v>
      </c>
      <c r="M50" s="257">
        <v>0.77863000000000004</v>
      </c>
      <c r="N50" s="257">
        <v>0.77929999999999999</v>
      </c>
      <c r="O50" s="257">
        <v>0.77929999999999999</v>
      </c>
      <c r="P50" s="257">
        <v>0</v>
      </c>
    </row>
    <row r="51" spans="1:16" x14ac:dyDescent="0.2">
      <c r="A51" s="258"/>
      <c r="B51" s="257"/>
      <c r="C51" s="257"/>
      <c r="D51" s="257"/>
      <c r="E51" s="257"/>
      <c r="F51" s="257"/>
      <c r="G51" s="257"/>
      <c r="J51" s="258">
        <v>38292</v>
      </c>
      <c r="K51" s="257">
        <v>0.77954000000000001</v>
      </c>
      <c r="L51" s="257">
        <v>0.78952</v>
      </c>
      <c r="M51" s="257">
        <v>0.76941000000000004</v>
      </c>
      <c r="N51" s="257">
        <v>0.77107000000000003</v>
      </c>
      <c r="O51" s="257">
        <v>0.77107000000000003</v>
      </c>
      <c r="P51" s="257">
        <v>0</v>
      </c>
    </row>
    <row r="52" spans="1:16" x14ac:dyDescent="0.2">
      <c r="A52" s="258"/>
      <c r="B52" s="257"/>
      <c r="C52" s="257"/>
      <c r="D52" s="257"/>
      <c r="E52" s="257"/>
      <c r="F52" s="257"/>
      <c r="G52" s="257"/>
      <c r="J52" s="258">
        <v>38299</v>
      </c>
      <c r="K52" s="257">
        <v>0.77137</v>
      </c>
      <c r="L52" s="257">
        <v>0.77747999999999995</v>
      </c>
      <c r="M52" s="257">
        <v>0.76970000000000005</v>
      </c>
      <c r="N52" s="257">
        <v>0.76976</v>
      </c>
      <c r="O52" s="257">
        <v>0.76976</v>
      </c>
      <c r="P52" s="257">
        <v>0</v>
      </c>
    </row>
    <row r="53" spans="1:16" x14ac:dyDescent="0.2">
      <c r="A53" s="258"/>
      <c r="B53" s="257"/>
      <c r="C53" s="257"/>
      <c r="D53" s="257"/>
      <c r="E53" s="257"/>
      <c r="F53" s="257"/>
      <c r="G53" s="257"/>
      <c r="J53" s="258">
        <v>38306</v>
      </c>
      <c r="K53" s="257">
        <v>0.76981999999999995</v>
      </c>
      <c r="L53" s="257">
        <v>0.77386999999999995</v>
      </c>
      <c r="M53" s="257">
        <v>0.76493999999999995</v>
      </c>
      <c r="N53" s="257">
        <v>0.76775000000000004</v>
      </c>
      <c r="O53" s="257">
        <v>0.76775000000000004</v>
      </c>
      <c r="P53" s="257">
        <v>0</v>
      </c>
    </row>
    <row r="54" spans="1:16" x14ac:dyDescent="0.2">
      <c r="A54" s="258"/>
      <c r="B54" s="257"/>
      <c r="C54" s="257"/>
      <c r="D54" s="257"/>
      <c r="E54" s="257"/>
      <c r="F54" s="257"/>
      <c r="G54" s="257"/>
      <c r="J54" s="258">
        <v>38313</v>
      </c>
      <c r="K54" s="257">
        <v>0.76770000000000005</v>
      </c>
      <c r="L54" s="257">
        <v>0.77041999999999999</v>
      </c>
      <c r="M54" s="257">
        <v>0.75024000000000002</v>
      </c>
      <c r="N54" s="257">
        <v>0.75346999999999997</v>
      </c>
      <c r="O54" s="257">
        <v>0.75346999999999997</v>
      </c>
      <c r="P54" s="257">
        <v>0</v>
      </c>
    </row>
    <row r="55" spans="1:16" x14ac:dyDescent="0.2">
      <c r="A55" s="258"/>
      <c r="B55" s="257"/>
      <c r="C55" s="257"/>
      <c r="D55" s="257"/>
      <c r="E55" s="257"/>
      <c r="F55" s="257"/>
      <c r="G55" s="257"/>
      <c r="J55" s="258">
        <v>38320</v>
      </c>
      <c r="K55" s="257">
        <v>0.75346999999999997</v>
      </c>
      <c r="L55" s="257">
        <v>0.75563000000000002</v>
      </c>
      <c r="M55" s="257">
        <v>0.74260999999999999</v>
      </c>
      <c r="N55" s="257">
        <v>0.74348999999999998</v>
      </c>
      <c r="O55" s="257">
        <v>0.74348999999999998</v>
      </c>
      <c r="P55" s="257">
        <v>0</v>
      </c>
    </row>
    <row r="56" spans="1:16" x14ac:dyDescent="0.2">
      <c r="A56" s="258"/>
      <c r="B56" s="257"/>
      <c r="C56" s="257"/>
      <c r="D56" s="257"/>
      <c r="E56" s="257"/>
      <c r="F56" s="257"/>
      <c r="G56" s="257"/>
      <c r="J56" s="258">
        <v>38327</v>
      </c>
      <c r="K56" s="257">
        <v>0.74348999999999998</v>
      </c>
      <c r="L56" s="257">
        <v>0.76046000000000002</v>
      </c>
      <c r="M56" s="257">
        <v>0.74238999999999999</v>
      </c>
      <c r="N56" s="257">
        <v>0.75626000000000004</v>
      </c>
      <c r="O56" s="257">
        <v>0.75626000000000004</v>
      </c>
      <c r="P56" s="257">
        <v>0</v>
      </c>
    </row>
    <row r="57" spans="1:16" x14ac:dyDescent="0.2">
      <c r="A57" s="258"/>
      <c r="B57" s="257"/>
      <c r="C57" s="257"/>
      <c r="D57" s="257"/>
      <c r="E57" s="257"/>
      <c r="F57" s="257"/>
      <c r="G57" s="257"/>
      <c r="J57" s="258">
        <v>38334</v>
      </c>
      <c r="K57" s="257">
        <v>0.75626000000000004</v>
      </c>
      <c r="L57" s="257">
        <v>0.75683</v>
      </c>
      <c r="M57" s="257">
        <v>0.74416000000000004</v>
      </c>
      <c r="N57" s="257">
        <v>0.75109000000000004</v>
      </c>
      <c r="O57" s="257">
        <v>0.75109000000000004</v>
      </c>
      <c r="P57" s="257">
        <v>0</v>
      </c>
    </row>
    <row r="58" spans="1:16" x14ac:dyDescent="0.2">
      <c r="A58" s="258"/>
      <c r="B58" s="257"/>
      <c r="C58" s="257"/>
      <c r="D58" s="257"/>
      <c r="E58" s="257"/>
      <c r="F58" s="257"/>
      <c r="G58" s="257"/>
      <c r="J58" s="258">
        <v>38341</v>
      </c>
      <c r="K58" s="257">
        <v>0.75126000000000004</v>
      </c>
      <c r="L58" s="257">
        <v>0.75182000000000004</v>
      </c>
      <c r="M58" s="257">
        <v>0.73812</v>
      </c>
      <c r="N58" s="257">
        <v>0.73926000000000003</v>
      </c>
      <c r="O58" s="257">
        <v>0.73926000000000003</v>
      </c>
      <c r="P58" s="257">
        <v>0</v>
      </c>
    </row>
    <row r="59" spans="1:16" x14ac:dyDescent="0.2">
      <c r="A59" s="258"/>
      <c r="B59" s="257"/>
      <c r="C59" s="257"/>
      <c r="D59" s="257"/>
      <c r="E59" s="257"/>
      <c r="F59" s="257"/>
      <c r="G59" s="257"/>
      <c r="J59" s="258">
        <v>38348</v>
      </c>
      <c r="K59" s="257">
        <v>0.73921000000000003</v>
      </c>
      <c r="L59" s="257">
        <v>0.73970000000000002</v>
      </c>
      <c r="M59" s="257">
        <v>0.73196000000000006</v>
      </c>
      <c r="N59" s="257">
        <v>0.73626999999999998</v>
      </c>
      <c r="O59" s="257">
        <v>0.73626999999999998</v>
      </c>
      <c r="P59" s="257">
        <v>0</v>
      </c>
    </row>
    <row r="60" spans="1:16" x14ac:dyDescent="0.2">
      <c r="A60" s="258"/>
      <c r="B60" s="257"/>
      <c r="C60" s="257"/>
      <c r="D60" s="257"/>
      <c r="E60" s="257"/>
      <c r="F60" s="257"/>
      <c r="G60" s="257"/>
      <c r="J60" s="258">
        <v>38355</v>
      </c>
      <c r="K60" s="257">
        <v>0.73631999999999997</v>
      </c>
      <c r="L60" s="257">
        <v>0.76746000000000003</v>
      </c>
      <c r="M60" s="257">
        <v>0.73631999999999997</v>
      </c>
      <c r="N60" s="257">
        <v>0.76476</v>
      </c>
      <c r="O60" s="257">
        <v>0.76476</v>
      </c>
      <c r="P60" s="257">
        <v>0</v>
      </c>
    </row>
    <row r="61" spans="1:16" x14ac:dyDescent="0.2">
      <c r="A61" s="258"/>
      <c r="B61" s="257"/>
      <c r="C61" s="257"/>
      <c r="D61" s="257"/>
      <c r="E61" s="257"/>
      <c r="F61" s="257"/>
      <c r="G61" s="257"/>
      <c r="J61" s="258">
        <v>38362</v>
      </c>
      <c r="K61" s="257">
        <v>0.76476</v>
      </c>
      <c r="L61" s="257">
        <v>0.76546000000000003</v>
      </c>
      <c r="M61" s="257">
        <v>0.75239</v>
      </c>
      <c r="N61" s="257">
        <v>0.76341999999999999</v>
      </c>
      <c r="O61" s="257">
        <v>0.76341999999999999</v>
      </c>
      <c r="P61" s="257">
        <v>0</v>
      </c>
    </row>
    <row r="62" spans="1:16" x14ac:dyDescent="0.2">
      <c r="A62" s="258"/>
      <c r="B62" s="257"/>
      <c r="C62" s="257"/>
      <c r="D62" s="257"/>
      <c r="E62" s="257"/>
      <c r="F62" s="257"/>
      <c r="G62" s="257"/>
      <c r="J62" s="258">
        <v>38369</v>
      </c>
      <c r="K62" s="257">
        <v>0.76336000000000004</v>
      </c>
      <c r="L62" s="257">
        <v>0.77327999999999997</v>
      </c>
      <c r="M62" s="257">
        <v>0.76166999999999996</v>
      </c>
      <c r="N62" s="257">
        <v>0.76668999999999998</v>
      </c>
      <c r="O62" s="257">
        <v>0.76668999999999998</v>
      </c>
      <c r="P62" s="257">
        <v>0</v>
      </c>
    </row>
    <row r="63" spans="1:16" x14ac:dyDescent="0.2">
      <c r="A63" s="258"/>
      <c r="B63" s="257"/>
      <c r="C63" s="257"/>
      <c r="D63" s="257"/>
      <c r="E63" s="257"/>
      <c r="F63" s="257"/>
      <c r="G63" s="257"/>
      <c r="J63" s="258">
        <v>38376</v>
      </c>
      <c r="K63" s="257">
        <v>0.76675000000000004</v>
      </c>
      <c r="L63" s="257">
        <v>0.77195999999999998</v>
      </c>
      <c r="M63" s="257">
        <v>0.76214000000000004</v>
      </c>
      <c r="N63" s="257">
        <v>0.76780999999999999</v>
      </c>
      <c r="O63" s="257">
        <v>0.76780999999999999</v>
      </c>
      <c r="P63" s="257">
        <v>0</v>
      </c>
    </row>
    <row r="64" spans="1:16" x14ac:dyDescent="0.2">
      <c r="A64" s="258"/>
      <c r="B64" s="257"/>
      <c r="C64" s="257"/>
      <c r="D64" s="257"/>
      <c r="E64" s="257"/>
      <c r="F64" s="257"/>
      <c r="G64" s="257"/>
      <c r="J64" s="258">
        <v>38383</v>
      </c>
      <c r="K64" s="257">
        <v>0.76780999999999999</v>
      </c>
      <c r="L64" s="257">
        <v>0.77790999999999999</v>
      </c>
      <c r="M64" s="257">
        <v>0.76371</v>
      </c>
      <c r="N64" s="257">
        <v>0.77790999999999999</v>
      </c>
      <c r="O64" s="257">
        <v>0.77790999999999999</v>
      </c>
      <c r="P64" s="257">
        <v>0</v>
      </c>
    </row>
    <row r="65" spans="1:16" x14ac:dyDescent="0.2">
      <c r="A65" s="258"/>
      <c r="B65" s="257"/>
      <c r="C65" s="257"/>
      <c r="D65" s="257"/>
      <c r="E65" s="257"/>
      <c r="F65" s="257"/>
      <c r="G65" s="257"/>
      <c r="J65" s="258">
        <v>38390</v>
      </c>
      <c r="K65" s="257">
        <v>0.77785000000000004</v>
      </c>
      <c r="L65" s="257">
        <v>0.78510999999999997</v>
      </c>
      <c r="M65" s="257">
        <v>0.77495000000000003</v>
      </c>
      <c r="N65" s="257">
        <v>0.77585999999999999</v>
      </c>
      <c r="O65" s="257">
        <v>0.77585999999999999</v>
      </c>
      <c r="P65" s="257">
        <v>0</v>
      </c>
    </row>
    <row r="66" spans="1:16" x14ac:dyDescent="0.2">
      <c r="A66" s="258"/>
      <c r="B66" s="257"/>
      <c r="C66" s="257"/>
      <c r="D66" s="257"/>
      <c r="E66" s="257"/>
      <c r="F66" s="257"/>
      <c r="G66" s="257"/>
      <c r="J66" s="258">
        <v>38397</v>
      </c>
      <c r="K66" s="257">
        <v>0.77585999999999999</v>
      </c>
      <c r="L66" s="257">
        <v>0.77603999999999995</v>
      </c>
      <c r="M66" s="257">
        <v>0.76393999999999995</v>
      </c>
      <c r="N66" s="257">
        <v>0.76505000000000001</v>
      </c>
      <c r="O66" s="257">
        <v>0.76505000000000001</v>
      </c>
      <c r="P66" s="257">
        <v>0</v>
      </c>
    </row>
    <row r="67" spans="1:16" x14ac:dyDescent="0.2">
      <c r="A67" s="258"/>
      <c r="B67" s="257"/>
      <c r="C67" s="257"/>
      <c r="D67" s="257"/>
      <c r="E67" s="257"/>
      <c r="F67" s="257"/>
      <c r="G67" s="257"/>
      <c r="J67" s="258">
        <v>38404</v>
      </c>
      <c r="K67" s="257">
        <v>0.76498999999999995</v>
      </c>
      <c r="L67" s="257">
        <v>0.76705000000000001</v>
      </c>
      <c r="M67" s="257">
        <v>0.75341000000000002</v>
      </c>
      <c r="N67" s="257">
        <v>0.75448999999999999</v>
      </c>
      <c r="O67" s="257">
        <v>0.75448999999999999</v>
      </c>
      <c r="P67" s="257">
        <v>0</v>
      </c>
    </row>
    <row r="68" spans="1:16" x14ac:dyDescent="0.2">
      <c r="A68" s="258"/>
      <c r="B68" s="257"/>
      <c r="C68" s="257"/>
      <c r="D68" s="257"/>
      <c r="E68" s="257"/>
      <c r="F68" s="257"/>
      <c r="G68" s="257"/>
      <c r="J68" s="258">
        <v>38411</v>
      </c>
      <c r="K68" s="257">
        <v>0.75448999999999999</v>
      </c>
      <c r="L68" s="257">
        <v>0.76371</v>
      </c>
      <c r="M68" s="257">
        <v>0.75300999999999996</v>
      </c>
      <c r="N68" s="257">
        <v>0.75546000000000002</v>
      </c>
      <c r="O68" s="257">
        <v>0.75546000000000002</v>
      </c>
      <c r="P68" s="257">
        <v>0</v>
      </c>
    </row>
    <row r="69" spans="1:16" x14ac:dyDescent="0.2">
      <c r="A69" s="258"/>
      <c r="B69" s="257"/>
      <c r="C69" s="257"/>
      <c r="D69" s="257"/>
      <c r="E69" s="257"/>
      <c r="F69" s="257"/>
      <c r="G69" s="257"/>
      <c r="J69" s="258">
        <v>38418</v>
      </c>
      <c r="K69" s="257">
        <v>0.75563000000000002</v>
      </c>
      <c r="L69" s="257">
        <v>0.75844</v>
      </c>
      <c r="M69" s="257">
        <v>0.74195</v>
      </c>
      <c r="N69" s="257">
        <v>0.74217</v>
      </c>
      <c r="O69" s="257">
        <v>0.74217</v>
      </c>
      <c r="P69" s="257">
        <v>0</v>
      </c>
    </row>
    <row r="70" spans="1:16" x14ac:dyDescent="0.2">
      <c r="A70" s="258"/>
      <c r="B70" s="257"/>
      <c r="C70" s="257"/>
      <c r="D70" s="257"/>
      <c r="E70" s="257"/>
      <c r="F70" s="257"/>
      <c r="G70" s="257"/>
      <c r="J70" s="258">
        <v>38425</v>
      </c>
      <c r="K70" s="257">
        <v>0.74217</v>
      </c>
      <c r="L70" s="257">
        <v>0.75358000000000003</v>
      </c>
      <c r="M70" s="257">
        <v>0.74189000000000005</v>
      </c>
      <c r="N70" s="257">
        <v>0.75097999999999998</v>
      </c>
      <c r="O70" s="257">
        <v>0.75097999999999998</v>
      </c>
      <c r="P70" s="257">
        <v>0</v>
      </c>
    </row>
    <row r="71" spans="1:16" x14ac:dyDescent="0.2">
      <c r="A71" s="258"/>
      <c r="B71" s="257"/>
      <c r="C71" s="257"/>
      <c r="D71" s="257"/>
      <c r="E71" s="257"/>
      <c r="F71" s="257"/>
      <c r="G71" s="257"/>
      <c r="J71" s="258">
        <v>38432</v>
      </c>
      <c r="K71" s="257">
        <v>0.75080999999999998</v>
      </c>
      <c r="L71" s="257">
        <v>0.77327999999999997</v>
      </c>
      <c r="M71" s="257">
        <v>0.75080999999999998</v>
      </c>
      <c r="N71" s="257">
        <v>0.77171999999999996</v>
      </c>
      <c r="O71" s="257">
        <v>0.77171999999999996</v>
      </c>
      <c r="P71" s="257">
        <v>0</v>
      </c>
    </row>
    <row r="72" spans="1:16" x14ac:dyDescent="0.2">
      <c r="A72" s="258"/>
      <c r="B72" s="257"/>
      <c r="C72" s="257"/>
      <c r="D72" s="257"/>
      <c r="E72" s="257"/>
      <c r="F72" s="257"/>
      <c r="G72" s="257"/>
      <c r="J72" s="258">
        <v>38439</v>
      </c>
      <c r="K72" s="257">
        <v>0.77171999999999996</v>
      </c>
      <c r="L72" s="257">
        <v>0.77754000000000001</v>
      </c>
      <c r="M72" s="257">
        <v>0.76668999999999998</v>
      </c>
      <c r="N72" s="257">
        <v>0.77531000000000005</v>
      </c>
      <c r="O72" s="257">
        <v>0.77531000000000005</v>
      </c>
      <c r="P72" s="257">
        <v>0</v>
      </c>
    </row>
    <row r="73" spans="1:16" x14ac:dyDescent="0.2">
      <c r="A73" s="258"/>
      <c r="B73" s="257"/>
      <c r="C73" s="257"/>
      <c r="D73" s="257"/>
      <c r="E73" s="257"/>
      <c r="F73" s="257"/>
      <c r="G73" s="257"/>
      <c r="J73" s="258">
        <v>38446</v>
      </c>
      <c r="K73" s="257">
        <v>0.77537</v>
      </c>
      <c r="L73" s="257">
        <v>0.78100999999999998</v>
      </c>
      <c r="M73" s="257">
        <v>0.77256000000000002</v>
      </c>
      <c r="N73" s="257">
        <v>0.77375000000000005</v>
      </c>
      <c r="O73" s="257">
        <v>0.77375000000000005</v>
      </c>
      <c r="P73" s="257">
        <v>0</v>
      </c>
    </row>
    <row r="74" spans="1:16" x14ac:dyDescent="0.2">
      <c r="A74" s="258"/>
      <c r="B74" s="257"/>
      <c r="C74" s="257"/>
      <c r="D74" s="257"/>
      <c r="E74" s="257"/>
      <c r="F74" s="257"/>
      <c r="G74" s="257"/>
      <c r="J74" s="258">
        <v>38453</v>
      </c>
      <c r="K74" s="257">
        <v>0.77393000000000001</v>
      </c>
      <c r="L74" s="257">
        <v>0.78252999999999995</v>
      </c>
      <c r="M74" s="257">
        <v>0.76922999999999997</v>
      </c>
      <c r="N74" s="257">
        <v>0.77405000000000002</v>
      </c>
      <c r="O74" s="257">
        <v>0.77405000000000002</v>
      </c>
      <c r="P74" s="257">
        <v>0</v>
      </c>
    </row>
    <row r="75" spans="1:16" x14ac:dyDescent="0.2">
      <c r="A75" s="258"/>
      <c r="B75" s="257"/>
      <c r="C75" s="257"/>
      <c r="D75" s="257"/>
      <c r="E75" s="257"/>
      <c r="F75" s="257"/>
      <c r="G75" s="257"/>
      <c r="J75" s="258">
        <v>38460</v>
      </c>
      <c r="K75" s="257">
        <v>0.77441000000000004</v>
      </c>
      <c r="L75" s="257">
        <v>0.77634000000000003</v>
      </c>
      <c r="M75" s="257">
        <v>0.76236999999999999</v>
      </c>
      <c r="N75" s="257">
        <v>0.76617000000000002</v>
      </c>
      <c r="O75" s="257">
        <v>0.76617000000000002</v>
      </c>
      <c r="P75" s="257">
        <v>0</v>
      </c>
    </row>
    <row r="76" spans="1:16" x14ac:dyDescent="0.2">
      <c r="A76" s="258"/>
      <c r="B76" s="257"/>
      <c r="C76" s="257"/>
      <c r="D76" s="257"/>
      <c r="E76" s="257"/>
      <c r="F76" s="257"/>
      <c r="G76" s="257"/>
      <c r="J76" s="258">
        <v>38467</v>
      </c>
      <c r="K76" s="257">
        <v>0.76593</v>
      </c>
      <c r="L76" s="257">
        <v>0.77785000000000004</v>
      </c>
      <c r="M76" s="257">
        <v>0.76570000000000005</v>
      </c>
      <c r="N76" s="257">
        <v>0.77747999999999995</v>
      </c>
      <c r="O76" s="257">
        <v>0.77747999999999995</v>
      </c>
      <c r="P76" s="257">
        <v>0</v>
      </c>
    </row>
    <row r="77" spans="1:16" x14ac:dyDescent="0.2">
      <c r="A77" s="258"/>
      <c r="B77" s="257"/>
      <c r="C77" s="257"/>
      <c r="D77" s="257"/>
      <c r="E77" s="257"/>
      <c r="F77" s="257"/>
      <c r="G77" s="257"/>
      <c r="J77" s="258">
        <v>38474</v>
      </c>
      <c r="K77" s="257">
        <v>0.77747999999999995</v>
      </c>
      <c r="L77" s="257">
        <v>0.78064</v>
      </c>
      <c r="M77" s="257">
        <v>0.77</v>
      </c>
      <c r="N77" s="257">
        <v>0.78003</v>
      </c>
      <c r="O77" s="257">
        <v>0.78003</v>
      </c>
      <c r="P77" s="257">
        <v>0</v>
      </c>
    </row>
    <row r="78" spans="1:16" x14ac:dyDescent="0.2">
      <c r="A78" s="258"/>
      <c r="B78" s="257"/>
      <c r="C78" s="257"/>
      <c r="D78" s="257"/>
      <c r="E78" s="257"/>
      <c r="F78" s="257"/>
      <c r="G78" s="257"/>
      <c r="J78" s="258">
        <v>38481</v>
      </c>
      <c r="K78" s="257">
        <v>0.78008999999999995</v>
      </c>
      <c r="L78" s="257">
        <v>0.79346000000000005</v>
      </c>
      <c r="M78" s="257">
        <v>0.77500999999999998</v>
      </c>
      <c r="N78" s="257">
        <v>0.79346000000000005</v>
      </c>
      <c r="O78" s="257">
        <v>0.79346000000000005</v>
      </c>
      <c r="P78" s="257">
        <v>0</v>
      </c>
    </row>
    <row r="79" spans="1:16" x14ac:dyDescent="0.2">
      <c r="A79" s="258"/>
      <c r="B79" s="257"/>
      <c r="C79" s="257"/>
      <c r="D79" s="257"/>
      <c r="E79" s="257"/>
      <c r="F79" s="257"/>
      <c r="G79" s="257"/>
      <c r="J79" s="258">
        <v>38488</v>
      </c>
      <c r="K79" s="257">
        <v>0.79327000000000003</v>
      </c>
      <c r="L79" s="257">
        <v>0.79732000000000003</v>
      </c>
      <c r="M79" s="257">
        <v>0.78795999999999999</v>
      </c>
      <c r="N79" s="257">
        <v>0.79656000000000005</v>
      </c>
      <c r="O79" s="257">
        <v>0.79656000000000005</v>
      </c>
      <c r="P79" s="257">
        <v>0</v>
      </c>
    </row>
    <row r="80" spans="1:16" x14ac:dyDescent="0.2">
      <c r="A80" s="258"/>
      <c r="B80" s="257"/>
      <c r="C80" s="257"/>
      <c r="D80" s="257"/>
      <c r="E80" s="257"/>
      <c r="F80" s="257"/>
      <c r="G80" s="257"/>
      <c r="J80" s="258">
        <v>38495</v>
      </c>
      <c r="K80" s="257">
        <v>0.79656000000000005</v>
      </c>
      <c r="L80" s="257">
        <v>0.79986999999999997</v>
      </c>
      <c r="M80" s="257">
        <v>0.79183000000000003</v>
      </c>
      <c r="N80" s="257">
        <v>0.79801999999999995</v>
      </c>
      <c r="O80" s="257">
        <v>0.79801999999999995</v>
      </c>
      <c r="P80" s="257">
        <v>0</v>
      </c>
    </row>
    <row r="81" spans="1:16" x14ac:dyDescent="0.2">
      <c r="A81" s="258"/>
      <c r="B81" s="257"/>
      <c r="C81" s="257"/>
      <c r="D81" s="257"/>
      <c r="E81" s="257"/>
      <c r="F81" s="257"/>
      <c r="G81" s="257"/>
      <c r="J81" s="258">
        <v>38502</v>
      </c>
      <c r="K81" s="257">
        <v>0.79820999999999998</v>
      </c>
      <c r="L81" s="257">
        <v>0.82189999999999996</v>
      </c>
      <c r="M81" s="257">
        <v>0.79700000000000004</v>
      </c>
      <c r="N81" s="257">
        <v>0.81759000000000004</v>
      </c>
      <c r="O81" s="257">
        <v>0.81759000000000004</v>
      </c>
      <c r="P81" s="257">
        <v>0</v>
      </c>
    </row>
    <row r="82" spans="1:16" x14ac:dyDescent="0.2">
      <c r="A82" s="258"/>
      <c r="B82" s="257"/>
      <c r="C82" s="257"/>
      <c r="D82" s="257"/>
      <c r="E82" s="257"/>
      <c r="F82" s="257"/>
      <c r="G82" s="257"/>
      <c r="J82" s="258">
        <v>38509</v>
      </c>
      <c r="K82" s="257">
        <v>0.81759000000000004</v>
      </c>
      <c r="L82" s="257">
        <v>0.82576000000000005</v>
      </c>
      <c r="M82" s="257">
        <v>0.80998000000000003</v>
      </c>
      <c r="N82" s="257">
        <v>0.82542000000000004</v>
      </c>
      <c r="O82" s="257">
        <v>0.82542000000000004</v>
      </c>
      <c r="P82" s="257">
        <v>0</v>
      </c>
    </row>
    <row r="83" spans="1:16" x14ac:dyDescent="0.2">
      <c r="A83" s="258"/>
      <c r="B83" s="257"/>
      <c r="C83" s="257"/>
      <c r="D83" s="257"/>
      <c r="E83" s="257"/>
      <c r="F83" s="257"/>
      <c r="G83" s="257"/>
      <c r="J83" s="258">
        <v>38516</v>
      </c>
      <c r="K83" s="257">
        <v>0.82528999999999997</v>
      </c>
      <c r="L83" s="257">
        <v>0.83181000000000005</v>
      </c>
      <c r="M83" s="257">
        <v>0.81301000000000001</v>
      </c>
      <c r="N83" s="257">
        <v>0.82013999999999998</v>
      </c>
      <c r="O83" s="257">
        <v>0.82013999999999998</v>
      </c>
      <c r="P83" s="257">
        <v>0</v>
      </c>
    </row>
    <row r="84" spans="1:16" x14ac:dyDescent="0.2">
      <c r="A84" s="258"/>
      <c r="B84" s="257"/>
      <c r="C84" s="257"/>
      <c r="D84" s="257"/>
      <c r="E84" s="257"/>
      <c r="F84" s="257"/>
      <c r="G84" s="257"/>
      <c r="J84" s="258">
        <v>38523</v>
      </c>
      <c r="K84" s="257">
        <v>0.81981000000000004</v>
      </c>
      <c r="L84" s="257">
        <v>0.83291999999999999</v>
      </c>
      <c r="M84" s="257">
        <v>0.81625999999999999</v>
      </c>
      <c r="N84" s="257">
        <v>0.82569999999999999</v>
      </c>
      <c r="O84" s="257">
        <v>0.82569999999999999</v>
      </c>
      <c r="P84" s="257">
        <v>0</v>
      </c>
    </row>
    <row r="85" spans="1:16" x14ac:dyDescent="0.2">
      <c r="A85" s="258"/>
      <c r="B85" s="257"/>
      <c r="C85" s="257"/>
      <c r="D85" s="257"/>
      <c r="E85" s="257"/>
      <c r="F85" s="257"/>
      <c r="G85" s="257"/>
      <c r="J85" s="258">
        <v>38530</v>
      </c>
      <c r="K85" s="257">
        <v>0.82582999999999995</v>
      </c>
      <c r="L85" s="257">
        <v>0.83935000000000004</v>
      </c>
      <c r="M85" s="257">
        <v>0.82060999999999995</v>
      </c>
      <c r="N85" s="257">
        <v>0.83779999999999999</v>
      </c>
      <c r="O85" s="257">
        <v>0.83779999999999999</v>
      </c>
      <c r="P85" s="257">
        <v>0</v>
      </c>
    </row>
    <row r="86" spans="1:16" x14ac:dyDescent="0.2">
      <c r="A86" s="258"/>
      <c r="B86" s="257"/>
      <c r="C86" s="257"/>
      <c r="D86" s="257"/>
      <c r="E86" s="257"/>
      <c r="F86" s="257"/>
      <c r="G86" s="257"/>
      <c r="J86" s="258">
        <v>38537</v>
      </c>
      <c r="K86" s="257">
        <v>0.83948999999999996</v>
      </c>
      <c r="L86" s="257">
        <v>0.84231999999999996</v>
      </c>
      <c r="M86" s="257">
        <v>0.83126</v>
      </c>
      <c r="N86" s="257">
        <v>0.83542000000000005</v>
      </c>
      <c r="O86" s="257">
        <v>0.83542000000000005</v>
      </c>
      <c r="P86" s="257">
        <v>0</v>
      </c>
    </row>
    <row r="87" spans="1:16" x14ac:dyDescent="0.2">
      <c r="A87" s="258"/>
      <c r="B87" s="257"/>
      <c r="C87" s="257"/>
      <c r="D87" s="257"/>
      <c r="E87" s="257"/>
      <c r="F87" s="257"/>
      <c r="G87" s="257"/>
      <c r="J87" s="258">
        <v>38544</v>
      </c>
      <c r="K87" s="257">
        <v>0.83535000000000004</v>
      </c>
      <c r="L87" s="257">
        <v>0.83591000000000004</v>
      </c>
      <c r="M87" s="257">
        <v>0.81613000000000002</v>
      </c>
      <c r="N87" s="257">
        <v>0.83098000000000005</v>
      </c>
      <c r="O87" s="257">
        <v>0.83098000000000005</v>
      </c>
      <c r="P87" s="257">
        <v>0</v>
      </c>
    </row>
    <row r="88" spans="1:16" x14ac:dyDescent="0.2">
      <c r="A88" s="258"/>
      <c r="B88" s="257"/>
      <c r="C88" s="257"/>
      <c r="D88" s="257"/>
      <c r="E88" s="257"/>
      <c r="F88" s="257"/>
      <c r="G88" s="257"/>
      <c r="J88" s="258">
        <v>38551</v>
      </c>
      <c r="K88" s="257">
        <v>0.83069999999999999</v>
      </c>
      <c r="L88" s="257">
        <v>0.83618999999999999</v>
      </c>
      <c r="M88" s="257">
        <v>0.81786000000000003</v>
      </c>
      <c r="N88" s="257">
        <v>0.82981000000000005</v>
      </c>
      <c r="O88" s="257">
        <v>0.82981000000000005</v>
      </c>
      <c r="P88" s="257">
        <v>0</v>
      </c>
    </row>
    <row r="89" spans="1:16" x14ac:dyDescent="0.2">
      <c r="A89" s="258"/>
      <c r="B89" s="257"/>
      <c r="C89" s="257"/>
      <c r="D89" s="257"/>
      <c r="E89" s="257"/>
      <c r="F89" s="257"/>
      <c r="G89" s="257"/>
      <c r="J89" s="258">
        <v>38558</v>
      </c>
      <c r="K89" s="257">
        <v>0.82981000000000005</v>
      </c>
      <c r="L89" s="257">
        <v>0.83499999999999996</v>
      </c>
      <c r="M89" s="257">
        <v>0.81799999999999995</v>
      </c>
      <c r="N89" s="257">
        <v>0.82481000000000004</v>
      </c>
      <c r="O89" s="257">
        <v>0.82481000000000004</v>
      </c>
      <c r="P89" s="257">
        <v>0</v>
      </c>
    </row>
    <row r="90" spans="1:16" x14ac:dyDescent="0.2">
      <c r="A90" s="258"/>
      <c r="B90" s="257"/>
      <c r="C90" s="257"/>
      <c r="D90" s="257"/>
      <c r="E90" s="257"/>
      <c r="F90" s="257"/>
      <c r="G90" s="257"/>
      <c r="J90" s="258">
        <v>38565</v>
      </c>
      <c r="K90" s="257">
        <v>0.82487999999999995</v>
      </c>
      <c r="L90" s="257">
        <v>0.82494999999999996</v>
      </c>
      <c r="M90" s="257">
        <v>0.79339999999999999</v>
      </c>
      <c r="N90" s="257">
        <v>0.81076999999999999</v>
      </c>
      <c r="O90" s="257">
        <v>0.81076999999999999</v>
      </c>
      <c r="P90" s="257">
        <v>0</v>
      </c>
    </row>
    <row r="91" spans="1:16" x14ac:dyDescent="0.2">
      <c r="A91" s="258"/>
      <c r="B91" s="257"/>
      <c r="C91" s="257"/>
      <c r="D91" s="257"/>
      <c r="E91" s="257"/>
      <c r="F91" s="257"/>
      <c r="G91" s="257"/>
      <c r="J91" s="258">
        <v>38572</v>
      </c>
      <c r="K91" s="257">
        <v>0.81057000000000001</v>
      </c>
      <c r="L91" s="257">
        <v>0.81169000000000002</v>
      </c>
      <c r="M91" s="257">
        <v>0.80103000000000002</v>
      </c>
      <c r="N91" s="257">
        <v>0.80295000000000005</v>
      </c>
      <c r="O91" s="257">
        <v>0.80295000000000005</v>
      </c>
      <c r="P91" s="257">
        <v>0</v>
      </c>
    </row>
    <row r="92" spans="1:16" x14ac:dyDescent="0.2">
      <c r="A92" s="258"/>
      <c r="B92" s="257"/>
      <c r="C92" s="257"/>
      <c r="D92" s="257"/>
      <c r="E92" s="257"/>
      <c r="F92" s="257"/>
      <c r="G92" s="257"/>
      <c r="J92" s="258">
        <v>38579</v>
      </c>
      <c r="K92" s="257">
        <v>0.80295000000000005</v>
      </c>
      <c r="L92" s="257">
        <v>0.82420000000000004</v>
      </c>
      <c r="M92" s="257">
        <v>0.80269999999999997</v>
      </c>
      <c r="N92" s="257">
        <v>0.82176000000000005</v>
      </c>
      <c r="O92" s="257">
        <v>0.82176000000000005</v>
      </c>
      <c r="P92" s="257">
        <v>0</v>
      </c>
    </row>
    <row r="93" spans="1:16" x14ac:dyDescent="0.2">
      <c r="A93" s="258"/>
      <c r="B93" s="257"/>
      <c r="C93" s="257"/>
      <c r="D93" s="257"/>
      <c r="E93" s="257"/>
      <c r="F93" s="257"/>
      <c r="G93" s="257"/>
      <c r="J93" s="258">
        <v>38586</v>
      </c>
      <c r="K93" s="257">
        <v>0.82176000000000005</v>
      </c>
      <c r="L93" s="257">
        <v>0.82237000000000005</v>
      </c>
      <c r="M93" s="257">
        <v>0.81037000000000003</v>
      </c>
      <c r="N93" s="257">
        <v>0.81301000000000001</v>
      </c>
      <c r="O93" s="257">
        <v>0.81301000000000001</v>
      </c>
      <c r="P93" s="257">
        <v>0</v>
      </c>
    </row>
    <row r="94" spans="1:16" x14ac:dyDescent="0.2">
      <c r="A94" s="258"/>
      <c r="B94" s="257"/>
      <c r="C94" s="257"/>
      <c r="D94" s="257"/>
      <c r="E94" s="257"/>
      <c r="F94" s="257"/>
      <c r="G94" s="257"/>
      <c r="J94" s="258">
        <v>38593</v>
      </c>
      <c r="K94" s="257">
        <v>0.81261000000000005</v>
      </c>
      <c r="L94" s="257">
        <v>0.82128999999999996</v>
      </c>
      <c r="M94" s="257">
        <v>0.79440999999999995</v>
      </c>
      <c r="N94" s="257">
        <v>0.79751000000000005</v>
      </c>
      <c r="O94" s="257">
        <v>0.79751000000000005</v>
      </c>
      <c r="P94" s="257">
        <v>0</v>
      </c>
    </row>
    <row r="95" spans="1:16" x14ac:dyDescent="0.2">
      <c r="A95" s="258"/>
      <c r="B95" s="257"/>
      <c r="C95" s="257"/>
      <c r="D95" s="257"/>
      <c r="E95" s="257"/>
      <c r="F95" s="257"/>
      <c r="G95" s="257"/>
      <c r="J95" s="258">
        <v>38600</v>
      </c>
      <c r="K95" s="257">
        <v>0.79751000000000005</v>
      </c>
      <c r="L95" s="257">
        <v>0.80808000000000002</v>
      </c>
      <c r="M95" s="257">
        <v>0.79452999999999996</v>
      </c>
      <c r="N95" s="257">
        <v>0.80625999999999998</v>
      </c>
      <c r="O95" s="257">
        <v>0.80625999999999998</v>
      </c>
      <c r="P95" s="257">
        <v>0</v>
      </c>
    </row>
    <row r="96" spans="1:16" x14ac:dyDescent="0.2">
      <c r="A96" s="258"/>
      <c r="B96" s="257"/>
      <c r="C96" s="257"/>
      <c r="D96" s="257"/>
      <c r="E96" s="257"/>
      <c r="F96" s="257"/>
      <c r="G96" s="257"/>
      <c r="J96" s="258">
        <v>38607</v>
      </c>
      <c r="K96" s="257">
        <v>0.80632000000000004</v>
      </c>
      <c r="L96" s="257">
        <v>0.82304999999999995</v>
      </c>
      <c r="M96" s="257">
        <v>0.80554000000000003</v>
      </c>
      <c r="N96" s="257">
        <v>0.82304999999999995</v>
      </c>
      <c r="O96" s="257">
        <v>0.82304999999999995</v>
      </c>
      <c r="P96" s="257">
        <v>0</v>
      </c>
    </row>
    <row r="97" spans="1:16" x14ac:dyDescent="0.2">
      <c r="A97" s="258"/>
      <c r="B97" s="257"/>
      <c r="C97" s="257"/>
      <c r="D97" s="257"/>
      <c r="E97" s="257"/>
      <c r="F97" s="257"/>
      <c r="G97" s="257"/>
      <c r="J97" s="258">
        <v>38614</v>
      </c>
      <c r="K97" s="257">
        <v>0.82277</v>
      </c>
      <c r="L97" s="257">
        <v>0.83326</v>
      </c>
      <c r="M97" s="257">
        <v>0.81506000000000001</v>
      </c>
      <c r="N97" s="257">
        <v>0.83145999999999998</v>
      </c>
      <c r="O97" s="257">
        <v>0.83145999999999998</v>
      </c>
      <c r="P97" s="257">
        <v>0</v>
      </c>
    </row>
    <row r="98" spans="1:16" x14ac:dyDescent="0.2">
      <c r="A98" s="258"/>
      <c r="B98" s="257"/>
      <c r="C98" s="257"/>
      <c r="D98" s="257"/>
      <c r="E98" s="257"/>
      <c r="F98" s="257"/>
      <c r="G98" s="257"/>
      <c r="J98" s="258">
        <v>38621</v>
      </c>
      <c r="K98" s="257">
        <v>0.83152999999999999</v>
      </c>
      <c r="L98" s="257">
        <v>0.83431</v>
      </c>
      <c r="M98" s="257">
        <v>0.82781000000000005</v>
      </c>
      <c r="N98" s="257">
        <v>0.83194999999999997</v>
      </c>
      <c r="O98" s="257">
        <v>0.83194999999999997</v>
      </c>
      <c r="P98" s="257">
        <v>0</v>
      </c>
    </row>
    <row r="99" spans="1:16" x14ac:dyDescent="0.2">
      <c r="A99" s="258"/>
      <c r="B99" s="257"/>
      <c r="C99" s="257"/>
      <c r="D99" s="257"/>
      <c r="E99" s="257"/>
      <c r="F99" s="257"/>
      <c r="G99" s="257"/>
      <c r="J99" s="258">
        <v>38628</v>
      </c>
      <c r="K99" s="257">
        <v>0.83187999999999995</v>
      </c>
      <c r="L99" s="257">
        <v>0.84004999999999996</v>
      </c>
      <c r="M99" s="257">
        <v>0.81933999999999996</v>
      </c>
      <c r="N99" s="257">
        <v>0.82542000000000004</v>
      </c>
      <c r="O99" s="257">
        <v>0.82542000000000004</v>
      </c>
      <c r="P99" s="257">
        <v>0</v>
      </c>
    </row>
    <row r="100" spans="1:16" x14ac:dyDescent="0.2">
      <c r="A100" s="258"/>
      <c r="B100" s="257"/>
      <c r="C100" s="257"/>
      <c r="D100" s="257"/>
      <c r="E100" s="257"/>
      <c r="F100" s="257"/>
      <c r="G100" s="257"/>
      <c r="J100" s="258">
        <v>38635</v>
      </c>
      <c r="K100" s="257">
        <v>0.82535000000000003</v>
      </c>
      <c r="L100" s="257">
        <v>0.83899999999999997</v>
      </c>
      <c r="M100" s="257">
        <v>0.82291000000000003</v>
      </c>
      <c r="N100" s="257">
        <v>0.82850000000000001</v>
      </c>
      <c r="O100" s="257">
        <v>0.82850000000000001</v>
      </c>
      <c r="P100" s="257">
        <v>0</v>
      </c>
    </row>
    <row r="101" spans="1:16" x14ac:dyDescent="0.2">
      <c r="A101" s="258"/>
      <c r="B101" s="257"/>
      <c r="C101" s="257"/>
      <c r="D101" s="257"/>
      <c r="E101" s="257"/>
      <c r="F101" s="257"/>
      <c r="G101" s="257"/>
      <c r="J101" s="258">
        <v>38642</v>
      </c>
      <c r="K101" s="257">
        <v>0.82850000000000001</v>
      </c>
      <c r="L101" s="257">
        <v>0.84160999999999997</v>
      </c>
      <c r="M101" s="257">
        <v>0.82501000000000002</v>
      </c>
      <c r="N101" s="257">
        <v>0.83723999999999998</v>
      </c>
      <c r="O101" s="257">
        <v>0.83723999999999998</v>
      </c>
      <c r="P101" s="257">
        <v>0</v>
      </c>
    </row>
    <row r="102" spans="1:16" x14ac:dyDescent="0.2">
      <c r="A102" s="258"/>
      <c r="B102" s="257"/>
      <c r="C102" s="257"/>
      <c r="D102" s="257"/>
      <c r="E102" s="257"/>
      <c r="F102" s="257"/>
      <c r="G102" s="257"/>
      <c r="J102" s="258">
        <v>38649</v>
      </c>
      <c r="K102" s="257">
        <v>0.83716999999999997</v>
      </c>
      <c r="L102" s="257">
        <v>0.83857000000000004</v>
      </c>
      <c r="M102" s="257">
        <v>0.82155999999999996</v>
      </c>
      <c r="N102" s="257">
        <v>0.82884000000000002</v>
      </c>
      <c r="O102" s="257">
        <v>0.82884000000000002</v>
      </c>
      <c r="P102" s="257">
        <v>0</v>
      </c>
    </row>
    <row r="103" spans="1:16" x14ac:dyDescent="0.2">
      <c r="A103" s="258"/>
      <c r="B103" s="257"/>
      <c r="C103" s="257"/>
      <c r="D103" s="257"/>
      <c r="E103" s="257"/>
      <c r="F103" s="257"/>
      <c r="G103" s="257"/>
      <c r="J103" s="258">
        <v>38656</v>
      </c>
      <c r="K103" s="257">
        <v>0.82884000000000002</v>
      </c>
      <c r="L103" s="257">
        <v>0.84716999999999998</v>
      </c>
      <c r="M103" s="257">
        <v>0.82720000000000005</v>
      </c>
      <c r="N103" s="257">
        <v>0.84696000000000005</v>
      </c>
      <c r="O103" s="257">
        <v>0.84696000000000005</v>
      </c>
      <c r="P103" s="257">
        <v>0</v>
      </c>
    </row>
    <row r="104" spans="1:16" x14ac:dyDescent="0.2">
      <c r="A104" s="258"/>
      <c r="B104" s="257"/>
      <c r="C104" s="257"/>
      <c r="D104" s="257"/>
      <c r="E104" s="257"/>
      <c r="F104" s="257"/>
      <c r="G104" s="257"/>
      <c r="J104" s="258">
        <v>38663</v>
      </c>
      <c r="K104" s="257">
        <v>0.84696000000000005</v>
      </c>
      <c r="L104" s="257">
        <v>0.85660000000000003</v>
      </c>
      <c r="M104" s="257">
        <v>0.84531000000000001</v>
      </c>
      <c r="N104" s="257">
        <v>0.85214999999999996</v>
      </c>
      <c r="O104" s="257">
        <v>0.85214999999999996</v>
      </c>
      <c r="P104" s="257">
        <v>0</v>
      </c>
    </row>
    <row r="105" spans="1:16" x14ac:dyDescent="0.2">
      <c r="A105" s="258"/>
      <c r="B105" s="257"/>
      <c r="C105" s="257"/>
      <c r="D105" s="257"/>
      <c r="E105" s="257"/>
      <c r="F105" s="257"/>
      <c r="G105" s="257"/>
      <c r="J105" s="258">
        <v>38670</v>
      </c>
      <c r="K105" s="257">
        <v>0.85207999999999995</v>
      </c>
      <c r="L105" s="257">
        <v>0.85848000000000002</v>
      </c>
      <c r="M105" s="257">
        <v>0.84853999999999996</v>
      </c>
      <c r="N105" s="257">
        <v>0.84918000000000005</v>
      </c>
      <c r="O105" s="257">
        <v>0.84918000000000005</v>
      </c>
      <c r="P105" s="257">
        <v>0</v>
      </c>
    </row>
    <row r="106" spans="1:16" x14ac:dyDescent="0.2">
      <c r="A106" s="258"/>
      <c r="B106" s="257"/>
      <c r="C106" s="257"/>
      <c r="D106" s="257"/>
      <c r="E106" s="257"/>
      <c r="F106" s="257"/>
      <c r="G106" s="257"/>
      <c r="J106" s="258">
        <v>38677</v>
      </c>
      <c r="K106" s="257">
        <v>0.84926000000000001</v>
      </c>
      <c r="L106" s="257">
        <v>0.85540000000000005</v>
      </c>
      <c r="M106" s="257">
        <v>0.84338000000000002</v>
      </c>
      <c r="N106" s="257">
        <v>0.85338999999999998</v>
      </c>
      <c r="O106" s="257">
        <v>0.85338999999999998</v>
      </c>
      <c r="P106" s="257">
        <v>0</v>
      </c>
    </row>
    <row r="107" spans="1:16" x14ac:dyDescent="0.2">
      <c r="A107" s="258"/>
      <c r="B107" s="257"/>
      <c r="C107" s="257"/>
      <c r="D107" s="257"/>
      <c r="E107" s="257"/>
      <c r="F107" s="257"/>
      <c r="G107" s="257"/>
      <c r="J107" s="258">
        <v>38684</v>
      </c>
      <c r="K107" s="257">
        <v>0.85404000000000002</v>
      </c>
      <c r="L107" s="257">
        <v>0.85704000000000002</v>
      </c>
      <c r="M107" s="257">
        <v>0.84140000000000004</v>
      </c>
      <c r="N107" s="257">
        <v>0.85338999999999998</v>
      </c>
      <c r="O107" s="257">
        <v>0.85338999999999998</v>
      </c>
      <c r="P107" s="257">
        <v>0</v>
      </c>
    </row>
    <row r="108" spans="1:16" x14ac:dyDescent="0.2">
      <c r="A108" s="258"/>
      <c r="B108" s="257"/>
      <c r="C108" s="257"/>
      <c r="D108" s="257"/>
      <c r="E108" s="257"/>
      <c r="F108" s="257"/>
      <c r="G108" s="257"/>
      <c r="J108" s="258">
        <v>38691</v>
      </c>
      <c r="K108" s="257">
        <v>0.85324</v>
      </c>
      <c r="L108" s="257">
        <v>0.85536000000000001</v>
      </c>
      <c r="M108" s="257">
        <v>0.84401999999999999</v>
      </c>
      <c r="N108" s="257">
        <v>0.84789000000000003</v>
      </c>
      <c r="O108" s="257">
        <v>0.84789000000000003</v>
      </c>
      <c r="P108" s="257">
        <v>0</v>
      </c>
    </row>
    <row r="109" spans="1:16" x14ac:dyDescent="0.2">
      <c r="A109" s="258"/>
      <c r="B109" s="257"/>
      <c r="C109" s="257"/>
      <c r="D109" s="257"/>
      <c r="E109" s="257"/>
      <c r="F109" s="257"/>
      <c r="G109" s="257"/>
      <c r="J109" s="258">
        <v>38698</v>
      </c>
      <c r="K109" s="257">
        <v>0.84782000000000002</v>
      </c>
      <c r="L109" s="257">
        <v>0.84784999999999999</v>
      </c>
      <c r="M109" s="257">
        <v>0.82938999999999996</v>
      </c>
      <c r="N109" s="257">
        <v>0.83069999999999999</v>
      </c>
      <c r="O109" s="257">
        <v>0.83069999999999999</v>
      </c>
      <c r="P109" s="257">
        <v>0</v>
      </c>
    </row>
    <row r="110" spans="1:16" x14ac:dyDescent="0.2">
      <c r="A110" s="258"/>
      <c r="B110" s="257"/>
      <c r="C110" s="257"/>
      <c r="D110" s="257"/>
      <c r="E110" s="257"/>
      <c r="F110" s="257"/>
      <c r="G110" s="257"/>
      <c r="J110" s="258">
        <v>38705</v>
      </c>
      <c r="K110" s="257">
        <v>0.83084000000000002</v>
      </c>
      <c r="L110" s="257">
        <v>0.84713000000000005</v>
      </c>
      <c r="M110" s="257">
        <v>0.83062999999999998</v>
      </c>
      <c r="N110" s="257">
        <v>0.84302999999999995</v>
      </c>
      <c r="O110" s="257">
        <v>0.84302999999999995</v>
      </c>
      <c r="P110" s="257">
        <v>0</v>
      </c>
    </row>
    <row r="111" spans="1:16" x14ac:dyDescent="0.2">
      <c r="A111" s="258"/>
      <c r="B111" s="257"/>
      <c r="C111" s="257"/>
      <c r="D111" s="257"/>
      <c r="E111" s="257"/>
      <c r="F111" s="257"/>
      <c r="G111" s="257"/>
      <c r="J111" s="258">
        <v>38712</v>
      </c>
      <c r="K111" s="257">
        <v>0.84302999999999995</v>
      </c>
      <c r="L111" s="257">
        <v>0.84867999999999999</v>
      </c>
      <c r="M111" s="257">
        <v>0.83814999999999995</v>
      </c>
      <c r="N111" s="257">
        <v>0.84438000000000002</v>
      </c>
      <c r="O111" s="257">
        <v>0.84438000000000002</v>
      </c>
      <c r="P111" s="257">
        <v>0</v>
      </c>
    </row>
    <row r="112" spans="1:16" x14ac:dyDescent="0.2">
      <c r="A112" s="258"/>
      <c r="B112" s="257"/>
      <c r="C112" s="257"/>
      <c r="D112" s="257"/>
      <c r="E112" s="257"/>
      <c r="F112" s="257"/>
      <c r="G112" s="257"/>
      <c r="J112" s="258">
        <v>38719</v>
      </c>
      <c r="K112" s="257">
        <v>0.84445000000000003</v>
      </c>
      <c r="L112" s="257">
        <v>0.84638000000000002</v>
      </c>
      <c r="M112" s="257">
        <v>0.82142000000000004</v>
      </c>
      <c r="N112" s="257">
        <v>0.82352000000000003</v>
      </c>
      <c r="O112" s="257">
        <v>0.82352000000000003</v>
      </c>
      <c r="P112" s="257">
        <v>0</v>
      </c>
    </row>
    <row r="113" spans="1:16" x14ac:dyDescent="0.2">
      <c r="A113" s="258"/>
      <c r="B113" s="257"/>
      <c r="C113" s="257"/>
      <c r="D113" s="257"/>
      <c r="E113" s="257"/>
      <c r="F113" s="257"/>
      <c r="G113" s="257"/>
      <c r="J113" s="258">
        <v>38726</v>
      </c>
      <c r="K113" s="257">
        <v>0.82372000000000001</v>
      </c>
      <c r="L113" s="257">
        <v>0.83243</v>
      </c>
      <c r="M113" s="257">
        <v>0.82142000000000004</v>
      </c>
      <c r="N113" s="257">
        <v>0.82196000000000002</v>
      </c>
      <c r="O113" s="257">
        <v>0.82196000000000002</v>
      </c>
      <c r="P113" s="257">
        <v>0</v>
      </c>
    </row>
    <row r="114" spans="1:16" x14ac:dyDescent="0.2">
      <c r="A114" s="258"/>
      <c r="B114" s="257"/>
      <c r="C114" s="257"/>
      <c r="D114" s="257"/>
      <c r="E114" s="257"/>
      <c r="F114" s="257"/>
      <c r="G114" s="257"/>
      <c r="J114" s="258">
        <v>38733</v>
      </c>
      <c r="K114" s="257">
        <v>0.82203000000000004</v>
      </c>
      <c r="L114" s="257">
        <v>0.8296</v>
      </c>
      <c r="M114" s="257">
        <v>0.82162999999999997</v>
      </c>
      <c r="N114" s="257">
        <v>0.82169000000000003</v>
      </c>
      <c r="O114" s="257">
        <v>0.82169000000000003</v>
      </c>
      <c r="P114" s="257">
        <v>0</v>
      </c>
    </row>
    <row r="115" spans="1:16" x14ac:dyDescent="0.2">
      <c r="A115" s="258"/>
      <c r="B115" s="257"/>
      <c r="C115" s="257"/>
      <c r="D115" s="257"/>
      <c r="E115" s="257"/>
      <c r="F115" s="257"/>
      <c r="G115" s="257"/>
      <c r="J115" s="258">
        <v>38740</v>
      </c>
      <c r="K115" s="257">
        <v>0.82182999999999995</v>
      </c>
      <c r="L115" s="257">
        <v>0.82706000000000002</v>
      </c>
      <c r="M115" s="257">
        <v>0.81162000000000001</v>
      </c>
      <c r="N115" s="257">
        <v>0.82604</v>
      </c>
      <c r="O115" s="257">
        <v>0.82604</v>
      </c>
      <c r="P115" s="257">
        <v>0</v>
      </c>
    </row>
    <row r="116" spans="1:16" x14ac:dyDescent="0.2">
      <c r="A116" s="258"/>
      <c r="B116" s="257"/>
      <c r="C116" s="257"/>
      <c r="D116" s="257"/>
      <c r="E116" s="257"/>
      <c r="F116" s="257"/>
      <c r="G116" s="257"/>
      <c r="J116" s="258">
        <v>38747</v>
      </c>
      <c r="K116" s="257">
        <v>0.82604</v>
      </c>
      <c r="L116" s="257">
        <v>0.83506999999999998</v>
      </c>
      <c r="M116" s="257">
        <v>0.82071000000000005</v>
      </c>
      <c r="N116" s="257">
        <v>0.83145999999999998</v>
      </c>
      <c r="O116" s="257">
        <v>0.83145999999999998</v>
      </c>
      <c r="P116" s="257">
        <v>0</v>
      </c>
    </row>
    <row r="117" spans="1:16" x14ac:dyDescent="0.2">
      <c r="A117" s="258"/>
      <c r="B117" s="257"/>
      <c r="C117" s="257"/>
      <c r="D117" s="257"/>
      <c r="E117" s="257"/>
      <c r="F117" s="257"/>
      <c r="G117" s="257"/>
      <c r="J117" s="258">
        <v>38754</v>
      </c>
      <c r="K117" s="257">
        <v>0.83118999999999998</v>
      </c>
      <c r="L117" s="257">
        <v>0.84238999999999997</v>
      </c>
      <c r="M117" s="257">
        <v>0.83035999999999999</v>
      </c>
      <c r="N117" s="257">
        <v>0.84026999999999996</v>
      </c>
      <c r="O117" s="257">
        <v>0.84026999999999996</v>
      </c>
      <c r="P117" s="257">
        <v>0</v>
      </c>
    </row>
    <row r="118" spans="1:16" x14ac:dyDescent="0.2">
      <c r="A118" s="258"/>
      <c r="B118" s="257"/>
      <c r="C118" s="257"/>
      <c r="D118" s="257"/>
      <c r="E118" s="257"/>
      <c r="F118" s="257"/>
      <c r="G118" s="257"/>
      <c r="J118" s="258">
        <v>38761</v>
      </c>
      <c r="K118" s="257">
        <v>0.84026999999999996</v>
      </c>
      <c r="L118" s="257">
        <v>0.84367000000000003</v>
      </c>
      <c r="M118" s="257">
        <v>0.83682000000000001</v>
      </c>
      <c r="N118" s="257">
        <v>0.83692999999999995</v>
      </c>
      <c r="O118" s="257">
        <v>0.83692999999999995</v>
      </c>
      <c r="P118" s="257">
        <v>0</v>
      </c>
    </row>
    <row r="119" spans="1:16" x14ac:dyDescent="0.2">
      <c r="A119" s="258"/>
      <c r="B119" s="257"/>
      <c r="C119" s="257"/>
      <c r="D119" s="257"/>
      <c r="E119" s="257"/>
      <c r="F119" s="257"/>
      <c r="G119" s="257"/>
      <c r="J119" s="258">
        <v>38768</v>
      </c>
      <c r="K119" s="257">
        <v>0.83686000000000005</v>
      </c>
      <c r="L119" s="257">
        <v>0.84501999999999999</v>
      </c>
      <c r="M119" s="257">
        <v>0.83506999999999998</v>
      </c>
      <c r="N119" s="257">
        <v>0.84445000000000003</v>
      </c>
      <c r="O119" s="257">
        <v>0.84445000000000003</v>
      </c>
      <c r="P119" s="257">
        <v>0</v>
      </c>
    </row>
    <row r="120" spans="1:16" x14ac:dyDescent="0.2">
      <c r="A120" s="258"/>
      <c r="B120" s="257"/>
      <c r="C120" s="257"/>
      <c r="D120" s="257"/>
      <c r="E120" s="257"/>
      <c r="F120" s="257"/>
      <c r="G120" s="257"/>
      <c r="J120" s="258">
        <v>38775</v>
      </c>
      <c r="K120" s="257">
        <v>0.84431</v>
      </c>
      <c r="L120" s="257">
        <v>0.84516999999999998</v>
      </c>
      <c r="M120" s="257">
        <v>0.82720000000000005</v>
      </c>
      <c r="N120" s="257">
        <v>0.82767999999999997</v>
      </c>
      <c r="O120" s="257">
        <v>0.82767999999999997</v>
      </c>
      <c r="P120" s="257">
        <v>0</v>
      </c>
    </row>
    <row r="121" spans="1:16" x14ac:dyDescent="0.2">
      <c r="A121" s="258"/>
      <c r="B121" s="257"/>
      <c r="C121" s="257"/>
      <c r="D121" s="257"/>
      <c r="E121" s="257"/>
      <c r="F121" s="257"/>
      <c r="G121" s="257"/>
      <c r="J121" s="258">
        <v>38782</v>
      </c>
      <c r="K121" s="257">
        <v>0.82737000000000005</v>
      </c>
      <c r="L121" s="257">
        <v>0.84267000000000003</v>
      </c>
      <c r="M121" s="257">
        <v>0.82699</v>
      </c>
      <c r="N121" s="257">
        <v>0.83899999999999997</v>
      </c>
      <c r="O121" s="257">
        <v>0.83899999999999997</v>
      </c>
      <c r="P121" s="257">
        <v>0</v>
      </c>
    </row>
    <row r="122" spans="1:16" x14ac:dyDescent="0.2">
      <c r="A122" s="258"/>
      <c r="B122" s="257"/>
      <c r="C122" s="257"/>
      <c r="D122" s="257"/>
      <c r="E122" s="257"/>
      <c r="F122" s="257"/>
      <c r="G122" s="257"/>
      <c r="J122" s="258">
        <v>38789</v>
      </c>
      <c r="K122" s="257">
        <v>0.83872000000000002</v>
      </c>
      <c r="L122" s="257">
        <v>0.83889000000000002</v>
      </c>
      <c r="M122" s="257">
        <v>0.81940000000000002</v>
      </c>
      <c r="N122" s="257">
        <v>0.82108999999999999</v>
      </c>
      <c r="O122" s="257">
        <v>0.82108999999999999</v>
      </c>
      <c r="P122" s="257">
        <v>0</v>
      </c>
    </row>
    <row r="123" spans="1:16" x14ac:dyDescent="0.2">
      <c r="A123" s="258"/>
      <c r="B123" s="257"/>
      <c r="C123" s="257"/>
      <c r="D123" s="257"/>
      <c r="E123" s="257"/>
      <c r="F123" s="257"/>
      <c r="G123" s="257"/>
      <c r="J123" s="258">
        <v>38796</v>
      </c>
      <c r="K123" s="257">
        <v>0.82094999999999996</v>
      </c>
      <c r="L123" s="257">
        <v>0.83633000000000002</v>
      </c>
      <c r="M123" s="257">
        <v>0.82001000000000002</v>
      </c>
      <c r="N123" s="257">
        <v>0.83098000000000005</v>
      </c>
      <c r="O123" s="257">
        <v>0.83098000000000005</v>
      </c>
      <c r="P123" s="257">
        <v>0</v>
      </c>
    </row>
    <row r="124" spans="1:16" x14ac:dyDescent="0.2">
      <c r="A124" s="258"/>
      <c r="B124" s="257"/>
      <c r="C124" s="257"/>
      <c r="D124" s="257"/>
      <c r="E124" s="257"/>
      <c r="F124" s="257"/>
      <c r="G124" s="257"/>
      <c r="J124" s="258">
        <v>38803</v>
      </c>
      <c r="K124" s="257">
        <v>0.83104999999999996</v>
      </c>
      <c r="L124" s="257">
        <v>0.83431</v>
      </c>
      <c r="M124" s="257">
        <v>0.80574000000000001</v>
      </c>
      <c r="N124" s="257">
        <v>0.82521999999999995</v>
      </c>
      <c r="O124" s="257">
        <v>0.82521999999999995</v>
      </c>
      <c r="P124" s="257">
        <v>0</v>
      </c>
    </row>
    <row r="125" spans="1:16" x14ac:dyDescent="0.2">
      <c r="A125" s="258"/>
      <c r="B125" s="257"/>
      <c r="C125" s="257"/>
      <c r="D125" s="257"/>
      <c r="E125" s="257"/>
      <c r="F125" s="257"/>
      <c r="G125" s="257"/>
      <c r="J125" s="258">
        <v>38810</v>
      </c>
      <c r="K125" s="257">
        <v>0.82501000000000002</v>
      </c>
      <c r="L125" s="257">
        <v>0.83069999999999999</v>
      </c>
      <c r="M125" s="257">
        <v>0.81110000000000004</v>
      </c>
      <c r="N125" s="257">
        <v>0.82569999999999999</v>
      </c>
      <c r="O125" s="257">
        <v>0.82569999999999999</v>
      </c>
      <c r="P125" s="257">
        <v>0</v>
      </c>
    </row>
    <row r="126" spans="1:16" x14ac:dyDescent="0.2">
      <c r="A126" s="258"/>
      <c r="B126" s="257"/>
      <c r="C126" s="257"/>
      <c r="D126" s="257"/>
      <c r="E126" s="257"/>
      <c r="F126" s="257"/>
      <c r="G126" s="257"/>
      <c r="J126" s="258">
        <v>38817</v>
      </c>
      <c r="K126" s="257">
        <v>0.82569999999999999</v>
      </c>
      <c r="L126" s="257">
        <v>0.82794999999999996</v>
      </c>
      <c r="M126" s="257">
        <v>0.13489000000000001</v>
      </c>
      <c r="N126" s="257">
        <v>0.82454000000000005</v>
      </c>
      <c r="O126" s="257">
        <v>0.82454000000000005</v>
      </c>
      <c r="P126" s="257">
        <v>0</v>
      </c>
    </row>
    <row r="127" spans="1:16" x14ac:dyDescent="0.2">
      <c r="A127" s="258"/>
      <c r="B127" s="257"/>
      <c r="C127" s="257"/>
      <c r="D127" s="257"/>
      <c r="E127" s="257"/>
      <c r="F127" s="257"/>
      <c r="G127" s="257"/>
      <c r="J127" s="258">
        <v>38824</v>
      </c>
      <c r="K127" s="257">
        <v>0.82447000000000004</v>
      </c>
      <c r="L127" s="257">
        <v>0.82447000000000004</v>
      </c>
      <c r="M127" s="257">
        <v>0.80652000000000001</v>
      </c>
      <c r="N127" s="257">
        <v>0.80794999999999995</v>
      </c>
      <c r="O127" s="257">
        <v>0.80794999999999995</v>
      </c>
      <c r="P127" s="257">
        <v>0</v>
      </c>
    </row>
    <row r="128" spans="1:16" x14ac:dyDescent="0.2">
      <c r="A128" s="258"/>
      <c r="B128" s="257"/>
      <c r="C128" s="257"/>
      <c r="D128" s="257"/>
      <c r="E128" s="257"/>
      <c r="F128" s="257"/>
      <c r="G128" s="257"/>
      <c r="J128" s="258">
        <v>38831</v>
      </c>
      <c r="K128" s="257">
        <v>0.80808000000000002</v>
      </c>
      <c r="L128" s="257">
        <v>0.81023999999999996</v>
      </c>
      <c r="M128" s="257">
        <v>0.79108000000000001</v>
      </c>
      <c r="N128" s="257">
        <v>0.79208000000000001</v>
      </c>
      <c r="O128" s="257">
        <v>0.79208000000000001</v>
      </c>
      <c r="P128" s="257">
        <v>0</v>
      </c>
    </row>
    <row r="129" spans="1:16" x14ac:dyDescent="0.2">
      <c r="A129" s="258"/>
      <c r="B129" s="257"/>
      <c r="C129" s="257"/>
      <c r="D129" s="257"/>
      <c r="E129" s="257"/>
      <c r="F129" s="257"/>
      <c r="G129" s="257"/>
      <c r="J129" s="258">
        <v>38838</v>
      </c>
      <c r="K129" s="257">
        <v>0.79208000000000001</v>
      </c>
      <c r="L129" s="257">
        <v>0.79605000000000004</v>
      </c>
      <c r="M129" s="257">
        <v>0.78339000000000003</v>
      </c>
      <c r="N129" s="257">
        <v>0.78524000000000005</v>
      </c>
      <c r="O129" s="257">
        <v>0.78524000000000005</v>
      </c>
      <c r="P129" s="257">
        <v>0</v>
      </c>
    </row>
    <row r="130" spans="1:16" x14ac:dyDescent="0.2">
      <c r="A130" s="258"/>
      <c r="B130" s="257"/>
      <c r="C130" s="257"/>
      <c r="D130" s="257"/>
      <c r="E130" s="257"/>
      <c r="F130" s="257"/>
      <c r="G130" s="257"/>
      <c r="J130" s="258">
        <v>38845</v>
      </c>
      <c r="K130" s="257">
        <v>0.78535999999999995</v>
      </c>
      <c r="L130" s="257">
        <v>0.78944999999999999</v>
      </c>
      <c r="M130" s="257">
        <v>0.77088999999999996</v>
      </c>
      <c r="N130" s="257">
        <v>0.77098</v>
      </c>
      <c r="O130" s="257">
        <v>0.77098</v>
      </c>
      <c r="P130" s="257">
        <v>0</v>
      </c>
    </row>
    <row r="131" spans="1:16" x14ac:dyDescent="0.2">
      <c r="A131" s="258"/>
      <c r="B131" s="257"/>
      <c r="C131" s="257"/>
      <c r="D131" s="257"/>
      <c r="E131" s="257"/>
      <c r="F131" s="257"/>
      <c r="G131" s="257"/>
      <c r="J131" s="258">
        <v>38852</v>
      </c>
      <c r="K131" s="257">
        <v>0.77083000000000002</v>
      </c>
      <c r="L131" s="257">
        <v>0.78727999999999998</v>
      </c>
      <c r="M131" s="257">
        <v>0.77083000000000002</v>
      </c>
      <c r="N131" s="257">
        <v>0.78327000000000002</v>
      </c>
      <c r="O131" s="257">
        <v>0.78327000000000002</v>
      </c>
      <c r="P131" s="257">
        <v>0</v>
      </c>
    </row>
    <row r="132" spans="1:16" x14ac:dyDescent="0.2">
      <c r="A132" s="258"/>
      <c r="B132" s="257"/>
      <c r="C132" s="257"/>
      <c r="D132" s="257"/>
      <c r="E132" s="257"/>
      <c r="F132" s="257"/>
      <c r="G132" s="257"/>
      <c r="J132" s="258">
        <v>38859</v>
      </c>
      <c r="K132" s="257">
        <v>0.78320999999999996</v>
      </c>
      <c r="L132" s="257">
        <v>0.78722000000000003</v>
      </c>
      <c r="M132" s="257">
        <v>0.77592000000000005</v>
      </c>
      <c r="N132" s="257">
        <v>0.78493000000000002</v>
      </c>
      <c r="O132" s="257">
        <v>0.78493000000000002</v>
      </c>
      <c r="P132" s="257">
        <v>0</v>
      </c>
    </row>
    <row r="133" spans="1:16" x14ac:dyDescent="0.2">
      <c r="A133" s="258"/>
      <c r="B133" s="257"/>
      <c r="C133" s="257"/>
      <c r="D133" s="257"/>
      <c r="E133" s="257"/>
      <c r="F133" s="257"/>
      <c r="G133" s="257"/>
      <c r="J133" s="258">
        <v>38866</v>
      </c>
      <c r="K133" s="257">
        <v>0.78493000000000002</v>
      </c>
      <c r="L133" s="257">
        <v>0.78566999999999998</v>
      </c>
      <c r="M133" s="257">
        <v>0.77273999999999998</v>
      </c>
      <c r="N133" s="257">
        <v>0.77368999999999999</v>
      </c>
      <c r="O133" s="257">
        <v>0.77368999999999999</v>
      </c>
      <c r="P133" s="257">
        <v>0</v>
      </c>
    </row>
    <row r="134" spans="1:16" x14ac:dyDescent="0.2">
      <c r="A134" s="258"/>
      <c r="B134" s="257"/>
      <c r="C134" s="257"/>
      <c r="D134" s="257"/>
      <c r="E134" s="257"/>
      <c r="F134" s="257"/>
      <c r="G134" s="257"/>
      <c r="J134" s="258">
        <v>38873</v>
      </c>
      <c r="K134" s="257">
        <v>0.77368999999999999</v>
      </c>
      <c r="L134" s="257">
        <v>0.79327000000000003</v>
      </c>
      <c r="M134" s="257">
        <v>0.77061999999999997</v>
      </c>
      <c r="N134" s="257">
        <v>0.79252</v>
      </c>
      <c r="O134" s="257">
        <v>0.79252</v>
      </c>
      <c r="P134" s="257">
        <v>0</v>
      </c>
    </row>
    <row r="135" spans="1:16" x14ac:dyDescent="0.2">
      <c r="A135" s="258"/>
      <c r="B135" s="257"/>
      <c r="C135" s="257"/>
      <c r="D135" s="257"/>
      <c r="E135" s="257"/>
      <c r="F135" s="257"/>
      <c r="G135" s="257"/>
      <c r="J135" s="258">
        <v>38880</v>
      </c>
      <c r="K135" s="257">
        <v>0.79268000000000005</v>
      </c>
      <c r="L135" s="257">
        <v>0.79783000000000004</v>
      </c>
      <c r="M135" s="257">
        <v>0.78913999999999995</v>
      </c>
      <c r="N135" s="257">
        <v>0.79132999999999998</v>
      </c>
      <c r="O135" s="257">
        <v>0.79132999999999998</v>
      </c>
      <c r="P135" s="257">
        <v>0</v>
      </c>
    </row>
    <row r="136" spans="1:16" x14ac:dyDescent="0.2">
      <c r="A136" s="258"/>
      <c r="B136" s="257"/>
      <c r="C136" s="257"/>
      <c r="D136" s="257"/>
      <c r="E136" s="257"/>
      <c r="F136" s="257"/>
      <c r="G136" s="257"/>
      <c r="J136" s="258">
        <v>38887</v>
      </c>
      <c r="K136" s="257">
        <v>0.79125999999999996</v>
      </c>
      <c r="L136" s="257">
        <v>0.80089999999999995</v>
      </c>
      <c r="M136" s="257">
        <v>0.78871000000000002</v>
      </c>
      <c r="N136" s="257">
        <v>0.79935999999999996</v>
      </c>
      <c r="O136" s="257">
        <v>0.79935999999999996</v>
      </c>
      <c r="P136" s="257">
        <v>0</v>
      </c>
    </row>
    <row r="137" spans="1:16" x14ac:dyDescent="0.2">
      <c r="A137" s="258"/>
      <c r="B137" s="257"/>
      <c r="C137" s="257"/>
      <c r="D137" s="257"/>
      <c r="E137" s="257"/>
      <c r="F137" s="257"/>
      <c r="G137" s="257"/>
      <c r="J137" s="258">
        <v>38894</v>
      </c>
      <c r="K137" s="257">
        <v>0.79942000000000002</v>
      </c>
      <c r="L137" s="257">
        <v>0.79954999999999998</v>
      </c>
      <c r="M137" s="257">
        <v>0.78137000000000001</v>
      </c>
      <c r="N137" s="257">
        <v>0.78186</v>
      </c>
      <c r="O137" s="257">
        <v>0.78186</v>
      </c>
      <c r="P137" s="257">
        <v>0</v>
      </c>
    </row>
    <row r="138" spans="1:16" x14ac:dyDescent="0.2">
      <c r="A138" s="258"/>
      <c r="B138" s="257"/>
      <c r="C138" s="257"/>
      <c r="D138" s="257"/>
      <c r="E138" s="257"/>
      <c r="F138" s="257"/>
      <c r="G138" s="257"/>
      <c r="J138" s="258">
        <v>38901</v>
      </c>
      <c r="K138" s="257">
        <v>0.78191999999999995</v>
      </c>
      <c r="L138" s="257">
        <v>0.78671999999999997</v>
      </c>
      <c r="M138" s="257">
        <v>0.77797000000000005</v>
      </c>
      <c r="N138" s="257">
        <v>0.78069999999999995</v>
      </c>
      <c r="O138" s="257">
        <v>0.78069999999999995</v>
      </c>
      <c r="P138" s="257">
        <v>0</v>
      </c>
    </row>
    <row r="139" spans="1:16" x14ac:dyDescent="0.2">
      <c r="A139" s="258"/>
      <c r="B139" s="257"/>
      <c r="C139" s="257"/>
      <c r="D139" s="257"/>
      <c r="E139" s="257"/>
      <c r="F139" s="257"/>
      <c r="G139" s="257"/>
      <c r="J139" s="258">
        <v>38908</v>
      </c>
      <c r="K139" s="257">
        <v>0.78069999999999995</v>
      </c>
      <c r="L139" s="257">
        <v>0.79176999999999997</v>
      </c>
      <c r="M139" s="257">
        <v>0.78039999999999998</v>
      </c>
      <c r="N139" s="257">
        <v>0.79120000000000001</v>
      </c>
      <c r="O139" s="257">
        <v>0.79120000000000001</v>
      </c>
      <c r="P139" s="257">
        <v>0</v>
      </c>
    </row>
    <row r="140" spans="1:16" x14ac:dyDescent="0.2">
      <c r="A140" s="258"/>
      <c r="B140" s="257"/>
      <c r="C140" s="257"/>
      <c r="D140" s="257"/>
      <c r="E140" s="257"/>
      <c r="F140" s="257"/>
      <c r="G140" s="257"/>
      <c r="J140" s="258">
        <v>38915</v>
      </c>
      <c r="K140" s="257">
        <v>0.79120000000000001</v>
      </c>
      <c r="L140" s="257">
        <v>0.80218</v>
      </c>
      <c r="M140" s="257">
        <v>0.78652999999999995</v>
      </c>
      <c r="N140" s="257">
        <v>0.78696999999999995</v>
      </c>
      <c r="O140" s="257">
        <v>0.78696999999999995</v>
      </c>
      <c r="P140" s="257">
        <v>0</v>
      </c>
    </row>
    <row r="141" spans="1:16" x14ac:dyDescent="0.2">
      <c r="A141" s="258"/>
      <c r="B141" s="257"/>
      <c r="C141" s="257"/>
      <c r="D141" s="257"/>
      <c r="E141" s="257"/>
      <c r="F141" s="257"/>
      <c r="G141" s="257"/>
      <c r="J141" s="258">
        <v>38922</v>
      </c>
      <c r="K141" s="257">
        <v>0.78696999999999995</v>
      </c>
      <c r="L141" s="257">
        <v>0.79591999999999996</v>
      </c>
      <c r="M141" s="257">
        <v>0.78302000000000005</v>
      </c>
      <c r="N141" s="257">
        <v>0.78342000000000001</v>
      </c>
      <c r="O141" s="257">
        <v>0.78342000000000001</v>
      </c>
      <c r="P141" s="257">
        <v>0</v>
      </c>
    </row>
    <row r="142" spans="1:16" x14ac:dyDescent="0.2">
      <c r="A142" s="258"/>
      <c r="B142" s="257"/>
      <c r="C142" s="257"/>
      <c r="D142" s="257"/>
      <c r="E142" s="257"/>
      <c r="F142" s="257"/>
      <c r="G142" s="257"/>
      <c r="J142" s="258">
        <v>38929</v>
      </c>
      <c r="K142" s="257">
        <v>0.78339000000000003</v>
      </c>
      <c r="L142" s="257">
        <v>0.78598000000000001</v>
      </c>
      <c r="M142" s="257">
        <v>0.77464999999999995</v>
      </c>
      <c r="N142" s="257">
        <v>0.77610000000000001</v>
      </c>
      <c r="O142" s="257">
        <v>0.77610000000000001</v>
      </c>
      <c r="P142" s="257">
        <v>0</v>
      </c>
    </row>
    <row r="143" spans="1:16" x14ac:dyDescent="0.2">
      <c r="A143" s="258"/>
      <c r="B143" s="257"/>
      <c r="C143" s="257"/>
      <c r="D143" s="257"/>
      <c r="E143" s="257"/>
      <c r="F143" s="257"/>
      <c r="G143" s="257"/>
      <c r="J143" s="258">
        <v>38936</v>
      </c>
      <c r="K143" s="257">
        <v>0.77615999999999996</v>
      </c>
      <c r="L143" s="257">
        <v>0.78659999999999997</v>
      </c>
      <c r="M143" s="257">
        <v>0.13802</v>
      </c>
      <c r="N143" s="257">
        <v>0.78535999999999995</v>
      </c>
      <c r="O143" s="257">
        <v>0.78535999999999995</v>
      </c>
      <c r="P143" s="257">
        <v>0</v>
      </c>
    </row>
    <row r="144" spans="1:16" x14ac:dyDescent="0.2">
      <c r="A144" s="258"/>
      <c r="B144" s="257"/>
      <c r="C144" s="257"/>
      <c r="D144" s="257"/>
      <c r="E144" s="257"/>
      <c r="F144" s="257"/>
      <c r="G144" s="257"/>
      <c r="J144" s="258">
        <v>38943</v>
      </c>
      <c r="K144" s="257">
        <v>0.7853</v>
      </c>
      <c r="L144" s="257">
        <v>0.78671999999999997</v>
      </c>
      <c r="M144" s="257">
        <v>0.77598</v>
      </c>
      <c r="N144" s="257">
        <v>0.77888000000000002</v>
      </c>
      <c r="O144" s="257">
        <v>0.77888000000000002</v>
      </c>
      <c r="P144" s="257">
        <v>0</v>
      </c>
    </row>
    <row r="145" spans="1:16" x14ac:dyDescent="0.2">
      <c r="A145" s="258"/>
      <c r="B145" s="257"/>
      <c r="C145" s="257"/>
      <c r="D145" s="257"/>
      <c r="E145" s="257"/>
      <c r="F145" s="257"/>
      <c r="G145" s="257"/>
      <c r="J145" s="258">
        <v>38950</v>
      </c>
      <c r="K145" s="257">
        <v>0.77888000000000002</v>
      </c>
      <c r="L145" s="257">
        <v>0.78535999999999995</v>
      </c>
      <c r="M145" s="257">
        <v>0.77298</v>
      </c>
      <c r="N145" s="257">
        <v>0.78358000000000005</v>
      </c>
      <c r="O145" s="257">
        <v>0.78358000000000005</v>
      </c>
      <c r="P145" s="257">
        <v>0</v>
      </c>
    </row>
    <row r="146" spans="1:16" x14ac:dyDescent="0.2">
      <c r="A146" s="258"/>
      <c r="B146" s="257"/>
      <c r="C146" s="257"/>
      <c r="D146" s="257"/>
      <c r="E146" s="257"/>
      <c r="F146" s="257"/>
      <c r="G146" s="257"/>
      <c r="J146" s="258">
        <v>38957</v>
      </c>
      <c r="K146" s="257">
        <v>0.78364</v>
      </c>
      <c r="L146" s="257">
        <v>0.78412999999999999</v>
      </c>
      <c r="M146" s="257">
        <v>0.77651999999999999</v>
      </c>
      <c r="N146" s="257">
        <v>0.77832999999999997</v>
      </c>
      <c r="O146" s="257">
        <v>0.77832999999999997</v>
      </c>
      <c r="P146" s="257">
        <v>0</v>
      </c>
    </row>
    <row r="147" spans="1:16" x14ac:dyDescent="0.2">
      <c r="A147" s="258"/>
      <c r="B147" s="257"/>
      <c r="C147" s="257"/>
      <c r="D147" s="257"/>
      <c r="E147" s="257"/>
      <c r="F147" s="257"/>
      <c r="G147" s="257"/>
      <c r="J147" s="258">
        <v>38964</v>
      </c>
      <c r="K147" s="257">
        <v>0.77803</v>
      </c>
      <c r="L147" s="257">
        <v>0.78988999999999998</v>
      </c>
      <c r="M147" s="257">
        <v>0.77664</v>
      </c>
      <c r="N147" s="257">
        <v>0.78913999999999995</v>
      </c>
      <c r="O147" s="257">
        <v>0.78913999999999995</v>
      </c>
      <c r="P147" s="257">
        <v>0</v>
      </c>
    </row>
    <row r="148" spans="1:16" x14ac:dyDescent="0.2">
      <c r="A148" s="258"/>
      <c r="B148" s="257"/>
      <c r="C148" s="257"/>
      <c r="D148" s="257"/>
      <c r="E148" s="257"/>
      <c r="F148" s="257"/>
      <c r="G148" s="257"/>
      <c r="J148" s="258">
        <v>38971</v>
      </c>
      <c r="K148" s="257">
        <v>0.78908</v>
      </c>
      <c r="L148" s="257">
        <v>0.79195000000000004</v>
      </c>
      <c r="M148" s="257">
        <v>0.78422000000000003</v>
      </c>
      <c r="N148" s="257">
        <v>0.79088999999999998</v>
      </c>
      <c r="O148" s="257">
        <v>0.79088999999999998</v>
      </c>
      <c r="P148" s="257">
        <v>0</v>
      </c>
    </row>
    <row r="149" spans="1:16" x14ac:dyDescent="0.2">
      <c r="A149" s="258"/>
      <c r="B149" s="257"/>
      <c r="C149" s="257"/>
      <c r="D149" s="257"/>
      <c r="E149" s="257"/>
      <c r="F149" s="257"/>
      <c r="G149" s="257"/>
      <c r="J149" s="258">
        <v>38978</v>
      </c>
      <c r="K149" s="257">
        <v>0.79095000000000004</v>
      </c>
      <c r="L149" s="257">
        <v>0.79144999999999999</v>
      </c>
      <c r="M149" s="257">
        <v>0.77942</v>
      </c>
      <c r="N149" s="257">
        <v>0.78180000000000005</v>
      </c>
      <c r="O149" s="257">
        <v>0.78180000000000005</v>
      </c>
      <c r="P149" s="257">
        <v>0</v>
      </c>
    </row>
    <row r="150" spans="1:16" x14ac:dyDescent="0.2">
      <c r="A150" s="258"/>
      <c r="B150" s="257"/>
      <c r="C150" s="257"/>
      <c r="D150" s="257"/>
      <c r="E150" s="257"/>
      <c r="F150" s="257"/>
      <c r="G150" s="257"/>
      <c r="J150" s="258">
        <v>38985</v>
      </c>
      <c r="K150" s="257">
        <v>0.78168000000000004</v>
      </c>
      <c r="L150" s="257">
        <v>0.79088999999999998</v>
      </c>
      <c r="M150" s="257">
        <v>0.78003</v>
      </c>
      <c r="N150" s="257">
        <v>0.78876999999999997</v>
      </c>
      <c r="O150" s="257">
        <v>0.78876999999999997</v>
      </c>
      <c r="P150" s="257">
        <v>0</v>
      </c>
    </row>
    <row r="151" spans="1:16" x14ac:dyDescent="0.2">
      <c r="A151" s="258"/>
      <c r="B151" s="257"/>
      <c r="C151" s="257"/>
      <c r="D151" s="257"/>
      <c r="E151" s="257"/>
      <c r="F151" s="257"/>
      <c r="G151" s="257"/>
      <c r="J151" s="258">
        <v>38992</v>
      </c>
      <c r="K151" s="257">
        <v>0.78864000000000001</v>
      </c>
      <c r="L151" s="257">
        <v>0.79510000000000003</v>
      </c>
      <c r="M151" s="257">
        <v>0.78332999999999997</v>
      </c>
      <c r="N151" s="257">
        <v>0.79415999999999998</v>
      </c>
      <c r="O151" s="257">
        <v>0.79415999999999998</v>
      </c>
      <c r="P151" s="257">
        <v>0</v>
      </c>
    </row>
    <row r="152" spans="1:16" x14ac:dyDescent="0.2">
      <c r="A152" s="258"/>
      <c r="B152" s="257"/>
      <c r="C152" s="257"/>
      <c r="D152" s="257"/>
      <c r="E152" s="257"/>
      <c r="F152" s="257"/>
      <c r="G152" s="257"/>
      <c r="J152" s="258">
        <v>38999</v>
      </c>
      <c r="K152" s="257">
        <v>0.79422000000000004</v>
      </c>
      <c r="L152" s="257">
        <v>0.80076999999999998</v>
      </c>
      <c r="M152" s="257">
        <v>0.79276999999999997</v>
      </c>
      <c r="N152" s="257">
        <v>0.79967999999999995</v>
      </c>
      <c r="O152" s="257">
        <v>0.79967999999999995</v>
      </c>
      <c r="P152" s="257">
        <v>0</v>
      </c>
    </row>
    <row r="153" spans="1:16" x14ac:dyDescent="0.2">
      <c r="A153" s="258"/>
      <c r="B153" s="257"/>
      <c r="C153" s="257"/>
      <c r="D153" s="257"/>
      <c r="E153" s="257"/>
      <c r="F153" s="257"/>
      <c r="G153" s="257"/>
      <c r="J153" s="258">
        <v>39006</v>
      </c>
      <c r="K153" s="257">
        <v>0.79967999999999995</v>
      </c>
      <c r="L153" s="257">
        <v>0.80051000000000005</v>
      </c>
      <c r="M153" s="257">
        <v>0.79108000000000001</v>
      </c>
      <c r="N153" s="257">
        <v>0.79264000000000001</v>
      </c>
      <c r="O153" s="257">
        <v>0.79264000000000001</v>
      </c>
      <c r="P153" s="257">
        <v>0</v>
      </c>
    </row>
    <row r="154" spans="1:16" x14ac:dyDescent="0.2">
      <c r="A154" s="258"/>
      <c r="B154" s="257"/>
      <c r="C154" s="257"/>
      <c r="D154" s="257"/>
      <c r="E154" s="257"/>
      <c r="F154" s="257"/>
      <c r="G154" s="257"/>
      <c r="J154" s="258">
        <v>39013</v>
      </c>
      <c r="K154" s="257">
        <v>0.79290000000000005</v>
      </c>
      <c r="L154" s="257">
        <v>0.79820999999999998</v>
      </c>
      <c r="M154" s="257">
        <v>0.78393999999999997</v>
      </c>
      <c r="N154" s="257">
        <v>0.78547999999999996</v>
      </c>
      <c r="O154" s="257">
        <v>0.78547999999999996</v>
      </c>
      <c r="P154" s="257">
        <v>0</v>
      </c>
    </row>
    <row r="155" spans="1:16" x14ac:dyDescent="0.2">
      <c r="A155" s="258"/>
      <c r="B155" s="257"/>
      <c r="C155" s="257"/>
      <c r="D155" s="257"/>
      <c r="E155" s="257"/>
      <c r="F155" s="257"/>
      <c r="G155" s="257"/>
      <c r="J155" s="258">
        <v>39020</v>
      </c>
      <c r="K155" s="257">
        <v>0.78547999999999996</v>
      </c>
      <c r="L155" s="257">
        <v>0.78839000000000004</v>
      </c>
      <c r="M155" s="257">
        <v>0.78161999999999998</v>
      </c>
      <c r="N155" s="257">
        <v>0.78629000000000004</v>
      </c>
      <c r="O155" s="257">
        <v>0.78629000000000004</v>
      </c>
      <c r="P155" s="257">
        <v>0</v>
      </c>
    </row>
    <row r="156" spans="1:16" x14ac:dyDescent="0.2">
      <c r="A156" s="258"/>
      <c r="B156" s="257"/>
      <c r="C156" s="257"/>
      <c r="D156" s="257"/>
      <c r="E156" s="257"/>
      <c r="F156" s="257"/>
      <c r="G156" s="257"/>
      <c r="J156" s="258">
        <v>39027</v>
      </c>
      <c r="K156" s="257">
        <v>0.78622999999999998</v>
      </c>
      <c r="L156" s="257">
        <v>0.78779999999999994</v>
      </c>
      <c r="M156" s="257">
        <v>0.77381</v>
      </c>
      <c r="N156" s="257">
        <v>0.77832999999999997</v>
      </c>
      <c r="O156" s="257">
        <v>0.77832999999999997</v>
      </c>
      <c r="P156" s="257">
        <v>0</v>
      </c>
    </row>
    <row r="157" spans="1:16" x14ac:dyDescent="0.2">
      <c r="A157" s="258"/>
      <c r="B157" s="257"/>
      <c r="C157" s="257"/>
      <c r="D157" s="257"/>
      <c r="E157" s="257"/>
      <c r="F157" s="257"/>
      <c r="G157" s="257"/>
      <c r="J157" s="258">
        <v>39034</v>
      </c>
      <c r="K157" s="257">
        <v>0.77839000000000003</v>
      </c>
      <c r="L157" s="257">
        <v>0.78339000000000003</v>
      </c>
      <c r="M157" s="257">
        <v>0.77646000000000004</v>
      </c>
      <c r="N157" s="257">
        <v>0.77985000000000004</v>
      </c>
      <c r="O157" s="257">
        <v>0.77985000000000004</v>
      </c>
      <c r="P157" s="257">
        <v>0</v>
      </c>
    </row>
    <row r="158" spans="1:16" x14ac:dyDescent="0.2">
      <c r="A158" s="258"/>
      <c r="B158" s="257"/>
      <c r="C158" s="257"/>
      <c r="D158" s="257"/>
      <c r="E158" s="257"/>
      <c r="F158" s="257"/>
      <c r="G158" s="257"/>
      <c r="J158" s="258">
        <v>39041</v>
      </c>
      <c r="K158" s="257">
        <v>0.77997000000000005</v>
      </c>
      <c r="L158" s="257">
        <v>0.78115999999999997</v>
      </c>
      <c r="M158" s="257">
        <v>0.75890000000000002</v>
      </c>
      <c r="N158" s="257">
        <v>0.75999000000000005</v>
      </c>
      <c r="O158" s="257">
        <v>0.75999000000000005</v>
      </c>
      <c r="P158" s="257">
        <v>0</v>
      </c>
    </row>
    <row r="159" spans="1:16" x14ac:dyDescent="0.2">
      <c r="A159" s="258"/>
      <c r="B159" s="257"/>
      <c r="C159" s="257"/>
      <c r="D159" s="257"/>
      <c r="E159" s="257"/>
      <c r="F159" s="257"/>
      <c r="G159" s="257"/>
      <c r="J159" s="258">
        <v>39048</v>
      </c>
      <c r="K159" s="257">
        <v>0.75999000000000005</v>
      </c>
      <c r="L159" s="257">
        <v>0.76329999999999998</v>
      </c>
      <c r="M159" s="257">
        <v>0.74833000000000005</v>
      </c>
      <c r="N159" s="257">
        <v>0.74861999999999995</v>
      </c>
      <c r="O159" s="257">
        <v>0.74861999999999995</v>
      </c>
      <c r="P159" s="257">
        <v>0</v>
      </c>
    </row>
    <row r="160" spans="1:16" x14ac:dyDescent="0.2">
      <c r="A160" s="258"/>
      <c r="B160" s="257"/>
      <c r="C160" s="257"/>
      <c r="D160" s="257"/>
      <c r="E160" s="257"/>
      <c r="F160" s="257"/>
      <c r="G160" s="257"/>
      <c r="J160" s="258">
        <v>39055</v>
      </c>
      <c r="K160" s="257">
        <v>0.74875999999999998</v>
      </c>
      <c r="L160" s="257">
        <v>0.78376000000000001</v>
      </c>
      <c r="M160" s="257">
        <v>0.74234</v>
      </c>
      <c r="N160" s="257">
        <v>0.75831999999999999</v>
      </c>
      <c r="O160" s="257">
        <v>0.75831999999999999</v>
      </c>
      <c r="P160" s="257">
        <v>0</v>
      </c>
    </row>
    <row r="161" spans="1:16" x14ac:dyDescent="0.2">
      <c r="A161" s="258"/>
      <c r="B161" s="257"/>
      <c r="C161" s="257"/>
      <c r="D161" s="257"/>
      <c r="E161" s="257"/>
      <c r="F161" s="257"/>
      <c r="G161" s="257"/>
      <c r="J161" s="258">
        <v>39062</v>
      </c>
      <c r="K161" s="257">
        <v>0.75849999999999995</v>
      </c>
      <c r="L161" s="257">
        <v>0.76546000000000003</v>
      </c>
      <c r="M161" s="257">
        <v>0.75249999999999995</v>
      </c>
      <c r="N161" s="257">
        <v>0.76429000000000002</v>
      </c>
      <c r="O161" s="257">
        <v>0.76429000000000002</v>
      </c>
      <c r="P161" s="257">
        <v>0</v>
      </c>
    </row>
    <row r="162" spans="1:16" x14ac:dyDescent="0.2">
      <c r="A162" s="258"/>
      <c r="B162" s="257"/>
      <c r="C162" s="257"/>
      <c r="D162" s="257"/>
      <c r="E162" s="257"/>
      <c r="F162" s="257"/>
      <c r="G162" s="257"/>
      <c r="J162" s="258">
        <v>39069</v>
      </c>
      <c r="K162" s="257">
        <v>0.76426000000000005</v>
      </c>
      <c r="L162" s="257">
        <v>0.76593</v>
      </c>
      <c r="M162" s="257">
        <v>0.755</v>
      </c>
      <c r="N162" s="257">
        <v>0.76127</v>
      </c>
      <c r="O162" s="257">
        <v>0.76127</v>
      </c>
      <c r="P162" s="257">
        <v>0</v>
      </c>
    </row>
    <row r="163" spans="1:16" x14ac:dyDescent="0.2">
      <c r="A163" s="258"/>
      <c r="B163" s="257"/>
      <c r="C163" s="257"/>
      <c r="D163" s="257"/>
      <c r="E163" s="257"/>
      <c r="F163" s="257"/>
      <c r="G163" s="257"/>
      <c r="J163" s="258">
        <v>39076</v>
      </c>
      <c r="K163" s="257">
        <v>0.76121000000000005</v>
      </c>
      <c r="L163" s="257">
        <v>0.76371</v>
      </c>
      <c r="M163" s="257">
        <v>0.75712000000000002</v>
      </c>
      <c r="N163" s="257">
        <v>0.75768999999999997</v>
      </c>
      <c r="O163" s="257">
        <v>0.75768999999999997</v>
      </c>
      <c r="P163" s="257">
        <v>0</v>
      </c>
    </row>
    <row r="164" spans="1:16" x14ac:dyDescent="0.2">
      <c r="A164" s="258"/>
      <c r="B164" s="257"/>
      <c r="C164" s="257"/>
      <c r="D164" s="257"/>
      <c r="E164" s="257"/>
      <c r="F164" s="257"/>
      <c r="G164" s="257"/>
      <c r="J164" s="258">
        <v>39083</v>
      </c>
      <c r="K164" s="257">
        <v>0.75768999999999997</v>
      </c>
      <c r="L164" s="257">
        <v>0.77017999999999998</v>
      </c>
      <c r="M164" s="257">
        <v>0.75222</v>
      </c>
      <c r="N164" s="257">
        <v>0.76876</v>
      </c>
      <c r="O164" s="257">
        <v>0.76876</v>
      </c>
      <c r="P164" s="257">
        <v>0</v>
      </c>
    </row>
    <row r="165" spans="1:16" x14ac:dyDescent="0.2">
      <c r="A165" s="258"/>
      <c r="B165" s="257"/>
      <c r="C165" s="257"/>
      <c r="D165" s="257"/>
      <c r="E165" s="257"/>
      <c r="F165" s="257"/>
      <c r="G165" s="257"/>
      <c r="J165" s="258">
        <v>39090</v>
      </c>
      <c r="K165" s="257">
        <v>0.76876</v>
      </c>
      <c r="L165" s="257">
        <v>0.77693999999999996</v>
      </c>
      <c r="M165" s="257">
        <v>0.76634000000000002</v>
      </c>
      <c r="N165" s="257">
        <v>0.77346000000000004</v>
      </c>
      <c r="O165" s="257">
        <v>0.77346000000000004</v>
      </c>
      <c r="P165" s="257">
        <v>0</v>
      </c>
    </row>
    <row r="166" spans="1:16" x14ac:dyDescent="0.2">
      <c r="A166" s="258"/>
      <c r="B166" s="257"/>
      <c r="C166" s="257"/>
      <c r="D166" s="257"/>
      <c r="E166" s="257"/>
      <c r="F166" s="257"/>
      <c r="G166" s="257"/>
      <c r="J166" s="258">
        <v>39097</v>
      </c>
      <c r="K166" s="257">
        <v>0.77346000000000004</v>
      </c>
      <c r="L166" s="257">
        <v>0.77500999999999998</v>
      </c>
      <c r="M166" s="257">
        <v>0.76905000000000001</v>
      </c>
      <c r="N166" s="257">
        <v>0.77142999999999995</v>
      </c>
      <c r="O166" s="257">
        <v>0.77142999999999995</v>
      </c>
      <c r="P166" s="257">
        <v>0</v>
      </c>
    </row>
    <row r="167" spans="1:16" x14ac:dyDescent="0.2">
      <c r="A167" s="258"/>
      <c r="B167" s="257"/>
      <c r="C167" s="257"/>
      <c r="D167" s="257"/>
      <c r="E167" s="257"/>
      <c r="F167" s="257"/>
      <c r="G167" s="257"/>
      <c r="J167" s="258">
        <v>39104</v>
      </c>
      <c r="K167" s="257">
        <v>0.77142999999999995</v>
      </c>
      <c r="L167" s="257">
        <v>0.77592000000000005</v>
      </c>
      <c r="M167" s="257">
        <v>0.76663999999999999</v>
      </c>
      <c r="N167" s="257">
        <v>0.77363000000000004</v>
      </c>
      <c r="O167" s="257">
        <v>0.77363000000000004</v>
      </c>
      <c r="P167" s="257">
        <v>0</v>
      </c>
    </row>
    <row r="168" spans="1:16" x14ac:dyDescent="0.2">
      <c r="A168" s="258"/>
      <c r="B168" s="257"/>
      <c r="C168" s="257"/>
      <c r="D168" s="257"/>
      <c r="E168" s="257"/>
      <c r="F168" s="257"/>
      <c r="G168" s="257"/>
      <c r="J168" s="258">
        <v>39111</v>
      </c>
      <c r="K168" s="257">
        <v>0.77381</v>
      </c>
      <c r="L168" s="257">
        <v>0.77519000000000005</v>
      </c>
      <c r="M168" s="257">
        <v>0.76631000000000005</v>
      </c>
      <c r="N168" s="257">
        <v>0.77142999999999995</v>
      </c>
      <c r="O168" s="257">
        <v>0.77142999999999995</v>
      </c>
      <c r="P168" s="257">
        <v>0</v>
      </c>
    </row>
    <row r="169" spans="1:16" x14ac:dyDescent="0.2">
      <c r="A169" s="258"/>
      <c r="B169" s="257"/>
      <c r="C169" s="257"/>
      <c r="D169" s="257"/>
      <c r="E169" s="257"/>
      <c r="F169" s="257"/>
      <c r="G169" s="257"/>
      <c r="J169" s="258">
        <v>39118</v>
      </c>
      <c r="K169" s="257">
        <v>0.77142999999999995</v>
      </c>
      <c r="L169" s="257">
        <v>0.77507000000000004</v>
      </c>
      <c r="M169" s="257">
        <v>0.76658000000000004</v>
      </c>
      <c r="N169" s="257">
        <v>0.76805000000000001</v>
      </c>
      <c r="O169" s="257">
        <v>0.76805000000000001</v>
      </c>
      <c r="P169" s="257">
        <v>0</v>
      </c>
    </row>
    <row r="170" spans="1:16" x14ac:dyDescent="0.2">
      <c r="A170" s="258"/>
      <c r="B170" s="257"/>
      <c r="C170" s="257"/>
      <c r="D170" s="257"/>
      <c r="E170" s="257"/>
      <c r="F170" s="257"/>
      <c r="G170" s="257"/>
      <c r="J170" s="258">
        <v>39125</v>
      </c>
      <c r="K170" s="257">
        <v>0.76805000000000001</v>
      </c>
      <c r="L170" s="257">
        <v>0.77256000000000002</v>
      </c>
      <c r="M170" s="257">
        <v>0.75936000000000003</v>
      </c>
      <c r="N170" s="257">
        <v>0.76046000000000002</v>
      </c>
      <c r="O170" s="257">
        <v>0.76046000000000002</v>
      </c>
      <c r="P170" s="257">
        <v>0</v>
      </c>
    </row>
    <row r="171" spans="1:16" x14ac:dyDescent="0.2">
      <c r="A171" s="258"/>
      <c r="B171" s="257"/>
      <c r="C171" s="257"/>
      <c r="D171" s="257"/>
      <c r="E171" s="257"/>
      <c r="F171" s="257"/>
      <c r="G171" s="257"/>
      <c r="J171" s="258">
        <v>39132</v>
      </c>
      <c r="K171" s="257">
        <v>0.76051000000000002</v>
      </c>
      <c r="L171" s="257">
        <v>0.76422999999999996</v>
      </c>
      <c r="M171" s="257">
        <v>0.75827</v>
      </c>
      <c r="N171" s="257">
        <v>0.75849999999999995</v>
      </c>
      <c r="O171" s="257">
        <v>0.75849999999999995</v>
      </c>
      <c r="P171" s="257">
        <v>0</v>
      </c>
    </row>
    <row r="172" spans="1:16" x14ac:dyDescent="0.2">
      <c r="A172" s="258"/>
      <c r="B172" s="257"/>
      <c r="C172" s="257"/>
      <c r="D172" s="257"/>
      <c r="E172" s="257"/>
      <c r="F172" s="257"/>
      <c r="G172" s="257"/>
      <c r="J172" s="258">
        <v>39139</v>
      </c>
      <c r="K172" s="257">
        <v>0.75861000000000001</v>
      </c>
      <c r="L172" s="257">
        <v>0.76063000000000003</v>
      </c>
      <c r="M172" s="257">
        <v>0.74883999999999995</v>
      </c>
      <c r="N172" s="257">
        <v>0.75838000000000005</v>
      </c>
      <c r="O172" s="257">
        <v>0.75838000000000005</v>
      </c>
      <c r="P172" s="257">
        <v>0</v>
      </c>
    </row>
    <row r="173" spans="1:16" x14ac:dyDescent="0.2">
      <c r="A173" s="258"/>
      <c r="B173" s="257"/>
      <c r="C173" s="257"/>
      <c r="D173" s="257"/>
      <c r="E173" s="257"/>
      <c r="F173" s="257"/>
      <c r="G173" s="257"/>
      <c r="J173" s="258">
        <v>39146</v>
      </c>
      <c r="K173" s="257">
        <v>0.75838000000000005</v>
      </c>
      <c r="L173" s="257">
        <v>0.76466999999999996</v>
      </c>
      <c r="M173" s="257">
        <v>0.75792000000000004</v>
      </c>
      <c r="N173" s="257">
        <v>0.76161000000000001</v>
      </c>
      <c r="O173" s="257">
        <v>0.76161000000000001</v>
      </c>
      <c r="P173" s="257">
        <v>0</v>
      </c>
    </row>
    <row r="174" spans="1:16" x14ac:dyDescent="0.2">
      <c r="A174" s="258"/>
      <c r="B174" s="257"/>
      <c r="C174" s="257"/>
      <c r="D174" s="257"/>
      <c r="E174" s="257"/>
      <c r="F174" s="257"/>
      <c r="G174" s="257"/>
      <c r="J174" s="258">
        <v>39153</v>
      </c>
      <c r="K174" s="257">
        <v>0.76185000000000003</v>
      </c>
      <c r="L174" s="257">
        <v>0.76263000000000003</v>
      </c>
      <c r="M174" s="257">
        <v>0.74956999999999996</v>
      </c>
      <c r="N174" s="257">
        <v>0.75085999999999997</v>
      </c>
      <c r="O174" s="257">
        <v>0.75085999999999997</v>
      </c>
      <c r="P174" s="257">
        <v>0</v>
      </c>
    </row>
    <row r="175" spans="1:16" x14ac:dyDescent="0.2">
      <c r="A175" s="258"/>
      <c r="B175" s="257"/>
      <c r="C175" s="257"/>
      <c r="D175" s="257"/>
      <c r="E175" s="257"/>
      <c r="F175" s="257"/>
      <c r="G175" s="257"/>
      <c r="J175" s="258">
        <v>39160</v>
      </c>
      <c r="K175" s="257">
        <v>0.75075000000000003</v>
      </c>
      <c r="L175" s="257">
        <v>0.75392000000000003</v>
      </c>
      <c r="M175" s="257">
        <v>0.74570999999999998</v>
      </c>
      <c r="N175" s="257">
        <v>0.75380999999999998</v>
      </c>
      <c r="O175" s="257">
        <v>0.75380999999999998</v>
      </c>
      <c r="P175" s="257">
        <v>0</v>
      </c>
    </row>
    <row r="176" spans="1:16" x14ac:dyDescent="0.2">
      <c r="A176" s="258"/>
      <c r="B176" s="257"/>
      <c r="C176" s="257"/>
      <c r="D176" s="257"/>
      <c r="E176" s="257"/>
      <c r="F176" s="257"/>
      <c r="G176" s="257"/>
      <c r="J176" s="258">
        <v>39167</v>
      </c>
      <c r="K176" s="257">
        <v>0.75358000000000003</v>
      </c>
      <c r="L176" s="257">
        <v>0.75427</v>
      </c>
      <c r="M176" s="257">
        <v>0.74646000000000001</v>
      </c>
      <c r="N176" s="257">
        <v>0.74861999999999995</v>
      </c>
      <c r="O176" s="257">
        <v>0.74861999999999995</v>
      </c>
      <c r="P176" s="257">
        <v>0</v>
      </c>
    </row>
    <row r="177" spans="1:16" x14ac:dyDescent="0.2">
      <c r="A177" s="258"/>
      <c r="B177" s="257"/>
      <c r="C177" s="257"/>
      <c r="D177" s="257"/>
      <c r="E177" s="257"/>
      <c r="F177" s="257"/>
      <c r="G177" s="257"/>
      <c r="J177" s="258">
        <v>39174</v>
      </c>
      <c r="K177" s="257">
        <v>0.74861999999999995</v>
      </c>
      <c r="L177" s="257">
        <v>0.75182000000000004</v>
      </c>
      <c r="M177" s="257">
        <v>0.74399000000000004</v>
      </c>
      <c r="N177" s="257">
        <v>0.74772000000000005</v>
      </c>
      <c r="O177" s="257">
        <v>0.74772000000000005</v>
      </c>
      <c r="P177" s="257">
        <v>0</v>
      </c>
    </row>
    <row r="178" spans="1:16" x14ac:dyDescent="0.2">
      <c r="A178" s="258"/>
      <c r="B178" s="257"/>
      <c r="C178" s="257"/>
      <c r="D178" s="257"/>
      <c r="E178" s="257"/>
      <c r="F178" s="257"/>
      <c r="G178" s="257"/>
      <c r="J178" s="258">
        <v>39181</v>
      </c>
      <c r="K178" s="257">
        <v>0.74772000000000005</v>
      </c>
      <c r="L178" s="257">
        <v>0.74939999999999996</v>
      </c>
      <c r="M178" s="257">
        <v>0.73653999999999997</v>
      </c>
      <c r="N178" s="257">
        <v>0.73658999999999997</v>
      </c>
      <c r="O178" s="257">
        <v>0.73658999999999997</v>
      </c>
      <c r="P178" s="257">
        <v>0</v>
      </c>
    </row>
    <row r="179" spans="1:16" x14ac:dyDescent="0.2">
      <c r="A179" s="258"/>
      <c r="B179" s="257"/>
      <c r="C179" s="257"/>
      <c r="D179" s="257"/>
      <c r="E179" s="257"/>
      <c r="F179" s="257"/>
      <c r="G179" s="257"/>
      <c r="J179" s="258">
        <v>39188</v>
      </c>
      <c r="K179" s="257">
        <v>0.73648999999999998</v>
      </c>
      <c r="L179" s="257">
        <v>0.73914999999999997</v>
      </c>
      <c r="M179" s="257">
        <v>0.72902</v>
      </c>
      <c r="N179" s="257">
        <v>0.73507999999999996</v>
      </c>
      <c r="O179" s="257">
        <v>0.73507999999999996</v>
      </c>
      <c r="P179" s="257">
        <v>0</v>
      </c>
    </row>
    <row r="180" spans="1:16" x14ac:dyDescent="0.2">
      <c r="A180" s="258"/>
      <c r="B180" s="257"/>
      <c r="C180" s="257"/>
      <c r="D180" s="257"/>
      <c r="E180" s="257"/>
      <c r="F180" s="257"/>
      <c r="G180" s="257"/>
      <c r="J180" s="258">
        <v>39195</v>
      </c>
      <c r="K180" s="257">
        <v>0.73502000000000001</v>
      </c>
      <c r="L180" s="257">
        <v>0.73812</v>
      </c>
      <c r="M180" s="257">
        <v>0.73121000000000003</v>
      </c>
      <c r="N180" s="257">
        <v>0.73314000000000001</v>
      </c>
      <c r="O180" s="257">
        <v>0.73314000000000001</v>
      </c>
      <c r="P180" s="257">
        <v>0</v>
      </c>
    </row>
    <row r="181" spans="1:16" x14ac:dyDescent="0.2">
      <c r="A181" s="258"/>
      <c r="B181" s="257"/>
      <c r="C181" s="257"/>
      <c r="D181" s="257"/>
      <c r="E181" s="257"/>
      <c r="F181" s="257"/>
      <c r="G181" s="257"/>
      <c r="J181" s="258">
        <v>39202</v>
      </c>
      <c r="K181" s="257">
        <v>0.73307999999999995</v>
      </c>
      <c r="L181" s="257">
        <v>0.74311000000000005</v>
      </c>
      <c r="M181" s="257">
        <v>0.72790999999999995</v>
      </c>
      <c r="N181" s="257">
        <v>0.73540000000000005</v>
      </c>
      <c r="O181" s="257">
        <v>0.73540000000000005</v>
      </c>
      <c r="P181" s="257">
        <v>0</v>
      </c>
    </row>
    <row r="182" spans="1:16" x14ac:dyDescent="0.2">
      <c r="A182" s="258"/>
      <c r="B182" s="257"/>
      <c r="C182" s="257"/>
      <c r="D182" s="257"/>
      <c r="E182" s="257"/>
      <c r="F182" s="257"/>
      <c r="G182" s="257"/>
      <c r="J182" s="258">
        <v>39209</v>
      </c>
      <c r="K182" s="257">
        <v>0.73540000000000005</v>
      </c>
      <c r="L182" s="257">
        <v>0.74253000000000002</v>
      </c>
      <c r="M182" s="257">
        <v>0.73384000000000005</v>
      </c>
      <c r="N182" s="257">
        <v>0.73887999999999998</v>
      </c>
      <c r="O182" s="257">
        <v>0.73887999999999998</v>
      </c>
      <c r="P182" s="257">
        <v>0</v>
      </c>
    </row>
    <row r="183" spans="1:16" x14ac:dyDescent="0.2">
      <c r="A183" s="258"/>
      <c r="B183" s="257"/>
      <c r="C183" s="257"/>
      <c r="D183" s="257"/>
      <c r="E183" s="257"/>
      <c r="F183" s="257"/>
      <c r="G183" s="257"/>
      <c r="J183" s="258">
        <v>39216</v>
      </c>
      <c r="K183" s="257">
        <v>0.73882999999999999</v>
      </c>
      <c r="L183" s="257">
        <v>0.74267000000000005</v>
      </c>
      <c r="M183" s="257">
        <v>0.73470000000000002</v>
      </c>
      <c r="N183" s="257">
        <v>0.73943000000000003</v>
      </c>
      <c r="O183" s="257">
        <v>0.73943000000000003</v>
      </c>
      <c r="P183" s="257">
        <v>0</v>
      </c>
    </row>
    <row r="184" spans="1:16" x14ac:dyDescent="0.2">
      <c r="A184" s="258"/>
      <c r="B184" s="257"/>
      <c r="C184" s="257"/>
      <c r="D184" s="257"/>
      <c r="E184" s="257"/>
      <c r="F184" s="257"/>
      <c r="G184" s="257"/>
      <c r="J184" s="258">
        <v>39223</v>
      </c>
      <c r="K184" s="257">
        <v>0.73936999999999997</v>
      </c>
      <c r="L184" s="257">
        <v>0.74543000000000004</v>
      </c>
      <c r="M184" s="257">
        <v>0.73931999999999998</v>
      </c>
      <c r="N184" s="257">
        <v>0.74343999999999999</v>
      </c>
      <c r="O184" s="257">
        <v>0.74343999999999999</v>
      </c>
      <c r="P184" s="257">
        <v>0</v>
      </c>
    </row>
    <row r="185" spans="1:16" x14ac:dyDescent="0.2">
      <c r="A185" s="258"/>
      <c r="B185" s="257"/>
      <c r="C185" s="257"/>
      <c r="D185" s="257"/>
      <c r="E185" s="257"/>
      <c r="F185" s="257"/>
      <c r="G185" s="257"/>
      <c r="J185" s="258">
        <v>39230</v>
      </c>
      <c r="K185" s="257">
        <v>0.74343999999999999</v>
      </c>
      <c r="L185" s="257">
        <v>0.74643999999999999</v>
      </c>
      <c r="M185" s="257">
        <v>2.4399999999999999E-3</v>
      </c>
      <c r="N185" s="257">
        <v>0.74394000000000005</v>
      </c>
      <c r="O185" s="257">
        <v>0.74394000000000005</v>
      </c>
      <c r="P185" s="257">
        <v>0</v>
      </c>
    </row>
    <row r="186" spans="1:16" x14ac:dyDescent="0.2">
      <c r="A186" s="258"/>
      <c r="B186" s="257"/>
      <c r="C186" s="257"/>
      <c r="D186" s="257"/>
      <c r="E186" s="257"/>
      <c r="F186" s="257"/>
      <c r="G186" s="257"/>
      <c r="J186" s="258">
        <v>39237</v>
      </c>
      <c r="K186" s="257">
        <v>0.74394000000000005</v>
      </c>
      <c r="L186" s="257">
        <v>0.75019000000000002</v>
      </c>
      <c r="M186" s="257">
        <v>0.73801000000000005</v>
      </c>
      <c r="N186" s="257">
        <v>0.74844999999999995</v>
      </c>
      <c r="O186" s="257">
        <v>0.74844999999999995</v>
      </c>
      <c r="P186" s="257">
        <v>0</v>
      </c>
    </row>
    <row r="187" spans="1:16" x14ac:dyDescent="0.2">
      <c r="A187" s="258"/>
      <c r="B187" s="257"/>
      <c r="C187" s="257"/>
      <c r="D187" s="257"/>
      <c r="E187" s="257"/>
      <c r="F187" s="257"/>
      <c r="G187" s="257"/>
      <c r="J187" s="258">
        <v>39244</v>
      </c>
      <c r="K187" s="257">
        <v>0.74839</v>
      </c>
      <c r="L187" s="257">
        <v>0.75380999999999998</v>
      </c>
      <c r="M187" s="257">
        <v>0.74267000000000005</v>
      </c>
      <c r="N187" s="257">
        <v>0.74716000000000005</v>
      </c>
      <c r="O187" s="257">
        <v>0.74716000000000005</v>
      </c>
      <c r="P187" s="257">
        <v>0</v>
      </c>
    </row>
    <row r="188" spans="1:16" x14ac:dyDescent="0.2">
      <c r="A188" s="258"/>
      <c r="B188" s="257"/>
      <c r="C188" s="257"/>
      <c r="D188" s="257"/>
      <c r="E188" s="257"/>
      <c r="F188" s="257"/>
      <c r="G188" s="257"/>
      <c r="J188" s="258">
        <v>39251</v>
      </c>
      <c r="K188" s="257">
        <v>0.74716000000000005</v>
      </c>
      <c r="L188" s="257">
        <v>0.74765999999999999</v>
      </c>
      <c r="M188" s="257">
        <v>0.74102000000000001</v>
      </c>
      <c r="N188" s="257">
        <v>0.74256</v>
      </c>
      <c r="O188" s="257">
        <v>0.74256</v>
      </c>
      <c r="P188" s="257">
        <v>0</v>
      </c>
    </row>
    <row r="189" spans="1:16" x14ac:dyDescent="0.2">
      <c r="A189" s="258"/>
      <c r="B189" s="257"/>
      <c r="C189" s="257"/>
      <c r="D189" s="257"/>
      <c r="E189" s="257"/>
      <c r="F189" s="257"/>
      <c r="G189" s="257"/>
      <c r="J189" s="258">
        <v>39258</v>
      </c>
      <c r="K189" s="257">
        <v>0.74260999999999999</v>
      </c>
      <c r="L189" s="257">
        <v>0.74509999999999998</v>
      </c>
      <c r="M189" s="257">
        <v>0.73794999999999999</v>
      </c>
      <c r="N189" s="257">
        <v>0.73843999999999999</v>
      </c>
      <c r="O189" s="257">
        <v>0.73843999999999999</v>
      </c>
      <c r="P189" s="257">
        <v>0</v>
      </c>
    </row>
    <row r="190" spans="1:16" x14ac:dyDescent="0.2">
      <c r="A190" s="258"/>
      <c r="B190" s="257"/>
      <c r="C190" s="257"/>
      <c r="D190" s="257"/>
      <c r="E190" s="257"/>
      <c r="F190" s="257"/>
      <c r="G190" s="257"/>
      <c r="J190" s="258">
        <v>39265</v>
      </c>
      <c r="K190" s="257">
        <v>0.73838999999999999</v>
      </c>
      <c r="L190" s="257">
        <v>0.73904000000000003</v>
      </c>
      <c r="M190" s="257">
        <v>0.73233000000000004</v>
      </c>
      <c r="N190" s="257">
        <v>0.73372999999999999</v>
      </c>
      <c r="O190" s="257">
        <v>0.73372999999999999</v>
      </c>
      <c r="P190" s="257">
        <v>0</v>
      </c>
    </row>
    <row r="191" spans="1:16" x14ac:dyDescent="0.2">
      <c r="A191" s="258"/>
      <c r="B191" s="257"/>
      <c r="C191" s="257"/>
      <c r="D191" s="257"/>
      <c r="E191" s="257"/>
      <c r="F191" s="257"/>
      <c r="G191" s="257"/>
      <c r="J191" s="258">
        <v>39272</v>
      </c>
      <c r="K191" s="257">
        <v>0.73377999999999999</v>
      </c>
      <c r="L191" s="257">
        <v>0.73519000000000001</v>
      </c>
      <c r="M191" s="257">
        <v>0.72416999999999998</v>
      </c>
      <c r="N191" s="257">
        <v>0.72601000000000004</v>
      </c>
      <c r="O191" s="257">
        <v>0.72601000000000004</v>
      </c>
      <c r="P191" s="257">
        <v>0</v>
      </c>
    </row>
    <row r="192" spans="1:16" x14ac:dyDescent="0.2">
      <c r="A192" s="258"/>
      <c r="B192" s="257"/>
      <c r="C192" s="257"/>
      <c r="D192" s="257"/>
      <c r="E192" s="257"/>
      <c r="F192" s="257"/>
      <c r="G192" s="257"/>
      <c r="J192" s="258">
        <v>39279</v>
      </c>
      <c r="K192" s="257">
        <v>0.72601000000000004</v>
      </c>
      <c r="L192" s="257">
        <v>0.72648000000000001</v>
      </c>
      <c r="M192" s="257">
        <v>0.72218000000000004</v>
      </c>
      <c r="N192" s="257">
        <v>0.72270000000000001</v>
      </c>
      <c r="O192" s="257">
        <v>0.72270000000000001</v>
      </c>
      <c r="P192" s="257">
        <v>0</v>
      </c>
    </row>
    <row r="193" spans="1:16" x14ac:dyDescent="0.2">
      <c r="A193" s="258"/>
      <c r="B193" s="257"/>
      <c r="C193" s="257"/>
      <c r="D193" s="257"/>
      <c r="E193" s="257"/>
      <c r="F193" s="257"/>
      <c r="G193" s="257"/>
      <c r="J193" s="258">
        <v>39286</v>
      </c>
      <c r="K193" s="257">
        <v>0.72275</v>
      </c>
      <c r="L193" s="257">
        <v>0.74704999999999999</v>
      </c>
      <c r="M193" s="257">
        <v>0.72206999999999999</v>
      </c>
      <c r="N193" s="257">
        <v>0.73377999999999999</v>
      </c>
      <c r="O193" s="257">
        <v>0.73377999999999999</v>
      </c>
      <c r="P193" s="257">
        <v>0</v>
      </c>
    </row>
    <row r="194" spans="1:16" x14ac:dyDescent="0.2">
      <c r="A194" s="258"/>
      <c r="B194" s="257"/>
      <c r="C194" s="257"/>
      <c r="D194" s="257"/>
      <c r="E194" s="257"/>
      <c r="F194" s="257"/>
      <c r="G194" s="257"/>
      <c r="J194" s="258">
        <v>39293</v>
      </c>
      <c r="K194" s="257">
        <v>0.73362000000000005</v>
      </c>
      <c r="L194" s="257">
        <v>0.73389000000000004</v>
      </c>
      <c r="M194" s="257">
        <v>0.72253999999999996</v>
      </c>
      <c r="N194" s="257">
        <v>0.72369000000000006</v>
      </c>
      <c r="O194" s="257">
        <v>0.72369000000000006</v>
      </c>
      <c r="P194" s="257">
        <v>0</v>
      </c>
    </row>
    <row r="195" spans="1:16" x14ac:dyDescent="0.2">
      <c r="A195" s="258"/>
      <c r="B195" s="257"/>
      <c r="C195" s="257"/>
      <c r="D195" s="257"/>
      <c r="E195" s="257"/>
      <c r="F195" s="257"/>
      <c r="G195" s="257"/>
      <c r="J195" s="258">
        <v>39300</v>
      </c>
      <c r="K195" s="257">
        <v>0.72369000000000006</v>
      </c>
      <c r="L195" s="257">
        <v>0.73465000000000003</v>
      </c>
      <c r="M195" s="257">
        <v>0.72260000000000002</v>
      </c>
      <c r="N195" s="257">
        <v>0.73046</v>
      </c>
      <c r="O195" s="257">
        <v>0.73046</v>
      </c>
      <c r="P195" s="257">
        <v>0</v>
      </c>
    </row>
    <row r="196" spans="1:16" x14ac:dyDescent="0.2">
      <c r="A196" s="258"/>
      <c r="B196" s="257"/>
      <c r="C196" s="257"/>
      <c r="D196" s="257"/>
      <c r="E196" s="257"/>
      <c r="F196" s="257"/>
      <c r="G196" s="257"/>
      <c r="J196" s="258">
        <v>39307</v>
      </c>
      <c r="K196" s="257">
        <v>0.73041</v>
      </c>
      <c r="L196" s="257">
        <v>0.74722</v>
      </c>
      <c r="M196" s="257">
        <v>0.72933999999999999</v>
      </c>
      <c r="N196" s="257">
        <v>0.74145000000000005</v>
      </c>
      <c r="O196" s="257">
        <v>0.74145000000000005</v>
      </c>
      <c r="P196" s="257">
        <v>0</v>
      </c>
    </row>
    <row r="197" spans="1:16" x14ac:dyDescent="0.2">
      <c r="A197" s="258"/>
      <c r="B197" s="257"/>
      <c r="C197" s="257"/>
      <c r="D197" s="257"/>
      <c r="E197" s="257"/>
      <c r="F197" s="257"/>
      <c r="G197" s="257"/>
      <c r="J197" s="258">
        <v>39314</v>
      </c>
      <c r="K197" s="257">
        <v>0.74145000000000005</v>
      </c>
      <c r="L197" s="257">
        <v>0.74326999999999999</v>
      </c>
      <c r="M197" s="257">
        <v>0.73062000000000005</v>
      </c>
      <c r="N197" s="257">
        <v>0.73131000000000002</v>
      </c>
      <c r="O197" s="257">
        <v>0.73131000000000002</v>
      </c>
      <c r="P197" s="257">
        <v>0</v>
      </c>
    </row>
    <row r="198" spans="1:16" x14ac:dyDescent="0.2">
      <c r="A198" s="258"/>
      <c r="B198" s="257"/>
      <c r="C198" s="257"/>
      <c r="D198" s="257"/>
      <c r="E198" s="257"/>
      <c r="F198" s="257"/>
      <c r="G198" s="257"/>
      <c r="J198" s="258">
        <v>39321</v>
      </c>
      <c r="K198" s="257">
        <v>0.73121000000000003</v>
      </c>
      <c r="L198" s="257">
        <v>0.73719000000000001</v>
      </c>
      <c r="M198" s="257">
        <v>0.72885999999999995</v>
      </c>
      <c r="N198" s="257">
        <v>0.73346</v>
      </c>
      <c r="O198" s="257">
        <v>0.73346</v>
      </c>
      <c r="P198" s="257">
        <v>0</v>
      </c>
    </row>
    <row r="199" spans="1:16" x14ac:dyDescent="0.2">
      <c r="A199" s="258"/>
      <c r="B199" s="257"/>
      <c r="C199" s="257"/>
      <c r="D199" s="257"/>
      <c r="E199" s="257"/>
      <c r="F199" s="257"/>
      <c r="G199" s="257"/>
      <c r="J199" s="258">
        <v>39328</v>
      </c>
      <c r="K199" s="257">
        <v>0.73346</v>
      </c>
      <c r="L199" s="257">
        <v>0.73768</v>
      </c>
      <c r="M199" s="257">
        <v>0.72506000000000004</v>
      </c>
      <c r="N199" s="257">
        <v>0.72579000000000005</v>
      </c>
      <c r="O199" s="257">
        <v>0.72579000000000005</v>
      </c>
      <c r="P199" s="257">
        <v>0</v>
      </c>
    </row>
    <row r="200" spans="1:16" x14ac:dyDescent="0.2">
      <c r="A200" s="258"/>
      <c r="B200" s="257"/>
      <c r="C200" s="257"/>
      <c r="D200" s="257"/>
      <c r="E200" s="257"/>
      <c r="F200" s="257"/>
      <c r="G200" s="257"/>
      <c r="J200" s="258">
        <v>39335</v>
      </c>
      <c r="K200" s="257">
        <v>0.72416999999999998</v>
      </c>
      <c r="L200" s="257">
        <v>0.72568999999999995</v>
      </c>
      <c r="M200" s="257">
        <v>0.71818000000000004</v>
      </c>
      <c r="N200" s="257">
        <v>0.72108000000000005</v>
      </c>
      <c r="O200" s="257">
        <v>0.72108000000000005</v>
      </c>
      <c r="P200" s="257">
        <v>0</v>
      </c>
    </row>
    <row r="201" spans="1:16" x14ac:dyDescent="0.2">
      <c r="A201" s="258"/>
      <c r="B201" s="257"/>
      <c r="C201" s="257"/>
      <c r="D201" s="257"/>
      <c r="E201" s="257"/>
      <c r="F201" s="257"/>
      <c r="G201" s="257"/>
      <c r="J201" s="258">
        <v>39342</v>
      </c>
      <c r="K201" s="257">
        <v>0.72108000000000005</v>
      </c>
      <c r="L201" s="257">
        <v>0.72285999999999995</v>
      </c>
      <c r="M201" s="257">
        <v>0.70831999999999995</v>
      </c>
      <c r="N201" s="257">
        <v>0.70967000000000002</v>
      </c>
      <c r="O201" s="257">
        <v>0.70967000000000002</v>
      </c>
      <c r="P201" s="257">
        <v>0</v>
      </c>
    </row>
    <row r="202" spans="1:16" x14ac:dyDescent="0.2">
      <c r="A202" s="258"/>
      <c r="B202" s="257"/>
      <c r="C202" s="257"/>
      <c r="D202" s="257"/>
      <c r="E202" s="257"/>
      <c r="F202" s="257"/>
      <c r="G202" s="257"/>
      <c r="J202" s="258">
        <v>39349</v>
      </c>
      <c r="K202" s="257">
        <v>0.70967000000000002</v>
      </c>
      <c r="L202" s="257">
        <v>0.71092999999999995</v>
      </c>
      <c r="M202" s="257">
        <v>0.70018000000000002</v>
      </c>
      <c r="N202" s="257">
        <v>0.70077</v>
      </c>
      <c r="O202" s="257">
        <v>0.70077</v>
      </c>
      <c r="P202" s="257">
        <v>0</v>
      </c>
    </row>
    <row r="203" spans="1:16" x14ac:dyDescent="0.2">
      <c r="A203" s="258"/>
      <c r="B203" s="257"/>
      <c r="C203" s="257"/>
      <c r="D203" s="257"/>
      <c r="E203" s="257"/>
      <c r="F203" s="257"/>
      <c r="G203" s="257"/>
      <c r="J203" s="258">
        <v>39356</v>
      </c>
      <c r="K203" s="257">
        <v>0.70072000000000001</v>
      </c>
      <c r="L203" s="257">
        <v>0.71194999999999997</v>
      </c>
      <c r="M203" s="257">
        <v>0.70047999999999999</v>
      </c>
      <c r="N203" s="257">
        <v>0.70670999999999995</v>
      </c>
      <c r="O203" s="257">
        <v>0.70670999999999995</v>
      </c>
      <c r="P203" s="257">
        <v>0</v>
      </c>
    </row>
    <row r="204" spans="1:16" x14ac:dyDescent="0.2">
      <c r="A204" s="258"/>
      <c r="B204" s="257"/>
      <c r="C204" s="257"/>
      <c r="D204" s="257"/>
      <c r="E204" s="257"/>
      <c r="F204" s="257"/>
      <c r="G204" s="257"/>
      <c r="J204" s="258">
        <v>39363</v>
      </c>
      <c r="K204" s="257">
        <v>0.70676000000000005</v>
      </c>
      <c r="L204" s="257">
        <v>0.71342000000000005</v>
      </c>
      <c r="M204" s="257">
        <v>0.70225000000000004</v>
      </c>
      <c r="N204" s="257">
        <v>0.70582</v>
      </c>
      <c r="O204" s="257">
        <v>0.70582</v>
      </c>
      <c r="P204" s="257">
        <v>0</v>
      </c>
    </row>
    <row r="205" spans="1:16" x14ac:dyDescent="0.2">
      <c r="A205" s="258"/>
      <c r="B205" s="257"/>
      <c r="C205" s="257"/>
      <c r="D205" s="257"/>
      <c r="E205" s="257"/>
      <c r="F205" s="257"/>
      <c r="G205" s="257"/>
      <c r="J205" s="258">
        <v>39370</v>
      </c>
      <c r="K205" s="257">
        <v>0.70577000000000001</v>
      </c>
      <c r="L205" s="257">
        <v>0.70686000000000004</v>
      </c>
      <c r="M205" s="257">
        <v>0.69691000000000003</v>
      </c>
      <c r="N205" s="257">
        <v>0.69784000000000002</v>
      </c>
      <c r="O205" s="257">
        <v>0.69784000000000002</v>
      </c>
      <c r="P205" s="257">
        <v>0</v>
      </c>
    </row>
    <row r="206" spans="1:16" x14ac:dyDescent="0.2">
      <c r="A206" s="258"/>
      <c r="B206" s="257"/>
      <c r="C206" s="257"/>
      <c r="D206" s="257"/>
      <c r="E206" s="257"/>
      <c r="F206" s="257"/>
      <c r="G206" s="257"/>
      <c r="J206" s="258">
        <v>39377</v>
      </c>
      <c r="K206" s="257">
        <v>0.69774000000000003</v>
      </c>
      <c r="L206" s="257">
        <v>0.70791000000000004</v>
      </c>
      <c r="M206" s="257">
        <v>0.69310000000000005</v>
      </c>
      <c r="N206" s="257">
        <v>0.69396000000000002</v>
      </c>
      <c r="O206" s="257">
        <v>0.69396000000000002</v>
      </c>
      <c r="P206" s="257">
        <v>0</v>
      </c>
    </row>
    <row r="207" spans="1:16" x14ac:dyDescent="0.2">
      <c r="A207" s="258"/>
      <c r="B207" s="257"/>
      <c r="C207" s="257"/>
      <c r="D207" s="257"/>
      <c r="E207" s="257"/>
      <c r="F207" s="257"/>
      <c r="G207" s="257"/>
      <c r="J207" s="258">
        <v>39384</v>
      </c>
      <c r="K207" s="257">
        <v>0.69406000000000001</v>
      </c>
      <c r="L207" s="257">
        <v>0.69550999999999996</v>
      </c>
      <c r="M207" s="257">
        <v>0.68852000000000002</v>
      </c>
      <c r="N207" s="257">
        <v>0.68937000000000004</v>
      </c>
      <c r="O207" s="257">
        <v>0.68937000000000004</v>
      </c>
      <c r="P207" s="257">
        <v>0</v>
      </c>
    </row>
    <row r="208" spans="1:16" x14ac:dyDescent="0.2">
      <c r="A208" s="258"/>
      <c r="B208" s="257"/>
      <c r="C208" s="257"/>
      <c r="D208" s="257"/>
      <c r="E208" s="257"/>
      <c r="F208" s="257"/>
      <c r="G208" s="257"/>
      <c r="J208" s="258">
        <v>39391</v>
      </c>
      <c r="K208" s="257">
        <v>0.68937000000000004</v>
      </c>
      <c r="L208" s="257">
        <v>0.69198999999999999</v>
      </c>
      <c r="M208" s="257">
        <v>0.67796999999999996</v>
      </c>
      <c r="N208" s="257">
        <v>0.68227000000000004</v>
      </c>
      <c r="O208" s="257">
        <v>0.68227000000000004</v>
      </c>
      <c r="P208" s="257">
        <v>0</v>
      </c>
    </row>
    <row r="209" spans="1:16" x14ac:dyDescent="0.2">
      <c r="A209" s="258"/>
      <c r="B209" s="257"/>
      <c r="C209" s="257"/>
      <c r="D209" s="257"/>
      <c r="E209" s="257"/>
      <c r="F209" s="257"/>
      <c r="G209" s="257"/>
      <c r="J209" s="258">
        <v>39398</v>
      </c>
      <c r="K209" s="257">
        <v>0.68213000000000001</v>
      </c>
      <c r="L209" s="257">
        <v>0.68852000000000002</v>
      </c>
      <c r="M209" s="257">
        <v>0.67935000000000001</v>
      </c>
      <c r="N209" s="257">
        <v>0.68152000000000001</v>
      </c>
      <c r="O209" s="257">
        <v>0.68152000000000001</v>
      </c>
      <c r="P209" s="257">
        <v>0</v>
      </c>
    </row>
    <row r="210" spans="1:16" x14ac:dyDescent="0.2">
      <c r="A210" s="258"/>
      <c r="B210" s="257"/>
      <c r="C210" s="257"/>
      <c r="D210" s="257"/>
      <c r="E210" s="257"/>
      <c r="F210" s="257"/>
      <c r="G210" s="257"/>
      <c r="J210" s="258">
        <v>39405</v>
      </c>
      <c r="K210" s="257">
        <v>0.68157000000000001</v>
      </c>
      <c r="L210" s="257">
        <v>0.73458999999999997</v>
      </c>
      <c r="M210" s="257">
        <v>0.66857999999999995</v>
      </c>
      <c r="N210" s="257">
        <v>0.67395000000000005</v>
      </c>
      <c r="O210" s="257">
        <v>0.67395000000000005</v>
      </c>
      <c r="P210" s="257">
        <v>0</v>
      </c>
    </row>
    <row r="211" spans="1:16" x14ac:dyDescent="0.2">
      <c r="A211" s="258"/>
      <c r="B211" s="257"/>
      <c r="C211" s="257"/>
      <c r="D211" s="257"/>
      <c r="E211" s="257"/>
      <c r="F211" s="257"/>
      <c r="G211" s="257"/>
      <c r="J211" s="258">
        <v>39412</v>
      </c>
      <c r="K211" s="257">
        <v>0.67222000000000004</v>
      </c>
      <c r="L211" s="257">
        <v>0.68352999999999997</v>
      </c>
      <c r="M211" s="257">
        <v>0.66020000000000001</v>
      </c>
      <c r="N211" s="257">
        <v>0.68198999999999999</v>
      </c>
      <c r="O211" s="257">
        <v>0.68198999999999999</v>
      </c>
      <c r="P211" s="257">
        <v>0</v>
      </c>
    </row>
    <row r="212" spans="1:16" x14ac:dyDescent="0.2">
      <c r="A212" s="258"/>
      <c r="B212" s="257"/>
      <c r="C212" s="257"/>
      <c r="D212" s="257"/>
      <c r="E212" s="257"/>
      <c r="F212" s="257"/>
      <c r="G212" s="257"/>
      <c r="J212" s="258">
        <v>39419</v>
      </c>
      <c r="K212" s="257">
        <v>0.68203999999999998</v>
      </c>
      <c r="L212" s="257">
        <v>0.68771000000000004</v>
      </c>
      <c r="M212" s="257">
        <v>0.67700000000000005</v>
      </c>
      <c r="N212" s="257">
        <v>0.68235999999999997</v>
      </c>
      <c r="O212" s="257">
        <v>0.68235999999999997</v>
      </c>
      <c r="P212" s="257">
        <v>0</v>
      </c>
    </row>
    <row r="213" spans="1:16" x14ac:dyDescent="0.2">
      <c r="A213" s="258"/>
      <c r="B213" s="257"/>
      <c r="C213" s="257"/>
      <c r="D213" s="257"/>
      <c r="E213" s="257"/>
      <c r="F213" s="257"/>
      <c r="G213" s="257"/>
      <c r="J213" s="258">
        <v>39426</v>
      </c>
      <c r="K213" s="257">
        <v>0.68235999999999997</v>
      </c>
      <c r="L213" s="257">
        <v>0.69511999999999996</v>
      </c>
      <c r="M213" s="257">
        <v>0.67796999999999996</v>
      </c>
      <c r="N213" s="257">
        <v>0.69352999999999998</v>
      </c>
      <c r="O213" s="257">
        <v>0.69352999999999998</v>
      </c>
      <c r="P213" s="257">
        <v>0</v>
      </c>
    </row>
    <row r="214" spans="1:16" x14ac:dyDescent="0.2">
      <c r="A214" s="258"/>
      <c r="B214" s="257"/>
      <c r="C214" s="257"/>
      <c r="D214" s="257"/>
      <c r="E214" s="257"/>
      <c r="F214" s="257"/>
      <c r="G214" s="257"/>
      <c r="J214" s="258">
        <v>39433</v>
      </c>
      <c r="K214" s="257">
        <v>0.69347999999999999</v>
      </c>
      <c r="L214" s="257">
        <v>0.69847000000000004</v>
      </c>
      <c r="M214" s="257">
        <v>0.69198999999999999</v>
      </c>
      <c r="N214" s="257">
        <v>0.69545999999999997</v>
      </c>
      <c r="O214" s="257">
        <v>0.69545999999999997</v>
      </c>
      <c r="P214" s="257">
        <v>0</v>
      </c>
    </row>
    <row r="215" spans="1:16" x14ac:dyDescent="0.2">
      <c r="A215" s="258"/>
      <c r="B215" s="257"/>
      <c r="C215" s="257"/>
      <c r="D215" s="257"/>
      <c r="E215" s="257"/>
      <c r="F215" s="257"/>
      <c r="G215" s="257"/>
      <c r="J215" s="258">
        <v>39440</v>
      </c>
      <c r="K215" s="257">
        <v>0.69530999999999998</v>
      </c>
      <c r="L215" s="257">
        <v>0.69550999999999996</v>
      </c>
      <c r="M215" s="257">
        <v>0.67823999999999995</v>
      </c>
      <c r="N215" s="257">
        <v>0.67861000000000005</v>
      </c>
      <c r="O215" s="257">
        <v>0.67861000000000005</v>
      </c>
      <c r="P215" s="257">
        <v>0</v>
      </c>
    </row>
    <row r="216" spans="1:16" x14ac:dyDescent="0.2">
      <c r="A216" s="258"/>
      <c r="B216" s="257"/>
      <c r="C216" s="257"/>
      <c r="D216" s="257"/>
      <c r="E216" s="257"/>
      <c r="F216" s="257"/>
      <c r="G216" s="257"/>
      <c r="J216" s="258">
        <v>39447</v>
      </c>
      <c r="K216" s="257">
        <v>0.67856000000000005</v>
      </c>
      <c r="L216" s="257">
        <v>0.68620000000000003</v>
      </c>
      <c r="M216" s="257">
        <v>0.67484999999999995</v>
      </c>
      <c r="N216" s="257">
        <v>0.67786999999999997</v>
      </c>
      <c r="O216" s="257">
        <v>0.67786999999999997</v>
      </c>
      <c r="P216" s="257">
        <v>0</v>
      </c>
    </row>
    <row r="217" spans="1:16" x14ac:dyDescent="0.2">
      <c r="A217" s="258"/>
      <c r="B217" s="257"/>
      <c r="C217" s="257"/>
      <c r="D217" s="257"/>
      <c r="E217" s="257"/>
      <c r="F217" s="257"/>
      <c r="G217" s="257"/>
      <c r="J217" s="258">
        <v>39454</v>
      </c>
      <c r="K217" s="257">
        <v>0.67786999999999997</v>
      </c>
      <c r="L217" s="257">
        <v>0.68291999999999997</v>
      </c>
      <c r="M217" s="257">
        <v>0.64132</v>
      </c>
      <c r="N217" s="257">
        <v>0.6754</v>
      </c>
      <c r="O217" s="257">
        <v>0.6754</v>
      </c>
      <c r="P217" s="257">
        <v>0</v>
      </c>
    </row>
    <row r="218" spans="1:16" x14ac:dyDescent="0.2">
      <c r="A218" s="258"/>
      <c r="B218" s="257"/>
      <c r="C218" s="257"/>
      <c r="D218" s="257"/>
      <c r="E218" s="257"/>
      <c r="F218" s="257"/>
      <c r="G218" s="257"/>
      <c r="J218" s="258">
        <v>39461</v>
      </c>
      <c r="K218" s="257">
        <v>0.67530999999999997</v>
      </c>
      <c r="L218" s="257">
        <v>0.68530999999999997</v>
      </c>
      <c r="M218" s="257">
        <v>0.67023999999999995</v>
      </c>
      <c r="N218" s="257">
        <v>0.68511999999999995</v>
      </c>
      <c r="O218" s="257">
        <v>0.68511999999999995</v>
      </c>
      <c r="P218" s="257">
        <v>0</v>
      </c>
    </row>
    <row r="219" spans="1:16" x14ac:dyDescent="0.2">
      <c r="A219" s="258"/>
      <c r="B219" s="257"/>
      <c r="C219" s="257"/>
      <c r="D219" s="257"/>
      <c r="E219" s="257"/>
      <c r="F219" s="257"/>
      <c r="G219" s="257"/>
      <c r="J219" s="258">
        <v>39468</v>
      </c>
      <c r="K219" s="257">
        <v>0.68493000000000004</v>
      </c>
      <c r="L219" s="257">
        <v>0.69574999999999998</v>
      </c>
      <c r="M219" s="257">
        <v>0.67676999999999998</v>
      </c>
      <c r="N219" s="257">
        <v>0.68054999999999999</v>
      </c>
      <c r="O219" s="257">
        <v>0.68054999999999999</v>
      </c>
      <c r="P219" s="257">
        <v>0</v>
      </c>
    </row>
    <row r="220" spans="1:16" x14ac:dyDescent="0.2">
      <c r="A220" s="258"/>
      <c r="B220" s="257"/>
      <c r="C220" s="257"/>
      <c r="D220" s="257"/>
      <c r="E220" s="257"/>
      <c r="F220" s="257"/>
      <c r="G220" s="257"/>
      <c r="J220" s="258">
        <v>39475</v>
      </c>
      <c r="K220" s="257">
        <v>0.68059999999999998</v>
      </c>
      <c r="L220" s="257">
        <v>0.68184999999999996</v>
      </c>
      <c r="M220" s="257">
        <v>0.66969999999999996</v>
      </c>
      <c r="N220" s="257">
        <v>0.67544999999999999</v>
      </c>
      <c r="O220" s="257">
        <v>0.67544999999999999</v>
      </c>
      <c r="P220" s="257">
        <v>0</v>
      </c>
    </row>
    <row r="221" spans="1:16" x14ac:dyDescent="0.2">
      <c r="A221" s="258"/>
      <c r="B221" s="257"/>
      <c r="C221" s="257"/>
      <c r="D221" s="257"/>
      <c r="E221" s="257"/>
      <c r="F221" s="257"/>
      <c r="G221" s="257"/>
      <c r="J221" s="258">
        <v>39482</v>
      </c>
      <c r="K221" s="257">
        <v>0.67554000000000003</v>
      </c>
      <c r="L221" s="257">
        <v>0.69194999999999995</v>
      </c>
      <c r="M221" s="257">
        <v>0.64222000000000001</v>
      </c>
      <c r="N221" s="257">
        <v>0.68833</v>
      </c>
      <c r="O221" s="257">
        <v>0.68833</v>
      </c>
      <c r="P221" s="257">
        <v>0</v>
      </c>
    </row>
    <row r="222" spans="1:16" x14ac:dyDescent="0.2">
      <c r="A222" s="258"/>
      <c r="B222" s="257"/>
      <c r="C222" s="257"/>
      <c r="D222" s="257"/>
      <c r="E222" s="257"/>
      <c r="F222" s="257"/>
      <c r="G222" s="257"/>
      <c r="J222" s="258">
        <v>39489</v>
      </c>
      <c r="K222" s="257">
        <v>0.68813999999999997</v>
      </c>
      <c r="L222" s="257">
        <v>0.69032000000000004</v>
      </c>
      <c r="M222" s="257">
        <v>0.67998999999999998</v>
      </c>
      <c r="N222" s="257">
        <v>0.68152000000000001</v>
      </c>
      <c r="O222" s="257">
        <v>0.68152000000000001</v>
      </c>
      <c r="P222" s="257">
        <v>0</v>
      </c>
    </row>
    <row r="223" spans="1:16" x14ac:dyDescent="0.2">
      <c r="A223" s="258"/>
      <c r="B223" s="257"/>
      <c r="C223" s="257"/>
      <c r="D223" s="257"/>
      <c r="E223" s="257"/>
      <c r="F223" s="257"/>
      <c r="G223" s="257"/>
      <c r="J223" s="258">
        <v>39496</v>
      </c>
      <c r="K223" s="257">
        <v>0.68137999999999999</v>
      </c>
      <c r="L223" s="257">
        <v>0.68413000000000002</v>
      </c>
      <c r="M223" s="257">
        <v>0.67313000000000001</v>
      </c>
      <c r="N223" s="257">
        <v>0.67417000000000005</v>
      </c>
      <c r="O223" s="257">
        <v>0.67417000000000005</v>
      </c>
      <c r="P223" s="257">
        <v>0</v>
      </c>
    </row>
    <row r="224" spans="1:16" x14ac:dyDescent="0.2">
      <c r="A224" s="258"/>
      <c r="B224" s="257"/>
      <c r="C224" s="257"/>
      <c r="D224" s="257"/>
      <c r="E224" s="257"/>
      <c r="F224" s="257"/>
      <c r="G224" s="257"/>
      <c r="J224" s="258">
        <v>39503</v>
      </c>
      <c r="K224" s="257">
        <v>0.67413000000000001</v>
      </c>
      <c r="L224" s="257">
        <v>0.67640999999999996</v>
      </c>
      <c r="M224" s="257">
        <v>0.65625</v>
      </c>
      <c r="N224" s="257">
        <v>0.65781000000000001</v>
      </c>
      <c r="O224" s="257">
        <v>0.65781000000000001</v>
      </c>
      <c r="P224" s="257">
        <v>0</v>
      </c>
    </row>
    <row r="225" spans="1:16" x14ac:dyDescent="0.2">
      <c r="A225" s="258"/>
      <c r="B225" s="257"/>
      <c r="C225" s="257"/>
      <c r="D225" s="257"/>
      <c r="E225" s="257"/>
      <c r="F225" s="257"/>
      <c r="G225" s="257"/>
      <c r="J225" s="258">
        <v>39510</v>
      </c>
      <c r="K225" s="257">
        <v>0.65776000000000001</v>
      </c>
      <c r="L225" s="257">
        <v>0.65993999999999997</v>
      </c>
      <c r="M225" s="257">
        <v>0.64180999999999999</v>
      </c>
      <c r="N225" s="257">
        <v>0.64217999999999997</v>
      </c>
      <c r="O225" s="257">
        <v>0.64217999999999997</v>
      </c>
      <c r="P225" s="257">
        <v>0</v>
      </c>
    </row>
    <row r="226" spans="1:16" x14ac:dyDescent="0.2">
      <c r="J226" s="258">
        <v>39517</v>
      </c>
      <c r="K226" s="257">
        <v>0.6502</v>
      </c>
      <c r="L226" s="257">
        <v>0.65410999999999997</v>
      </c>
      <c r="M226" s="257">
        <v>0.63424000000000003</v>
      </c>
      <c r="N226" s="257">
        <v>0.63463999999999998</v>
      </c>
      <c r="O226" s="257">
        <v>0.63463999999999998</v>
      </c>
      <c r="P226" s="257">
        <v>0</v>
      </c>
    </row>
    <row r="227" spans="1:16" x14ac:dyDescent="0.2">
      <c r="J227" s="258">
        <v>39524</v>
      </c>
      <c r="K227" s="257">
        <v>0.63500000000000001</v>
      </c>
      <c r="L227" s="257">
        <v>13.717000000000001</v>
      </c>
      <c r="M227" s="257">
        <v>0.62880999999999998</v>
      </c>
      <c r="N227" s="257">
        <v>0.64900999999999998</v>
      </c>
      <c r="O227" s="257">
        <v>0.64900999999999998</v>
      </c>
      <c r="P227" s="257">
        <v>0</v>
      </c>
    </row>
    <row r="228" spans="1:16" x14ac:dyDescent="0.2">
      <c r="J228" s="258">
        <v>39531</v>
      </c>
      <c r="K228" s="257">
        <v>0.64905999999999997</v>
      </c>
      <c r="L228" s="257">
        <v>0.65164</v>
      </c>
      <c r="M228" s="257">
        <v>0.63060000000000005</v>
      </c>
      <c r="N228" s="257">
        <v>0.63334999999999997</v>
      </c>
      <c r="O228" s="257">
        <v>0.63334999999999997</v>
      </c>
      <c r="P228" s="257">
        <v>0</v>
      </c>
    </row>
    <row r="229" spans="1:16" x14ac:dyDescent="0.2">
      <c r="J229" s="258">
        <v>39538</v>
      </c>
      <c r="K229" s="257">
        <v>0.63319000000000003</v>
      </c>
      <c r="L229" s="257">
        <v>0.64444999999999997</v>
      </c>
      <c r="M229" s="257">
        <v>0.62929000000000002</v>
      </c>
      <c r="N229" s="257">
        <v>0.63576999999999995</v>
      </c>
      <c r="O229" s="257">
        <v>0.63576999999999995</v>
      </c>
      <c r="P229" s="257">
        <v>0</v>
      </c>
    </row>
    <row r="230" spans="1:16" x14ac:dyDescent="0.2">
      <c r="J230" s="258">
        <v>39545</v>
      </c>
      <c r="K230" s="257">
        <v>0.63573000000000002</v>
      </c>
      <c r="L230" s="257">
        <v>0.64276</v>
      </c>
      <c r="M230" s="257">
        <v>0.62880999999999998</v>
      </c>
      <c r="N230" s="257">
        <v>0.63605</v>
      </c>
      <c r="O230" s="257">
        <v>0.63605</v>
      </c>
      <c r="P230" s="257">
        <v>0</v>
      </c>
    </row>
    <row r="231" spans="1:16" x14ac:dyDescent="0.2">
      <c r="J231" s="258">
        <v>39552</v>
      </c>
      <c r="K231" s="257">
        <v>0.63612999999999997</v>
      </c>
      <c r="L231" s="257">
        <v>0.63780000000000003</v>
      </c>
      <c r="M231" s="257">
        <v>0.62594000000000005</v>
      </c>
      <c r="N231" s="257">
        <v>0.63290999999999997</v>
      </c>
      <c r="O231" s="257">
        <v>0.63290999999999997</v>
      </c>
      <c r="P231" s="257">
        <v>0</v>
      </c>
    </row>
    <row r="232" spans="1:16" x14ac:dyDescent="0.2">
      <c r="J232" s="258">
        <v>39559</v>
      </c>
      <c r="K232" s="257">
        <v>0.63275000000000003</v>
      </c>
      <c r="L232" s="257">
        <v>0.64265000000000005</v>
      </c>
      <c r="M232" s="257">
        <v>0.62448999999999999</v>
      </c>
      <c r="N232" s="257">
        <v>0.64093999999999995</v>
      </c>
      <c r="O232" s="257">
        <v>0.64093999999999995</v>
      </c>
      <c r="P232" s="257">
        <v>0</v>
      </c>
    </row>
    <row r="233" spans="1:16" x14ac:dyDescent="0.2">
      <c r="J233" s="258">
        <v>39566</v>
      </c>
      <c r="K233" s="257">
        <v>0.64097999999999999</v>
      </c>
      <c r="L233" s="257">
        <v>0.65032000000000001</v>
      </c>
      <c r="M233" s="257">
        <v>0.63743000000000005</v>
      </c>
      <c r="N233" s="257">
        <v>0.64792000000000005</v>
      </c>
      <c r="O233" s="257">
        <v>0.64792000000000005</v>
      </c>
      <c r="P233" s="257">
        <v>0</v>
      </c>
    </row>
    <row r="234" spans="1:16" x14ac:dyDescent="0.2">
      <c r="J234" s="258">
        <v>39573</v>
      </c>
      <c r="K234" s="257">
        <v>0.64788000000000001</v>
      </c>
      <c r="L234" s="257">
        <v>0.65058000000000005</v>
      </c>
      <c r="M234" s="257">
        <v>0.64137</v>
      </c>
      <c r="N234" s="257">
        <v>0.64700000000000002</v>
      </c>
      <c r="O234" s="257">
        <v>0.64700000000000002</v>
      </c>
      <c r="P234" s="257">
        <v>0</v>
      </c>
    </row>
    <row r="235" spans="1:16" x14ac:dyDescent="0.2">
      <c r="J235" s="258">
        <v>39580</v>
      </c>
      <c r="K235" s="257">
        <v>0.64700000000000002</v>
      </c>
      <c r="L235" s="257">
        <v>0.65024000000000004</v>
      </c>
      <c r="M235" s="257">
        <v>0.64102999999999999</v>
      </c>
      <c r="N235" s="257">
        <v>0.64176999999999995</v>
      </c>
      <c r="O235" s="257">
        <v>0.64176999999999995</v>
      </c>
      <c r="P235" s="257">
        <v>0</v>
      </c>
    </row>
    <row r="236" spans="1:16" x14ac:dyDescent="0.2">
      <c r="J236" s="258">
        <v>39587</v>
      </c>
      <c r="K236" s="257">
        <v>0.64171999999999996</v>
      </c>
      <c r="L236" s="257">
        <v>0.64549000000000001</v>
      </c>
      <c r="M236" s="257">
        <v>0.63256000000000001</v>
      </c>
      <c r="N236" s="257">
        <v>0.63431999999999999</v>
      </c>
      <c r="O236" s="257">
        <v>0.63431999999999999</v>
      </c>
      <c r="P236" s="257">
        <v>0</v>
      </c>
    </row>
    <row r="237" spans="1:16" x14ac:dyDescent="0.2">
      <c r="J237" s="258">
        <v>39594</v>
      </c>
      <c r="K237" s="257">
        <v>0.63417999999999997</v>
      </c>
      <c r="L237" s="257">
        <v>0.64649999999999996</v>
      </c>
      <c r="M237" s="257">
        <v>0.63219000000000003</v>
      </c>
      <c r="N237" s="257">
        <v>0.64276</v>
      </c>
      <c r="O237" s="257">
        <v>0.64276</v>
      </c>
      <c r="P237" s="257">
        <v>0</v>
      </c>
    </row>
    <row r="238" spans="1:16" x14ac:dyDescent="0.2">
      <c r="J238" s="258">
        <v>39601</v>
      </c>
      <c r="K238" s="257">
        <v>0.64251000000000003</v>
      </c>
      <c r="L238" s="257">
        <v>0.65024000000000004</v>
      </c>
      <c r="M238" s="257">
        <v>0.63346999999999998</v>
      </c>
      <c r="N238" s="257">
        <v>0.64871000000000001</v>
      </c>
      <c r="O238" s="257">
        <v>0.64871000000000001</v>
      </c>
      <c r="P238" s="257">
        <v>0</v>
      </c>
    </row>
    <row r="239" spans="1:16" x14ac:dyDescent="0.2">
      <c r="J239" s="258">
        <v>39608</v>
      </c>
      <c r="K239" s="257">
        <v>0.63331000000000004</v>
      </c>
      <c r="L239" s="257">
        <v>0.65295000000000003</v>
      </c>
      <c r="M239" s="257">
        <v>0.63122999999999996</v>
      </c>
      <c r="N239" s="257">
        <v>0.64968999999999999</v>
      </c>
      <c r="O239" s="257">
        <v>0.64968999999999999</v>
      </c>
      <c r="P239" s="257">
        <v>0</v>
      </c>
    </row>
    <row r="240" spans="1:16" x14ac:dyDescent="0.2">
      <c r="J240" s="258">
        <v>39615</v>
      </c>
      <c r="K240" s="257">
        <v>0.64970000000000006</v>
      </c>
      <c r="L240" s="257">
        <v>0.65134000000000003</v>
      </c>
      <c r="M240" s="257">
        <v>0.63890000000000002</v>
      </c>
      <c r="N240" s="257">
        <v>0.64102999999999999</v>
      </c>
      <c r="O240" s="257">
        <v>0.64102999999999999</v>
      </c>
      <c r="P240" s="257">
        <v>0</v>
      </c>
    </row>
    <row r="241" spans="10:16" x14ac:dyDescent="0.2">
      <c r="J241" s="258">
        <v>39622</v>
      </c>
      <c r="K241" s="257">
        <v>0.64107000000000003</v>
      </c>
      <c r="L241" s="257">
        <v>0.64624999999999999</v>
      </c>
      <c r="M241" s="257">
        <v>0.63295000000000001</v>
      </c>
      <c r="N241" s="257">
        <v>0.63314999999999999</v>
      </c>
      <c r="O241" s="257">
        <v>0.63314999999999999</v>
      </c>
      <c r="P241" s="257">
        <v>0</v>
      </c>
    </row>
    <row r="242" spans="10:16" x14ac:dyDescent="0.2">
      <c r="J242" s="258">
        <v>39629</v>
      </c>
      <c r="K242" s="257">
        <v>0.63314999999999999</v>
      </c>
      <c r="L242" s="257">
        <v>0.63819999999999999</v>
      </c>
      <c r="M242" s="257">
        <v>0.62873000000000001</v>
      </c>
      <c r="N242" s="257">
        <v>0.63680999999999999</v>
      </c>
      <c r="O242" s="257">
        <v>0.63680999999999999</v>
      </c>
      <c r="P242" s="257">
        <v>0</v>
      </c>
    </row>
    <row r="243" spans="10:16" x14ac:dyDescent="0.2">
      <c r="J243" s="258">
        <v>39636</v>
      </c>
      <c r="K243" s="257">
        <v>0.63673999999999997</v>
      </c>
      <c r="L243" s="257">
        <v>0.65300000000000002</v>
      </c>
      <c r="M243" s="257">
        <v>0.62609000000000004</v>
      </c>
      <c r="N243" s="257">
        <v>0.62838000000000005</v>
      </c>
      <c r="O243" s="257">
        <v>0.62838000000000005</v>
      </c>
      <c r="P243" s="257">
        <v>0</v>
      </c>
    </row>
    <row r="244" spans="10:16" x14ac:dyDescent="0.2">
      <c r="J244" s="258">
        <v>39643</v>
      </c>
      <c r="K244" s="257">
        <v>0.62834000000000001</v>
      </c>
      <c r="L244" s="257">
        <v>0.63321000000000005</v>
      </c>
      <c r="M244" s="257">
        <v>0.62390000000000001</v>
      </c>
      <c r="N244" s="257">
        <v>0.63158999999999998</v>
      </c>
      <c r="O244" s="257">
        <v>0.63158999999999998</v>
      </c>
      <c r="P244" s="257">
        <v>0</v>
      </c>
    </row>
    <row r="245" spans="10:16" x14ac:dyDescent="0.2">
      <c r="J245" s="258">
        <v>39650</v>
      </c>
      <c r="K245" s="257">
        <v>0.63154999999999994</v>
      </c>
      <c r="L245" s="257">
        <v>0.63954999999999995</v>
      </c>
      <c r="M245" s="257">
        <v>0.62726999999999999</v>
      </c>
      <c r="N245" s="257">
        <v>0.63697999999999999</v>
      </c>
      <c r="O245" s="257">
        <v>0.63697999999999999</v>
      </c>
      <c r="P245" s="257">
        <v>0</v>
      </c>
    </row>
    <row r="246" spans="10:16" x14ac:dyDescent="0.2">
      <c r="J246" s="258">
        <v>39657</v>
      </c>
      <c r="K246" s="257">
        <v>0.63702000000000003</v>
      </c>
      <c r="L246" s="257">
        <v>0.64407999999999999</v>
      </c>
      <c r="M246" s="257">
        <v>0.63431999999999999</v>
      </c>
      <c r="N246" s="257">
        <v>0.64131000000000005</v>
      </c>
      <c r="O246" s="257">
        <v>0.64131000000000005</v>
      </c>
      <c r="P246" s="257">
        <v>0</v>
      </c>
    </row>
    <row r="247" spans="10:16" x14ac:dyDescent="0.2">
      <c r="J247" s="258">
        <v>39664</v>
      </c>
      <c r="K247" s="257">
        <v>0.65214000000000005</v>
      </c>
      <c r="L247" s="257">
        <v>0.66666999999999998</v>
      </c>
      <c r="M247" s="257">
        <v>0.65205999999999997</v>
      </c>
      <c r="N247" s="257">
        <v>0.66449999999999998</v>
      </c>
      <c r="O247" s="257">
        <v>0.66449999999999998</v>
      </c>
      <c r="P247" s="257">
        <v>0</v>
      </c>
    </row>
    <row r="248" spans="10:16" x14ac:dyDescent="0.2">
      <c r="J248" s="258">
        <v>39671</v>
      </c>
      <c r="K248" s="257" t="e">
        <v>#VALUE!</v>
      </c>
      <c r="L248" s="257" t="e">
        <v>#VALUE!</v>
      </c>
      <c r="M248" s="257" t="e">
        <v>#VALUE!</v>
      </c>
      <c r="N248" s="257" t="e">
        <v>#VALUE!</v>
      </c>
      <c r="O248" s="257" t="e">
        <v>#VALUE!</v>
      </c>
      <c r="P248" s="257" t="s">
        <v>518</v>
      </c>
    </row>
    <row r="249" spans="10:16" x14ac:dyDescent="0.2">
      <c r="J249" s="258">
        <v>39678</v>
      </c>
      <c r="K249" s="257" t="e">
        <v>#VALUE!</v>
      </c>
      <c r="L249" s="257" t="e">
        <v>#VALUE!</v>
      </c>
      <c r="M249" s="257" t="e">
        <v>#VALUE!</v>
      </c>
      <c r="N249" s="257" t="e">
        <v>#VALUE!</v>
      </c>
      <c r="O249" s="257" t="e">
        <v>#VALUE!</v>
      </c>
      <c r="P249" s="257" t="s">
        <v>518</v>
      </c>
    </row>
    <row r="250" spans="10:16" x14ac:dyDescent="0.2">
      <c r="J250" s="258">
        <v>39685</v>
      </c>
      <c r="K250" s="257">
        <v>0.68403999999999998</v>
      </c>
      <c r="L250" s="257">
        <v>0.68596999999999997</v>
      </c>
      <c r="M250" s="257">
        <v>0.67530999999999997</v>
      </c>
      <c r="N250" s="257">
        <v>0.68049999999999999</v>
      </c>
      <c r="O250" s="257">
        <v>0.68049999999999999</v>
      </c>
      <c r="P250" s="257">
        <v>0</v>
      </c>
    </row>
    <row r="251" spans="10:16" x14ac:dyDescent="0.2">
      <c r="J251" s="258">
        <v>39692</v>
      </c>
      <c r="K251" s="257">
        <v>0.68061000000000005</v>
      </c>
      <c r="L251" s="257">
        <v>0.70408000000000004</v>
      </c>
      <c r="M251" s="257">
        <v>0.68013000000000001</v>
      </c>
      <c r="N251" s="257">
        <v>0.69684000000000001</v>
      </c>
      <c r="O251" s="257">
        <v>0.69684000000000001</v>
      </c>
      <c r="P251" s="257">
        <v>0</v>
      </c>
    </row>
    <row r="252" spans="10:16" x14ac:dyDescent="0.2">
      <c r="J252" s="258">
        <v>39699</v>
      </c>
      <c r="K252" s="257">
        <v>0.66449999999999998</v>
      </c>
      <c r="L252" s="257">
        <v>0.71958</v>
      </c>
      <c r="M252" s="257">
        <v>0.66444999999999999</v>
      </c>
      <c r="N252" s="257">
        <v>0.69869000000000003</v>
      </c>
      <c r="O252" s="257">
        <v>0.69869000000000003</v>
      </c>
      <c r="P252" s="257">
        <v>0</v>
      </c>
    </row>
    <row r="253" spans="10:16" x14ac:dyDescent="0.2">
      <c r="J253" s="258">
        <v>39706</v>
      </c>
      <c r="K253" s="257">
        <v>0.69903000000000004</v>
      </c>
      <c r="L253" s="257">
        <v>0.70977000000000001</v>
      </c>
      <c r="M253" s="257">
        <v>0.68837000000000004</v>
      </c>
      <c r="N253" s="257">
        <v>0.69203999999999999</v>
      </c>
      <c r="O253" s="257">
        <v>0.69203999999999999</v>
      </c>
      <c r="P253" s="257">
        <v>0</v>
      </c>
    </row>
    <row r="254" spans="10:16" x14ac:dyDescent="0.2">
      <c r="J254" s="258">
        <v>39713</v>
      </c>
      <c r="K254" s="257">
        <v>0.69189999999999996</v>
      </c>
      <c r="L254" s="257">
        <v>0.70338000000000001</v>
      </c>
      <c r="M254" s="257">
        <v>0.67308000000000001</v>
      </c>
      <c r="N254" s="257">
        <v>0.68762000000000001</v>
      </c>
      <c r="O254" s="257">
        <v>0.68762000000000001</v>
      </c>
      <c r="P254" s="257">
        <v>0</v>
      </c>
    </row>
    <row r="255" spans="10:16" x14ac:dyDescent="0.2">
      <c r="J255" s="258">
        <v>39720</v>
      </c>
      <c r="K255" s="257">
        <v>0.68737999999999999</v>
      </c>
      <c r="L255" s="257">
        <v>0.73384000000000005</v>
      </c>
      <c r="M255" s="257">
        <v>0.68679999999999997</v>
      </c>
      <c r="N255" s="257">
        <v>0.73216999999999999</v>
      </c>
      <c r="O255" s="257">
        <v>0.73216999999999999</v>
      </c>
      <c r="P255" s="257">
        <v>0</v>
      </c>
    </row>
    <row r="256" spans="10:16" x14ac:dyDescent="0.2">
      <c r="J256" s="258">
        <v>39727</v>
      </c>
      <c r="K256" s="257">
        <v>0.73258999999999996</v>
      </c>
      <c r="L256" s="257">
        <v>0.75283999999999995</v>
      </c>
      <c r="M256" s="257">
        <v>0.66444999999999999</v>
      </c>
      <c r="N256" s="257">
        <v>0.73443000000000003</v>
      </c>
      <c r="O256" s="257">
        <v>0.73443000000000003</v>
      </c>
      <c r="P256" s="257">
        <v>0</v>
      </c>
    </row>
    <row r="257" spans="10:16" x14ac:dyDescent="0.2">
      <c r="J257" s="258">
        <v>39734</v>
      </c>
      <c r="K257" s="257">
        <v>0.73431999999999997</v>
      </c>
      <c r="L257" s="257">
        <v>0.74861999999999995</v>
      </c>
      <c r="M257" s="257">
        <v>0.72668999999999995</v>
      </c>
      <c r="N257" s="257">
        <v>0.74592999999999998</v>
      </c>
      <c r="O257" s="257">
        <v>0.74592999999999998</v>
      </c>
      <c r="P257" s="257">
        <v>0</v>
      </c>
    </row>
    <row r="258" spans="10:16" x14ac:dyDescent="0.2">
      <c r="J258" s="258">
        <v>39741</v>
      </c>
      <c r="K258" s="257">
        <v>0.74599000000000004</v>
      </c>
      <c r="L258" s="257">
        <v>0.79967999999999995</v>
      </c>
      <c r="M258" s="257">
        <v>0.73926999999999998</v>
      </c>
      <c r="N258" s="257">
        <v>0.79264000000000001</v>
      </c>
      <c r="O258" s="257">
        <v>0.79264000000000001</v>
      </c>
      <c r="P258" s="257">
        <v>0</v>
      </c>
    </row>
    <row r="259" spans="10:16" x14ac:dyDescent="0.2">
      <c r="J259" s="258">
        <v>39748</v>
      </c>
      <c r="K259" s="257">
        <v>0.79125999999999996</v>
      </c>
      <c r="L259" s="257">
        <v>0.81018000000000001</v>
      </c>
      <c r="M259" s="257">
        <v>0.75380999999999998</v>
      </c>
      <c r="N259" s="257">
        <v>0.78297000000000005</v>
      </c>
      <c r="O259" s="257">
        <v>0.78297000000000005</v>
      </c>
      <c r="P259" s="257">
        <v>0</v>
      </c>
    </row>
    <row r="260" spans="10:16" x14ac:dyDescent="0.2">
      <c r="J260" s="258">
        <v>39755</v>
      </c>
      <c r="K260" s="257">
        <v>0.78278000000000003</v>
      </c>
      <c r="L260" s="257">
        <v>0.79806999999999995</v>
      </c>
      <c r="M260" s="257">
        <v>0.66303999999999996</v>
      </c>
      <c r="N260" s="257">
        <v>0.77971000000000001</v>
      </c>
      <c r="O260" s="257">
        <v>0.77971000000000001</v>
      </c>
      <c r="P260" s="257">
        <v>0</v>
      </c>
    </row>
    <row r="261" spans="10:16" x14ac:dyDescent="0.2">
      <c r="J261" s="258">
        <v>39762</v>
      </c>
      <c r="K261" s="257">
        <v>0.77973999999999999</v>
      </c>
      <c r="L261" s="257">
        <v>0.80639000000000005</v>
      </c>
      <c r="M261" s="257">
        <v>0.77363000000000004</v>
      </c>
      <c r="N261" s="257">
        <v>0.7984</v>
      </c>
      <c r="O261" s="257">
        <v>0.7984</v>
      </c>
      <c r="P261" s="257">
        <v>0</v>
      </c>
    </row>
    <row r="262" spans="10:16" x14ac:dyDescent="0.2">
      <c r="J262" s="258">
        <v>39769</v>
      </c>
      <c r="K262" s="257">
        <v>0.79815000000000003</v>
      </c>
      <c r="L262" s="257">
        <v>0.80425000000000002</v>
      </c>
      <c r="M262" s="257">
        <v>0.78136000000000005</v>
      </c>
      <c r="N262" s="257">
        <v>0.79076000000000002</v>
      </c>
      <c r="O262" s="257">
        <v>0.79076000000000002</v>
      </c>
      <c r="P262" s="257">
        <v>0</v>
      </c>
    </row>
    <row r="263" spans="10:16" x14ac:dyDescent="0.2">
      <c r="J263" s="258">
        <v>39776</v>
      </c>
      <c r="K263" s="257">
        <v>0.79129000000000005</v>
      </c>
      <c r="L263" s="257">
        <v>0.79542999999999997</v>
      </c>
      <c r="M263" s="257">
        <v>0.76487000000000005</v>
      </c>
      <c r="N263" s="257">
        <v>0.78895000000000004</v>
      </c>
      <c r="O263" s="257">
        <v>0.78895000000000004</v>
      </c>
      <c r="P263" s="257">
        <v>0</v>
      </c>
    </row>
    <row r="264" spans="10:16" x14ac:dyDescent="0.2">
      <c r="J264" s="258">
        <v>39783</v>
      </c>
      <c r="K264" s="257">
        <v>0.78895000000000004</v>
      </c>
      <c r="L264" s="257">
        <v>0.79598999999999998</v>
      </c>
      <c r="M264" s="257">
        <v>0.77868999999999999</v>
      </c>
      <c r="N264" s="257">
        <v>0.78542000000000001</v>
      </c>
      <c r="O264" s="257">
        <v>0.78542000000000001</v>
      </c>
      <c r="P264" s="257">
        <v>0</v>
      </c>
    </row>
    <row r="265" spans="10:16" x14ac:dyDescent="0.2">
      <c r="J265" s="258">
        <v>39790</v>
      </c>
      <c r="K265" s="257">
        <v>0.67118999999999995</v>
      </c>
      <c r="L265" s="257">
        <v>0.78069999999999995</v>
      </c>
      <c r="M265" s="257">
        <v>0.66827000000000003</v>
      </c>
      <c r="N265" s="257">
        <v>0.74377000000000004</v>
      </c>
      <c r="O265" s="257">
        <v>0.74377000000000004</v>
      </c>
      <c r="P265" s="257">
        <v>0</v>
      </c>
    </row>
    <row r="266" spans="10:16" x14ac:dyDescent="0.2">
      <c r="J266" s="258">
        <v>39797</v>
      </c>
      <c r="K266" s="257">
        <v>0.74404999999999999</v>
      </c>
      <c r="L266" s="257">
        <v>0.74426999999999999</v>
      </c>
      <c r="M266" s="257">
        <v>0.68120000000000003</v>
      </c>
      <c r="N266" s="257">
        <v>0.71572000000000002</v>
      </c>
      <c r="O266" s="257">
        <v>0.71572000000000002</v>
      </c>
      <c r="P266" s="257">
        <v>0</v>
      </c>
    </row>
    <row r="267" spans="10:16" x14ac:dyDescent="0.2">
      <c r="J267" s="258">
        <v>39804</v>
      </c>
      <c r="K267" s="257">
        <v>0.71531</v>
      </c>
      <c r="L267" s="257">
        <v>0.71860000000000002</v>
      </c>
      <c r="M267" s="257">
        <v>0.70721000000000001</v>
      </c>
      <c r="N267" s="257">
        <v>0.70891999999999999</v>
      </c>
      <c r="O267" s="257">
        <v>0.70891999999999999</v>
      </c>
      <c r="P267" s="257">
        <v>0</v>
      </c>
    </row>
    <row r="268" spans="10:16" x14ac:dyDescent="0.2">
      <c r="J268" s="258">
        <v>39811</v>
      </c>
      <c r="K268" s="257">
        <v>0.70891999999999999</v>
      </c>
      <c r="L268" s="257">
        <v>0.72238999999999998</v>
      </c>
      <c r="M268" s="257">
        <v>0.69638</v>
      </c>
      <c r="N268" s="257">
        <v>0.71643999999999997</v>
      </c>
      <c r="O268" s="257">
        <v>0.71643999999999997</v>
      </c>
      <c r="P268" s="257">
        <v>0</v>
      </c>
    </row>
    <row r="269" spans="10:16" x14ac:dyDescent="0.2">
      <c r="J269" s="258">
        <v>39818</v>
      </c>
      <c r="K269" s="257">
        <v>0.71643999999999997</v>
      </c>
      <c r="L269" s="257">
        <v>0.75085999999999997</v>
      </c>
      <c r="M269" s="257">
        <v>0.71643999999999997</v>
      </c>
      <c r="N269" s="257">
        <v>0.74534999999999996</v>
      </c>
      <c r="O269" s="257">
        <v>0.74534999999999996</v>
      </c>
      <c r="P269" s="257">
        <v>0</v>
      </c>
    </row>
    <row r="270" spans="10:16" x14ac:dyDescent="0.2">
      <c r="J270" s="258">
        <v>39825</v>
      </c>
      <c r="K270" s="257">
        <v>0.74477000000000004</v>
      </c>
      <c r="L270" s="257">
        <v>0.76668999999999998</v>
      </c>
      <c r="M270" s="257">
        <v>0.74382999999999999</v>
      </c>
      <c r="N270" s="257">
        <v>0.74829999999999997</v>
      </c>
      <c r="O270" s="257">
        <v>0.74829999999999997</v>
      </c>
      <c r="P270" s="257">
        <v>0</v>
      </c>
    </row>
    <row r="271" spans="10:16" x14ac:dyDescent="0.2">
      <c r="J271" s="258">
        <v>39832</v>
      </c>
      <c r="K271" s="257">
        <v>0.74861999999999995</v>
      </c>
      <c r="L271" s="257">
        <v>0.78271999999999997</v>
      </c>
      <c r="M271" s="257">
        <v>0.74758999999999998</v>
      </c>
      <c r="N271" s="257">
        <v>0.77507000000000004</v>
      </c>
      <c r="O271" s="257">
        <v>0.77507000000000004</v>
      </c>
      <c r="P271" s="257">
        <v>0</v>
      </c>
    </row>
    <row r="272" spans="10:16" x14ac:dyDescent="0.2">
      <c r="J272" s="258">
        <v>39839</v>
      </c>
      <c r="K272" s="257">
        <v>0.77507000000000004</v>
      </c>
      <c r="L272" s="257">
        <v>0.78432000000000002</v>
      </c>
      <c r="M272" s="257">
        <v>0.75102999999999998</v>
      </c>
      <c r="N272" s="257">
        <v>0.78419000000000005</v>
      </c>
      <c r="O272" s="257">
        <v>0.78419000000000005</v>
      </c>
      <c r="P272" s="257">
        <v>0</v>
      </c>
    </row>
    <row r="273" spans="10:16" x14ac:dyDescent="0.2">
      <c r="J273" s="258">
        <v>39846</v>
      </c>
      <c r="K273" s="257">
        <v>0.78407000000000004</v>
      </c>
      <c r="L273" s="257">
        <v>0.78678000000000003</v>
      </c>
      <c r="M273" s="257">
        <v>0.76527000000000001</v>
      </c>
      <c r="N273" s="257">
        <v>0.77156000000000002</v>
      </c>
      <c r="O273" s="257">
        <v>0.77156000000000002</v>
      </c>
      <c r="P273" s="257">
        <v>0</v>
      </c>
    </row>
    <row r="274" spans="10:16" x14ac:dyDescent="0.2">
      <c r="J274" s="258">
        <v>39853</v>
      </c>
      <c r="K274" s="257">
        <v>0.77154999999999996</v>
      </c>
      <c r="L274" s="257">
        <v>0.78547999999999996</v>
      </c>
      <c r="M274" s="257">
        <v>0.76429000000000002</v>
      </c>
      <c r="N274" s="257">
        <v>0.78180000000000005</v>
      </c>
      <c r="O274" s="257">
        <v>0.78180000000000005</v>
      </c>
      <c r="P274" s="257">
        <v>0</v>
      </c>
    </row>
    <row r="275" spans="10:16" x14ac:dyDescent="0.2">
      <c r="J275" s="258">
        <v>39860</v>
      </c>
      <c r="K275" s="257">
        <v>0.78161999999999998</v>
      </c>
      <c r="L275" s="257">
        <v>0.79861000000000004</v>
      </c>
      <c r="M275" s="257">
        <v>0.77322000000000002</v>
      </c>
      <c r="N275" s="257">
        <v>0.78149000000000002</v>
      </c>
      <c r="O275" s="257">
        <v>0.78149000000000002</v>
      </c>
      <c r="P275" s="257">
        <v>0</v>
      </c>
    </row>
    <row r="276" spans="10:16" x14ac:dyDescent="0.2">
      <c r="J276" s="258">
        <v>39867</v>
      </c>
      <c r="K276" s="257">
        <v>0.78180000000000005</v>
      </c>
      <c r="L276" s="257">
        <v>0.79415999999999998</v>
      </c>
      <c r="M276" s="257">
        <v>0.77012000000000003</v>
      </c>
      <c r="N276" s="257">
        <v>0.79390000000000005</v>
      </c>
      <c r="O276" s="257">
        <v>0.79390000000000005</v>
      </c>
      <c r="P276" s="257">
        <v>0</v>
      </c>
    </row>
    <row r="277" spans="10:16" x14ac:dyDescent="0.2">
      <c r="J277" s="258">
        <v>39874</v>
      </c>
      <c r="K277" s="257">
        <v>0.79376000000000002</v>
      </c>
      <c r="L277" s="257">
        <v>0.80198999999999998</v>
      </c>
      <c r="M277" s="257">
        <v>0.78486999999999996</v>
      </c>
      <c r="N277" s="257">
        <v>0.78632999999999997</v>
      </c>
      <c r="O277" s="257">
        <v>0.78632999999999997</v>
      </c>
      <c r="P277" s="257">
        <v>0</v>
      </c>
    </row>
    <row r="278" spans="10:16" x14ac:dyDescent="0.2">
      <c r="J278" s="258">
        <v>39881</v>
      </c>
      <c r="K278" s="257">
        <v>0.78634999999999999</v>
      </c>
      <c r="L278" s="257">
        <v>0.79618</v>
      </c>
      <c r="M278" s="257">
        <v>0.77193999999999996</v>
      </c>
      <c r="N278" s="257">
        <v>0.77617000000000003</v>
      </c>
      <c r="O278" s="257">
        <v>0.77617000000000003</v>
      </c>
      <c r="P278" s="257">
        <v>0</v>
      </c>
    </row>
    <row r="279" spans="10:16" x14ac:dyDescent="0.2">
      <c r="J279" s="258">
        <v>39888</v>
      </c>
      <c r="K279" s="257">
        <v>0.77602000000000004</v>
      </c>
      <c r="L279" s="257">
        <v>0.77688000000000001</v>
      </c>
      <c r="M279" s="257">
        <v>0.72823000000000004</v>
      </c>
      <c r="N279" s="257">
        <v>0.73377999999999999</v>
      </c>
      <c r="O279" s="257">
        <v>0.73377999999999999</v>
      </c>
      <c r="P279" s="257">
        <v>0</v>
      </c>
    </row>
    <row r="280" spans="10:16" x14ac:dyDescent="0.2">
      <c r="J280" s="258">
        <v>39895</v>
      </c>
      <c r="K280" s="257">
        <v>0.73377000000000003</v>
      </c>
      <c r="L280" s="257">
        <v>0.75653999999999999</v>
      </c>
      <c r="M280" s="257">
        <v>0.72838999999999998</v>
      </c>
      <c r="N280" s="257">
        <v>0.75322999999999996</v>
      </c>
      <c r="O280" s="257">
        <v>0.75322999999999996</v>
      </c>
      <c r="P280" s="257">
        <v>0</v>
      </c>
    </row>
    <row r="281" spans="10:16" x14ac:dyDescent="0.2">
      <c r="J281" s="258">
        <v>39902</v>
      </c>
      <c r="K281" s="257">
        <v>0.75392000000000003</v>
      </c>
      <c r="L281" s="257">
        <v>0.76195999999999997</v>
      </c>
      <c r="M281" s="257">
        <v>0.7379</v>
      </c>
      <c r="N281" s="257">
        <v>0.73899000000000004</v>
      </c>
      <c r="O281" s="257">
        <v>0.73899000000000004</v>
      </c>
      <c r="P281" s="257">
        <v>0</v>
      </c>
    </row>
    <row r="282" spans="10:16" x14ac:dyDescent="0.2">
      <c r="J282" s="258">
        <v>39909</v>
      </c>
      <c r="K282" s="257">
        <v>0.73926000000000003</v>
      </c>
      <c r="L282" s="257">
        <v>0.76326000000000005</v>
      </c>
      <c r="M282" s="257">
        <v>0.73648999999999998</v>
      </c>
      <c r="N282" s="257">
        <v>0.75863000000000003</v>
      </c>
      <c r="O282" s="257">
        <v>0.75863000000000003</v>
      </c>
      <c r="P282" s="257">
        <v>0</v>
      </c>
    </row>
    <row r="283" spans="10:16" x14ac:dyDescent="0.2">
      <c r="J283" s="258">
        <v>39916</v>
      </c>
      <c r="K283" s="257">
        <v>0.75865000000000005</v>
      </c>
      <c r="L283" s="257">
        <v>0.79706999999999995</v>
      </c>
      <c r="M283" s="257">
        <v>0.74670999999999998</v>
      </c>
      <c r="N283" s="257">
        <v>0.76659999999999995</v>
      </c>
      <c r="O283" s="257">
        <v>0.76659999999999995</v>
      </c>
      <c r="P283" s="257">
        <v>0</v>
      </c>
    </row>
    <row r="284" spans="10:16" x14ac:dyDescent="0.2">
      <c r="J284" s="258">
        <v>39923</v>
      </c>
      <c r="K284" s="257">
        <v>0.76639000000000002</v>
      </c>
      <c r="L284" s="257">
        <v>0.77514000000000005</v>
      </c>
      <c r="M284" s="257">
        <v>0.75194000000000005</v>
      </c>
      <c r="N284" s="257">
        <v>0.75609000000000004</v>
      </c>
      <c r="O284" s="257">
        <v>0.75609000000000004</v>
      </c>
      <c r="P284" s="257">
        <v>0</v>
      </c>
    </row>
    <row r="285" spans="10:16" x14ac:dyDescent="0.2">
      <c r="J285" s="258">
        <v>39930</v>
      </c>
      <c r="K285" s="257">
        <v>0.75614000000000003</v>
      </c>
      <c r="L285" s="257">
        <v>0.77087000000000006</v>
      </c>
      <c r="M285" s="257">
        <v>0.74726999999999999</v>
      </c>
      <c r="N285" s="257">
        <v>0.75324000000000002</v>
      </c>
      <c r="O285" s="257">
        <v>0.75324000000000002</v>
      </c>
      <c r="P285" s="257">
        <v>0</v>
      </c>
    </row>
    <row r="286" spans="10:16" x14ac:dyDescent="0.2">
      <c r="J286" s="258">
        <v>39937</v>
      </c>
      <c r="K286" s="257">
        <v>0.75285000000000002</v>
      </c>
      <c r="L286" s="257">
        <v>0.75671999999999995</v>
      </c>
      <c r="M286" s="257">
        <v>0.73163999999999996</v>
      </c>
      <c r="N286" s="257">
        <v>0.73416000000000003</v>
      </c>
      <c r="O286" s="257">
        <v>0.73416000000000003</v>
      </c>
      <c r="P286" s="257">
        <v>0</v>
      </c>
    </row>
    <row r="287" spans="10:16" x14ac:dyDescent="0.2">
      <c r="J287" s="258">
        <v>39944</v>
      </c>
      <c r="K287" s="257">
        <v>0.73399999999999999</v>
      </c>
      <c r="L287" s="257">
        <v>0.74321999999999999</v>
      </c>
      <c r="M287" s="257">
        <v>0.72880999999999996</v>
      </c>
      <c r="N287" s="257">
        <v>0.74197000000000002</v>
      </c>
      <c r="O287" s="257">
        <v>0.74197000000000002</v>
      </c>
      <c r="P287" s="257">
        <v>0</v>
      </c>
    </row>
    <row r="288" spans="10:16" x14ac:dyDescent="0.2">
      <c r="J288" s="258">
        <v>39951</v>
      </c>
      <c r="K288" s="257">
        <v>0.74177000000000004</v>
      </c>
      <c r="L288" s="257">
        <v>0.74470999999999998</v>
      </c>
      <c r="M288" s="257">
        <v>0.71174000000000004</v>
      </c>
      <c r="N288" s="257">
        <v>0.71296000000000004</v>
      </c>
      <c r="O288" s="257">
        <v>0.71296000000000004</v>
      </c>
      <c r="P288" s="257">
        <v>0</v>
      </c>
    </row>
    <row r="289" spans="10:16" x14ac:dyDescent="0.2">
      <c r="J289" s="258">
        <v>39958</v>
      </c>
      <c r="K289" s="257">
        <v>0.71304999999999996</v>
      </c>
      <c r="L289" s="257">
        <v>0.72484999999999999</v>
      </c>
      <c r="M289" s="257">
        <v>0.70572000000000001</v>
      </c>
      <c r="N289" s="257">
        <v>0.70816999999999997</v>
      </c>
      <c r="O289" s="257">
        <v>0.70816999999999997</v>
      </c>
      <c r="P289" s="257">
        <v>0</v>
      </c>
    </row>
    <row r="290" spans="10:16" x14ac:dyDescent="0.2">
      <c r="J290" s="258">
        <v>39965</v>
      </c>
      <c r="K290" s="257">
        <v>0.70826999999999996</v>
      </c>
      <c r="L290" s="257">
        <v>0.71787999999999996</v>
      </c>
      <c r="M290" s="257">
        <v>0.69750000000000001</v>
      </c>
      <c r="N290" s="257">
        <v>0.71745999999999999</v>
      </c>
      <c r="O290" s="257">
        <v>0.71745999999999999</v>
      </c>
      <c r="P290" s="257">
        <v>0</v>
      </c>
    </row>
    <row r="291" spans="10:16" x14ac:dyDescent="0.2">
      <c r="J291" s="258">
        <v>39972</v>
      </c>
      <c r="K291" s="257">
        <v>0.71736999999999995</v>
      </c>
      <c r="L291" s="257">
        <v>0.72406999999999999</v>
      </c>
      <c r="M291" s="257">
        <v>0.70547000000000004</v>
      </c>
      <c r="N291" s="257">
        <v>0.71504999999999996</v>
      </c>
      <c r="O291" s="257">
        <v>0.71504999999999996</v>
      </c>
      <c r="P291" s="257">
        <v>0</v>
      </c>
    </row>
    <row r="292" spans="10:16" x14ac:dyDescent="0.2">
      <c r="J292" s="258">
        <v>39979</v>
      </c>
      <c r="K292" s="257">
        <v>0.71501999999999999</v>
      </c>
      <c r="L292" s="257">
        <v>0.72716999999999998</v>
      </c>
      <c r="M292" s="257">
        <v>0.71418000000000004</v>
      </c>
      <c r="N292" s="257">
        <v>0.71726999999999996</v>
      </c>
      <c r="O292" s="257">
        <v>0.71726999999999996</v>
      </c>
      <c r="P292" s="257">
        <v>0</v>
      </c>
    </row>
    <row r="293" spans="10:16" x14ac:dyDescent="0.2">
      <c r="J293" s="258">
        <v>39986</v>
      </c>
      <c r="K293" s="257">
        <v>0.71745000000000003</v>
      </c>
      <c r="L293" s="257">
        <v>0.72306000000000004</v>
      </c>
      <c r="M293" s="257">
        <v>0.70730999999999999</v>
      </c>
      <c r="N293" s="257">
        <v>0.71104000000000001</v>
      </c>
      <c r="O293" s="257">
        <v>0.71104000000000001</v>
      </c>
      <c r="P293" s="257">
        <v>0</v>
      </c>
    </row>
    <row r="294" spans="10:16" x14ac:dyDescent="0.2">
      <c r="J294" s="258">
        <v>39993</v>
      </c>
      <c r="K294" s="257">
        <v>0.71113000000000004</v>
      </c>
      <c r="L294" s="257">
        <v>0.71758999999999995</v>
      </c>
      <c r="M294" s="257">
        <v>0.70423000000000002</v>
      </c>
      <c r="N294" s="257">
        <v>0.71638000000000002</v>
      </c>
      <c r="O294" s="257">
        <v>0.71638000000000002</v>
      </c>
      <c r="P294" s="257">
        <v>0</v>
      </c>
    </row>
    <row r="295" spans="10:16" x14ac:dyDescent="0.2">
      <c r="J295" s="258">
        <v>40000</v>
      </c>
      <c r="K295" s="257">
        <v>0.71643999999999997</v>
      </c>
      <c r="L295" s="257">
        <v>0.7228</v>
      </c>
      <c r="M295" s="257">
        <v>0.71079999999999999</v>
      </c>
      <c r="N295" s="257">
        <v>0.71582000000000001</v>
      </c>
      <c r="O295" s="257">
        <v>0.71582000000000001</v>
      </c>
      <c r="P295" s="257">
        <v>0</v>
      </c>
    </row>
    <row r="296" spans="10:16" x14ac:dyDescent="0.2">
      <c r="J296" s="258">
        <v>40007</v>
      </c>
      <c r="K296" s="257">
        <v>0.71587000000000001</v>
      </c>
      <c r="L296" s="257">
        <v>0.71924999999999994</v>
      </c>
      <c r="M296" s="257">
        <v>0.70616000000000001</v>
      </c>
      <c r="N296" s="257">
        <v>0.70735999999999999</v>
      </c>
      <c r="O296" s="257">
        <v>0.70735999999999999</v>
      </c>
      <c r="P296" s="257">
        <v>0</v>
      </c>
    </row>
    <row r="297" spans="10:16" x14ac:dyDescent="0.2">
      <c r="J297" s="258">
        <v>40014</v>
      </c>
      <c r="K297" s="257">
        <v>0.70289000000000001</v>
      </c>
      <c r="L297" s="257">
        <v>0.70616000000000001</v>
      </c>
      <c r="M297" s="257">
        <v>0.70279000000000003</v>
      </c>
      <c r="N297" s="257">
        <v>0.70442000000000005</v>
      </c>
      <c r="O297" s="257">
        <v>0.70442000000000005</v>
      </c>
      <c r="P297" s="257">
        <v>0</v>
      </c>
    </row>
    <row r="298" spans="10:16" x14ac:dyDescent="0.2">
      <c r="J298" s="258">
        <v>40021</v>
      </c>
      <c r="K298" s="257">
        <v>0.70211999999999997</v>
      </c>
      <c r="L298" s="257">
        <v>0.71365000000000001</v>
      </c>
      <c r="M298" s="257">
        <v>0.69886000000000004</v>
      </c>
      <c r="N298" s="257">
        <v>0.69977</v>
      </c>
      <c r="O298" s="257">
        <v>0.69977</v>
      </c>
      <c r="P298" s="257">
        <v>0</v>
      </c>
    </row>
    <row r="299" spans="10:16" x14ac:dyDescent="0.2">
      <c r="J299" s="258">
        <v>40028</v>
      </c>
      <c r="K299" s="257">
        <v>0.69357999999999997</v>
      </c>
      <c r="L299" s="257">
        <v>0.70572000000000001</v>
      </c>
      <c r="M299" s="257">
        <v>0.69337000000000004</v>
      </c>
      <c r="N299" s="257">
        <v>0.70467000000000002</v>
      </c>
      <c r="O299" s="257">
        <v>0.70467000000000002</v>
      </c>
      <c r="P299" s="257">
        <v>0</v>
      </c>
    </row>
    <row r="300" spans="10:16" x14ac:dyDescent="0.2">
      <c r="J300" s="258">
        <v>40035</v>
      </c>
      <c r="K300" s="257">
        <v>0.70733000000000001</v>
      </c>
      <c r="L300" s="257">
        <v>0.70782999999999996</v>
      </c>
      <c r="M300" s="257">
        <v>0.69993000000000005</v>
      </c>
      <c r="N300" s="257">
        <v>0.70557000000000003</v>
      </c>
      <c r="O300" s="257">
        <v>0.70557000000000003</v>
      </c>
      <c r="P300" s="257">
        <v>0</v>
      </c>
    </row>
    <row r="301" spans="10:16" x14ac:dyDescent="0.2">
      <c r="J301" s="258">
        <v>40042</v>
      </c>
      <c r="K301" s="257">
        <v>0.71013000000000004</v>
      </c>
      <c r="L301" s="257">
        <v>0.71013000000000004</v>
      </c>
      <c r="M301" s="257">
        <v>0.69701000000000002</v>
      </c>
      <c r="N301" s="257">
        <v>0.69735000000000003</v>
      </c>
      <c r="O301" s="257">
        <v>0.69735000000000003</v>
      </c>
      <c r="P301" s="257">
        <v>0</v>
      </c>
    </row>
    <row r="302" spans="10:16" x14ac:dyDescent="0.2">
      <c r="J302" s="258">
        <v>40049</v>
      </c>
      <c r="K302" s="257">
        <v>0.69964000000000004</v>
      </c>
      <c r="L302" s="257">
        <v>0.70243999999999995</v>
      </c>
      <c r="M302" s="257">
        <v>0.69555999999999996</v>
      </c>
      <c r="N302" s="257">
        <v>0.69906000000000001</v>
      </c>
      <c r="O302" s="257">
        <v>0.69906000000000001</v>
      </c>
      <c r="P302" s="257">
        <v>0</v>
      </c>
    </row>
    <row r="303" spans="10:16" x14ac:dyDescent="0.2">
      <c r="J303" s="258">
        <v>40056</v>
      </c>
      <c r="K303" s="257">
        <v>0.69745000000000001</v>
      </c>
      <c r="L303" s="257">
        <v>0.70406999999999997</v>
      </c>
      <c r="M303" s="257">
        <v>0.69713999999999998</v>
      </c>
      <c r="N303" s="257">
        <v>0.69823000000000002</v>
      </c>
      <c r="O303" s="257">
        <v>0.69823000000000002</v>
      </c>
      <c r="P303" s="257">
        <v>0</v>
      </c>
    </row>
    <row r="304" spans="10:16" x14ac:dyDescent="0.2">
      <c r="J304" s="258">
        <v>40063</v>
      </c>
      <c r="K304" s="257">
        <v>0.69750000000000001</v>
      </c>
      <c r="L304" s="257">
        <v>0.69774000000000003</v>
      </c>
      <c r="M304" s="257">
        <v>0.68520999999999999</v>
      </c>
      <c r="N304" s="257">
        <v>0.68593999999999999</v>
      </c>
      <c r="O304" s="257">
        <v>0.68593999999999999</v>
      </c>
      <c r="P304" s="257">
        <v>0</v>
      </c>
    </row>
    <row r="305" spans="10:16" x14ac:dyDescent="0.2">
      <c r="J305" s="258">
        <v>40070</v>
      </c>
      <c r="K305" s="257">
        <v>0.68320999999999998</v>
      </c>
      <c r="L305" s="257">
        <v>0.68372999999999995</v>
      </c>
      <c r="M305" s="257">
        <v>0.67823999999999995</v>
      </c>
      <c r="N305" s="257">
        <v>0.67998999999999998</v>
      </c>
      <c r="O305" s="257">
        <v>0.67998999999999998</v>
      </c>
      <c r="P305" s="257">
        <v>0</v>
      </c>
    </row>
    <row r="306" spans="10:16" x14ac:dyDescent="0.2">
      <c r="J306" s="258">
        <v>40077</v>
      </c>
      <c r="K306" s="257">
        <v>0.68096999999999996</v>
      </c>
      <c r="L306" s="257">
        <v>0.68362000000000001</v>
      </c>
      <c r="M306" s="257">
        <v>0.67396999999999996</v>
      </c>
      <c r="N306" s="257">
        <v>0.67971999999999999</v>
      </c>
      <c r="O306" s="257">
        <v>0.67971999999999999</v>
      </c>
      <c r="P306" s="257">
        <v>0</v>
      </c>
    </row>
    <row r="307" spans="10:16" x14ac:dyDescent="0.2">
      <c r="J307" s="258">
        <v>40084</v>
      </c>
      <c r="K307" s="257">
        <v>0.68359999999999999</v>
      </c>
      <c r="L307" s="257">
        <v>0.68899999999999995</v>
      </c>
      <c r="M307" s="257">
        <v>0.68227000000000004</v>
      </c>
      <c r="N307" s="257">
        <v>0.68493000000000004</v>
      </c>
      <c r="O307" s="257">
        <v>0.68493000000000004</v>
      </c>
      <c r="P307" s="257">
        <v>0</v>
      </c>
    </row>
    <row r="308" spans="10:16" x14ac:dyDescent="0.2">
      <c r="J308" s="258">
        <v>40091</v>
      </c>
      <c r="K308" s="257">
        <v>0.68259999999999998</v>
      </c>
      <c r="L308" s="257">
        <v>0.68259999999999998</v>
      </c>
      <c r="M308" s="257">
        <v>0.67640999999999996</v>
      </c>
      <c r="N308" s="257">
        <v>0.67898000000000003</v>
      </c>
      <c r="O308" s="257">
        <v>0.67898000000000003</v>
      </c>
      <c r="P308" s="257">
        <v>0</v>
      </c>
    </row>
    <row r="309" spans="10:16" x14ac:dyDescent="0.2">
      <c r="J309" s="258">
        <v>40098</v>
      </c>
      <c r="K309" s="257">
        <v>0.67642999999999998</v>
      </c>
      <c r="L309" s="257">
        <v>0.67642999999999998</v>
      </c>
      <c r="M309" s="257">
        <v>0.66854000000000002</v>
      </c>
      <c r="N309" s="257">
        <v>0.67140999999999995</v>
      </c>
      <c r="O309" s="257">
        <v>0.67140999999999995</v>
      </c>
      <c r="P309" s="257">
        <v>0</v>
      </c>
    </row>
    <row r="310" spans="10:16" x14ac:dyDescent="0.2">
      <c r="J310" s="258">
        <v>40105</v>
      </c>
      <c r="K310" s="257">
        <v>0.66827000000000003</v>
      </c>
      <c r="L310" s="257">
        <v>0.67003999999999997</v>
      </c>
      <c r="M310" s="257">
        <v>0.66471999999999998</v>
      </c>
      <c r="N310" s="257">
        <v>0.66693000000000002</v>
      </c>
      <c r="O310" s="257">
        <v>0.66693000000000002</v>
      </c>
      <c r="P310" s="257">
        <v>0</v>
      </c>
    </row>
    <row r="311" spans="10:16" x14ac:dyDescent="0.2">
      <c r="J311" s="258">
        <v>40112</v>
      </c>
      <c r="K311" s="257">
        <v>0.66688999999999998</v>
      </c>
      <c r="L311" s="257">
        <v>0.68086999999999998</v>
      </c>
      <c r="M311" s="257">
        <v>0.66405000000000003</v>
      </c>
      <c r="N311" s="257">
        <v>0.67989999999999995</v>
      </c>
      <c r="O311" s="257">
        <v>0.67989999999999995</v>
      </c>
      <c r="P311" s="257">
        <v>0</v>
      </c>
    </row>
    <row r="312" spans="10:16" x14ac:dyDescent="0.2">
      <c r="J312" s="258">
        <v>40119</v>
      </c>
      <c r="K312" s="257">
        <v>0.67971999999999999</v>
      </c>
      <c r="L312" s="257">
        <v>0.68357000000000001</v>
      </c>
      <c r="M312" s="257">
        <v>0.67042000000000002</v>
      </c>
      <c r="N312" s="257">
        <v>0.67264000000000002</v>
      </c>
      <c r="O312" s="257">
        <v>0.67264000000000002</v>
      </c>
      <c r="P312" s="257">
        <v>0</v>
      </c>
    </row>
    <row r="313" spans="10:16" x14ac:dyDescent="0.2">
      <c r="J313" s="258">
        <v>40126</v>
      </c>
      <c r="K313" s="257">
        <v>0.67281000000000002</v>
      </c>
      <c r="L313" s="257">
        <v>0.67449999999999999</v>
      </c>
      <c r="M313" s="257">
        <v>0.66454000000000002</v>
      </c>
      <c r="N313" s="257">
        <v>0.66893000000000002</v>
      </c>
      <c r="O313" s="257">
        <v>0.66893000000000002</v>
      </c>
      <c r="P313" s="257">
        <v>0</v>
      </c>
    </row>
    <row r="314" spans="10:16" x14ac:dyDescent="0.2">
      <c r="J314" s="258">
        <v>40133</v>
      </c>
      <c r="K314" s="257">
        <v>0.66835999999999995</v>
      </c>
      <c r="L314" s="257">
        <v>0.67535999999999996</v>
      </c>
      <c r="M314" s="257">
        <v>0.66598000000000002</v>
      </c>
      <c r="N314" s="257">
        <v>0.67249000000000003</v>
      </c>
      <c r="O314" s="257">
        <v>0.67249000000000003</v>
      </c>
      <c r="P314" s="257">
        <v>0</v>
      </c>
    </row>
    <row r="315" spans="10:16" x14ac:dyDescent="0.2">
      <c r="J315" s="258">
        <v>40140</v>
      </c>
      <c r="K315" s="257">
        <v>0.6724</v>
      </c>
      <c r="L315" s="257">
        <v>0.67413000000000001</v>
      </c>
      <c r="M315" s="257">
        <v>0.66027000000000002</v>
      </c>
      <c r="N315" s="257">
        <v>0.66651000000000005</v>
      </c>
      <c r="O315" s="257">
        <v>0.66651000000000005</v>
      </c>
      <c r="P315" s="257">
        <v>0</v>
      </c>
    </row>
    <row r="316" spans="10:16" x14ac:dyDescent="0.2">
      <c r="J316" s="258">
        <v>40147</v>
      </c>
      <c r="K316" s="257">
        <v>0.66662999999999994</v>
      </c>
      <c r="L316" s="257">
        <v>0.67457999999999996</v>
      </c>
      <c r="M316" s="257">
        <v>0.66059999999999997</v>
      </c>
      <c r="N316" s="257">
        <v>0.67271999999999998</v>
      </c>
      <c r="O316" s="257">
        <v>0.67271999999999998</v>
      </c>
      <c r="P316" s="257">
        <v>0</v>
      </c>
    </row>
    <row r="317" spans="10:16" x14ac:dyDescent="0.2">
      <c r="J317" s="258">
        <v>40154</v>
      </c>
      <c r="K317" s="257">
        <v>0.67227999999999999</v>
      </c>
      <c r="L317" s="257">
        <v>0.68535000000000001</v>
      </c>
      <c r="M317" s="257">
        <v>0.67096</v>
      </c>
      <c r="N317" s="257">
        <v>0.68386000000000002</v>
      </c>
      <c r="O317" s="257">
        <v>0.68386000000000002</v>
      </c>
      <c r="P317" s="257">
        <v>0</v>
      </c>
    </row>
    <row r="318" spans="10:16" x14ac:dyDescent="0.2">
      <c r="J318" s="258">
        <v>40161</v>
      </c>
      <c r="K318" s="257">
        <v>0.68362000000000001</v>
      </c>
      <c r="L318" s="257">
        <v>0.70103000000000004</v>
      </c>
      <c r="M318" s="257">
        <v>0.68096999999999996</v>
      </c>
      <c r="N318" s="257">
        <v>0.69774000000000003</v>
      </c>
      <c r="O318" s="257">
        <v>0.69774000000000003</v>
      </c>
      <c r="P318" s="257">
        <v>0</v>
      </c>
    </row>
    <row r="319" spans="10:16" x14ac:dyDescent="0.2">
      <c r="J319" s="258">
        <v>40168</v>
      </c>
      <c r="K319" s="257">
        <v>0.69764000000000004</v>
      </c>
      <c r="L319" s="257">
        <v>0.70313999999999999</v>
      </c>
      <c r="M319" s="257">
        <v>0.69262000000000001</v>
      </c>
      <c r="N319" s="257">
        <v>0.69555999999999996</v>
      </c>
      <c r="O319" s="257">
        <v>0.69555999999999996</v>
      </c>
      <c r="P319" s="257">
        <v>0</v>
      </c>
    </row>
    <row r="320" spans="10:16" x14ac:dyDescent="0.2">
      <c r="J320" s="258">
        <v>40175</v>
      </c>
      <c r="K320" s="257">
        <v>0.69565999999999995</v>
      </c>
      <c r="L320" s="257">
        <v>0.70038</v>
      </c>
      <c r="M320" s="257">
        <v>0.69174999999999998</v>
      </c>
      <c r="N320" s="257">
        <v>0.69832000000000005</v>
      </c>
      <c r="O320" s="257">
        <v>0.69832000000000005</v>
      </c>
      <c r="P320" s="257">
        <v>0</v>
      </c>
    </row>
    <row r="321" spans="10:16" x14ac:dyDescent="0.2">
      <c r="J321" s="258">
        <v>40182</v>
      </c>
      <c r="K321" s="257">
        <v>0.69881000000000004</v>
      </c>
      <c r="L321" s="257">
        <v>0.70116000000000001</v>
      </c>
      <c r="M321" s="257">
        <v>0.69045999999999996</v>
      </c>
      <c r="N321" s="257">
        <v>0.69108000000000003</v>
      </c>
      <c r="O321" s="257">
        <v>0.69108000000000003</v>
      </c>
      <c r="P321" s="257">
        <v>0</v>
      </c>
    </row>
    <row r="322" spans="10:16" x14ac:dyDescent="0.2">
      <c r="J322" s="258">
        <v>40189</v>
      </c>
      <c r="K322" s="257">
        <v>0.69133</v>
      </c>
      <c r="L322" s="257">
        <v>0.69730000000000003</v>
      </c>
      <c r="M322" s="257">
        <v>0.68601000000000001</v>
      </c>
      <c r="N322" s="257">
        <v>0.69594</v>
      </c>
      <c r="O322" s="257">
        <v>0.69594</v>
      </c>
      <c r="P322" s="257">
        <v>0</v>
      </c>
    </row>
    <row r="323" spans="10:16" x14ac:dyDescent="0.2">
      <c r="J323" s="258">
        <v>40196</v>
      </c>
      <c r="K323" s="257">
        <v>0.69577999999999995</v>
      </c>
      <c r="L323" s="257">
        <v>0.71270999999999995</v>
      </c>
      <c r="M323" s="257">
        <v>0.69377</v>
      </c>
      <c r="N323" s="257">
        <v>0.70652000000000004</v>
      </c>
      <c r="O323" s="257">
        <v>0.70652000000000004</v>
      </c>
      <c r="P323" s="257">
        <v>0</v>
      </c>
    </row>
    <row r="324" spans="10:16" x14ac:dyDescent="0.2">
      <c r="J324" s="258">
        <v>40203</v>
      </c>
      <c r="K324" s="257">
        <v>0.70650999999999997</v>
      </c>
      <c r="L324" s="257">
        <v>0.72180999999999995</v>
      </c>
      <c r="M324" s="257">
        <v>0.70450999999999997</v>
      </c>
      <c r="N324" s="257">
        <v>0.72062000000000004</v>
      </c>
      <c r="O324" s="257">
        <v>0.72062000000000004</v>
      </c>
      <c r="P324" s="257">
        <v>0</v>
      </c>
    </row>
    <row r="325" spans="10:16" x14ac:dyDescent="0.2">
      <c r="J325" s="258">
        <v>40210</v>
      </c>
      <c r="K325" s="257">
        <v>0.72067000000000003</v>
      </c>
      <c r="L325" s="257">
        <v>0.73594000000000004</v>
      </c>
      <c r="M325" s="257">
        <v>0.71306000000000003</v>
      </c>
      <c r="N325" s="257">
        <v>0.73314000000000001</v>
      </c>
      <c r="O325" s="257">
        <v>0.73314000000000001</v>
      </c>
      <c r="P325" s="257">
        <v>0</v>
      </c>
    </row>
    <row r="326" spans="10:16" x14ac:dyDescent="0.2">
      <c r="J326" s="258">
        <v>40217</v>
      </c>
      <c r="K326" s="257">
        <v>0.73287000000000002</v>
      </c>
      <c r="L326" s="257">
        <v>0.73892999999999998</v>
      </c>
      <c r="M326" s="257">
        <v>0.72257000000000005</v>
      </c>
      <c r="N326" s="257">
        <v>0.73399000000000003</v>
      </c>
      <c r="O326" s="257">
        <v>0.73399000000000003</v>
      </c>
      <c r="P326" s="257">
        <v>0</v>
      </c>
    </row>
    <row r="327" spans="10:16" x14ac:dyDescent="0.2">
      <c r="J327" s="258">
        <v>40224</v>
      </c>
      <c r="K327" s="257">
        <v>0.73377999999999999</v>
      </c>
      <c r="L327" s="257">
        <v>0.74348000000000003</v>
      </c>
      <c r="M327" s="257">
        <v>0.72523000000000004</v>
      </c>
      <c r="N327" s="257">
        <v>0.73377999999999999</v>
      </c>
      <c r="O327" s="257">
        <v>0.73377999999999999</v>
      </c>
      <c r="P327" s="257">
        <v>0</v>
      </c>
    </row>
    <row r="328" spans="10:16" x14ac:dyDescent="0.2">
      <c r="J328" s="258">
        <v>40231</v>
      </c>
      <c r="K328" s="257">
        <v>0.73372999999999999</v>
      </c>
      <c r="L328" s="257">
        <v>0.74338000000000004</v>
      </c>
      <c r="M328" s="257">
        <v>0.73031999999999997</v>
      </c>
      <c r="N328" s="257">
        <v>0.73324999999999996</v>
      </c>
      <c r="O328" s="257">
        <v>0.73324999999999996</v>
      </c>
      <c r="P328" s="257">
        <v>0</v>
      </c>
    </row>
    <row r="329" spans="10:16" x14ac:dyDescent="0.2">
      <c r="J329" s="258">
        <v>40238</v>
      </c>
      <c r="K329" s="257">
        <v>0.73297999999999996</v>
      </c>
      <c r="L329" s="257">
        <v>0.74375999999999998</v>
      </c>
      <c r="M329" s="257">
        <v>0.72811999999999999</v>
      </c>
      <c r="N329" s="257">
        <v>0.73336000000000001</v>
      </c>
      <c r="O329" s="257">
        <v>0.73336000000000001</v>
      </c>
      <c r="P329" s="257">
        <v>0</v>
      </c>
    </row>
    <row r="330" spans="10:16" x14ac:dyDescent="0.2">
      <c r="J330" s="258">
        <v>40245</v>
      </c>
      <c r="K330" s="257">
        <v>0.73307999999999995</v>
      </c>
      <c r="L330" s="257">
        <v>0.73863000000000001</v>
      </c>
      <c r="M330" s="257">
        <v>0.72494999999999998</v>
      </c>
      <c r="N330" s="257">
        <v>0.72597</v>
      </c>
      <c r="O330" s="257">
        <v>0.72597</v>
      </c>
      <c r="P330" s="257">
        <v>0</v>
      </c>
    </row>
    <row r="331" spans="10:16" x14ac:dyDescent="0.2">
      <c r="J331" s="258">
        <v>40252</v>
      </c>
      <c r="K331" s="257">
        <v>0.72601000000000004</v>
      </c>
      <c r="L331" s="257">
        <v>0.74046999999999996</v>
      </c>
      <c r="M331" s="257">
        <v>0.72377000000000002</v>
      </c>
      <c r="N331" s="257">
        <v>0.73997000000000002</v>
      </c>
      <c r="O331" s="257">
        <v>0.73997000000000002</v>
      </c>
      <c r="P331" s="257">
        <v>0</v>
      </c>
    </row>
    <row r="332" spans="10:16" x14ac:dyDescent="0.2">
      <c r="J332" s="258">
        <v>40259</v>
      </c>
      <c r="K332" s="257">
        <v>0.73997000000000002</v>
      </c>
      <c r="L332" s="257">
        <v>0.75358000000000003</v>
      </c>
      <c r="M332" s="257">
        <v>0.73697000000000001</v>
      </c>
      <c r="N332" s="257">
        <v>0.74348000000000003</v>
      </c>
      <c r="O332" s="257">
        <v>0.74348000000000003</v>
      </c>
      <c r="P332" s="257">
        <v>0</v>
      </c>
    </row>
    <row r="333" spans="10:16" x14ac:dyDescent="0.2">
      <c r="J333" s="258">
        <v>40266</v>
      </c>
      <c r="K333" s="257">
        <v>0.74360000000000004</v>
      </c>
      <c r="L333" s="257">
        <v>0.74694000000000005</v>
      </c>
      <c r="M333" s="257">
        <v>0.73573</v>
      </c>
      <c r="N333" s="257">
        <v>0.74095</v>
      </c>
      <c r="O333" s="257">
        <v>0.74095</v>
      </c>
      <c r="P333" s="257">
        <v>0</v>
      </c>
    </row>
    <row r="334" spans="10:16" x14ac:dyDescent="0.2">
      <c r="J334" s="258">
        <v>40273</v>
      </c>
      <c r="K334" s="257">
        <v>0.74090999999999996</v>
      </c>
      <c r="L334" s="257">
        <v>0.75268999999999997</v>
      </c>
      <c r="M334" s="257">
        <v>0.73180999999999996</v>
      </c>
      <c r="N334" s="257">
        <v>0.7339</v>
      </c>
      <c r="O334" s="257">
        <v>0.7339</v>
      </c>
      <c r="P334" s="257">
        <v>0</v>
      </c>
    </row>
    <row r="335" spans="10:16" x14ac:dyDescent="0.2">
      <c r="J335" s="258">
        <v>40280</v>
      </c>
      <c r="K335" s="257">
        <v>0.73329999999999995</v>
      </c>
      <c r="L335" s="257">
        <v>0.74238999999999999</v>
      </c>
      <c r="M335" s="257">
        <v>0.73057000000000005</v>
      </c>
      <c r="N335" s="257">
        <v>0.74146999999999996</v>
      </c>
      <c r="O335" s="257">
        <v>0.74146999999999996</v>
      </c>
      <c r="P335" s="257">
        <v>0</v>
      </c>
    </row>
    <row r="336" spans="10:16" x14ac:dyDescent="0.2">
      <c r="J336" s="258">
        <v>40287</v>
      </c>
      <c r="K336" s="257">
        <v>0.74134</v>
      </c>
      <c r="L336" s="257">
        <v>0.75705</v>
      </c>
      <c r="M336" s="257">
        <v>0.73953999999999998</v>
      </c>
      <c r="N336" s="257">
        <v>0.74853999999999998</v>
      </c>
      <c r="O336" s="257">
        <v>0.74853999999999998</v>
      </c>
      <c r="P336" s="257">
        <v>0</v>
      </c>
    </row>
    <row r="337" spans="10:16" x14ac:dyDescent="0.2">
      <c r="J337" s="258">
        <v>40294</v>
      </c>
      <c r="K337" s="257">
        <v>0.74827999999999995</v>
      </c>
      <c r="L337" s="257">
        <v>0.76224999999999998</v>
      </c>
      <c r="M337" s="257">
        <v>0.74548999999999999</v>
      </c>
      <c r="N337" s="257">
        <v>0.75058000000000002</v>
      </c>
      <c r="O337" s="257">
        <v>0.75058000000000002</v>
      </c>
      <c r="P337" s="257">
        <v>0</v>
      </c>
    </row>
    <row r="338" spans="10:16" x14ac:dyDescent="0.2">
      <c r="J338" s="258">
        <v>40301</v>
      </c>
      <c r="K338" s="257">
        <v>0.75058000000000002</v>
      </c>
      <c r="L338" s="257">
        <v>0.79742000000000002</v>
      </c>
      <c r="M338" s="257">
        <v>0.75036000000000003</v>
      </c>
      <c r="N338" s="257">
        <v>0.77669999999999995</v>
      </c>
      <c r="O338" s="257">
        <v>0.77669999999999995</v>
      </c>
      <c r="P338" s="257">
        <v>0</v>
      </c>
    </row>
    <row r="339" spans="10:16" x14ac:dyDescent="0.2">
      <c r="J339" s="258">
        <v>40308</v>
      </c>
      <c r="K339" s="257">
        <v>0.77646000000000004</v>
      </c>
      <c r="L339" s="257">
        <v>0.81023999999999996</v>
      </c>
      <c r="M339" s="257">
        <v>0.76383000000000001</v>
      </c>
      <c r="N339" s="257">
        <v>0.80837999999999999</v>
      </c>
      <c r="O339" s="257">
        <v>0.80837999999999999</v>
      </c>
      <c r="P339" s="257">
        <v>0</v>
      </c>
    </row>
    <row r="340" spans="10:16" x14ac:dyDescent="0.2">
      <c r="J340" s="258">
        <v>40315</v>
      </c>
      <c r="K340" s="257">
        <v>0.80825999999999998</v>
      </c>
      <c r="L340" s="257">
        <v>0.82332000000000005</v>
      </c>
      <c r="M340" s="257">
        <v>0.78913999999999995</v>
      </c>
      <c r="N340" s="257">
        <v>0.79769999999999996</v>
      </c>
      <c r="O340" s="257">
        <v>0.79769999999999996</v>
      </c>
      <c r="P340" s="257">
        <v>0</v>
      </c>
    </row>
    <row r="341" spans="10:16" x14ac:dyDescent="0.2">
      <c r="J341" s="258">
        <v>40322</v>
      </c>
      <c r="K341" s="257">
        <v>0.79783000000000004</v>
      </c>
      <c r="L341" s="257">
        <v>0.82265999999999995</v>
      </c>
      <c r="M341" s="257">
        <v>0.79713000000000001</v>
      </c>
      <c r="N341" s="257">
        <v>0.81508000000000003</v>
      </c>
      <c r="O341" s="257">
        <v>0.81508000000000003</v>
      </c>
      <c r="P341" s="257">
        <v>0</v>
      </c>
    </row>
    <row r="342" spans="10:16" x14ac:dyDescent="0.2">
      <c r="J342" s="258">
        <v>40329</v>
      </c>
      <c r="K342" s="257">
        <v>0.81452000000000002</v>
      </c>
      <c r="L342" s="257">
        <v>0.83835999999999999</v>
      </c>
      <c r="M342" s="257">
        <v>0.81044000000000005</v>
      </c>
      <c r="N342" s="257">
        <v>0.83794000000000002</v>
      </c>
      <c r="O342" s="257">
        <v>0.83794000000000002</v>
      </c>
      <c r="P342" s="257">
        <v>0</v>
      </c>
    </row>
    <row r="343" spans="10:16" x14ac:dyDescent="0.2">
      <c r="J343" s="258">
        <v>40336</v>
      </c>
      <c r="K343" s="257">
        <v>0.83723000000000003</v>
      </c>
      <c r="L343" s="257">
        <v>0.84160999999999997</v>
      </c>
      <c r="M343" s="257">
        <v>0.82291000000000003</v>
      </c>
      <c r="N343" s="257">
        <v>0.82352999999999998</v>
      </c>
      <c r="O343" s="257">
        <v>0.82352999999999998</v>
      </c>
      <c r="P343" s="257">
        <v>0</v>
      </c>
    </row>
    <row r="344" spans="10:16" x14ac:dyDescent="0.2">
      <c r="J344" s="258">
        <v>40343</v>
      </c>
      <c r="K344" s="257">
        <v>0.82323000000000002</v>
      </c>
      <c r="L344" s="257">
        <v>0.82323000000000002</v>
      </c>
      <c r="M344" s="257">
        <v>0.80218999999999996</v>
      </c>
      <c r="N344" s="257">
        <v>0.80554000000000003</v>
      </c>
      <c r="O344" s="257">
        <v>0.80554000000000003</v>
      </c>
      <c r="P344" s="257">
        <v>0</v>
      </c>
    </row>
    <row r="345" spans="10:16" x14ac:dyDescent="0.2">
      <c r="J345" s="258">
        <v>40350</v>
      </c>
      <c r="K345" s="257">
        <v>0.80586999999999998</v>
      </c>
      <c r="L345" s="257">
        <v>0.81894999999999996</v>
      </c>
      <c r="M345" s="257">
        <v>0.80205000000000004</v>
      </c>
      <c r="N345" s="257">
        <v>0.80774999999999997</v>
      </c>
      <c r="O345" s="257">
        <v>0.80774999999999997</v>
      </c>
      <c r="P345" s="257">
        <v>0</v>
      </c>
    </row>
    <row r="346" spans="10:16" x14ac:dyDescent="0.2">
      <c r="J346" s="258">
        <v>40357</v>
      </c>
      <c r="K346" s="257">
        <v>0.80774999999999997</v>
      </c>
      <c r="L346" s="257">
        <v>0.82274999999999998</v>
      </c>
      <c r="M346" s="257">
        <v>0.79301999999999995</v>
      </c>
      <c r="N346" s="257">
        <v>0.79610999999999998</v>
      </c>
      <c r="O346" s="257">
        <v>0.79610999999999998</v>
      </c>
      <c r="P346" s="257">
        <v>0</v>
      </c>
    </row>
    <row r="347" spans="10:16" x14ac:dyDescent="0.2">
      <c r="J347" s="258">
        <v>40364</v>
      </c>
      <c r="K347" s="257">
        <v>0.79647999999999997</v>
      </c>
      <c r="L347" s="257">
        <v>0.80103999999999997</v>
      </c>
      <c r="M347" s="257">
        <v>0.78610000000000002</v>
      </c>
      <c r="N347" s="257">
        <v>0.79076000000000002</v>
      </c>
      <c r="O347" s="257">
        <v>0.79076000000000002</v>
      </c>
      <c r="P347" s="257">
        <v>0</v>
      </c>
    </row>
    <row r="348" spans="10:16" x14ac:dyDescent="0.2">
      <c r="J348" s="258">
        <v>40371</v>
      </c>
      <c r="K348" s="257">
        <v>0.79076000000000002</v>
      </c>
      <c r="L348" s="257">
        <v>0.79837999999999998</v>
      </c>
      <c r="M348" s="257">
        <v>0.76898999999999995</v>
      </c>
      <c r="N348" s="257">
        <v>0.77500000000000002</v>
      </c>
      <c r="O348" s="257">
        <v>0.77500000000000002</v>
      </c>
      <c r="P348" s="257">
        <v>0</v>
      </c>
    </row>
    <row r="349" spans="10:16" x14ac:dyDescent="0.2">
      <c r="J349" s="258">
        <v>40378</v>
      </c>
      <c r="K349" s="257">
        <v>0.77503999999999995</v>
      </c>
      <c r="L349" s="257">
        <v>0.78517999999999999</v>
      </c>
      <c r="M349" s="257">
        <v>0.76765000000000005</v>
      </c>
      <c r="N349" s="257">
        <v>0.77588999999999997</v>
      </c>
      <c r="O349" s="257">
        <v>0.77588999999999997</v>
      </c>
      <c r="P349" s="257">
        <v>0</v>
      </c>
    </row>
    <row r="350" spans="10:16" x14ac:dyDescent="0.2">
      <c r="J350" s="258">
        <v>40385</v>
      </c>
      <c r="K350" s="257">
        <v>0.77583999999999997</v>
      </c>
      <c r="L350" s="257">
        <v>0.77598</v>
      </c>
      <c r="M350" s="257">
        <v>0.76295000000000002</v>
      </c>
      <c r="N350" s="257">
        <v>0.76570000000000005</v>
      </c>
      <c r="O350" s="257">
        <v>0.76570000000000005</v>
      </c>
      <c r="P350" s="257">
        <v>0</v>
      </c>
    </row>
    <row r="351" spans="10:16" x14ac:dyDescent="0.2">
      <c r="J351" s="258">
        <v>40392</v>
      </c>
      <c r="K351" s="257">
        <v>0.76568999999999998</v>
      </c>
      <c r="L351" s="257">
        <v>0.76583000000000001</v>
      </c>
      <c r="M351" s="257">
        <v>0.75019000000000002</v>
      </c>
      <c r="N351" s="257">
        <v>0.75865000000000005</v>
      </c>
      <c r="O351" s="257">
        <v>0.75865000000000005</v>
      </c>
      <c r="P351" s="257">
        <v>0</v>
      </c>
    </row>
    <row r="352" spans="10:16" x14ac:dyDescent="0.2">
      <c r="J352" s="258">
        <v>40399</v>
      </c>
      <c r="K352" s="257">
        <v>0.75266999999999995</v>
      </c>
      <c r="L352" s="257">
        <v>0.78410000000000002</v>
      </c>
      <c r="M352" s="257">
        <v>0.75163999999999997</v>
      </c>
      <c r="N352" s="257">
        <v>0.77942999999999996</v>
      </c>
      <c r="O352" s="257">
        <v>0.77942999999999996</v>
      </c>
      <c r="P352" s="257">
        <v>0</v>
      </c>
    </row>
    <row r="353" spans="10:16" x14ac:dyDescent="0.2">
      <c r="J353" s="258">
        <v>40406</v>
      </c>
      <c r="K353" s="257">
        <v>0.78308999999999995</v>
      </c>
      <c r="L353" s="257">
        <v>0.78954000000000002</v>
      </c>
      <c r="M353" s="257">
        <v>0.77405000000000002</v>
      </c>
      <c r="N353" s="257">
        <v>0.78076000000000001</v>
      </c>
      <c r="O353" s="257">
        <v>0.78076000000000001</v>
      </c>
      <c r="P353" s="257">
        <v>0</v>
      </c>
    </row>
    <row r="354" spans="10:16" x14ac:dyDescent="0.2">
      <c r="J354" s="258">
        <v>40413</v>
      </c>
      <c r="K354" s="257">
        <v>0.78673000000000004</v>
      </c>
      <c r="L354" s="257">
        <v>0.79415999999999998</v>
      </c>
      <c r="M354" s="257">
        <v>0.78247</v>
      </c>
      <c r="N354" s="257">
        <v>0.78700000000000003</v>
      </c>
      <c r="O354" s="257">
        <v>0.78700000000000003</v>
      </c>
      <c r="P354" s="257">
        <v>0</v>
      </c>
    </row>
    <row r="355" spans="10:16" x14ac:dyDescent="0.2">
      <c r="J355" s="258">
        <v>40420</v>
      </c>
      <c r="K355" s="257">
        <v>0.78412999999999999</v>
      </c>
      <c r="L355" s="257">
        <v>0.79188999999999998</v>
      </c>
      <c r="M355" s="257">
        <v>0.77610000000000001</v>
      </c>
      <c r="N355" s="257">
        <v>0.77966999999999997</v>
      </c>
      <c r="O355" s="257">
        <v>0.77966999999999997</v>
      </c>
      <c r="P355" s="257">
        <v>0</v>
      </c>
    </row>
    <row r="356" spans="10:16" x14ac:dyDescent="0.2">
      <c r="J356" s="258">
        <v>40427</v>
      </c>
      <c r="K356" s="257">
        <v>0.77554999999999996</v>
      </c>
      <c r="L356" s="257">
        <v>0.79069999999999996</v>
      </c>
      <c r="M356" s="257">
        <v>0.77420999999999995</v>
      </c>
      <c r="N356" s="257">
        <v>0.78783000000000003</v>
      </c>
      <c r="O356" s="257">
        <v>0.78783000000000003</v>
      </c>
      <c r="P356" s="257">
        <v>0</v>
      </c>
    </row>
    <row r="357" spans="10:16" x14ac:dyDescent="0.2">
      <c r="J357" s="258">
        <v>40434</v>
      </c>
      <c r="K357" s="257">
        <v>0.78622999999999998</v>
      </c>
      <c r="L357" s="257">
        <v>0.78634999999999999</v>
      </c>
      <c r="M357" s="257">
        <v>0.76005</v>
      </c>
      <c r="N357" s="257">
        <v>0.76476</v>
      </c>
      <c r="O357" s="257">
        <v>0.76476</v>
      </c>
      <c r="P357" s="257">
        <v>0</v>
      </c>
    </row>
    <row r="358" spans="10:16" x14ac:dyDescent="0.2">
      <c r="J358" s="258">
        <v>40441</v>
      </c>
      <c r="K358" s="257">
        <v>0.76675000000000004</v>
      </c>
      <c r="L358" s="257">
        <v>0.76739999999999997</v>
      </c>
      <c r="M358" s="257">
        <v>0.74117999999999995</v>
      </c>
      <c r="N358" s="257">
        <v>0.75080000000000002</v>
      </c>
      <c r="O358" s="257">
        <v>0.75080000000000002</v>
      </c>
      <c r="P358" s="257">
        <v>0</v>
      </c>
    </row>
    <row r="359" spans="10:16" x14ac:dyDescent="0.2">
      <c r="J359" s="258">
        <v>40448</v>
      </c>
      <c r="K359" s="257">
        <v>0.74173</v>
      </c>
      <c r="L359" s="257">
        <v>0.74716000000000005</v>
      </c>
      <c r="M359" s="257">
        <v>0.72591000000000006</v>
      </c>
      <c r="N359" s="257">
        <v>0.73409999999999997</v>
      </c>
      <c r="O359" s="257">
        <v>0.73409999999999997</v>
      </c>
      <c r="P359" s="257">
        <v>0</v>
      </c>
    </row>
    <row r="360" spans="10:16" x14ac:dyDescent="0.2">
      <c r="J360" s="258">
        <v>40455</v>
      </c>
      <c r="K360" s="257">
        <v>0.72580999999999996</v>
      </c>
      <c r="L360" s="257">
        <v>0.73319000000000001</v>
      </c>
      <c r="M360" s="257">
        <v>0.71311000000000002</v>
      </c>
      <c r="N360" s="257">
        <v>0.71797999999999995</v>
      </c>
      <c r="O360" s="257">
        <v>0.71797999999999995</v>
      </c>
      <c r="P360" s="257">
        <v>0</v>
      </c>
    </row>
    <row r="361" spans="10:16" x14ac:dyDescent="0.2">
      <c r="J361" s="258">
        <v>40462</v>
      </c>
      <c r="K361" s="257">
        <v>0.71492999999999995</v>
      </c>
      <c r="L361" s="257">
        <v>0.72567999999999999</v>
      </c>
      <c r="M361" s="257">
        <v>0.70681000000000005</v>
      </c>
      <c r="N361" s="257">
        <v>0.71062999999999998</v>
      </c>
      <c r="O361" s="257">
        <v>0.71062999999999998</v>
      </c>
      <c r="P361" s="257">
        <v>0</v>
      </c>
    </row>
    <row r="362" spans="10:16" x14ac:dyDescent="0.2">
      <c r="J362" s="258">
        <v>40469</v>
      </c>
      <c r="K362" s="257">
        <v>0.71577000000000002</v>
      </c>
      <c r="L362" s="257">
        <v>0.72968999999999995</v>
      </c>
      <c r="M362" s="257">
        <v>0.71169000000000004</v>
      </c>
      <c r="N362" s="257">
        <v>0.71855000000000002</v>
      </c>
      <c r="O362" s="257">
        <v>0.71855000000000002</v>
      </c>
      <c r="P362" s="257">
        <v>0</v>
      </c>
    </row>
    <row r="363" spans="10:16" x14ac:dyDescent="0.2">
      <c r="J363" s="258">
        <v>40476</v>
      </c>
      <c r="K363" s="257">
        <v>0.71748999999999996</v>
      </c>
      <c r="L363" s="257">
        <v>0.72674000000000005</v>
      </c>
      <c r="M363" s="257">
        <v>0.71038000000000001</v>
      </c>
      <c r="N363" s="257">
        <v>0.72579000000000005</v>
      </c>
      <c r="O363" s="257">
        <v>0.72579000000000005</v>
      </c>
      <c r="P363" s="257">
        <v>0</v>
      </c>
    </row>
    <row r="364" spans="10:16" x14ac:dyDescent="0.2">
      <c r="J364" s="258">
        <v>40483</v>
      </c>
      <c r="K364" s="257">
        <v>0.71748000000000001</v>
      </c>
      <c r="L364" s="257">
        <v>0.72118000000000004</v>
      </c>
      <c r="M364" s="257">
        <v>0.70018000000000002</v>
      </c>
      <c r="N364" s="257">
        <v>0.70284000000000002</v>
      </c>
      <c r="O364" s="257">
        <v>0.70284000000000002</v>
      </c>
      <c r="P364" s="257">
        <v>0</v>
      </c>
    </row>
    <row r="365" spans="10:16" x14ac:dyDescent="0.2">
      <c r="J365" s="258">
        <v>40490</v>
      </c>
      <c r="K365" s="257">
        <v>0.71043000000000001</v>
      </c>
      <c r="L365" s="257">
        <v>0.73638000000000003</v>
      </c>
      <c r="M365" s="257">
        <v>0.71016999999999997</v>
      </c>
      <c r="N365" s="257">
        <v>0.73416000000000003</v>
      </c>
      <c r="O365" s="257">
        <v>0.73416000000000003</v>
      </c>
      <c r="P365" s="257">
        <v>0</v>
      </c>
    </row>
    <row r="366" spans="10:16" x14ac:dyDescent="0.2">
      <c r="J366" s="258">
        <v>40497</v>
      </c>
      <c r="K366" s="257">
        <v>0.73016000000000003</v>
      </c>
      <c r="L366" s="257">
        <v>0.74263999999999997</v>
      </c>
      <c r="M366" s="257">
        <v>0.72743000000000002</v>
      </c>
      <c r="N366" s="257">
        <v>0.73221000000000003</v>
      </c>
      <c r="O366" s="257">
        <v>0.73221000000000003</v>
      </c>
      <c r="P366" s="257">
        <v>0</v>
      </c>
    </row>
    <row r="367" spans="10:16" x14ac:dyDescent="0.2">
      <c r="J367" s="258">
        <v>40504</v>
      </c>
      <c r="K367" s="257">
        <v>0.72753999999999996</v>
      </c>
      <c r="L367" s="257">
        <v>0.75731999999999999</v>
      </c>
      <c r="M367" s="257">
        <v>0.72535000000000005</v>
      </c>
      <c r="N367" s="257">
        <v>0.74963999999999997</v>
      </c>
      <c r="O367" s="257">
        <v>0.74963999999999997</v>
      </c>
      <c r="P367" s="257">
        <v>0</v>
      </c>
    </row>
    <row r="368" spans="10:16" x14ac:dyDescent="0.2">
      <c r="J368" s="258">
        <v>40511</v>
      </c>
      <c r="K368" s="257">
        <v>0.75512999999999997</v>
      </c>
      <c r="L368" s="257">
        <v>0.77085999999999999</v>
      </c>
      <c r="M368" s="257">
        <v>0.74756999999999996</v>
      </c>
      <c r="N368" s="257">
        <v>0.75666</v>
      </c>
      <c r="O368" s="257">
        <v>0.75666</v>
      </c>
      <c r="P368" s="257">
        <v>0</v>
      </c>
    </row>
    <row r="369" spans="10:16" x14ac:dyDescent="0.2">
      <c r="J369" s="258">
        <v>40518</v>
      </c>
      <c r="K369" s="257">
        <v>0.74531999999999998</v>
      </c>
      <c r="L369" s="257">
        <v>0.75907000000000002</v>
      </c>
      <c r="M369" s="257">
        <v>0.74517</v>
      </c>
      <c r="N369" s="257">
        <v>0.75517000000000001</v>
      </c>
      <c r="O369" s="257">
        <v>0.75517000000000001</v>
      </c>
      <c r="P369" s="257">
        <v>0</v>
      </c>
    </row>
    <row r="370" spans="10:16" x14ac:dyDescent="0.2">
      <c r="J370" s="258">
        <v>40525</v>
      </c>
      <c r="K370" s="257">
        <v>0.75765000000000005</v>
      </c>
      <c r="L370" s="257">
        <v>0.76085999999999998</v>
      </c>
      <c r="M370" s="257">
        <v>0.74106000000000005</v>
      </c>
      <c r="N370" s="257">
        <v>0.75529000000000002</v>
      </c>
      <c r="O370" s="257">
        <v>0.75529000000000002</v>
      </c>
      <c r="P370" s="257">
        <v>0</v>
      </c>
    </row>
    <row r="371" spans="10:16" x14ac:dyDescent="0.2">
      <c r="J371" s="258">
        <v>40532</v>
      </c>
      <c r="K371" s="257">
        <v>0.75966</v>
      </c>
      <c r="L371" s="257">
        <v>0.76580999999999999</v>
      </c>
      <c r="M371" s="257">
        <v>0.75758000000000003</v>
      </c>
      <c r="N371" s="257">
        <v>0.76178000000000001</v>
      </c>
      <c r="O371" s="257">
        <v>0.76178000000000001</v>
      </c>
      <c r="P371" s="257">
        <v>0</v>
      </c>
    </row>
    <row r="372" spans="10:16" x14ac:dyDescent="0.2">
      <c r="J372" s="258">
        <v>40539</v>
      </c>
      <c r="K372" s="257">
        <v>0.76441000000000003</v>
      </c>
      <c r="L372" s="257">
        <v>0.76441000000000003</v>
      </c>
      <c r="M372" s="257">
        <v>0.74495</v>
      </c>
      <c r="N372" s="257">
        <v>0.75180999999999998</v>
      </c>
      <c r="O372" s="257">
        <v>0.75180999999999998</v>
      </c>
      <c r="P372" s="257">
        <v>0</v>
      </c>
    </row>
    <row r="373" spans="10:16" x14ac:dyDescent="0.2">
      <c r="J373" s="258">
        <v>40546</v>
      </c>
      <c r="K373" s="257">
        <v>0.74873000000000001</v>
      </c>
      <c r="L373" s="257">
        <v>0.77285999999999999</v>
      </c>
      <c r="M373" s="257">
        <v>0.74455000000000005</v>
      </c>
      <c r="N373" s="257">
        <v>0.77041999999999999</v>
      </c>
      <c r="O373" s="257">
        <v>0.77041999999999999</v>
      </c>
      <c r="P373" s="257">
        <v>0</v>
      </c>
    </row>
    <row r="374" spans="10:16" x14ac:dyDescent="0.2">
      <c r="J374" s="258">
        <v>40553</v>
      </c>
      <c r="K374" s="257">
        <v>0.77531000000000005</v>
      </c>
      <c r="L374" s="257">
        <v>0.77656999999999998</v>
      </c>
      <c r="M374" s="257">
        <v>0.74355000000000004</v>
      </c>
      <c r="N374" s="257">
        <v>0.74887999999999999</v>
      </c>
      <c r="O374" s="257">
        <v>0.74887999999999999</v>
      </c>
      <c r="P374" s="257">
        <v>0</v>
      </c>
    </row>
    <row r="375" spans="10:16" x14ac:dyDescent="0.2">
      <c r="J375" s="258">
        <v>40560</v>
      </c>
      <c r="K375" s="257">
        <v>0.74760000000000004</v>
      </c>
      <c r="L375" s="257">
        <v>0.75455000000000005</v>
      </c>
      <c r="M375" s="257">
        <v>0.73589000000000004</v>
      </c>
      <c r="N375" s="257">
        <v>0.74250000000000005</v>
      </c>
      <c r="O375" s="257">
        <v>0.74250000000000005</v>
      </c>
      <c r="P375" s="257">
        <v>0</v>
      </c>
    </row>
    <row r="376" spans="10:16" x14ac:dyDescent="0.2">
      <c r="J376" s="258">
        <v>40567</v>
      </c>
      <c r="K376" s="257">
        <v>0.73411000000000004</v>
      </c>
      <c r="L376" s="257">
        <v>0.73816999999999999</v>
      </c>
      <c r="M376" s="257">
        <v>0.72694000000000003</v>
      </c>
      <c r="N376" s="257">
        <v>0.72870000000000001</v>
      </c>
      <c r="O376" s="257">
        <v>0.72870000000000001</v>
      </c>
      <c r="P376" s="257">
        <v>0</v>
      </c>
    </row>
    <row r="377" spans="10:16" x14ac:dyDescent="0.2">
      <c r="J377" s="258">
        <v>40574</v>
      </c>
      <c r="K377" s="257">
        <v>0.73658999999999997</v>
      </c>
      <c r="L377" s="257">
        <v>0.73823000000000005</v>
      </c>
      <c r="M377" s="257">
        <v>0.72150000000000003</v>
      </c>
      <c r="N377" s="257">
        <v>0.73397000000000001</v>
      </c>
      <c r="O377" s="257">
        <v>0.73397000000000001</v>
      </c>
      <c r="P377" s="257">
        <v>0</v>
      </c>
    </row>
    <row r="378" spans="10:16" x14ac:dyDescent="0.2">
      <c r="J378" s="258">
        <v>40581</v>
      </c>
      <c r="K378" s="257">
        <v>0.73663999999999996</v>
      </c>
      <c r="L378" s="257">
        <v>0.74019999999999997</v>
      </c>
      <c r="M378" s="257">
        <v>0.72843000000000002</v>
      </c>
      <c r="N378" s="257">
        <v>0.73519000000000001</v>
      </c>
      <c r="O378" s="257">
        <v>0.73519000000000001</v>
      </c>
      <c r="P378" s="257">
        <v>0</v>
      </c>
    </row>
    <row r="379" spans="10:16" x14ac:dyDescent="0.2">
      <c r="J379" s="258">
        <v>40588</v>
      </c>
      <c r="K379" s="257">
        <v>0.73990999999999996</v>
      </c>
      <c r="L379" s="257">
        <v>0.74451000000000001</v>
      </c>
      <c r="M379" s="257">
        <v>0.73285999999999996</v>
      </c>
      <c r="N379" s="257">
        <v>0.73389000000000004</v>
      </c>
      <c r="O379" s="257">
        <v>0.73389000000000004</v>
      </c>
      <c r="P379" s="257">
        <v>0</v>
      </c>
    </row>
    <row r="380" spans="10:16" x14ac:dyDescent="0.2">
      <c r="J380" s="258">
        <v>40595</v>
      </c>
      <c r="K380" s="257">
        <v>0.72919999999999996</v>
      </c>
      <c r="L380" s="257">
        <v>0.73921000000000003</v>
      </c>
      <c r="M380" s="257">
        <v>0.72265000000000001</v>
      </c>
      <c r="N380" s="257">
        <v>0.72358999999999996</v>
      </c>
      <c r="O380" s="257">
        <v>0.72358999999999996</v>
      </c>
      <c r="P380" s="257">
        <v>0</v>
      </c>
    </row>
    <row r="381" spans="10:16" x14ac:dyDescent="0.2">
      <c r="J381" s="258">
        <v>40602</v>
      </c>
      <c r="K381" s="257">
        <v>0.72801000000000005</v>
      </c>
      <c r="L381" s="257">
        <v>0.72923000000000004</v>
      </c>
      <c r="M381" s="257">
        <v>0.71392999999999995</v>
      </c>
      <c r="N381" s="257">
        <v>0.71638999999999997</v>
      </c>
      <c r="O381" s="257">
        <v>0.71638999999999997</v>
      </c>
      <c r="P381" s="257">
        <v>0</v>
      </c>
    </row>
    <row r="382" spans="10:16" x14ac:dyDescent="0.2">
      <c r="J382" s="258">
        <v>40609</v>
      </c>
      <c r="K382" s="257">
        <v>0.71486000000000005</v>
      </c>
      <c r="L382" s="257">
        <v>0.72704999999999997</v>
      </c>
      <c r="M382" s="257">
        <v>0.71245000000000003</v>
      </c>
      <c r="N382" s="257">
        <v>0.72457000000000005</v>
      </c>
      <c r="O382" s="257">
        <v>0.72457000000000005</v>
      </c>
      <c r="P382" s="257">
        <v>0</v>
      </c>
    </row>
    <row r="383" spans="10:16" x14ac:dyDescent="0.2">
      <c r="J383" s="258">
        <v>40616</v>
      </c>
      <c r="K383" s="257">
        <v>0.71762999999999999</v>
      </c>
      <c r="L383" s="257">
        <v>0.72160000000000002</v>
      </c>
      <c r="M383" s="257">
        <v>0.70694000000000001</v>
      </c>
      <c r="N383" s="257">
        <v>0.71260999999999997</v>
      </c>
      <c r="O383" s="257">
        <v>0.71260999999999997</v>
      </c>
      <c r="P383" s="257">
        <v>0</v>
      </c>
    </row>
    <row r="384" spans="10:16" x14ac:dyDescent="0.2">
      <c r="J384" s="258">
        <v>40623</v>
      </c>
      <c r="K384" s="257">
        <v>0.70582</v>
      </c>
      <c r="L384" s="257">
        <v>0.71143999999999996</v>
      </c>
      <c r="M384" s="257">
        <v>0.70184999999999997</v>
      </c>
      <c r="N384" s="257">
        <v>0.70562000000000002</v>
      </c>
      <c r="O384" s="257">
        <v>0.70562000000000002</v>
      </c>
      <c r="P384" s="257">
        <v>0</v>
      </c>
    </row>
    <row r="385" spans="10:16" x14ac:dyDescent="0.2">
      <c r="J385" s="258">
        <v>40630</v>
      </c>
      <c r="K385" s="257">
        <v>0.71301000000000003</v>
      </c>
      <c r="L385" s="257">
        <v>0.71306000000000003</v>
      </c>
      <c r="M385" s="257">
        <v>0.70215000000000005</v>
      </c>
      <c r="N385" s="257">
        <v>0.70304</v>
      </c>
      <c r="O385" s="257">
        <v>0.70304</v>
      </c>
      <c r="P385" s="257">
        <v>0</v>
      </c>
    </row>
    <row r="386" spans="10:16" x14ac:dyDescent="0.2">
      <c r="J386" s="258">
        <v>40637</v>
      </c>
      <c r="K386" s="257">
        <v>0.70304</v>
      </c>
      <c r="L386" s="257">
        <v>0.70640999999999998</v>
      </c>
      <c r="M386" s="257">
        <v>0.69027000000000005</v>
      </c>
      <c r="N386" s="257">
        <v>0.69140000000000001</v>
      </c>
      <c r="O386" s="257">
        <v>0.69140000000000001</v>
      </c>
      <c r="P386" s="257">
        <v>0</v>
      </c>
    </row>
    <row r="387" spans="10:16" x14ac:dyDescent="0.2">
      <c r="J387" s="258">
        <v>40644</v>
      </c>
      <c r="K387" s="257">
        <v>0.69152000000000002</v>
      </c>
      <c r="L387" s="257">
        <v>0.69596999999999998</v>
      </c>
      <c r="M387" s="257">
        <v>0.68874000000000002</v>
      </c>
      <c r="N387" s="257">
        <v>0.69386999999999999</v>
      </c>
      <c r="O387" s="257">
        <v>0.69386999999999999</v>
      </c>
      <c r="P387" s="257">
        <v>0</v>
      </c>
    </row>
    <row r="388" spans="10:16" x14ac:dyDescent="0.2">
      <c r="J388" s="258">
        <v>40651</v>
      </c>
      <c r="K388" s="257">
        <v>0.69362999999999997</v>
      </c>
      <c r="L388" s="257">
        <v>0.70591999999999999</v>
      </c>
      <c r="M388" s="257">
        <v>0.68269000000000002</v>
      </c>
      <c r="N388" s="257">
        <v>0.68694999999999995</v>
      </c>
      <c r="O388" s="257">
        <v>0.68694999999999995</v>
      </c>
      <c r="P388" s="257">
        <v>0</v>
      </c>
    </row>
    <row r="389" spans="10:16" x14ac:dyDescent="0.2">
      <c r="J389" s="258">
        <v>40658</v>
      </c>
      <c r="K389" s="257">
        <v>0.68703999999999998</v>
      </c>
      <c r="L389" s="257">
        <v>0.68967000000000001</v>
      </c>
      <c r="M389" s="257">
        <v>0.67195000000000005</v>
      </c>
      <c r="N389" s="257">
        <v>0.67608000000000001</v>
      </c>
      <c r="O389" s="257">
        <v>0.67608000000000001</v>
      </c>
      <c r="P389" s="257">
        <v>0</v>
      </c>
    </row>
    <row r="390" spans="10:16" x14ac:dyDescent="0.2">
      <c r="J390" s="258">
        <v>40665</v>
      </c>
      <c r="K390" s="257">
        <v>0.67542000000000002</v>
      </c>
      <c r="L390" s="257">
        <v>0.69123000000000001</v>
      </c>
      <c r="M390" s="257">
        <v>0.66942999999999997</v>
      </c>
      <c r="N390" s="257">
        <v>0.68754999999999999</v>
      </c>
      <c r="O390" s="257">
        <v>0.68754999999999999</v>
      </c>
      <c r="P390" s="257">
        <v>0</v>
      </c>
    </row>
    <row r="391" spans="10:16" x14ac:dyDescent="0.2">
      <c r="J391" s="258">
        <v>40672</v>
      </c>
      <c r="K391" s="257">
        <v>0.69706000000000001</v>
      </c>
      <c r="L391" s="257">
        <v>0.70791000000000004</v>
      </c>
      <c r="M391" s="257">
        <v>0.6925</v>
      </c>
      <c r="N391" s="257">
        <v>0.70235000000000003</v>
      </c>
      <c r="O391" s="257">
        <v>0.70235000000000003</v>
      </c>
      <c r="P391" s="257">
        <v>0</v>
      </c>
    </row>
    <row r="392" spans="10:16" x14ac:dyDescent="0.2">
      <c r="J392" s="258">
        <v>40679</v>
      </c>
      <c r="K392" s="257">
        <v>0.71045000000000003</v>
      </c>
      <c r="L392" s="257">
        <v>0.7117</v>
      </c>
      <c r="M392" s="257">
        <v>0.69716</v>
      </c>
      <c r="N392" s="257">
        <v>0.69850999999999996</v>
      </c>
      <c r="O392" s="257">
        <v>0.69850999999999996</v>
      </c>
      <c r="P392" s="257">
        <v>0</v>
      </c>
    </row>
    <row r="393" spans="10:16" x14ac:dyDescent="0.2">
      <c r="J393" s="258">
        <v>40686</v>
      </c>
      <c r="K393" s="257">
        <v>0.70877999999999997</v>
      </c>
      <c r="L393" s="257">
        <v>0.71550999999999998</v>
      </c>
      <c r="M393" s="257">
        <v>0.69915000000000005</v>
      </c>
      <c r="N393" s="257">
        <v>0.70745999999999998</v>
      </c>
      <c r="O393" s="257">
        <v>0.70745999999999998</v>
      </c>
      <c r="P393" s="257">
        <v>0</v>
      </c>
    </row>
    <row r="394" spans="10:16" x14ac:dyDescent="0.2">
      <c r="J394" s="258">
        <v>40693</v>
      </c>
      <c r="K394" s="257">
        <v>0.69955000000000001</v>
      </c>
      <c r="L394" s="257">
        <v>0.70126999999999995</v>
      </c>
      <c r="M394" s="257">
        <v>0.68469999999999998</v>
      </c>
      <c r="N394" s="257">
        <v>0.69032000000000004</v>
      </c>
      <c r="O394" s="257">
        <v>0.69032000000000004</v>
      </c>
      <c r="P394" s="257">
        <v>0</v>
      </c>
    </row>
    <row r="395" spans="10:16" x14ac:dyDescent="0.2">
      <c r="J395" s="258">
        <v>40700</v>
      </c>
      <c r="K395" s="257">
        <v>0.68230999999999997</v>
      </c>
      <c r="L395" s="257">
        <v>0.69652000000000003</v>
      </c>
      <c r="M395" s="257">
        <v>0.68064999999999998</v>
      </c>
      <c r="N395" s="257">
        <v>0.68891000000000002</v>
      </c>
      <c r="O395" s="257">
        <v>0.68891000000000002</v>
      </c>
      <c r="P395" s="257">
        <v>0</v>
      </c>
    </row>
    <row r="396" spans="10:16" x14ac:dyDescent="0.2">
      <c r="J396" s="258">
        <v>40707</v>
      </c>
      <c r="K396" s="257">
        <v>0.69765999999999995</v>
      </c>
      <c r="L396" s="257">
        <v>0.71033000000000002</v>
      </c>
      <c r="M396" s="257">
        <v>0.69032000000000004</v>
      </c>
      <c r="N396" s="257">
        <v>0.70426999999999995</v>
      </c>
      <c r="O396" s="257">
        <v>0.70426999999999995</v>
      </c>
      <c r="P396" s="257">
        <v>0</v>
      </c>
    </row>
    <row r="397" spans="10:16" x14ac:dyDescent="0.2">
      <c r="J397" s="258">
        <v>40714</v>
      </c>
      <c r="K397" s="257">
        <v>0.69959000000000005</v>
      </c>
      <c r="L397" s="257">
        <v>0.70765</v>
      </c>
      <c r="M397" s="257">
        <v>0.69262000000000001</v>
      </c>
      <c r="N397" s="257">
        <v>0.70077</v>
      </c>
      <c r="O397" s="257">
        <v>0.70077</v>
      </c>
      <c r="P397" s="257">
        <v>0</v>
      </c>
    </row>
    <row r="398" spans="10:16" x14ac:dyDescent="0.2">
      <c r="J398" s="258">
        <v>40721</v>
      </c>
      <c r="K398" s="257">
        <v>0.70542000000000005</v>
      </c>
      <c r="L398" s="257">
        <v>0.70882000000000001</v>
      </c>
      <c r="M398" s="257">
        <v>0.68747000000000003</v>
      </c>
      <c r="N398" s="257">
        <v>0.68979999999999997</v>
      </c>
      <c r="O398" s="257">
        <v>0.68979999999999997</v>
      </c>
      <c r="P398" s="257">
        <v>0</v>
      </c>
    </row>
    <row r="399" spans="10:16" x14ac:dyDescent="0.2">
      <c r="J399" s="258">
        <v>40728</v>
      </c>
      <c r="K399" s="257">
        <v>0.68747000000000003</v>
      </c>
      <c r="L399" s="257">
        <v>0.70352999999999999</v>
      </c>
      <c r="M399" s="257">
        <v>0.68601000000000001</v>
      </c>
      <c r="N399" s="257">
        <v>0.69616</v>
      </c>
      <c r="O399" s="257">
        <v>0.69616</v>
      </c>
      <c r="P399" s="257">
        <v>0</v>
      </c>
    </row>
    <row r="400" spans="10:16" x14ac:dyDescent="0.2">
      <c r="J400" s="258">
        <v>40735</v>
      </c>
      <c r="K400" s="257">
        <v>0.70398000000000005</v>
      </c>
      <c r="L400" s="257">
        <v>0.72243999999999997</v>
      </c>
      <c r="M400" s="257">
        <v>0.70057000000000003</v>
      </c>
      <c r="N400" s="257">
        <v>0.70635000000000003</v>
      </c>
      <c r="O400" s="257">
        <v>0.70635000000000003</v>
      </c>
      <c r="P400" s="257">
        <v>0</v>
      </c>
    </row>
    <row r="401" spans="10:16" x14ac:dyDescent="0.2">
      <c r="J401" s="258">
        <v>40742</v>
      </c>
      <c r="K401" s="257">
        <v>0.70825000000000005</v>
      </c>
      <c r="L401" s="257">
        <v>0.71336999999999995</v>
      </c>
      <c r="M401" s="257">
        <v>0.69274999999999998</v>
      </c>
      <c r="N401" s="257">
        <v>0.69347999999999999</v>
      </c>
      <c r="O401" s="257">
        <v>0.69347999999999999</v>
      </c>
      <c r="P401" s="257">
        <v>0</v>
      </c>
    </row>
    <row r="402" spans="10:16" x14ac:dyDescent="0.2">
      <c r="J402" s="258">
        <v>40749</v>
      </c>
      <c r="K402" s="257">
        <v>0.69533</v>
      </c>
      <c r="L402" s="257">
        <v>0.70232000000000006</v>
      </c>
      <c r="M402" s="257">
        <v>0.68798999999999999</v>
      </c>
      <c r="N402" s="257">
        <v>0.69774000000000003</v>
      </c>
      <c r="O402" s="257">
        <v>0.69774000000000003</v>
      </c>
      <c r="P402" s="257">
        <v>0</v>
      </c>
    </row>
    <row r="403" spans="10:16" x14ac:dyDescent="0.2">
      <c r="J403" s="258">
        <v>40756</v>
      </c>
      <c r="K403" s="257">
        <v>0.69611999999999996</v>
      </c>
      <c r="L403" s="257">
        <v>0.71133999999999997</v>
      </c>
      <c r="M403" s="257">
        <v>0.69198000000000004</v>
      </c>
      <c r="N403" s="257">
        <v>0.71087999999999996</v>
      </c>
      <c r="O403" s="257">
        <v>0.71087999999999996</v>
      </c>
      <c r="P403" s="257">
        <v>0</v>
      </c>
    </row>
    <row r="404" spans="10:16" x14ac:dyDescent="0.2">
      <c r="J404" s="258">
        <v>40763</v>
      </c>
      <c r="K404" s="257">
        <v>0.69926999999999995</v>
      </c>
      <c r="L404" s="257">
        <v>0.70889000000000002</v>
      </c>
      <c r="M404" s="257">
        <v>0.69442000000000004</v>
      </c>
      <c r="N404" s="257">
        <v>0.70291999999999999</v>
      </c>
      <c r="O404" s="257">
        <v>0.70291999999999999</v>
      </c>
      <c r="P404" s="257">
        <v>0</v>
      </c>
    </row>
    <row r="405" spans="10:16" x14ac:dyDescent="0.2">
      <c r="J405" s="258">
        <v>40770</v>
      </c>
      <c r="K405" s="257">
        <v>0.70062999999999998</v>
      </c>
      <c r="L405" s="257">
        <v>0.70096999999999998</v>
      </c>
      <c r="M405" s="257">
        <v>0.68899999999999995</v>
      </c>
      <c r="N405" s="257">
        <v>0.69811000000000001</v>
      </c>
      <c r="O405" s="257">
        <v>0.69811000000000001</v>
      </c>
      <c r="P405" s="257">
        <v>0</v>
      </c>
    </row>
    <row r="406" spans="10:16" x14ac:dyDescent="0.2">
      <c r="J406" s="258">
        <v>40777</v>
      </c>
      <c r="K406" s="257">
        <v>0.69591999999999998</v>
      </c>
      <c r="L406" s="257">
        <v>0.69772999999999996</v>
      </c>
      <c r="M406" s="257">
        <v>0.68974999999999997</v>
      </c>
      <c r="N406" s="257">
        <v>0.69574999999999998</v>
      </c>
      <c r="O406" s="257">
        <v>0.69574999999999998</v>
      </c>
      <c r="P406" s="257">
        <v>0</v>
      </c>
    </row>
    <row r="407" spans="10:16" x14ac:dyDescent="0.2">
      <c r="J407" s="258">
        <v>40784</v>
      </c>
      <c r="K407" s="257">
        <v>0.68981000000000003</v>
      </c>
      <c r="L407" s="257">
        <v>0.70457000000000003</v>
      </c>
      <c r="M407" s="257">
        <v>0.68742999999999999</v>
      </c>
      <c r="N407" s="257">
        <v>0.70116000000000001</v>
      </c>
      <c r="O407" s="257">
        <v>0.70116000000000001</v>
      </c>
      <c r="P407" s="257">
        <v>0</v>
      </c>
    </row>
    <row r="408" spans="10:16" x14ac:dyDescent="0.2">
      <c r="J408" s="258">
        <v>40791</v>
      </c>
      <c r="K408" s="257">
        <v>0.70643</v>
      </c>
      <c r="L408" s="257">
        <v>0.73265000000000002</v>
      </c>
      <c r="M408" s="257">
        <v>0.70240000000000002</v>
      </c>
      <c r="N408" s="257">
        <v>0.71921000000000002</v>
      </c>
      <c r="O408" s="257">
        <v>0.71921000000000002</v>
      </c>
      <c r="P408" s="257">
        <v>0</v>
      </c>
    </row>
    <row r="409" spans="10:16" x14ac:dyDescent="0.2">
      <c r="J409" s="258">
        <v>40798</v>
      </c>
      <c r="K409" s="257">
        <v>0.73551</v>
      </c>
      <c r="L409" s="257">
        <v>0.73992000000000002</v>
      </c>
      <c r="M409" s="257">
        <v>0.71799999999999997</v>
      </c>
      <c r="N409" s="257">
        <v>0.72102999999999995</v>
      </c>
      <c r="O409" s="257">
        <v>0.72102999999999995</v>
      </c>
      <c r="P409" s="257">
        <v>0</v>
      </c>
    </row>
    <row r="410" spans="10:16" x14ac:dyDescent="0.2">
      <c r="J410" s="258">
        <v>40805</v>
      </c>
      <c r="K410" s="257">
        <v>0.72974000000000006</v>
      </c>
      <c r="L410" s="257">
        <v>0.74670999999999998</v>
      </c>
      <c r="M410" s="257">
        <v>0.72828000000000004</v>
      </c>
      <c r="N410" s="257">
        <v>0.74178999999999995</v>
      </c>
      <c r="O410" s="257">
        <v>0.74178999999999995</v>
      </c>
      <c r="P410" s="257">
        <v>0</v>
      </c>
    </row>
    <row r="411" spans="10:16" x14ac:dyDescent="0.2">
      <c r="J411" s="258">
        <v>40812</v>
      </c>
      <c r="K411" s="257">
        <v>0.73828000000000005</v>
      </c>
      <c r="L411" s="257">
        <v>0.74811000000000005</v>
      </c>
      <c r="M411" s="257">
        <v>0.73077999999999999</v>
      </c>
      <c r="N411" s="257">
        <v>0.73606000000000005</v>
      </c>
      <c r="O411" s="257">
        <v>0.73606000000000005</v>
      </c>
      <c r="P411" s="257">
        <v>0</v>
      </c>
    </row>
    <row r="412" spans="10:16" x14ac:dyDescent="0.2">
      <c r="J412" s="258">
        <v>40819</v>
      </c>
      <c r="K412" s="257">
        <v>0.74844999999999995</v>
      </c>
      <c r="L412" s="257">
        <v>0.76049</v>
      </c>
      <c r="M412" s="257">
        <v>0.73955000000000004</v>
      </c>
      <c r="N412" s="257">
        <v>0.74465999999999999</v>
      </c>
      <c r="O412" s="257">
        <v>0.74465999999999999</v>
      </c>
      <c r="P412" s="257">
        <v>0</v>
      </c>
    </row>
    <row r="413" spans="10:16" x14ac:dyDescent="0.2">
      <c r="J413" s="258">
        <v>40826</v>
      </c>
      <c r="K413" s="257">
        <v>0.74704999999999999</v>
      </c>
      <c r="L413" s="257">
        <v>0.74733000000000005</v>
      </c>
      <c r="M413" s="257">
        <v>0.71979000000000004</v>
      </c>
      <c r="N413" s="257">
        <v>0.72804000000000002</v>
      </c>
      <c r="O413" s="257">
        <v>0.72804000000000002</v>
      </c>
      <c r="P413" s="257">
        <v>0</v>
      </c>
    </row>
    <row r="414" spans="10:16" x14ac:dyDescent="0.2">
      <c r="J414" s="258">
        <v>40833</v>
      </c>
      <c r="K414" s="257">
        <v>0.72033000000000003</v>
      </c>
      <c r="L414" s="257">
        <v>0.73236000000000001</v>
      </c>
      <c r="M414" s="257">
        <v>0.71875</v>
      </c>
      <c r="N414" s="257">
        <v>0.72574000000000005</v>
      </c>
      <c r="O414" s="257">
        <v>0.72574000000000005</v>
      </c>
      <c r="P414" s="257">
        <v>0</v>
      </c>
    </row>
    <row r="415" spans="10:16" x14ac:dyDescent="0.2">
      <c r="J415" s="258">
        <v>40840</v>
      </c>
      <c r="K415" s="257">
        <v>0.72213000000000005</v>
      </c>
      <c r="L415" s="257">
        <v>0.72438000000000002</v>
      </c>
      <c r="M415" s="257">
        <v>0.70418000000000003</v>
      </c>
      <c r="N415" s="257">
        <v>0.70552000000000004</v>
      </c>
      <c r="O415" s="257">
        <v>0.70552000000000004</v>
      </c>
      <c r="P415" s="257">
        <v>0</v>
      </c>
    </row>
    <row r="416" spans="10:16" x14ac:dyDescent="0.2">
      <c r="J416" s="258">
        <v>40847</v>
      </c>
      <c r="K416" s="257">
        <v>0.70711000000000002</v>
      </c>
      <c r="L416" s="257">
        <v>0.73465000000000003</v>
      </c>
      <c r="M416" s="257">
        <v>0.70574000000000003</v>
      </c>
      <c r="N416" s="257">
        <v>0.72306999999999999</v>
      </c>
      <c r="O416" s="257">
        <v>0.72306999999999999</v>
      </c>
      <c r="P416" s="257">
        <v>0</v>
      </c>
    </row>
    <row r="417" spans="10:16" x14ac:dyDescent="0.2">
      <c r="J417" s="258">
        <v>40854</v>
      </c>
      <c r="K417" s="257">
        <v>0.72489000000000003</v>
      </c>
      <c r="L417" s="257">
        <v>0.74151</v>
      </c>
      <c r="M417" s="257">
        <v>0.72165999999999997</v>
      </c>
      <c r="N417" s="257">
        <v>0.73475000000000001</v>
      </c>
      <c r="O417" s="257">
        <v>0.73475000000000001</v>
      </c>
      <c r="P417" s="257">
        <v>0</v>
      </c>
    </row>
    <row r="418" spans="10:16" x14ac:dyDescent="0.2">
      <c r="J418" s="258">
        <v>40861</v>
      </c>
      <c r="K418" s="257">
        <v>0.72526999999999997</v>
      </c>
      <c r="L418" s="257">
        <v>0.74485999999999997</v>
      </c>
      <c r="M418" s="257">
        <v>0.72526999999999997</v>
      </c>
      <c r="N418" s="257">
        <v>0.74304999999999999</v>
      </c>
      <c r="O418" s="257">
        <v>0.74304999999999999</v>
      </c>
      <c r="P418" s="257">
        <v>0</v>
      </c>
    </row>
    <row r="419" spans="10:16" x14ac:dyDescent="0.2">
      <c r="J419" s="258">
        <v>40868</v>
      </c>
      <c r="K419" s="257">
        <v>0.73877000000000004</v>
      </c>
      <c r="L419" s="257">
        <v>0.75651999999999997</v>
      </c>
      <c r="M419" s="257">
        <v>0.73699000000000003</v>
      </c>
      <c r="N419" s="257">
        <v>0.75012999999999996</v>
      </c>
      <c r="O419" s="257">
        <v>0.75012999999999996</v>
      </c>
      <c r="P419" s="257">
        <v>0</v>
      </c>
    </row>
    <row r="420" spans="10:16" x14ac:dyDescent="0.2">
      <c r="J420" s="258">
        <v>40875</v>
      </c>
      <c r="K420" s="257">
        <v>0.75129999999999997</v>
      </c>
      <c r="L420" s="257">
        <v>0.75390000000000001</v>
      </c>
      <c r="M420" s="257">
        <v>0.73865999999999998</v>
      </c>
      <c r="N420" s="257">
        <v>0.74256</v>
      </c>
      <c r="O420" s="257">
        <v>0.74256</v>
      </c>
      <c r="P420" s="257">
        <v>0</v>
      </c>
    </row>
    <row r="421" spans="10:16" x14ac:dyDescent="0.2">
      <c r="J421" s="258">
        <v>40882</v>
      </c>
      <c r="K421" s="257">
        <v>0.74529999999999996</v>
      </c>
      <c r="L421" s="257">
        <v>0.75266999999999995</v>
      </c>
      <c r="M421" s="257">
        <v>0.74161999999999995</v>
      </c>
      <c r="N421" s="257">
        <v>0.74931999999999999</v>
      </c>
      <c r="O421" s="257">
        <v>0.74931999999999999</v>
      </c>
      <c r="P421" s="257">
        <v>0</v>
      </c>
    </row>
    <row r="422" spans="10:16" x14ac:dyDescent="0.2">
      <c r="J422" s="258">
        <v>40889</v>
      </c>
      <c r="K422" s="257">
        <v>0.74789000000000005</v>
      </c>
      <c r="L422" s="257">
        <v>0.77195999999999998</v>
      </c>
      <c r="M422" s="257">
        <v>0.74750000000000005</v>
      </c>
      <c r="N422" s="257">
        <v>0.76748000000000005</v>
      </c>
      <c r="O422" s="257">
        <v>0.76748000000000005</v>
      </c>
      <c r="P422" s="257">
        <v>0</v>
      </c>
    </row>
    <row r="423" spans="10:16" x14ac:dyDescent="0.2">
      <c r="J423" s="258">
        <v>40896</v>
      </c>
      <c r="K423" s="257">
        <v>0.76710999999999996</v>
      </c>
      <c r="L423" s="257">
        <v>0.77012000000000003</v>
      </c>
      <c r="M423" s="257">
        <v>0.75790999999999997</v>
      </c>
      <c r="N423" s="257">
        <v>0.76593</v>
      </c>
      <c r="O423" s="257">
        <v>0.76593</v>
      </c>
      <c r="P423" s="257">
        <v>0</v>
      </c>
    </row>
    <row r="424" spans="10:16" x14ac:dyDescent="0.2">
      <c r="J424" s="258">
        <v>40903</v>
      </c>
      <c r="K424" s="257">
        <v>0.76663999999999999</v>
      </c>
      <c r="L424" s="257">
        <v>0.77753000000000005</v>
      </c>
      <c r="M424" s="257">
        <v>0.76417999999999997</v>
      </c>
      <c r="N424" s="257">
        <v>0.77159999999999995</v>
      </c>
      <c r="O424" s="257">
        <v>0.77159999999999995</v>
      </c>
      <c r="P424" s="257">
        <v>0</v>
      </c>
    </row>
    <row r="425" spans="10:16" x14ac:dyDescent="0.2">
      <c r="J425" s="258">
        <v>40910</v>
      </c>
      <c r="K425" s="257">
        <v>0.77159999999999995</v>
      </c>
      <c r="L425" s="257">
        <v>0.78939000000000004</v>
      </c>
      <c r="M425" s="257">
        <v>0.76488</v>
      </c>
      <c r="N425" s="257">
        <v>0.78874</v>
      </c>
      <c r="O425" s="257">
        <v>0.78874</v>
      </c>
      <c r="P425" s="257">
        <v>0</v>
      </c>
    </row>
    <row r="426" spans="10:16" x14ac:dyDescent="0.2">
      <c r="J426" s="258">
        <v>40917</v>
      </c>
      <c r="K426" s="257">
        <v>0.78866999999999998</v>
      </c>
      <c r="L426" s="257">
        <v>0.79157999999999995</v>
      </c>
      <c r="M426" s="257">
        <v>0.77669999999999995</v>
      </c>
      <c r="N426" s="257">
        <v>0.79040999999999995</v>
      </c>
      <c r="O426" s="257">
        <v>0.79040999999999995</v>
      </c>
      <c r="P426" s="257">
        <v>0</v>
      </c>
    </row>
    <row r="427" spans="10:16" x14ac:dyDescent="0.2">
      <c r="J427" s="258">
        <v>40924</v>
      </c>
      <c r="K427" s="257">
        <v>0.79061000000000003</v>
      </c>
      <c r="L427" s="257">
        <v>0.79185000000000005</v>
      </c>
      <c r="M427" s="257">
        <v>0.77015</v>
      </c>
      <c r="N427" s="257">
        <v>0.77575000000000005</v>
      </c>
      <c r="O427" s="257">
        <v>0.77575000000000005</v>
      </c>
      <c r="P427" s="257">
        <v>0</v>
      </c>
    </row>
    <row r="428" spans="10:16" x14ac:dyDescent="0.2">
      <c r="J428" s="258">
        <v>40931</v>
      </c>
      <c r="K428" s="257">
        <v>0.77576999999999996</v>
      </c>
      <c r="L428" s="257">
        <v>1.3148</v>
      </c>
      <c r="M428" s="257">
        <v>0.75563000000000002</v>
      </c>
      <c r="N428" s="257">
        <v>0.75693999999999995</v>
      </c>
      <c r="O428" s="257">
        <v>0.75693999999999995</v>
      </c>
      <c r="P428" s="257">
        <v>0</v>
      </c>
    </row>
    <row r="429" spans="10:16" x14ac:dyDescent="0.2">
      <c r="J429" s="258">
        <v>40938</v>
      </c>
      <c r="K429" s="257">
        <v>0.75719999999999998</v>
      </c>
      <c r="L429" s="257">
        <v>0.76646000000000003</v>
      </c>
      <c r="M429" s="257">
        <v>0.75680000000000003</v>
      </c>
      <c r="N429" s="257">
        <v>0.76183999999999996</v>
      </c>
      <c r="O429" s="257">
        <v>0.76183999999999996</v>
      </c>
      <c r="P429" s="257">
        <v>0</v>
      </c>
    </row>
    <row r="430" spans="10:16" x14ac:dyDescent="0.2">
      <c r="J430" s="258">
        <v>40945</v>
      </c>
      <c r="K430" s="257">
        <v>0.76190000000000002</v>
      </c>
      <c r="L430" s="257">
        <v>0.76719999999999999</v>
      </c>
      <c r="M430" s="257">
        <v>0.750807</v>
      </c>
      <c r="N430" s="257">
        <v>0.75602999999999998</v>
      </c>
      <c r="O430" s="257">
        <v>0.75602999999999998</v>
      </c>
      <c r="P430" s="257">
        <v>0</v>
      </c>
    </row>
    <row r="431" spans="10:16" x14ac:dyDescent="0.2">
      <c r="J431" s="258">
        <v>40952</v>
      </c>
      <c r="K431" s="257">
        <v>0.75590000000000002</v>
      </c>
      <c r="L431" s="257">
        <v>0.77041999999999999</v>
      </c>
      <c r="M431" s="257">
        <v>0.75290000000000001</v>
      </c>
      <c r="N431" s="257">
        <v>0.75587000000000004</v>
      </c>
      <c r="O431" s="257">
        <v>0.75587000000000004</v>
      </c>
      <c r="P431" s="257">
        <v>0</v>
      </c>
    </row>
    <row r="432" spans="10:16" x14ac:dyDescent="0.2">
      <c r="J432" s="258">
        <v>40959</v>
      </c>
      <c r="K432" s="257">
        <v>0.75617000000000001</v>
      </c>
      <c r="L432" s="257">
        <v>0.75849999999999995</v>
      </c>
      <c r="M432" s="257">
        <v>0.74199999999999999</v>
      </c>
      <c r="N432" s="257">
        <v>0.74238999999999999</v>
      </c>
      <c r="O432" s="257">
        <v>0.74238999999999999</v>
      </c>
      <c r="P432" s="257">
        <v>0</v>
      </c>
    </row>
    <row r="433" spans="10:16" x14ac:dyDescent="0.2">
      <c r="J433" s="258">
        <v>40966</v>
      </c>
      <c r="K433" s="257">
        <v>0.74239999999999995</v>
      </c>
      <c r="L433" s="257">
        <v>0.75849999999999995</v>
      </c>
      <c r="M433" s="257">
        <v>0.74150000000000005</v>
      </c>
      <c r="N433" s="257">
        <v>0.75795000000000001</v>
      </c>
      <c r="O433" s="257">
        <v>0.75795000000000001</v>
      </c>
      <c r="P433" s="257">
        <v>0</v>
      </c>
    </row>
    <row r="434" spans="10:16" x14ac:dyDescent="0.2">
      <c r="J434" s="258">
        <v>40973</v>
      </c>
      <c r="K434" s="257">
        <v>0.75839999999999996</v>
      </c>
      <c r="L434" s="257">
        <v>0.76336999999999999</v>
      </c>
      <c r="M434" s="257">
        <v>0.75339999999999996</v>
      </c>
      <c r="N434" s="257">
        <v>0.7621</v>
      </c>
      <c r="O434" s="257">
        <v>0.7621</v>
      </c>
      <c r="P434" s="257">
        <v>0</v>
      </c>
    </row>
    <row r="435" spans="10:16" x14ac:dyDescent="0.2">
      <c r="J435" s="258">
        <v>40980</v>
      </c>
      <c r="K435" s="257">
        <v>0.7621</v>
      </c>
      <c r="L435" s="257">
        <v>0.76893999999999996</v>
      </c>
      <c r="M435" s="257">
        <v>0.75819999999999999</v>
      </c>
      <c r="N435" s="257">
        <v>0.75873000000000002</v>
      </c>
      <c r="O435" s="257">
        <v>0.75873000000000002</v>
      </c>
      <c r="P435" s="257">
        <v>0</v>
      </c>
    </row>
    <row r="436" spans="10:16" x14ac:dyDescent="0.2">
      <c r="J436" s="258">
        <v>40987</v>
      </c>
      <c r="K436" s="257">
        <v>0.75890000000000002</v>
      </c>
      <c r="L436" s="257">
        <v>0.76097700000000001</v>
      </c>
      <c r="M436" s="257">
        <v>0.75268900000000005</v>
      </c>
      <c r="N436" s="257">
        <v>0.75317999999999996</v>
      </c>
      <c r="O436" s="257">
        <v>0.75317999999999996</v>
      </c>
      <c r="P436" s="257">
        <v>0</v>
      </c>
    </row>
    <row r="437" spans="10:16" x14ac:dyDescent="0.2">
      <c r="J437" s="258">
        <v>40994</v>
      </c>
      <c r="K437" s="257">
        <v>0.75280000000000002</v>
      </c>
      <c r="L437" s="257">
        <v>0.75760000000000005</v>
      </c>
      <c r="M437" s="257">
        <v>0.74719400000000002</v>
      </c>
      <c r="N437" s="257">
        <v>0.74755000000000005</v>
      </c>
      <c r="O437" s="257">
        <v>0.74755000000000005</v>
      </c>
      <c r="P437" s="257">
        <v>0</v>
      </c>
    </row>
    <row r="438" spans="10:16" x14ac:dyDescent="0.2">
      <c r="J438" s="258">
        <v>41001</v>
      </c>
      <c r="K438" s="257">
        <v>0.74860000000000004</v>
      </c>
      <c r="L438" s="257">
        <v>0.76702999999999999</v>
      </c>
      <c r="M438" s="257">
        <v>0.74743999999999999</v>
      </c>
      <c r="N438" s="257">
        <v>0.76417999999999997</v>
      </c>
      <c r="O438" s="257">
        <v>0.76417999999999997</v>
      </c>
      <c r="P438" s="257">
        <v>0</v>
      </c>
    </row>
    <row r="439" spans="10:16" x14ac:dyDescent="0.2">
      <c r="J439" s="258">
        <v>41008</v>
      </c>
      <c r="K439" s="257">
        <v>0.76422999999999996</v>
      </c>
      <c r="L439" s="257">
        <v>0.76698999999999995</v>
      </c>
      <c r="M439" s="257">
        <v>0.75760000000000005</v>
      </c>
      <c r="N439" s="257">
        <v>0.76522999999999997</v>
      </c>
      <c r="O439" s="257">
        <v>0.76522999999999997</v>
      </c>
      <c r="P439" s="257">
        <v>0</v>
      </c>
    </row>
    <row r="440" spans="10:16" x14ac:dyDescent="0.2">
      <c r="J440" s="258">
        <v>41015</v>
      </c>
      <c r="K440" s="257">
        <v>0.76590000000000003</v>
      </c>
      <c r="L440" s="257">
        <v>0.76941400000000004</v>
      </c>
      <c r="M440" s="257">
        <v>0.75609000000000004</v>
      </c>
      <c r="N440" s="257">
        <v>0.75739999999999996</v>
      </c>
      <c r="O440" s="257">
        <v>0.75739999999999996</v>
      </c>
      <c r="P440" s="257">
        <v>0</v>
      </c>
    </row>
    <row r="441" spans="10:16" x14ac:dyDescent="0.2">
      <c r="J441" s="258">
        <v>41022</v>
      </c>
      <c r="K441" s="257">
        <v>0.75705999999999996</v>
      </c>
      <c r="L441" s="257">
        <v>0.76290000000000002</v>
      </c>
      <c r="M441" s="257">
        <v>0.75365000000000004</v>
      </c>
      <c r="N441" s="257">
        <v>0.75609000000000004</v>
      </c>
      <c r="O441" s="257">
        <v>0.75609000000000004</v>
      </c>
      <c r="P441" s="257">
        <v>0</v>
      </c>
    </row>
    <row r="442" spans="10:16" x14ac:dyDescent="0.2">
      <c r="J442" s="258">
        <v>41029</v>
      </c>
      <c r="K442" s="257">
        <v>0.75519999999999998</v>
      </c>
      <c r="L442" s="257">
        <v>0.77161999999999997</v>
      </c>
      <c r="M442" s="257">
        <v>0.75295999999999996</v>
      </c>
      <c r="N442" s="257">
        <v>0.7702</v>
      </c>
      <c r="O442" s="257">
        <v>0.7702</v>
      </c>
      <c r="P442" s="257">
        <v>0</v>
      </c>
    </row>
    <row r="443" spans="10:16" x14ac:dyDescent="0.2">
      <c r="J443" s="258">
        <v>41036</v>
      </c>
      <c r="K443" s="257">
        <v>0.77142999999999995</v>
      </c>
      <c r="L443" s="257">
        <v>0.77614000000000005</v>
      </c>
      <c r="M443" s="257">
        <v>0.76559999999999995</v>
      </c>
      <c r="N443" s="257">
        <v>0.77542</v>
      </c>
      <c r="O443" s="257">
        <v>0.77542</v>
      </c>
      <c r="P443" s="257">
        <v>0</v>
      </c>
    </row>
    <row r="444" spans="10:16" x14ac:dyDescent="0.2">
      <c r="J444" s="258">
        <v>41043</v>
      </c>
      <c r="K444" s="257">
        <v>0.77510000000000001</v>
      </c>
      <c r="L444" s="257">
        <v>0.79078999999999999</v>
      </c>
      <c r="M444" s="257">
        <v>0.77490000000000003</v>
      </c>
      <c r="N444" s="257">
        <v>0.78344999999999998</v>
      </c>
      <c r="O444" s="257">
        <v>0.78344999999999998</v>
      </c>
      <c r="P444" s="257">
        <v>0</v>
      </c>
    </row>
    <row r="445" spans="10:16" x14ac:dyDescent="0.2">
      <c r="J445" s="258">
        <v>41050</v>
      </c>
      <c r="K445" s="257">
        <v>0.78290000000000004</v>
      </c>
      <c r="L445" s="257">
        <v>0.79956499999999997</v>
      </c>
      <c r="M445" s="257">
        <v>0.78039999999999998</v>
      </c>
      <c r="N445" s="257">
        <v>0.79510999999999998</v>
      </c>
      <c r="O445" s="257">
        <v>0.79510999999999998</v>
      </c>
      <c r="P445" s="257">
        <v>0</v>
      </c>
    </row>
    <row r="446" spans="10:16" x14ac:dyDescent="0.2">
      <c r="J446" s="258">
        <v>41057</v>
      </c>
      <c r="K446" s="257">
        <v>0.79574</v>
      </c>
      <c r="L446" s="257">
        <v>0.81320599999999998</v>
      </c>
      <c r="M446" s="257">
        <v>0.79247500000000004</v>
      </c>
      <c r="N446" s="257">
        <v>0.80532000000000004</v>
      </c>
      <c r="O446" s="257">
        <v>0.80532000000000004</v>
      </c>
      <c r="P446" s="257">
        <v>0</v>
      </c>
    </row>
    <row r="447" spans="10:16" x14ac:dyDescent="0.2">
      <c r="J447" s="258">
        <v>41064</v>
      </c>
      <c r="K447" s="257">
        <v>0.80649000000000004</v>
      </c>
      <c r="L447" s="257">
        <v>0.80720000000000003</v>
      </c>
      <c r="M447" s="257">
        <v>0.78935</v>
      </c>
      <c r="N447" s="257">
        <v>0.79069999999999996</v>
      </c>
      <c r="O447" s="257">
        <v>0.79069999999999996</v>
      </c>
      <c r="P447" s="257">
        <v>0</v>
      </c>
    </row>
    <row r="448" spans="10:16" x14ac:dyDescent="0.2">
      <c r="J448" s="258">
        <v>41071</v>
      </c>
      <c r="K448" s="257">
        <v>0.79079999999999995</v>
      </c>
      <c r="L448" s="257">
        <v>0.80318999999999996</v>
      </c>
      <c r="M448" s="257">
        <v>0.78444000000000003</v>
      </c>
      <c r="N448" s="257">
        <v>0.7853</v>
      </c>
      <c r="O448" s="257">
        <v>0.7853</v>
      </c>
      <c r="P448" s="257">
        <v>0</v>
      </c>
    </row>
    <row r="449" spans="10:16" x14ac:dyDescent="0.2">
      <c r="J449" s="258">
        <v>41078</v>
      </c>
      <c r="K449" s="257">
        <v>0.78710000000000002</v>
      </c>
      <c r="L449" s="257">
        <v>0.79827999999999999</v>
      </c>
      <c r="M449" s="257">
        <v>0.78590000000000004</v>
      </c>
      <c r="N449" s="257">
        <v>0.79744999999999999</v>
      </c>
      <c r="O449" s="257">
        <v>0.79744999999999999</v>
      </c>
      <c r="P449" s="257">
        <v>0</v>
      </c>
    </row>
    <row r="450" spans="10:16" x14ac:dyDescent="0.2">
      <c r="J450" s="258">
        <v>41085</v>
      </c>
      <c r="K450" s="257">
        <v>0.79749999999999999</v>
      </c>
      <c r="L450" s="257">
        <v>0.80589999999999995</v>
      </c>
      <c r="M450" s="257">
        <v>0.78792300000000004</v>
      </c>
      <c r="N450" s="257">
        <v>0.78983000000000003</v>
      </c>
      <c r="O450" s="257">
        <v>0.78983000000000003</v>
      </c>
      <c r="P450" s="257">
        <v>0</v>
      </c>
    </row>
    <row r="451" spans="10:16" x14ac:dyDescent="0.2">
      <c r="J451" s="258">
        <v>41092</v>
      </c>
      <c r="K451" s="257">
        <v>0.79010000000000002</v>
      </c>
      <c r="L451" s="257">
        <v>0.81713000000000002</v>
      </c>
      <c r="M451" s="257">
        <v>0.78949999999999998</v>
      </c>
      <c r="N451" s="257">
        <v>0.81494</v>
      </c>
      <c r="O451" s="257">
        <v>0.81494</v>
      </c>
      <c r="P451" s="257">
        <v>0</v>
      </c>
    </row>
    <row r="452" spans="10:16" x14ac:dyDescent="0.2">
      <c r="J452" s="258">
        <v>41099</v>
      </c>
      <c r="K452" s="257">
        <v>0.81489999999999996</v>
      </c>
      <c r="L452" s="257">
        <v>0.82215899999999997</v>
      </c>
      <c r="M452" s="257">
        <v>0.81089800000000001</v>
      </c>
      <c r="N452" s="257">
        <v>0.81559000000000004</v>
      </c>
      <c r="O452" s="257">
        <v>0.81559000000000004</v>
      </c>
      <c r="P452" s="257">
        <v>0</v>
      </c>
    </row>
    <row r="453" spans="10:16" x14ac:dyDescent="0.2">
      <c r="J453" s="258">
        <v>41106</v>
      </c>
      <c r="K453" s="257">
        <v>0.81640000000000001</v>
      </c>
      <c r="L453" s="257">
        <v>0.82589999999999997</v>
      </c>
      <c r="M453" s="257">
        <v>0.81158300000000005</v>
      </c>
      <c r="N453" s="257">
        <v>0.82515000000000005</v>
      </c>
      <c r="O453" s="257">
        <v>0.82515000000000005</v>
      </c>
      <c r="P453" s="257">
        <v>0</v>
      </c>
    </row>
    <row r="454" spans="10:16" x14ac:dyDescent="0.2">
      <c r="J454" s="258">
        <v>41113</v>
      </c>
      <c r="K454" s="257">
        <v>0.82450000000000001</v>
      </c>
      <c r="L454" s="257">
        <v>0.82950000000000002</v>
      </c>
      <c r="M454" s="257">
        <v>0.80794999999999995</v>
      </c>
      <c r="N454" s="257">
        <v>0.81233</v>
      </c>
      <c r="O454" s="257">
        <v>0.81233</v>
      </c>
      <c r="P454" s="257">
        <v>0</v>
      </c>
    </row>
    <row r="455" spans="10:16" x14ac:dyDescent="0.2">
      <c r="J455" s="258">
        <v>41120</v>
      </c>
      <c r="K455" s="257">
        <v>0.81279999999999997</v>
      </c>
      <c r="L455" s="257">
        <v>0.82385900000000001</v>
      </c>
      <c r="M455" s="257">
        <v>0.80639000000000005</v>
      </c>
      <c r="N455" s="257">
        <v>0.80679999999999996</v>
      </c>
      <c r="O455" s="257">
        <v>0.80679999999999996</v>
      </c>
      <c r="P455" s="257">
        <v>0</v>
      </c>
    </row>
    <row r="456" spans="10:16" x14ac:dyDescent="0.2">
      <c r="J456" s="258">
        <v>41127</v>
      </c>
      <c r="K456" s="257">
        <v>0.80459999999999998</v>
      </c>
      <c r="L456" s="257">
        <v>0.8165</v>
      </c>
      <c r="M456" s="257">
        <v>0.80379999999999996</v>
      </c>
      <c r="N456" s="257">
        <v>0.81362999999999996</v>
      </c>
      <c r="O456" s="257">
        <v>0.81362999999999996</v>
      </c>
      <c r="P456" s="257">
        <v>0</v>
      </c>
    </row>
    <row r="457" spans="10:16" x14ac:dyDescent="0.2">
      <c r="J457" s="258">
        <v>41134</v>
      </c>
      <c r="K457" s="257">
        <v>0.81459999999999999</v>
      </c>
      <c r="L457" s="257">
        <v>0.81574100000000005</v>
      </c>
      <c r="M457" s="257">
        <v>0.80740000000000001</v>
      </c>
      <c r="N457" s="257">
        <v>0.81030999999999997</v>
      </c>
      <c r="O457" s="257">
        <v>0.81030999999999997</v>
      </c>
      <c r="P457" s="257">
        <v>0</v>
      </c>
    </row>
    <row r="458" spans="10:16" x14ac:dyDescent="0.2">
      <c r="J458" s="258">
        <v>41141</v>
      </c>
      <c r="K458" s="257">
        <v>0.81079999999999997</v>
      </c>
      <c r="L458" s="257">
        <v>0.81320599999999998</v>
      </c>
      <c r="M458" s="257">
        <v>0.79434400000000005</v>
      </c>
      <c r="N458" s="257">
        <v>0.79879</v>
      </c>
      <c r="O458" s="257">
        <v>0.79879</v>
      </c>
      <c r="P458" s="257">
        <v>0</v>
      </c>
    </row>
    <row r="459" spans="10:16" x14ac:dyDescent="0.2">
      <c r="J459" s="258">
        <v>41148</v>
      </c>
      <c r="K459" s="257">
        <v>0.79971000000000003</v>
      </c>
      <c r="L459" s="257">
        <v>0.80203000000000002</v>
      </c>
      <c r="M459" s="257">
        <v>0.79182799999999998</v>
      </c>
      <c r="N459" s="257">
        <v>0.79484999999999995</v>
      </c>
      <c r="O459" s="257">
        <v>0.79484999999999995</v>
      </c>
      <c r="P459" s="257">
        <v>0</v>
      </c>
    </row>
    <row r="460" spans="10:16" x14ac:dyDescent="0.2">
      <c r="J460" s="258">
        <v>41155</v>
      </c>
      <c r="K460" s="257">
        <v>0.79510000000000003</v>
      </c>
      <c r="L460" s="257">
        <v>0.79969999999999997</v>
      </c>
      <c r="M460" s="257">
        <v>0.78</v>
      </c>
      <c r="N460" s="257">
        <v>0.78127000000000002</v>
      </c>
      <c r="O460" s="257">
        <v>0.78127000000000002</v>
      </c>
      <c r="P460" s="257">
        <v>0</v>
      </c>
    </row>
    <row r="461" spans="10:16" x14ac:dyDescent="0.2">
      <c r="J461" s="258">
        <v>41162</v>
      </c>
      <c r="K461" s="257">
        <v>0.78149999999999997</v>
      </c>
      <c r="L461" s="257">
        <v>0.78368000000000004</v>
      </c>
      <c r="M461" s="257">
        <v>0.75941099999999995</v>
      </c>
      <c r="N461" s="257">
        <v>0.76236999999999999</v>
      </c>
      <c r="O461" s="257">
        <v>0.76236999999999999</v>
      </c>
      <c r="P461" s="257">
        <v>0</v>
      </c>
    </row>
    <row r="462" spans="10:16" x14ac:dyDescent="0.2">
      <c r="J462" s="258">
        <v>41169</v>
      </c>
      <c r="K462" s="257">
        <v>0.76239999999999997</v>
      </c>
      <c r="L462" s="257">
        <v>0.77380800000000005</v>
      </c>
      <c r="M462" s="257">
        <v>0.75951999999999997</v>
      </c>
      <c r="N462" s="257">
        <v>0.77100000000000002</v>
      </c>
      <c r="O462" s="257">
        <v>0.77100000000000002</v>
      </c>
      <c r="P462" s="257">
        <v>0</v>
      </c>
    </row>
    <row r="463" spans="10:16" x14ac:dyDescent="0.2">
      <c r="J463" s="258">
        <v>41176</v>
      </c>
      <c r="K463" s="257">
        <v>0.77107000000000003</v>
      </c>
      <c r="L463" s="257">
        <v>0.77902000000000005</v>
      </c>
      <c r="M463" s="257">
        <v>0.77039999999999997</v>
      </c>
      <c r="N463" s="257">
        <v>0.77851000000000004</v>
      </c>
      <c r="O463" s="257">
        <v>0.77851000000000004</v>
      </c>
      <c r="P463" s="257">
        <v>0</v>
      </c>
    </row>
    <row r="464" spans="10:16" x14ac:dyDescent="0.2">
      <c r="J464" s="258">
        <v>41183</v>
      </c>
      <c r="K464" s="257">
        <v>0.78083999999999998</v>
      </c>
      <c r="L464" s="257">
        <v>0.78083999999999998</v>
      </c>
      <c r="M464" s="257">
        <v>0.76500000000000001</v>
      </c>
      <c r="N464" s="257">
        <v>0.76803999999999994</v>
      </c>
      <c r="O464" s="257">
        <v>0.76803999999999994</v>
      </c>
      <c r="P464" s="257">
        <v>0</v>
      </c>
    </row>
    <row r="465" spans="10:16" x14ac:dyDescent="0.2">
      <c r="J465" s="258">
        <v>41190</v>
      </c>
      <c r="K465" s="257">
        <v>0.76829999999999998</v>
      </c>
      <c r="L465" s="257">
        <v>0.77939999999999998</v>
      </c>
      <c r="M465" s="257">
        <v>0.76829999999999998</v>
      </c>
      <c r="N465" s="257">
        <v>0.77237999999999996</v>
      </c>
      <c r="O465" s="257">
        <v>0.77237999999999996</v>
      </c>
      <c r="P465" s="257">
        <v>0</v>
      </c>
    </row>
    <row r="466" spans="10:16" x14ac:dyDescent="0.2">
      <c r="J466" s="258">
        <v>41197</v>
      </c>
      <c r="K466" s="257">
        <v>0.77270000000000005</v>
      </c>
      <c r="L466" s="257">
        <v>0.77529999999999999</v>
      </c>
      <c r="M466" s="257">
        <v>0.76116200000000001</v>
      </c>
      <c r="N466" s="257">
        <v>0.76776999999999995</v>
      </c>
      <c r="O466" s="257">
        <v>0.76776999999999995</v>
      </c>
      <c r="P466" s="257">
        <v>0</v>
      </c>
    </row>
    <row r="467" spans="10:16" x14ac:dyDescent="0.2">
      <c r="J467" s="258">
        <v>41204</v>
      </c>
      <c r="K467" s="257">
        <v>0.76790000000000003</v>
      </c>
      <c r="L467" s="257">
        <v>0.77568999999999999</v>
      </c>
      <c r="M467" s="257">
        <v>0.76449999999999996</v>
      </c>
      <c r="N467" s="257">
        <v>0.77381</v>
      </c>
      <c r="O467" s="257">
        <v>0.77381</v>
      </c>
      <c r="P467" s="257">
        <v>0</v>
      </c>
    </row>
    <row r="468" spans="10:16" x14ac:dyDescent="0.2">
      <c r="J468" s="258">
        <v>41211</v>
      </c>
      <c r="K468" s="257">
        <v>0.77380000000000004</v>
      </c>
      <c r="L468" s="257">
        <v>0.78029999999999999</v>
      </c>
      <c r="M468" s="257">
        <v>0.7681</v>
      </c>
      <c r="N468" s="257">
        <v>0.77952999999999995</v>
      </c>
      <c r="O468" s="257">
        <v>0.77952999999999995</v>
      </c>
      <c r="P468" s="257">
        <v>0</v>
      </c>
    </row>
    <row r="469" spans="10:16" x14ac:dyDescent="0.2">
      <c r="J469" s="258">
        <v>41218</v>
      </c>
      <c r="K469" s="257">
        <v>0.77969999999999995</v>
      </c>
      <c r="L469" s="257">
        <v>0.78781100000000004</v>
      </c>
      <c r="M469" s="257">
        <v>0.77662699999999996</v>
      </c>
      <c r="N469" s="257">
        <v>0.78603999999999996</v>
      </c>
      <c r="O469" s="257">
        <v>0.78603999999999996</v>
      </c>
      <c r="P469" s="257">
        <v>0</v>
      </c>
    </row>
    <row r="470" spans="10:16" x14ac:dyDescent="0.2">
      <c r="J470" s="258">
        <v>41225</v>
      </c>
      <c r="K470" s="257">
        <v>0.78590000000000004</v>
      </c>
      <c r="L470" s="257">
        <v>0.78947999999999996</v>
      </c>
      <c r="M470" s="257">
        <v>0.78110000000000002</v>
      </c>
      <c r="N470" s="257">
        <v>0.78358000000000005</v>
      </c>
      <c r="O470" s="257">
        <v>0.78358000000000005</v>
      </c>
      <c r="P470" s="257">
        <v>0</v>
      </c>
    </row>
    <row r="471" spans="10:16" x14ac:dyDescent="0.2">
      <c r="J471" s="258">
        <v>41232</v>
      </c>
      <c r="K471" s="257">
        <v>0.78369999999999995</v>
      </c>
      <c r="L471" s="257">
        <v>0.784775</v>
      </c>
      <c r="M471" s="257">
        <v>0.77048000000000005</v>
      </c>
      <c r="N471" s="257">
        <v>0.77107000000000003</v>
      </c>
      <c r="O471" s="257">
        <v>0.77107000000000003</v>
      </c>
      <c r="P471" s="257">
        <v>0</v>
      </c>
    </row>
    <row r="472" spans="10:16" x14ac:dyDescent="0.2">
      <c r="J472" s="258">
        <v>41239</v>
      </c>
      <c r="K472" s="257">
        <v>0.77081999999999995</v>
      </c>
      <c r="L472" s="257">
        <v>0.77624099999999996</v>
      </c>
      <c r="M472" s="257">
        <v>0.76754199999999995</v>
      </c>
      <c r="N472" s="257">
        <v>0.76941000000000004</v>
      </c>
      <c r="O472" s="257">
        <v>0.76941000000000004</v>
      </c>
      <c r="P472" s="257">
        <v>0</v>
      </c>
    </row>
    <row r="473" spans="10:16" x14ac:dyDescent="0.2">
      <c r="J473" s="258">
        <v>41246</v>
      </c>
      <c r="K473" s="257">
        <v>0.76939999999999997</v>
      </c>
      <c r="L473" s="257">
        <v>0.77625299999999997</v>
      </c>
      <c r="M473" s="257">
        <v>0.76190000000000002</v>
      </c>
      <c r="N473" s="257">
        <v>0.77512999999999999</v>
      </c>
      <c r="O473" s="257">
        <v>0.77512999999999999</v>
      </c>
      <c r="P473" s="257">
        <v>0</v>
      </c>
    </row>
    <row r="474" spans="10:16" x14ac:dyDescent="0.2">
      <c r="J474" s="258">
        <v>41253</v>
      </c>
      <c r="K474" s="257">
        <v>0.77480000000000004</v>
      </c>
      <c r="L474" s="257">
        <v>0.77590000000000003</v>
      </c>
      <c r="M474" s="257">
        <v>0.75814999999999999</v>
      </c>
      <c r="N474" s="257">
        <v>0.75934000000000001</v>
      </c>
      <c r="O474" s="257">
        <v>0.75934000000000001</v>
      </c>
      <c r="P474" s="257">
        <v>0</v>
      </c>
    </row>
    <row r="475" spans="10:16" x14ac:dyDescent="0.2">
      <c r="J475" s="258">
        <v>41260</v>
      </c>
      <c r="K475" s="257">
        <v>0.75949999999999995</v>
      </c>
      <c r="L475" s="257">
        <v>0.76060000000000005</v>
      </c>
      <c r="M475" s="257">
        <v>0.75148999999999999</v>
      </c>
      <c r="N475" s="257">
        <v>0.75838000000000005</v>
      </c>
      <c r="O475" s="257">
        <v>0.75838000000000005</v>
      </c>
      <c r="P475" s="257">
        <v>0</v>
      </c>
    </row>
    <row r="476" spans="10:16" x14ac:dyDescent="0.2">
      <c r="J476" s="258">
        <v>41267</v>
      </c>
      <c r="K476" s="257">
        <v>0.75860000000000005</v>
      </c>
      <c r="L476" s="257">
        <v>0.75951000000000002</v>
      </c>
      <c r="M476" s="257">
        <v>0.75270000000000004</v>
      </c>
      <c r="N476" s="257">
        <v>0.75592000000000004</v>
      </c>
      <c r="O476" s="257">
        <v>0.75592000000000004</v>
      </c>
      <c r="P476" s="257">
        <v>0</v>
      </c>
    </row>
    <row r="477" spans="10:16" x14ac:dyDescent="0.2">
      <c r="J477" s="258">
        <v>41274</v>
      </c>
      <c r="K477" s="257">
        <v>0.75600000000000001</v>
      </c>
      <c r="L477" s="257">
        <v>0.76919999999999999</v>
      </c>
      <c r="M477" s="257">
        <v>0.75199000000000005</v>
      </c>
      <c r="N477" s="257">
        <v>0.76488</v>
      </c>
      <c r="O477" s="257">
        <v>0.76488</v>
      </c>
      <c r="P477" s="257">
        <v>0</v>
      </c>
    </row>
    <row r="478" spans="10:16" x14ac:dyDescent="0.2">
      <c r="J478" s="258">
        <v>41281</v>
      </c>
      <c r="K478" s="257">
        <v>0.76519999999999999</v>
      </c>
      <c r="L478" s="257">
        <v>0.76801399999999997</v>
      </c>
      <c r="M478" s="257">
        <v>0.74794000000000005</v>
      </c>
      <c r="N478" s="257">
        <v>0.74839999999999995</v>
      </c>
      <c r="O478" s="257">
        <v>0.74839999999999995</v>
      </c>
      <c r="P478" s="257">
        <v>0</v>
      </c>
    </row>
    <row r="479" spans="10:16" x14ac:dyDescent="0.2">
      <c r="J479" s="258">
        <v>41288</v>
      </c>
      <c r="K479" s="257">
        <v>0.74850000000000005</v>
      </c>
      <c r="L479" s="257">
        <v>0.75409999999999999</v>
      </c>
      <c r="M479" s="257">
        <v>0.74609999999999999</v>
      </c>
      <c r="N479" s="257">
        <v>0.75080999999999998</v>
      </c>
      <c r="O479" s="257">
        <v>0.75080999999999998</v>
      </c>
      <c r="P479" s="257">
        <v>0</v>
      </c>
    </row>
    <row r="480" spans="10:16" x14ac:dyDescent="0.2">
      <c r="J480" s="258">
        <v>41295</v>
      </c>
      <c r="K480" s="257">
        <v>0.75080000000000002</v>
      </c>
      <c r="L480" s="257">
        <v>0.75347699999999995</v>
      </c>
      <c r="M480" s="257">
        <v>0.74188900000000002</v>
      </c>
      <c r="N480" s="257">
        <v>0.74260000000000004</v>
      </c>
      <c r="O480" s="257">
        <v>0.74260000000000004</v>
      </c>
      <c r="P480" s="257">
        <v>0</v>
      </c>
    </row>
    <row r="481" spans="10:16" x14ac:dyDescent="0.2">
      <c r="J481" s="258">
        <v>41302</v>
      </c>
      <c r="K481" s="257">
        <v>0.74260000000000004</v>
      </c>
      <c r="L481" s="257">
        <v>0.74529999999999996</v>
      </c>
      <c r="M481" s="257">
        <v>0.73029999999999995</v>
      </c>
      <c r="N481" s="257">
        <v>0.73260999999999998</v>
      </c>
      <c r="O481" s="257">
        <v>0.73260999999999998</v>
      </c>
      <c r="P481" s="257">
        <v>0</v>
      </c>
    </row>
    <row r="482" spans="10:16" x14ac:dyDescent="0.2">
      <c r="J482" s="258">
        <v>41309</v>
      </c>
      <c r="K482" s="257">
        <v>0.73275000000000001</v>
      </c>
      <c r="L482" s="257">
        <v>0.75002000000000002</v>
      </c>
      <c r="M482" s="257">
        <v>0.73270000000000002</v>
      </c>
      <c r="N482" s="257">
        <v>0.74794000000000005</v>
      </c>
      <c r="O482" s="257">
        <v>0.74794000000000005</v>
      </c>
      <c r="P482" s="257">
        <v>0</v>
      </c>
    </row>
    <row r="483" spans="10:16" x14ac:dyDescent="0.2">
      <c r="J483" s="258">
        <v>41316</v>
      </c>
      <c r="K483" s="257">
        <v>0.74809999999999999</v>
      </c>
      <c r="L483" s="257">
        <v>0.75134999999999996</v>
      </c>
      <c r="M483" s="257">
        <v>0.73974899999999999</v>
      </c>
      <c r="N483" s="257">
        <v>0.74946000000000002</v>
      </c>
      <c r="O483" s="257">
        <v>0.74946000000000002</v>
      </c>
      <c r="P483" s="257">
        <v>0</v>
      </c>
    </row>
    <row r="484" spans="10:16" x14ac:dyDescent="0.2">
      <c r="J484" s="258">
        <v>41323</v>
      </c>
      <c r="K484" s="257">
        <v>0.74950000000000006</v>
      </c>
      <c r="L484" s="257">
        <v>0.76051400000000002</v>
      </c>
      <c r="M484" s="257">
        <v>0.74438000000000004</v>
      </c>
      <c r="N484" s="257">
        <v>0.75763000000000003</v>
      </c>
      <c r="O484" s="257">
        <v>0.75763000000000003</v>
      </c>
      <c r="P484" s="257">
        <v>0</v>
      </c>
    </row>
    <row r="485" spans="10:16" x14ac:dyDescent="0.2">
      <c r="J485" s="258">
        <v>41330</v>
      </c>
      <c r="K485" s="257">
        <v>0.75790000000000002</v>
      </c>
      <c r="L485" s="257">
        <v>0.77098</v>
      </c>
      <c r="M485" s="257">
        <v>0.75119999999999998</v>
      </c>
      <c r="N485" s="257">
        <v>0.76787000000000005</v>
      </c>
      <c r="O485" s="257">
        <v>0.76787000000000005</v>
      </c>
      <c r="P485" s="257">
        <v>0</v>
      </c>
    </row>
    <row r="486" spans="10:16" x14ac:dyDescent="0.2">
      <c r="J486" s="258">
        <v>41337</v>
      </c>
      <c r="K486" s="257">
        <v>0.76819999999999999</v>
      </c>
      <c r="L486" s="257">
        <v>0.77160499999999999</v>
      </c>
      <c r="M486" s="257">
        <v>0.76136499999999996</v>
      </c>
      <c r="N486" s="257">
        <v>0.76981999999999995</v>
      </c>
      <c r="O486" s="257">
        <v>0.76981999999999995</v>
      </c>
      <c r="P486" s="257">
        <v>0</v>
      </c>
    </row>
    <row r="487" spans="10:16" x14ac:dyDescent="0.2">
      <c r="J487" s="258">
        <v>41344</v>
      </c>
      <c r="K487" s="257">
        <v>0.76990000000000003</v>
      </c>
      <c r="L487" s="257">
        <v>0.77519000000000005</v>
      </c>
      <c r="M487" s="257">
        <v>0.76312000000000002</v>
      </c>
      <c r="N487" s="257">
        <v>0.77495000000000003</v>
      </c>
      <c r="O487" s="257">
        <v>0.77495000000000003</v>
      </c>
      <c r="P487" s="257">
        <v>0</v>
      </c>
    </row>
    <row r="488" spans="10:16" x14ac:dyDescent="0.2">
      <c r="J488" s="258">
        <v>41351</v>
      </c>
      <c r="K488" s="257">
        <v>0.77529999999999999</v>
      </c>
      <c r="L488" s="257">
        <v>0.77729999999999999</v>
      </c>
      <c r="M488" s="257">
        <v>0.76646000000000003</v>
      </c>
      <c r="N488" s="257">
        <v>0.76744999999999997</v>
      </c>
      <c r="O488" s="257">
        <v>0.76744999999999997</v>
      </c>
      <c r="P488" s="257">
        <v>0</v>
      </c>
    </row>
    <row r="489" spans="10:16" x14ac:dyDescent="0.2">
      <c r="J489" s="258">
        <v>41358</v>
      </c>
      <c r="K489" s="257">
        <v>0.76780000000000004</v>
      </c>
      <c r="L489" s="257">
        <v>0.78392600000000001</v>
      </c>
      <c r="M489" s="257">
        <v>0.76639999999999997</v>
      </c>
      <c r="N489" s="257">
        <v>0.78076999999999996</v>
      </c>
      <c r="O489" s="257">
        <v>0.78076999999999996</v>
      </c>
      <c r="P489" s="257">
        <v>0</v>
      </c>
    </row>
    <row r="490" spans="10:16" x14ac:dyDescent="0.2">
      <c r="J490" s="258">
        <v>41365</v>
      </c>
      <c r="K490" s="257">
        <v>0.78090999999999999</v>
      </c>
      <c r="L490" s="257">
        <v>0.78432599999999997</v>
      </c>
      <c r="M490" s="257">
        <v>0.76680000000000004</v>
      </c>
      <c r="N490" s="257">
        <v>0.76893999999999996</v>
      </c>
      <c r="O490" s="257">
        <v>0.76893999999999996</v>
      </c>
      <c r="P490" s="257">
        <v>0</v>
      </c>
    </row>
    <row r="491" spans="10:16" x14ac:dyDescent="0.2">
      <c r="J491" s="258">
        <v>41372</v>
      </c>
      <c r="K491" s="257">
        <v>0.76970000000000005</v>
      </c>
      <c r="L491" s="257">
        <v>0.77105999999999997</v>
      </c>
      <c r="M491" s="257">
        <v>0.76103500000000002</v>
      </c>
      <c r="N491" s="257">
        <v>0.76297000000000004</v>
      </c>
      <c r="O491" s="257">
        <v>0.76297000000000004</v>
      </c>
      <c r="P491" s="257">
        <v>0</v>
      </c>
    </row>
    <row r="492" spans="10:16" x14ac:dyDescent="0.2">
      <c r="J492" s="258">
        <v>41379</v>
      </c>
      <c r="K492" s="257">
        <v>0.76354</v>
      </c>
      <c r="L492" s="257">
        <v>0.76780000000000004</v>
      </c>
      <c r="M492" s="257">
        <v>0.75774200000000003</v>
      </c>
      <c r="N492" s="257">
        <v>0.76546000000000003</v>
      </c>
      <c r="O492" s="257">
        <v>0.76546000000000003</v>
      </c>
      <c r="P492" s="257">
        <v>0</v>
      </c>
    </row>
    <row r="493" spans="10:16" x14ac:dyDescent="0.2">
      <c r="J493" s="258">
        <v>41386</v>
      </c>
      <c r="K493" s="257">
        <v>0.76580000000000004</v>
      </c>
      <c r="L493" s="257">
        <v>0.77148600000000001</v>
      </c>
      <c r="M493" s="257">
        <v>0.76378999999999997</v>
      </c>
      <c r="N493" s="257">
        <v>0.76658000000000004</v>
      </c>
      <c r="O493" s="257">
        <v>0.76658000000000004</v>
      </c>
      <c r="P493" s="257">
        <v>0</v>
      </c>
    </row>
    <row r="494" spans="10:16" x14ac:dyDescent="0.2">
      <c r="J494" s="258">
        <v>41393</v>
      </c>
      <c r="K494" s="257">
        <v>0.76670000000000005</v>
      </c>
      <c r="L494" s="257">
        <v>0.76719999999999999</v>
      </c>
      <c r="M494" s="257">
        <v>0.75519999999999998</v>
      </c>
      <c r="N494" s="257">
        <v>0.76256000000000002</v>
      </c>
      <c r="O494" s="257">
        <v>0.76256000000000002</v>
      </c>
      <c r="P494" s="257">
        <v>0</v>
      </c>
    </row>
    <row r="495" spans="10:16" x14ac:dyDescent="0.2">
      <c r="J495" s="258">
        <v>41400</v>
      </c>
      <c r="K495" s="257">
        <v>0.76200000000000001</v>
      </c>
      <c r="L495" s="257">
        <v>0.77292899999999998</v>
      </c>
      <c r="M495" s="257">
        <v>0.75816700000000004</v>
      </c>
      <c r="N495" s="257">
        <v>0.77112999999999998</v>
      </c>
      <c r="O495" s="257">
        <v>0.77112999999999998</v>
      </c>
      <c r="P495" s="257">
        <v>0</v>
      </c>
    </row>
    <row r="496" spans="10:16" x14ac:dyDescent="0.2">
      <c r="J496" s="258">
        <v>41407</v>
      </c>
      <c r="K496" s="257">
        <v>0.77107000000000003</v>
      </c>
      <c r="L496" s="257">
        <v>0.78125</v>
      </c>
      <c r="M496" s="257">
        <v>0.76770000000000005</v>
      </c>
      <c r="N496" s="257">
        <v>0.77890000000000004</v>
      </c>
      <c r="O496" s="257">
        <v>0.77890000000000004</v>
      </c>
      <c r="P496" s="257">
        <v>0</v>
      </c>
    </row>
    <row r="497" spans="10:16" x14ac:dyDescent="0.2">
      <c r="J497" s="258">
        <v>41414</v>
      </c>
      <c r="K497" s="257">
        <v>0.77942</v>
      </c>
      <c r="L497" s="257">
        <v>0.77993000000000001</v>
      </c>
      <c r="M497" s="257">
        <v>0.76940799999999998</v>
      </c>
      <c r="N497" s="257">
        <v>0.77261999999999997</v>
      </c>
      <c r="O497" s="257">
        <v>0.77261999999999997</v>
      </c>
      <c r="P497" s="257">
        <v>0</v>
      </c>
    </row>
    <row r="498" spans="10:16" x14ac:dyDescent="0.2">
      <c r="J498" s="258">
        <v>41421</v>
      </c>
      <c r="K498" s="257">
        <v>0.77298</v>
      </c>
      <c r="L498" s="257">
        <v>0.77883400000000003</v>
      </c>
      <c r="M498" s="257">
        <v>0.76563800000000004</v>
      </c>
      <c r="N498" s="257">
        <v>0.76964999999999995</v>
      </c>
      <c r="O498" s="257">
        <v>0.76964999999999995</v>
      </c>
      <c r="P498" s="257">
        <v>0</v>
      </c>
    </row>
    <row r="499" spans="10:16" x14ac:dyDescent="0.2">
      <c r="J499" s="258">
        <v>41428</v>
      </c>
      <c r="K499" s="257">
        <v>0.76951999999999998</v>
      </c>
      <c r="L499" s="257">
        <v>0.77178000000000002</v>
      </c>
      <c r="M499" s="257">
        <v>0.75329000000000002</v>
      </c>
      <c r="N499" s="257">
        <v>0.75702000000000003</v>
      </c>
      <c r="O499" s="257">
        <v>0.75702000000000003</v>
      </c>
      <c r="P499" s="257">
        <v>0</v>
      </c>
    </row>
    <row r="500" spans="10:16" x14ac:dyDescent="0.2">
      <c r="J500" s="258">
        <v>41435</v>
      </c>
      <c r="K500" s="257">
        <v>0.75619999999999998</v>
      </c>
      <c r="L500" s="257">
        <v>0.758691</v>
      </c>
      <c r="M500" s="257">
        <v>0.74688200000000005</v>
      </c>
      <c r="N500" s="257">
        <v>0.74914000000000003</v>
      </c>
      <c r="O500" s="257">
        <v>0.74914000000000003</v>
      </c>
      <c r="P500" s="257">
        <v>0</v>
      </c>
    </row>
    <row r="501" spans="10:16" x14ac:dyDescent="0.2">
      <c r="J501" s="258">
        <v>41442</v>
      </c>
      <c r="K501" s="257">
        <v>0.74900999999999995</v>
      </c>
      <c r="L501" s="257">
        <v>0.76388</v>
      </c>
      <c r="M501" s="257">
        <v>0.74552300000000005</v>
      </c>
      <c r="N501" s="257">
        <v>0.76285999999999998</v>
      </c>
      <c r="O501" s="257">
        <v>0.76285999999999998</v>
      </c>
      <c r="P501" s="257">
        <v>0</v>
      </c>
    </row>
    <row r="502" spans="10:16" x14ac:dyDescent="0.2">
      <c r="J502" s="258">
        <v>41449</v>
      </c>
      <c r="K502" s="257">
        <v>0.76312000000000002</v>
      </c>
      <c r="L502" s="257">
        <v>0.76999499999999999</v>
      </c>
      <c r="M502" s="257">
        <v>0.76049</v>
      </c>
      <c r="N502" s="257">
        <v>0.76846000000000003</v>
      </c>
      <c r="O502" s="257">
        <v>0.76846000000000003</v>
      </c>
      <c r="P502" s="257">
        <v>0</v>
      </c>
    </row>
    <row r="503" spans="10:16" x14ac:dyDescent="0.2">
      <c r="J503" s="258">
        <v>41456</v>
      </c>
      <c r="K503" s="257">
        <v>0.76841000000000004</v>
      </c>
      <c r="L503" s="257">
        <v>0.78058000000000005</v>
      </c>
      <c r="M503" s="257">
        <v>0.76463700000000001</v>
      </c>
      <c r="N503" s="257">
        <v>0.77942</v>
      </c>
      <c r="O503" s="257">
        <v>0.77942</v>
      </c>
      <c r="P503" s="257">
        <v>0</v>
      </c>
    </row>
    <row r="504" spans="10:16" x14ac:dyDescent="0.2">
      <c r="J504" s="258">
        <v>41463</v>
      </c>
      <c r="K504" s="257">
        <v>0.77954999999999997</v>
      </c>
      <c r="L504" s="257">
        <v>0.78351499999999996</v>
      </c>
      <c r="M504" s="257">
        <v>0.75892999999999999</v>
      </c>
      <c r="N504" s="257">
        <v>0.76571</v>
      </c>
      <c r="O504" s="257">
        <v>0.76571</v>
      </c>
      <c r="P504" s="257">
        <v>0</v>
      </c>
    </row>
    <row r="505" spans="10:16" x14ac:dyDescent="0.2">
      <c r="J505" s="258">
        <v>41470</v>
      </c>
      <c r="K505" s="257">
        <v>0.76563999999999999</v>
      </c>
      <c r="L505" s="257">
        <v>0.76937999999999995</v>
      </c>
      <c r="M505" s="257">
        <v>0.75914000000000004</v>
      </c>
      <c r="N505" s="257">
        <v>0.76068000000000002</v>
      </c>
      <c r="O505" s="257">
        <v>0.76068000000000002</v>
      </c>
      <c r="P505" s="257">
        <v>0</v>
      </c>
    </row>
    <row r="506" spans="10:16" x14ac:dyDescent="0.2">
      <c r="J506" s="258">
        <v>41477</v>
      </c>
      <c r="K506" s="257">
        <v>0.76010999999999995</v>
      </c>
      <c r="L506" s="257">
        <v>0.76074600000000003</v>
      </c>
      <c r="M506" s="257">
        <v>0.75199300000000002</v>
      </c>
      <c r="N506" s="257">
        <v>0.75266999999999995</v>
      </c>
      <c r="O506" s="257">
        <v>0.75266999999999995</v>
      </c>
      <c r="P506" s="257">
        <v>0</v>
      </c>
    </row>
    <row r="507" spans="10:16" x14ac:dyDescent="0.2">
      <c r="J507" s="258">
        <v>41484</v>
      </c>
      <c r="K507" s="257">
        <v>0.75263999999999998</v>
      </c>
      <c r="L507" s="257">
        <v>0.75805</v>
      </c>
      <c r="M507" s="257">
        <v>0.75126000000000004</v>
      </c>
      <c r="N507" s="257">
        <v>0.75297000000000003</v>
      </c>
      <c r="O507" s="257">
        <v>0.75297000000000003</v>
      </c>
      <c r="P507" s="257">
        <v>0</v>
      </c>
    </row>
    <row r="508" spans="10:16" x14ac:dyDescent="0.2">
      <c r="J508" s="258">
        <v>41491</v>
      </c>
      <c r="K508" s="257">
        <v>0.75305999999999995</v>
      </c>
      <c r="L508" s="257">
        <v>0.75543499999999997</v>
      </c>
      <c r="M508" s="257">
        <v>0.74643599999999999</v>
      </c>
      <c r="N508" s="257">
        <v>0.74990999999999997</v>
      </c>
      <c r="O508" s="257">
        <v>0.74990999999999997</v>
      </c>
      <c r="P508" s="257">
        <v>0</v>
      </c>
    </row>
    <row r="509" spans="10:16" x14ac:dyDescent="0.2">
      <c r="J509" s="258">
        <v>41498</v>
      </c>
      <c r="K509" s="257">
        <v>0.74965999999999999</v>
      </c>
      <c r="L509" s="257">
        <v>0.757054</v>
      </c>
      <c r="M509" s="257">
        <v>0.74738400000000005</v>
      </c>
      <c r="N509" s="257">
        <v>0.75041000000000002</v>
      </c>
      <c r="O509" s="257">
        <v>0.75041000000000002</v>
      </c>
      <c r="P509" s="257">
        <v>0</v>
      </c>
    </row>
    <row r="510" spans="10:16" x14ac:dyDescent="0.2">
      <c r="J510" s="258">
        <v>41505</v>
      </c>
      <c r="K510" s="257">
        <v>0.75019000000000002</v>
      </c>
      <c r="L510" s="257">
        <v>0.75178</v>
      </c>
      <c r="M510" s="257">
        <v>0.743483</v>
      </c>
      <c r="N510" s="257">
        <v>0.74734999999999996</v>
      </c>
      <c r="O510" s="257">
        <v>0.74734999999999996</v>
      </c>
      <c r="P510" s="257">
        <v>0</v>
      </c>
    </row>
    <row r="511" spans="10:16" x14ac:dyDescent="0.2">
      <c r="J511" s="258">
        <v>41512</v>
      </c>
      <c r="K511" s="257">
        <v>0.74690000000000001</v>
      </c>
      <c r="L511" s="257">
        <v>0.75877099999999997</v>
      </c>
      <c r="M511" s="257">
        <v>0.74626999999999999</v>
      </c>
      <c r="N511" s="257">
        <v>0.75734999999999997</v>
      </c>
      <c r="O511" s="257">
        <v>0.75734999999999997</v>
      </c>
      <c r="P511" s="257">
        <v>0</v>
      </c>
    </row>
    <row r="512" spans="10:16" x14ac:dyDescent="0.2">
      <c r="J512" s="258">
        <v>41519</v>
      </c>
      <c r="K512" s="257">
        <v>0.75712000000000002</v>
      </c>
      <c r="L512" s="257">
        <v>0.76299799999999995</v>
      </c>
      <c r="M512" s="257">
        <v>0.755915</v>
      </c>
      <c r="N512" s="257">
        <v>0.75939000000000001</v>
      </c>
      <c r="O512" s="257">
        <v>0.75939000000000001</v>
      </c>
      <c r="P512" s="257">
        <v>0</v>
      </c>
    </row>
    <row r="513" spans="10:16" x14ac:dyDescent="0.2">
      <c r="J513" s="258">
        <v>41526</v>
      </c>
      <c r="K513" s="257">
        <v>0.75917999999999997</v>
      </c>
      <c r="L513" s="257">
        <v>0.75944</v>
      </c>
      <c r="M513" s="257">
        <v>0.74722</v>
      </c>
      <c r="N513" s="257">
        <v>0.74761</v>
      </c>
      <c r="O513" s="257">
        <v>0.74761</v>
      </c>
      <c r="P513" s="257">
        <v>0</v>
      </c>
    </row>
    <row r="514" spans="10:16" x14ac:dyDescent="0.2">
      <c r="J514" s="258">
        <v>41533</v>
      </c>
      <c r="K514" s="257">
        <v>0.74863000000000002</v>
      </c>
      <c r="L514" s="257">
        <v>0.75036000000000003</v>
      </c>
      <c r="M514" s="257">
        <v>0.73692000000000002</v>
      </c>
      <c r="N514" s="257">
        <v>0.73919999999999997</v>
      </c>
      <c r="O514" s="257">
        <v>0.73919999999999997</v>
      </c>
      <c r="P514" s="257">
        <v>0</v>
      </c>
    </row>
    <row r="515" spans="10:16" x14ac:dyDescent="0.2">
      <c r="J515" s="258">
        <v>41540</v>
      </c>
      <c r="K515" s="257">
        <v>0.73889000000000005</v>
      </c>
      <c r="L515" s="257">
        <v>0.74277000000000004</v>
      </c>
      <c r="M515" s="257">
        <v>0.73713700000000004</v>
      </c>
      <c r="N515" s="257">
        <v>0.74102000000000001</v>
      </c>
      <c r="O515" s="257">
        <v>0.74102000000000001</v>
      </c>
      <c r="P515" s="257">
        <v>0</v>
      </c>
    </row>
    <row r="516" spans="10:16" x14ac:dyDescent="0.2">
      <c r="J516" s="258">
        <v>41547</v>
      </c>
      <c r="K516" s="257">
        <v>0.74095999999999995</v>
      </c>
      <c r="L516" s="257">
        <v>0.74181200000000003</v>
      </c>
      <c r="M516" s="257">
        <v>0.73281499999999999</v>
      </c>
      <c r="N516" s="257">
        <v>0.73675999999999997</v>
      </c>
      <c r="O516" s="257">
        <v>0.73675999999999997</v>
      </c>
      <c r="P516" s="257">
        <v>0</v>
      </c>
    </row>
    <row r="517" spans="10:16" x14ac:dyDescent="0.2">
      <c r="J517" s="258">
        <v>41554</v>
      </c>
      <c r="K517" s="257">
        <v>0.73694000000000004</v>
      </c>
      <c r="L517" s="257">
        <v>0.741317</v>
      </c>
      <c r="M517" s="257">
        <v>0.73526000000000002</v>
      </c>
      <c r="N517" s="257">
        <v>0.73756999999999995</v>
      </c>
      <c r="O517" s="257">
        <v>0.73756999999999995</v>
      </c>
      <c r="P517" s="257">
        <v>0</v>
      </c>
    </row>
    <row r="518" spans="10:16" x14ac:dyDescent="0.2">
      <c r="J518" s="258">
        <v>41561</v>
      </c>
      <c r="K518" s="257">
        <v>0.73767000000000005</v>
      </c>
      <c r="L518" s="257">
        <v>0.74208200000000002</v>
      </c>
      <c r="M518" s="257">
        <v>0.72971399999999997</v>
      </c>
      <c r="N518" s="257">
        <v>0.73067000000000004</v>
      </c>
      <c r="O518" s="257">
        <v>0.73067000000000004</v>
      </c>
      <c r="P518" s="257">
        <v>0</v>
      </c>
    </row>
    <row r="519" spans="10:16" x14ac:dyDescent="0.2">
      <c r="J519" s="258">
        <v>41568</v>
      </c>
      <c r="K519" s="257">
        <v>0.73092999999999997</v>
      </c>
      <c r="L519" s="257">
        <v>0.73242399999999996</v>
      </c>
      <c r="M519" s="257">
        <v>0.72306599999999999</v>
      </c>
      <c r="N519" s="257">
        <v>0.72435000000000005</v>
      </c>
      <c r="O519" s="257">
        <v>0.72435000000000005</v>
      </c>
      <c r="P519" s="257">
        <v>0</v>
      </c>
    </row>
    <row r="520" spans="10:16" x14ac:dyDescent="0.2">
      <c r="J520" s="258">
        <v>41575</v>
      </c>
      <c r="K520" s="257">
        <v>0.72431999999999996</v>
      </c>
      <c r="L520" s="257">
        <v>0.74176299999999995</v>
      </c>
      <c r="M520" s="257">
        <v>0.72369000000000006</v>
      </c>
      <c r="N520" s="257">
        <v>0.74109999999999998</v>
      </c>
      <c r="O520" s="257">
        <v>0.74109999999999998</v>
      </c>
      <c r="P520" s="257">
        <v>0</v>
      </c>
    </row>
    <row r="521" spans="10:16" x14ac:dyDescent="0.2">
      <c r="J521" s="258">
        <v>41582</v>
      </c>
      <c r="K521" s="257">
        <v>0.74109000000000003</v>
      </c>
      <c r="L521" s="257">
        <v>0.751552</v>
      </c>
      <c r="M521" s="257">
        <v>0.73817100000000002</v>
      </c>
      <c r="N521" s="257">
        <v>0.74922999999999995</v>
      </c>
      <c r="O521" s="257">
        <v>0.74922999999999995</v>
      </c>
      <c r="P521" s="257">
        <v>0</v>
      </c>
    </row>
    <row r="522" spans="10:16" x14ac:dyDescent="0.2">
      <c r="J522" s="258">
        <v>41589</v>
      </c>
      <c r="K522" s="257">
        <v>0.74931999999999999</v>
      </c>
      <c r="L522" s="257">
        <v>0.74931999999999999</v>
      </c>
      <c r="M522" s="257">
        <v>0.74036000000000002</v>
      </c>
      <c r="N522" s="257">
        <v>0.74165999999999999</v>
      </c>
      <c r="O522" s="257">
        <v>0.74165999999999999</v>
      </c>
      <c r="P522" s="257">
        <v>0</v>
      </c>
    </row>
    <row r="523" spans="10:16" x14ac:dyDescent="0.2">
      <c r="J523" s="258">
        <v>41596</v>
      </c>
      <c r="K523" s="257">
        <v>0.74165999999999999</v>
      </c>
      <c r="L523" s="257">
        <v>0.74626899999999996</v>
      </c>
      <c r="M523" s="257">
        <v>0.73719000000000001</v>
      </c>
      <c r="N523" s="257">
        <v>0.73784000000000005</v>
      </c>
      <c r="O523" s="257">
        <v>0.73784000000000005</v>
      </c>
      <c r="P523" s="257">
        <v>0</v>
      </c>
    </row>
    <row r="524" spans="10:16" x14ac:dyDescent="0.2">
      <c r="J524" s="258">
        <v>41603</v>
      </c>
      <c r="K524" s="257">
        <v>0.73787999999999998</v>
      </c>
      <c r="L524" s="257">
        <v>0.74124999999999996</v>
      </c>
      <c r="M524" s="257">
        <v>0.73409999999999997</v>
      </c>
      <c r="N524" s="257">
        <v>0.73614999999999997</v>
      </c>
      <c r="O524" s="257">
        <v>0.73614999999999997</v>
      </c>
      <c r="P524" s="257">
        <v>0</v>
      </c>
    </row>
    <row r="525" spans="10:16" x14ac:dyDescent="0.2">
      <c r="J525" s="258">
        <v>41610</v>
      </c>
      <c r="K525" s="257">
        <v>0.73602000000000001</v>
      </c>
      <c r="L525" s="257">
        <v>0.73934</v>
      </c>
      <c r="M525" s="257">
        <v>0.72865000000000002</v>
      </c>
      <c r="N525" s="257">
        <v>0.72953000000000001</v>
      </c>
      <c r="O525" s="257">
        <v>0.72953000000000001</v>
      </c>
      <c r="P525" s="257">
        <v>0</v>
      </c>
    </row>
    <row r="526" spans="10:16" x14ac:dyDescent="0.2">
      <c r="J526" s="258">
        <v>41617</v>
      </c>
      <c r="K526" s="257">
        <v>0.72948999999999997</v>
      </c>
      <c r="L526" s="257">
        <v>0.73018799999999995</v>
      </c>
      <c r="M526" s="257">
        <v>0.72437499999999999</v>
      </c>
      <c r="N526" s="257">
        <v>0.72775000000000001</v>
      </c>
      <c r="O526" s="257">
        <v>0.72775000000000001</v>
      </c>
      <c r="P526" s="257">
        <v>0</v>
      </c>
    </row>
    <row r="527" spans="10:16" x14ac:dyDescent="0.2">
      <c r="J527" s="258">
        <v>41624</v>
      </c>
      <c r="K527" s="257">
        <v>0.72789999999999999</v>
      </c>
      <c r="L527" s="257">
        <v>0.7339</v>
      </c>
      <c r="M527" s="257">
        <v>0.72468999999999995</v>
      </c>
      <c r="N527" s="257">
        <v>0.73109999999999997</v>
      </c>
      <c r="O527" s="257">
        <v>0.73109999999999997</v>
      </c>
      <c r="P527" s="257">
        <v>0</v>
      </c>
    </row>
    <row r="528" spans="10:16" x14ac:dyDescent="0.2">
      <c r="J528" s="258">
        <v>41631</v>
      </c>
      <c r="K528" s="257">
        <v>0.73106000000000004</v>
      </c>
      <c r="L528" s="257">
        <v>0.73229</v>
      </c>
      <c r="M528" s="257">
        <v>0.720279</v>
      </c>
      <c r="N528" s="257">
        <v>0.72723000000000004</v>
      </c>
      <c r="O528" s="257">
        <v>0.72723000000000004</v>
      </c>
      <c r="P528" s="257">
        <v>0</v>
      </c>
    </row>
    <row r="529" spans="10:16" x14ac:dyDescent="0.2">
      <c r="J529" s="258">
        <v>41638</v>
      </c>
      <c r="K529" s="257">
        <v>0.72716999999999998</v>
      </c>
      <c r="L529" s="257">
        <v>0.73594000000000004</v>
      </c>
      <c r="M529" s="257">
        <v>0.72397999999999996</v>
      </c>
      <c r="N529" s="257">
        <v>0.73546</v>
      </c>
      <c r="O529" s="257">
        <v>0.73546</v>
      </c>
      <c r="P529" s="257">
        <v>0</v>
      </c>
    </row>
    <row r="530" spans="10:16" x14ac:dyDescent="0.2">
      <c r="J530" s="258">
        <v>41645</v>
      </c>
      <c r="K530" s="257">
        <v>0.73551999999999995</v>
      </c>
      <c r="L530" s="257">
        <v>0.73774099999999998</v>
      </c>
      <c r="M530" s="257">
        <v>0.73062000000000005</v>
      </c>
      <c r="N530" s="257">
        <v>0.73143000000000002</v>
      </c>
      <c r="O530" s="257">
        <v>0.73143000000000002</v>
      </c>
      <c r="P530" s="257">
        <v>0</v>
      </c>
    </row>
    <row r="531" spans="10:16" x14ac:dyDescent="0.2">
      <c r="J531" s="258">
        <v>41652</v>
      </c>
      <c r="K531" s="257">
        <v>0.73141</v>
      </c>
      <c r="L531" s="257">
        <v>0.73931999999999998</v>
      </c>
      <c r="M531" s="257">
        <v>0.73000200000000004</v>
      </c>
      <c r="N531" s="257">
        <v>0.73914999999999997</v>
      </c>
      <c r="O531" s="257">
        <v>0.73914999999999997</v>
      </c>
      <c r="P531" s="257">
        <v>0</v>
      </c>
    </row>
    <row r="532" spans="10:16" x14ac:dyDescent="0.2">
      <c r="J532" s="258">
        <v>41659</v>
      </c>
      <c r="K532" s="257">
        <v>0.73919000000000001</v>
      </c>
      <c r="L532" s="257">
        <v>0.74023000000000005</v>
      </c>
      <c r="M532" s="257">
        <v>0.72806999999999999</v>
      </c>
      <c r="N532" s="257">
        <v>0.73045000000000004</v>
      </c>
      <c r="O532" s="257">
        <v>0.73045000000000004</v>
      </c>
      <c r="P532" s="257">
        <v>0</v>
      </c>
    </row>
    <row r="533" spans="10:16" x14ac:dyDescent="0.2">
      <c r="J533" s="258">
        <v>41666</v>
      </c>
      <c r="K533" s="257">
        <v>0.73055999999999999</v>
      </c>
      <c r="L533" s="257">
        <v>0.74177999999999999</v>
      </c>
      <c r="M533" s="257">
        <v>0.72912900000000003</v>
      </c>
      <c r="N533" s="257">
        <v>0.74138999999999999</v>
      </c>
      <c r="O533" s="257">
        <v>0.74138999999999999</v>
      </c>
      <c r="P533" s="257">
        <v>0</v>
      </c>
    </row>
    <row r="534" spans="10:16" x14ac:dyDescent="0.2">
      <c r="J534" s="258">
        <v>41673</v>
      </c>
      <c r="K534" s="257">
        <v>0.74138999999999999</v>
      </c>
      <c r="L534" s="257">
        <v>0.74187800000000004</v>
      </c>
      <c r="M534" s="257">
        <v>0.73302500000000004</v>
      </c>
      <c r="N534" s="257">
        <v>0.73411000000000004</v>
      </c>
      <c r="O534" s="257">
        <v>0.73411000000000004</v>
      </c>
      <c r="P534" s="257">
        <v>0</v>
      </c>
    </row>
    <row r="535" spans="10:16" x14ac:dyDescent="0.2">
      <c r="J535" s="258">
        <v>41680</v>
      </c>
      <c r="K535" s="257">
        <v>0.73419999999999996</v>
      </c>
      <c r="L535" s="257">
        <v>0.73729999999999996</v>
      </c>
      <c r="M535" s="257">
        <v>0.72907599999999995</v>
      </c>
      <c r="N535" s="257">
        <v>0.72996000000000005</v>
      </c>
      <c r="O535" s="257">
        <v>0.72996000000000005</v>
      </c>
      <c r="P535" s="257">
        <v>0</v>
      </c>
    </row>
    <row r="536" spans="10:16" x14ac:dyDescent="0.2">
      <c r="J536" s="258">
        <v>41687</v>
      </c>
      <c r="K536" s="257">
        <v>0.72979000000000005</v>
      </c>
      <c r="L536" s="257">
        <v>0.73045000000000004</v>
      </c>
      <c r="M536" s="257">
        <v>0.72604000000000002</v>
      </c>
      <c r="N536" s="257">
        <v>0.72775000000000001</v>
      </c>
      <c r="O536" s="257">
        <v>0.72775000000000001</v>
      </c>
      <c r="P536" s="257">
        <v>0</v>
      </c>
    </row>
    <row r="537" spans="10:16" x14ac:dyDescent="0.2">
      <c r="J537" s="258">
        <v>41694</v>
      </c>
      <c r="K537" s="257">
        <v>0.7278</v>
      </c>
      <c r="L537" s="257">
        <v>0.73287000000000002</v>
      </c>
      <c r="M537" s="257">
        <v>0.72341100000000003</v>
      </c>
      <c r="N537" s="257">
        <v>0.72594000000000003</v>
      </c>
      <c r="O537" s="257">
        <v>0.72594000000000003</v>
      </c>
      <c r="P537" s="257">
        <v>0</v>
      </c>
    </row>
    <row r="538" spans="10:16" x14ac:dyDescent="0.2">
      <c r="J538" s="258">
        <v>41701</v>
      </c>
      <c r="K538" s="257">
        <v>0.72592999999999996</v>
      </c>
      <c r="L538" s="257">
        <v>0.72935000000000005</v>
      </c>
      <c r="M538" s="257">
        <v>0.71863299999999997</v>
      </c>
      <c r="N538" s="257">
        <v>0.72045999999999999</v>
      </c>
      <c r="O538" s="257">
        <v>0.72045999999999999</v>
      </c>
      <c r="P538" s="257">
        <v>0</v>
      </c>
    </row>
    <row r="539" spans="10:16" x14ac:dyDescent="0.2">
      <c r="J539" s="258">
        <v>41708</v>
      </c>
      <c r="K539" s="257">
        <v>0.72058999999999995</v>
      </c>
      <c r="L539" s="257">
        <v>0.72279000000000004</v>
      </c>
      <c r="M539" s="257">
        <v>0.716055</v>
      </c>
      <c r="N539" s="257">
        <v>0.71879999999999999</v>
      </c>
      <c r="O539" s="257">
        <v>0.71879999999999999</v>
      </c>
      <c r="P539" s="257">
        <v>0</v>
      </c>
    </row>
    <row r="540" spans="10:16" x14ac:dyDescent="0.2">
      <c r="J540" s="258">
        <v>41715</v>
      </c>
      <c r="K540" s="257">
        <v>0.71887000000000001</v>
      </c>
      <c r="L540" s="257">
        <v>0.72713000000000005</v>
      </c>
      <c r="M540" s="257">
        <v>0.71689700000000001</v>
      </c>
      <c r="N540" s="257">
        <v>0.72485999999999995</v>
      </c>
      <c r="O540" s="257">
        <v>0.72485999999999995</v>
      </c>
      <c r="P540" s="257">
        <v>0</v>
      </c>
    </row>
    <row r="541" spans="10:16" x14ac:dyDescent="0.2">
      <c r="J541" s="258">
        <v>41722</v>
      </c>
      <c r="K541" s="257">
        <v>0.72477000000000003</v>
      </c>
      <c r="L541" s="257">
        <v>0.72947399999999996</v>
      </c>
      <c r="M541" s="257">
        <v>0.72207399999999999</v>
      </c>
      <c r="N541" s="257">
        <v>0.72726999999999997</v>
      </c>
      <c r="O541" s="257">
        <v>0.72726999999999997</v>
      </c>
      <c r="P541" s="257">
        <v>0</v>
      </c>
    </row>
    <row r="542" spans="10:16" x14ac:dyDescent="0.2">
      <c r="J542" s="258">
        <v>41729</v>
      </c>
      <c r="K542" s="257">
        <v>0.72701000000000005</v>
      </c>
      <c r="L542" s="257">
        <v>0.73119199999999995</v>
      </c>
      <c r="M542" s="257">
        <v>0.72358900000000004</v>
      </c>
      <c r="N542" s="257">
        <v>0.73004000000000002</v>
      </c>
      <c r="O542" s="257">
        <v>0.73004000000000002</v>
      </c>
      <c r="P542" s="257">
        <v>0</v>
      </c>
    </row>
    <row r="543" spans="10:16" x14ac:dyDescent="0.2">
      <c r="J543" s="258">
        <v>41736</v>
      </c>
      <c r="K543" s="257">
        <v>0.72970999999999997</v>
      </c>
      <c r="L543" s="257">
        <v>0.73004000000000002</v>
      </c>
      <c r="M543" s="257">
        <v>0.71911000000000003</v>
      </c>
      <c r="N543" s="257">
        <v>0.72228000000000003</v>
      </c>
      <c r="O543" s="257">
        <v>0.72228000000000003</v>
      </c>
      <c r="P543" s="257">
        <v>0</v>
      </c>
    </row>
    <row r="544" spans="10:16" x14ac:dyDescent="0.2">
      <c r="J544" s="258">
        <v>41743</v>
      </c>
      <c r="K544" s="257">
        <v>0.72216000000000002</v>
      </c>
      <c r="L544" s="257">
        <v>0.72502100000000003</v>
      </c>
      <c r="M544" s="257">
        <v>0.72120899999999999</v>
      </c>
      <c r="N544" s="257">
        <v>0.7238</v>
      </c>
      <c r="O544" s="257">
        <v>0.7238</v>
      </c>
      <c r="P544" s="257">
        <v>0</v>
      </c>
    </row>
    <row r="545" spans="10:16" x14ac:dyDescent="0.2">
      <c r="J545" s="258">
        <v>41750</v>
      </c>
      <c r="K545" s="257">
        <v>0.72384000000000004</v>
      </c>
      <c r="L545" s="257">
        <v>0.72533700000000001</v>
      </c>
      <c r="M545" s="257">
        <v>0.72174000000000005</v>
      </c>
      <c r="N545" s="257">
        <v>0.72250999999999999</v>
      </c>
      <c r="O545" s="257">
        <v>0.72250999999999999</v>
      </c>
      <c r="P545" s="257">
        <v>0</v>
      </c>
    </row>
    <row r="546" spans="10:16" x14ac:dyDescent="0.2">
      <c r="J546" s="258">
        <v>41757</v>
      </c>
      <c r="K546" s="257">
        <v>0.72248999999999997</v>
      </c>
      <c r="L546" s="257">
        <v>0.72534200000000004</v>
      </c>
      <c r="M546" s="257">
        <v>0.71989000000000003</v>
      </c>
      <c r="N546" s="257">
        <v>0.72062000000000004</v>
      </c>
      <c r="O546" s="257">
        <v>0.72062000000000004</v>
      </c>
      <c r="P546" s="257">
        <v>0</v>
      </c>
    </row>
    <row r="547" spans="10:16" x14ac:dyDescent="0.2">
      <c r="J547" s="258">
        <v>41764</v>
      </c>
      <c r="K547" s="257">
        <v>0.72084000000000004</v>
      </c>
      <c r="L547" s="257">
        <v>0.72716999999999998</v>
      </c>
      <c r="M547" s="257">
        <v>0.71474000000000004</v>
      </c>
      <c r="N547" s="257">
        <v>0.72679000000000005</v>
      </c>
      <c r="O547" s="257">
        <v>0.72679000000000005</v>
      </c>
      <c r="P547" s="257">
        <v>0</v>
      </c>
    </row>
    <row r="548" spans="10:16" x14ac:dyDescent="0.2">
      <c r="J548" s="258">
        <v>41771</v>
      </c>
      <c r="K548" s="257">
        <v>0.72665999999999997</v>
      </c>
      <c r="L548" s="257">
        <v>0.73256900000000003</v>
      </c>
      <c r="M548" s="257">
        <v>0.72589999999999999</v>
      </c>
      <c r="N548" s="257">
        <v>0.73002</v>
      </c>
      <c r="O548" s="257">
        <v>0.73002</v>
      </c>
      <c r="P548" s="257">
        <v>0</v>
      </c>
    </row>
    <row r="549" spans="10:16" x14ac:dyDescent="0.2">
      <c r="J549" s="258">
        <v>41778</v>
      </c>
      <c r="K549" s="257">
        <v>0.72972000000000004</v>
      </c>
      <c r="L549" s="257">
        <v>0.73441999999999996</v>
      </c>
      <c r="M549" s="257">
        <v>0.72810399999999997</v>
      </c>
      <c r="N549" s="257">
        <v>0.73379000000000005</v>
      </c>
      <c r="O549" s="257">
        <v>0.73379000000000005</v>
      </c>
      <c r="P549" s="257">
        <v>0</v>
      </c>
    </row>
    <row r="550" spans="10:16" x14ac:dyDescent="0.2">
      <c r="J550" s="258">
        <v>41785</v>
      </c>
      <c r="K550" s="257">
        <v>0.73377999999999999</v>
      </c>
      <c r="L550" s="257">
        <v>0.7359</v>
      </c>
      <c r="M550" s="257">
        <v>0.73157000000000005</v>
      </c>
      <c r="N550" s="257">
        <v>0.73365999999999998</v>
      </c>
      <c r="O550" s="257">
        <v>0.73365999999999998</v>
      </c>
      <c r="P550" s="257">
        <v>0</v>
      </c>
    </row>
    <row r="551" spans="10:16" x14ac:dyDescent="0.2">
      <c r="J551" s="258">
        <v>41792</v>
      </c>
      <c r="K551" s="257">
        <v>0.73375999999999997</v>
      </c>
      <c r="L551" s="257">
        <v>0.74036800000000003</v>
      </c>
      <c r="M551" s="257">
        <v>0.73121999999999998</v>
      </c>
      <c r="N551" s="257">
        <v>0.73297999999999996</v>
      </c>
      <c r="O551" s="257">
        <v>0.73297999999999996</v>
      </c>
      <c r="P551" s="257">
        <v>0</v>
      </c>
    </row>
    <row r="552" spans="10:16" x14ac:dyDescent="0.2">
      <c r="J552" s="258">
        <v>41799</v>
      </c>
      <c r="K552" s="257">
        <v>0.73285</v>
      </c>
      <c r="L552" s="257">
        <v>0.74002800000000002</v>
      </c>
      <c r="M552" s="257">
        <v>0.73158199999999995</v>
      </c>
      <c r="N552" s="257">
        <v>0.7389</v>
      </c>
      <c r="O552" s="257">
        <v>0.7389</v>
      </c>
      <c r="P552" s="257">
        <v>0</v>
      </c>
    </row>
    <row r="553" spans="10:16" x14ac:dyDescent="0.2">
      <c r="J553" s="258">
        <v>41806</v>
      </c>
      <c r="K553" s="257">
        <v>0.73872000000000004</v>
      </c>
      <c r="L553" s="257">
        <v>0.73999499999999996</v>
      </c>
      <c r="M553" s="257">
        <v>0.73286899999999999</v>
      </c>
      <c r="N553" s="257">
        <v>0.73551</v>
      </c>
      <c r="O553" s="257">
        <v>0.73551</v>
      </c>
      <c r="P553" s="257">
        <v>0</v>
      </c>
    </row>
    <row r="554" spans="10:16" x14ac:dyDescent="0.2">
      <c r="J554" s="258">
        <v>41813</v>
      </c>
      <c r="K554" s="257">
        <v>0.73573</v>
      </c>
      <c r="L554" s="257">
        <v>0.73659399999999997</v>
      </c>
      <c r="M554" s="257">
        <v>0.73249299999999995</v>
      </c>
      <c r="N554" s="257">
        <v>0.73277999999999999</v>
      </c>
      <c r="O554" s="257">
        <v>0.73277999999999999</v>
      </c>
      <c r="P554" s="257">
        <v>0</v>
      </c>
    </row>
    <row r="555" spans="10:16" x14ac:dyDescent="0.2">
      <c r="J555" s="258">
        <v>41820</v>
      </c>
      <c r="K555" s="257">
        <v>0.73290999999999995</v>
      </c>
      <c r="L555" s="257">
        <v>0.73604099999999995</v>
      </c>
      <c r="M555" s="257">
        <v>0.73002999999999996</v>
      </c>
      <c r="N555" s="257">
        <v>0.73582999999999998</v>
      </c>
      <c r="O555" s="257">
        <v>0.73582999999999998</v>
      </c>
      <c r="P555" s="257">
        <v>0</v>
      </c>
    </row>
    <row r="556" spans="10:16" x14ac:dyDescent="0.2">
      <c r="J556" s="258">
        <v>41827</v>
      </c>
      <c r="K556" s="257">
        <v>0.73585999999999996</v>
      </c>
      <c r="L556" s="257">
        <v>0.73652300000000004</v>
      </c>
      <c r="M556" s="257">
        <v>0.73256900000000003</v>
      </c>
      <c r="N556" s="257">
        <v>0.73499999999999999</v>
      </c>
      <c r="O556" s="257">
        <v>0.73499999999999999</v>
      </c>
      <c r="P556" s="257">
        <v>0</v>
      </c>
    </row>
    <row r="557" spans="10:16" x14ac:dyDescent="0.2">
      <c r="J557" s="258">
        <v>41834</v>
      </c>
      <c r="K557" s="257">
        <v>0.73509999999999998</v>
      </c>
      <c r="L557" s="257">
        <v>0.74114199999999997</v>
      </c>
      <c r="M557" s="257">
        <v>0.73313799999999996</v>
      </c>
      <c r="N557" s="257">
        <v>0.73900999999999994</v>
      </c>
      <c r="O557" s="257">
        <v>0.73900999999999994</v>
      </c>
      <c r="P557" s="257">
        <v>0</v>
      </c>
    </row>
    <row r="558" spans="10:16" x14ac:dyDescent="0.2">
      <c r="J558" s="258">
        <v>41841</v>
      </c>
      <c r="K558" s="257">
        <v>0.73899000000000004</v>
      </c>
      <c r="L558" s="257">
        <v>0.74465700000000001</v>
      </c>
      <c r="M558" s="257">
        <v>0.73805100000000001</v>
      </c>
      <c r="N558" s="257">
        <v>0.74446999999999997</v>
      </c>
      <c r="O558" s="257">
        <v>0.74446999999999997</v>
      </c>
      <c r="P558" s="257">
        <v>0</v>
      </c>
    </row>
    <row r="559" spans="10:16" x14ac:dyDescent="0.2">
      <c r="J559" s="258">
        <v>41848</v>
      </c>
      <c r="K559" s="257">
        <v>0.74465000000000003</v>
      </c>
      <c r="L559" s="257">
        <v>0.74800999999999995</v>
      </c>
      <c r="M559" s="257">
        <v>0.74371600000000004</v>
      </c>
      <c r="N559" s="257">
        <v>0.74494000000000005</v>
      </c>
      <c r="O559" s="257">
        <v>0.74494000000000005</v>
      </c>
      <c r="P559" s="257">
        <v>0</v>
      </c>
    </row>
    <row r="560" spans="10:16" x14ac:dyDescent="0.2">
      <c r="J560" s="258">
        <v>41855</v>
      </c>
      <c r="K560" s="257">
        <v>0.74465999999999999</v>
      </c>
      <c r="L560" s="257">
        <v>0.74995999999999996</v>
      </c>
      <c r="M560" s="257">
        <v>0.74443999999999999</v>
      </c>
      <c r="N560" s="257">
        <v>0.74587000000000003</v>
      </c>
      <c r="O560" s="257">
        <v>0.74587000000000003</v>
      </c>
      <c r="P560" s="257">
        <v>0</v>
      </c>
    </row>
    <row r="561" spans="10:16" x14ac:dyDescent="0.2">
      <c r="J561" s="258">
        <v>41862</v>
      </c>
      <c r="K561" s="257">
        <v>0.74599000000000004</v>
      </c>
      <c r="L561" s="257">
        <v>0.74976600000000004</v>
      </c>
      <c r="M561" s="257">
        <v>0.74544500000000002</v>
      </c>
      <c r="N561" s="257">
        <v>0.74683999999999995</v>
      </c>
      <c r="O561" s="257">
        <v>0.74683999999999995</v>
      </c>
      <c r="P561" s="257">
        <v>0</v>
      </c>
    </row>
    <row r="562" spans="10:16" x14ac:dyDescent="0.2">
      <c r="J562" s="258">
        <v>41869</v>
      </c>
      <c r="K562" s="257">
        <v>0.74670999999999998</v>
      </c>
      <c r="L562" s="257">
        <v>0.75838000000000005</v>
      </c>
      <c r="M562" s="257">
        <v>0.74621300000000002</v>
      </c>
      <c r="N562" s="257">
        <v>0.75809000000000004</v>
      </c>
      <c r="O562" s="257">
        <v>0.75809000000000004</v>
      </c>
      <c r="P562" s="257">
        <v>0</v>
      </c>
    </row>
    <row r="563" spans="10:16" x14ac:dyDescent="0.2">
      <c r="J563" s="258">
        <v>41876</v>
      </c>
      <c r="K563" s="257">
        <v>0.75768999999999997</v>
      </c>
      <c r="L563" s="257">
        <v>0.76171</v>
      </c>
      <c r="M563" s="257">
        <v>0.75648700000000002</v>
      </c>
      <c r="N563" s="257">
        <v>0.76134999999999997</v>
      </c>
      <c r="O563" s="257">
        <v>0.76134999999999997</v>
      </c>
      <c r="P563" s="257">
        <v>0</v>
      </c>
    </row>
    <row r="564" spans="10:16" x14ac:dyDescent="0.2">
      <c r="J564" s="258">
        <v>41883</v>
      </c>
      <c r="K564" s="257">
        <v>0.76175000000000004</v>
      </c>
      <c r="L564" s="257">
        <v>0.77374200000000004</v>
      </c>
      <c r="M564" s="257">
        <v>0.75982099999999997</v>
      </c>
      <c r="N564" s="257">
        <v>0.77205000000000001</v>
      </c>
      <c r="O564" s="257">
        <v>0.77205000000000001</v>
      </c>
      <c r="P564" s="257">
        <v>0</v>
      </c>
    </row>
    <row r="565" spans="10:16" x14ac:dyDescent="0.2">
      <c r="J565" s="258">
        <v>41890</v>
      </c>
      <c r="K565" s="257">
        <v>0.77207999999999999</v>
      </c>
      <c r="L565" s="257">
        <v>0.77754000000000001</v>
      </c>
      <c r="M565" s="257">
        <v>0.77036000000000004</v>
      </c>
      <c r="N565" s="257">
        <v>0.77127999999999997</v>
      </c>
      <c r="O565" s="257">
        <v>0.77127999999999997</v>
      </c>
      <c r="P565" s="257">
        <v>0</v>
      </c>
    </row>
    <row r="566" spans="10:16" x14ac:dyDescent="0.2">
      <c r="J566" s="258">
        <v>41897</v>
      </c>
      <c r="K566" s="257">
        <v>0.77156000000000002</v>
      </c>
      <c r="L566" s="257">
        <v>0.77954999999999997</v>
      </c>
      <c r="M566" s="257">
        <v>0.77041599999999999</v>
      </c>
      <c r="N566" s="257">
        <v>0.77897000000000005</v>
      </c>
      <c r="O566" s="257">
        <v>0.77897000000000005</v>
      </c>
      <c r="P566" s="257">
        <v>0</v>
      </c>
    </row>
    <row r="567" spans="10:16" x14ac:dyDescent="0.2">
      <c r="J567" s="258">
        <v>41904</v>
      </c>
      <c r="K567" s="257">
        <v>0.77876999999999996</v>
      </c>
      <c r="L567" s="257">
        <v>0.78927000000000003</v>
      </c>
      <c r="M567" s="257">
        <v>0.77523600000000004</v>
      </c>
      <c r="N567" s="257">
        <v>0.78905000000000003</v>
      </c>
      <c r="O567" s="257">
        <v>0.78905000000000003</v>
      </c>
      <c r="P567" s="257">
        <v>0</v>
      </c>
    </row>
    <row r="568" spans="10:16" x14ac:dyDescent="0.2">
      <c r="J568" s="258">
        <v>41911</v>
      </c>
      <c r="K568" s="257">
        <v>0.78886999999999996</v>
      </c>
      <c r="L568" s="257">
        <v>0.799898</v>
      </c>
      <c r="M568" s="257">
        <v>0.78649999999999998</v>
      </c>
      <c r="N568" s="257">
        <v>0.79937000000000002</v>
      </c>
      <c r="O568" s="257">
        <v>0.79937000000000002</v>
      </c>
      <c r="P568" s="257">
        <v>0</v>
      </c>
    </row>
    <row r="569" spans="10:16" x14ac:dyDescent="0.2">
      <c r="J569" s="258">
        <v>41918</v>
      </c>
      <c r="K569" s="257">
        <v>0.79903999999999997</v>
      </c>
      <c r="L569" s="257">
        <v>0.79903999999999997</v>
      </c>
      <c r="M569" s="257">
        <v>0.78167699999999996</v>
      </c>
      <c r="N569" s="257">
        <v>0.79057999999999995</v>
      </c>
      <c r="O569" s="257">
        <v>0.79057999999999995</v>
      </c>
      <c r="P569" s="257">
        <v>0</v>
      </c>
    </row>
    <row r="570" spans="10:16" x14ac:dyDescent="0.2">
      <c r="J570" s="258">
        <v>41925</v>
      </c>
      <c r="K570" s="257">
        <v>0.79108000000000001</v>
      </c>
      <c r="L570" s="257">
        <v>0.79200999999999999</v>
      </c>
      <c r="M570" s="257">
        <v>0.77854999999999996</v>
      </c>
      <c r="N570" s="257">
        <v>0.78456999999999999</v>
      </c>
      <c r="O570" s="257">
        <v>0.78456999999999999</v>
      </c>
      <c r="P570" s="257">
        <v>0</v>
      </c>
    </row>
    <row r="571" spans="10:16" x14ac:dyDescent="0.2">
      <c r="J571" s="258">
        <v>41932</v>
      </c>
      <c r="K571" s="257">
        <v>0.78437999999999997</v>
      </c>
      <c r="L571" s="257">
        <v>0.79257999999999995</v>
      </c>
      <c r="M571" s="257">
        <v>0.77886</v>
      </c>
      <c r="N571" s="257">
        <v>0.78876000000000002</v>
      </c>
      <c r="O571" s="257">
        <v>0.78876000000000002</v>
      </c>
      <c r="P571" s="257">
        <v>0</v>
      </c>
    </row>
    <row r="572" spans="10:16" x14ac:dyDescent="0.2">
      <c r="J572" s="258">
        <v>41939</v>
      </c>
      <c r="K572" s="257">
        <v>0.78883999999999999</v>
      </c>
      <c r="L572" s="257">
        <v>0.80056000000000005</v>
      </c>
      <c r="M572" s="257">
        <v>0.78309799999999996</v>
      </c>
      <c r="N572" s="257">
        <v>0.79986000000000002</v>
      </c>
      <c r="O572" s="257">
        <v>0.79986000000000002</v>
      </c>
      <c r="P572" s="257">
        <v>0</v>
      </c>
    </row>
    <row r="573" spans="10:16" x14ac:dyDescent="0.2">
      <c r="J573" s="258">
        <v>41946</v>
      </c>
      <c r="K573" s="257">
        <v>0.79979</v>
      </c>
      <c r="L573" s="257">
        <v>0.80880600000000002</v>
      </c>
      <c r="M573" s="257">
        <v>0.79566499999999996</v>
      </c>
      <c r="N573" s="257">
        <v>0.80240999999999996</v>
      </c>
      <c r="O573" s="257">
        <v>0.80240999999999996</v>
      </c>
      <c r="P573" s="257">
        <v>0</v>
      </c>
    </row>
    <row r="574" spans="10:16" x14ac:dyDescent="0.2">
      <c r="J574" s="258">
        <v>41953</v>
      </c>
      <c r="K574" s="257">
        <v>0.80245</v>
      </c>
      <c r="L574" s="257">
        <v>0.80668600000000001</v>
      </c>
      <c r="M574" s="257">
        <v>0.79737999999999998</v>
      </c>
      <c r="N574" s="257">
        <v>0.79866999999999999</v>
      </c>
      <c r="O574" s="257">
        <v>0.79866999999999999</v>
      </c>
      <c r="P574" s="257">
        <v>0</v>
      </c>
    </row>
    <row r="575" spans="10:16" x14ac:dyDescent="0.2">
      <c r="J575" s="258">
        <v>41960</v>
      </c>
      <c r="K575" s="257">
        <v>0.79862999999999995</v>
      </c>
      <c r="L575" s="257">
        <v>0.80893000000000004</v>
      </c>
      <c r="M575" s="257">
        <v>0.79517000000000004</v>
      </c>
      <c r="N575" s="257">
        <v>0.80815000000000003</v>
      </c>
      <c r="O575" s="257">
        <v>0.80815000000000003</v>
      </c>
      <c r="P575" s="257">
        <v>0</v>
      </c>
    </row>
    <row r="576" spans="10:16" x14ac:dyDescent="0.2">
      <c r="J576" s="258">
        <v>41967</v>
      </c>
      <c r="K576" s="257">
        <v>0.80813000000000001</v>
      </c>
      <c r="L576" s="257">
        <v>0.80813000000000001</v>
      </c>
      <c r="M576" s="257">
        <v>0.79842900000000006</v>
      </c>
      <c r="N576" s="257">
        <v>0.80398999999999998</v>
      </c>
      <c r="O576" s="257">
        <v>0.80398999999999998</v>
      </c>
      <c r="P576" s="257">
        <v>0</v>
      </c>
    </row>
    <row r="577" spans="10:16" x14ac:dyDescent="0.2">
      <c r="J577" s="258">
        <v>41974</v>
      </c>
      <c r="K577" s="257">
        <v>0.80398999999999998</v>
      </c>
      <c r="L577" s="257">
        <v>0.81466000000000005</v>
      </c>
      <c r="M577" s="257">
        <v>0.79962299999999997</v>
      </c>
      <c r="N577" s="257">
        <v>0.81294</v>
      </c>
      <c r="O577" s="257">
        <v>0.81294</v>
      </c>
      <c r="P577" s="257">
        <v>0</v>
      </c>
    </row>
    <row r="578" spans="10:16" x14ac:dyDescent="0.2">
      <c r="J578" s="258">
        <v>41981</v>
      </c>
      <c r="K578" s="257">
        <v>0.81320999999999999</v>
      </c>
      <c r="L578" s="257">
        <v>0.81645999999999996</v>
      </c>
      <c r="M578" s="257">
        <v>0.80025999999999997</v>
      </c>
      <c r="N578" s="257">
        <v>0.80261000000000005</v>
      </c>
      <c r="O578" s="257">
        <v>0.80261000000000005</v>
      </c>
      <c r="P578" s="257">
        <v>0</v>
      </c>
    </row>
    <row r="579" spans="10:16" x14ac:dyDescent="0.2">
      <c r="J579" s="258">
        <v>41988</v>
      </c>
      <c r="K579" s="257">
        <v>0.80225999999999997</v>
      </c>
      <c r="L579" s="257">
        <v>0.81830000000000003</v>
      </c>
      <c r="M579" s="257">
        <v>0.795817</v>
      </c>
      <c r="N579" s="257">
        <v>0.81794999999999995</v>
      </c>
      <c r="O579" s="257">
        <v>0.81794999999999995</v>
      </c>
      <c r="P579" s="257">
        <v>0</v>
      </c>
    </row>
    <row r="580" spans="10:16" x14ac:dyDescent="0.2">
      <c r="J580" s="258">
        <v>41995</v>
      </c>
      <c r="K580" s="257">
        <v>0.81799999999999995</v>
      </c>
      <c r="L580" s="257">
        <v>0.82198300000000002</v>
      </c>
      <c r="M580" s="257">
        <v>0.81433199999999994</v>
      </c>
      <c r="N580" s="257">
        <v>0.82171000000000005</v>
      </c>
      <c r="O580" s="257">
        <v>0.82171000000000005</v>
      </c>
      <c r="P580" s="257">
        <v>0</v>
      </c>
    </row>
    <row r="581" spans="10:16" x14ac:dyDescent="0.2">
      <c r="J581" s="258">
        <v>42002</v>
      </c>
      <c r="K581" s="257">
        <v>0.82172000000000001</v>
      </c>
      <c r="L581" s="257">
        <v>0.83935000000000004</v>
      </c>
      <c r="M581" s="257">
        <v>0.81833100000000003</v>
      </c>
      <c r="N581" s="257">
        <v>0.83706999999999998</v>
      </c>
      <c r="O581" s="257">
        <v>0.83706999999999998</v>
      </c>
      <c r="P581" s="257">
        <v>0</v>
      </c>
    </row>
    <row r="582" spans="10:16" x14ac:dyDescent="0.2">
      <c r="J582" s="258">
        <v>42009</v>
      </c>
      <c r="K582" s="257">
        <v>0.83647000000000005</v>
      </c>
      <c r="L582" s="257">
        <v>0.85062899999999997</v>
      </c>
      <c r="M582" s="257">
        <v>0.83501000000000003</v>
      </c>
      <c r="N582" s="257">
        <v>0.84240999999999999</v>
      </c>
      <c r="O582" s="257">
        <v>0.84240999999999999</v>
      </c>
      <c r="P582" s="257">
        <v>0</v>
      </c>
    </row>
    <row r="583" spans="10:16" x14ac:dyDescent="0.2">
      <c r="J583" s="258">
        <v>42016</v>
      </c>
      <c r="K583" s="257">
        <v>0.84245000000000003</v>
      </c>
      <c r="L583" s="257">
        <v>0.87227299999999997</v>
      </c>
      <c r="M583" s="257">
        <v>0.84231800000000001</v>
      </c>
      <c r="N583" s="257">
        <v>0.86460000000000004</v>
      </c>
      <c r="O583" s="257">
        <v>0.86460000000000004</v>
      </c>
      <c r="P583" s="257">
        <v>0</v>
      </c>
    </row>
    <row r="584" spans="10:16" x14ac:dyDescent="0.2">
      <c r="J584" s="258">
        <v>42023</v>
      </c>
      <c r="K584" s="257">
        <v>0.86477000000000004</v>
      </c>
      <c r="L584" s="257">
        <v>0.90044999999999997</v>
      </c>
      <c r="M584" s="257">
        <v>0.85733899999999996</v>
      </c>
      <c r="N584" s="257">
        <v>0.89883999999999997</v>
      </c>
      <c r="O584" s="257">
        <v>0.89883999999999997</v>
      </c>
      <c r="P584" s="257">
        <v>0</v>
      </c>
    </row>
    <row r="585" spans="10:16" x14ac:dyDescent="0.2">
      <c r="J585" s="258">
        <v>42030</v>
      </c>
      <c r="K585" s="257">
        <v>0.89759999999999995</v>
      </c>
      <c r="L585" s="257">
        <v>0.89759999999999995</v>
      </c>
      <c r="M585" s="257">
        <v>0.87565700000000002</v>
      </c>
      <c r="N585" s="257">
        <v>0.88424999999999998</v>
      </c>
      <c r="O585" s="257">
        <v>0.88424999999999998</v>
      </c>
      <c r="P585" s="257">
        <v>0</v>
      </c>
    </row>
    <row r="586" spans="10:16" x14ac:dyDescent="0.2">
      <c r="J586" s="258">
        <v>42037</v>
      </c>
      <c r="K586" s="257">
        <v>0.88458999999999999</v>
      </c>
      <c r="L586" s="257">
        <v>0.88582000000000005</v>
      </c>
      <c r="M586" s="257">
        <v>0.87076200000000004</v>
      </c>
      <c r="N586" s="257">
        <v>0.88383</v>
      </c>
      <c r="O586" s="257">
        <v>0.88383</v>
      </c>
      <c r="P586" s="257">
        <v>0</v>
      </c>
    </row>
    <row r="587" spans="10:16" x14ac:dyDescent="0.2">
      <c r="J587" s="258">
        <v>42044</v>
      </c>
      <c r="K587" s="257">
        <v>0.88380000000000003</v>
      </c>
      <c r="L587" s="257">
        <v>0.88717800000000002</v>
      </c>
      <c r="M587" s="257">
        <v>0.87336199999999997</v>
      </c>
      <c r="N587" s="257">
        <v>0.87719000000000003</v>
      </c>
      <c r="O587" s="257">
        <v>0.87719000000000003</v>
      </c>
      <c r="P587" s="257">
        <v>0</v>
      </c>
    </row>
    <row r="588" spans="10:16" x14ac:dyDescent="0.2">
      <c r="J588" s="258">
        <v>42051</v>
      </c>
      <c r="K588" s="257">
        <v>0.87741999999999998</v>
      </c>
      <c r="L588" s="257">
        <v>0.88636000000000004</v>
      </c>
      <c r="M588" s="257">
        <v>0.87336199999999997</v>
      </c>
      <c r="N588" s="257">
        <v>0.87861999999999996</v>
      </c>
      <c r="O588" s="257">
        <v>0.87861999999999996</v>
      </c>
      <c r="P588" s="257">
        <v>0</v>
      </c>
    </row>
    <row r="589" spans="10:16" x14ac:dyDescent="0.2">
      <c r="J589" s="258">
        <v>42058</v>
      </c>
      <c r="K589" s="257">
        <v>0.87878000000000001</v>
      </c>
      <c r="L589" s="257">
        <v>0.89590000000000003</v>
      </c>
      <c r="M589" s="257">
        <v>0.87773000000000001</v>
      </c>
      <c r="N589" s="257">
        <v>0.89590000000000003</v>
      </c>
      <c r="O589" s="257">
        <v>0.89590000000000003</v>
      </c>
      <c r="P589" s="257">
        <v>0</v>
      </c>
    </row>
    <row r="590" spans="10:16" x14ac:dyDescent="0.2">
      <c r="J590" s="258">
        <v>42065</v>
      </c>
      <c r="K590" s="257">
        <v>0.89517999999999998</v>
      </c>
      <c r="L590" s="257">
        <v>0.92386999999999997</v>
      </c>
      <c r="M590" s="257">
        <v>0.88964799999999999</v>
      </c>
      <c r="N590" s="257">
        <v>0.92200000000000004</v>
      </c>
      <c r="O590" s="257">
        <v>0.92200000000000004</v>
      </c>
      <c r="P590" s="257">
        <v>0</v>
      </c>
    </row>
    <row r="591" spans="10:16" x14ac:dyDescent="0.2">
      <c r="J591" s="258">
        <v>42072</v>
      </c>
      <c r="K591" s="257">
        <v>0.92203000000000002</v>
      </c>
      <c r="L591" s="257">
        <v>0.95601999999999998</v>
      </c>
      <c r="M591" s="257">
        <v>0.91659000000000002</v>
      </c>
      <c r="N591" s="257">
        <v>0.95404999999999995</v>
      </c>
      <c r="O591" s="257">
        <v>0.95404999999999995</v>
      </c>
      <c r="P591" s="257">
        <v>0</v>
      </c>
    </row>
    <row r="592" spans="10:16" x14ac:dyDescent="0.2">
      <c r="J592" s="258">
        <v>42079</v>
      </c>
      <c r="K592" s="257">
        <v>0.95379000000000003</v>
      </c>
      <c r="L592" s="257">
        <v>0.95379000000000003</v>
      </c>
      <c r="M592" s="257">
        <v>0.91625000000000001</v>
      </c>
      <c r="N592" s="257">
        <v>0.92364999999999997</v>
      </c>
      <c r="O592" s="257">
        <v>0.92364999999999997</v>
      </c>
      <c r="P592" s="257">
        <v>0</v>
      </c>
    </row>
    <row r="593" spans="10:16" x14ac:dyDescent="0.2">
      <c r="J593" s="258">
        <v>42086</v>
      </c>
      <c r="K593" s="257">
        <v>0.92369999999999997</v>
      </c>
      <c r="L593" s="257">
        <v>0.92854800000000004</v>
      </c>
      <c r="M593" s="257">
        <v>0.90537100000000004</v>
      </c>
      <c r="N593" s="257">
        <v>0.91869999999999996</v>
      </c>
      <c r="O593" s="257">
        <v>0.91869999999999996</v>
      </c>
      <c r="P593" s="257">
        <v>0</v>
      </c>
    </row>
    <row r="594" spans="10:16" x14ac:dyDescent="0.2">
      <c r="J594" s="258">
        <v>42093</v>
      </c>
      <c r="K594" s="257">
        <v>0.91895000000000004</v>
      </c>
      <c r="L594" s="257">
        <v>0.93303999999999998</v>
      </c>
      <c r="M594" s="257">
        <v>0.90727999999999998</v>
      </c>
      <c r="N594" s="257">
        <v>0.90898000000000001</v>
      </c>
      <c r="O594" s="257">
        <v>0.90898000000000001</v>
      </c>
      <c r="P594" s="257">
        <v>0</v>
      </c>
    </row>
    <row r="595" spans="10:16" x14ac:dyDescent="0.2">
      <c r="J595" s="258">
        <v>42100</v>
      </c>
      <c r="K595" s="257">
        <v>0.90896999999999994</v>
      </c>
      <c r="L595" s="257">
        <v>0.94594</v>
      </c>
      <c r="M595" s="257">
        <v>0.90612999999999999</v>
      </c>
      <c r="N595" s="257">
        <v>0.94252000000000002</v>
      </c>
      <c r="O595" s="257">
        <v>0.94252000000000002</v>
      </c>
      <c r="P595" s="257">
        <v>0</v>
      </c>
    </row>
    <row r="596" spans="10:16" x14ac:dyDescent="0.2">
      <c r="J596" s="258">
        <v>42107</v>
      </c>
      <c r="K596" s="257">
        <v>0.94266000000000005</v>
      </c>
      <c r="L596" s="257">
        <v>0.95042599999999999</v>
      </c>
      <c r="M596" s="257">
        <v>0.92192200000000002</v>
      </c>
      <c r="N596" s="257">
        <v>0.92505000000000004</v>
      </c>
      <c r="O596" s="257">
        <v>0.92505000000000004</v>
      </c>
      <c r="P596" s="257">
        <v>0</v>
      </c>
    </row>
    <row r="597" spans="10:16" x14ac:dyDescent="0.2">
      <c r="J597" s="258">
        <v>42114</v>
      </c>
      <c r="K597" s="257">
        <v>0.92505000000000004</v>
      </c>
      <c r="L597" s="257">
        <v>0.93794599999999995</v>
      </c>
      <c r="M597" s="257">
        <v>0.91759999999999997</v>
      </c>
      <c r="N597" s="257">
        <v>0.92005000000000003</v>
      </c>
      <c r="O597" s="257">
        <v>0.92005000000000003</v>
      </c>
      <c r="P597" s="257">
        <v>0</v>
      </c>
    </row>
    <row r="598" spans="10:16" x14ac:dyDescent="0.2">
      <c r="J598" s="258">
        <v>42121</v>
      </c>
      <c r="K598" s="257">
        <v>0.92018</v>
      </c>
      <c r="L598" s="257">
        <v>0.92388099999999995</v>
      </c>
      <c r="M598" s="257">
        <v>0.88576299999999997</v>
      </c>
      <c r="N598" s="257">
        <v>0.89398</v>
      </c>
      <c r="O598" s="257">
        <v>0.89398</v>
      </c>
      <c r="P598" s="257">
        <v>0</v>
      </c>
    </row>
    <row r="599" spans="10:16" x14ac:dyDescent="0.2">
      <c r="J599" s="258">
        <v>42128</v>
      </c>
      <c r="K599" s="257">
        <v>0.89358000000000004</v>
      </c>
      <c r="L599" s="257">
        <v>0.903424</v>
      </c>
      <c r="M599" s="257">
        <v>0.87791699999999995</v>
      </c>
      <c r="N599" s="257">
        <v>0.89332999999999996</v>
      </c>
      <c r="O599" s="257">
        <v>0.89332999999999996</v>
      </c>
      <c r="P599" s="257">
        <v>0</v>
      </c>
    </row>
    <row r="600" spans="10:16" x14ac:dyDescent="0.2">
      <c r="J600" s="258">
        <v>42135</v>
      </c>
      <c r="K600" s="257">
        <v>0.8931</v>
      </c>
      <c r="L600" s="257">
        <v>0.89810100000000004</v>
      </c>
      <c r="M600" s="257">
        <v>0.87312999999999996</v>
      </c>
      <c r="N600" s="257">
        <v>0.87373999999999996</v>
      </c>
      <c r="O600" s="257">
        <v>0.87373999999999996</v>
      </c>
      <c r="P600" s="257">
        <v>0</v>
      </c>
    </row>
    <row r="601" spans="10:16" x14ac:dyDescent="0.2">
      <c r="J601" s="258">
        <v>42142</v>
      </c>
      <c r="K601" s="257">
        <v>0.87382000000000004</v>
      </c>
      <c r="L601" s="257">
        <v>0.90851300000000001</v>
      </c>
      <c r="M601" s="257">
        <v>0.87359100000000001</v>
      </c>
      <c r="N601" s="257">
        <v>0.90793000000000001</v>
      </c>
      <c r="O601" s="257">
        <v>0.90793000000000001</v>
      </c>
      <c r="P601" s="257">
        <v>0</v>
      </c>
    </row>
    <row r="602" spans="10:16" x14ac:dyDescent="0.2">
      <c r="J602" s="258">
        <v>42149</v>
      </c>
      <c r="K602" s="257">
        <v>0.90973999999999999</v>
      </c>
      <c r="L602" s="257">
        <v>0.92404399999999998</v>
      </c>
      <c r="M602" s="257">
        <v>0.90826499999999999</v>
      </c>
      <c r="N602" s="257">
        <v>0.91237999999999997</v>
      </c>
      <c r="O602" s="257">
        <v>0.91237999999999997</v>
      </c>
      <c r="P602" s="257">
        <v>0</v>
      </c>
    </row>
    <row r="603" spans="10:16" x14ac:dyDescent="0.2">
      <c r="J603" s="258">
        <v>42156</v>
      </c>
      <c r="K603" s="257">
        <v>0.91249000000000002</v>
      </c>
      <c r="L603" s="257">
        <v>0.91836600000000002</v>
      </c>
      <c r="M603" s="257">
        <v>0.87904000000000004</v>
      </c>
      <c r="N603" s="257">
        <v>0.89222999999999997</v>
      </c>
      <c r="O603" s="257">
        <v>0.89222999999999997</v>
      </c>
      <c r="P603" s="257">
        <v>0</v>
      </c>
    </row>
    <row r="604" spans="10:16" x14ac:dyDescent="0.2">
      <c r="J604" s="258">
        <v>42163</v>
      </c>
      <c r="K604" s="257">
        <v>0.90046000000000004</v>
      </c>
      <c r="L604" s="257">
        <v>0.90186999999999995</v>
      </c>
      <c r="M604" s="257">
        <v>0.87858000000000003</v>
      </c>
      <c r="N604" s="257">
        <v>0.88963000000000003</v>
      </c>
      <c r="O604" s="257">
        <v>0.88963000000000003</v>
      </c>
      <c r="P604" s="257">
        <v>0</v>
      </c>
    </row>
    <row r="605" spans="10:16" x14ac:dyDescent="0.2">
      <c r="J605" s="258">
        <v>42170</v>
      </c>
      <c r="K605" s="257">
        <v>0.89142999999999994</v>
      </c>
      <c r="L605" s="257">
        <v>0.89353499999999997</v>
      </c>
      <c r="M605" s="257">
        <v>0.87501300000000004</v>
      </c>
      <c r="N605" s="257">
        <v>0.87944999999999995</v>
      </c>
      <c r="O605" s="257">
        <v>0.87944999999999995</v>
      </c>
      <c r="P605" s="257">
        <v>0</v>
      </c>
    </row>
    <row r="606" spans="10:16" x14ac:dyDescent="0.2">
      <c r="J606" s="258">
        <v>42177</v>
      </c>
      <c r="K606" s="257">
        <v>0.88009999999999999</v>
      </c>
      <c r="L606" s="257">
        <v>0.89796399999999998</v>
      </c>
      <c r="M606" s="257">
        <v>0.87642399999999998</v>
      </c>
      <c r="N606" s="257">
        <v>0.89261999999999997</v>
      </c>
      <c r="O606" s="257">
        <v>0.89261999999999997</v>
      </c>
      <c r="P606" s="257">
        <v>0</v>
      </c>
    </row>
    <row r="607" spans="10:16" x14ac:dyDescent="0.2">
      <c r="J607" s="258">
        <v>42184</v>
      </c>
      <c r="K607" s="257">
        <v>0.91049999999999998</v>
      </c>
      <c r="L607" s="257">
        <v>0.91049999999999998</v>
      </c>
      <c r="M607" s="257">
        <v>0.88977499999999998</v>
      </c>
      <c r="N607" s="257">
        <v>0.90195999999999998</v>
      </c>
      <c r="O607" s="257">
        <v>0.90195999999999998</v>
      </c>
      <c r="P607" s="257">
        <v>0</v>
      </c>
    </row>
    <row r="608" spans="10:16" x14ac:dyDescent="0.2">
      <c r="J608" s="258">
        <v>42191</v>
      </c>
      <c r="K608" s="257">
        <v>0.90925999999999996</v>
      </c>
      <c r="L608" s="257">
        <v>0.91601900000000003</v>
      </c>
      <c r="M608" s="257">
        <v>0.891266</v>
      </c>
      <c r="N608" s="257">
        <v>0.90390999999999999</v>
      </c>
      <c r="O608" s="257">
        <v>0.90390999999999999</v>
      </c>
      <c r="P608" s="257">
        <v>0</v>
      </c>
    </row>
    <row r="609" spans="10:16" x14ac:dyDescent="0.2">
      <c r="J609" s="258">
        <v>42198</v>
      </c>
      <c r="K609" s="257">
        <v>0.89854999999999996</v>
      </c>
      <c r="L609" s="257">
        <v>0.92217700000000002</v>
      </c>
      <c r="M609" s="257">
        <v>0.89304899999999998</v>
      </c>
      <c r="N609" s="257">
        <v>0.91861000000000004</v>
      </c>
      <c r="O609" s="257">
        <v>0.91861000000000004</v>
      </c>
      <c r="P609" s="257">
        <v>0</v>
      </c>
    </row>
    <row r="610" spans="10:16" x14ac:dyDescent="0.2">
      <c r="J610" s="258">
        <v>42205</v>
      </c>
      <c r="K610" s="257">
        <v>0.92310999999999999</v>
      </c>
      <c r="L610" s="257">
        <v>0.92483800000000005</v>
      </c>
      <c r="M610" s="257">
        <v>0.90744100000000005</v>
      </c>
      <c r="N610" s="257">
        <v>0.91</v>
      </c>
      <c r="O610" s="257">
        <v>0.91</v>
      </c>
      <c r="P610" s="257">
        <v>0</v>
      </c>
    </row>
    <row r="611" spans="10:16" x14ac:dyDescent="0.2">
      <c r="J611" s="258">
        <v>42212</v>
      </c>
      <c r="K611" s="257">
        <v>0.91124000000000005</v>
      </c>
      <c r="L611" s="257">
        <v>0.91648099999999999</v>
      </c>
      <c r="M611" s="257">
        <v>0.89847299999999997</v>
      </c>
      <c r="N611" s="257">
        <v>0.91413999999999995</v>
      </c>
      <c r="O611" s="257">
        <v>0.91413999999999995</v>
      </c>
      <c r="P611" s="257">
        <v>0</v>
      </c>
    </row>
    <row r="612" spans="10:16" x14ac:dyDescent="0.2">
      <c r="J612" s="258">
        <v>42219</v>
      </c>
      <c r="K612" s="257">
        <v>0.91166000000000003</v>
      </c>
      <c r="L612" s="257">
        <v>0.92163300000000004</v>
      </c>
      <c r="M612" s="257">
        <v>0.90942199999999995</v>
      </c>
      <c r="N612" s="257">
        <v>0.91515999999999997</v>
      </c>
      <c r="O612" s="257">
        <v>0.91515999999999997</v>
      </c>
      <c r="P612" s="257">
        <v>0</v>
      </c>
    </row>
    <row r="613" spans="10:16" x14ac:dyDescent="0.2">
      <c r="J613" s="258">
        <v>42226</v>
      </c>
      <c r="K613" s="257">
        <v>0.91249000000000002</v>
      </c>
      <c r="L613" s="257">
        <v>0.91515599999999997</v>
      </c>
      <c r="M613" s="257">
        <v>0.89203699999999997</v>
      </c>
      <c r="N613" s="257">
        <v>0.89598</v>
      </c>
      <c r="O613" s="257">
        <v>0.89598</v>
      </c>
      <c r="P613" s="257">
        <v>0</v>
      </c>
    </row>
    <row r="614" spans="10:16" x14ac:dyDescent="0.2">
      <c r="J614" s="258">
        <v>42233</v>
      </c>
      <c r="K614" s="257">
        <v>0.90131000000000006</v>
      </c>
      <c r="L614" s="257">
        <v>0.90740799999999999</v>
      </c>
      <c r="M614" s="257">
        <v>0.87957700000000005</v>
      </c>
      <c r="N614" s="257">
        <v>0.88992000000000004</v>
      </c>
      <c r="O614" s="257">
        <v>0.88992000000000004</v>
      </c>
      <c r="P614" s="257">
        <v>0</v>
      </c>
    </row>
    <row r="615" spans="10:16" x14ac:dyDescent="0.2">
      <c r="J615" s="258">
        <v>42240</v>
      </c>
      <c r="K615" s="257">
        <v>0.87888999999999995</v>
      </c>
      <c r="L615" s="257">
        <v>0.89632199999999995</v>
      </c>
      <c r="M615" s="257">
        <v>0.85426299999999999</v>
      </c>
      <c r="N615" s="257">
        <v>0.88905000000000001</v>
      </c>
      <c r="O615" s="257">
        <v>0.88905000000000001</v>
      </c>
      <c r="P615" s="257">
        <v>0</v>
      </c>
    </row>
    <row r="616" spans="10:16" x14ac:dyDescent="0.2">
      <c r="J616" s="258">
        <v>42247</v>
      </c>
      <c r="K616" s="257">
        <v>0.89192000000000005</v>
      </c>
      <c r="L616" s="257">
        <v>0.90173800000000004</v>
      </c>
      <c r="M616" s="257">
        <v>0.88243300000000002</v>
      </c>
      <c r="N616" s="257">
        <v>0.89880000000000004</v>
      </c>
      <c r="O616" s="257">
        <v>0.89880000000000004</v>
      </c>
      <c r="P616" s="257">
        <v>0</v>
      </c>
    </row>
    <row r="617" spans="10:16" x14ac:dyDescent="0.2">
      <c r="J617" s="258">
        <v>42254</v>
      </c>
      <c r="K617" s="257">
        <v>0.89614000000000005</v>
      </c>
      <c r="L617" s="257">
        <v>0.89894099999999999</v>
      </c>
      <c r="M617" s="257">
        <v>0.88166299999999997</v>
      </c>
      <c r="N617" s="257">
        <v>0.88566999999999996</v>
      </c>
      <c r="O617" s="257">
        <v>0.88566999999999996</v>
      </c>
      <c r="P617" s="257">
        <v>0</v>
      </c>
    </row>
    <row r="618" spans="10:16" x14ac:dyDescent="0.2">
      <c r="J618" s="258">
        <v>42261</v>
      </c>
      <c r="K618" s="257">
        <v>0.88151999999999997</v>
      </c>
      <c r="L618" s="257">
        <v>0.89166299999999998</v>
      </c>
      <c r="M618" s="257">
        <v>0.87260000000000004</v>
      </c>
      <c r="N618" s="257">
        <v>0.87712000000000001</v>
      </c>
      <c r="O618" s="257">
        <v>0.87712000000000001</v>
      </c>
      <c r="P618" s="257">
        <v>0</v>
      </c>
    </row>
    <row r="619" spans="10:16" x14ac:dyDescent="0.2">
      <c r="J619" s="258">
        <v>42268</v>
      </c>
      <c r="K619" s="257">
        <v>0.88549999999999995</v>
      </c>
      <c r="L619" s="257">
        <v>0.90034999999999998</v>
      </c>
      <c r="M619" s="257">
        <v>0.88261299999999998</v>
      </c>
      <c r="N619" s="257">
        <v>0.89454</v>
      </c>
      <c r="O619" s="257">
        <v>0.89454</v>
      </c>
      <c r="P619" s="257">
        <v>0</v>
      </c>
    </row>
    <row r="620" spans="10:16" x14ac:dyDescent="0.2">
      <c r="J620" s="258">
        <v>42275</v>
      </c>
      <c r="K620" s="257">
        <v>0.89281999999999995</v>
      </c>
      <c r="L620" s="257">
        <v>0.89775000000000005</v>
      </c>
      <c r="M620" s="257">
        <v>0.88375899999999996</v>
      </c>
      <c r="N620" s="257">
        <v>0.89337999999999995</v>
      </c>
      <c r="O620" s="257">
        <v>0.89337999999999995</v>
      </c>
      <c r="P620" s="257">
        <v>0</v>
      </c>
    </row>
    <row r="621" spans="10:16" x14ac:dyDescent="0.2">
      <c r="J621" s="258">
        <v>42282</v>
      </c>
      <c r="K621" s="257">
        <v>0.89115</v>
      </c>
      <c r="L621" s="257">
        <v>0.89476999999999995</v>
      </c>
      <c r="M621" s="257">
        <v>0.87883500000000003</v>
      </c>
      <c r="N621" s="257">
        <v>0.88597999999999999</v>
      </c>
      <c r="O621" s="257">
        <v>0.88597999999999999</v>
      </c>
      <c r="P621" s="257">
        <v>0</v>
      </c>
    </row>
    <row r="622" spans="10:16" x14ac:dyDescent="0.2">
      <c r="J622" s="258">
        <v>42289</v>
      </c>
      <c r="K622" s="257">
        <v>0.87958000000000003</v>
      </c>
      <c r="L622" s="257">
        <v>0.88188100000000003</v>
      </c>
      <c r="M622" s="257">
        <v>0.870004</v>
      </c>
      <c r="N622" s="257">
        <v>0.87965000000000004</v>
      </c>
      <c r="O622" s="257">
        <v>0.87965000000000004</v>
      </c>
      <c r="P622" s="257">
        <v>0</v>
      </c>
    </row>
    <row r="623" spans="10:16" x14ac:dyDescent="0.2">
      <c r="J623" s="258">
        <v>42296</v>
      </c>
      <c r="K623" s="257">
        <v>0.88027999999999995</v>
      </c>
      <c r="L623" s="257">
        <v>0.90817999999999999</v>
      </c>
      <c r="M623" s="257">
        <v>0.87796300000000005</v>
      </c>
      <c r="N623" s="257">
        <v>0.90244999999999997</v>
      </c>
      <c r="O623" s="257">
        <v>0.90244999999999997</v>
      </c>
      <c r="P623" s="257">
        <v>0</v>
      </c>
    </row>
    <row r="624" spans="10:16" x14ac:dyDescent="0.2">
      <c r="J624" s="258">
        <v>42303</v>
      </c>
      <c r="K624" s="257">
        <v>0.90741000000000005</v>
      </c>
      <c r="L624" s="257">
        <v>0.91659000000000002</v>
      </c>
      <c r="M624" s="257">
        <v>0.90090099999999995</v>
      </c>
      <c r="N624" s="257">
        <v>0.90834999999999999</v>
      </c>
      <c r="O624" s="257">
        <v>0.90834999999999999</v>
      </c>
      <c r="P624" s="257">
        <v>0</v>
      </c>
    </row>
    <row r="625" spans="10:16" x14ac:dyDescent="0.2">
      <c r="J625" s="258">
        <v>42310</v>
      </c>
      <c r="K625" s="257">
        <v>0.90703</v>
      </c>
      <c r="L625" s="257">
        <v>0.93355999999999995</v>
      </c>
      <c r="M625" s="257">
        <v>0.90415900000000005</v>
      </c>
      <c r="N625" s="257">
        <v>0.93098000000000003</v>
      </c>
      <c r="O625" s="257">
        <v>0.93098000000000003</v>
      </c>
      <c r="P625" s="257">
        <v>0</v>
      </c>
    </row>
    <row r="626" spans="10:16" x14ac:dyDescent="0.2">
      <c r="J626" s="258">
        <v>42317</v>
      </c>
      <c r="K626" s="257">
        <v>0.93176000000000003</v>
      </c>
      <c r="L626" s="257">
        <v>0.93667999999999996</v>
      </c>
      <c r="M626" s="257">
        <v>0.92498000000000002</v>
      </c>
      <c r="N626" s="257">
        <v>0.92818999999999996</v>
      </c>
      <c r="O626" s="257">
        <v>0.92818999999999996</v>
      </c>
      <c r="P626" s="257">
        <v>0</v>
      </c>
    </row>
    <row r="627" spans="10:16" x14ac:dyDescent="0.2">
      <c r="J627" s="258">
        <v>42324</v>
      </c>
      <c r="K627" s="257">
        <v>0.93449000000000004</v>
      </c>
      <c r="L627" s="257">
        <v>0.94052999999999998</v>
      </c>
      <c r="M627" s="257">
        <v>0.92936799999999997</v>
      </c>
      <c r="N627" s="257">
        <v>0.93889999999999996</v>
      </c>
      <c r="O627" s="257">
        <v>0.93889999999999996</v>
      </c>
      <c r="P627" s="257">
        <v>0</v>
      </c>
    </row>
    <row r="628" spans="10:16" x14ac:dyDescent="0.2">
      <c r="J628" s="258">
        <v>42331</v>
      </c>
      <c r="K628" s="257">
        <v>0.93984999999999996</v>
      </c>
      <c r="L628" s="257">
        <v>0.94607399999999997</v>
      </c>
      <c r="M628" s="257">
        <v>0.93545400000000001</v>
      </c>
      <c r="N628" s="257">
        <v>0.94386999999999999</v>
      </c>
      <c r="O628" s="257">
        <v>0.94386999999999999</v>
      </c>
      <c r="P628" s="257">
        <v>0</v>
      </c>
    </row>
    <row r="629" spans="10:16" x14ac:dyDescent="0.2">
      <c r="J629" s="258">
        <v>42338</v>
      </c>
      <c r="K629" s="257">
        <v>0.94491000000000003</v>
      </c>
      <c r="L629" s="257">
        <v>0.94858699999999996</v>
      </c>
      <c r="M629" s="257">
        <v>0.91308</v>
      </c>
      <c r="N629" s="257">
        <v>0.91895000000000004</v>
      </c>
      <c r="O629" s="257">
        <v>0.91895000000000004</v>
      </c>
      <c r="P629" s="257">
        <v>0</v>
      </c>
    </row>
    <row r="630" spans="10:16" x14ac:dyDescent="0.2">
      <c r="J630" s="258">
        <v>42345</v>
      </c>
      <c r="K630" s="257">
        <v>0.91886000000000001</v>
      </c>
      <c r="L630" s="257">
        <v>0.92609699999999995</v>
      </c>
      <c r="M630" s="257">
        <v>0.90661800000000003</v>
      </c>
      <c r="N630" s="257">
        <v>0.90930999999999995</v>
      </c>
      <c r="O630" s="257">
        <v>0.90930999999999995</v>
      </c>
      <c r="P630" s="257">
        <v>0</v>
      </c>
    </row>
    <row r="631" spans="10:16" x14ac:dyDescent="0.2">
      <c r="J631" s="258">
        <v>42352</v>
      </c>
      <c r="K631" s="257">
        <v>0.90991999999999995</v>
      </c>
      <c r="L631" s="257">
        <v>0.92541200000000001</v>
      </c>
      <c r="M631" s="257">
        <v>0.90334199999999998</v>
      </c>
      <c r="N631" s="257">
        <v>0.92008000000000001</v>
      </c>
      <c r="O631" s="257">
        <v>0.92008000000000001</v>
      </c>
      <c r="P631" s="257">
        <v>0</v>
      </c>
    </row>
    <row r="632" spans="10:16" x14ac:dyDescent="0.2">
      <c r="J632" s="258">
        <v>42359</v>
      </c>
      <c r="K632" s="257">
        <v>0.91995000000000005</v>
      </c>
      <c r="L632" s="257">
        <v>0.921489</v>
      </c>
      <c r="M632" s="257">
        <v>0.91041499999999997</v>
      </c>
      <c r="N632" s="257">
        <v>0.91074999999999995</v>
      </c>
      <c r="O632" s="257">
        <v>0.91074999999999995</v>
      </c>
      <c r="P632" s="257">
        <v>0</v>
      </c>
    </row>
    <row r="633" spans="10:16" x14ac:dyDescent="0.2">
      <c r="J633" s="258">
        <v>42366</v>
      </c>
      <c r="K633" s="257">
        <v>0.91191</v>
      </c>
      <c r="L633" s="257">
        <v>0.92174</v>
      </c>
      <c r="M633" s="257">
        <v>0.90909099999999998</v>
      </c>
      <c r="N633" s="257">
        <v>0.92132000000000003</v>
      </c>
      <c r="O633" s="257">
        <v>0.92132000000000003</v>
      </c>
      <c r="P633" s="257">
        <v>0</v>
      </c>
    </row>
    <row r="634" spans="10:16" x14ac:dyDescent="0.2">
      <c r="J634" s="258">
        <v>42373</v>
      </c>
      <c r="K634" s="257">
        <v>0.92122999999999999</v>
      </c>
      <c r="L634" s="257">
        <v>0.93353200000000003</v>
      </c>
      <c r="M634" s="257">
        <v>0.91157999999999995</v>
      </c>
      <c r="N634" s="257">
        <v>0.91398999999999997</v>
      </c>
      <c r="O634" s="257">
        <v>0.91398999999999997</v>
      </c>
      <c r="P634" s="257">
        <v>0</v>
      </c>
    </row>
    <row r="635" spans="10:16" x14ac:dyDescent="0.2">
      <c r="J635" s="258">
        <v>42380</v>
      </c>
      <c r="K635" s="257">
        <v>0.91415999999999997</v>
      </c>
      <c r="L635" s="257">
        <v>0.92541200000000001</v>
      </c>
      <c r="M635" s="257">
        <v>0.91058099999999997</v>
      </c>
      <c r="N635" s="257">
        <v>0.91574999999999995</v>
      </c>
      <c r="O635" s="257">
        <v>0.91574999999999995</v>
      </c>
      <c r="P635" s="257">
        <v>0</v>
      </c>
    </row>
    <row r="636" spans="10:16" x14ac:dyDescent="0.2">
      <c r="J636" s="258">
        <v>42387</v>
      </c>
      <c r="K636" s="257">
        <v>0.91583000000000003</v>
      </c>
      <c r="L636" s="257">
        <v>0.92747199999999996</v>
      </c>
      <c r="M636" s="257">
        <v>0.91107899999999997</v>
      </c>
      <c r="N636" s="257">
        <v>0.92601</v>
      </c>
      <c r="O636" s="257">
        <v>0.92601</v>
      </c>
      <c r="P636" s="257">
        <v>0</v>
      </c>
    </row>
    <row r="637" spans="10:16" x14ac:dyDescent="0.2">
      <c r="J637" s="258">
        <v>42394</v>
      </c>
      <c r="K637" s="257">
        <v>0.92601</v>
      </c>
      <c r="L637" s="257">
        <v>0.92661000000000004</v>
      </c>
      <c r="M637" s="257">
        <v>0.913242</v>
      </c>
      <c r="N637" s="257">
        <v>0.92371000000000003</v>
      </c>
      <c r="O637" s="257">
        <v>0.92371000000000003</v>
      </c>
      <c r="P637" s="257">
        <v>0</v>
      </c>
    </row>
    <row r="638" spans="10:16" x14ac:dyDescent="0.2">
      <c r="J638" s="258">
        <v>42401</v>
      </c>
      <c r="K638" s="257">
        <v>0.92367999999999995</v>
      </c>
      <c r="L638" s="257">
        <v>0.92367999999999995</v>
      </c>
      <c r="M638" s="257">
        <v>0.88983800000000002</v>
      </c>
      <c r="N638" s="257">
        <v>0.89725999999999995</v>
      </c>
      <c r="O638" s="257">
        <v>0.89725999999999995</v>
      </c>
      <c r="P638" s="257">
        <v>0</v>
      </c>
    </row>
    <row r="639" spans="10:16" x14ac:dyDescent="0.2">
      <c r="J639" s="258">
        <v>42408</v>
      </c>
      <c r="K639" s="257">
        <v>0.89710000000000001</v>
      </c>
      <c r="L639" s="257">
        <v>0.90187600000000001</v>
      </c>
      <c r="M639" s="257">
        <v>0.87966200000000005</v>
      </c>
      <c r="N639" s="257">
        <v>0.89078999999999997</v>
      </c>
      <c r="O639" s="257">
        <v>0.89078999999999997</v>
      </c>
      <c r="P639" s="257">
        <v>0</v>
      </c>
    </row>
    <row r="640" spans="10:16" x14ac:dyDescent="0.2">
      <c r="J640" s="258">
        <v>42415</v>
      </c>
      <c r="K640" s="257">
        <v>0.89078999999999997</v>
      </c>
      <c r="L640" s="257">
        <v>0.90350600000000003</v>
      </c>
      <c r="M640" s="257">
        <v>0.88971999999999996</v>
      </c>
      <c r="N640" s="257">
        <v>0.89895999999999998</v>
      </c>
      <c r="O640" s="257">
        <v>0.89895999999999998</v>
      </c>
      <c r="P640" s="257">
        <v>0</v>
      </c>
    </row>
    <row r="641" spans="10:16" x14ac:dyDescent="0.2">
      <c r="J641" s="258">
        <v>42422</v>
      </c>
      <c r="K641" s="257">
        <v>0.89895999999999998</v>
      </c>
      <c r="L641" s="257">
        <v>0.91618999999999995</v>
      </c>
      <c r="M641" s="257">
        <v>0.89888000000000001</v>
      </c>
      <c r="N641" s="257">
        <v>0.91542000000000001</v>
      </c>
      <c r="O641" s="257">
        <v>0.91542000000000001</v>
      </c>
      <c r="P641" s="257">
        <v>0</v>
      </c>
    </row>
    <row r="642" spans="10:16" x14ac:dyDescent="0.2">
      <c r="J642" s="258">
        <v>42429</v>
      </c>
      <c r="K642" s="257">
        <v>0.91525000000000001</v>
      </c>
      <c r="L642" s="257">
        <v>0.92370200000000002</v>
      </c>
      <c r="M642" s="257">
        <v>0.90579699999999996</v>
      </c>
      <c r="N642" s="257">
        <v>0.90959000000000001</v>
      </c>
      <c r="O642" s="257">
        <v>0.90959000000000001</v>
      </c>
      <c r="P642" s="257">
        <v>0</v>
      </c>
    </row>
    <row r="643" spans="10:16" x14ac:dyDescent="0.2">
      <c r="J643" s="258">
        <v>42436</v>
      </c>
      <c r="K643" s="257">
        <v>0.90959000000000001</v>
      </c>
      <c r="L643" s="257">
        <v>0.92356000000000005</v>
      </c>
      <c r="M643" s="257">
        <v>0.89205999999999996</v>
      </c>
      <c r="N643" s="257">
        <v>0.89541999999999999</v>
      </c>
      <c r="O643" s="257">
        <v>0.89541999999999999</v>
      </c>
      <c r="P643" s="257">
        <v>0</v>
      </c>
    </row>
    <row r="644" spans="10:16" x14ac:dyDescent="0.2">
      <c r="J644" s="258">
        <v>42443</v>
      </c>
      <c r="K644" s="257">
        <v>0.89581999999999995</v>
      </c>
      <c r="L644" s="257">
        <v>0.90432299999999999</v>
      </c>
      <c r="M644" s="257">
        <v>0.88151999999999997</v>
      </c>
      <c r="N644" s="257">
        <v>0.88660000000000005</v>
      </c>
      <c r="O644" s="257">
        <v>0.88660000000000005</v>
      </c>
      <c r="P644" s="257">
        <v>0</v>
      </c>
    </row>
    <row r="645" spans="10:16" x14ac:dyDescent="0.2">
      <c r="J645" s="258">
        <v>42450</v>
      </c>
      <c r="K645" s="257">
        <v>0.88683999999999996</v>
      </c>
      <c r="L645" s="257">
        <v>0.89688999999999997</v>
      </c>
      <c r="M645" s="257">
        <v>0.88573999999999997</v>
      </c>
      <c r="N645" s="257">
        <v>0.89605999999999997</v>
      </c>
      <c r="O645" s="257">
        <v>0.89605999999999997</v>
      </c>
      <c r="P645" s="257">
        <v>0</v>
      </c>
    </row>
    <row r="646" spans="10:16" x14ac:dyDescent="0.2">
      <c r="J646" s="258">
        <v>42457</v>
      </c>
      <c r="K646" s="257">
        <v>0.89605999999999997</v>
      </c>
      <c r="L646" s="257">
        <v>0.89642999999999995</v>
      </c>
      <c r="M646" s="257">
        <v>0.87427900000000003</v>
      </c>
      <c r="N646" s="257">
        <v>0.87795999999999996</v>
      </c>
      <c r="O646" s="257">
        <v>0.87795999999999996</v>
      </c>
      <c r="P646" s="257">
        <v>0</v>
      </c>
    </row>
    <row r="647" spans="10:16" x14ac:dyDescent="0.2">
      <c r="J647" s="258">
        <v>42464</v>
      </c>
      <c r="K647" s="257">
        <v>0.87741999999999998</v>
      </c>
      <c r="L647" s="257">
        <v>0.88249999999999995</v>
      </c>
      <c r="M647" s="257">
        <v>0.87312999999999996</v>
      </c>
      <c r="N647" s="257">
        <v>0.87695999999999996</v>
      </c>
      <c r="O647" s="257">
        <v>0.87695999999999996</v>
      </c>
      <c r="P647" s="257">
        <v>0</v>
      </c>
    </row>
    <row r="648" spans="10:16" x14ac:dyDescent="0.2">
      <c r="J648" s="258">
        <v>42471</v>
      </c>
      <c r="K648" s="257">
        <v>0.87665000000000004</v>
      </c>
      <c r="L648" s="257">
        <v>0.88999600000000001</v>
      </c>
      <c r="M648" s="257">
        <v>0.87229599999999996</v>
      </c>
      <c r="N648" s="257">
        <v>0.88495999999999997</v>
      </c>
      <c r="O648" s="257">
        <v>0.88495999999999997</v>
      </c>
      <c r="P648" s="257">
        <v>0</v>
      </c>
    </row>
    <row r="649" spans="10:16" x14ac:dyDescent="0.2">
      <c r="J649" s="258">
        <v>42478</v>
      </c>
      <c r="K649" s="257">
        <v>0.88488</v>
      </c>
      <c r="L649" s="257">
        <v>0.89127000000000001</v>
      </c>
      <c r="M649" s="257">
        <v>0.87765499999999996</v>
      </c>
      <c r="N649" s="257">
        <v>0.89015</v>
      </c>
      <c r="O649" s="257">
        <v>0.89015</v>
      </c>
      <c r="P649" s="257">
        <v>0</v>
      </c>
    </row>
    <row r="650" spans="10:16" x14ac:dyDescent="0.2">
      <c r="J650" s="258">
        <v>42485</v>
      </c>
      <c r="K650" s="257">
        <v>0.89022999999999997</v>
      </c>
      <c r="L650" s="257">
        <v>0.89071</v>
      </c>
      <c r="M650" s="257">
        <v>0.87199000000000004</v>
      </c>
      <c r="N650" s="257">
        <v>0.87236999999999998</v>
      </c>
      <c r="O650" s="257">
        <v>0.87236999999999998</v>
      </c>
      <c r="P650" s="257">
        <v>0</v>
      </c>
    </row>
    <row r="651" spans="10:16" x14ac:dyDescent="0.2">
      <c r="J651" s="258">
        <v>42492</v>
      </c>
      <c r="K651" s="257">
        <v>0.87244999999999995</v>
      </c>
      <c r="L651" s="257">
        <v>0.87827</v>
      </c>
      <c r="M651" s="257">
        <v>0.86102999999999996</v>
      </c>
      <c r="N651" s="257">
        <v>0.87812000000000001</v>
      </c>
      <c r="O651" s="257">
        <v>0.87812000000000001</v>
      </c>
      <c r="P651" s="257">
        <v>0</v>
      </c>
    </row>
    <row r="652" spans="10:16" x14ac:dyDescent="0.2">
      <c r="J652" s="258">
        <v>42499</v>
      </c>
      <c r="K652" s="257">
        <v>0.87812000000000001</v>
      </c>
      <c r="L652" s="257">
        <v>0.88621099999999997</v>
      </c>
      <c r="M652" s="257">
        <v>0.873668</v>
      </c>
      <c r="N652" s="257">
        <v>0.88363000000000003</v>
      </c>
      <c r="O652" s="257">
        <v>0.88363000000000003</v>
      </c>
      <c r="P652" s="257">
        <v>0</v>
      </c>
    </row>
    <row r="653" spans="10:16" x14ac:dyDescent="0.2">
      <c r="J653" s="258">
        <v>42506</v>
      </c>
      <c r="K653" s="257">
        <v>0.88363000000000003</v>
      </c>
      <c r="L653" s="257">
        <v>0.89429400000000003</v>
      </c>
      <c r="M653" s="257">
        <v>0.88121300000000002</v>
      </c>
      <c r="N653" s="257">
        <v>0.89112999999999998</v>
      </c>
      <c r="O653" s="257">
        <v>0.89112999999999998</v>
      </c>
      <c r="P653" s="257">
        <v>0</v>
      </c>
    </row>
    <row r="654" spans="10:16" x14ac:dyDescent="0.2">
      <c r="J654" s="258">
        <v>42513</v>
      </c>
      <c r="K654" s="257">
        <v>0.89119000000000004</v>
      </c>
      <c r="L654" s="257">
        <v>0.90024999999999999</v>
      </c>
      <c r="M654" s="257">
        <v>0.88944000000000001</v>
      </c>
      <c r="N654" s="257">
        <v>0.90008999999999995</v>
      </c>
      <c r="O654" s="257">
        <v>0.90008999999999995</v>
      </c>
      <c r="P654" s="257">
        <v>0</v>
      </c>
    </row>
    <row r="655" spans="10:16" x14ac:dyDescent="0.2">
      <c r="J655" s="258">
        <v>42520</v>
      </c>
      <c r="K655" s="257">
        <v>0.90000999999999998</v>
      </c>
      <c r="L655" s="257">
        <v>0.90090000000000003</v>
      </c>
      <c r="M655" s="257">
        <v>0.87941999999999998</v>
      </c>
      <c r="N655" s="257">
        <v>0.88097999999999999</v>
      </c>
      <c r="O655" s="257">
        <v>0.88097999999999999</v>
      </c>
      <c r="P655" s="257">
        <v>0</v>
      </c>
    </row>
    <row r="656" spans="10:16" x14ac:dyDescent="0.2">
      <c r="J656" s="258">
        <v>42527</v>
      </c>
      <c r="K656" s="257">
        <v>0.88097999999999999</v>
      </c>
      <c r="L656" s="257">
        <v>0.88997999999999999</v>
      </c>
      <c r="M656" s="257">
        <v>0.87565700000000002</v>
      </c>
      <c r="N656" s="257">
        <v>0.88968000000000003</v>
      </c>
      <c r="O656" s="257">
        <v>0.88968000000000003</v>
      </c>
      <c r="P656" s="257">
        <v>0</v>
      </c>
    </row>
    <row r="657" spans="10:16" x14ac:dyDescent="0.2">
      <c r="J657" s="258">
        <v>42534</v>
      </c>
      <c r="K657" s="257">
        <v>0.88959999999999995</v>
      </c>
      <c r="L657" s="257">
        <v>0.89831099999999997</v>
      </c>
      <c r="M657" s="257">
        <v>0.88097999999999999</v>
      </c>
      <c r="N657" s="257">
        <v>0.88112999999999997</v>
      </c>
      <c r="O657" s="257">
        <v>0.88112999999999997</v>
      </c>
      <c r="P657" s="257">
        <v>0</v>
      </c>
    </row>
    <row r="658" spans="10:16" x14ac:dyDescent="0.2">
      <c r="J658" s="258">
        <v>42541</v>
      </c>
      <c r="K658" s="257">
        <v>0.88112999999999997</v>
      </c>
      <c r="L658" s="257">
        <v>0.91583000000000003</v>
      </c>
      <c r="M658" s="257">
        <v>0.87549999999999994</v>
      </c>
      <c r="N658" s="257">
        <v>0.90612999999999999</v>
      </c>
      <c r="O658" s="257">
        <v>0.90612999999999999</v>
      </c>
      <c r="P658" s="257">
        <v>0</v>
      </c>
    </row>
    <row r="659" spans="10:16" x14ac:dyDescent="0.2">
      <c r="J659" s="258">
        <v>42548</v>
      </c>
      <c r="K659" s="257">
        <v>0.90620999999999996</v>
      </c>
      <c r="L659" s="257">
        <v>0.91124499999999997</v>
      </c>
      <c r="M659" s="257">
        <v>0.89525500000000002</v>
      </c>
      <c r="N659" s="257">
        <v>0.89839000000000002</v>
      </c>
      <c r="O659" s="257">
        <v>0.89839000000000002</v>
      </c>
      <c r="P659" s="257">
        <v>0</v>
      </c>
    </row>
    <row r="660" spans="10:16" x14ac:dyDescent="0.2">
      <c r="J660" s="258">
        <v>42555</v>
      </c>
      <c r="K660" s="257">
        <v>0.89839000000000002</v>
      </c>
      <c r="L660" s="257">
        <v>0.90826499999999999</v>
      </c>
      <c r="M660" s="257">
        <v>0.89445399999999997</v>
      </c>
      <c r="N660" s="257">
        <v>0.90547</v>
      </c>
      <c r="O660" s="257">
        <v>0.90547</v>
      </c>
      <c r="P660" s="257">
        <v>0</v>
      </c>
    </row>
    <row r="661" spans="10:16" x14ac:dyDescent="0.2">
      <c r="J661" s="258">
        <v>42562</v>
      </c>
      <c r="K661" s="257">
        <v>0.90522000000000002</v>
      </c>
      <c r="L661" s="257">
        <v>0.90744100000000005</v>
      </c>
      <c r="M661" s="257">
        <v>0.89525500000000002</v>
      </c>
      <c r="N661" s="257">
        <v>0.90471999999999997</v>
      </c>
      <c r="O661" s="257">
        <v>0.90471999999999997</v>
      </c>
      <c r="P661" s="257">
        <v>0</v>
      </c>
    </row>
    <row r="662" spans="10:16" x14ac:dyDescent="0.2">
      <c r="J662" s="258">
        <v>42569</v>
      </c>
      <c r="K662" s="257">
        <v>0.90454000000000001</v>
      </c>
      <c r="L662" s="257">
        <v>0.91200000000000003</v>
      </c>
      <c r="M662" s="257">
        <v>0.90171299999999999</v>
      </c>
      <c r="N662" s="257">
        <v>0.91154000000000002</v>
      </c>
      <c r="O662" s="257">
        <v>0.91154000000000002</v>
      </c>
      <c r="P662" s="257">
        <v>0</v>
      </c>
    </row>
    <row r="663" spans="10:16" x14ac:dyDescent="0.2">
      <c r="J663" s="258">
        <v>42576</v>
      </c>
      <c r="K663" s="257">
        <v>0.91164000000000001</v>
      </c>
      <c r="L663" s="257">
        <v>0.91293999999999997</v>
      </c>
      <c r="M663" s="257">
        <v>0.89317599999999997</v>
      </c>
      <c r="N663" s="257">
        <v>0.89541000000000004</v>
      </c>
      <c r="O663" s="257">
        <v>0.89541000000000004</v>
      </c>
      <c r="P663" s="257">
        <v>0</v>
      </c>
    </row>
    <row r="664" spans="10:16" x14ac:dyDescent="0.2">
      <c r="J664" s="258">
        <v>42583</v>
      </c>
      <c r="K664" s="257">
        <v>0.89542999999999995</v>
      </c>
      <c r="L664" s="257">
        <v>0.90505000000000002</v>
      </c>
      <c r="M664" s="257">
        <v>0.89031300000000002</v>
      </c>
      <c r="N664" s="257">
        <v>0.90175000000000005</v>
      </c>
      <c r="O664" s="257">
        <v>0.90175000000000005</v>
      </c>
      <c r="P664" s="257">
        <v>0</v>
      </c>
    </row>
    <row r="665" spans="10:16" x14ac:dyDescent="0.2">
      <c r="J665" s="258">
        <v>42590</v>
      </c>
      <c r="K665" s="257">
        <v>0.90190000000000003</v>
      </c>
      <c r="L665" s="257">
        <v>0.90317899999999995</v>
      </c>
      <c r="M665" s="257">
        <v>0.891266</v>
      </c>
      <c r="N665" s="257">
        <v>0.89549999999999996</v>
      </c>
      <c r="O665" s="257">
        <v>0.89549999999999996</v>
      </c>
      <c r="P665" s="257">
        <v>0</v>
      </c>
    </row>
    <row r="666" spans="10:16" x14ac:dyDescent="0.2">
      <c r="J666" s="258">
        <v>42597</v>
      </c>
      <c r="K666" s="257">
        <v>0.89549999999999996</v>
      </c>
      <c r="L666" s="257">
        <v>0.89641999999999999</v>
      </c>
      <c r="M666" s="257">
        <v>0.88090000000000002</v>
      </c>
      <c r="N666" s="257">
        <v>0.8851</v>
      </c>
      <c r="O666" s="257">
        <v>0.8851</v>
      </c>
      <c r="P666" s="257">
        <v>0</v>
      </c>
    </row>
    <row r="667" spans="10:16" x14ac:dyDescent="0.2">
      <c r="J667" s="258">
        <v>42604</v>
      </c>
      <c r="K667" s="257">
        <v>0.88490000000000002</v>
      </c>
      <c r="L667" s="257">
        <v>0.89459</v>
      </c>
      <c r="M667" s="257">
        <v>0.88049999999999995</v>
      </c>
      <c r="N667" s="257">
        <v>0.89290000000000003</v>
      </c>
      <c r="O667" s="257">
        <v>0.89290000000000003</v>
      </c>
      <c r="P667" s="257">
        <v>0</v>
      </c>
    </row>
    <row r="668" spans="10:16" x14ac:dyDescent="0.2">
      <c r="J668" s="258">
        <v>42611</v>
      </c>
      <c r="K668" s="257">
        <v>0.8931</v>
      </c>
      <c r="L668" s="257">
        <v>0.89880000000000004</v>
      </c>
      <c r="M668" s="257">
        <v>0.88880000000000003</v>
      </c>
      <c r="N668" s="257">
        <v>0.89590000000000003</v>
      </c>
      <c r="O668" s="257">
        <v>0.89590000000000003</v>
      </c>
      <c r="P668" s="257">
        <v>0</v>
      </c>
    </row>
    <row r="669" spans="10:16" x14ac:dyDescent="0.2">
      <c r="J669" s="258">
        <v>42618</v>
      </c>
      <c r="K669" s="257">
        <v>0.89600000000000002</v>
      </c>
      <c r="L669" s="257">
        <v>0.89756000000000002</v>
      </c>
      <c r="M669" s="257">
        <v>0.88261299999999998</v>
      </c>
      <c r="N669" s="257">
        <v>0.88958999999999999</v>
      </c>
      <c r="O669" s="257">
        <v>0.88958999999999999</v>
      </c>
      <c r="P669" s="257">
        <v>0</v>
      </c>
    </row>
    <row r="670" spans="10:16" x14ac:dyDescent="0.2">
      <c r="J670" s="258">
        <v>42625</v>
      </c>
      <c r="K670" s="257">
        <v>0.88959999999999995</v>
      </c>
      <c r="L670" s="257">
        <v>0.89668000000000003</v>
      </c>
      <c r="M670" s="257">
        <v>0.88639999999999997</v>
      </c>
      <c r="N670" s="257">
        <v>0.89617999999999998</v>
      </c>
      <c r="O670" s="257">
        <v>0.89617999999999998</v>
      </c>
      <c r="P670" s="257">
        <v>0</v>
      </c>
    </row>
    <row r="671" spans="10:16" x14ac:dyDescent="0.2">
      <c r="J671" s="258">
        <v>42632</v>
      </c>
      <c r="K671" s="257">
        <v>0.89600000000000002</v>
      </c>
      <c r="L671" s="257">
        <v>0.89879600000000004</v>
      </c>
      <c r="M671" s="257">
        <v>0.88819999999999999</v>
      </c>
      <c r="N671" s="257">
        <v>0.88973999999999998</v>
      </c>
      <c r="O671" s="257">
        <v>0.88973999999999998</v>
      </c>
      <c r="P671" s="257">
        <v>0</v>
      </c>
    </row>
    <row r="672" spans="10:16" x14ac:dyDescent="0.2">
      <c r="J672" s="258">
        <v>42639</v>
      </c>
      <c r="K672" s="257">
        <v>0.88970000000000005</v>
      </c>
      <c r="L672" s="257">
        <v>0.89653899999999997</v>
      </c>
      <c r="M672" s="257">
        <v>0.88660000000000005</v>
      </c>
      <c r="N672" s="257">
        <v>0.8901</v>
      </c>
      <c r="O672" s="257">
        <v>0.8901</v>
      </c>
      <c r="P672" s="257">
        <v>0</v>
      </c>
    </row>
    <row r="673" spans="10:16" x14ac:dyDescent="0.2">
      <c r="J673" s="258">
        <v>42646</v>
      </c>
      <c r="K673" s="257">
        <v>0.89</v>
      </c>
      <c r="L673" s="257">
        <v>0.90041400000000005</v>
      </c>
      <c r="M673" s="257">
        <v>0.88888900000000004</v>
      </c>
      <c r="N673" s="257">
        <v>0.8931</v>
      </c>
      <c r="O673" s="257">
        <v>0.8931</v>
      </c>
      <c r="P673" s="257">
        <v>0</v>
      </c>
    </row>
    <row r="674" spans="10:16" x14ac:dyDescent="0.2">
      <c r="J674" s="258">
        <v>42653</v>
      </c>
      <c r="K674" s="257">
        <v>0.89322000000000001</v>
      </c>
      <c r="L674" s="257">
        <v>0.91183000000000003</v>
      </c>
      <c r="M674" s="257">
        <v>0.89270000000000005</v>
      </c>
      <c r="N674" s="257">
        <v>0.91176000000000001</v>
      </c>
      <c r="O674" s="257">
        <v>0.91176000000000001</v>
      </c>
      <c r="P674" s="257">
        <v>0</v>
      </c>
    </row>
    <row r="675" spans="10:16" x14ac:dyDescent="0.2">
      <c r="J675" s="258">
        <v>42660</v>
      </c>
      <c r="K675" s="257">
        <v>0.91169999999999995</v>
      </c>
      <c r="L675" s="257">
        <v>0.92059999999999997</v>
      </c>
      <c r="M675" s="257">
        <v>0.90669999999999995</v>
      </c>
      <c r="N675" s="257">
        <v>0.91890000000000005</v>
      </c>
      <c r="O675" s="257">
        <v>0.91890000000000005</v>
      </c>
      <c r="P675" s="257">
        <v>0</v>
      </c>
    </row>
    <row r="676" spans="10:16" x14ac:dyDescent="0.2">
      <c r="J676" s="258">
        <v>42667</v>
      </c>
      <c r="K676" s="257">
        <v>0.91869999999999996</v>
      </c>
      <c r="L676" s="257">
        <v>0.92137000000000002</v>
      </c>
      <c r="M676" s="257">
        <v>0.90964999999999996</v>
      </c>
      <c r="N676" s="257">
        <v>0.91035999999999995</v>
      </c>
      <c r="O676" s="257">
        <v>0.91035999999999995</v>
      </c>
      <c r="P676" s="257">
        <v>0</v>
      </c>
    </row>
    <row r="677" spans="10:16" x14ac:dyDescent="0.2">
      <c r="J677" s="258">
        <v>42674</v>
      </c>
      <c r="K677" s="257">
        <v>0.91039999999999999</v>
      </c>
      <c r="L677" s="257">
        <v>0.91413999999999995</v>
      </c>
      <c r="M677" s="257">
        <v>0.89744999999999997</v>
      </c>
      <c r="N677" s="257">
        <v>0.90080000000000005</v>
      </c>
      <c r="O677" s="257">
        <v>0.90080000000000005</v>
      </c>
      <c r="P677" s="257">
        <v>0</v>
      </c>
    </row>
    <row r="678" spans="10:16" x14ac:dyDescent="0.2">
      <c r="J678" s="258">
        <v>42681</v>
      </c>
      <c r="K678" s="257">
        <v>0.9012</v>
      </c>
      <c r="L678" s="257">
        <v>0.92418999999999996</v>
      </c>
      <c r="M678" s="257">
        <v>0.88480000000000003</v>
      </c>
      <c r="N678" s="257">
        <v>0.92379999999999995</v>
      </c>
      <c r="O678" s="257">
        <v>0.92379999999999995</v>
      </c>
      <c r="P678" s="257">
        <v>0</v>
      </c>
    </row>
    <row r="679" spans="10:16" x14ac:dyDescent="0.2">
      <c r="J679" s="258">
        <v>42688</v>
      </c>
      <c r="K679" s="257">
        <v>0.92369999999999997</v>
      </c>
      <c r="L679" s="257">
        <v>0.94579999999999997</v>
      </c>
      <c r="M679" s="257">
        <v>0.91959999999999997</v>
      </c>
      <c r="N679" s="257">
        <v>0.94479999999999997</v>
      </c>
      <c r="O679" s="257">
        <v>0.94479999999999997</v>
      </c>
      <c r="P679" s="257">
        <v>0</v>
      </c>
    </row>
    <row r="680" spans="10:16" x14ac:dyDescent="0.2">
      <c r="J680" s="258">
        <v>42695</v>
      </c>
      <c r="K680" s="257">
        <v>0.94469999999999998</v>
      </c>
      <c r="L680" s="257">
        <v>0.95033999999999996</v>
      </c>
      <c r="M680" s="257">
        <v>0.93820000000000003</v>
      </c>
      <c r="N680" s="257">
        <v>0.94230000000000003</v>
      </c>
      <c r="O680" s="257">
        <v>0.94230000000000003</v>
      </c>
      <c r="P680" s="257">
        <v>0</v>
      </c>
    </row>
    <row r="681" spans="10:16" x14ac:dyDescent="0.2">
      <c r="J681" s="258">
        <v>42702</v>
      </c>
      <c r="K681" s="257">
        <v>0.94240000000000002</v>
      </c>
      <c r="L681" s="257">
        <v>0.95140000000000002</v>
      </c>
      <c r="M681" s="257">
        <v>0.93530000000000002</v>
      </c>
      <c r="N681" s="257">
        <v>0.94499999999999995</v>
      </c>
      <c r="O681" s="257">
        <v>0.94499999999999995</v>
      </c>
      <c r="P681" s="257">
        <v>0</v>
      </c>
    </row>
    <row r="682" spans="10:16" x14ac:dyDescent="0.2">
      <c r="J682" s="258">
        <v>42709</v>
      </c>
      <c r="K682" s="257">
        <v>0.94599999999999995</v>
      </c>
      <c r="L682" s="257">
        <v>0.94962999999999997</v>
      </c>
      <c r="M682" s="257">
        <v>0.92110000000000003</v>
      </c>
      <c r="N682" s="257">
        <v>0.94810000000000005</v>
      </c>
      <c r="O682" s="257">
        <v>0.94810000000000005</v>
      </c>
      <c r="P682" s="257">
        <v>0</v>
      </c>
    </row>
    <row r="683" spans="10:16" x14ac:dyDescent="0.2">
      <c r="J683" s="258">
        <v>42716</v>
      </c>
      <c r="K683" s="257">
        <v>0.94820000000000004</v>
      </c>
      <c r="L683" s="257">
        <v>0.96120000000000005</v>
      </c>
      <c r="M683" s="257">
        <v>0.9375</v>
      </c>
      <c r="N683" s="257">
        <v>0.95694000000000001</v>
      </c>
      <c r="O683" s="257">
        <v>0.95694000000000001</v>
      </c>
      <c r="P683" s="257">
        <v>0</v>
      </c>
    </row>
    <row r="684" spans="10:16" x14ac:dyDescent="0.2">
      <c r="J684" s="258">
        <v>42723</v>
      </c>
      <c r="K684" s="257">
        <v>0.95709999999999995</v>
      </c>
      <c r="L684" s="257">
        <v>0.9657</v>
      </c>
      <c r="M684" s="257">
        <v>0.9526</v>
      </c>
      <c r="N684" s="257">
        <v>0.95650000000000002</v>
      </c>
      <c r="O684" s="257">
        <v>0.95650000000000002</v>
      </c>
      <c r="P684" s="257">
        <v>0</v>
      </c>
    </row>
    <row r="685" spans="10:16" x14ac:dyDescent="0.2">
      <c r="J685" s="258">
        <v>42730</v>
      </c>
      <c r="K685" s="257">
        <v>0.95640000000000003</v>
      </c>
      <c r="L685" s="257">
        <v>0.9627</v>
      </c>
      <c r="M685" s="257">
        <v>0.94420000000000004</v>
      </c>
      <c r="N685" s="257">
        <v>0.94994000000000001</v>
      </c>
      <c r="O685" s="257">
        <v>0.94994000000000001</v>
      </c>
      <c r="P685" s="257">
        <v>0</v>
      </c>
    </row>
    <row r="686" spans="10:16" x14ac:dyDescent="0.2">
      <c r="J686" s="258">
        <v>42737</v>
      </c>
      <c r="K686" s="257">
        <v>0.9496</v>
      </c>
      <c r="L686" s="257">
        <v>0.96640000000000004</v>
      </c>
      <c r="M686" s="257">
        <v>0.94259999999999999</v>
      </c>
      <c r="N686" s="257">
        <v>0.94950000000000001</v>
      </c>
      <c r="O686" s="257">
        <v>0.94950000000000001</v>
      </c>
      <c r="P686" s="257">
        <v>0</v>
      </c>
    </row>
    <row r="687" spans="10:16" x14ac:dyDescent="0.2">
      <c r="J687" s="258">
        <v>42744</v>
      </c>
      <c r="K687" s="257">
        <v>0.94930000000000003</v>
      </c>
      <c r="L687" s="257">
        <v>0.95630000000000004</v>
      </c>
      <c r="M687" s="257">
        <v>0.93579999999999997</v>
      </c>
      <c r="N687" s="257">
        <v>0.94084999999999996</v>
      </c>
      <c r="O687" s="257">
        <v>0.94084999999999996</v>
      </c>
      <c r="P687" s="257">
        <v>0</v>
      </c>
    </row>
    <row r="688" spans="10:16" x14ac:dyDescent="0.2">
      <c r="J688" s="258">
        <v>42751</v>
      </c>
      <c r="K688" s="257">
        <v>0.94101000000000001</v>
      </c>
      <c r="L688" s="257">
        <v>0.94506000000000001</v>
      </c>
      <c r="M688" s="257">
        <v>0.93301000000000001</v>
      </c>
      <c r="N688" s="257">
        <v>0.93337999999999999</v>
      </c>
      <c r="O688" s="257">
        <v>0.93337999999999999</v>
      </c>
      <c r="P688" s="257">
        <v>0</v>
      </c>
    </row>
    <row r="689" spans="10:16" x14ac:dyDescent="0.2">
      <c r="J689" s="258">
        <v>42758</v>
      </c>
      <c r="K689" s="257">
        <v>0.93357999999999997</v>
      </c>
      <c r="L689" s="257">
        <v>0.93803999999999998</v>
      </c>
      <c r="M689" s="257">
        <v>0.92825999999999997</v>
      </c>
      <c r="N689" s="257">
        <v>0.93335999999999997</v>
      </c>
      <c r="O689" s="257">
        <v>0.93335999999999997</v>
      </c>
      <c r="P689" s="257">
        <v>0</v>
      </c>
    </row>
    <row r="690" spans="10:16" x14ac:dyDescent="0.2">
      <c r="J690" s="258">
        <v>42765</v>
      </c>
      <c r="K690" s="257">
        <v>0.93291000000000002</v>
      </c>
      <c r="L690" s="257">
        <v>0.94154000000000004</v>
      </c>
      <c r="M690" s="257">
        <v>0.92364999999999997</v>
      </c>
      <c r="N690" s="257">
        <v>0.92739000000000005</v>
      </c>
      <c r="O690" s="257">
        <v>0.92739000000000005</v>
      </c>
      <c r="P690" s="257">
        <v>0</v>
      </c>
    </row>
    <row r="691" spans="10:16" x14ac:dyDescent="0.2">
      <c r="J691" s="258">
        <v>42772</v>
      </c>
      <c r="K691" s="257">
        <v>0.92735000000000001</v>
      </c>
      <c r="L691" s="257">
        <v>0.94252000000000002</v>
      </c>
      <c r="M691" s="257">
        <v>0.92688000000000004</v>
      </c>
      <c r="N691" s="257">
        <v>0.94166000000000005</v>
      </c>
      <c r="O691" s="257">
        <v>0.94166000000000005</v>
      </c>
      <c r="P691" s="257">
        <v>0</v>
      </c>
    </row>
    <row r="692" spans="10:16" x14ac:dyDescent="0.2">
      <c r="J692" s="258">
        <v>42779</v>
      </c>
      <c r="K692" s="257">
        <v>0.94167999999999996</v>
      </c>
      <c r="L692" s="257">
        <v>0.95038</v>
      </c>
      <c r="M692" s="257">
        <v>0.93659999999999999</v>
      </c>
      <c r="N692" s="257">
        <v>0.94103000000000003</v>
      </c>
      <c r="O692" s="257">
        <v>0.94103000000000003</v>
      </c>
      <c r="P692" s="257">
        <v>0</v>
      </c>
    </row>
    <row r="693" spans="10:16" x14ac:dyDescent="0.2">
      <c r="J693" s="258">
        <v>42786</v>
      </c>
      <c r="K693" s="257">
        <v>0.94101999999999997</v>
      </c>
      <c r="L693" s="257">
        <v>0.95267000000000002</v>
      </c>
      <c r="M693" s="257">
        <v>0.94059999999999999</v>
      </c>
      <c r="N693" s="257">
        <v>0.94762000000000002</v>
      </c>
      <c r="O693" s="257">
        <v>0.94762000000000002</v>
      </c>
      <c r="P693" s="257">
        <v>0</v>
      </c>
    </row>
    <row r="694" spans="10:16" x14ac:dyDescent="0.2">
      <c r="J694" s="258">
        <v>42793</v>
      </c>
      <c r="K694" s="257">
        <v>0.94760999999999995</v>
      </c>
      <c r="L694" s="257">
        <v>0.95233999999999996</v>
      </c>
      <c r="M694" s="257">
        <v>0.94099999999999995</v>
      </c>
      <c r="N694" s="257">
        <v>0.94157999999999997</v>
      </c>
      <c r="O694" s="257">
        <v>0.94157999999999997</v>
      </c>
      <c r="P694" s="257">
        <v>0</v>
      </c>
    </row>
    <row r="695" spans="10:16" x14ac:dyDescent="0.2">
      <c r="J695" s="258">
        <v>42800</v>
      </c>
      <c r="K695" s="257">
        <v>0.94172999999999996</v>
      </c>
      <c r="L695" s="257">
        <v>0.95006000000000002</v>
      </c>
      <c r="M695" s="257">
        <v>0.93510000000000004</v>
      </c>
      <c r="N695" s="257">
        <v>0.93545</v>
      </c>
      <c r="O695" s="257">
        <v>0.93545</v>
      </c>
      <c r="P695" s="257">
        <v>0</v>
      </c>
    </row>
    <row r="696" spans="10:16" x14ac:dyDescent="0.2">
      <c r="J696" s="258">
        <v>42807</v>
      </c>
      <c r="K696" s="257">
        <v>0.93562999999999996</v>
      </c>
      <c r="L696" s="257">
        <v>0.94245999999999996</v>
      </c>
      <c r="M696" s="257">
        <v>0.92738600000000004</v>
      </c>
      <c r="N696" s="257">
        <v>0.93084</v>
      </c>
      <c r="O696" s="257">
        <v>0.93084</v>
      </c>
      <c r="P696" s="257">
        <v>0</v>
      </c>
    </row>
    <row r="697" spans="10:16" x14ac:dyDescent="0.2">
      <c r="J697" s="258">
        <v>42814</v>
      </c>
      <c r="K697" s="257">
        <v>0.93089999999999995</v>
      </c>
      <c r="L697" s="257">
        <v>0.93137999999999999</v>
      </c>
      <c r="M697" s="257">
        <v>0.92166000000000003</v>
      </c>
      <c r="N697" s="257">
        <v>0.92169999999999996</v>
      </c>
      <c r="O697" s="257">
        <v>0.92169999999999996</v>
      </c>
      <c r="P697" s="257">
        <v>0</v>
      </c>
    </row>
    <row r="698" spans="10:16" x14ac:dyDescent="0.2">
      <c r="J698" s="258">
        <v>42821</v>
      </c>
      <c r="K698" s="257">
        <v>0.92200000000000004</v>
      </c>
      <c r="L698" s="257">
        <v>0.93838999999999995</v>
      </c>
      <c r="M698" s="257">
        <v>0.91701999999999995</v>
      </c>
      <c r="N698" s="257">
        <v>0.93730999999999998</v>
      </c>
      <c r="O698" s="257">
        <v>0.93730999999999998</v>
      </c>
      <c r="P698" s="257">
        <v>0</v>
      </c>
    </row>
    <row r="699" spans="10:16" x14ac:dyDescent="0.2">
      <c r="J699" s="258">
        <v>42828</v>
      </c>
      <c r="K699" s="257">
        <v>0.93737000000000004</v>
      </c>
      <c r="L699" s="257">
        <v>0.94564000000000004</v>
      </c>
      <c r="M699" s="257">
        <v>0.93552999999999997</v>
      </c>
      <c r="N699" s="257">
        <v>0.94499999999999995</v>
      </c>
      <c r="O699" s="257">
        <v>0.94499999999999995</v>
      </c>
      <c r="P699" s="257">
        <v>0</v>
      </c>
    </row>
    <row r="700" spans="10:16" x14ac:dyDescent="0.2">
      <c r="J700" s="258">
        <v>42835</v>
      </c>
      <c r="K700" s="257">
        <v>0.94479999999999997</v>
      </c>
      <c r="L700" s="257">
        <v>0.94603999999999999</v>
      </c>
      <c r="M700" s="257">
        <v>0.9365</v>
      </c>
      <c r="N700" s="257">
        <v>0.94245999999999996</v>
      </c>
      <c r="O700" s="257">
        <v>0.94245999999999996</v>
      </c>
      <c r="P700" s="257">
        <v>0</v>
      </c>
    </row>
    <row r="701" spans="10:16" x14ac:dyDescent="0.2">
      <c r="J701" s="258">
        <v>42842</v>
      </c>
      <c r="K701" s="257">
        <v>0.94240000000000002</v>
      </c>
      <c r="L701" s="257">
        <v>0.94252999999999998</v>
      </c>
      <c r="M701" s="257">
        <v>0.91439000000000004</v>
      </c>
      <c r="N701" s="257">
        <v>0.91962999999999995</v>
      </c>
      <c r="O701" s="257">
        <v>0.91962999999999995</v>
      </c>
      <c r="P701" s="257">
        <v>0</v>
      </c>
    </row>
    <row r="702" spans="10:16" x14ac:dyDescent="0.2">
      <c r="J702" s="258">
        <v>42849</v>
      </c>
      <c r="K702" s="257">
        <v>0.91951000000000005</v>
      </c>
      <c r="L702" s="257">
        <v>0.92406999999999995</v>
      </c>
      <c r="M702" s="257">
        <v>0.91317999999999999</v>
      </c>
      <c r="N702" s="257">
        <v>0.91679999999999995</v>
      </c>
      <c r="O702" s="257">
        <v>0.91679999999999995</v>
      </c>
      <c r="P702" s="257">
        <v>0</v>
      </c>
    </row>
    <row r="703" spans="10:16" x14ac:dyDescent="0.2">
      <c r="J703" s="258">
        <v>42856</v>
      </c>
      <c r="K703" s="257">
        <v>0.91691999999999996</v>
      </c>
      <c r="L703" s="257">
        <v>0.91942999999999997</v>
      </c>
      <c r="M703" s="257">
        <v>0.90708</v>
      </c>
      <c r="N703" s="257">
        <v>0.91198000000000001</v>
      </c>
      <c r="O703" s="257">
        <v>0.91198000000000001</v>
      </c>
      <c r="P703" s="257">
        <v>0</v>
      </c>
    </row>
    <row r="704" spans="10:16" x14ac:dyDescent="0.2">
      <c r="J704" s="258">
        <v>42863</v>
      </c>
      <c r="K704" s="257">
        <v>0.91183000000000003</v>
      </c>
      <c r="L704" s="257">
        <v>0.92251000000000005</v>
      </c>
      <c r="M704" s="257">
        <v>0.90939999999999999</v>
      </c>
      <c r="N704" s="257">
        <v>0.91513999999999995</v>
      </c>
      <c r="O704" s="257">
        <v>0.91513999999999995</v>
      </c>
      <c r="P704" s="257">
        <v>0</v>
      </c>
    </row>
    <row r="705" spans="10:16" x14ac:dyDescent="0.2">
      <c r="J705" s="258">
        <v>42870</v>
      </c>
      <c r="K705" s="257">
        <v>0.91508</v>
      </c>
      <c r="L705" s="257">
        <v>0.91547999999999996</v>
      </c>
      <c r="M705" s="257">
        <v>0.89190000000000003</v>
      </c>
      <c r="N705" s="257">
        <v>0.89246999999999999</v>
      </c>
      <c r="O705" s="257">
        <v>0.89246999999999999</v>
      </c>
      <c r="P705" s="257">
        <v>0</v>
      </c>
    </row>
    <row r="706" spans="10:16" x14ac:dyDescent="0.2">
      <c r="J706" s="258">
        <v>42877</v>
      </c>
      <c r="K706" s="257">
        <v>0.89266999999999996</v>
      </c>
      <c r="L706" s="257">
        <v>0.89587000000000006</v>
      </c>
      <c r="M706" s="257">
        <v>0.88756999999999997</v>
      </c>
      <c r="N706" s="257">
        <v>0.89476999999999995</v>
      </c>
      <c r="O706" s="257">
        <v>0.89476999999999995</v>
      </c>
      <c r="P706" s="257">
        <v>0</v>
      </c>
    </row>
    <row r="707" spans="10:16" x14ac:dyDescent="0.2">
      <c r="J707" s="258">
        <v>42884</v>
      </c>
      <c r="K707" s="257">
        <v>0.89483999999999997</v>
      </c>
      <c r="L707" s="257">
        <v>0.90003</v>
      </c>
      <c r="M707" s="257">
        <v>0.88600000000000001</v>
      </c>
      <c r="N707" s="257">
        <v>0.88646000000000003</v>
      </c>
      <c r="O707" s="257">
        <v>0.88646000000000003</v>
      </c>
      <c r="P707" s="257">
        <v>0</v>
      </c>
    </row>
    <row r="708" spans="10:16" x14ac:dyDescent="0.2">
      <c r="J708" s="258">
        <v>42891</v>
      </c>
      <c r="K708" s="257">
        <v>0.88688</v>
      </c>
      <c r="L708" s="257">
        <v>0.89542999999999995</v>
      </c>
      <c r="M708" s="257">
        <v>0.88653000000000004</v>
      </c>
      <c r="N708" s="257">
        <v>0.89270000000000005</v>
      </c>
      <c r="O708" s="257">
        <v>0.89270000000000005</v>
      </c>
      <c r="P708" s="257">
        <v>0</v>
      </c>
    </row>
    <row r="709" spans="10:16" x14ac:dyDescent="0.2">
      <c r="J709" s="258">
        <v>42898</v>
      </c>
      <c r="K709" s="257">
        <v>0.89266999999999996</v>
      </c>
      <c r="L709" s="257">
        <v>0.89817999999999998</v>
      </c>
      <c r="M709" s="257">
        <v>0.88534000000000002</v>
      </c>
      <c r="N709" s="257">
        <v>0.89219999999999999</v>
      </c>
      <c r="O709" s="257">
        <v>0.89219999999999999</v>
      </c>
      <c r="P709" s="257">
        <v>0</v>
      </c>
    </row>
    <row r="710" spans="10:16" x14ac:dyDescent="0.2">
      <c r="J710" s="258">
        <v>42905</v>
      </c>
      <c r="K710" s="257">
        <v>0.89258999999999999</v>
      </c>
      <c r="L710" s="257">
        <v>0.89920999999999995</v>
      </c>
      <c r="M710" s="257">
        <v>0.89180000000000004</v>
      </c>
      <c r="N710" s="257">
        <v>0.89295000000000002</v>
      </c>
      <c r="O710" s="257">
        <v>0.89295000000000002</v>
      </c>
      <c r="P710" s="257">
        <v>0</v>
      </c>
    </row>
    <row r="711" spans="10:16" x14ac:dyDescent="0.2">
      <c r="J711" s="258">
        <v>42912</v>
      </c>
      <c r="K711" s="257">
        <v>0.89288000000000001</v>
      </c>
      <c r="L711" s="257">
        <v>0.89505000000000001</v>
      </c>
      <c r="M711" s="257">
        <v>0.87374399999999997</v>
      </c>
      <c r="N711" s="257">
        <v>0.87541999999999998</v>
      </c>
      <c r="O711" s="257">
        <v>0.87541999999999998</v>
      </c>
      <c r="P711" s="257">
        <v>0</v>
      </c>
    </row>
    <row r="712" spans="10:16" x14ac:dyDescent="0.2">
      <c r="J712" s="258">
        <v>42919</v>
      </c>
      <c r="K712" s="257">
        <v>0.87526999999999999</v>
      </c>
      <c r="L712" s="257">
        <v>0.88378000000000001</v>
      </c>
      <c r="M712" s="257">
        <v>0.87426000000000004</v>
      </c>
      <c r="N712" s="257">
        <v>0.87690000000000001</v>
      </c>
      <c r="O712" s="257">
        <v>0.87690000000000001</v>
      </c>
      <c r="P712" s="257">
        <v>0</v>
      </c>
    </row>
    <row r="713" spans="10:16" x14ac:dyDescent="0.2">
      <c r="J713" s="258">
        <v>42926</v>
      </c>
      <c r="K713" s="257">
        <v>0.87670000000000003</v>
      </c>
      <c r="L713" s="257">
        <v>0.87931000000000004</v>
      </c>
      <c r="M713" s="257">
        <v>0.87024599999999996</v>
      </c>
      <c r="N713" s="257">
        <v>0.87143000000000004</v>
      </c>
      <c r="O713" s="257">
        <v>0.87143000000000004</v>
      </c>
      <c r="P713" s="257">
        <v>0</v>
      </c>
    </row>
    <row r="714" spans="10:16" x14ac:dyDescent="0.2">
      <c r="J714" s="258">
        <v>42933</v>
      </c>
      <c r="K714" s="257">
        <v>0.87144999999999995</v>
      </c>
      <c r="L714" s="257">
        <v>0.87441000000000002</v>
      </c>
      <c r="M714" s="257">
        <v>0.85602999999999996</v>
      </c>
      <c r="N714" s="257">
        <v>0.85604000000000002</v>
      </c>
      <c r="O714" s="257">
        <v>0.85604000000000002</v>
      </c>
      <c r="P714" s="257">
        <v>0</v>
      </c>
    </row>
    <row r="715" spans="10:16" x14ac:dyDescent="0.2">
      <c r="J715" s="258">
        <v>42940</v>
      </c>
      <c r="K715" s="257">
        <v>0.85604999999999998</v>
      </c>
      <c r="L715" s="257">
        <v>0.8609</v>
      </c>
      <c r="M715" s="257">
        <v>0.84926000000000001</v>
      </c>
      <c r="N715" s="257">
        <v>0.85126000000000002</v>
      </c>
      <c r="O715" s="257">
        <v>0.85126000000000002</v>
      </c>
      <c r="P715" s="257">
        <v>0</v>
      </c>
    </row>
    <row r="716" spans="10:16" x14ac:dyDescent="0.2">
      <c r="J716" s="258">
        <v>42947</v>
      </c>
      <c r="K716" s="257">
        <v>0.85128999999999999</v>
      </c>
      <c r="L716" s="257">
        <v>0.85297000000000001</v>
      </c>
      <c r="M716" s="257">
        <v>0.8407</v>
      </c>
      <c r="N716" s="257">
        <v>0.84901000000000004</v>
      </c>
      <c r="O716" s="257">
        <v>0.84901000000000004</v>
      </c>
      <c r="P716" s="257">
        <v>0</v>
      </c>
    </row>
    <row r="717" spans="10:16" x14ac:dyDescent="0.2">
      <c r="J717" s="258">
        <v>42954</v>
      </c>
      <c r="K717" s="257">
        <v>0.84906000000000004</v>
      </c>
      <c r="L717" s="257">
        <v>0.85526000000000002</v>
      </c>
      <c r="M717" s="257">
        <v>0.84518000000000004</v>
      </c>
      <c r="N717" s="257">
        <v>0.84562999999999999</v>
      </c>
      <c r="O717" s="257">
        <v>0.84562999999999999</v>
      </c>
      <c r="P717" s="257">
        <v>0</v>
      </c>
    </row>
    <row r="718" spans="10:16" x14ac:dyDescent="0.2">
      <c r="J718" s="258">
        <v>42961</v>
      </c>
      <c r="K718" s="257">
        <v>0.84557000000000004</v>
      </c>
      <c r="L718" s="257">
        <v>0.85711999999999999</v>
      </c>
      <c r="M718" s="257">
        <v>0.84459499999999998</v>
      </c>
      <c r="N718" s="257">
        <v>0.85060999999999998</v>
      </c>
      <c r="O718" s="257">
        <v>0.85060999999999998</v>
      </c>
      <c r="P718" s="257">
        <v>0</v>
      </c>
    </row>
    <row r="719" spans="10:16" x14ac:dyDescent="0.2">
      <c r="J719" s="258">
        <v>42968</v>
      </c>
      <c r="K719" s="257">
        <v>0.85053999999999996</v>
      </c>
      <c r="L719" s="257">
        <v>0.85238000000000003</v>
      </c>
      <c r="M719" s="257">
        <v>0.83574999999999999</v>
      </c>
      <c r="N719" s="257">
        <v>0.83669000000000004</v>
      </c>
      <c r="O719" s="257">
        <v>0.83669000000000004</v>
      </c>
      <c r="P719" s="257">
        <v>0</v>
      </c>
    </row>
    <row r="720" spans="10:16" x14ac:dyDescent="0.2">
      <c r="J720" s="258">
        <v>42975</v>
      </c>
      <c r="K720" s="257">
        <v>0.83672000000000002</v>
      </c>
      <c r="L720" s="257">
        <v>0.84570999999999996</v>
      </c>
      <c r="M720" s="257">
        <v>0.82870999999999995</v>
      </c>
      <c r="N720" s="257">
        <v>0.84155000000000002</v>
      </c>
      <c r="O720" s="257">
        <v>0.84155000000000002</v>
      </c>
      <c r="P720" s="257">
        <v>0</v>
      </c>
    </row>
    <row r="721" spans="10:16" x14ac:dyDescent="0.2">
      <c r="J721" s="258">
        <v>42982</v>
      </c>
      <c r="K721" s="257">
        <v>0.84157000000000004</v>
      </c>
      <c r="L721" s="257">
        <v>0.84243000000000001</v>
      </c>
      <c r="M721" s="257">
        <v>0.82689999999999997</v>
      </c>
      <c r="N721" s="257">
        <v>0.83211000000000002</v>
      </c>
      <c r="O721" s="257">
        <v>0.83211000000000002</v>
      </c>
      <c r="P721" s="257">
        <v>0</v>
      </c>
    </row>
    <row r="722" spans="10:16" x14ac:dyDescent="0.2">
      <c r="J722" s="258">
        <v>42989</v>
      </c>
      <c r="K722" s="257">
        <v>0.83226999999999995</v>
      </c>
      <c r="L722" s="257">
        <v>0.84419</v>
      </c>
      <c r="M722" s="257">
        <v>0.83130000000000004</v>
      </c>
      <c r="N722" s="257">
        <v>0.83772000000000002</v>
      </c>
      <c r="O722" s="257">
        <v>0.83772000000000002</v>
      </c>
      <c r="P722" s="257">
        <v>0</v>
      </c>
    </row>
    <row r="723" spans="10:16" x14ac:dyDescent="0.2">
      <c r="J723" s="258">
        <v>42996</v>
      </c>
      <c r="K723" s="257">
        <v>0.8377</v>
      </c>
      <c r="L723" s="257">
        <v>0.84272999999999998</v>
      </c>
      <c r="M723" s="257">
        <v>0.83199999999999996</v>
      </c>
      <c r="N723" s="257">
        <v>0.83842000000000005</v>
      </c>
      <c r="O723" s="257">
        <v>0.83842000000000005</v>
      </c>
      <c r="P723" s="257">
        <v>0</v>
      </c>
    </row>
    <row r="724" spans="10:16" x14ac:dyDescent="0.2">
      <c r="J724" s="258">
        <v>43003</v>
      </c>
      <c r="K724" s="257">
        <v>0.83845000000000003</v>
      </c>
      <c r="L724" s="257">
        <v>0.85329999999999995</v>
      </c>
      <c r="M724" s="257">
        <v>0.83760000000000001</v>
      </c>
      <c r="N724" s="257">
        <v>0.84692999999999996</v>
      </c>
      <c r="O724" s="257">
        <v>0.84692999999999996</v>
      </c>
      <c r="P724" s="257">
        <v>0</v>
      </c>
    </row>
    <row r="725" spans="10:16" x14ac:dyDescent="0.2">
      <c r="J725" s="258">
        <v>43010</v>
      </c>
      <c r="K725" s="257">
        <v>0.84691000000000005</v>
      </c>
      <c r="L725" s="257">
        <v>0.85680000000000001</v>
      </c>
      <c r="M725" s="257">
        <v>0.84691000000000005</v>
      </c>
      <c r="N725" s="257">
        <v>0.85160999999999998</v>
      </c>
      <c r="O725" s="257">
        <v>0.85160999999999998</v>
      </c>
      <c r="P725" s="257">
        <v>0</v>
      </c>
    </row>
    <row r="726" spans="10:16" x14ac:dyDescent="0.2">
      <c r="J726" s="258">
        <v>43017</v>
      </c>
      <c r="K726" s="257">
        <v>0.85158</v>
      </c>
      <c r="L726" s="257">
        <v>0.85316999999999998</v>
      </c>
      <c r="M726" s="257">
        <v>0.8417</v>
      </c>
      <c r="N726" s="257">
        <v>0.84580999999999995</v>
      </c>
      <c r="O726" s="257">
        <v>0.84580999999999995</v>
      </c>
      <c r="P726" s="257">
        <v>0</v>
      </c>
    </row>
    <row r="727" spans="10:16" x14ac:dyDescent="0.2">
      <c r="J727" s="258">
        <v>43024</v>
      </c>
      <c r="K727" s="257">
        <v>0.84638000000000002</v>
      </c>
      <c r="L727" s="257">
        <v>0.85235000000000005</v>
      </c>
      <c r="M727" s="257">
        <v>0.84331</v>
      </c>
      <c r="N727" s="257">
        <v>0.84867999999999999</v>
      </c>
      <c r="O727" s="257">
        <v>0.84867999999999999</v>
      </c>
      <c r="P727" s="257">
        <v>0</v>
      </c>
    </row>
    <row r="728" spans="10:16" x14ac:dyDescent="0.2">
      <c r="J728" s="258">
        <v>43031</v>
      </c>
      <c r="K728" s="257">
        <v>0.85072000000000003</v>
      </c>
      <c r="L728" s="257">
        <v>0.86385999999999996</v>
      </c>
      <c r="M728" s="257">
        <v>0.84491000000000005</v>
      </c>
      <c r="N728" s="257">
        <v>0.86131000000000002</v>
      </c>
      <c r="O728" s="257">
        <v>0.86131000000000002</v>
      </c>
      <c r="P728" s="257">
        <v>0</v>
      </c>
    </row>
    <row r="729" spans="10:16" x14ac:dyDescent="0.2">
      <c r="J729" s="258">
        <v>43038</v>
      </c>
      <c r="K729" s="257">
        <v>0.86153000000000002</v>
      </c>
      <c r="L729" s="257">
        <v>0.86221000000000003</v>
      </c>
      <c r="M729" s="257">
        <v>0.85563</v>
      </c>
      <c r="N729" s="257">
        <v>0.86051</v>
      </c>
      <c r="O729" s="257">
        <v>0.86051</v>
      </c>
      <c r="P729" s="257">
        <v>0</v>
      </c>
    </row>
    <row r="730" spans="10:16" x14ac:dyDescent="0.2">
      <c r="J730" s="258">
        <v>43045</v>
      </c>
      <c r="K730" s="257">
        <v>0.86092999999999997</v>
      </c>
      <c r="L730" s="257">
        <v>0.86536000000000002</v>
      </c>
      <c r="M730" s="257">
        <v>0.85651999999999995</v>
      </c>
      <c r="N730" s="257">
        <v>0.85712999999999995</v>
      </c>
      <c r="O730" s="257">
        <v>0.85712999999999995</v>
      </c>
      <c r="P730" s="257">
        <v>0</v>
      </c>
    </row>
    <row r="731" spans="10:16" x14ac:dyDescent="0.2">
      <c r="J731" s="258">
        <v>43052</v>
      </c>
      <c r="K731" s="257">
        <v>0.85755000000000003</v>
      </c>
      <c r="L731" s="257">
        <v>0.85919999999999996</v>
      </c>
      <c r="M731" s="257">
        <v>0.84321000000000002</v>
      </c>
      <c r="N731" s="257">
        <v>0.84792000000000001</v>
      </c>
      <c r="O731" s="257">
        <v>0.84792000000000001</v>
      </c>
      <c r="P731" s="257">
        <v>0</v>
      </c>
    </row>
    <row r="732" spans="10:16" x14ac:dyDescent="0.2">
      <c r="J732" s="258">
        <v>43059</v>
      </c>
      <c r="K732" s="257">
        <v>0.85236000000000001</v>
      </c>
      <c r="L732" s="257">
        <v>0.85357000000000005</v>
      </c>
      <c r="M732" s="257">
        <v>0.83726</v>
      </c>
      <c r="N732" s="257">
        <v>0.83801000000000003</v>
      </c>
      <c r="O732" s="257">
        <v>0.83801000000000003</v>
      </c>
      <c r="P732" s="257">
        <v>0</v>
      </c>
    </row>
    <row r="733" spans="10:16" x14ac:dyDescent="0.2">
      <c r="J733" s="258">
        <v>43066</v>
      </c>
      <c r="K733" s="257">
        <v>0.83831</v>
      </c>
      <c r="L733" s="257">
        <v>0.84638000000000002</v>
      </c>
      <c r="M733" s="257">
        <v>0.83609</v>
      </c>
      <c r="N733" s="257">
        <v>0.84038000000000002</v>
      </c>
      <c r="O733" s="257">
        <v>0.84038000000000002</v>
      </c>
      <c r="P733" s="257">
        <v>0</v>
      </c>
    </row>
    <row r="734" spans="10:16" x14ac:dyDescent="0.2">
      <c r="J734" s="258">
        <v>43073</v>
      </c>
      <c r="K734" s="257">
        <v>0.84338000000000002</v>
      </c>
      <c r="L734" s="257">
        <v>0.85238000000000003</v>
      </c>
      <c r="M734" s="257">
        <v>0.84179999999999999</v>
      </c>
      <c r="N734" s="257">
        <v>0.84982999999999997</v>
      </c>
      <c r="O734" s="257">
        <v>0.84982999999999997</v>
      </c>
      <c r="P734" s="257">
        <v>0</v>
      </c>
    </row>
    <row r="735" spans="10:16" x14ac:dyDescent="0.2">
      <c r="J735" s="258">
        <v>43080</v>
      </c>
      <c r="K735" s="257">
        <v>0.84967000000000004</v>
      </c>
      <c r="L735" s="257">
        <v>0.85331999999999997</v>
      </c>
      <c r="M735" s="257">
        <v>0.84318000000000004</v>
      </c>
      <c r="N735" s="257">
        <v>0.85097999999999996</v>
      </c>
      <c r="O735" s="257">
        <v>0.85097999999999996</v>
      </c>
      <c r="P735" s="257">
        <v>0</v>
      </c>
    </row>
    <row r="736" spans="10:16" x14ac:dyDescent="0.2">
      <c r="J736" s="258">
        <v>43087</v>
      </c>
      <c r="K736" s="257">
        <v>0.85129999999999995</v>
      </c>
      <c r="L736" s="257">
        <v>0.85155999999999998</v>
      </c>
      <c r="M736" s="257">
        <v>0.84025000000000005</v>
      </c>
      <c r="N736" s="257">
        <v>0.84309999999999996</v>
      </c>
      <c r="O736" s="257">
        <v>0.84309999999999996</v>
      </c>
      <c r="P736" s="257">
        <v>0</v>
      </c>
    </row>
    <row r="737" spans="10:16" x14ac:dyDescent="0.2">
      <c r="J737" s="258">
        <v>43094</v>
      </c>
      <c r="K737" s="257">
        <v>0.84340000000000004</v>
      </c>
      <c r="L737" s="257">
        <v>0.84406000000000003</v>
      </c>
      <c r="M737" s="257">
        <v>0.83174999999999999</v>
      </c>
      <c r="N737" s="257">
        <v>0.83333000000000002</v>
      </c>
      <c r="O737" s="257">
        <v>0.83333000000000002</v>
      </c>
      <c r="P737" s="257">
        <v>0</v>
      </c>
    </row>
    <row r="738" spans="10:16" x14ac:dyDescent="0.2">
      <c r="J738" s="258">
        <v>43101</v>
      </c>
      <c r="K738" s="257">
        <v>0.83299000000000001</v>
      </c>
      <c r="L738" s="257">
        <v>0.83340000000000003</v>
      </c>
      <c r="M738" s="257">
        <v>0.82699999999999996</v>
      </c>
      <c r="N738" s="257">
        <v>0.83109999999999995</v>
      </c>
      <c r="O738" s="257">
        <v>0.83109999999999995</v>
      </c>
      <c r="P738" s="257">
        <v>0</v>
      </c>
    </row>
    <row r="739" spans="10:16" x14ac:dyDescent="0.2">
      <c r="J739" s="258">
        <v>43108</v>
      </c>
      <c r="K739" s="257">
        <v>0.8306</v>
      </c>
      <c r="L739" s="257">
        <v>0.83906999999999998</v>
      </c>
      <c r="M739" s="257">
        <v>0.81930000000000003</v>
      </c>
      <c r="N739" s="257">
        <v>0.81981000000000004</v>
      </c>
      <c r="O739" s="257">
        <v>0.81981000000000004</v>
      </c>
      <c r="P739" s="257">
        <v>0</v>
      </c>
    </row>
    <row r="740" spans="10:16" x14ac:dyDescent="0.2">
      <c r="J740" s="258">
        <v>43115</v>
      </c>
      <c r="K740" s="257">
        <v>0.82013999999999998</v>
      </c>
      <c r="L740" s="257">
        <v>0.82135000000000002</v>
      </c>
      <c r="M740" s="257">
        <v>0.81159000000000003</v>
      </c>
      <c r="N740" s="257">
        <v>0.81791999999999998</v>
      </c>
      <c r="O740" s="257">
        <v>0.81791999999999998</v>
      </c>
      <c r="P740" s="257">
        <v>0</v>
      </c>
    </row>
    <row r="741" spans="10:16" x14ac:dyDescent="0.2">
      <c r="J741" s="258">
        <v>43122</v>
      </c>
      <c r="K741" s="257">
        <v>0.81593000000000004</v>
      </c>
      <c r="L741" s="257">
        <v>0.81869000000000003</v>
      </c>
      <c r="M741" s="257">
        <v>0.79808999999999997</v>
      </c>
      <c r="N741" s="257">
        <v>0.80450999999999995</v>
      </c>
      <c r="O741" s="257">
        <v>0.80450999999999995</v>
      </c>
      <c r="P741" s="257">
        <v>0</v>
      </c>
    </row>
    <row r="742" spans="10:16" x14ac:dyDescent="0.2">
      <c r="J742" s="258">
        <v>43129</v>
      </c>
      <c r="K742" s="257">
        <v>0.80462</v>
      </c>
      <c r="L742" s="257">
        <v>0.81057999999999997</v>
      </c>
      <c r="M742" s="257">
        <v>0.79884999999999995</v>
      </c>
      <c r="N742" s="257">
        <v>0.80230999999999997</v>
      </c>
      <c r="O742" s="257">
        <v>0.80230999999999997</v>
      </c>
      <c r="P742" s="257">
        <v>0</v>
      </c>
    </row>
    <row r="743" spans="10:16" x14ac:dyDescent="0.2">
      <c r="J743" s="258">
        <v>43136</v>
      </c>
      <c r="K743" s="257">
        <v>0.8034</v>
      </c>
      <c r="L743" s="257">
        <v>0.81855999999999995</v>
      </c>
      <c r="M743" s="257">
        <v>0.8014</v>
      </c>
      <c r="N743" s="257">
        <v>0.81652999999999998</v>
      </c>
      <c r="O743" s="257">
        <v>0.81652999999999998</v>
      </c>
      <c r="P743" s="257">
        <v>0</v>
      </c>
    </row>
    <row r="744" spans="10:16" x14ac:dyDescent="0.2">
      <c r="J744" s="258">
        <v>43143</v>
      </c>
      <c r="K744" s="257">
        <v>0.81610000000000005</v>
      </c>
      <c r="L744" s="257">
        <v>0.81723999999999997</v>
      </c>
      <c r="M744" s="257">
        <v>0.79630000000000001</v>
      </c>
      <c r="N744" s="257">
        <v>0.80586999999999998</v>
      </c>
      <c r="O744" s="257">
        <v>0.80586999999999998</v>
      </c>
      <c r="P744" s="257">
        <v>0</v>
      </c>
    </row>
    <row r="745" spans="10:16" x14ac:dyDescent="0.2">
      <c r="J745" s="258">
        <v>43150</v>
      </c>
      <c r="K745" s="257">
        <v>0.80567999999999995</v>
      </c>
      <c r="L745" s="257">
        <v>0.81555</v>
      </c>
      <c r="M745" s="257">
        <v>0.80398800000000004</v>
      </c>
      <c r="N745" s="257">
        <v>0.81327000000000005</v>
      </c>
      <c r="O745" s="257">
        <v>0.81327000000000005</v>
      </c>
      <c r="P745" s="257">
        <v>0</v>
      </c>
    </row>
    <row r="746" spans="10:16" x14ac:dyDescent="0.2">
      <c r="J746" s="258">
        <v>43157</v>
      </c>
      <c r="K746" s="257">
        <v>0.81377999999999995</v>
      </c>
      <c r="L746" s="257">
        <v>0.82250400000000001</v>
      </c>
      <c r="M746" s="257">
        <v>0.80940000000000001</v>
      </c>
      <c r="N746" s="257">
        <v>0.81169000000000002</v>
      </c>
      <c r="O746" s="257">
        <v>0.81169000000000002</v>
      </c>
      <c r="P746" s="257">
        <v>0</v>
      </c>
    </row>
    <row r="747" spans="10:16" x14ac:dyDescent="0.2">
      <c r="J747" s="258">
        <v>43164</v>
      </c>
      <c r="K747" s="257">
        <v>0.81179000000000001</v>
      </c>
      <c r="L747" s="257">
        <v>0.81462999999999997</v>
      </c>
      <c r="M747" s="257">
        <v>0.80354999999999999</v>
      </c>
      <c r="N747" s="257">
        <v>0.81240999999999997</v>
      </c>
      <c r="O747" s="257">
        <v>0.81240999999999997</v>
      </c>
      <c r="P747" s="257">
        <v>0</v>
      </c>
    </row>
    <row r="748" spans="10:16" x14ac:dyDescent="0.2">
      <c r="J748" s="258">
        <v>43171</v>
      </c>
      <c r="K748" s="257">
        <v>0.81244000000000005</v>
      </c>
      <c r="L748" s="257">
        <v>0.81555999999999995</v>
      </c>
      <c r="M748" s="257">
        <v>0.8054</v>
      </c>
      <c r="N748" s="257">
        <v>0.81313999999999997</v>
      </c>
      <c r="O748" s="257">
        <v>0.81313999999999997</v>
      </c>
      <c r="P748" s="257">
        <v>0</v>
      </c>
    </row>
    <row r="749" spans="10:16" x14ac:dyDescent="0.2">
      <c r="J749" s="258">
        <v>43178</v>
      </c>
      <c r="K749" s="257">
        <v>0.81428</v>
      </c>
      <c r="L749" s="257">
        <v>0.816527</v>
      </c>
      <c r="M749" s="257">
        <v>0.80730999999999997</v>
      </c>
      <c r="N749" s="257">
        <v>0.80913000000000002</v>
      </c>
      <c r="O749" s="257">
        <v>0.80913000000000002</v>
      </c>
      <c r="P749" s="257">
        <v>0</v>
      </c>
    </row>
    <row r="750" spans="10:16" x14ac:dyDescent="0.2">
      <c r="J750" s="258">
        <v>43185</v>
      </c>
      <c r="K750" s="257">
        <v>0.80945999999999996</v>
      </c>
      <c r="L750" s="257">
        <v>0.81398999999999999</v>
      </c>
      <c r="M750" s="257">
        <v>0.8014</v>
      </c>
      <c r="N750" s="257">
        <v>0.81089999999999995</v>
      </c>
      <c r="O750" s="257">
        <v>0.81089999999999995</v>
      </c>
      <c r="P750" s="257">
        <v>0</v>
      </c>
    </row>
    <row r="751" spans="10:16" x14ac:dyDescent="0.2">
      <c r="J751" s="258">
        <v>43192</v>
      </c>
      <c r="K751" s="257">
        <v>0.81215999999999999</v>
      </c>
      <c r="L751" s="257">
        <v>0.81845999999999997</v>
      </c>
      <c r="M751" s="257">
        <v>0.81</v>
      </c>
      <c r="N751" s="257">
        <v>0.81301000000000001</v>
      </c>
      <c r="O751" s="257">
        <v>0.81301000000000001</v>
      </c>
      <c r="P751" s="257">
        <v>0</v>
      </c>
    </row>
    <row r="752" spans="10:16" x14ac:dyDescent="0.2">
      <c r="J752" s="258">
        <v>43199</v>
      </c>
      <c r="K752" s="257">
        <v>0.81489999999999996</v>
      </c>
      <c r="L752" s="257">
        <v>0.81549000000000005</v>
      </c>
      <c r="M752" s="257">
        <v>0.80686000000000002</v>
      </c>
      <c r="N752" s="257">
        <v>0.80978000000000006</v>
      </c>
      <c r="O752" s="257">
        <v>0.80978000000000006</v>
      </c>
      <c r="P752" s="257">
        <v>0</v>
      </c>
    </row>
    <row r="753" spans="10:16" x14ac:dyDescent="0.2">
      <c r="J753" s="258">
        <v>43206</v>
      </c>
      <c r="K753" s="257">
        <v>0.81083000000000005</v>
      </c>
      <c r="L753" s="257">
        <v>0.81598999999999999</v>
      </c>
      <c r="M753" s="257">
        <v>0.805477</v>
      </c>
      <c r="N753" s="257">
        <v>0.81208000000000002</v>
      </c>
      <c r="O753" s="257">
        <v>0.81208000000000002</v>
      </c>
      <c r="P753" s="257">
        <v>0</v>
      </c>
    </row>
    <row r="754" spans="10:16" x14ac:dyDescent="0.2">
      <c r="J754" s="258">
        <v>43213</v>
      </c>
      <c r="K754" s="257">
        <v>0.81474000000000002</v>
      </c>
      <c r="L754" s="257">
        <v>0.82945999999999998</v>
      </c>
      <c r="M754" s="257">
        <v>0.81369000000000002</v>
      </c>
      <c r="N754" s="257">
        <v>0.82311000000000001</v>
      </c>
      <c r="O754" s="257">
        <v>0.82311000000000001</v>
      </c>
      <c r="P754" s="257">
        <v>0</v>
      </c>
    </row>
    <row r="755" spans="10:16" x14ac:dyDescent="0.2">
      <c r="J755" s="258">
        <v>43220</v>
      </c>
      <c r="K755" s="257">
        <v>0.82450000000000001</v>
      </c>
      <c r="L755" s="257">
        <v>0.83928999999999998</v>
      </c>
      <c r="M755" s="257">
        <v>0.82382</v>
      </c>
      <c r="N755" s="257">
        <v>0.83479000000000003</v>
      </c>
      <c r="O755" s="257">
        <v>0.83479000000000003</v>
      </c>
      <c r="P755" s="257">
        <v>0</v>
      </c>
    </row>
    <row r="756" spans="10:16" x14ac:dyDescent="0.2">
      <c r="J756" s="258">
        <v>43227</v>
      </c>
      <c r="K756" s="257">
        <v>0.83642000000000005</v>
      </c>
      <c r="L756" s="257">
        <v>0.84577000000000002</v>
      </c>
      <c r="M756" s="257">
        <v>0.83479999999999999</v>
      </c>
      <c r="N756" s="257">
        <v>0.83597999999999995</v>
      </c>
      <c r="O756" s="257">
        <v>0.83597999999999995</v>
      </c>
      <c r="P756" s="257">
        <v>0</v>
      </c>
    </row>
    <row r="757" spans="10:16" x14ac:dyDescent="0.2">
      <c r="J757" s="258">
        <v>43234</v>
      </c>
      <c r="K757" s="257">
        <v>0.83670999999999995</v>
      </c>
      <c r="L757" s="257">
        <v>0.85102999999999995</v>
      </c>
      <c r="M757" s="257">
        <v>0.83354200000000001</v>
      </c>
      <c r="N757" s="257">
        <v>0.84802999999999995</v>
      </c>
      <c r="O757" s="257">
        <v>0.84802999999999995</v>
      </c>
      <c r="P757" s="257">
        <v>0</v>
      </c>
    </row>
    <row r="758" spans="10:16" x14ac:dyDescent="0.2">
      <c r="J758" s="258">
        <v>43241</v>
      </c>
      <c r="K758" s="257">
        <v>0.85006999999999999</v>
      </c>
      <c r="L758" s="257">
        <v>0.85848999999999998</v>
      </c>
      <c r="M758" s="257">
        <v>0.84543999999999997</v>
      </c>
      <c r="N758" s="257">
        <v>0.85777999999999999</v>
      </c>
      <c r="O758" s="257">
        <v>0.85777999999999999</v>
      </c>
      <c r="P758" s="257">
        <v>0</v>
      </c>
    </row>
    <row r="759" spans="10:16" x14ac:dyDescent="0.2">
      <c r="J759" s="258">
        <v>43248</v>
      </c>
      <c r="K759" s="257">
        <v>0.85560999999999998</v>
      </c>
      <c r="L759" s="257">
        <v>0.86848000000000003</v>
      </c>
      <c r="M759" s="257">
        <v>0.85250000000000004</v>
      </c>
      <c r="N759" s="257">
        <v>0.85682000000000003</v>
      </c>
      <c r="O759" s="257">
        <v>0.85682000000000003</v>
      </c>
      <c r="P759" s="257">
        <v>0</v>
      </c>
    </row>
    <row r="760" spans="10:16" x14ac:dyDescent="0.2">
      <c r="J760" s="258">
        <v>43255</v>
      </c>
      <c r="K760" s="257">
        <v>0.8569</v>
      </c>
      <c r="L760" s="257">
        <v>0.85797999999999996</v>
      </c>
      <c r="M760" s="257">
        <v>0.84452300000000002</v>
      </c>
      <c r="N760" s="257">
        <v>0.84867999999999999</v>
      </c>
      <c r="O760" s="257">
        <v>0.84867999999999999</v>
      </c>
      <c r="P760" s="257">
        <v>0</v>
      </c>
    </row>
    <row r="761" spans="10:16" x14ac:dyDescent="0.2">
      <c r="J761" s="258">
        <v>43262</v>
      </c>
      <c r="K761" s="257">
        <v>0.84840000000000004</v>
      </c>
      <c r="L761" s="257">
        <v>0.86614999999999998</v>
      </c>
      <c r="M761" s="257">
        <v>0.84448000000000001</v>
      </c>
      <c r="N761" s="257">
        <v>0.86036000000000001</v>
      </c>
      <c r="O761" s="257">
        <v>0.86036000000000001</v>
      </c>
      <c r="P761" s="257">
        <v>0</v>
      </c>
    </row>
    <row r="762" spans="10:16" x14ac:dyDescent="0.2">
      <c r="J762" s="258">
        <v>43269</v>
      </c>
      <c r="K762" s="257">
        <v>0.86229</v>
      </c>
      <c r="L762" s="257">
        <v>0.86850000000000005</v>
      </c>
      <c r="M762" s="257">
        <v>0.85645800000000005</v>
      </c>
      <c r="N762" s="257">
        <v>0.85697000000000001</v>
      </c>
      <c r="O762" s="257">
        <v>0.85697000000000001</v>
      </c>
      <c r="P762" s="257">
        <v>0</v>
      </c>
    </row>
    <row r="763" spans="10:16" x14ac:dyDescent="0.2">
      <c r="J763" s="258">
        <v>43276</v>
      </c>
      <c r="K763" s="257">
        <v>0.85758999999999996</v>
      </c>
      <c r="L763" s="257">
        <v>0.86745000000000005</v>
      </c>
      <c r="M763" s="257">
        <v>0.85319999999999996</v>
      </c>
      <c r="N763" s="257">
        <v>0.85433999999999999</v>
      </c>
      <c r="O763" s="257">
        <v>0.85433999999999999</v>
      </c>
      <c r="P763" s="257">
        <v>0</v>
      </c>
    </row>
    <row r="764" spans="10:16" x14ac:dyDescent="0.2">
      <c r="J764" s="258">
        <v>43283</v>
      </c>
      <c r="K764" s="257">
        <v>0.85628000000000004</v>
      </c>
      <c r="L764" s="257">
        <v>0.86262000000000005</v>
      </c>
      <c r="M764" s="257">
        <v>0.84980999999999995</v>
      </c>
      <c r="N764" s="257">
        <v>0.85063</v>
      </c>
      <c r="O764" s="257">
        <v>0.85063</v>
      </c>
      <c r="P764" s="257">
        <v>0</v>
      </c>
    </row>
    <row r="765" spans="10:16" x14ac:dyDescent="0.2">
      <c r="J765" s="258">
        <v>43290</v>
      </c>
      <c r="K765" s="257">
        <v>0.85094000000000003</v>
      </c>
      <c r="L765" s="257">
        <v>0.86099000000000003</v>
      </c>
      <c r="M765" s="257">
        <v>0.84811999999999999</v>
      </c>
      <c r="N765" s="257">
        <v>0.85463</v>
      </c>
      <c r="O765" s="257">
        <v>0.85463</v>
      </c>
      <c r="P765" s="257">
        <v>0</v>
      </c>
    </row>
    <row r="766" spans="10:16" x14ac:dyDescent="0.2">
      <c r="J766" s="258">
        <v>43297</v>
      </c>
      <c r="K766" s="257">
        <v>0.85624</v>
      </c>
      <c r="L766" s="257">
        <v>0.86385999999999996</v>
      </c>
      <c r="M766" s="257">
        <v>0.85140000000000005</v>
      </c>
      <c r="N766" s="257">
        <v>0.85236999999999996</v>
      </c>
      <c r="O766" s="257">
        <v>0.85236999999999996</v>
      </c>
      <c r="P766" s="257">
        <v>0</v>
      </c>
    </row>
    <row r="767" spans="10:16" x14ac:dyDescent="0.2">
      <c r="J767" s="258">
        <v>43304</v>
      </c>
      <c r="K767" s="257">
        <v>0.85165999999999997</v>
      </c>
      <c r="L767" s="257">
        <v>0.86031000000000002</v>
      </c>
      <c r="M767" s="257">
        <v>0.85099999999999998</v>
      </c>
      <c r="N767" s="257">
        <v>0.85660000000000003</v>
      </c>
      <c r="O767" s="257">
        <v>0.85660000000000003</v>
      </c>
      <c r="P767" s="257">
        <v>0</v>
      </c>
    </row>
    <row r="768" spans="10:16" x14ac:dyDescent="0.2">
      <c r="J768" s="258">
        <v>43311</v>
      </c>
      <c r="K768" s="257">
        <v>0.85740000000000005</v>
      </c>
      <c r="L768" s="257">
        <v>0.86489000000000005</v>
      </c>
      <c r="M768" s="257">
        <v>0.85119999999999996</v>
      </c>
      <c r="N768" s="257">
        <v>0.86326000000000003</v>
      </c>
      <c r="O768" s="257">
        <v>0.86326000000000003</v>
      </c>
      <c r="P768" s="257">
        <v>0</v>
      </c>
    </row>
    <row r="769" spans="10:16" x14ac:dyDescent="0.2">
      <c r="J769" s="258">
        <v>43318</v>
      </c>
      <c r="K769" s="257">
        <v>0.86495</v>
      </c>
      <c r="L769" s="257">
        <v>0.87748999999999999</v>
      </c>
      <c r="M769" s="257">
        <v>0.8599</v>
      </c>
      <c r="N769" s="257">
        <v>0.87534999999999996</v>
      </c>
      <c r="O769" s="257">
        <v>0.87534999999999996</v>
      </c>
      <c r="P769" s="257">
        <v>0</v>
      </c>
    </row>
    <row r="770" spans="10:16" x14ac:dyDescent="0.2">
      <c r="J770" s="258">
        <v>43325</v>
      </c>
      <c r="K770" s="257">
        <v>0.87751000000000001</v>
      </c>
      <c r="L770" s="257">
        <v>0.88478000000000001</v>
      </c>
      <c r="M770" s="257">
        <v>0.87336000000000003</v>
      </c>
      <c r="N770" s="257">
        <v>0.87336000000000003</v>
      </c>
      <c r="O770" s="257">
        <v>0.87336000000000003</v>
      </c>
      <c r="P770" s="257">
        <v>0</v>
      </c>
    </row>
    <row r="771" spans="10:16" x14ac:dyDescent="0.2">
      <c r="J771" s="258">
        <v>43332</v>
      </c>
      <c r="K771" s="257">
        <v>0.87429000000000001</v>
      </c>
      <c r="L771" s="257">
        <v>0.87756000000000001</v>
      </c>
      <c r="M771" s="257">
        <v>0.85933000000000004</v>
      </c>
      <c r="N771" s="257">
        <v>0.85955000000000004</v>
      </c>
      <c r="O771" s="257">
        <v>0.85955000000000004</v>
      </c>
      <c r="P771" s="257">
        <v>0</v>
      </c>
    </row>
    <row r="772" spans="10:16" x14ac:dyDescent="0.2">
      <c r="J772" s="258">
        <v>43339</v>
      </c>
      <c r="K772" s="257">
        <v>0.85877999999999999</v>
      </c>
      <c r="L772" s="257">
        <v>0.86233000000000004</v>
      </c>
      <c r="M772" s="257">
        <v>0.85229699999999997</v>
      </c>
      <c r="N772" s="257">
        <v>0.86036000000000001</v>
      </c>
      <c r="O772" s="257">
        <v>0.86036000000000001</v>
      </c>
      <c r="P772" s="257">
        <v>0</v>
      </c>
    </row>
    <row r="773" spans="10:16" x14ac:dyDescent="0.2">
      <c r="J773" s="258">
        <v>43346</v>
      </c>
      <c r="K773" s="257">
        <v>0.86217999999999995</v>
      </c>
      <c r="L773" s="257">
        <v>0.86706000000000005</v>
      </c>
      <c r="M773" s="257">
        <v>0.85790999999999995</v>
      </c>
      <c r="N773" s="257">
        <v>0.86407999999999996</v>
      </c>
      <c r="O773" s="257">
        <v>0.86407999999999996</v>
      </c>
      <c r="P773" s="257">
        <v>0</v>
      </c>
    </row>
    <row r="774" spans="10:16" x14ac:dyDescent="0.2">
      <c r="J774" s="258">
        <v>43353</v>
      </c>
      <c r="K774" s="257">
        <v>0.86512999999999995</v>
      </c>
      <c r="L774" s="257">
        <v>0.86748000000000003</v>
      </c>
      <c r="M774" s="257">
        <v>0.85314999999999996</v>
      </c>
      <c r="N774" s="257">
        <v>0.85940000000000005</v>
      </c>
      <c r="O774" s="257">
        <v>0.85940000000000005</v>
      </c>
      <c r="P774" s="257">
        <v>0</v>
      </c>
    </row>
    <row r="775" spans="10:16" x14ac:dyDescent="0.2">
      <c r="J775" s="258">
        <v>43360</v>
      </c>
      <c r="K775" s="257">
        <v>0.86031999999999997</v>
      </c>
      <c r="L775" s="257">
        <v>0.86031999999999997</v>
      </c>
      <c r="M775" s="257">
        <v>0.84733999999999998</v>
      </c>
      <c r="N775" s="257">
        <v>0.84955000000000003</v>
      </c>
      <c r="O775" s="257">
        <v>0.84955000000000003</v>
      </c>
      <c r="P775" s="257">
        <v>0</v>
      </c>
    </row>
    <row r="776" spans="10:16" x14ac:dyDescent="0.2">
      <c r="J776" s="258">
        <v>43367</v>
      </c>
      <c r="K776" s="257">
        <v>0.85099000000000002</v>
      </c>
      <c r="L776" s="257">
        <v>0.86426000000000003</v>
      </c>
      <c r="M776" s="257">
        <v>0.84638000000000002</v>
      </c>
      <c r="N776" s="257">
        <v>0.86036000000000001</v>
      </c>
      <c r="O776" s="257">
        <v>0.86036000000000001</v>
      </c>
      <c r="P776" s="257">
        <v>0</v>
      </c>
    </row>
    <row r="777" spans="10:16" x14ac:dyDescent="0.2">
      <c r="J777" s="258">
        <v>43374</v>
      </c>
      <c r="K777" s="257">
        <v>0.86170000000000002</v>
      </c>
      <c r="L777" s="257">
        <v>0.87224999999999997</v>
      </c>
      <c r="M777" s="257">
        <v>0.86048999999999998</v>
      </c>
      <c r="N777" s="257">
        <v>0.86685000000000001</v>
      </c>
      <c r="O777" s="257">
        <v>0.86685000000000001</v>
      </c>
      <c r="P777" s="257">
        <v>0</v>
      </c>
    </row>
    <row r="778" spans="10:16" x14ac:dyDescent="0.2">
      <c r="J778" s="258">
        <v>43381</v>
      </c>
      <c r="K778" s="257">
        <v>0.86775999999999998</v>
      </c>
      <c r="L778" s="257">
        <v>0.87463999999999997</v>
      </c>
      <c r="M778" s="257">
        <v>0.86136000000000001</v>
      </c>
      <c r="N778" s="257">
        <v>0.86377999999999999</v>
      </c>
      <c r="O778" s="257">
        <v>0.86377999999999999</v>
      </c>
      <c r="P778" s="257">
        <v>0</v>
      </c>
    </row>
    <row r="779" spans="10:16" x14ac:dyDescent="0.2">
      <c r="J779" s="258">
        <v>43388</v>
      </c>
      <c r="K779" s="257">
        <v>0.86573</v>
      </c>
      <c r="L779" s="257">
        <v>0.87461</v>
      </c>
      <c r="M779" s="257">
        <v>0.86058000000000001</v>
      </c>
      <c r="N779" s="257">
        <v>0.86714999999999998</v>
      </c>
      <c r="O779" s="257">
        <v>0.86714999999999998</v>
      </c>
      <c r="P779" s="257">
        <v>0</v>
      </c>
    </row>
    <row r="780" spans="10:16" x14ac:dyDescent="0.2">
      <c r="J780" s="258">
        <v>43395</v>
      </c>
      <c r="K780" s="257">
        <v>0.86872000000000005</v>
      </c>
      <c r="L780" s="257">
        <v>0.88212999999999997</v>
      </c>
      <c r="M780" s="257">
        <v>0.86565099999999995</v>
      </c>
      <c r="N780" s="257">
        <v>0.87519999999999998</v>
      </c>
      <c r="O780" s="257">
        <v>0.87519999999999998</v>
      </c>
      <c r="P780" s="257">
        <v>0</v>
      </c>
    </row>
    <row r="781" spans="10:16" x14ac:dyDescent="0.2">
      <c r="J781" s="258">
        <v>43402</v>
      </c>
      <c r="K781" s="257">
        <v>0.87729000000000001</v>
      </c>
      <c r="L781" s="257">
        <v>0.88404000000000005</v>
      </c>
      <c r="M781" s="257">
        <v>0.87295</v>
      </c>
      <c r="N781" s="257">
        <v>0.87795999999999996</v>
      </c>
      <c r="O781" s="257">
        <v>0.87795999999999996</v>
      </c>
      <c r="P781" s="257">
        <v>0</v>
      </c>
    </row>
    <row r="782" spans="10:16" x14ac:dyDescent="0.2">
      <c r="J782" s="258">
        <v>43409</v>
      </c>
      <c r="K782" s="257">
        <v>0.87741999999999998</v>
      </c>
      <c r="L782" s="257">
        <v>0.88300000000000001</v>
      </c>
      <c r="M782" s="257">
        <v>0.86956999999999995</v>
      </c>
      <c r="N782" s="257">
        <v>0.88190999999999997</v>
      </c>
      <c r="O782" s="257">
        <v>0.88190999999999997</v>
      </c>
      <c r="P782" s="257">
        <v>0</v>
      </c>
    </row>
    <row r="783" spans="10:16" x14ac:dyDescent="0.2">
      <c r="J783" s="258">
        <v>43416</v>
      </c>
      <c r="K783" s="257">
        <v>0.88302000000000003</v>
      </c>
      <c r="L783" s="257">
        <v>0.89100999999999997</v>
      </c>
      <c r="M783" s="257">
        <v>0.87549999999999994</v>
      </c>
      <c r="N783" s="257">
        <v>0.87549999999999994</v>
      </c>
      <c r="O783" s="257">
        <v>0.87549999999999994</v>
      </c>
      <c r="P783" s="257">
        <v>0</v>
      </c>
    </row>
    <row r="784" spans="10:16" x14ac:dyDescent="0.2">
      <c r="J784" s="258">
        <v>43423</v>
      </c>
      <c r="K784" s="257">
        <v>0.87626000000000004</v>
      </c>
      <c r="L784" s="257">
        <v>0.88243000000000005</v>
      </c>
      <c r="M784" s="257">
        <v>0.87163000000000002</v>
      </c>
      <c r="N784" s="257">
        <v>0.88151999999999997</v>
      </c>
      <c r="O784" s="257">
        <v>0.88151999999999997</v>
      </c>
      <c r="P784" s="257">
        <v>0</v>
      </c>
    </row>
    <row r="785" spans="10:16" x14ac:dyDescent="0.2">
      <c r="J785" s="258">
        <v>43430</v>
      </c>
      <c r="K785" s="257">
        <v>0.88192000000000004</v>
      </c>
      <c r="L785" s="257">
        <v>0.88749</v>
      </c>
      <c r="M785" s="257">
        <v>0.87707999999999997</v>
      </c>
      <c r="N785" s="257">
        <v>0.88346999999999998</v>
      </c>
      <c r="O785" s="257">
        <v>0.88346999999999998</v>
      </c>
      <c r="P785" s="257">
        <v>0</v>
      </c>
    </row>
    <row r="786" spans="10:16" x14ac:dyDescent="0.2">
      <c r="J786" s="258">
        <v>43437</v>
      </c>
      <c r="K786" s="257">
        <v>0.88168999999999997</v>
      </c>
      <c r="L786" s="257">
        <v>0.88378000000000001</v>
      </c>
      <c r="M786" s="257">
        <v>0.87583</v>
      </c>
      <c r="N786" s="257">
        <v>0.87843000000000004</v>
      </c>
      <c r="O786" s="257">
        <v>0.87843000000000004</v>
      </c>
      <c r="P786" s="257">
        <v>0</v>
      </c>
    </row>
    <row r="787" spans="10:16" x14ac:dyDescent="0.2">
      <c r="J787" s="258">
        <v>43444</v>
      </c>
      <c r="K787" s="257">
        <v>0.87690000000000001</v>
      </c>
      <c r="L787" s="257">
        <v>0.88724999999999998</v>
      </c>
      <c r="M787" s="257">
        <v>0.87370000000000003</v>
      </c>
      <c r="N787" s="257">
        <v>0.8841</v>
      </c>
      <c r="O787" s="257">
        <v>0.8841</v>
      </c>
      <c r="P787" s="257">
        <v>0</v>
      </c>
    </row>
    <row r="788" spans="10:16" x14ac:dyDescent="0.2">
      <c r="J788" s="258">
        <v>43451</v>
      </c>
      <c r="K788" s="257">
        <v>0.88443000000000005</v>
      </c>
      <c r="L788" s="257">
        <v>0.88458000000000003</v>
      </c>
      <c r="M788" s="257">
        <v>0.87070999999999998</v>
      </c>
      <c r="N788" s="257">
        <v>0.87834999999999996</v>
      </c>
      <c r="O788" s="257">
        <v>0.87834999999999996</v>
      </c>
      <c r="P788" s="257">
        <v>0</v>
      </c>
    </row>
    <row r="789" spans="10:16" x14ac:dyDescent="0.2">
      <c r="J789" s="258">
        <v>43458</v>
      </c>
      <c r="K789" s="257">
        <v>0.87934999999999997</v>
      </c>
      <c r="L789" s="257">
        <v>0.88034999999999997</v>
      </c>
      <c r="M789" s="257">
        <v>0.87160000000000004</v>
      </c>
      <c r="N789" s="257">
        <v>0.87412999999999996</v>
      </c>
      <c r="O789" s="257">
        <v>0.87412999999999996</v>
      </c>
      <c r="P789" s="257">
        <v>0</v>
      </c>
    </row>
    <row r="790" spans="10:16" x14ac:dyDescent="0.2">
      <c r="J790" s="258">
        <v>43465</v>
      </c>
      <c r="K790" s="257">
        <v>0.87421000000000004</v>
      </c>
      <c r="L790" s="257">
        <v>0.88360000000000005</v>
      </c>
      <c r="M790" s="257">
        <v>0.86580000000000001</v>
      </c>
      <c r="N790" s="257">
        <v>0.87741999999999998</v>
      </c>
      <c r="O790" s="257">
        <v>0.87741999999999998</v>
      </c>
      <c r="P790" s="257">
        <v>0</v>
      </c>
    </row>
    <row r="791" spans="10:16" x14ac:dyDescent="0.2">
      <c r="J791" s="258">
        <v>43472</v>
      </c>
      <c r="K791" s="257">
        <v>0.87619999999999998</v>
      </c>
      <c r="L791" s="257">
        <v>0.87678999999999996</v>
      </c>
      <c r="M791" s="257">
        <v>0.86419999999999997</v>
      </c>
      <c r="N791" s="257">
        <v>0.87175999999999998</v>
      </c>
      <c r="O791" s="257">
        <v>0.87175999999999998</v>
      </c>
      <c r="P791" s="257">
        <v>0</v>
      </c>
    </row>
    <row r="792" spans="10:16" x14ac:dyDescent="0.2">
      <c r="J792" s="258">
        <v>43479</v>
      </c>
      <c r="K792" s="257">
        <v>0.87239</v>
      </c>
      <c r="L792" s="257">
        <v>0.88073000000000001</v>
      </c>
      <c r="M792" s="257">
        <v>0.87019999999999997</v>
      </c>
      <c r="N792" s="257">
        <v>0.87919999999999998</v>
      </c>
      <c r="O792" s="257">
        <v>0.87919999999999998</v>
      </c>
      <c r="P792" s="257">
        <v>0</v>
      </c>
    </row>
    <row r="793" spans="10:16" x14ac:dyDescent="0.2">
      <c r="J793" s="258">
        <v>43486</v>
      </c>
      <c r="K793" s="257">
        <v>0.87985999999999998</v>
      </c>
      <c r="L793" s="257">
        <v>0.88449999999999995</v>
      </c>
      <c r="M793" s="257">
        <v>0.87629999999999997</v>
      </c>
      <c r="N793" s="257">
        <v>0.87704000000000004</v>
      </c>
      <c r="O793" s="257">
        <v>0.87704000000000004</v>
      </c>
      <c r="P793" s="257">
        <v>0</v>
      </c>
    </row>
    <row r="794" spans="10:16" x14ac:dyDescent="0.2">
      <c r="J794" s="258">
        <v>43493</v>
      </c>
      <c r="K794" s="257">
        <v>0.87622</v>
      </c>
      <c r="L794" s="257">
        <v>0.87788999999999995</v>
      </c>
      <c r="M794" s="257">
        <v>0.86853000000000002</v>
      </c>
      <c r="N794" s="257">
        <v>0.87268000000000001</v>
      </c>
      <c r="O794" s="257">
        <v>0.87268000000000001</v>
      </c>
      <c r="P794" s="257">
        <v>0</v>
      </c>
    </row>
    <row r="795" spans="10:16" x14ac:dyDescent="0.2">
      <c r="J795" s="258">
        <v>43500</v>
      </c>
      <c r="K795" s="257">
        <v>0.87280999999999997</v>
      </c>
      <c r="L795" s="257">
        <v>0.88324999999999998</v>
      </c>
      <c r="M795" s="257">
        <v>0.87239999999999995</v>
      </c>
      <c r="N795" s="257">
        <v>0.88207000000000002</v>
      </c>
      <c r="O795" s="257">
        <v>0.88207000000000002</v>
      </c>
      <c r="P795" s="257">
        <v>0</v>
      </c>
    </row>
    <row r="796" spans="10:16" x14ac:dyDescent="0.2">
      <c r="J796" s="258">
        <v>43507</v>
      </c>
      <c r="K796" s="257">
        <v>0.88305999999999996</v>
      </c>
      <c r="L796" s="257">
        <v>0.89007999999999998</v>
      </c>
      <c r="M796" s="257">
        <v>0.88149999999999995</v>
      </c>
      <c r="N796" s="257">
        <v>0.88510999999999995</v>
      </c>
      <c r="O796" s="257">
        <v>0.88510999999999995</v>
      </c>
      <c r="P796" s="257">
        <v>0</v>
      </c>
    </row>
    <row r="797" spans="10:16" x14ac:dyDescent="0.2">
      <c r="J797" s="258">
        <v>43514</v>
      </c>
      <c r="K797" s="257">
        <v>0.88536000000000004</v>
      </c>
      <c r="L797" s="257">
        <v>0.88675999999999999</v>
      </c>
      <c r="M797" s="257">
        <v>0.87953999999999999</v>
      </c>
      <c r="N797" s="257">
        <v>0.88160000000000005</v>
      </c>
      <c r="O797" s="257">
        <v>0.88160000000000005</v>
      </c>
      <c r="P797" s="257">
        <v>0</v>
      </c>
    </row>
    <row r="798" spans="10:16" x14ac:dyDescent="0.2">
      <c r="J798" s="258">
        <v>43521</v>
      </c>
      <c r="K798" s="257">
        <v>0.88182000000000005</v>
      </c>
      <c r="L798" s="257">
        <v>0.88199000000000005</v>
      </c>
      <c r="M798" s="257">
        <v>0.87549999999999994</v>
      </c>
      <c r="N798" s="257">
        <v>0.87880999999999998</v>
      </c>
      <c r="O798" s="257">
        <v>0.87880999999999998</v>
      </c>
      <c r="P798" s="257">
        <v>0</v>
      </c>
    </row>
    <row r="799" spans="10:16" x14ac:dyDescent="0.2">
      <c r="J799" s="258">
        <v>43528</v>
      </c>
      <c r="K799" s="257">
        <v>0.87909999999999999</v>
      </c>
      <c r="L799" s="257">
        <v>0.89397000000000004</v>
      </c>
      <c r="M799" s="257">
        <v>0.87909999999999999</v>
      </c>
      <c r="N799" s="257">
        <v>0.88959999999999995</v>
      </c>
      <c r="O799" s="257">
        <v>0.88959999999999995</v>
      </c>
      <c r="P799" s="257">
        <v>0</v>
      </c>
    </row>
    <row r="800" spans="10:16" x14ac:dyDescent="0.2">
      <c r="J800" s="258">
        <v>43535</v>
      </c>
      <c r="K800" s="257">
        <v>0.89039000000000001</v>
      </c>
      <c r="L800" s="257">
        <v>0.89105999999999996</v>
      </c>
      <c r="M800" s="257">
        <v>0.88136999999999999</v>
      </c>
      <c r="N800" s="257">
        <v>0.88136999999999999</v>
      </c>
      <c r="O800" s="257">
        <v>0.88136999999999999</v>
      </c>
      <c r="P800" s="257">
        <v>0</v>
      </c>
    </row>
    <row r="801" spans="10:16" x14ac:dyDescent="0.2">
      <c r="J801" s="258">
        <v>43542</v>
      </c>
      <c r="K801" s="257">
        <v>0.88339999999999996</v>
      </c>
      <c r="L801" s="257">
        <v>0.8901</v>
      </c>
      <c r="M801" s="257">
        <v>0.87412999999999996</v>
      </c>
      <c r="N801" s="257">
        <v>0.88324000000000003</v>
      </c>
      <c r="O801" s="257">
        <v>0.88324000000000003</v>
      </c>
      <c r="P801" s="257">
        <v>0</v>
      </c>
    </row>
    <row r="802" spans="10:16" x14ac:dyDescent="0.2">
      <c r="J802" s="258">
        <v>43549</v>
      </c>
      <c r="K802" s="257">
        <v>0.88526000000000005</v>
      </c>
      <c r="L802" s="257">
        <v>0.89198999999999995</v>
      </c>
      <c r="M802" s="257">
        <v>0.88248000000000004</v>
      </c>
      <c r="N802" s="257">
        <v>0.89022999999999997</v>
      </c>
      <c r="O802" s="257">
        <v>0.89022999999999997</v>
      </c>
      <c r="P802" s="257">
        <v>0</v>
      </c>
    </row>
    <row r="803" spans="10:16" x14ac:dyDescent="0.2">
      <c r="J803" s="258">
        <v>43556</v>
      </c>
      <c r="K803" s="257">
        <v>0.89098999999999995</v>
      </c>
      <c r="L803" s="257">
        <v>0.89409000000000005</v>
      </c>
      <c r="M803" s="257">
        <v>0.88849400000000001</v>
      </c>
      <c r="N803" s="257">
        <v>0.89015</v>
      </c>
      <c r="O803" s="257">
        <v>0.89015</v>
      </c>
      <c r="P803" s="257">
        <v>0</v>
      </c>
    </row>
    <row r="804" spans="10:16" x14ac:dyDescent="0.2">
      <c r="J804" s="258">
        <v>43563</v>
      </c>
      <c r="K804" s="257">
        <v>0.8911</v>
      </c>
      <c r="L804" s="257">
        <v>0.89161999999999997</v>
      </c>
      <c r="M804" s="257">
        <v>0.88300000000000001</v>
      </c>
      <c r="N804" s="257">
        <v>0.88331000000000004</v>
      </c>
      <c r="O804" s="257">
        <v>0.88331000000000004</v>
      </c>
      <c r="P804" s="257">
        <v>0</v>
      </c>
    </row>
    <row r="805" spans="10:16" x14ac:dyDescent="0.2">
      <c r="J805" s="258">
        <v>43570</v>
      </c>
      <c r="K805" s="257">
        <v>0.88466999999999996</v>
      </c>
      <c r="L805" s="257">
        <v>0.89022999999999997</v>
      </c>
      <c r="M805" s="257">
        <v>0.8831</v>
      </c>
      <c r="N805" s="257">
        <v>0.88905000000000001</v>
      </c>
      <c r="O805" s="257">
        <v>0.88905000000000001</v>
      </c>
      <c r="P805" s="257">
        <v>0</v>
      </c>
    </row>
    <row r="806" spans="10:16" x14ac:dyDescent="0.2">
      <c r="J806" s="258">
        <v>43577</v>
      </c>
      <c r="K806" s="257">
        <v>0.88932</v>
      </c>
      <c r="L806" s="257">
        <v>0.89914000000000005</v>
      </c>
      <c r="M806" s="257">
        <v>0.88780000000000003</v>
      </c>
      <c r="N806" s="257">
        <v>0.89566000000000001</v>
      </c>
      <c r="O806" s="257">
        <v>0.89566000000000001</v>
      </c>
      <c r="P806" s="257">
        <v>0</v>
      </c>
    </row>
    <row r="807" spans="10:16" x14ac:dyDescent="0.2">
      <c r="J807" s="258">
        <v>43584</v>
      </c>
      <c r="K807" s="257">
        <v>0.89693999999999996</v>
      </c>
      <c r="L807" s="257">
        <v>0.89756000000000002</v>
      </c>
      <c r="M807" s="257">
        <v>0.88888999999999996</v>
      </c>
      <c r="N807" s="257">
        <v>0.89181999999999995</v>
      </c>
      <c r="O807" s="257">
        <v>0.89181999999999995</v>
      </c>
      <c r="P807" s="257">
        <v>0</v>
      </c>
    </row>
    <row r="808" spans="10:16" x14ac:dyDescent="0.2">
      <c r="J808" s="258">
        <v>43591</v>
      </c>
      <c r="K808" s="257">
        <v>0.89388999999999996</v>
      </c>
      <c r="L808" s="257">
        <v>0.89480000000000004</v>
      </c>
      <c r="M808" s="257">
        <v>0.88870000000000005</v>
      </c>
      <c r="N808" s="257">
        <v>0.88992000000000004</v>
      </c>
      <c r="O808" s="257">
        <v>0.88992000000000004</v>
      </c>
      <c r="P808" s="257">
        <v>0</v>
      </c>
    </row>
    <row r="809" spans="10:16" x14ac:dyDescent="0.2">
      <c r="J809" s="258">
        <v>43598</v>
      </c>
      <c r="K809" s="257">
        <v>0.88993999999999995</v>
      </c>
      <c r="L809" s="257">
        <v>0.89627000000000001</v>
      </c>
      <c r="M809" s="257">
        <v>0.88783000000000001</v>
      </c>
      <c r="N809" s="257">
        <v>0.89534000000000002</v>
      </c>
      <c r="O809" s="257">
        <v>0.89534000000000002</v>
      </c>
      <c r="P809" s="257">
        <v>0</v>
      </c>
    </row>
    <row r="810" spans="10:16" x14ac:dyDescent="0.2">
      <c r="J810" s="258">
        <v>43605</v>
      </c>
      <c r="K810" s="257">
        <v>0.89563000000000004</v>
      </c>
      <c r="L810" s="257">
        <v>0.90012999999999999</v>
      </c>
      <c r="M810" s="257">
        <v>0.89190000000000003</v>
      </c>
      <c r="N810" s="257">
        <v>0.89222000000000001</v>
      </c>
      <c r="O810" s="257">
        <v>0.89222000000000001</v>
      </c>
      <c r="P810" s="257">
        <v>0</v>
      </c>
    </row>
    <row r="811" spans="10:16" x14ac:dyDescent="0.2">
      <c r="J811" s="258">
        <v>43612</v>
      </c>
      <c r="K811" s="257">
        <v>0.89234999999999998</v>
      </c>
      <c r="L811" s="257">
        <v>0.89939999999999998</v>
      </c>
      <c r="M811" s="257">
        <v>0.89139999999999997</v>
      </c>
      <c r="N811" s="257">
        <v>0.89285999999999999</v>
      </c>
      <c r="O811" s="257">
        <v>0.89285999999999999</v>
      </c>
      <c r="P811" s="257">
        <v>0</v>
      </c>
    </row>
    <row r="812" spans="10:16" x14ac:dyDescent="0.2">
      <c r="J812" s="258">
        <v>43619</v>
      </c>
      <c r="K812" s="257">
        <v>0.89498</v>
      </c>
      <c r="L812" s="257">
        <v>0.89588000000000001</v>
      </c>
      <c r="M812" s="257">
        <v>0.88119999999999998</v>
      </c>
      <c r="N812" s="257">
        <v>0.88160000000000005</v>
      </c>
      <c r="O812" s="257">
        <v>0.88160000000000005</v>
      </c>
      <c r="P812" s="257">
        <v>0</v>
      </c>
    </row>
    <row r="813" spans="10:16" x14ac:dyDescent="0.2">
      <c r="J813" s="258">
        <v>43626</v>
      </c>
      <c r="K813" s="257">
        <v>0.88346999999999998</v>
      </c>
      <c r="L813" s="257">
        <v>0.89166000000000001</v>
      </c>
      <c r="M813" s="257">
        <v>0.88160000000000005</v>
      </c>
      <c r="N813" s="257">
        <v>0.88976</v>
      </c>
      <c r="O813" s="257">
        <v>0.88976</v>
      </c>
      <c r="P813" s="257">
        <v>0</v>
      </c>
    </row>
    <row r="814" spans="10:16" x14ac:dyDescent="0.2">
      <c r="J814" s="258">
        <v>43633</v>
      </c>
      <c r="K814" s="257">
        <v>0.89158000000000004</v>
      </c>
      <c r="L814" s="257">
        <v>0.89427000000000001</v>
      </c>
      <c r="M814" s="257">
        <v>0.87741999999999998</v>
      </c>
      <c r="N814" s="257">
        <v>0.87741999999999998</v>
      </c>
      <c r="O814" s="257">
        <v>0.87741999999999998</v>
      </c>
      <c r="P814" s="257">
        <v>0</v>
      </c>
    </row>
    <row r="815" spans="10:16" x14ac:dyDescent="0.2">
      <c r="J815" s="258">
        <v>43640</v>
      </c>
      <c r="K815" s="257">
        <v>0.87849999999999995</v>
      </c>
      <c r="L815" s="257">
        <v>0.88117999999999996</v>
      </c>
      <c r="M815" s="257">
        <v>0.87612000000000001</v>
      </c>
      <c r="N815" s="257">
        <v>0.87788999999999995</v>
      </c>
      <c r="O815" s="257">
        <v>0.87788999999999995</v>
      </c>
      <c r="P815" s="257">
        <v>0</v>
      </c>
    </row>
    <row r="816" spans="10:16" x14ac:dyDescent="0.2">
      <c r="J816" s="258">
        <v>43647</v>
      </c>
      <c r="K816" s="257">
        <v>0.88</v>
      </c>
      <c r="L816" s="257">
        <v>0.89219999999999999</v>
      </c>
      <c r="M816" s="257">
        <v>0.87970000000000004</v>
      </c>
      <c r="N816" s="257">
        <v>0.89022999999999997</v>
      </c>
      <c r="O816" s="257">
        <v>0.89022999999999997</v>
      </c>
      <c r="P816" s="257">
        <v>0</v>
      </c>
    </row>
    <row r="817" spans="10:16" x14ac:dyDescent="0.2">
      <c r="J817" s="258">
        <v>43654</v>
      </c>
      <c r="K817" s="257">
        <v>0.89063999999999999</v>
      </c>
      <c r="L817" s="257">
        <v>0.89322999999999997</v>
      </c>
      <c r="M817" s="257">
        <v>0.88580000000000003</v>
      </c>
      <c r="N817" s="257">
        <v>0.88582000000000005</v>
      </c>
      <c r="O817" s="257">
        <v>0.88582000000000005</v>
      </c>
      <c r="P817" s="257">
        <v>0</v>
      </c>
    </row>
    <row r="818" spans="10:16" x14ac:dyDescent="0.2">
      <c r="J818" s="258">
        <v>43661</v>
      </c>
      <c r="K818" s="257">
        <v>0.88717000000000001</v>
      </c>
      <c r="L818" s="257">
        <v>0.89276999999999995</v>
      </c>
      <c r="M818" s="257">
        <v>0.88605400000000001</v>
      </c>
      <c r="N818" s="257">
        <v>0.89007999999999998</v>
      </c>
      <c r="O818" s="257">
        <v>0.89007999999999998</v>
      </c>
      <c r="P818" s="257">
        <v>0</v>
      </c>
    </row>
    <row r="819" spans="10:16" x14ac:dyDescent="0.2">
      <c r="J819" s="258">
        <v>43668</v>
      </c>
      <c r="K819" s="257">
        <v>0.89141999999999999</v>
      </c>
      <c r="L819" s="257">
        <v>0.90059</v>
      </c>
      <c r="M819" s="257">
        <v>0.89070000000000005</v>
      </c>
      <c r="N819" s="257">
        <v>0.89693999999999996</v>
      </c>
      <c r="O819" s="257">
        <v>0.89693999999999996</v>
      </c>
      <c r="P819" s="257">
        <v>0</v>
      </c>
    </row>
    <row r="820" spans="10:16" x14ac:dyDescent="0.2">
      <c r="J820" s="258">
        <v>43675</v>
      </c>
      <c r="K820" s="257">
        <v>0.89839999999999998</v>
      </c>
      <c r="L820" s="257">
        <v>0.90681999999999996</v>
      </c>
      <c r="M820" s="257">
        <v>0.89570000000000005</v>
      </c>
      <c r="N820" s="257">
        <v>0.89839000000000002</v>
      </c>
      <c r="O820" s="257">
        <v>0.89839000000000002</v>
      </c>
      <c r="P820" s="257">
        <v>0</v>
      </c>
    </row>
    <row r="821" spans="10:16" x14ac:dyDescent="0.2">
      <c r="J821" s="258">
        <v>43682</v>
      </c>
      <c r="K821" s="257">
        <v>0.90029999999999999</v>
      </c>
      <c r="L821" s="257">
        <v>0.90029999999999999</v>
      </c>
      <c r="M821" s="257">
        <v>0.88393999999999995</v>
      </c>
      <c r="N821" s="257">
        <v>0.88393999999999995</v>
      </c>
      <c r="O821" s="257">
        <v>0.88393999999999995</v>
      </c>
      <c r="P821" s="257">
        <v>0</v>
      </c>
    </row>
    <row r="822" spans="10:16" x14ac:dyDescent="0.2">
      <c r="J822" s="258">
        <v>43689</v>
      </c>
      <c r="K822" s="257">
        <v>0.89231000000000005</v>
      </c>
      <c r="L822" s="257">
        <v>0.90354999999999996</v>
      </c>
      <c r="M822" s="257">
        <v>0.89044999999999996</v>
      </c>
      <c r="N822" s="257">
        <v>0.90122999999999998</v>
      </c>
      <c r="O822" s="257">
        <v>0.90122999999999998</v>
      </c>
      <c r="P822" s="257">
        <v>0</v>
      </c>
    </row>
    <row r="823" spans="10:16" x14ac:dyDescent="0.2">
      <c r="J823" s="258">
        <v>43696</v>
      </c>
      <c r="K823" s="257">
        <v>0.90139999999999998</v>
      </c>
      <c r="L823" s="257">
        <v>0.90473199999999998</v>
      </c>
      <c r="M823" s="257">
        <v>0.88951999999999998</v>
      </c>
      <c r="N823" s="257">
        <v>0.88951999999999998</v>
      </c>
      <c r="O823" s="257">
        <v>0.88951999999999998</v>
      </c>
      <c r="P823" s="257">
        <v>0</v>
      </c>
    </row>
    <row r="824" spans="10:16" x14ac:dyDescent="0.2">
      <c r="J824" s="258">
        <v>43703</v>
      </c>
      <c r="K824" s="257">
        <v>0.89742</v>
      </c>
      <c r="L824" s="257">
        <v>0.91015000000000001</v>
      </c>
      <c r="M824" s="257">
        <v>0.89666000000000001</v>
      </c>
      <c r="N824" s="257">
        <v>0.90810000000000002</v>
      </c>
      <c r="O824" s="257">
        <v>0.90810000000000002</v>
      </c>
      <c r="P824" s="257">
        <v>0</v>
      </c>
    </row>
    <row r="825" spans="10:16" x14ac:dyDescent="0.2">
      <c r="J825" s="258">
        <v>43710</v>
      </c>
      <c r="K825" s="257">
        <v>0.90983999999999998</v>
      </c>
      <c r="L825" s="257">
        <v>0.91488000000000003</v>
      </c>
      <c r="M825" s="257">
        <v>0.89815</v>
      </c>
      <c r="N825" s="257">
        <v>0.89815</v>
      </c>
      <c r="O825" s="257">
        <v>0.89815</v>
      </c>
      <c r="P825" s="257">
        <v>0</v>
      </c>
    </row>
    <row r="826" spans="10:16" x14ac:dyDescent="0.2">
      <c r="J826" s="258">
        <v>43717</v>
      </c>
      <c r="K826" s="257">
        <v>0.90737999999999996</v>
      </c>
      <c r="L826" s="257">
        <v>0.91495000000000004</v>
      </c>
      <c r="M826" s="257">
        <v>0.8962</v>
      </c>
      <c r="N826" s="257">
        <v>0.89622000000000002</v>
      </c>
      <c r="O826" s="257">
        <v>0.89622000000000002</v>
      </c>
      <c r="P826" s="257">
        <v>0</v>
      </c>
    </row>
    <row r="827" spans="10:16" x14ac:dyDescent="0.2">
      <c r="J827" s="258">
        <v>43724</v>
      </c>
      <c r="K827" s="257">
        <v>0.90219000000000005</v>
      </c>
      <c r="L827" s="257">
        <v>0.90968000000000004</v>
      </c>
      <c r="M827" s="257">
        <v>0.90217999999999998</v>
      </c>
      <c r="N827" s="257">
        <v>0.90744000000000002</v>
      </c>
      <c r="O827" s="257">
        <v>0.90744000000000002</v>
      </c>
      <c r="P827" s="257">
        <v>0</v>
      </c>
    </row>
    <row r="828" spans="10:16" x14ac:dyDescent="0.2">
      <c r="J828" s="258">
        <v>43731</v>
      </c>
      <c r="K828" s="257">
        <v>0.90747999999999995</v>
      </c>
      <c r="L828" s="257">
        <v>0.91693999999999998</v>
      </c>
      <c r="M828" s="257">
        <v>0.90678000000000003</v>
      </c>
      <c r="N828" s="257">
        <v>0.91398000000000001</v>
      </c>
      <c r="O828" s="257">
        <v>0.91398000000000001</v>
      </c>
      <c r="P828" s="257">
        <v>0</v>
      </c>
    </row>
    <row r="829" spans="10:16" x14ac:dyDescent="0.2">
      <c r="J829" s="258">
        <v>43738</v>
      </c>
      <c r="K829" s="257">
        <v>0.91393999999999997</v>
      </c>
      <c r="L829" s="257">
        <v>0.91898999999999997</v>
      </c>
      <c r="M829" s="257">
        <v>0.90922999999999998</v>
      </c>
      <c r="N829" s="257">
        <v>0.91074999999999995</v>
      </c>
      <c r="O829" s="257">
        <v>0.91074999999999995</v>
      </c>
      <c r="P829" s="257">
        <v>0</v>
      </c>
    </row>
    <row r="830" spans="10:16" x14ac:dyDescent="0.2">
      <c r="J830" s="258">
        <v>43745</v>
      </c>
      <c r="K830" s="257">
        <v>0.91020000000000001</v>
      </c>
      <c r="L830" s="257">
        <v>0.91352</v>
      </c>
      <c r="M830" s="257">
        <v>0.90399600000000002</v>
      </c>
      <c r="N830" s="257">
        <v>0.90579699999999996</v>
      </c>
      <c r="O830" s="257">
        <v>0.90579699999999996</v>
      </c>
      <c r="P830" s="257">
        <v>0</v>
      </c>
    </row>
    <row r="831" spans="10:16" x14ac:dyDescent="0.2">
      <c r="J831" s="258">
        <v>43752</v>
      </c>
      <c r="K831" s="257">
        <v>0.90676999999999996</v>
      </c>
      <c r="L831" s="257">
        <v>0.90969</v>
      </c>
      <c r="M831" s="257">
        <v>0.89525500000000002</v>
      </c>
      <c r="N831" s="257">
        <v>0.89525500000000002</v>
      </c>
      <c r="O831" s="257">
        <v>0.89525500000000002</v>
      </c>
      <c r="P831" s="257">
        <v>0</v>
      </c>
    </row>
    <row r="832" spans="10:16" x14ac:dyDescent="0.2">
      <c r="J832" s="258">
        <v>43759</v>
      </c>
      <c r="K832" s="257">
        <v>0.89637</v>
      </c>
      <c r="L832" s="257">
        <v>0.90249000000000001</v>
      </c>
      <c r="M832" s="257">
        <v>0.89439999999999997</v>
      </c>
      <c r="N832" s="257">
        <v>0.90236400000000005</v>
      </c>
      <c r="O832" s="257">
        <v>0.90236400000000005</v>
      </c>
      <c r="P832" s="257">
        <v>0</v>
      </c>
    </row>
    <row r="833" spans="10:16" x14ac:dyDescent="0.2">
      <c r="J833" s="258">
        <v>43766</v>
      </c>
      <c r="K833" s="257">
        <v>0.90214000000000005</v>
      </c>
      <c r="L833" s="257">
        <v>0.90293000000000001</v>
      </c>
      <c r="M833" s="257">
        <v>0.89329999999999998</v>
      </c>
      <c r="N833" s="257">
        <v>0.89533499999999999</v>
      </c>
      <c r="O833" s="257">
        <v>0.89533499999999999</v>
      </c>
      <c r="P833" s="257">
        <v>0</v>
      </c>
    </row>
    <row r="834" spans="10:16" x14ac:dyDescent="0.2">
      <c r="J834" s="258">
        <v>43773</v>
      </c>
      <c r="K834" s="257">
        <v>0.89529999999999998</v>
      </c>
      <c r="L834" s="257">
        <v>0.90762200000000004</v>
      </c>
      <c r="M834" s="257">
        <v>0.89469399999999999</v>
      </c>
      <c r="N834" s="257">
        <v>0.90724000000000005</v>
      </c>
      <c r="O834" s="257">
        <v>0.90724000000000005</v>
      </c>
      <c r="P834" s="257">
        <v>0</v>
      </c>
    </row>
    <row r="835" spans="10:16" x14ac:dyDescent="0.2">
      <c r="J835" s="258">
        <v>43780</v>
      </c>
      <c r="K835" s="257">
        <v>0.90720999999999996</v>
      </c>
      <c r="L835" s="257">
        <v>0.90985000000000005</v>
      </c>
      <c r="M835" s="257">
        <v>0.90449999999999997</v>
      </c>
      <c r="N835" s="257">
        <v>0.90464199999999995</v>
      </c>
      <c r="O835" s="257">
        <v>0.90464199999999995</v>
      </c>
      <c r="P835" s="257">
        <v>0</v>
      </c>
    </row>
    <row r="836" spans="10:16" x14ac:dyDescent="0.2">
      <c r="J836" s="258">
        <v>43787</v>
      </c>
      <c r="K836" s="257">
        <v>0.90464999999999995</v>
      </c>
      <c r="L836" s="257">
        <v>0.90744100000000005</v>
      </c>
      <c r="M836" s="257">
        <v>0.90119000000000005</v>
      </c>
      <c r="N836" s="257">
        <v>0.90720199999999995</v>
      </c>
      <c r="O836" s="257">
        <v>0.90720199999999995</v>
      </c>
      <c r="P836" s="257">
        <v>0</v>
      </c>
    </row>
    <row r="837" spans="10:16" x14ac:dyDescent="0.2">
      <c r="J837" s="258">
        <v>43794</v>
      </c>
      <c r="K837" s="257">
        <v>0.90710000000000002</v>
      </c>
      <c r="L837" s="257">
        <v>0.91051000000000004</v>
      </c>
      <c r="M837" s="257">
        <v>0.90629999999999999</v>
      </c>
      <c r="N837" s="257">
        <v>0.90751499999999996</v>
      </c>
      <c r="O837" s="257">
        <v>0.90751499999999996</v>
      </c>
      <c r="P837" s="257">
        <v>0</v>
      </c>
    </row>
    <row r="838" spans="10:16" x14ac:dyDescent="0.2">
      <c r="J838" s="258">
        <v>43801</v>
      </c>
      <c r="K838" s="257">
        <v>0.90763000000000005</v>
      </c>
      <c r="L838" s="257">
        <v>0.90878000000000003</v>
      </c>
      <c r="M838" s="257">
        <v>0.89981</v>
      </c>
      <c r="N838" s="257">
        <v>0.90407700000000002</v>
      </c>
      <c r="O838" s="257">
        <v>0.90407700000000002</v>
      </c>
      <c r="P838" s="257">
        <v>0</v>
      </c>
    </row>
    <row r="839" spans="10:16" x14ac:dyDescent="0.2">
      <c r="J839" s="258">
        <v>43808</v>
      </c>
      <c r="K839" s="257">
        <v>0.904339</v>
      </c>
      <c r="L839" s="257">
        <v>0.90464999999999995</v>
      </c>
      <c r="M839" s="257">
        <v>0.89390000000000003</v>
      </c>
      <c r="N839" s="257">
        <v>0.899281</v>
      </c>
      <c r="O839" s="257">
        <v>0.899281</v>
      </c>
      <c r="P839" s="257">
        <v>0</v>
      </c>
    </row>
    <row r="840" spans="10:16" x14ac:dyDescent="0.2">
      <c r="J840" s="258">
        <v>43815</v>
      </c>
      <c r="K840" s="257">
        <v>0.89885999999999999</v>
      </c>
      <c r="L840" s="257">
        <v>0.90298999999999996</v>
      </c>
      <c r="M840" s="257">
        <v>0.89500000000000002</v>
      </c>
      <c r="N840" s="257">
        <v>0.90252699999999997</v>
      </c>
      <c r="O840" s="257">
        <v>0.90252699999999997</v>
      </c>
      <c r="P840" s="257">
        <v>0</v>
      </c>
    </row>
    <row r="841" spans="10:16" x14ac:dyDescent="0.2">
      <c r="J841" s="258">
        <v>43822</v>
      </c>
      <c r="K841" s="257">
        <v>0.90254000000000001</v>
      </c>
      <c r="L841" s="257">
        <v>0.90329000000000004</v>
      </c>
      <c r="M841" s="257">
        <v>0.89439999999999997</v>
      </c>
      <c r="N841" s="257">
        <v>0.89469500000000002</v>
      </c>
      <c r="O841" s="257">
        <v>0.89469500000000002</v>
      </c>
      <c r="P841" s="257">
        <v>0</v>
      </c>
    </row>
    <row r="842" spans="10:16" x14ac:dyDescent="0.2">
      <c r="J842" s="258">
        <v>43829</v>
      </c>
      <c r="K842" s="257">
        <v>0.89432999999999996</v>
      </c>
      <c r="L842" s="257">
        <v>0.89881999999999995</v>
      </c>
      <c r="M842" s="257">
        <v>0.88959999999999995</v>
      </c>
      <c r="N842" s="257">
        <v>0.89597700000000002</v>
      </c>
      <c r="O842" s="257">
        <v>0.89597700000000002</v>
      </c>
      <c r="P842" s="257">
        <v>0</v>
      </c>
    </row>
    <row r="843" spans="10:16" x14ac:dyDescent="0.2">
      <c r="J843" s="258">
        <v>43836</v>
      </c>
      <c r="K843" s="257">
        <v>0.89585999999999999</v>
      </c>
      <c r="L843" s="257">
        <v>0.90202000000000004</v>
      </c>
      <c r="M843" s="257">
        <v>0.89219999999999999</v>
      </c>
      <c r="N843" s="257">
        <v>0.899281</v>
      </c>
      <c r="O843" s="257">
        <v>0.899281</v>
      </c>
      <c r="P843" s="257">
        <v>0</v>
      </c>
    </row>
    <row r="844" spans="10:16" x14ac:dyDescent="0.2">
      <c r="J844" s="258">
        <v>43843</v>
      </c>
      <c r="K844" s="257">
        <v>0.89956000000000003</v>
      </c>
      <c r="L844" s="257">
        <v>0.90190999999999999</v>
      </c>
      <c r="M844" s="257">
        <v>0.89510000000000001</v>
      </c>
      <c r="N844" s="257">
        <v>0.90162399999999998</v>
      </c>
      <c r="O844" s="257">
        <v>0.90162399999999998</v>
      </c>
      <c r="P844" s="257">
        <v>0</v>
      </c>
    </row>
    <row r="845" spans="10:16" x14ac:dyDescent="0.2">
      <c r="J845" s="258">
        <v>43850</v>
      </c>
      <c r="K845" s="257">
        <v>0.90129000000000004</v>
      </c>
      <c r="L845" s="257">
        <v>0.90734000000000004</v>
      </c>
      <c r="M845" s="257">
        <v>0.89929999999999999</v>
      </c>
      <c r="N845" s="257">
        <v>0.906972</v>
      </c>
      <c r="O845" s="257">
        <v>0.906972</v>
      </c>
      <c r="P845" s="257">
        <v>0</v>
      </c>
    </row>
    <row r="846" spans="10:16" x14ac:dyDescent="0.2">
      <c r="J846" s="258">
        <v>43857</v>
      </c>
      <c r="K846" s="257">
        <v>0.90691999999999995</v>
      </c>
      <c r="L846" s="257">
        <v>0.90964999999999996</v>
      </c>
      <c r="M846" s="257">
        <v>0.90121799999999996</v>
      </c>
      <c r="N846" s="257">
        <v>0.90133099999999999</v>
      </c>
      <c r="O846" s="257">
        <v>0.90133099999999999</v>
      </c>
      <c r="P846" s="257">
        <v>0</v>
      </c>
    </row>
    <row r="847" spans="10:16" x14ac:dyDescent="0.2">
      <c r="J847" s="258">
        <v>43864</v>
      </c>
      <c r="K847" s="257">
        <v>0.90178999999999998</v>
      </c>
      <c r="L847" s="257">
        <v>0.91349999999999998</v>
      </c>
      <c r="M847" s="257">
        <v>0.90178999999999998</v>
      </c>
      <c r="N847" s="257">
        <v>0.91338399999999997</v>
      </c>
      <c r="O847" s="257">
        <v>0.91338399999999997</v>
      </c>
      <c r="P847" s="257">
        <v>0</v>
      </c>
    </row>
    <row r="848" spans="10:16" x14ac:dyDescent="0.2">
      <c r="J848" s="258">
        <v>43871</v>
      </c>
      <c r="K848" s="257">
        <v>0.91335</v>
      </c>
      <c r="L848" s="257">
        <v>0.92325900000000005</v>
      </c>
      <c r="M848" s="257">
        <v>0.9123</v>
      </c>
      <c r="N848" s="257">
        <v>0.92325900000000005</v>
      </c>
      <c r="O848" s="257">
        <v>0.92325900000000005</v>
      </c>
      <c r="P848" s="257">
        <v>0</v>
      </c>
    </row>
    <row r="849" spans="10:16" x14ac:dyDescent="0.2">
      <c r="J849" s="258">
        <v>43878</v>
      </c>
      <c r="K849" s="257">
        <v>0.92245999999999995</v>
      </c>
      <c r="L849" s="257">
        <v>0.92767999999999995</v>
      </c>
      <c r="M849" s="257">
        <v>0.92049999999999998</v>
      </c>
      <c r="N849" s="257">
        <v>0.92183700000000002</v>
      </c>
      <c r="O849" s="257">
        <v>0.92183700000000002</v>
      </c>
      <c r="P849" s="257">
        <v>0</v>
      </c>
    </row>
    <row r="850" spans="10:16" x14ac:dyDescent="0.2">
      <c r="J850" s="258">
        <v>43885</v>
      </c>
      <c r="K850" s="257">
        <v>0.92262999999999995</v>
      </c>
      <c r="L850" s="257">
        <v>0.92520000000000002</v>
      </c>
      <c r="M850" s="257">
        <v>0.90475000000000005</v>
      </c>
      <c r="N850" s="257">
        <v>0.906775</v>
      </c>
      <c r="O850" s="257">
        <v>0.906775</v>
      </c>
      <c r="P850" s="257">
        <v>0</v>
      </c>
    </row>
    <row r="851" spans="10:16" x14ac:dyDescent="0.2">
      <c r="J851" s="258">
        <v>43892</v>
      </c>
      <c r="K851" s="257">
        <v>0.90476999999999996</v>
      </c>
      <c r="L851" s="257">
        <v>0.90602000000000005</v>
      </c>
      <c r="M851" s="257">
        <v>0.88068999999999997</v>
      </c>
      <c r="N851" s="257">
        <v>0.88589700000000005</v>
      </c>
      <c r="O851" s="257">
        <v>0.88589700000000005</v>
      </c>
      <c r="P851" s="257">
        <v>0</v>
      </c>
    </row>
    <row r="852" spans="10:16" x14ac:dyDescent="0.2">
      <c r="J852" s="258">
        <v>43899</v>
      </c>
      <c r="K852" s="257">
        <v>0.87826000000000004</v>
      </c>
      <c r="L852" s="257">
        <v>0.90371999999999997</v>
      </c>
      <c r="M852" s="257">
        <v>0.86987999999999999</v>
      </c>
      <c r="N852" s="257">
        <v>0.89718299999999995</v>
      </c>
      <c r="O852" s="257">
        <v>0.89718299999999995</v>
      </c>
      <c r="P852" s="257">
        <v>0</v>
      </c>
    </row>
    <row r="853" spans="10:16" x14ac:dyDescent="0.2">
      <c r="J853" s="258">
        <v>43906</v>
      </c>
      <c r="K853" s="257">
        <v>0.89609000000000005</v>
      </c>
      <c r="L853" s="257">
        <v>0.93857000000000002</v>
      </c>
      <c r="M853" s="257">
        <v>0.89004399999999995</v>
      </c>
      <c r="N853" s="257">
        <v>0.92893599999999998</v>
      </c>
      <c r="O853" s="257">
        <v>0.92893599999999998</v>
      </c>
      <c r="P853" s="257">
        <v>0</v>
      </c>
    </row>
    <row r="854" spans="10:16" x14ac:dyDescent="0.2">
      <c r="J854" s="258">
        <v>43913</v>
      </c>
      <c r="K854" s="257">
        <v>0.93567</v>
      </c>
      <c r="L854" s="257">
        <v>0.93805000000000005</v>
      </c>
      <c r="M854" s="257">
        <v>0.89525500000000002</v>
      </c>
      <c r="N854" s="257">
        <v>0.89525500000000002</v>
      </c>
      <c r="O854" s="257">
        <v>0.89525500000000002</v>
      </c>
      <c r="P854" s="257">
        <v>0</v>
      </c>
    </row>
    <row r="855" spans="10:16" x14ac:dyDescent="0.2">
      <c r="J855" s="258">
        <v>43920</v>
      </c>
      <c r="K855" s="257">
        <v>0.89803999999999995</v>
      </c>
      <c r="L855" s="257">
        <v>0.92797099999999999</v>
      </c>
      <c r="M855" s="257">
        <v>0.89783999999999997</v>
      </c>
      <c r="N855" s="257">
        <v>0.92506900000000003</v>
      </c>
      <c r="O855" s="257">
        <v>0.92506900000000003</v>
      </c>
      <c r="P855" s="257">
        <v>0</v>
      </c>
    </row>
    <row r="856" spans="10:16" x14ac:dyDescent="0.2">
      <c r="J856" s="258">
        <v>43927</v>
      </c>
      <c r="K856" s="257">
        <v>0.92522000000000004</v>
      </c>
      <c r="L856" s="257">
        <v>0.92857000000000001</v>
      </c>
      <c r="M856" s="257">
        <v>0.91290000000000004</v>
      </c>
      <c r="N856" s="257">
        <v>0.91432800000000003</v>
      </c>
      <c r="O856" s="257">
        <v>0.91432800000000003</v>
      </c>
      <c r="P856" s="257">
        <v>0</v>
      </c>
    </row>
    <row r="857" spans="10:16" x14ac:dyDescent="0.2">
      <c r="J857" s="258">
        <v>43934</v>
      </c>
      <c r="K857" s="257">
        <v>0.91479999999999995</v>
      </c>
      <c r="L857" s="257">
        <v>0.92484</v>
      </c>
      <c r="M857" s="257">
        <v>0.91</v>
      </c>
      <c r="N857" s="257">
        <v>0.91911799999999999</v>
      </c>
      <c r="O857" s="257">
        <v>0.91911799999999999</v>
      </c>
      <c r="P857" s="257">
        <v>0</v>
      </c>
    </row>
    <row r="858" spans="10:16" x14ac:dyDescent="0.2">
      <c r="J858" s="258">
        <v>43941</v>
      </c>
      <c r="K858" s="257">
        <v>0.92027999999999999</v>
      </c>
      <c r="L858" s="257">
        <v>0.93217000000000005</v>
      </c>
      <c r="M858" s="257">
        <v>0.91768000000000005</v>
      </c>
      <c r="N858" s="257">
        <v>0.92382200000000003</v>
      </c>
      <c r="O858" s="257">
        <v>0.92382200000000003</v>
      </c>
      <c r="P858" s="257">
        <v>0</v>
      </c>
    </row>
    <row r="859" spans="10:16" x14ac:dyDescent="0.2">
      <c r="J859" s="258">
        <v>43948</v>
      </c>
      <c r="K859" s="257">
        <v>0.92390000000000005</v>
      </c>
      <c r="L859" s="257">
        <v>0.92496</v>
      </c>
      <c r="M859" s="257">
        <v>0.9012</v>
      </c>
      <c r="N859" s="257">
        <v>0.90122599999999997</v>
      </c>
      <c r="O859" s="257">
        <v>0.90122599999999997</v>
      </c>
      <c r="P859" s="257">
        <v>0</v>
      </c>
    </row>
    <row r="860" spans="10:16" x14ac:dyDescent="0.2">
      <c r="J860" s="258">
        <v>43955</v>
      </c>
      <c r="K860" s="257">
        <v>0.91261999999999999</v>
      </c>
      <c r="L860" s="257">
        <v>0.92871999999999999</v>
      </c>
      <c r="M860" s="257">
        <v>0.91139999999999999</v>
      </c>
      <c r="N860" s="257">
        <v>0.91141099999999997</v>
      </c>
      <c r="O860" s="257">
        <v>0.91141099999999997</v>
      </c>
      <c r="P860" s="257">
        <v>0</v>
      </c>
    </row>
    <row r="861" spans="10:16" x14ac:dyDescent="0.2">
      <c r="J861" s="258">
        <v>43962</v>
      </c>
      <c r="K861" s="257">
        <v>0.92249999999999999</v>
      </c>
      <c r="L861" s="257">
        <v>0.92793999999999999</v>
      </c>
      <c r="M861" s="257">
        <v>0.91798999999999997</v>
      </c>
      <c r="N861" s="257">
        <v>0.92382200000000003</v>
      </c>
      <c r="O861" s="257">
        <v>0.92382200000000003</v>
      </c>
      <c r="P861" s="257">
        <v>0</v>
      </c>
    </row>
    <row r="862" spans="10:16" x14ac:dyDescent="0.2">
      <c r="J862" s="258">
        <v>43969</v>
      </c>
      <c r="K862" s="257">
        <v>0.92425999999999997</v>
      </c>
      <c r="L862" s="257">
        <v>0.92584999999999995</v>
      </c>
      <c r="M862" s="257">
        <v>0.90837000000000001</v>
      </c>
      <c r="N862" s="257">
        <v>0.91659000000000002</v>
      </c>
      <c r="O862" s="257">
        <v>0.91659000000000002</v>
      </c>
      <c r="P862" s="257">
        <v>0</v>
      </c>
    </row>
    <row r="863" spans="10:16" x14ac:dyDescent="0.2">
      <c r="J863" s="258">
        <v>43976</v>
      </c>
      <c r="K863" s="257">
        <v>0.91666999999999998</v>
      </c>
      <c r="L863" s="257">
        <v>0.91979</v>
      </c>
      <c r="M863" s="257">
        <v>0.89729000000000003</v>
      </c>
      <c r="N863" s="257">
        <v>0.90008999999999995</v>
      </c>
      <c r="O863" s="257">
        <v>0.90008999999999995</v>
      </c>
      <c r="P863" s="257">
        <v>0</v>
      </c>
    </row>
    <row r="864" spans="10:16" x14ac:dyDescent="0.2">
      <c r="J864" s="258">
        <v>43983</v>
      </c>
      <c r="K864" s="257">
        <v>0.89971999999999996</v>
      </c>
      <c r="L864" s="257">
        <v>0.90078000000000003</v>
      </c>
      <c r="M864" s="257">
        <v>0.87843000000000004</v>
      </c>
      <c r="N864" s="257">
        <v>0.88551999999999997</v>
      </c>
      <c r="O864" s="257">
        <v>0.88551999999999997</v>
      </c>
      <c r="P864" s="257">
        <v>0</v>
      </c>
    </row>
    <row r="865" spans="10:16" x14ac:dyDescent="0.2">
      <c r="J865" s="258">
        <v>43990</v>
      </c>
      <c r="K865" s="257">
        <v>0.88370000000000004</v>
      </c>
      <c r="L865" s="257">
        <v>0.8901</v>
      </c>
      <c r="M865" s="257">
        <v>0.87717999999999996</v>
      </c>
      <c r="N865" s="257">
        <v>0.88842299999999996</v>
      </c>
      <c r="O865" s="257">
        <v>0.88842299999999996</v>
      </c>
      <c r="P865" s="257">
        <v>0</v>
      </c>
    </row>
    <row r="866" spans="10:16" x14ac:dyDescent="0.2">
      <c r="J866" s="258">
        <v>43997</v>
      </c>
      <c r="K866" s="257">
        <v>0.88856000000000002</v>
      </c>
      <c r="L866" s="257">
        <v>0.89493999999999996</v>
      </c>
      <c r="M866" s="257">
        <v>0.88107000000000002</v>
      </c>
      <c r="N866" s="257">
        <v>0.89463000000000004</v>
      </c>
      <c r="O866" s="257">
        <v>0.89463000000000004</v>
      </c>
      <c r="P866" s="257">
        <v>0</v>
      </c>
    </row>
    <row r="867" spans="10:16" x14ac:dyDescent="0.2">
      <c r="J867" s="258">
        <v>44004</v>
      </c>
      <c r="K867" s="257">
        <v>0.89449999999999996</v>
      </c>
      <c r="L867" s="257">
        <v>0.89480999999999999</v>
      </c>
      <c r="M867" s="257">
        <v>0.881135</v>
      </c>
      <c r="N867" s="257">
        <v>0.89127400000000001</v>
      </c>
      <c r="O867" s="257">
        <v>0.89127400000000001</v>
      </c>
      <c r="P867" s="257">
        <v>0</v>
      </c>
    </row>
    <row r="868" spans="10:16" x14ac:dyDescent="0.2">
      <c r="J868" s="258">
        <v>44011</v>
      </c>
      <c r="K868" s="257">
        <v>0.89093999999999995</v>
      </c>
      <c r="L868" s="257">
        <v>0.89371999999999996</v>
      </c>
      <c r="M868" s="257">
        <v>0.88470000000000004</v>
      </c>
      <c r="N868" s="257">
        <v>0.88888900000000004</v>
      </c>
      <c r="O868" s="257">
        <v>0.88888900000000004</v>
      </c>
      <c r="P868" s="257">
        <v>0</v>
      </c>
    </row>
    <row r="869" spans="10:16" x14ac:dyDescent="0.2">
      <c r="J869" s="258">
        <v>44018</v>
      </c>
      <c r="K869" s="257">
        <v>0.88897999999999999</v>
      </c>
      <c r="L869" s="257">
        <v>0.88897999999999999</v>
      </c>
      <c r="M869" s="257">
        <v>0.87929999999999997</v>
      </c>
      <c r="N869" s="257">
        <v>0.88495599999999996</v>
      </c>
      <c r="O869" s="257">
        <v>0.88495599999999996</v>
      </c>
      <c r="P869" s="257">
        <v>0</v>
      </c>
    </row>
    <row r="870" spans="10:16" x14ac:dyDescent="0.2">
      <c r="J870" s="258">
        <v>44025</v>
      </c>
      <c r="K870" s="257">
        <v>0.88427</v>
      </c>
      <c r="L870" s="257">
        <v>0.88460000000000005</v>
      </c>
      <c r="M870" s="257">
        <v>0.87313399999999997</v>
      </c>
      <c r="N870" s="257">
        <v>0.87481399999999998</v>
      </c>
      <c r="O870" s="257">
        <v>0.87481399999999998</v>
      </c>
      <c r="P870" s="257">
        <v>0</v>
      </c>
    </row>
    <row r="871" spans="10:16" x14ac:dyDescent="0.2">
      <c r="J871" s="258">
        <v>44032</v>
      </c>
      <c r="K871" s="257">
        <v>0.87416000000000005</v>
      </c>
      <c r="L871" s="257">
        <v>0.87678999999999996</v>
      </c>
      <c r="M871" s="257">
        <v>0.85777999999999999</v>
      </c>
      <c r="N871" s="257">
        <v>0.85788299999999995</v>
      </c>
      <c r="O871" s="257">
        <v>0.85788299999999995</v>
      </c>
      <c r="P871" s="257">
        <v>0</v>
      </c>
    </row>
    <row r="872" spans="10:16" x14ac:dyDescent="0.2">
      <c r="J872" s="258">
        <v>44039</v>
      </c>
      <c r="K872" s="257">
        <v>0.85818000000000005</v>
      </c>
      <c r="L872" s="257">
        <v>0.85818000000000005</v>
      </c>
      <c r="M872" s="257">
        <v>0.83977199999999996</v>
      </c>
      <c r="N872" s="257">
        <v>0.84889599999999998</v>
      </c>
      <c r="O872" s="257">
        <v>0.84889599999999998</v>
      </c>
      <c r="P872" s="257">
        <v>0</v>
      </c>
    </row>
    <row r="873" spans="10:16" x14ac:dyDescent="0.2">
      <c r="J873" s="258">
        <v>44046</v>
      </c>
      <c r="K873" s="257">
        <v>0.84860000000000002</v>
      </c>
      <c r="L873" s="257">
        <v>0.85460000000000003</v>
      </c>
      <c r="M873" s="257">
        <v>0.83950000000000002</v>
      </c>
      <c r="N873" s="257">
        <v>0.84816199999999997</v>
      </c>
      <c r="O873" s="257">
        <v>0.84816199999999997</v>
      </c>
      <c r="P873" s="257">
        <v>0</v>
      </c>
    </row>
    <row r="874" spans="10:16" x14ac:dyDescent="0.2">
      <c r="J874" s="258">
        <v>44053</v>
      </c>
      <c r="K874" s="257">
        <v>0.84872000000000003</v>
      </c>
      <c r="L874" s="257">
        <v>0.85375000000000001</v>
      </c>
      <c r="M874" s="257">
        <v>0.84288600000000002</v>
      </c>
      <c r="N874" s="257">
        <v>0.84437399999999996</v>
      </c>
      <c r="O874" s="257">
        <v>0.84437399999999996</v>
      </c>
      <c r="P874" s="257">
        <v>0</v>
      </c>
    </row>
    <row r="875" spans="10:16" x14ac:dyDescent="0.2">
      <c r="J875" s="258">
        <v>44060</v>
      </c>
      <c r="K875" s="257">
        <v>0.84384999999999999</v>
      </c>
      <c r="L875" s="257">
        <v>0.85070900000000005</v>
      </c>
      <c r="M875" s="257">
        <v>0.83575999999999995</v>
      </c>
      <c r="N875" s="257">
        <v>0.84745800000000004</v>
      </c>
      <c r="O875" s="257">
        <v>0.84745800000000004</v>
      </c>
      <c r="P875" s="257">
        <v>0</v>
      </c>
    </row>
    <row r="876" spans="10:16" x14ac:dyDescent="0.2">
      <c r="J876" s="258">
        <v>44067</v>
      </c>
      <c r="K876" s="257">
        <v>0.84752000000000005</v>
      </c>
      <c r="L876" s="257">
        <v>0.84989000000000003</v>
      </c>
      <c r="M876" s="257">
        <v>0.83889999999999998</v>
      </c>
      <c r="N876" s="257">
        <v>0.83977199999999996</v>
      </c>
      <c r="O876" s="257">
        <v>0.83977199999999996</v>
      </c>
      <c r="P876" s="257">
        <v>0</v>
      </c>
    </row>
    <row r="877" spans="10:16" x14ac:dyDescent="0.2">
      <c r="J877" s="258">
        <v>44074</v>
      </c>
      <c r="K877" s="257">
        <v>0.83916999999999997</v>
      </c>
      <c r="L877" s="257">
        <v>0.84877000000000002</v>
      </c>
      <c r="M877" s="257">
        <v>0.83255000000000001</v>
      </c>
      <c r="N877" s="257">
        <v>0.84467300000000001</v>
      </c>
      <c r="O877" s="257">
        <v>0.84467300000000001</v>
      </c>
      <c r="P877" s="257">
        <v>0</v>
      </c>
    </row>
    <row r="878" spans="10:16" x14ac:dyDescent="0.2">
      <c r="J878" s="258">
        <v>44081</v>
      </c>
      <c r="K878" s="257">
        <v>0.84484000000000004</v>
      </c>
      <c r="L878" s="257">
        <v>0.8508</v>
      </c>
      <c r="M878" s="257">
        <v>0.83930000000000005</v>
      </c>
      <c r="N878" s="257">
        <v>0.84395299999999995</v>
      </c>
      <c r="O878" s="257">
        <v>0.84395299999999995</v>
      </c>
      <c r="P878" s="257">
        <v>0</v>
      </c>
    </row>
    <row r="879" spans="10:16" x14ac:dyDescent="0.2">
      <c r="J879" s="258">
        <v>44088</v>
      </c>
      <c r="K879" s="257">
        <v>0.84433999999999998</v>
      </c>
      <c r="L879" s="257">
        <v>0.85167000000000004</v>
      </c>
      <c r="M879" s="257">
        <v>0.84026599999999996</v>
      </c>
      <c r="N879" s="257">
        <v>0.84455199999999997</v>
      </c>
      <c r="O879" s="257">
        <v>0.84455199999999997</v>
      </c>
      <c r="P879" s="257">
        <v>0</v>
      </c>
    </row>
    <row r="880" spans="10:16" x14ac:dyDescent="0.2">
      <c r="J880" s="258">
        <v>44095</v>
      </c>
      <c r="K880" s="257">
        <v>0.84419999999999995</v>
      </c>
      <c r="L880" s="257">
        <v>0.86107</v>
      </c>
      <c r="M880" s="257">
        <v>0.84224699999999997</v>
      </c>
      <c r="N880" s="257">
        <v>0.85962400000000005</v>
      </c>
      <c r="O880" s="257">
        <v>0.85962400000000005</v>
      </c>
      <c r="P880" s="257">
        <v>0</v>
      </c>
    </row>
    <row r="881" spans="10:16" x14ac:dyDescent="0.2">
      <c r="J881" s="258">
        <v>44102</v>
      </c>
      <c r="K881" s="257">
        <v>0.85946999999999996</v>
      </c>
      <c r="L881" s="257">
        <v>0.86082999999999998</v>
      </c>
      <c r="M881" s="257">
        <v>0.84983399999999998</v>
      </c>
      <c r="N881" s="257">
        <v>0.85341699999999998</v>
      </c>
      <c r="O881" s="257">
        <v>0.85341699999999998</v>
      </c>
      <c r="P881" s="257">
        <v>0</v>
      </c>
    </row>
    <row r="882" spans="10:16" x14ac:dyDescent="0.2">
      <c r="J882" s="258">
        <v>44109</v>
      </c>
      <c r="K882" s="257">
        <v>0.85309999999999997</v>
      </c>
      <c r="L882" s="257">
        <v>0.85329299999999997</v>
      </c>
      <c r="M882" s="257">
        <v>0.84517299999999995</v>
      </c>
      <c r="N882" s="257">
        <v>0.84517299999999995</v>
      </c>
      <c r="O882" s="257">
        <v>0.84517299999999995</v>
      </c>
      <c r="P882" s="257">
        <v>0</v>
      </c>
    </row>
    <row r="883" spans="10:16" x14ac:dyDescent="0.2">
      <c r="J883" s="258">
        <v>44116</v>
      </c>
      <c r="K883" s="257">
        <v>0.84650000000000003</v>
      </c>
      <c r="L883" s="257">
        <v>0.85541999999999996</v>
      </c>
      <c r="M883" s="257">
        <v>0.84550000000000003</v>
      </c>
      <c r="N883" s="257">
        <v>0.85324199999999994</v>
      </c>
      <c r="O883" s="257">
        <v>0.85324199999999994</v>
      </c>
      <c r="P883" s="257">
        <v>0</v>
      </c>
    </row>
    <row r="884" spans="10:16" x14ac:dyDescent="0.2">
      <c r="J884" s="258">
        <v>44123</v>
      </c>
      <c r="K884" s="257">
        <v>0.85355999999999999</v>
      </c>
      <c r="L884" s="257">
        <v>0.85433999999999999</v>
      </c>
      <c r="M884" s="257">
        <v>0.84160000000000001</v>
      </c>
      <c r="N884" s="257">
        <v>0.84288600000000002</v>
      </c>
      <c r="O884" s="257">
        <v>0.84288600000000002</v>
      </c>
      <c r="P884" s="257">
        <v>0</v>
      </c>
    </row>
    <row r="885" spans="10:16" x14ac:dyDescent="0.2">
      <c r="J885" s="258">
        <v>44130</v>
      </c>
      <c r="K885" s="257">
        <v>0.84399999999999997</v>
      </c>
      <c r="L885" s="257">
        <v>0.85887999999999998</v>
      </c>
      <c r="M885" s="257">
        <v>0.84380999999999995</v>
      </c>
      <c r="N885" s="257">
        <v>0.85623800000000005</v>
      </c>
      <c r="O885" s="257">
        <v>0.85623800000000005</v>
      </c>
      <c r="P885" s="257">
        <v>0</v>
      </c>
    </row>
    <row r="886" spans="10:16" x14ac:dyDescent="0.2">
      <c r="J886" s="258">
        <v>44137</v>
      </c>
      <c r="K886" s="257">
        <v>0.85892000000000002</v>
      </c>
      <c r="L886" s="257">
        <v>0.86150000000000004</v>
      </c>
      <c r="M886" s="257">
        <v>0.84099999999999997</v>
      </c>
      <c r="N886" s="257">
        <v>0.84213400000000005</v>
      </c>
      <c r="O886" s="257">
        <v>0.84213400000000005</v>
      </c>
      <c r="P886" s="257">
        <v>0</v>
      </c>
    </row>
    <row r="887" spans="10:16" x14ac:dyDescent="0.2">
      <c r="J887" s="258">
        <v>44144</v>
      </c>
      <c r="K887" s="257">
        <v>0.84082000000000001</v>
      </c>
      <c r="L887" s="257">
        <v>0.85126000000000002</v>
      </c>
      <c r="M887" s="257">
        <v>0.83897999999999995</v>
      </c>
      <c r="N887" s="257">
        <v>0.84470900000000004</v>
      </c>
      <c r="O887" s="257">
        <v>0.84470900000000004</v>
      </c>
      <c r="P887" s="257">
        <v>0</v>
      </c>
    </row>
    <row r="888" spans="10:16" x14ac:dyDescent="0.2">
      <c r="J888" s="258">
        <v>44151</v>
      </c>
      <c r="K888" s="257">
        <v>0.84428999999999998</v>
      </c>
      <c r="L888" s="257">
        <v>0.84640000000000004</v>
      </c>
      <c r="M888" s="257">
        <v>0.84084999999999999</v>
      </c>
      <c r="N888" s="257">
        <v>0.843391</v>
      </c>
      <c r="O888" s="257">
        <v>0.843391</v>
      </c>
      <c r="P888" s="257">
        <v>0</v>
      </c>
    </row>
    <row r="889" spans="10:16" x14ac:dyDescent="0.2">
      <c r="J889" s="258">
        <v>44158</v>
      </c>
      <c r="K889" s="257">
        <v>0.84279000000000004</v>
      </c>
      <c r="L889" s="257">
        <v>0.84723000000000004</v>
      </c>
      <c r="M889" s="257">
        <v>0.83581300000000003</v>
      </c>
      <c r="N889" s="257">
        <v>0.83581300000000003</v>
      </c>
      <c r="O889" s="257">
        <v>0.83581300000000003</v>
      </c>
      <c r="P889" s="257">
        <v>0</v>
      </c>
    </row>
    <row r="890" spans="10:16" x14ac:dyDescent="0.2">
      <c r="J890" s="258">
        <v>44165</v>
      </c>
      <c r="K890" s="257">
        <v>0.83536999999999995</v>
      </c>
      <c r="L890" s="257">
        <v>0.83780200000000005</v>
      </c>
      <c r="M890" s="257">
        <v>0.82116999999999996</v>
      </c>
      <c r="N890" s="257">
        <v>0.82478300000000004</v>
      </c>
      <c r="O890" s="257">
        <v>0.82478300000000004</v>
      </c>
      <c r="P890" s="257">
        <v>0</v>
      </c>
    </row>
    <row r="891" spans="10:16" x14ac:dyDescent="0.2">
      <c r="J891" s="258">
        <v>44172</v>
      </c>
      <c r="K891" s="257">
        <v>0.82504</v>
      </c>
      <c r="L891" s="257">
        <v>0.82823000000000002</v>
      </c>
      <c r="M891" s="257">
        <v>0.82210000000000005</v>
      </c>
      <c r="N891" s="257">
        <v>0.82559300000000002</v>
      </c>
      <c r="O891" s="257">
        <v>0.82559300000000002</v>
      </c>
      <c r="P891" s="257">
        <v>0</v>
      </c>
    </row>
    <row r="892" spans="10:16" x14ac:dyDescent="0.2">
      <c r="J892" s="258">
        <v>44179</v>
      </c>
      <c r="K892" s="257">
        <v>0.82416</v>
      </c>
      <c r="L892" s="257">
        <v>0.82525000000000004</v>
      </c>
      <c r="M892" s="257">
        <v>0.81510000000000005</v>
      </c>
      <c r="N892" s="257">
        <v>0.81572699999999998</v>
      </c>
      <c r="O892" s="257">
        <v>0.81572699999999998</v>
      </c>
      <c r="P892" s="257">
        <v>0</v>
      </c>
    </row>
    <row r="893" spans="10:16" x14ac:dyDescent="0.2">
      <c r="J893" s="258">
        <v>44186</v>
      </c>
      <c r="K893" s="257">
        <v>0.81896000000000002</v>
      </c>
      <c r="L893" s="257">
        <v>0.82435000000000003</v>
      </c>
      <c r="M893" s="257">
        <v>0.81400099999999997</v>
      </c>
      <c r="N893" s="257">
        <v>0.81400099999999997</v>
      </c>
      <c r="O893" s="257">
        <v>0.81400099999999997</v>
      </c>
      <c r="P893" s="257">
        <v>0</v>
      </c>
    </row>
    <row r="894" spans="10:16" x14ac:dyDescent="0.2">
      <c r="J894" s="258">
        <v>44193</v>
      </c>
      <c r="K894" s="257">
        <v>0.81920000000000004</v>
      </c>
      <c r="L894" s="257">
        <v>0.82406299999999999</v>
      </c>
      <c r="M894" s="257">
        <v>0.81237999999999999</v>
      </c>
      <c r="N894" s="257">
        <v>0.82372299999999998</v>
      </c>
      <c r="O894" s="257">
        <v>0.82372299999999998</v>
      </c>
      <c r="P894" s="257">
        <v>0</v>
      </c>
    </row>
    <row r="895" spans="10:16" x14ac:dyDescent="0.2">
      <c r="J895" s="258">
        <v>44200</v>
      </c>
      <c r="K895" s="257">
        <v>0.81638999999999995</v>
      </c>
      <c r="L895" s="257">
        <v>0.8216</v>
      </c>
      <c r="M895" s="257">
        <v>0.80969999999999998</v>
      </c>
      <c r="N895" s="257">
        <v>0.81766099999999997</v>
      </c>
      <c r="O895" s="257">
        <v>0.81766099999999997</v>
      </c>
      <c r="P895" s="257">
        <v>0</v>
      </c>
    </row>
    <row r="896" spans="10:16" x14ac:dyDescent="0.2">
      <c r="J896" s="258">
        <v>44207</v>
      </c>
      <c r="K896" s="257">
        <v>0.82049000000000005</v>
      </c>
      <c r="L896" s="257">
        <v>0.82811599999999996</v>
      </c>
      <c r="M896" s="257">
        <v>0.81799999999999995</v>
      </c>
      <c r="N896" s="257">
        <v>0.82774599999999998</v>
      </c>
      <c r="O896" s="257">
        <v>0.82774599999999998</v>
      </c>
      <c r="P896" s="257">
        <v>0</v>
      </c>
    </row>
    <row r="897" spans="10:16" x14ac:dyDescent="0.2">
      <c r="J897" s="258">
        <v>44214</v>
      </c>
      <c r="K897" s="257">
        <v>0.82869000000000004</v>
      </c>
      <c r="L897" s="257">
        <v>0.82950000000000002</v>
      </c>
      <c r="M897" s="257">
        <v>0.82047899999999996</v>
      </c>
      <c r="N897" s="257">
        <v>0.82128800000000002</v>
      </c>
      <c r="O897" s="257">
        <v>0.82128800000000002</v>
      </c>
      <c r="P897" s="257">
        <v>0</v>
      </c>
    </row>
    <row r="898" spans="10:16" x14ac:dyDescent="0.2">
      <c r="J898" s="258">
        <v>44221</v>
      </c>
      <c r="K898" s="257">
        <v>0.82179000000000002</v>
      </c>
      <c r="L898" s="257">
        <v>0.82904999999999995</v>
      </c>
      <c r="M898" s="257">
        <v>0.82061399999999995</v>
      </c>
      <c r="N898" s="257">
        <v>0.82379100000000005</v>
      </c>
      <c r="O898" s="257">
        <v>0.82379100000000005</v>
      </c>
      <c r="P898" s="257">
        <v>0</v>
      </c>
    </row>
    <row r="899" spans="10:16" x14ac:dyDescent="0.2">
      <c r="J899" s="258">
        <v>44228</v>
      </c>
      <c r="K899" s="257">
        <v>0.82489000000000001</v>
      </c>
      <c r="L899" s="257">
        <v>0.83657000000000004</v>
      </c>
      <c r="M899" s="257">
        <v>0.82399</v>
      </c>
      <c r="N899" s="257">
        <v>0.82991000000000004</v>
      </c>
      <c r="O899" s="257">
        <v>0.82991000000000004</v>
      </c>
      <c r="P899" s="257">
        <v>0</v>
      </c>
    </row>
    <row r="900" spans="10:16" x14ac:dyDescent="0.2">
      <c r="J900" s="258">
        <v>44235</v>
      </c>
      <c r="K900" s="257">
        <v>0.82991999999999999</v>
      </c>
      <c r="L900" s="257">
        <v>0.83184999999999998</v>
      </c>
      <c r="M900" s="257">
        <v>0.82297799999999999</v>
      </c>
      <c r="N900" s="257">
        <v>0.82494599999999996</v>
      </c>
      <c r="O900" s="257">
        <v>0.82494599999999996</v>
      </c>
      <c r="P900" s="257">
        <v>0</v>
      </c>
    </row>
    <row r="901" spans="10:16" x14ac:dyDescent="0.2">
      <c r="J901" s="258">
        <v>44242</v>
      </c>
      <c r="K901" s="257">
        <v>0.82501000000000002</v>
      </c>
      <c r="L901" s="257">
        <v>0.83155999999999997</v>
      </c>
      <c r="M901" s="257">
        <v>0.82162500000000005</v>
      </c>
      <c r="N901" s="257">
        <v>0.82516400000000001</v>
      </c>
      <c r="O901" s="257">
        <v>0.82516400000000001</v>
      </c>
      <c r="P901" s="257">
        <v>0</v>
      </c>
    </row>
    <row r="902" spans="10:16" x14ac:dyDescent="0.2">
      <c r="J902" s="258">
        <v>44249</v>
      </c>
      <c r="K902" s="257">
        <v>0.82477999999999996</v>
      </c>
      <c r="L902" s="257">
        <v>0.82825300000000002</v>
      </c>
      <c r="M902" s="257">
        <v>0.81689000000000001</v>
      </c>
      <c r="N902" s="257">
        <v>0.82825300000000002</v>
      </c>
      <c r="O902" s="257">
        <v>0.82825300000000002</v>
      </c>
      <c r="P902" s="257">
        <v>0</v>
      </c>
    </row>
    <row r="903" spans="10:16" x14ac:dyDescent="0.2">
      <c r="J903" s="258">
        <v>44256</v>
      </c>
      <c r="K903" s="257">
        <v>0.82706800000000003</v>
      </c>
      <c r="L903" s="257">
        <v>0.84048</v>
      </c>
      <c r="M903" s="257">
        <v>0.82572999999999996</v>
      </c>
      <c r="N903" s="257">
        <v>0.83909500000000004</v>
      </c>
      <c r="O903" s="257">
        <v>0.83909500000000004</v>
      </c>
      <c r="P903" s="257">
        <v>0</v>
      </c>
    </row>
    <row r="904" spans="10:16" x14ac:dyDescent="0.2">
      <c r="J904" s="258">
        <v>44263</v>
      </c>
      <c r="K904" s="257">
        <v>0.83860000000000001</v>
      </c>
      <c r="L904" s="257">
        <v>0.84487000000000001</v>
      </c>
      <c r="M904" s="257">
        <v>0.83399999999999996</v>
      </c>
      <c r="N904" s="257">
        <v>0.83648400000000001</v>
      </c>
      <c r="O904" s="257">
        <v>0.83648400000000001</v>
      </c>
      <c r="P904" s="257">
        <v>0</v>
      </c>
    </row>
    <row r="905" spans="10:16" x14ac:dyDescent="0.2">
      <c r="J905" s="258">
        <v>44270</v>
      </c>
      <c r="K905" s="257">
        <v>0.83674000000000004</v>
      </c>
      <c r="L905" s="257">
        <v>0.84211000000000003</v>
      </c>
      <c r="M905" s="257">
        <v>0.83395900000000001</v>
      </c>
      <c r="N905" s="257">
        <v>0.83682000000000001</v>
      </c>
      <c r="O905" s="257">
        <v>0.83682000000000001</v>
      </c>
      <c r="P905" s="257">
        <v>0</v>
      </c>
    </row>
    <row r="906" spans="10:16" x14ac:dyDescent="0.2">
      <c r="J906" s="258">
        <v>44277</v>
      </c>
      <c r="K906" s="257">
        <v>0.84143000000000001</v>
      </c>
      <c r="L906" s="257">
        <v>0.84943000000000002</v>
      </c>
      <c r="M906" s="257">
        <v>0.83730000000000004</v>
      </c>
      <c r="N906" s="257">
        <v>0.84559399999999996</v>
      </c>
      <c r="O906" s="257">
        <v>0.84559399999999996</v>
      </c>
      <c r="P906" s="257">
        <v>0</v>
      </c>
    </row>
    <row r="907" spans="10:16" x14ac:dyDescent="0.2">
      <c r="J907" s="258">
        <v>44284</v>
      </c>
      <c r="K907" s="257">
        <v>0.84834900000000002</v>
      </c>
      <c r="L907" s="257">
        <v>0.85436999999999996</v>
      </c>
      <c r="M907" s="257">
        <v>0.84792000000000001</v>
      </c>
      <c r="N907" s="257">
        <v>0.85031800000000002</v>
      </c>
      <c r="O907" s="257">
        <v>0.85031800000000002</v>
      </c>
      <c r="P907" s="257">
        <v>0</v>
      </c>
    </row>
    <row r="908" spans="10:16" x14ac:dyDescent="0.2">
      <c r="J908" s="258">
        <v>44291</v>
      </c>
      <c r="K908" s="257">
        <v>0.84987999999999997</v>
      </c>
      <c r="L908" s="257">
        <v>0.85182999999999998</v>
      </c>
      <c r="M908" s="257">
        <v>0.8387</v>
      </c>
      <c r="N908" s="257">
        <v>0.84020899999999998</v>
      </c>
      <c r="O908" s="257">
        <v>0.84020899999999998</v>
      </c>
      <c r="P908" s="257">
        <v>0</v>
      </c>
    </row>
    <row r="909" spans="10:16" x14ac:dyDescent="0.2">
      <c r="J909" s="258">
        <v>44298</v>
      </c>
      <c r="K909" s="257">
        <v>0.84058999999999995</v>
      </c>
      <c r="L909" s="257">
        <v>0.84221999999999997</v>
      </c>
      <c r="M909" s="257">
        <v>0.8337</v>
      </c>
      <c r="N909" s="257">
        <v>0.83456399999999997</v>
      </c>
      <c r="O909" s="257">
        <v>0.83456399999999997</v>
      </c>
      <c r="P909" s="257">
        <v>0</v>
      </c>
    </row>
    <row r="910" spans="10:16" x14ac:dyDescent="0.2">
      <c r="J910" s="258">
        <v>44305</v>
      </c>
      <c r="K910" s="257">
        <v>0.83553999999999995</v>
      </c>
      <c r="L910" s="257">
        <v>0.83728000000000002</v>
      </c>
      <c r="M910" s="257">
        <v>0.82644600000000001</v>
      </c>
      <c r="N910" s="257">
        <v>0.82661700000000005</v>
      </c>
      <c r="O910" s="257">
        <v>0.82661700000000005</v>
      </c>
      <c r="P910" s="257">
        <v>0</v>
      </c>
    </row>
    <row r="911" spans="10:16" x14ac:dyDescent="0.2">
      <c r="J911" s="258">
        <v>44312</v>
      </c>
      <c r="K911" s="257">
        <v>0.82716000000000001</v>
      </c>
      <c r="L911" s="257">
        <v>0.83190500000000001</v>
      </c>
      <c r="M911" s="257">
        <v>0.82289999999999996</v>
      </c>
      <c r="N911" s="257">
        <v>0.83190500000000001</v>
      </c>
      <c r="O911" s="257">
        <v>0.83190500000000001</v>
      </c>
      <c r="P911" s="257">
        <v>0</v>
      </c>
    </row>
    <row r="912" spans="10:16" x14ac:dyDescent="0.2">
      <c r="J912" s="258">
        <v>44319</v>
      </c>
      <c r="K912" s="257">
        <v>0.83150000000000002</v>
      </c>
      <c r="L912" s="257">
        <v>0.83421999999999996</v>
      </c>
      <c r="M912" s="257">
        <v>0.82169300000000001</v>
      </c>
      <c r="N912" s="257">
        <v>0.82210499999999997</v>
      </c>
      <c r="O912" s="257">
        <v>0.82210499999999997</v>
      </c>
      <c r="P912" s="257">
        <v>0</v>
      </c>
    </row>
    <row r="913" spans="10:16" x14ac:dyDescent="0.2">
      <c r="J913" s="258">
        <v>44326</v>
      </c>
      <c r="K913" s="257">
        <v>0.82186000000000003</v>
      </c>
      <c r="L913" s="257">
        <v>0.82965999999999995</v>
      </c>
      <c r="M913" s="257">
        <v>0.82103999999999999</v>
      </c>
      <c r="N913" s="257">
        <v>0.82330300000000001</v>
      </c>
      <c r="O913" s="257">
        <v>0.82330300000000001</v>
      </c>
      <c r="P913" s="257">
        <v>0</v>
      </c>
    </row>
    <row r="914" spans="10:16" x14ac:dyDescent="0.2">
      <c r="J914" s="258">
        <v>44333</v>
      </c>
      <c r="K914" s="257">
        <v>0.82321</v>
      </c>
      <c r="L914" s="257">
        <v>0.82457000000000003</v>
      </c>
      <c r="M914" s="257">
        <v>0.81645999999999996</v>
      </c>
      <c r="N914" s="257">
        <v>0.82091000000000003</v>
      </c>
      <c r="O914" s="257">
        <v>0.82091000000000003</v>
      </c>
      <c r="P914" s="257">
        <v>0</v>
      </c>
    </row>
    <row r="915" spans="10:16" x14ac:dyDescent="0.2">
      <c r="J915" s="258">
        <v>44340</v>
      </c>
      <c r="K915" s="257">
        <v>0.82094</v>
      </c>
      <c r="L915" s="257">
        <v>0.82416999999999996</v>
      </c>
      <c r="M915" s="257">
        <v>0.815195</v>
      </c>
      <c r="N915" s="257">
        <v>0.82014900000000002</v>
      </c>
      <c r="O915" s="257">
        <v>0.82014900000000002</v>
      </c>
      <c r="P915" s="257">
        <v>0</v>
      </c>
    </row>
    <row r="916" spans="10:16" x14ac:dyDescent="0.2">
      <c r="J916" s="258">
        <v>44347</v>
      </c>
      <c r="K916" s="257">
        <v>0.82033999999999996</v>
      </c>
      <c r="L916" s="257">
        <v>0.82606999999999997</v>
      </c>
      <c r="M916" s="257">
        <v>0.81605000000000005</v>
      </c>
      <c r="N916" s="257">
        <v>0.82190200000000002</v>
      </c>
      <c r="O916" s="257">
        <v>0.82190200000000002</v>
      </c>
      <c r="P916" s="257">
        <v>0</v>
      </c>
    </row>
    <row r="917" spans="10:16" x14ac:dyDescent="0.2">
      <c r="J917" s="258">
        <v>44354</v>
      </c>
      <c r="K917" s="257">
        <v>0.82198000000000004</v>
      </c>
      <c r="L917" s="257">
        <v>0.82678799999999997</v>
      </c>
      <c r="M917" s="257">
        <v>0.81839799999999996</v>
      </c>
      <c r="N917" s="257">
        <v>0.82580500000000001</v>
      </c>
      <c r="O917" s="257">
        <v>0.82580500000000001</v>
      </c>
      <c r="P917" s="257">
        <v>0</v>
      </c>
    </row>
    <row r="918" spans="10:16" x14ac:dyDescent="0.2">
      <c r="J918" s="258">
        <v>44361</v>
      </c>
      <c r="K918" s="257">
        <v>0.82571000000000006</v>
      </c>
      <c r="L918" s="257">
        <v>0.84379999999999999</v>
      </c>
      <c r="M918" s="257">
        <v>0.82310000000000005</v>
      </c>
      <c r="N918" s="257">
        <v>0.84283600000000003</v>
      </c>
      <c r="O918" s="257">
        <v>0.84283600000000003</v>
      </c>
      <c r="P918" s="257">
        <v>0</v>
      </c>
    </row>
    <row r="919" spans="10:16" x14ac:dyDescent="0.2">
      <c r="J919" s="258">
        <v>44368</v>
      </c>
      <c r="K919" s="257">
        <v>0.84253</v>
      </c>
      <c r="L919" s="257">
        <v>0.84397</v>
      </c>
      <c r="M919" s="257">
        <v>0.83511000000000002</v>
      </c>
      <c r="N919" s="257">
        <v>0.83775200000000005</v>
      </c>
      <c r="O919" s="257">
        <v>0.83775200000000005</v>
      </c>
      <c r="P919" s="257">
        <v>0</v>
      </c>
    </row>
    <row r="920" spans="10:16" x14ac:dyDescent="0.2">
      <c r="J920" s="258">
        <v>44375</v>
      </c>
      <c r="K920" s="257">
        <v>0.83736999999999995</v>
      </c>
      <c r="L920" s="257">
        <v>0.84606999999999999</v>
      </c>
      <c r="M920" s="257">
        <v>0.83709999999999996</v>
      </c>
      <c r="N920" s="257">
        <v>0.84245999999999999</v>
      </c>
      <c r="O920" s="257">
        <v>0.84245999999999999</v>
      </c>
      <c r="P920" s="257">
        <v>0</v>
      </c>
    </row>
    <row r="921" spans="10:16" x14ac:dyDescent="0.2">
      <c r="J921" s="258">
        <v>44382</v>
      </c>
      <c r="K921" s="257">
        <v>0.84345999999999999</v>
      </c>
      <c r="L921" s="257">
        <v>0.84872000000000003</v>
      </c>
      <c r="M921" s="257">
        <v>0.84060000000000001</v>
      </c>
      <c r="N921" s="257">
        <v>0.841893</v>
      </c>
      <c r="O921" s="257">
        <v>0.841893</v>
      </c>
      <c r="P921" s="257">
        <v>0</v>
      </c>
    </row>
    <row r="922" spans="10:16" x14ac:dyDescent="0.2">
      <c r="J922" s="258">
        <v>44389</v>
      </c>
      <c r="K922" s="257">
        <v>0.84219999999999995</v>
      </c>
      <c r="L922" s="257">
        <v>0.84943000000000002</v>
      </c>
      <c r="M922" s="257">
        <v>0.84160000000000001</v>
      </c>
      <c r="N922" s="257">
        <v>0.84704100000000004</v>
      </c>
      <c r="O922" s="257">
        <v>0.84704100000000004</v>
      </c>
      <c r="P922" s="257">
        <v>0</v>
      </c>
    </row>
    <row r="923" spans="10:16" x14ac:dyDescent="0.2">
      <c r="J923" s="258">
        <v>44396</v>
      </c>
      <c r="K923" s="257">
        <v>0.84662999999999999</v>
      </c>
      <c r="L923" s="257">
        <v>0.8508</v>
      </c>
      <c r="M923" s="257">
        <v>0.84531999999999996</v>
      </c>
      <c r="N923" s="257">
        <v>0.84950199999999998</v>
      </c>
      <c r="O923" s="257">
        <v>0.84950199999999998</v>
      </c>
      <c r="P923" s="257">
        <v>0</v>
      </c>
    </row>
    <row r="924" spans="10:16" x14ac:dyDescent="0.2">
      <c r="J924" s="258">
        <v>44403</v>
      </c>
      <c r="K924" s="257">
        <v>0.84940000000000004</v>
      </c>
      <c r="L924" s="257">
        <v>0.85001000000000004</v>
      </c>
      <c r="M924" s="257">
        <v>0.83955999999999997</v>
      </c>
      <c r="N924" s="257">
        <v>0.84262999999999999</v>
      </c>
      <c r="O924" s="257">
        <v>0.84262999999999999</v>
      </c>
      <c r="P924" s="257">
        <v>0</v>
      </c>
    </row>
    <row r="925" spans="10:16" x14ac:dyDescent="0.2">
      <c r="J925" s="258">
        <v>44410</v>
      </c>
      <c r="K925" s="257">
        <v>0.84279000000000004</v>
      </c>
      <c r="L925" s="257">
        <v>0.85060000000000002</v>
      </c>
      <c r="M925" s="257">
        <v>0.84019500000000003</v>
      </c>
      <c r="N925" s="257">
        <v>0.85006499999999996</v>
      </c>
      <c r="O925" s="257">
        <v>0.85006499999999996</v>
      </c>
      <c r="P925" s="257">
        <v>0</v>
      </c>
    </row>
    <row r="926" spans="10:16" x14ac:dyDescent="0.2">
      <c r="J926" s="258">
        <v>44417</v>
      </c>
      <c r="K926" s="257">
        <v>0.85099999999999998</v>
      </c>
      <c r="L926" s="257">
        <v>0.85423000000000004</v>
      </c>
      <c r="M926" s="257">
        <v>0.84724200000000005</v>
      </c>
      <c r="N926" s="257">
        <v>0.84764399999999995</v>
      </c>
      <c r="O926" s="257">
        <v>0.84764399999999995</v>
      </c>
      <c r="P926" s="257">
        <v>0</v>
      </c>
    </row>
    <row r="927" spans="10:16" x14ac:dyDescent="0.2">
      <c r="J927" s="258">
        <v>44424</v>
      </c>
      <c r="K927" s="257">
        <v>0.84772000000000003</v>
      </c>
      <c r="L927" s="257">
        <v>0.85726999999999998</v>
      </c>
      <c r="M927" s="257">
        <v>0.84719999999999995</v>
      </c>
      <c r="N927" s="257">
        <v>0.85484700000000002</v>
      </c>
      <c r="O927" s="257">
        <v>0.85484700000000002</v>
      </c>
      <c r="P927" s="257">
        <v>0</v>
      </c>
    </row>
    <row r="928" spans="10:16" x14ac:dyDescent="0.2">
      <c r="J928" s="258">
        <v>44431</v>
      </c>
      <c r="K928" s="257">
        <v>0.85472000000000004</v>
      </c>
      <c r="L928" s="257">
        <v>0.85502199999999995</v>
      </c>
      <c r="M928" s="257">
        <v>0.84719999999999995</v>
      </c>
      <c r="N928" s="257">
        <v>0.84771600000000003</v>
      </c>
      <c r="O928" s="257">
        <v>0.84771600000000003</v>
      </c>
      <c r="P928" s="257">
        <v>0</v>
      </c>
    </row>
    <row r="929" spans="10:16" x14ac:dyDescent="0.2">
      <c r="J929" s="258">
        <v>44438</v>
      </c>
      <c r="K929" s="257">
        <v>0.84745999999999999</v>
      </c>
      <c r="L929" s="257">
        <v>0.84857000000000005</v>
      </c>
      <c r="M929" s="257">
        <v>0.83979999999999999</v>
      </c>
      <c r="N929" s="257">
        <v>0.84143199999999996</v>
      </c>
      <c r="O929" s="257">
        <v>0.84143199999999996</v>
      </c>
      <c r="P929" s="257">
        <v>0</v>
      </c>
    </row>
    <row r="930" spans="10:16" x14ac:dyDescent="0.2">
      <c r="J930" s="258">
        <v>44445</v>
      </c>
      <c r="K930" s="257">
        <v>0.84133000000000002</v>
      </c>
      <c r="L930" s="257">
        <v>0.84723000000000004</v>
      </c>
      <c r="M930" s="257">
        <v>0.84119999999999995</v>
      </c>
      <c r="N930" s="257">
        <v>0.84633199999999997</v>
      </c>
      <c r="O930" s="257">
        <v>0.84633199999999997</v>
      </c>
      <c r="P930" s="257">
        <v>0</v>
      </c>
    </row>
    <row r="931" spans="10:16" x14ac:dyDescent="0.2">
      <c r="J931" s="258">
        <v>44452</v>
      </c>
      <c r="K931" s="257">
        <v>0.84655999999999998</v>
      </c>
      <c r="L931" s="257">
        <v>0.85274000000000005</v>
      </c>
      <c r="M931" s="257">
        <v>0.84409599999999996</v>
      </c>
      <c r="N931" s="257">
        <v>0.85274000000000005</v>
      </c>
      <c r="O931" s="257">
        <v>0.85274000000000005</v>
      </c>
      <c r="P931" s="257">
        <v>0</v>
      </c>
    </row>
    <row r="932" spans="10:16" x14ac:dyDescent="0.2">
      <c r="J932" s="258">
        <v>44459</v>
      </c>
      <c r="K932" s="257">
        <v>0.85260000000000002</v>
      </c>
      <c r="L932" s="257">
        <v>0.85585699999999998</v>
      </c>
      <c r="M932" s="257">
        <v>0.85099100000000005</v>
      </c>
      <c r="N932" s="257">
        <v>0.85316199999999998</v>
      </c>
      <c r="O932" s="257">
        <v>0.85316199999999998</v>
      </c>
      <c r="P932" s="257">
        <v>0</v>
      </c>
    </row>
    <row r="933" spans="10:16" x14ac:dyDescent="0.2">
      <c r="J933" s="258">
        <v>44466</v>
      </c>
      <c r="K933" s="257">
        <v>0.85309000000000001</v>
      </c>
      <c r="L933" s="257">
        <v>0.86475999999999997</v>
      </c>
      <c r="M933" s="257">
        <v>0.85265999999999997</v>
      </c>
      <c r="N933" s="257">
        <v>0.86229999999999996</v>
      </c>
      <c r="O933" s="257">
        <v>0.86229999999999996</v>
      </c>
      <c r="P933" s="257">
        <v>0</v>
      </c>
    </row>
    <row r="934" spans="10:16" x14ac:dyDescent="0.2">
      <c r="J934" s="258">
        <v>44473</v>
      </c>
      <c r="K934" s="257">
        <v>0.86153000000000002</v>
      </c>
      <c r="L934" s="257">
        <v>0.86729000000000001</v>
      </c>
      <c r="M934" s="257">
        <v>0.85909999999999997</v>
      </c>
      <c r="N934" s="257">
        <v>0.86380000000000001</v>
      </c>
      <c r="O934" s="257">
        <v>0.86380000000000001</v>
      </c>
      <c r="P934" s="257">
        <v>0</v>
      </c>
    </row>
    <row r="935" spans="10:16" x14ac:dyDescent="0.2">
      <c r="J935" s="258">
        <v>44480</v>
      </c>
      <c r="K935" s="257">
        <v>0.86460999999999999</v>
      </c>
      <c r="L935" s="257">
        <v>0.86726000000000003</v>
      </c>
      <c r="M935" s="257">
        <v>0.86021499999999995</v>
      </c>
      <c r="N935" s="257">
        <v>0.86211000000000004</v>
      </c>
      <c r="O935" s="257">
        <v>0.86211000000000004</v>
      </c>
      <c r="P935" s="257">
        <v>0</v>
      </c>
    </row>
    <row r="936" spans="10:16" x14ac:dyDescent="0.2">
      <c r="J936" s="258">
        <v>44487</v>
      </c>
      <c r="K936" s="257">
        <v>0.86236999999999997</v>
      </c>
      <c r="L936" s="257">
        <v>0.86407999999999996</v>
      </c>
      <c r="M936" s="257">
        <v>0.85689800000000005</v>
      </c>
      <c r="N936" s="257">
        <v>0.85850000000000004</v>
      </c>
      <c r="O936" s="257">
        <v>0.85850000000000004</v>
      </c>
      <c r="P936" s="257">
        <v>0</v>
      </c>
    </row>
    <row r="937" spans="10:16" x14ac:dyDescent="0.2">
      <c r="J937" s="258">
        <v>44494</v>
      </c>
      <c r="K937" s="257">
        <v>0.85901000000000005</v>
      </c>
      <c r="L937" s="257">
        <v>0.86604999999999999</v>
      </c>
      <c r="M937" s="257">
        <v>0.85519999999999996</v>
      </c>
      <c r="N937" s="257">
        <v>0.86495</v>
      </c>
      <c r="O937" s="257">
        <v>0.86495</v>
      </c>
      <c r="P937" s="257">
        <v>0</v>
      </c>
    </row>
    <row r="938" spans="10:16" x14ac:dyDescent="0.2">
      <c r="J938" s="258">
        <v>44501</v>
      </c>
      <c r="K938" s="257">
        <v>0.86509999999999998</v>
      </c>
      <c r="L938" s="257">
        <v>0.86850000000000005</v>
      </c>
      <c r="M938" s="257">
        <v>0.86080000000000001</v>
      </c>
      <c r="N938" s="257">
        <v>0.86599999999999999</v>
      </c>
      <c r="O938" s="257">
        <v>0.86599999999999999</v>
      </c>
      <c r="P938" s="257">
        <v>0</v>
      </c>
    </row>
    <row r="939" spans="10:16" x14ac:dyDescent="0.2">
      <c r="J939" s="258">
        <v>44508</v>
      </c>
      <c r="K939" s="257">
        <v>0.86441999999999997</v>
      </c>
      <c r="L939" s="257">
        <v>0.87458000000000002</v>
      </c>
      <c r="M939" s="257">
        <v>0.86140000000000005</v>
      </c>
      <c r="N939" s="257">
        <v>0.87380000000000002</v>
      </c>
      <c r="O939" s="257">
        <v>0.87380000000000002</v>
      </c>
      <c r="P939" s="257">
        <v>0</v>
      </c>
    </row>
    <row r="940" spans="10:16" x14ac:dyDescent="0.2">
      <c r="J940" s="258">
        <v>44515</v>
      </c>
      <c r="K940" s="257">
        <v>0.87395</v>
      </c>
      <c r="L940" s="257">
        <v>0.88870000000000005</v>
      </c>
      <c r="M940" s="257">
        <v>0.87228000000000006</v>
      </c>
      <c r="N940" s="257">
        <v>0.88639999999999997</v>
      </c>
      <c r="O940" s="257">
        <v>0.88639999999999997</v>
      </c>
      <c r="P940" s="257">
        <v>0</v>
      </c>
    </row>
    <row r="941" spans="10:16" x14ac:dyDescent="0.2">
      <c r="J941" s="258">
        <v>44522</v>
      </c>
      <c r="K941" s="257">
        <v>0.88685999999999998</v>
      </c>
      <c r="L941" s="257">
        <v>0.89383000000000001</v>
      </c>
      <c r="M941" s="257">
        <v>0.88323600000000002</v>
      </c>
      <c r="N941" s="257">
        <v>0.88549</v>
      </c>
      <c r="O941" s="257">
        <v>0.88549</v>
      </c>
      <c r="P941" s="257">
        <v>0</v>
      </c>
    </row>
    <row r="942" spans="10:16" x14ac:dyDescent="0.2">
      <c r="J942" s="258">
        <v>44529</v>
      </c>
      <c r="K942" s="257">
        <v>0.88565000000000005</v>
      </c>
      <c r="L942" s="257">
        <v>0.88919999999999999</v>
      </c>
      <c r="M942" s="257">
        <v>0.87860000000000005</v>
      </c>
      <c r="N942" s="257">
        <v>0.88380000000000003</v>
      </c>
      <c r="O942" s="257">
        <v>0.88380000000000003</v>
      </c>
      <c r="P942" s="257">
        <v>0</v>
      </c>
    </row>
    <row r="943" spans="10:16" x14ac:dyDescent="0.2">
      <c r="J943" s="258">
        <v>44536</v>
      </c>
      <c r="K943" s="257">
        <v>0.88475000000000004</v>
      </c>
      <c r="L943" s="257">
        <v>0.89036999999999999</v>
      </c>
      <c r="M943" s="257">
        <v>0.88139999999999996</v>
      </c>
      <c r="N943" s="257">
        <v>0.88361999999999996</v>
      </c>
      <c r="O943" s="257">
        <v>0.88361999999999996</v>
      </c>
      <c r="P943" s="257">
        <v>0</v>
      </c>
    </row>
    <row r="944" spans="10:16" x14ac:dyDescent="0.2">
      <c r="J944" s="258">
        <v>44543</v>
      </c>
      <c r="K944" s="257">
        <v>0.88407999999999998</v>
      </c>
      <c r="L944" s="257">
        <v>0.88971</v>
      </c>
      <c r="M944" s="257">
        <v>0.88</v>
      </c>
      <c r="N944" s="257">
        <v>0.88971</v>
      </c>
      <c r="O944" s="257">
        <v>0.88971</v>
      </c>
      <c r="P944" s="257">
        <v>0</v>
      </c>
    </row>
    <row r="945" spans="10:16" x14ac:dyDescent="0.2">
      <c r="J945" s="258">
        <v>44550</v>
      </c>
      <c r="K945" s="257">
        <v>0.88948000000000005</v>
      </c>
      <c r="L945" s="257">
        <v>0.88988999999999996</v>
      </c>
      <c r="M945" s="257">
        <v>0.88139999999999996</v>
      </c>
      <c r="N945" s="257">
        <v>0.88170000000000004</v>
      </c>
      <c r="O945" s="257">
        <v>0.88170000000000004</v>
      </c>
      <c r="P945" s="257">
        <v>0</v>
      </c>
    </row>
    <row r="946" spans="10:16" x14ac:dyDescent="0.2">
      <c r="J946" s="258">
        <v>44557</v>
      </c>
      <c r="K946" s="257">
        <v>0.88309000000000004</v>
      </c>
      <c r="L946" s="257">
        <v>0.88688999999999996</v>
      </c>
      <c r="M946" s="257">
        <v>0.87880000000000003</v>
      </c>
      <c r="N946" s="257">
        <v>0.87909999999999999</v>
      </c>
      <c r="O946" s="257">
        <v>0.87909999999999999</v>
      </c>
      <c r="P946" s="257">
        <v>0</v>
      </c>
    </row>
    <row r="947" spans="10:16" x14ac:dyDescent="0.2">
      <c r="J947" s="258">
        <v>44564</v>
      </c>
      <c r="K947" s="257">
        <v>0.87921000000000005</v>
      </c>
      <c r="L947" s="257">
        <v>0.88704000000000005</v>
      </c>
      <c r="M947" s="257">
        <v>0.87905</v>
      </c>
      <c r="N947" s="257">
        <v>0.88</v>
      </c>
      <c r="O947" s="257">
        <v>0.88</v>
      </c>
      <c r="P947" s="257">
        <v>0</v>
      </c>
    </row>
    <row r="948" spans="10:16" x14ac:dyDescent="0.2">
      <c r="J948" s="258">
        <v>44571</v>
      </c>
      <c r="K948" s="257">
        <v>0.88078999999999996</v>
      </c>
      <c r="L948" s="257">
        <v>0.88587000000000005</v>
      </c>
      <c r="M948" s="257">
        <v>0.87080000000000002</v>
      </c>
      <c r="N948" s="257">
        <v>0.87592999999999999</v>
      </c>
      <c r="O948" s="257">
        <v>0.87592999999999999</v>
      </c>
      <c r="P948" s="257">
        <v>0</v>
      </c>
    </row>
    <row r="949" spans="10:16" x14ac:dyDescent="0.2">
      <c r="J949" s="258">
        <v>44578</v>
      </c>
      <c r="K949" s="257">
        <v>0.87626000000000004</v>
      </c>
      <c r="L949" s="257">
        <v>0.88478000000000001</v>
      </c>
      <c r="M949" s="257">
        <v>0.87453999999999998</v>
      </c>
      <c r="N949" s="257">
        <v>0.88144</v>
      </c>
      <c r="O949" s="257">
        <v>0.88144</v>
      </c>
      <c r="P949" s="257">
        <v>0</v>
      </c>
    </row>
    <row r="950" spans="10:16" x14ac:dyDescent="0.2">
      <c r="J950" s="258">
        <v>44585</v>
      </c>
      <c r="K950" s="257">
        <v>0.88175999999999999</v>
      </c>
      <c r="L950" s="257">
        <v>0.89900999999999998</v>
      </c>
      <c r="M950" s="257">
        <v>0.88175999999999999</v>
      </c>
      <c r="N950" s="257">
        <v>0.89700000000000002</v>
      </c>
      <c r="O950" s="257">
        <v>0.89700000000000002</v>
      </c>
      <c r="P950" s="257">
        <v>0</v>
      </c>
    </row>
    <row r="951" spans="10:16" x14ac:dyDescent="0.2">
      <c r="J951" s="258">
        <v>44592</v>
      </c>
      <c r="K951" s="257">
        <v>0.89675000000000005</v>
      </c>
      <c r="L951" s="257">
        <v>0.89725999999999995</v>
      </c>
      <c r="M951" s="257">
        <v>0.87080000000000002</v>
      </c>
      <c r="N951" s="257">
        <v>0.87329999999999997</v>
      </c>
      <c r="O951" s="257">
        <v>0.87329999999999997</v>
      </c>
      <c r="P951" s="257">
        <v>0</v>
      </c>
    </row>
    <row r="952" spans="10:16" x14ac:dyDescent="0.2">
      <c r="J952" s="258">
        <v>44599</v>
      </c>
      <c r="K952" s="257">
        <v>0.87300999999999995</v>
      </c>
      <c r="L952" s="257">
        <v>0.88100000000000001</v>
      </c>
      <c r="M952" s="257">
        <v>0.87</v>
      </c>
      <c r="N952" s="257">
        <v>0.88100000000000001</v>
      </c>
      <c r="O952" s="257">
        <v>0.88100000000000001</v>
      </c>
      <c r="P952" s="257">
        <v>0</v>
      </c>
    </row>
    <row r="953" spans="10:16" x14ac:dyDescent="0.2">
      <c r="J953" s="258">
        <v>44606</v>
      </c>
      <c r="K953" s="257">
        <v>0.87983</v>
      </c>
      <c r="L953" s="257">
        <v>0.88551999999999997</v>
      </c>
      <c r="M953" s="257">
        <v>0.87771999999999994</v>
      </c>
      <c r="N953" s="257">
        <v>0.8831</v>
      </c>
      <c r="O953" s="257">
        <v>0.8831</v>
      </c>
      <c r="P953" s="257">
        <v>0</v>
      </c>
    </row>
    <row r="954" spans="10:16" x14ac:dyDescent="0.2">
      <c r="J954" s="258">
        <v>44613</v>
      </c>
      <c r="K954" s="257">
        <v>0.88360000000000005</v>
      </c>
      <c r="L954" s="257">
        <v>0.90005000000000002</v>
      </c>
      <c r="M954" s="257">
        <v>0.87829999999999997</v>
      </c>
      <c r="N954" s="257">
        <v>0.88707000000000003</v>
      </c>
      <c r="O954" s="257">
        <v>0.88707000000000003</v>
      </c>
      <c r="P954" s="257">
        <v>0</v>
      </c>
    </row>
    <row r="955" spans="10:16" x14ac:dyDescent="0.2">
      <c r="J955" s="258">
        <v>44620</v>
      </c>
      <c r="K955" s="257">
        <v>0.89437</v>
      </c>
      <c r="L955" s="257">
        <v>0.91827000000000003</v>
      </c>
      <c r="M955" s="257">
        <v>0.88932</v>
      </c>
      <c r="N955" s="257">
        <v>0.91313999999999995</v>
      </c>
      <c r="O955" s="257">
        <v>0.91313999999999995</v>
      </c>
      <c r="P955" s="257">
        <v>0</v>
      </c>
    </row>
    <row r="956" spans="10:16" x14ac:dyDescent="0.2">
      <c r="J956" s="258">
        <v>44627</v>
      </c>
      <c r="K956" s="257">
        <v>0.91962999999999995</v>
      </c>
      <c r="L956" s="257">
        <v>0.92518999999999996</v>
      </c>
      <c r="M956" s="257">
        <v>0.89959</v>
      </c>
      <c r="N956" s="257">
        <v>0.91639000000000004</v>
      </c>
      <c r="O956" s="257">
        <v>0.91639000000000004</v>
      </c>
      <c r="P956" s="257">
        <v>0</v>
      </c>
    </row>
    <row r="957" spans="10:16" x14ac:dyDescent="0.2">
      <c r="J957" s="258">
        <v>44634</v>
      </c>
      <c r="K957" s="257">
        <v>0.91469999999999996</v>
      </c>
      <c r="L957" s="257">
        <v>0.91722000000000004</v>
      </c>
      <c r="M957" s="257">
        <v>0.89944999999999997</v>
      </c>
      <c r="N957" s="257">
        <v>0.90380000000000005</v>
      </c>
      <c r="O957" s="257">
        <v>0.90380000000000005</v>
      </c>
      <c r="P957" s="257">
        <v>0</v>
      </c>
    </row>
    <row r="958" spans="10:16" x14ac:dyDescent="0.2">
      <c r="J958" s="258">
        <v>44641</v>
      </c>
      <c r="K958" s="257">
        <v>0.90561999999999998</v>
      </c>
      <c r="L958" s="257">
        <v>0.91227999999999998</v>
      </c>
      <c r="M958" s="257">
        <v>0.90361000000000002</v>
      </c>
      <c r="N958" s="257">
        <v>0.9103</v>
      </c>
      <c r="O958" s="257">
        <v>0.9103</v>
      </c>
      <c r="P958" s="257">
        <v>0</v>
      </c>
    </row>
    <row r="959" spans="10:16" x14ac:dyDescent="0.2">
      <c r="J959" s="258">
        <v>44648</v>
      </c>
      <c r="K959" s="257">
        <v>0.91059000000000001</v>
      </c>
      <c r="L959" s="257">
        <v>0.91363000000000005</v>
      </c>
      <c r="M959" s="257">
        <v>0.89420999999999995</v>
      </c>
      <c r="N959" s="257">
        <v>0.90500000000000003</v>
      </c>
      <c r="O959" s="257">
        <v>0.90500000000000003</v>
      </c>
      <c r="P959" s="257">
        <v>0</v>
      </c>
    </row>
    <row r="960" spans="10:16" x14ac:dyDescent="0.2">
      <c r="J960" s="258">
        <v>44655</v>
      </c>
      <c r="K960" s="257">
        <v>0.9052</v>
      </c>
      <c r="L960" s="257">
        <v>0.92276999999999998</v>
      </c>
      <c r="M960" s="257">
        <v>0.90439999999999998</v>
      </c>
      <c r="N960" s="257">
        <v>0.91944000000000004</v>
      </c>
      <c r="O960" s="257">
        <v>0.91944000000000004</v>
      </c>
      <c r="P960" s="257">
        <v>0</v>
      </c>
    </row>
    <row r="961" spans="10:16" x14ac:dyDescent="0.2">
      <c r="J961" s="258">
        <v>44662</v>
      </c>
      <c r="K961" s="257">
        <v>0.91869999999999996</v>
      </c>
      <c r="L961" s="257">
        <v>0.92949000000000004</v>
      </c>
      <c r="M961" s="257">
        <v>0.91468000000000005</v>
      </c>
      <c r="N961" s="257">
        <v>0.92449999999999999</v>
      </c>
      <c r="O961" s="257">
        <v>0.92449999999999999</v>
      </c>
      <c r="P961" s="257">
        <v>0</v>
      </c>
    </row>
    <row r="962" spans="10:16" x14ac:dyDescent="0.2">
      <c r="J962" s="258">
        <v>44669</v>
      </c>
      <c r="K962" s="257">
        <v>0.92462</v>
      </c>
      <c r="L962" s="257">
        <v>0.92920000000000003</v>
      </c>
      <c r="M962" s="257">
        <v>0.91452</v>
      </c>
      <c r="N962" s="257">
        <v>0.92569999999999997</v>
      </c>
      <c r="O962" s="257">
        <v>0.92569999999999997</v>
      </c>
      <c r="P962" s="257">
        <v>0</v>
      </c>
    </row>
    <row r="963" spans="10:16" x14ac:dyDescent="0.2">
      <c r="J963" s="258">
        <v>44676</v>
      </c>
      <c r="K963" s="257">
        <v>0.92498000000000002</v>
      </c>
      <c r="L963" s="257">
        <v>0.95484999999999998</v>
      </c>
      <c r="M963" s="257">
        <v>0.92488000000000004</v>
      </c>
      <c r="N963" s="257">
        <v>0.94820000000000004</v>
      </c>
      <c r="O963" s="257">
        <v>0.94820000000000004</v>
      </c>
      <c r="P963" s="257">
        <v>0</v>
      </c>
    </row>
    <row r="964" spans="10:16" x14ac:dyDescent="0.2">
      <c r="J964" s="258">
        <v>44683</v>
      </c>
      <c r="K964" s="257">
        <v>0.94913000000000003</v>
      </c>
      <c r="L964" s="257">
        <v>0.95370999999999995</v>
      </c>
      <c r="M964" s="257">
        <v>0.93984999999999996</v>
      </c>
      <c r="N964" s="257">
        <v>0.94789999999999996</v>
      </c>
      <c r="O964" s="257">
        <v>0.94789999999999996</v>
      </c>
      <c r="P964" s="257">
        <v>0</v>
      </c>
    </row>
    <row r="965" spans="10:16" x14ac:dyDescent="0.2">
      <c r="J965" s="258">
        <v>44690</v>
      </c>
      <c r="K965" s="257">
        <v>0.94947000000000004</v>
      </c>
      <c r="L965" s="257">
        <v>0.96599999999999997</v>
      </c>
      <c r="M965" s="257">
        <v>0.94466000000000006</v>
      </c>
      <c r="N965" s="257">
        <v>0.96040000000000003</v>
      </c>
      <c r="O965" s="257">
        <v>0.96040000000000003</v>
      </c>
      <c r="P965" s="257">
        <v>0</v>
      </c>
    </row>
    <row r="966" spans="10:16" x14ac:dyDescent="0.2">
      <c r="J966" s="258">
        <v>44697</v>
      </c>
      <c r="K966" s="257">
        <v>0.96148</v>
      </c>
      <c r="L966" s="257">
        <v>0.96233999999999997</v>
      </c>
      <c r="M966" s="257">
        <v>0.94350000000000001</v>
      </c>
      <c r="N966" s="257">
        <v>0.9466</v>
      </c>
      <c r="O966" s="257">
        <v>0.9466</v>
      </c>
      <c r="P966" s="257">
        <v>0</v>
      </c>
    </row>
    <row r="967" spans="10:16" x14ac:dyDescent="0.2">
      <c r="J967" s="258">
        <v>44704</v>
      </c>
      <c r="K967" s="257">
        <v>0.94608999999999999</v>
      </c>
      <c r="L967" s="257">
        <v>0.94618999999999998</v>
      </c>
      <c r="M967" s="257">
        <v>0.92893000000000003</v>
      </c>
      <c r="N967" s="257">
        <v>0.93120000000000003</v>
      </c>
      <c r="O967" s="257">
        <v>0.93120000000000003</v>
      </c>
      <c r="P967" s="257">
        <v>0</v>
      </c>
    </row>
    <row r="968" spans="10:16" x14ac:dyDescent="0.2">
      <c r="J968" s="258">
        <v>44711</v>
      </c>
      <c r="K968" s="257">
        <v>0.93184</v>
      </c>
      <c r="L968" s="257">
        <v>0.94057999999999997</v>
      </c>
      <c r="M968" s="257">
        <v>0.92720000000000002</v>
      </c>
      <c r="N968" s="257">
        <v>0.93269999999999997</v>
      </c>
      <c r="O968" s="257">
        <v>0.93269999999999997</v>
      </c>
      <c r="P968" s="257">
        <v>0</v>
      </c>
    </row>
    <row r="969" spans="10:16" x14ac:dyDescent="0.2">
      <c r="J969" s="258">
        <v>44718</v>
      </c>
      <c r="K969" s="257">
        <v>0.93230999999999997</v>
      </c>
      <c r="L969" s="257">
        <v>0.95167999999999997</v>
      </c>
      <c r="M969" s="257">
        <v>0.92849999999999999</v>
      </c>
      <c r="N969" s="257">
        <v>0.95045000000000002</v>
      </c>
      <c r="O969" s="257">
        <v>0.95045000000000002</v>
      </c>
      <c r="P969" s="257">
        <v>0</v>
      </c>
    </row>
    <row r="970" spans="10:16" x14ac:dyDescent="0.2">
      <c r="J970" s="258">
        <v>44725</v>
      </c>
      <c r="K970" s="257">
        <v>0.95328999999999997</v>
      </c>
      <c r="L970" s="257">
        <v>0.96314999999999995</v>
      </c>
      <c r="M970" s="257">
        <v>0.94771000000000005</v>
      </c>
      <c r="N970" s="257">
        <v>0.95269999999999999</v>
      </c>
      <c r="O970" s="257">
        <v>0.95269999999999999</v>
      </c>
      <c r="P970" s="257">
        <v>0</v>
      </c>
    </row>
    <row r="971" spans="10:16" x14ac:dyDescent="0.2">
      <c r="J971" s="258">
        <v>44732</v>
      </c>
      <c r="K971" s="257">
        <v>0.95316000000000001</v>
      </c>
      <c r="L971" s="257">
        <v>0.95494000000000001</v>
      </c>
      <c r="M971" s="257">
        <v>0.94313999999999998</v>
      </c>
      <c r="N971" s="257">
        <v>0.94710000000000005</v>
      </c>
      <c r="O971" s="257">
        <v>0.94710000000000005</v>
      </c>
      <c r="P971" s="257">
        <v>0</v>
      </c>
    </row>
    <row r="972" spans="10:16" x14ac:dyDescent="0.2">
      <c r="J972" s="258">
        <v>44739</v>
      </c>
      <c r="K972" s="257">
        <v>0.94642000000000004</v>
      </c>
      <c r="L972" s="257">
        <v>0.96433000000000002</v>
      </c>
      <c r="M972" s="257">
        <v>0.94213000000000002</v>
      </c>
      <c r="N972" s="257">
        <v>0.95879999999999999</v>
      </c>
      <c r="O972" s="257">
        <v>0.95879999999999999</v>
      </c>
      <c r="P972" s="257">
        <v>0</v>
      </c>
    </row>
    <row r="973" spans="10:16" x14ac:dyDescent="0.2">
      <c r="J973" s="258">
        <v>44746</v>
      </c>
      <c r="K973" s="257">
        <v>0.95840999999999998</v>
      </c>
      <c r="L973" s="257">
        <v>0.99209000000000003</v>
      </c>
      <c r="M973" s="257">
        <v>0.95569999999999999</v>
      </c>
      <c r="N973" s="257">
        <v>0.98160000000000003</v>
      </c>
      <c r="O973" s="257">
        <v>0.98160000000000003</v>
      </c>
      <c r="P973" s="257">
        <v>0</v>
      </c>
    </row>
    <row r="974" spans="10:16" x14ac:dyDescent="0.2">
      <c r="J974" s="258">
        <v>44753</v>
      </c>
      <c r="K974" s="257">
        <v>0.98365999999999998</v>
      </c>
      <c r="L974" s="257">
        <v>1.0046600000000001</v>
      </c>
      <c r="M974" s="257">
        <v>0.98350000000000004</v>
      </c>
      <c r="N974" s="257">
        <v>0.99121000000000004</v>
      </c>
      <c r="O974" s="257">
        <v>0.99121000000000004</v>
      </c>
      <c r="P974" s="257">
        <v>0</v>
      </c>
    </row>
    <row r="975" spans="10:16" x14ac:dyDescent="0.2">
      <c r="J975" s="258">
        <v>44760</v>
      </c>
      <c r="K975" s="257">
        <v>0.99046000000000001</v>
      </c>
      <c r="L975" s="257">
        <v>0.99182999999999999</v>
      </c>
      <c r="M975" s="257">
        <v>0.97319999999999995</v>
      </c>
      <c r="N975" s="257">
        <v>0.97889999999999999</v>
      </c>
      <c r="O975" s="257">
        <v>0.97889999999999999</v>
      </c>
      <c r="P975" s="257">
        <v>0</v>
      </c>
    </row>
    <row r="976" spans="10:16" x14ac:dyDescent="0.2">
      <c r="J976" s="258">
        <v>44767</v>
      </c>
      <c r="K976" s="257">
        <v>0.98036999999999996</v>
      </c>
      <c r="L976" s="257">
        <v>0.98936999999999997</v>
      </c>
      <c r="M976" s="257">
        <v>0.97499999999999998</v>
      </c>
      <c r="N976" s="257">
        <v>0.9778</v>
      </c>
      <c r="O976" s="257">
        <v>0.9778</v>
      </c>
      <c r="P976" s="257">
        <v>0</v>
      </c>
    </row>
    <row r="977" spans="10:16" x14ac:dyDescent="0.2">
      <c r="J977" s="258">
        <v>44774</v>
      </c>
      <c r="K977" s="257">
        <v>0.97960000000000003</v>
      </c>
      <c r="L977" s="257">
        <v>0.98782999999999999</v>
      </c>
      <c r="M977" s="257">
        <v>0.97152000000000005</v>
      </c>
      <c r="N977" s="257">
        <v>0.98229999999999995</v>
      </c>
      <c r="O977" s="257">
        <v>0.98229999999999995</v>
      </c>
      <c r="P977" s="257">
        <v>0</v>
      </c>
    </row>
    <row r="978" spans="10:16" x14ac:dyDescent="0.2">
      <c r="J978" s="258">
        <v>44781</v>
      </c>
      <c r="K978" s="257">
        <v>0.98319999999999996</v>
      </c>
      <c r="L978" s="257">
        <v>0.98424999999999996</v>
      </c>
      <c r="M978" s="257">
        <v>0.96440000000000003</v>
      </c>
      <c r="N978" s="257">
        <v>0.97428999999999999</v>
      </c>
      <c r="O978" s="257">
        <v>0.97428999999999999</v>
      </c>
      <c r="P978" s="257">
        <v>0</v>
      </c>
    </row>
    <row r="979" spans="10:16" x14ac:dyDescent="0.2">
      <c r="J979" s="258">
        <v>44788</v>
      </c>
      <c r="K979" s="257">
        <v>0.97499999999999998</v>
      </c>
      <c r="L979" s="257">
        <v>0.99639</v>
      </c>
      <c r="M979" s="257">
        <v>0.97397999999999996</v>
      </c>
      <c r="N979" s="257">
        <v>0.99580000000000002</v>
      </c>
      <c r="O979" s="257">
        <v>0.99580000000000002</v>
      </c>
      <c r="P979" s="257">
        <v>0</v>
      </c>
    </row>
    <row r="980" spans="10:16" x14ac:dyDescent="0.2">
      <c r="J980" s="258">
        <v>44795</v>
      </c>
      <c r="K980" s="257">
        <v>0.99648999999999999</v>
      </c>
      <c r="L980" s="257">
        <v>1.0097799999999999</v>
      </c>
      <c r="M980" s="257">
        <v>0.99124999999999996</v>
      </c>
      <c r="N980" s="257">
        <v>1.0033000000000001</v>
      </c>
      <c r="O980" s="257">
        <v>1.0033000000000001</v>
      </c>
      <c r="P980" s="257">
        <v>0</v>
      </c>
    </row>
    <row r="981" spans="10:16" x14ac:dyDescent="0.2">
      <c r="J981" s="258">
        <v>44802</v>
      </c>
      <c r="K981" s="257">
        <v>1.00617</v>
      </c>
      <c r="L981" s="257">
        <v>1.00858</v>
      </c>
      <c r="M981" s="257">
        <v>0.99231999999999998</v>
      </c>
      <c r="N981" s="257">
        <v>1.0041</v>
      </c>
      <c r="O981" s="257">
        <v>1.0041</v>
      </c>
      <c r="P981" s="257">
        <v>0</v>
      </c>
    </row>
    <row r="982" spans="10:16" x14ac:dyDescent="0.2">
      <c r="J982" s="258">
        <v>44809</v>
      </c>
      <c r="K982" s="257">
        <v>1.0091399999999999</v>
      </c>
      <c r="L982" s="257">
        <v>1.0136700000000001</v>
      </c>
      <c r="M982" s="257">
        <v>0.98470000000000002</v>
      </c>
      <c r="N982" s="257">
        <v>0.98470000000000002</v>
      </c>
      <c r="O982" s="257">
        <v>0.98470000000000002</v>
      </c>
      <c r="P982" s="257">
        <v>0</v>
      </c>
    </row>
    <row r="983" spans="10:16" x14ac:dyDescent="0.2">
      <c r="J983" s="258">
        <v>44816</v>
      </c>
      <c r="K983" s="257">
        <v>0.99290999999999996</v>
      </c>
      <c r="L983" s="257">
        <v>1.00545</v>
      </c>
      <c r="M983" s="257">
        <v>0.98070000000000002</v>
      </c>
      <c r="N983" s="257">
        <v>0.99843999999999999</v>
      </c>
      <c r="O983" s="257">
        <v>0.99843999999999999</v>
      </c>
      <c r="P983" s="257">
        <v>0</v>
      </c>
    </row>
    <row r="984" spans="10:16" x14ac:dyDescent="0.2">
      <c r="J984" s="258">
        <v>44823</v>
      </c>
      <c r="K984" s="257">
        <v>0.99777000000000005</v>
      </c>
      <c r="L984" s="257">
        <v>1.0319</v>
      </c>
      <c r="M984" s="257">
        <v>0.995</v>
      </c>
      <c r="N984" s="257">
        <v>1.0319</v>
      </c>
      <c r="O984" s="257">
        <v>1.0319</v>
      </c>
      <c r="P984" s="257">
        <v>0</v>
      </c>
    </row>
    <row r="985" spans="10:16" x14ac:dyDescent="0.2">
      <c r="J985" s="258">
        <v>44830</v>
      </c>
      <c r="K985" s="257">
        <v>1.032</v>
      </c>
      <c r="L985" s="257">
        <v>1.0482</v>
      </c>
      <c r="M985" s="257">
        <v>1.0152300000000001</v>
      </c>
      <c r="N985" s="257">
        <v>1.0199</v>
      </c>
      <c r="O985" s="257">
        <v>1.0199</v>
      </c>
      <c r="P985" s="257">
        <v>0</v>
      </c>
    </row>
    <row r="986" spans="10:16" x14ac:dyDescent="0.2">
      <c r="J986" s="258">
        <v>44837</v>
      </c>
      <c r="K986" s="257">
        <v>1.0211699999999999</v>
      </c>
      <c r="L986" s="257">
        <v>1.0252600000000001</v>
      </c>
      <c r="M986" s="257">
        <v>1.00058</v>
      </c>
      <c r="N986" s="257">
        <v>1.0015700000000001</v>
      </c>
      <c r="O986" s="257">
        <v>1.0015700000000001</v>
      </c>
      <c r="P986" s="257">
        <v>0</v>
      </c>
    </row>
    <row r="987" spans="10:16" x14ac:dyDescent="0.2">
      <c r="J987" s="258">
        <v>44841</v>
      </c>
      <c r="K987" s="257">
        <v>1.0208999999999999</v>
      </c>
      <c r="L987" s="257">
        <v>1.0273000000000001</v>
      </c>
      <c r="M987" s="257">
        <v>1.0185</v>
      </c>
      <c r="N987" s="257">
        <v>1.0225</v>
      </c>
      <c r="O987" s="257">
        <v>1.0225</v>
      </c>
      <c r="P987" s="257">
        <v>0</v>
      </c>
    </row>
  </sheetData>
  <mergeCells count="2">
    <mergeCell ref="A1:G1"/>
    <mergeCell ref="J1:P1"/>
  </mergeCells>
  <hyperlinks>
    <hyperlink ref="T1" r:id="rId1" xr:uid="{3EEFB498-789B-4635-B0B7-74D2BC9A9D56}"/>
  </hyperlinks>
  <pageMargins left="0.511811024" right="0.511811024" top="0.78740157499999996" bottom="0.78740157499999996" header="0.31496062000000002" footer="0.31496062000000002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2C283-399D-4810-B505-29BA630284D4}">
  <sheetPr>
    <tabColor theme="7" tint="0.79998168889431442"/>
  </sheetPr>
  <dimension ref="A1:R458"/>
  <sheetViews>
    <sheetView topLeftCell="A423" workbookViewId="0">
      <selection activeCell="M459" sqref="M459"/>
    </sheetView>
  </sheetViews>
  <sheetFormatPr baseColWidth="10" defaultColWidth="9.1640625" defaultRowHeight="15" x14ac:dyDescent="0.2"/>
  <cols>
    <col min="1" max="1" width="7.33203125" style="61" customWidth="1"/>
    <col min="2" max="2" width="13.83203125" style="61" bestFit="1" customWidth="1"/>
    <col min="3" max="3" width="13.83203125" style="61" customWidth="1"/>
    <col min="4" max="4" width="7.33203125" style="61" bestFit="1" customWidth="1"/>
    <col min="5" max="5" width="7" style="61" bestFit="1" customWidth="1"/>
    <col min="6" max="6" width="8.83203125" style="61" bestFit="1" customWidth="1"/>
    <col min="7" max="7" width="8" style="61" bestFit="1" customWidth="1"/>
    <col min="8" max="8" width="7.5" style="61" bestFit="1" customWidth="1"/>
    <col min="9" max="9" width="9.33203125" style="261" bestFit="1" customWidth="1"/>
    <col min="10" max="10" width="21.5" style="61" bestFit="1" customWidth="1"/>
    <col min="11" max="11" width="15.5" style="45" bestFit="1" customWidth="1"/>
    <col min="12" max="12" width="15.5" style="45" customWidth="1"/>
    <col min="13" max="14" width="15.5" style="281" customWidth="1"/>
    <col min="15" max="15" width="15.5" style="45" customWidth="1"/>
    <col min="16" max="16" width="14.1640625" style="45" customWidth="1"/>
    <col min="17" max="16384" width="9.1640625" style="45"/>
  </cols>
  <sheetData>
    <row r="1" spans="1:18" x14ac:dyDescent="0.2">
      <c r="A1" s="291"/>
      <c r="B1" s="60" t="s">
        <v>634</v>
      </c>
      <c r="C1" s="265"/>
      <c r="D1" s="528" t="s">
        <v>102</v>
      </c>
      <c r="E1" s="528"/>
      <c r="F1" s="528"/>
      <c r="G1" s="528"/>
      <c r="H1" s="528"/>
      <c r="I1" s="528"/>
      <c r="J1" s="49" t="s">
        <v>638</v>
      </c>
      <c r="K1" s="276"/>
      <c r="L1" s="276"/>
      <c r="M1" s="276"/>
      <c r="N1" s="276"/>
      <c r="O1" s="276"/>
      <c r="P1" s="286"/>
      <c r="Q1" s="55" t="s">
        <v>61</v>
      </c>
      <c r="R1" s="54" t="s">
        <v>631</v>
      </c>
    </row>
    <row r="2" spans="1:18" x14ac:dyDescent="0.2">
      <c r="A2" s="62"/>
      <c r="B2" s="62" t="s">
        <v>632</v>
      </c>
      <c r="D2" s="62" t="s">
        <v>104</v>
      </c>
      <c r="E2" s="62" t="s">
        <v>105</v>
      </c>
      <c r="F2" s="62" t="s">
        <v>106</v>
      </c>
      <c r="G2" s="62" t="s">
        <v>107</v>
      </c>
      <c r="H2" s="62" t="s">
        <v>108</v>
      </c>
      <c r="I2" s="260" t="s">
        <v>109</v>
      </c>
      <c r="R2" s="54" t="s">
        <v>618</v>
      </c>
    </row>
    <row r="3" spans="1:18" x14ac:dyDescent="0.2">
      <c r="A3" s="288">
        <v>1962</v>
      </c>
      <c r="B3" s="62">
        <v>3.95</v>
      </c>
      <c r="D3" s="63">
        <v>31048</v>
      </c>
      <c r="E3" s="62">
        <v>11.7</v>
      </c>
      <c r="F3" s="62">
        <v>11.7</v>
      </c>
      <c r="G3" s="62">
        <v>11.06</v>
      </c>
      <c r="H3" s="62">
        <v>11.17</v>
      </c>
      <c r="I3" s="260">
        <v>11.17</v>
      </c>
      <c r="J3" s="262"/>
      <c r="L3" s="280"/>
      <c r="M3" s="282"/>
      <c r="P3" s="281"/>
    </row>
    <row r="4" spans="1:18" x14ac:dyDescent="0.2">
      <c r="A4" s="288">
        <v>1963</v>
      </c>
      <c r="B4" s="62">
        <v>4</v>
      </c>
      <c r="D4" s="63">
        <v>31079</v>
      </c>
      <c r="E4" s="62">
        <v>11.29</v>
      </c>
      <c r="F4" s="62">
        <v>11.91</v>
      </c>
      <c r="G4" s="62">
        <v>11.29</v>
      </c>
      <c r="H4" s="62">
        <v>11.91</v>
      </c>
      <c r="I4" s="260">
        <v>11.91</v>
      </c>
      <c r="J4" s="262"/>
      <c r="K4" s="279"/>
      <c r="L4" s="280"/>
      <c r="M4" s="283"/>
      <c r="N4" s="285"/>
      <c r="O4" s="284"/>
      <c r="P4" s="287"/>
    </row>
    <row r="5" spans="1:18" x14ac:dyDescent="0.2">
      <c r="A5" s="288">
        <v>1964</v>
      </c>
      <c r="B5" s="62">
        <v>4.1900000000000004</v>
      </c>
      <c r="D5" s="63">
        <v>31107</v>
      </c>
      <c r="E5" s="62">
        <v>11.86</v>
      </c>
      <c r="F5" s="62">
        <v>12.02</v>
      </c>
      <c r="G5" s="62">
        <v>11.65</v>
      </c>
      <c r="H5" s="62">
        <v>11.65</v>
      </c>
      <c r="I5" s="260">
        <v>11.65</v>
      </c>
      <c r="J5" s="262"/>
      <c r="L5" s="280"/>
      <c r="M5" s="283"/>
      <c r="N5" s="285"/>
      <c r="O5" s="284"/>
      <c r="P5" s="287"/>
    </row>
    <row r="6" spans="1:18" x14ac:dyDescent="0.2">
      <c r="A6" s="288">
        <v>1965</v>
      </c>
      <c r="B6" s="62">
        <v>4.28</v>
      </c>
      <c r="D6" s="63">
        <v>31138</v>
      </c>
      <c r="E6" s="62">
        <v>11.66</v>
      </c>
      <c r="F6" s="62">
        <v>11.77</v>
      </c>
      <c r="G6" s="62">
        <v>11.13</v>
      </c>
      <c r="H6" s="62">
        <v>11.41</v>
      </c>
      <c r="I6" s="260">
        <v>11.41</v>
      </c>
      <c r="J6" s="262"/>
      <c r="L6" s="280"/>
      <c r="M6" s="283"/>
      <c r="N6" s="285"/>
      <c r="O6" s="284"/>
      <c r="P6" s="287"/>
    </row>
    <row r="7" spans="1:18" x14ac:dyDescent="0.2">
      <c r="A7" s="288">
        <v>1966</v>
      </c>
      <c r="B7" s="62">
        <v>4.93</v>
      </c>
      <c r="D7" s="63">
        <v>31168</v>
      </c>
      <c r="E7" s="62">
        <v>11.27</v>
      </c>
      <c r="F7" s="62">
        <v>11.29</v>
      </c>
      <c r="G7" s="62">
        <v>10.28</v>
      </c>
      <c r="H7" s="62">
        <v>10.28</v>
      </c>
      <c r="I7" s="260">
        <v>10.28</v>
      </c>
      <c r="J7" s="262"/>
      <c r="L7" s="280"/>
      <c r="M7" s="283"/>
      <c r="N7" s="285"/>
      <c r="O7" s="284"/>
      <c r="P7" s="287"/>
    </row>
    <row r="8" spans="1:18" x14ac:dyDescent="0.2">
      <c r="A8" s="288">
        <v>1967</v>
      </c>
      <c r="B8" s="62">
        <v>5.07</v>
      </c>
      <c r="D8" s="63">
        <v>31199</v>
      </c>
      <c r="E8" s="62">
        <v>10.050000000000001</v>
      </c>
      <c r="F8" s="62">
        <v>10.54</v>
      </c>
      <c r="G8" s="62">
        <v>9.83</v>
      </c>
      <c r="H8" s="62">
        <v>10.25</v>
      </c>
      <c r="I8" s="260">
        <v>10.25</v>
      </c>
      <c r="J8" s="262"/>
      <c r="L8" s="280"/>
      <c r="M8" s="283"/>
      <c r="N8" s="285"/>
      <c r="O8" s="284"/>
      <c r="P8" s="287"/>
    </row>
    <row r="9" spans="1:18" x14ac:dyDescent="0.2">
      <c r="A9" s="288">
        <v>1968</v>
      </c>
      <c r="B9" s="62">
        <v>5.64</v>
      </c>
      <c r="D9" s="63">
        <v>31229</v>
      </c>
      <c r="E9" s="62">
        <v>10.19</v>
      </c>
      <c r="F9" s="62">
        <v>10.67</v>
      </c>
      <c r="G9" s="62">
        <v>9.93</v>
      </c>
      <c r="H9" s="62">
        <v>10.57</v>
      </c>
      <c r="I9" s="260">
        <v>10.57</v>
      </c>
      <c r="J9" s="262"/>
      <c r="L9" s="280"/>
      <c r="M9" s="283"/>
      <c r="N9" s="285"/>
      <c r="O9" s="284"/>
      <c r="P9" s="287"/>
    </row>
    <row r="10" spans="1:18" x14ac:dyDescent="0.2">
      <c r="A10" s="288">
        <v>1969</v>
      </c>
      <c r="B10" s="62">
        <v>6.67</v>
      </c>
      <c r="D10" s="63">
        <v>31260</v>
      </c>
      <c r="E10" s="62">
        <v>10.51</v>
      </c>
      <c r="F10" s="62">
        <v>10.66</v>
      </c>
      <c r="G10" s="62">
        <v>10.1</v>
      </c>
      <c r="H10" s="62">
        <v>10.28</v>
      </c>
      <c r="I10" s="260">
        <v>10.28</v>
      </c>
      <c r="J10" s="262"/>
      <c r="L10" s="280"/>
      <c r="M10" s="283"/>
      <c r="N10" s="285"/>
      <c r="O10" s="284"/>
      <c r="P10" s="287"/>
    </row>
    <row r="11" spans="1:18" x14ac:dyDescent="0.2">
      <c r="A11" s="288">
        <v>1970</v>
      </c>
      <c r="B11" s="62">
        <v>7.35</v>
      </c>
      <c r="D11" s="63">
        <v>31291</v>
      </c>
      <c r="E11" s="62">
        <v>10.24</v>
      </c>
      <c r="F11" s="62">
        <v>10.52</v>
      </c>
      <c r="G11" s="62">
        <v>10.16</v>
      </c>
      <c r="H11" s="62">
        <v>10.31</v>
      </c>
      <c r="I11" s="260">
        <v>10.31</v>
      </c>
      <c r="J11" s="262"/>
      <c r="L11" s="280"/>
      <c r="M11" s="283"/>
      <c r="N11" s="285"/>
      <c r="O11" s="284"/>
      <c r="P11" s="287"/>
    </row>
    <row r="12" spans="1:18" x14ac:dyDescent="0.2">
      <c r="A12" s="288">
        <v>1971</v>
      </c>
      <c r="B12" s="62">
        <v>6.16</v>
      </c>
      <c r="D12" s="63">
        <v>31321</v>
      </c>
      <c r="E12" s="62">
        <v>10.29</v>
      </c>
      <c r="F12" s="62">
        <v>10.42</v>
      </c>
      <c r="G12" s="62">
        <v>9.9700000000000006</v>
      </c>
      <c r="H12" s="62">
        <v>10.01</v>
      </c>
      <c r="I12" s="260">
        <v>10.01</v>
      </c>
      <c r="J12" s="262">
        <f t="shared" ref="J12:J75" si="0">AVERAGE(I1:I12)/100</f>
        <v>0.10784000000000002</v>
      </c>
      <c r="L12" s="280"/>
      <c r="M12" s="283"/>
      <c r="N12" s="285"/>
      <c r="O12" s="284"/>
      <c r="P12" s="287"/>
    </row>
    <row r="13" spans="1:18" x14ac:dyDescent="0.2">
      <c r="A13" s="288">
        <v>1972</v>
      </c>
      <c r="B13" s="62">
        <v>6.21</v>
      </c>
      <c r="D13" s="63">
        <v>31352</v>
      </c>
      <c r="E13" s="62">
        <v>9.98</v>
      </c>
      <c r="F13" s="62">
        <v>9.98</v>
      </c>
      <c r="G13" s="62">
        <v>9.58</v>
      </c>
      <c r="H13" s="62">
        <v>9.59</v>
      </c>
      <c r="I13" s="260">
        <v>9.59</v>
      </c>
      <c r="J13" s="262">
        <f t="shared" si="0"/>
        <v>0.10675454545454548</v>
      </c>
      <c r="L13" s="280"/>
      <c r="M13" s="283"/>
      <c r="N13" s="285"/>
      <c r="O13" s="284"/>
      <c r="P13" s="287"/>
    </row>
    <row r="14" spans="1:18" x14ac:dyDescent="0.2">
      <c r="A14" s="288">
        <v>1973</v>
      </c>
      <c r="B14" s="62">
        <v>6.85</v>
      </c>
      <c r="D14" s="63">
        <v>31382</v>
      </c>
      <c r="E14" s="62">
        <v>9.69</v>
      </c>
      <c r="F14" s="62">
        <v>9.69</v>
      </c>
      <c r="G14" s="62">
        <v>8.99</v>
      </c>
      <c r="H14" s="62">
        <v>9</v>
      </c>
      <c r="I14" s="260">
        <v>9</v>
      </c>
      <c r="J14" s="262">
        <f t="shared" si="0"/>
        <v>0.10535833333333335</v>
      </c>
      <c r="L14" s="280"/>
      <c r="M14" s="283"/>
      <c r="N14" s="285"/>
      <c r="O14" s="284"/>
      <c r="P14" s="287"/>
    </row>
    <row r="15" spans="1:18" x14ac:dyDescent="0.2">
      <c r="A15" s="288">
        <v>1974</v>
      </c>
      <c r="B15" s="62">
        <v>7.56</v>
      </c>
      <c r="D15" s="63">
        <v>31413</v>
      </c>
      <c r="E15" s="62">
        <v>9.0399999999999991</v>
      </c>
      <c r="F15" s="62">
        <v>9.49</v>
      </c>
      <c r="G15" s="62">
        <v>8.94</v>
      </c>
      <c r="H15" s="62">
        <v>9.08</v>
      </c>
      <c r="I15" s="260">
        <v>9.08</v>
      </c>
      <c r="J15" s="262">
        <f t="shared" si="0"/>
        <v>0.10361666666666666</v>
      </c>
      <c r="L15" s="280"/>
      <c r="M15" s="283"/>
      <c r="N15" s="285"/>
      <c r="O15" s="284"/>
      <c r="P15" s="287"/>
    </row>
    <row r="16" spans="1:18" x14ac:dyDescent="0.2">
      <c r="A16" s="288">
        <v>1975</v>
      </c>
      <c r="B16" s="62">
        <v>7.99</v>
      </c>
      <c r="D16" s="63">
        <v>31444</v>
      </c>
      <c r="E16" s="62">
        <v>9.02</v>
      </c>
      <c r="F16" s="62">
        <v>9.11</v>
      </c>
      <c r="G16" s="62">
        <v>8.1300000000000008</v>
      </c>
      <c r="H16" s="62">
        <v>8.1300000000000008</v>
      </c>
      <c r="I16" s="260">
        <v>8.1300000000000008</v>
      </c>
      <c r="J16" s="262">
        <f t="shared" si="0"/>
        <v>0.10046666666666666</v>
      </c>
      <c r="L16" s="280"/>
      <c r="M16" s="283"/>
      <c r="N16" s="285"/>
      <c r="O16" s="284"/>
      <c r="P16" s="287"/>
    </row>
    <row r="17" spans="1:16" x14ac:dyDescent="0.2">
      <c r="A17" s="288">
        <v>1976</v>
      </c>
      <c r="B17" s="62">
        <v>7.61</v>
      </c>
      <c r="D17" s="63">
        <v>31472</v>
      </c>
      <c r="E17" s="62">
        <v>7.99</v>
      </c>
      <c r="F17" s="62">
        <v>8.1199999999999992</v>
      </c>
      <c r="G17" s="62">
        <v>7.39</v>
      </c>
      <c r="H17" s="62">
        <v>7.39</v>
      </c>
      <c r="I17" s="260">
        <v>7.39</v>
      </c>
      <c r="J17" s="262">
        <f t="shared" si="0"/>
        <v>9.6916666666666665E-2</v>
      </c>
      <c r="L17" s="280"/>
      <c r="M17" s="283"/>
      <c r="N17" s="285"/>
      <c r="O17" s="284"/>
      <c r="P17" s="287"/>
    </row>
    <row r="18" spans="1:16" x14ac:dyDescent="0.2">
      <c r="A18" s="288">
        <v>1977</v>
      </c>
      <c r="B18" s="62">
        <v>7.42</v>
      </c>
      <c r="D18" s="63">
        <v>31503</v>
      </c>
      <c r="E18" s="62">
        <v>7.37</v>
      </c>
      <c r="F18" s="62">
        <v>7.58</v>
      </c>
      <c r="G18" s="62">
        <v>6.98</v>
      </c>
      <c r="H18" s="62">
        <v>7.38</v>
      </c>
      <c r="I18" s="260">
        <v>7.38</v>
      </c>
      <c r="J18" s="262">
        <f t="shared" si="0"/>
        <v>9.3558333333333327E-2</v>
      </c>
      <c r="L18" s="280"/>
      <c r="M18" s="283"/>
      <c r="N18" s="285"/>
      <c r="O18" s="284"/>
      <c r="P18" s="287"/>
    </row>
    <row r="19" spans="1:16" x14ac:dyDescent="0.2">
      <c r="A19" s="288">
        <v>1978</v>
      </c>
      <c r="B19" s="62">
        <v>8.41</v>
      </c>
      <c r="D19" s="63">
        <v>31533</v>
      </c>
      <c r="E19" s="62">
        <v>7.45</v>
      </c>
      <c r="F19" s="62">
        <v>8.0500000000000007</v>
      </c>
      <c r="G19" s="62">
        <v>7.4</v>
      </c>
      <c r="H19" s="62">
        <v>8.0500000000000007</v>
      </c>
      <c r="I19" s="260">
        <v>8.0500000000000007</v>
      </c>
      <c r="J19" s="262">
        <f t="shared" si="0"/>
        <v>9.1700000000000004E-2</v>
      </c>
      <c r="L19" s="280"/>
      <c r="M19" s="283"/>
      <c r="N19" s="285"/>
      <c r="O19" s="284"/>
      <c r="P19" s="287"/>
    </row>
    <row r="20" spans="1:16" x14ac:dyDescent="0.2">
      <c r="A20" s="288">
        <v>1979</v>
      </c>
      <c r="B20" s="62">
        <v>9.43</v>
      </c>
      <c r="D20" s="63">
        <v>31564</v>
      </c>
      <c r="E20" s="62">
        <v>8.32</v>
      </c>
      <c r="F20" s="62">
        <v>8.39</v>
      </c>
      <c r="G20" s="62">
        <v>7.35</v>
      </c>
      <c r="H20" s="62">
        <v>7.35</v>
      </c>
      <c r="I20" s="260">
        <v>7.35</v>
      </c>
      <c r="J20" s="262">
        <f t="shared" si="0"/>
        <v>8.9283333333333326E-2</v>
      </c>
      <c r="L20" s="280"/>
      <c r="M20" s="283"/>
      <c r="N20" s="285"/>
      <c r="O20" s="284"/>
      <c r="P20" s="287"/>
    </row>
    <row r="21" spans="1:16" x14ac:dyDescent="0.2">
      <c r="A21" s="288">
        <v>1980</v>
      </c>
      <c r="B21" s="62">
        <v>11.43</v>
      </c>
      <c r="D21" s="63">
        <v>31594</v>
      </c>
      <c r="E21" s="62">
        <v>7.37</v>
      </c>
      <c r="F21" s="62">
        <v>7.53</v>
      </c>
      <c r="G21" s="62">
        <v>7.14</v>
      </c>
      <c r="H21" s="62">
        <v>7.34</v>
      </c>
      <c r="I21" s="260">
        <v>7.34</v>
      </c>
      <c r="J21" s="262">
        <f t="shared" si="0"/>
        <v>8.6591666666666664E-2</v>
      </c>
      <c r="L21" s="280"/>
      <c r="M21" s="283"/>
      <c r="N21" s="285"/>
      <c r="O21" s="284"/>
      <c r="P21" s="287"/>
    </row>
    <row r="22" spans="1:16" x14ac:dyDescent="0.2">
      <c r="A22" s="288">
        <v>1981</v>
      </c>
      <c r="B22" s="62">
        <v>13.92</v>
      </c>
      <c r="D22" s="63">
        <v>31625</v>
      </c>
      <c r="E22" s="62">
        <v>7.34</v>
      </c>
      <c r="F22" s="62">
        <v>7.47</v>
      </c>
      <c r="G22" s="62">
        <v>6.95</v>
      </c>
      <c r="H22" s="62">
        <v>6.95</v>
      </c>
      <c r="I22" s="260">
        <v>6.95</v>
      </c>
      <c r="J22" s="262">
        <f t="shared" si="0"/>
        <v>8.3816666666666664E-2</v>
      </c>
      <c r="L22" s="280"/>
      <c r="M22" s="283"/>
      <c r="N22" s="285"/>
      <c r="O22" s="284"/>
      <c r="P22" s="287"/>
    </row>
    <row r="23" spans="1:16" x14ac:dyDescent="0.2">
      <c r="A23" s="288">
        <v>1982</v>
      </c>
      <c r="B23" s="62">
        <v>13.01</v>
      </c>
      <c r="D23" s="63">
        <v>31656</v>
      </c>
      <c r="E23" s="62">
        <v>7.03</v>
      </c>
      <c r="F23" s="62">
        <v>7.67</v>
      </c>
      <c r="G23" s="62">
        <v>7.03</v>
      </c>
      <c r="H23" s="62">
        <v>7.45</v>
      </c>
      <c r="I23" s="260">
        <v>7.45</v>
      </c>
      <c r="J23" s="262">
        <f t="shared" si="0"/>
        <v>8.1433333333333344E-2</v>
      </c>
      <c r="L23" s="280"/>
      <c r="M23" s="283"/>
      <c r="N23" s="285"/>
      <c r="O23" s="284"/>
      <c r="P23" s="287"/>
    </row>
    <row r="24" spans="1:16" x14ac:dyDescent="0.2">
      <c r="A24" s="288">
        <v>1983</v>
      </c>
      <c r="B24" s="62">
        <v>11.1</v>
      </c>
      <c r="D24" s="63">
        <v>31686</v>
      </c>
      <c r="E24" s="62">
        <v>7.41</v>
      </c>
      <c r="F24" s="62">
        <v>7.66</v>
      </c>
      <c r="G24" s="62">
        <v>7.28</v>
      </c>
      <c r="H24" s="62">
        <v>7.34</v>
      </c>
      <c r="I24" s="260">
        <v>7.34</v>
      </c>
      <c r="J24" s="262">
        <f t="shared" si="0"/>
        <v>7.9208333333333339E-2</v>
      </c>
      <c r="L24" s="280"/>
      <c r="M24" s="283"/>
      <c r="N24" s="285"/>
      <c r="O24" s="284"/>
      <c r="P24" s="287"/>
    </row>
    <row r="25" spans="1:16" x14ac:dyDescent="0.2">
      <c r="A25" s="288">
        <v>1984</v>
      </c>
      <c r="B25" s="62">
        <v>12.46</v>
      </c>
      <c r="D25" s="63">
        <v>31717</v>
      </c>
      <c r="E25" s="62">
        <v>7.29</v>
      </c>
      <c r="F25" s="62">
        <v>7.4</v>
      </c>
      <c r="G25" s="62">
        <v>7.11</v>
      </c>
      <c r="H25" s="62">
        <v>7.15</v>
      </c>
      <c r="I25" s="260">
        <v>7.15</v>
      </c>
      <c r="J25" s="262">
        <f t="shared" si="0"/>
        <v>7.7175000000000007E-2</v>
      </c>
      <c r="L25" s="280"/>
      <c r="M25" s="283"/>
      <c r="N25" s="285"/>
      <c r="O25" s="284"/>
      <c r="P25" s="287"/>
    </row>
    <row r="26" spans="1:16" x14ac:dyDescent="0.2">
      <c r="A26" s="288">
        <v>1985</v>
      </c>
      <c r="B26" s="62">
        <v>10.62</v>
      </c>
      <c r="D26" s="63">
        <v>31747</v>
      </c>
      <c r="E26" s="62">
        <v>7.18</v>
      </c>
      <c r="F26" s="62">
        <v>7.23</v>
      </c>
      <c r="G26" s="62">
        <v>7.01</v>
      </c>
      <c r="H26" s="62">
        <v>7.23</v>
      </c>
      <c r="I26" s="260">
        <v>7.23</v>
      </c>
      <c r="J26" s="262">
        <f t="shared" si="0"/>
        <v>7.5700000000000017E-2</v>
      </c>
      <c r="L26" s="280"/>
      <c r="M26" s="283"/>
      <c r="N26" s="285"/>
      <c r="O26" s="284"/>
      <c r="P26" s="287"/>
    </row>
    <row r="27" spans="1:16" x14ac:dyDescent="0.2">
      <c r="A27" s="288">
        <v>1986</v>
      </c>
      <c r="B27" s="62">
        <v>7.67</v>
      </c>
      <c r="D27" s="63">
        <v>31778</v>
      </c>
      <c r="E27" s="62">
        <v>7.18</v>
      </c>
      <c r="F27" s="62">
        <v>7.18</v>
      </c>
      <c r="G27" s="62">
        <v>7.01</v>
      </c>
      <c r="H27" s="62">
        <v>7.18</v>
      </c>
      <c r="I27" s="260">
        <v>7.18</v>
      </c>
      <c r="J27" s="262">
        <f t="shared" si="0"/>
        <v>7.4116666666666692E-2</v>
      </c>
      <c r="L27" s="280"/>
      <c r="M27" s="283"/>
      <c r="N27" s="285"/>
      <c r="O27" s="284"/>
      <c r="P27" s="287"/>
    </row>
    <row r="28" spans="1:16" x14ac:dyDescent="0.2">
      <c r="A28" s="288">
        <v>1987</v>
      </c>
      <c r="B28" s="62">
        <v>8.39</v>
      </c>
      <c r="D28" s="63">
        <v>31809</v>
      </c>
      <c r="E28" s="62">
        <v>7.23</v>
      </c>
      <c r="F28" s="62">
        <v>7.37</v>
      </c>
      <c r="G28" s="62">
        <v>7.18</v>
      </c>
      <c r="H28" s="62">
        <v>7.19</v>
      </c>
      <c r="I28" s="260">
        <v>7.19</v>
      </c>
      <c r="J28" s="262">
        <f t="shared" si="0"/>
        <v>7.3333333333333361E-2</v>
      </c>
      <c r="L28" s="280"/>
      <c r="M28" s="283"/>
      <c r="N28" s="285"/>
      <c r="O28" s="284"/>
      <c r="P28" s="287"/>
    </row>
    <row r="29" spans="1:16" x14ac:dyDescent="0.2">
      <c r="A29" s="288">
        <v>1988</v>
      </c>
      <c r="B29" s="62">
        <v>8.85</v>
      </c>
      <c r="D29" s="63">
        <v>31837</v>
      </c>
      <c r="E29" s="62">
        <v>7.17</v>
      </c>
      <c r="F29" s="62">
        <v>7.54</v>
      </c>
      <c r="G29" s="62">
        <v>7.14</v>
      </c>
      <c r="H29" s="62">
        <v>7.51</v>
      </c>
      <c r="I29" s="260">
        <v>7.51</v>
      </c>
      <c r="J29" s="262">
        <f t="shared" si="0"/>
        <v>7.3433333333333323E-2</v>
      </c>
      <c r="L29" s="280"/>
      <c r="M29" s="283"/>
      <c r="N29" s="285"/>
      <c r="O29" s="284"/>
      <c r="P29" s="287"/>
    </row>
    <row r="30" spans="1:16" x14ac:dyDescent="0.2">
      <c r="A30" s="288">
        <v>1989</v>
      </c>
      <c r="B30" s="62">
        <v>8.49</v>
      </c>
      <c r="D30" s="63">
        <v>31868</v>
      </c>
      <c r="E30" s="62">
        <v>7.59</v>
      </c>
      <c r="F30" s="62">
        <v>8.4700000000000006</v>
      </c>
      <c r="G30" s="62">
        <v>7.54</v>
      </c>
      <c r="H30" s="62">
        <v>8.2100000000000009</v>
      </c>
      <c r="I30" s="260">
        <v>8.2100000000000009</v>
      </c>
      <c r="J30" s="262">
        <f t="shared" si="0"/>
        <v>7.4124999999999983E-2</v>
      </c>
      <c r="L30" s="280"/>
      <c r="M30" s="283"/>
      <c r="N30" s="285"/>
      <c r="O30" s="284"/>
      <c r="P30" s="287"/>
    </row>
    <row r="31" spans="1:16" x14ac:dyDescent="0.2">
      <c r="A31" s="288">
        <v>1990</v>
      </c>
      <c r="B31" s="62">
        <v>8.5500000000000007</v>
      </c>
      <c r="D31" s="63">
        <v>31898</v>
      </c>
      <c r="E31" s="62">
        <v>8.39</v>
      </c>
      <c r="F31" s="62">
        <v>8.92</v>
      </c>
      <c r="G31" s="62">
        <v>8.39</v>
      </c>
      <c r="H31" s="62">
        <v>8.49</v>
      </c>
      <c r="I31" s="260">
        <v>8.49</v>
      </c>
      <c r="J31" s="262">
        <f t="shared" si="0"/>
        <v>7.4491666666666664E-2</v>
      </c>
      <c r="L31" s="280"/>
      <c r="M31" s="283"/>
      <c r="N31" s="285"/>
      <c r="O31" s="284"/>
      <c r="P31" s="287"/>
    </row>
    <row r="32" spans="1:16" x14ac:dyDescent="0.2">
      <c r="A32" s="288">
        <v>1991</v>
      </c>
      <c r="B32" s="62">
        <v>7.86</v>
      </c>
      <c r="D32" s="63">
        <v>31929</v>
      </c>
      <c r="E32" s="62">
        <v>8.4499999999999993</v>
      </c>
      <c r="F32" s="62">
        <v>8.7200000000000006</v>
      </c>
      <c r="G32" s="62">
        <v>8.23</v>
      </c>
      <c r="H32" s="62">
        <v>8.3800000000000008</v>
      </c>
      <c r="I32" s="260">
        <v>8.3800000000000008</v>
      </c>
      <c r="J32" s="262">
        <f t="shared" si="0"/>
        <v>7.5349999999999973E-2</v>
      </c>
      <c r="L32" s="280"/>
      <c r="M32" s="283"/>
      <c r="N32" s="285"/>
      <c r="O32" s="284"/>
      <c r="P32" s="287"/>
    </row>
    <row r="33" spans="1:16" x14ac:dyDescent="0.2">
      <c r="A33" s="288">
        <v>1992</v>
      </c>
      <c r="B33" s="62">
        <v>7.01</v>
      </c>
      <c r="D33" s="63">
        <v>31959</v>
      </c>
      <c r="E33" s="62">
        <v>8.36</v>
      </c>
      <c r="F33" s="62">
        <v>8.66</v>
      </c>
      <c r="G33" s="62">
        <v>8.2799999999999994</v>
      </c>
      <c r="H33" s="62">
        <v>8.66</v>
      </c>
      <c r="I33" s="260">
        <v>8.66</v>
      </c>
      <c r="J33" s="262">
        <f t="shared" si="0"/>
        <v>7.644999999999999E-2</v>
      </c>
      <c r="L33" s="280"/>
      <c r="M33" s="283"/>
      <c r="N33" s="285"/>
      <c r="O33" s="284"/>
      <c r="P33" s="287"/>
    </row>
    <row r="34" spans="1:16" x14ac:dyDescent="0.2">
      <c r="A34" s="288">
        <v>1993</v>
      </c>
      <c r="B34" s="62">
        <v>5.87</v>
      </c>
      <c r="D34" s="63">
        <v>31990</v>
      </c>
      <c r="E34" s="62">
        <v>8.81</v>
      </c>
      <c r="F34" s="62">
        <v>9.02</v>
      </c>
      <c r="G34" s="62">
        <v>8.56</v>
      </c>
      <c r="H34" s="62">
        <v>9</v>
      </c>
      <c r="I34" s="260">
        <v>9</v>
      </c>
      <c r="J34" s="262">
        <f t="shared" si="0"/>
        <v>7.8158333333333316E-2</v>
      </c>
      <c r="L34" s="280"/>
      <c r="M34" s="283"/>
      <c r="N34" s="285"/>
      <c r="O34" s="284"/>
      <c r="P34" s="287"/>
    </row>
    <row r="35" spans="1:16" x14ac:dyDescent="0.2">
      <c r="A35" s="288">
        <v>1994</v>
      </c>
      <c r="B35" s="62">
        <v>7.09</v>
      </c>
      <c r="D35" s="63">
        <v>32021</v>
      </c>
      <c r="E35" s="62">
        <v>9.0500000000000007</v>
      </c>
      <c r="F35" s="62">
        <v>9.64</v>
      </c>
      <c r="G35" s="62">
        <v>9.0500000000000007</v>
      </c>
      <c r="H35" s="62">
        <v>9.6300000000000008</v>
      </c>
      <c r="I35" s="260">
        <v>9.6300000000000008</v>
      </c>
      <c r="J35" s="262">
        <f t="shared" si="0"/>
        <v>7.9974999999999991E-2</v>
      </c>
      <c r="L35" s="280"/>
      <c r="M35" s="283"/>
      <c r="N35" s="285"/>
      <c r="O35" s="284"/>
      <c r="P35" s="287"/>
    </row>
    <row r="36" spans="1:16" x14ac:dyDescent="0.2">
      <c r="A36" s="288">
        <v>1995</v>
      </c>
      <c r="B36" s="62">
        <v>6.57</v>
      </c>
      <c r="D36" s="63">
        <v>32051</v>
      </c>
      <c r="E36" s="62">
        <v>9.66</v>
      </c>
      <c r="F36" s="62">
        <v>10.23</v>
      </c>
      <c r="G36" s="62">
        <v>8.8000000000000007</v>
      </c>
      <c r="H36" s="62">
        <v>8.8800000000000008</v>
      </c>
      <c r="I36" s="260">
        <v>8.8800000000000008</v>
      </c>
      <c r="J36" s="262">
        <f t="shared" si="0"/>
        <v>8.1258333333333349E-2</v>
      </c>
      <c r="L36" s="280"/>
      <c r="M36" s="283"/>
      <c r="N36" s="285"/>
      <c r="O36" s="284"/>
      <c r="P36" s="287"/>
    </row>
    <row r="37" spans="1:16" x14ac:dyDescent="0.2">
      <c r="A37" s="288">
        <v>1996</v>
      </c>
      <c r="B37" s="62">
        <v>6.44</v>
      </c>
      <c r="D37" s="63">
        <v>32082</v>
      </c>
      <c r="E37" s="62">
        <v>8.98</v>
      </c>
      <c r="F37" s="62">
        <v>9.11</v>
      </c>
      <c r="G37" s="62">
        <v>8.7200000000000006</v>
      </c>
      <c r="H37" s="62">
        <v>8.99</v>
      </c>
      <c r="I37" s="260">
        <v>8.99</v>
      </c>
      <c r="J37" s="262">
        <f t="shared" si="0"/>
        <v>8.2791666666666666E-2</v>
      </c>
      <c r="L37" s="280"/>
      <c r="M37" s="283"/>
      <c r="N37" s="285"/>
      <c r="O37" s="284"/>
      <c r="P37" s="287"/>
    </row>
    <row r="38" spans="1:16" x14ac:dyDescent="0.2">
      <c r="A38" s="288">
        <v>1997</v>
      </c>
      <c r="B38" s="62">
        <v>6.35</v>
      </c>
      <c r="D38" s="63">
        <v>32112</v>
      </c>
      <c r="E38" s="62">
        <v>9.01</v>
      </c>
      <c r="F38" s="62">
        <v>9.2799999999999994</v>
      </c>
      <c r="G38" s="62">
        <v>8.7799999999999994</v>
      </c>
      <c r="H38" s="62">
        <v>8.83</v>
      </c>
      <c r="I38" s="260">
        <v>8.83</v>
      </c>
      <c r="J38" s="262">
        <f t="shared" si="0"/>
        <v>8.4124999999999991E-2</v>
      </c>
      <c r="L38" s="280"/>
      <c r="M38" s="283"/>
      <c r="N38" s="285"/>
      <c r="O38" s="284"/>
      <c r="P38" s="287"/>
    </row>
    <row r="39" spans="1:16" x14ac:dyDescent="0.2">
      <c r="A39" s="288">
        <v>1998</v>
      </c>
      <c r="B39" s="62">
        <v>5.26</v>
      </c>
      <c r="D39" s="63">
        <v>32143</v>
      </c>
      <c r="E39" s="62">
        <v>8.83</v>
      </c>
      <c r="F39" s="62">
        <v>8.9700000000000006</v>
      </c>
      <c r="G39" s="62">
        <v>8.26</v>
      </c>
      <c r="H39" s="62">
        <v>8.26</v>
      </c>
      <c r="I39" s="260">
        <v>8.26</v>
      </c>
      <c r="J39" s="262">
        <f t="shared" si="0"/>
        <v>8.5024999999999989E-2</v>
      </c>
      <c r="L39" s="280"/>
      <c r="M39" s="283"/>
      <c r="N39" s="285"/>
      <c r="O39" s="284"/>
      <c r="P39" s="287"/>
    </row>
    <row r="40" spans="1:16" x14ac:dyDescent="0.2">
      <c r="A40" s="288">
        <v>1999</v>
      </c>
      <c r="B40" s="62">
        <v>5.65</v>
      </c>
      <c r="D40" s="63">
        <v>32174</v>
      </c>
      <c r="E40" s="62">
        <v>8.26</v>
      </c>
      <c r="F40" s="62">
        <v>8.32</v>
      </c>
      <c r="G40" s="62">
        <v>8.11</v>
      </c>
      <c r="H40" s="62">
        <v>8.16</v>
      </c>
      <c r="I40" s="260">
        <v>8.16</v>
      </c>
      <c r="J40" s="262">
        <f t="shared" si="0"/>
        <v>8.5833333333333345E-2</v>
      </c>
      <c r="L40" s="280"/>
      <c r="M40" s="283"/>
      <c r="N40" s="285"/>
      <c r="O40" s="284"/>
      <c r="P40" s="287"/>
    </row>
    <row r="41" spans="1:16" x14ac:dyDescent="0.2">
      <c r="A41" s="288">
        <v>2000</v>
      </c>
      <c r="B41" s="62">
        <v>6.03</v>
      </c>
      <c r="D41" s="63">
        <v>32203</v>
      </c>
      <c r="E41" s="62">
        <v>8.15</v>
      </c>
      <c r="F41" s="62">
        <v>8.58</v>
      </c>
      <c r="G41" s="62">
        <v>8.1199999999999992</v>
      </c>
      <c r="H41" s="62">
        <v>8.57</v>
      </c>
      <c r="I41" s="260">
        <v>8.57</v>
      </c>
      <c r="J41" s="262">
        <f t="shared" si="0"/>
        <v>8.6716666666666664E-2</v>
      </c>
      <c r="L41" s="280"/>
      <c r="M41" s="283"/>
      <c r="N41" s="285"/>
      <c r="O41" s="284"/>
      <c r="P41" s="287"/>
    </row>
    <row r="42" spans="1:16" x14ac:dyDescent="0.2">
      <c r="A42" s="288">
        <v>2001</v>
      </c>
      <c r="B42" s="62">
        <v>5.0199999999999996</v>
      </c>
      <c r="D42" s="63">
        <v>32234</v>
      </c>
      <c r="E42" s="62">
        <v>8.68</v>
      </c>
      <c r="F42" s="62">
        <v>8.8699999999999992</v>
      </c>
      <c r="G42" s="62">
        <v>8.52</v>
      </c>
      <c r="H42" s="62">
        <v>8.8699999999999992</v>
      </c>
      <c r="I42" s="260">
        <v>8.8699999999999992</v>
      </c>
      <c r="J42" s="262">
        <f t="shared" si="0"/>
        <v>8.7266666666666687E-2</v>
      </c>
      <c r="L42" s="280"/>
      <c r="M42" s="283"/>
      <c r="N42" s="285"/>
      <c r="O42" s="284"/>
      <c r="P42" s="287"/>
    </row>
    <row r="43" spans="1:16" x14ac:dyDescent="0.2">
      <c r="A43" s="288">
        <v>2002</v>
      </c>
      <c r="B43" s="62">
        <v>4.6100000000000003</v>
      </c>
      <c r="D43" s="63">
        <v>32264</v>
      </c>
      <c r="E43" s="62">
        <v>8.94</v>
      </c>
      <c r="F43" s="62">
        <v>9.24</v>
      </c>
      <c r="G43" s="62">
        <v>8.89</v>
      </c>
      <c r="H43" s="62">
        <v>9.1999999999999993</v>
      </c>
      <c r="I43" s="260">
        <v>9.1999999999999993</v>
      </c>
      <c r="J43" s="262">
        <f t="shared" si="0"/>
        <v>8.7858333333333344E-2</v>
      </c>
      <c r="L43" s="280"/>
      <c r="M43" s="283"/>
      <c r="N43" s="285"/>
      <c r="O43" s="284"/>
      <c r="P43" s="287"/>
    </row>
    <row r="44" spans="1:16" x14ac:dyDescent="0.2">
      <c r="A44" s="288">
        <v>2003</v>
      </c>
      <c r="B44" s="62">
        <v>4.01</v>
      </c>
      <c r="D44" s="63">
        <v>32295</v>
      </c>
      <c r="E44" s="62">
        <v>9.0299999999999994</v>
      </c>
      <c r="F44" s="62">
        <v>9.07</v>
      </c>
      <c r="G44" s="62">
        <v>8.69</v>
      </c>
      <c r="H44" s="62">
        <v>8.82</v>
      </c>
      <c r="I44" s="260">
        <v>8.82</v>
      </c>
      <c r="J44" s="262">
        <f t="shared" si="0"/>
        <v>8.8224999999999998E-2</v>
      </c>
      <c r="L44" s="280"/>
      <c r="M44" s="283"/>
      <c r="N44" s="285"/>
      <c r="O44" s="284"/>
      <c r="P44" s="287"/>
    </row>
    <row r="45" spans="1:16" x14ac:dyDescent="0.2">
      <c r="A45" s="288">
        <v>2004</v>
      </c>
      <c r="B45" s="62">
        <v>4.2699999999999996</v>
      </c>
      <c r="D45" s="63">
        <v>32325</v>
      </c>
      <c r="E45" s="62">
        <v>8.77</v>
      </c>
      <c r="F45" s="62">
        <v>9.16</v>
      </c>
      <c r="G45" s="62">
        <v>8.77</v>
      </c>
      <c r="H45" s="62">
        <v>9.1199999999999992</v>
      </c>
      <c r="I45" s="260">
        <v>9.1199999999999992</v>
      </c>
      <c r="J45" s="262">
        <f t="shared" si="0"/>
        <v>8.8608333333333344E-2</v>
      </c>
      <c r="L45" s="280"/>
      <c r="M45" s="283"/>
      <c r="N45" s="285"/>
      <c r="O45" s="284"/>
      <c r="P45" s="287"/>
    </row>
    <row r="46" spans="1:16" x14ac:dyDescent="0.2">
      <c r="A46" s="288">
        <v>2005</v>
      </c>
      <c r="B46" s="62">
        <v>4.29</v>
      </c>
      <c r="D46" s="63">
        <v>32356</v>
      </c>
      <c r="E46" s="62">
        <v>9.07</v>
      </c>
      <c r="F46" s="62">
        <v>9.41</v>
      </c>
      <c r="G46" s="62">
        <v>8.99</v>
      </c>
      <c r="H46" s="62">
        <v>9.25</v>
      </c>
      <c r="I46" s="260">
        <v>9.25</v>
      </c>
      <c r="J46" s="262">
        <f t="shared" si="0"/>
        <v>8.8816666666666683E-2</v>
      </c>
      <c r="L46" s="280"/>
      <c r="M46" s="283"/>
      <c r="N46" s="285"/>
      <c r="O46" s="284"/>
      <c r="P46" s="287"/>
    </row>
    <row r="47" spans="1:16" x14ac:dyDescent="0.2">
      <c r="A47" s="288">
        <v>2006</v>
      </c>
      <c r="B47" s="62">
        <v>4.8</v>
      </c>
      <c r="D47" s="63">
        <v>32387</v>
      </c>
      <c r="E47" s="62">
        <v>9.25</v>
      </c>
      <c r="F47" s="62">
        <v>9.25</v>
      </c>
      <c r="G47" s="62">
        <v>8.8699999999999992</v>
      </c>
      <c r="H47" s="62">
        <v>8.8699999999999992</v>
      </c>
      <c r="I47" s="260">
        <v>8.8699999999999992</v>
      </c>
      <c r="J47" s="262">
        <f t="shared" si="0"/>
        <v>8.818333333333335E-2</v>
      </c>
      <c r="L47" s="280"/>
      <c r="M47" s="283"/>
      <c r="N47" s="285"/>
      <c r="O47" s="284"/>
      <c r="P47" s="287"/>
    </row>
    <row r="48" spans="1:16" x14ac:dyDescent="0.2">
      <c r="A48" s="288">
        <v>2007</v>
      </c>
      <c r="B48" s="62">
        <v>4.63</v>
      </c>
      <c r="D48" s="63">
        <v>32417</v>
      </c>
      <c r="E48" s="62">
        <v>8.84</v>
      </c>
      <c r="F48" s="62">
        <v>8.8699999999999992</v>
      </c>
      <c r="G48" s="62">
        <v>8.65</v>
      </c>
      <c r="H48" s="62">
        <v>8.65</v>
      </c>
      <c r="I48" s="260">
        <v>8.65</v>
      </c>
      <c r="J48" s="262">
        <f t="shared" si="0"/>
        <v>8.7991666666666662E-2</v>
      </c>
      <c r="L48" s="280"/>
      <c r="M48" s="283"/>
      <c r="N48" s="285"/>
      <c r="O48" s="284"/>
      <c r="P48" s="287"/>
    </row>
    <row r="49" spans="1:16" x14ac:dyDescent="0.2">
      <c r="A49" s="288">
        <v>2008</v>
      </c>
      <c r="B49" s="62">
        <v>3.66</v>
      </c>
      <c r="D49" s="63">
        <v>32448</v>
      </c>
      <c r="E49" s="62">
        <v>8.68</v>
      </c>
      <c r="F49" s="62">
        <v>9.17</v>
      </c>
      <c r="G49" s="62">
        <v>8.68</v>
      </c>
      <c r="H49" s="62">
        <v>9.06</v>
      </c>
      <c r="I49" s="260">
        <v>9.06</v>
      </c>
      <c r="J49" s="262">
        <f t="shared" si="0"/>
        <v>8.8050000000000017E-2</v>
      </c>
      <c r="L49" s="280"/>
      <c r="M49" s="283"/>
      <c r="N49" s="285"/>
      <c r="O49" s="284"/>
      <c r="P49" s="287"/>
    </row>
    <row r="50" spans="1:16" x14ac:dyDescent="0.2">
      <c r="A50" s="288">
        <v>2009</v>
      </c>
      <c r="B50" s="62">
        <v>3.26</v>
      </c>
      <c r="D50" s="63">
        <v>32478</v>
      </c>
      <c r="E50" s="62">
        <v>9.01</v>
      </c>
      <c r="F50" s="62">
        <v>9.2100000000000009</v>
      </c>
      <c r="G50" s="62">
        <v>8.9499999999999993</v>
      </c>
      <c r="H50" s="62">
        <v>9.14</v>
      </c>
      <c r="I50" s="260">
        <v>9.14</v>
      </c>
      <c r="J50" s="262">
        <f t="shared" si="0"/>
        <v>8.830833333333335E-2</v>
      </c>
      <c r="L50" s="280"/>
      <c r="M50" s="283"/>
      <c r="N50" s="285"/>
      <c r="O50" s="284"/>
      <c r="P50" s="287"/>
    </row>
    <row r="51" spans="1:16" x14ac:dyDescent="0.2">
      <c r="A51" s="288">
        <v>2010</v>
      </c>
      <c r="B51" s="62">
        <v>3.22</v>
      </c>
      <c r="D51" s="63">
        <v>32509</v>
      </c>
      <c r="E51" s="62">
        <v>9.23</v>
      </c>
      <c r="F51" s="62">
        <v>9.27</v>
      </c>
      <c r="G51" s="62">
        <v>8.93</v>
      </c>
      <c r="H51" s="62">
        <v>9.01</v>
      </c>
      <c r="I51" s="260">
        <v>9.01</v>
      </c>
      <c r="J51" s="262">
        <f t="shared" si="0"/>
        <v>8.893333333333335E-2</v>
      </c>
      <c r="L51" s="280"/>
      <c r="M51" s="283"/>
      <c r="N51" s="285"/>
      <c r="O51" s="284"/>
      <c r="P51" s="287"/>
    </row>
    <row r="52" spans="1:16" x14ac:dyDescent="0.2">
      <c r="A52" s="288">
        <v>2011</v>
      </c>
      <c r="B52" s="62">
        <v>2.78</v>
      </c>
      <c r="D52" s="63">
        <v>32540</v>
      </c>
      <c r="E52" s="62">
        <v>8.99</v>
      </c>
      <c r="F52" s="62">
        <v>9.3800000000000008</v>
      </c>
      <c r="G52" s="62">
        <v>8.9499999999999993</v>
      </c>
      <c r="H52" s="62">
        <v>9.32</v>
      </c>
      <c r="I52" s="260">
        <v>9.32</v>
      </c>
      <c r="J52" s="262">
        <f t="shared" si="0"/>
        <v>8.9900000000000008E-2</v>
      </c>
      <c r="L52" s="280"/>
      <c r="M52" s="283"/>
      <c r="N52" s="285"/>
      <c r="O52" s="284"/>
      <c r="P52" s="287"/>
    </row>
    <row r="53" spans="1:16" x14ac:dyDescent="0.2">
      <c r="A53" s="288">
        <v>2012</v>
      </c>
      <c r="B53" s="62">
        <v>1.8</v>
      </c>
      <c r="D53" s="63">
        <v>32568</v>
      </c>
      <c r="E53" s="62">
        <v>9.36</v>
      </c>
      <c r="F53" s="62">
        <v>9.5299999999999994</v>
      </c>
      <c r="G53" s="62">
        <v>9.23</v>
      </c>
      <c r="H53" s="62">
        <v>9.3000000000000007</v>
      </c>
      <c r="I53" s="260">
        <v>9.3000000000000007</v>
      </c>
      <c r="J53" s="262">
        <f t="shared" si="0"/>
        <v>9.050833333333333E-2</v>
      </c>
      <c r="L53" s="280"/>
      <c r="M53" s="283"/>
      <c r="N53" s="285"/>
      <c r="O53" s="284"/>
      <c r="P53" s="287"/>
    </row>
    <row r="54" spans="1:16" x14ac:dyDescent="0.2">
      <c r="A54" s="288">
        <v>2013</v>
      </c>
      <c r="B54" s="62">
        <v>2.35</v>
      </c>
      <c r="D54" s="63">
        <v>32599</v>
      </c>
      <c r="E54" s="62">
        <v>9.2100000000000009</v>
      </c>
      <c r="F54" s="62">
        <v>9.34</v>
      </c>
      <c r="G54" s="62">
        <v>9.02</v>
      </c>
      <c r="H54" s="62">
        <v>9.02</v>
      </c>
      <c r="I54" s="260">
        <v>9.02</v>
      </c>
      <c r="J54" s="262">
        <f t="shared" si="0"/>
        <v>9.063333333333333E-2</v>
      </c>
      <c r="L54" s="280"/>
      <c r="M54" s="283"/>
      <c r="N54" s="285"/>
      <c r="O54" s="284"/>
      <c r="P54" s="287"/>
    </row>
    <row r="55" spans="1:16" x14ac:dyDescent="0.2">
      <c r="A55" s="288">
        <v>2014</v>
      </c>
      <c r="B55" s="62">
        <v>2.54</v>
      </c>
      <c r="D55" s="63">
        <v>32629</v>
      </c>
      <c r="E55" s="62">
        <v>9.14</v>
      </c>
      <c r="F55" s="62">
        <v>9.16</v>
      </c>
      <c r="G55" s="62">
        <v>8.58</v>
      </c>
      <c r="H55" s="62">
        <v>8.6</v>
      </c>
      <c r="I55" s="260">
        <v>8.6</v>
      </c>
      <c r="J55" s="262">
        <f t="shared" si="0"/>
        <v>9.0133333333333343E-2</v>
      </c>
      <c r="L55" s="280"/>
      <c r="M55" s="283"/>
      <c r="N55" s="285"/>
      <c r="O55" s="284"/>
      <c r="P55" s="287"/>
    </row>
    <row r="56" spans="1:16" x14ac:dyDescent="0.2">
      <c r="A56" s="288">
        <v>2015</v>
      </c>
      <c r="B56" s="62">
        <v>2.14</v>
      </c>
      <c r="D56" s="63">
        <v>32660</v>
      </c>
      <c r="E56" s="62">
        <v>8.61</v>
      </c>
      <c r="F56" s="62">
        <v>8.61</v>
      </c>
      <c r="G56" s="62">
        <v>8.1</v>
      </c>
      <c r="H56" s="62">
        <v>8.1</v>
      </c>
      <c r="I56" s="260">
        <v>8.1</v>
      </c>
      <c r="J56" s="262">
        <f t="shared" si="0"/>
        <v>8.9533333333333312E-2</v>
      </c>
      <c r="L56" s="280"/>
      <c r="M56" s="283"/>
      <c r="N56" s="285"/>
      <c r="O56" s="284"/>
      <c r="P56" s="287"/>
    </row>
    <row r="57" spans="1:16" x14ac:dyDescent="0.2">
      <c r="A57" s="288">
        <v>2016</v>
      </c>
      <c r="B57" s="62">
        <v>1.84</v>
      </c>
      <c r="D57" s="63">
        <v>32690</v>
      </c>
      <c r="E57" s="62">
        <v>8.09</v>
      </c>
      <c r="F57" s="62">
        <v>8.1300000000000008</v>
      </c>
      <c r="G57" s="62">
        <v>7.82</v>
      </c>
      <c r="H57" s="62">
        <v>7.82</v>
      </c>
      <c r="I57" s="260">
        <v>7.82</v>
      </c>
      <c r="J57" s="262">
        <f t="shared" si="0"/>
        <v>8.8449999999999987E-2</v>
      </c>
      <c r="L57" s="280"/>
      <c r="M57" s="283"/>
      <c r="N57" s="285"/>
      <c r="O57" s="284"/>
      <c r="P57" s="287"/>
    </row>
    <row r="58" spans="1:16" x14ac:dyDescent="0.2">
      <c r="A58" s="288">
        <v>2017</v>
      </c>
      <c r="B58" s="62">
        <v>2.33</v>
      </c>
      <c r="D58" s="63">
        <v>32721</v>
      </c>
      <c r="E58" s="62">
        <v>7.74</v>
      </c>
      <c r="F58" s="62">
        <v>8.2899999999999991</v>
      </c>
      <c r="G58" s="62">
        <v>7.74</v>
      </c>
      <c r="H58" s="62">
        <v>8.26</v>
      </c>
      <c r="I58" s="260">
        <v>8.26</v>
      </c>
      <c r="J58" s="262">
        <f t="shared" si="0"/>
        <v>8.7624999999999995E-2</v>
      </c>
      <c r="L58" s="280"/>
      <c r="M58" s="283"/>
      <c r="N58" s="285"/>
      <c r="O58" s="284"/>
      <c r="P58" s="287"/>
    </row>
    <row r="59" spans="1:16" x14ac:dyDescent="0.2">
      <c r="A59" s="288">
        <v>2018</v>
      </c>
      <c r="B59" s="62">
        <v>2.91</v>
      </c>
      <c r="D59" s="63">
        <v>32752</v>
      </c>
      <c r="E59" s="62">
        <v>8.19</v>
      </c>
      <c r="F59" s="62">
        <v>8.32</v>
      </c>
      <c r="G59" s="62">
        <v>8.09</v>
      </c>
      <c r="H59" s="62">
        <v>8.31</v>
      </c>
      <c r="I59" s="260">
        <v>8.31</v>
      </c>
      <c r="J59" s="262">
        <f t="shared" si="0"/>
        <v>8.7158333333333324E-2</v>
      </c>
      <c r="L59" s="280"/>
      <c r="M59" s="283"/>
      <c r="N59" s="285"/>
      <c r="O59" s="284"/>
      <c r="P59" s="287"/>
    </row>
    <row r="60" spans="1:16" x14ac:dyDescent="0.2">
      <c r="A60" s="288">
        <v>2019</v>
      </c>
      <c r="B60" s="62">
        <v>2.14</v>
      </c>
      <c r="D60" s="63">
        <v>32782</v>
      </c>
      <c r="E60" s="62">
        <v>8.2799999999999994</v>
      </c>
      <c r="F60" s="62">
        <v>8.2799999999999994</v>
      </c>
      <c r="G60" s="62">
        <v>7.86</v>
      </c>
      <c r="H60" s="62">
        <v>7.92</v>
      </c>
      <c r="I60" s="260">
        <v>7.92</v>
      </c>
      <c r="J60" s="262">
        <f t="shared" si="0"/>
        <v>8.6550000000000016E-2</v>
      </c>
      <c r="L60" s="280"/>
      <c r="M60" s="283"/>
      <c r="N60" s="285"/>
      <c r="O60" s="284"/>
      <c r="P60" s="287"/>
    </row>
    <row r="61" spans="1:16" x14ac:dyDescent="0.2">
      <c r="A61" s="288">
        <v>2020</v>
      </c>
      <c r="B61" s="62">
        <v>0.89</v>
      </c>
      <c r="D61" s="63">
        <v>32813</v>
      </c>
      <c r="E61" s="62">
        <v>7.91</v>
      </c>
      <c r="F61" s="62">
        <v>8</v>
      </c>
      <c r="G61" s="62">
        <v>7.8</v>
      </c>
      <c r="H61" s="62">
        <v>7.84</v>
      </c>
      <c r="I61" s="260">
        <v>7.84</v>
      </c>
      <c r="J61" s="262">
        <f t="shared" si="0"/>
        <v>8.553333333333335E-2</v>
      </c>
      <c r="L61" s="280"/>
      <c r="M61" s="283"/>
      <c r="N61" s="285"/>
      <c r="O61" s="284"/>
      <c r="P61" s="287"/>
    </row>
    <row r="62" spans="1:16" x14ac:dyDescent="0.2">
      <c r="A62" s="288">
        <v>2021</v>
      </c>
      <c r="B62" s="62">
        <v>1.45</v>
      </c>
      <c r="D62" s="63">
        <v>32843</v>
      </c>
      <c r="E62" s="62">
        <v>7.81</v>
      </c>
      <c r="F62" s="62">
        <v>7.95</v>
      </c>
      <c r="G62" s="62">
        <v>7.77</v>
      </c>
      <c r="H62" s="62">
        <v>7.93</v>
      </c>
      <c r="I62" s="260">
        <v>7.93</v>
      </c>
      <c r="J62" s="262">
        <f t="shared" si="0"/>
        <v>8.4525000000000003E-2</v>
      </c>
      <c r="L62" s="280"/>
      <c r="M62" s="283"/>
      <c r="N62" s="285"/>
      <c r="O62" s="284"/>
      <c r="P62" s="287"/>
    </row>
    <row r="63" spans="1:16" x14ac:dyDescent="0.2">
      <c r="A63" s="288"/>
      <c r="B63" s="62"/>
      <c r="D63" s="63">
        <v>32874</v>
      </c>
      <c r="E63" s="62">
        <v>7.94</v>
      </c>
      <c r="F63" s="62">
        <v>8.51</v>
      </c>
      <c r="G63" s="62">
        <v>7.94</v>
      </c>
      <c r="H63" s="62">
        <v>8.43</v>
      </c>
      <c r="I63" s="260">
        <v>8.43</v>
      </c>
      <c r="J63" s="262">
        <f t="shared" si="0"/>
        <v>8.4041666666666681E-2</v>
      </c>
      <c r="L63" s="280"/>
      <c r="M63" s="283"/>
      <c r="N63" s="285"/>
      <c r="O63" s="284"/>
      <c r="P63" s="287"/>
    </row>
    <row r="64" spans="1:16" x14ac:dyDescent="0.2">
      <c r="A64" s="288"/>
      <c r="B64" s="62"/>
      <c r="D64" s="63">
        <v>32905</v>
      </c>
      <c r="E64" s="62">
        <v>8.42</v>
      </c>
      <c r="F64" s="62">
        <v>8.6199999999999992</v>
      </c>
      <c r="G64" s="62">
        <v>8.31</v>
      </c>
      <c r="H64" s="62">
        <v>8.51</v>
      </c>
      <c r="I64" s="260">
        <v>8.51</v>
      </c>
      <c r="J64" s="262">
        <f t="shared" si="0"/>
        <v>8.3366666666666672E-2</v>
      </c>
      <c r="L64" s="280"/>
      <c r="M64" s="283"/>
      <c r="N64" s="285"/>
      <c r="O64" s="284"/>
      <c r="P64" s="287"/>
    </row>
    <row r="65" spans="1:16" x14ac:dyDescent="0.2">
      <c r="A65" s="288"/>
      <c r="B65" s="62"/>
      <c r="D65" s="63">
        <v>32933</v>
      </c>
      <c r="E65" s="62">
        <v>8.59</v>
      </c>
      <c r="F65" s="62">
        <v>8.73</v>
      </c>
      <c r="G65" s="62">
        <v>8.51</v>
      </c>
      <c r="H65" s="62">
        <v>8.65</v>
      </c>
      <c r="I65" s="260">
        <v>8.65</v>
      </c>
      <c r="J65" s="262">
        <f t="shared" si="0"/>
        <v>8.2825000000000024E-2</v>
      </c>
      <c r="L65" s="280"/>
      <c r="M65" s="283"/>
      <c r="N65" s="285"/>
      <c r="O65" s="284"/>
      <c r="P65" s="287"/>
    </row>
    <row r="66" spans="1:16" x14ac:dyDescent="0.2">
      <c r="A66" s="288"/>
      <c r="B66" s="62"/>
      <c r="D66" s="63">
        <v>32964</v>
      </c>
      <c r="E66" s="62">
        <v>8.65</v>
      </c>
      <c r="F66" s="62">
        <v>9.07</v>
      </c>
      <c r="G66" s="62">
        <v>8.5500000000000007</v>
      </c>
      <c r="H66" s="62">
        <v>9.0399999999999991</v>
      </c>
      <c r="I66" s="260">
        <v>9.0399999999999991</v>
      </c>
      <c r="J66" s="262">
        <f t="shared" si="0"/>
        <v>8.2841666666666688E-2</v>
      </c>
      <c r="L66" s="280"/>
      <c r="M66" s="283"/>
      <c r="N66" s="285"/>
      <c r="O66" s="284"/>
      <c r="P66" s="287"/>
    </row>
    <row r="67" spans="1:16" x14ac:dyDescent="0.2">
      <c r="A67" s="288"/>
      <c r="B67" s="62"/>
      <c r="D67" s="63">
        <v>32994</v>
      </c>
      <c r="E67" s="62">
        <v>9.08</v>
      </c>
      <c r="F67" s="62">
        <v>9.09</v>
      </c>
      <c r="G67" s="62">
        <v>8.6</v>
      </c>
      <c r="H67" s="62">
        <v>8.6</v>
      </c>
      <c r="I67" s="260">
        <v>8.6</v>
      </c>
      <c r="J67" s="262">
        <f t="shared" si="0"/>
        <v>8.2841666666666661E-2</v>
      </c>
      <c r="L67" s="280"/>
      <c r="M67" s="283"/>
      <c r="N67" s="285"/>
      <c r="O67" s="284"/>
      <c r="P67" s="287"/>
    </row>
    <row r="68" spans="1:16" x14ac:dyDescent="0.2">
      <c r="A68" s="288"/>
      <c r="B68" s="62"/>
      <c r="D68" s="63">
        <v>33025</v>
      </c>
      <c r="E68" s="62">
        <v>8.44</v>
      </c>
      <c r="F68" s="62">
        <v>8.58</v>
      </c>
      <c r="G68" s="62">
        <v>8.3800000000000008</v>
      </c>
      <c r="H68" s="62">
        <v>8.43</v>
      </c>
      <c r="I68" s="260">
        <v>8.43</v>
      </c>
      <c r="J68" s="262">
        <f t="shared" si="0"/>
        <v>8.3116666666666672E-2</v>
      </c>
      <c r="L68" s="280"/>
      <c r="M68" s="283"/>
      <c r="N68" s="285"/>
      <c r="O68" s="284"/>
      <c r="P68" s="287"/>
    </row>
    <row r="69" spans="1:16" x14ac:dyDescent="0.2">
      <c r="A69" s="288"/>
      <c r="B69" s="62"/>
      <c r="D69" s="63">
        <v>33055</v>
      </c>
      <c r="E69" s="62">
        <v>8.43</v>
      </c>
      <c r="F69" s="62">
        <v>8.57</v>
      </c>
      <c r="G69" s="62">
        <v>8.34</v>
      </c>
      <c r="H69" s="62">
        <v>8.36</v>
      </c>
      <c r="I69" s="260">
        <v>8.36</v>
      </c>
      <c r="J69" s="262">
        <f t="shared" si="0"/>
        <v>8.356666666666665E-2</v>
      </c>
      <c r="L69" s="280"/>
      <c r="M69" s="283"/>
      <c r="N69" s="285"/>
      <c r="O69" s="284"/>
      <c r="P69" s="287"/>
    </row>
    <row r="70" spans="1:16" x14ac:dyDescent="0.2">
      <c r="A70" s="288"/>
      <c r="B70" s="62"/>
      <c r="D70" s="63">
        <v>33086</v>
      </c>
      <c r="E70" s="62">
        <v>8.2899999999999991</v>
      </c>
      <c r="F70" s="62">
        <v>9.0500000000000007</v>
      </c>
      <c r="G70" s="62">
        <v>8.2899999999999991</v>
      </c>
      <c r="H70" s="62">
        <v>8.86</v>
      </c>
      <c r="I70" s="260">
        <v>8.86</v>
      </c>
      <c r="J70" s="262">
        <f t="shared" si="0"/>
        <v>8.4066666666666665E-2</v>
      </c>
      <c r="L70" s="280"/>
      <c r="M70" s="283"/>
      <c r="N70" s="285"/>
      <c r="O70" s="284"/>
      <c r="P70" s="287"/>
    </row>
    <row r="71" spans="1:16" x14ac:dyDescent="0.2">
      <c r="A71" s="288"/>
      <c r="B71" s="62"/>
      <c r="D71" s="63">
        <v>33117</v>
      </c>
      <c r="E71" s="62">
        <v>8.9</v>
      </c>
      <c r="F71" s="62">
        <v>9.0399999999999991</v>
      </c>
      <c r="G71" s="62">
        <v>8.81</v>
      </c>
      <c r="H71" s="62">
        <v>8.82</v>
      </c>
      <c r="I71" s="260">
        <v>8.82</v>
      </c>
      <c r="J71" s="262">
        <f t="shared" si="0"/>
        <v>8.4491666666666645E-2</v>
      </c>
      <c r="L71" s="280"/>
      <c r="M71" s="283"/>
      <c r="N71" s="285"/>
      <c r="O71" s="284"/>
      <c r="P71" s="287"/>
    </row>
    <row r="72" spans="1:16" x14ac:dyDescent="0.2">
      <c r="A72" s="288"/>
      <c r="B72" s="62"/>
      <c r="D72" s="63">
        <v>33147</v>
      </c>
      <c r="E72" s="62">
        <v>8.7100000000000009</v>
      </c>
      <c r="F72" s="62">
        <v>8.92</v>
      </c>
      <c r="G72" s="62">
        <v>8.6199999999999992</v>
      </c>
      <c r="H72" s="62">
        <v>8.65</v>
      </c>
      <c r="I72" s="260">
        <v>8.65</v>
      </c>
      <c r="J72" s="262">
        <f t="shared" si="0"/>
        <v>8.5099999999999995E-2</v>
      </c>
      <c r="L72" s="280"/>
      <c r="M72" s="283"/>
      <c r="N72" s="285"/>
      <c r="O72" s="284"/>
      <c r="P72" s="287"/>
    </row>
    <row r="73" spans="1:16" x14ac:dyDescent="0.2">
      <c r="A73" s="288"/>
      <c r="B73" s="62"/>
      <c r="D73" s="63">
        <v>33178</v>
      </c>
      <c r="E73" s="62">
        <v>8.57</v>
      </c>
      <c r="F73" s="62">
        <v>8.58</v>
      </c>
      <c r="G73" s="62">
        <v>8.26</v>
      </c>
      <c r="H73" s="62">
        <v>8.26</v>
      </c>
      <c r="I73" s="260">
        <v>8.26</v>
      </c>
      <c r="J73" s="262">
        <f t="shared" si="0"/>
        <v>8.5449999999999998E-2</v>
      </c>
      <c r="L73" s="280"/>
      <c r="M73" s="283"/>
      <c r="N73" s="285"/>
      <c r="O73" s="284"/>
      <c r="P73" s="287"/>
    </row>
    <row r="74" spans="1:16" x14ac:dyDescent="0.2">
      <c r="A74" s="288"/>
      <c r="B74" s="62"/>
      <c r="D74" s="63">
        <v>33208</v>
      </c>
      <c r="E74" s="62">
        <v>8.2200000000000006</v>
      </c>
      <c r="F74" s="62">
        <v>8.2200000000000006</v>
      </c>
      <c r="G74" s="62">
        <v>7.91</v>
      </c>
      <c r="H74" s="62">
        <v>8.08</v>
      </c>
      <c r="I74" s="260">
        <v>8.08</v>
      </c>
      <c r="J74" s="262">
        <f t="shared" si="0"/>
        <v>8.5574999999999998E-2</v>
      </c>
      <c r="L74" s="280"/>
      <c r="M74" s="283"/>
      <c r="N74" s="285"/>
      <c r="O74" s="284"/>
      <c r="P74" s="287"/>
    </row>
    <row r="75" spans="1:16" x14ac:dyDescent="0.2">
      <c r="A75" s="288"/>
      <c r="B75" s="62"/>
      <c r="D75" s="63">
        <v>33239</v>
      </c>
      <c r="E75" s="62">
        <v>7.97</v>
      </c>
      <c r="F75" s="62">
        <v>8.25</v>
      </c>
      <c r="G75" s="62">
        <v>7.93</v>
      </c>
      <c r="H75" s="62">
        <v>8.0299999999999994</v>
      </c>
      <c r="I75" s="260">
        <v>8.0299999999999994</v>
      </c>
      <c r="J75" s="262">
        <f t="shared" si="0"/>
        <v>8.5241666666666674E-2</v>
      </c>
      <c r="L75" s="280"/>
      <c r="M75" s="283"/>
      <c r="N75" s="285"/>
      <c r="O75" s="284"/>
      <c r="P75" s="287"/>
    </row>
    <row r="76" spans="1:16" x14ac:dyDescent="0.2">
      <c r="A76" s="288"/>
      <c r="B76" s="62"/>
      <c r="D76" s="63">
        <v>33270</v>
      </c>
      <c r="E76" s="62">
        <v>7.91</v>
      </c>
      <c r="F76" s="62">
        <v>8.02</v>
      </c>
      <c r="G76" s="62">
        <v>7.77</v>
      </c>
      <c r="H76" s="62">
        <v>8.02</v>
      </c>
      <c r="I76" s="260">
        <v>8.02</v>
      </c>
      <c r="J76" s="262">
        <f t="shared" ref="J76:J139" si="1">AVERAGE(I65:I76)/100</f>
        <v>8.483333333333333E-2</v>
      </c>
      <c r="L76" s="280"/>
      <c r="M76" s="283"/>
      <c r="N76" s="285"/>
      <c r="O76" s="284"/>
      <c r="P76" s="287"/>
    </row>
    <row r="77" spans="1:16" x14ac:dyDescent="0.2">
      <c r="A77" s="288"/>
      <c r="B77" s="62"/>
      <c r="D77" s="63">
        <v>33298</v>
      </c>
      <c r="E77" s="62">
        <v>8.1199999999999992</v>
      </c>
      <c r="F77" s="62">
        <v>8.25</v>
      </c>
      <c r="G77" s="62">
        <v>8.02</v>
      </c>
      <c r="H77" s="62">
        <v>8.0500000000000007</v>
      </c>
      <c r="I77" s="260">
        <v>8.0500000000000007</v>
      </c>
      <c r="J77" s="262">
        <f t="shared" si="1"/>
        <v>8.4333333333333316E-2</v>
      </c>
      <c r="L77" s="280"/>
      <c r="M77" s="283"/>
      <c r="N77" s="285"/>
      <c r="O77" s="284"/>
      <c r="P77" s="287"/>
    </row>
    <row r="78" spans="1:16" x14ac:dyDescent="0.2">
      <c r="A78" s="288"/>
      <c r="B78" s="62"/>
      <c r="D78" s="63">
        <v>33329</v>
      </c>
      <c r="E78" s="62">
        <v>8.07</v>
      </c>
      <c r="F78" s="62">
        <v>8.15</v>
      </c>
      <c r="G78" s="62">
        <v>7.95</v>
      </c>
      <c r="H78" s="62">
        <v>8.02</v>
      </c>
      <c r="I78" s="260">
        <v>8.02</v>
      </c>
      <c r="J78" s="262">
        <f t="shared" si="1"/>
        <v>8.3483333333333326E-2</v>
      </c>
      <c r="L78" s="280"/>
      <c r="M78" s="283"/>
      <c r="N78" s="285"/>
      <c r="O78" s="284"/>
      <c r="P78" s="287"/>
    </row>
    <row r="79" spans="1:16" x14ac:dyDescent="0.2">
      <c r="A79" s="288"/>
      <c r="B79" s="62"/>
      <c r="D79" s="63">
        <v>33359</v>
      </c>
      <c r="E79" s="62">
        <v>8.01</v>
      </c>
      <c r="F79" s="62">
        <v>8.14</v>
      </c>
      <c r="G79" s="62">
        <v>7.97</v>
      </c>
      <c r="H79" s="62">
        <v>8.06</v>
      </c>
      <c r="I79" s="260">
        <v>8.06</v>
      </c>
      <c r="J79" s="262">
        <f t="shared" si="1"/>
        <v>8.3033333333333334E-2</v>
      </c>
      <c r="L79" s="280"/>
      <c r="M79" s="283"/>
      <c r="N79" s="285"/>
      <c r="O79" s="284"/>
      <c r="P79" s="287"/>
    </row>
    <row r="80" spans="1:16" x14ac:dyDescent="0.2">
      <c r="A80" s="288"/>
      <c r="B80" s="62"/>
      <c r="D80" s="63">
        <v>33390</v>
      </c>
      <c r="E80" s="62">
        <v>8.14</v>
      </c>
      <c r="F80" s="62">
        <v>8.36</v>
      </c>
      <c r="G80" s="62">
        <v>8.14</v>
      </c>
      <c r="H80" s="62">
        <v>8.24</v>
      </c>
      <c r="I80" s="260">
        <v>8.24</v>
      </c>
      <c r="J80" s="262">
        <f t="shared" si="1"/>
        <v>8.287499999999999E-2</v>
      </c>
      <c r="L80" s="280"/>
      <c r="M80" s="283"/>
      <c r="N80" s="285"/>
      <c r="O80" s="284"/>
      <c r="P80" s="287"/>
    </row>
    <row r="81" spans="1:16" x14ac:dyDescent="0.2">
      <c r="A81" s="288"/>
      <c r="B81" s="62"/>
      <c r="D81" s="63">
        <v>33420</v>
      </c>
      <c r="E81" s="62">
        <v>8.26</v>
      </c>
      <c r="F81" s="62">
        <v>8.36</v>
      </c>
      <c r="G81" s="62">
        <v>8.1999999999999993</v>
      </c>
      <c r="H81" s="62">
        <v>8.1999999999999993</v>
      </c>
      <c r="I81" s="260">
        <v>8.1999999999999993</v>
      </c>
      <c r="J81" s="262">
        <f t="shared" si="1"/>
        <v>8.2741666666666658E-2</v>
      </c>
      <c r="L81" s="280"/>
      <c r="M81" s="283"/>
      <c r="N81" s="285"/>
      <c r="O81" s="284"/>
      <c r="P81" s="287"/>
    </row>
    <row r="82" spans="1:16" x14ac:dyDescent="0.2">
      <c r="A82" s="288"/>
      <c r="B82" s="62"/>
      <c r="D82" s="63">
        <v>33451</v>
      </c>
      <c r="E82" s="62">
        <v>8.1999999999999993</v>
      </c>
      <c r="F82" s="62">
        <v>8.1999999999999993</v>
      </c>
      <c r="G82" s="62">
        <v>7.74</v>
      </c>
      <c r="H82" s="62">
        <v>7.82</v>
      </c>
      <c r="I82" s="260">
        <v>7.82</v>
      </c>
      <c r="J82" s="262">
        <f t="shared" si="1"/>
        <v>8.1875000000000003E-2</v>
      </c>
      <c r="L82" s="280"/>
      <c r="M82" s="283"/>
      <c r="N82" s="285"/>
      <c r="O82" s="284"/>
      <c r="P82" s="287"/>
    </row>
    <row r="83" spans="1:16" x14ac:dyDescent="0.2">
      <c r="A83" s="288"/>
      <c r="B83" s="62"/>
      <c r="D83" s="63">
        <v>33482</v>
      </c>
      <c r="E83" s="62">
        <v>7.81</v>
      </c>
      <c r="F83" s="62">
        <v>7.83</v>
      </c>
      <c r="G83" s="62">
        <v>7.47</v>
      </c>
      <c r="H83" s="62">
        <v>7.47</v>
      </c>
      <c r="I83" s="260">
        <v>7.47</v>
      </c>
      <c r="J83" s="262">
        <f t="shared" si="1"/>
        <v>8.0750000000000016E-2</v>
      </c>
      <c r="L83" s="280"/>
      <c r="M83" s="283"/>
      <c r="N83" s="285"/>
      <c r="O83" s="284"/>
      <c r="P83" s="287"/>
    </row>
    <row r="84" spans="1:16" x14ac:dyDescent="0.2">
      <c r="A84" s="288"/>
      <c r="B84" s="62"/>
      <c r="D84" s="63">
        <v>33512</v>
      </c>
      <c r="E84" s="62">
        <v>7.45</v>
      </c>
      <c r="F84" s="62">
        <v>7.69</v>
      </c>
      <c r="G84" s="62">
        <v>7.39</v>
      </c>
      <c r="H84" s="62">
        <v>7.47</v>
      </c>
      <c r="I84" s="260">
        <v>7.47</v>
      </c>
      <c r="J84" s="262">
        <f t="shared" si="1"/>
        <v>7.9766666666666666E-2</v>
      </c>
      <c r="L84" s="280"/>
      <c r="M84" s="283"/>
      <c r="N84" s="285"/>
      <c r="O84" s="284"/>
      <c r="P84" s="287"/>
    </row>
    <row r="85" spans="1:16" x14ac:dyDescent="0.2">
      <c r="A85" s="288"/>
      <c r="B85" s="62"/>
      <c r="D85" s="63">
        <v>33543</v>
      </c>
      <c r="E85" s="62">
        <v>7.48</v>
      </c>
      <c r="F85" s="62">
        <v>7.56</v>
      </c>
      <c r="G85" s="62">
        <v>7.33</v>
      </c>
      <c r="H85" s="62">
        <v>7.38</v>
      </c>
      <c r="I85" s="260">
        <v>7.38</v>
      </c>
      <c r="J85" s="262">
        <f t="shared" si="1"/>
        <v>7.903333333333333E-2</v>
      </c>
      <c r="L85" s="280"/>
      <c r="M85" s="283"/>
      <c r="N85" s="285"/>
      <c r="O85" s="284"/>
      <c r="P85" s="287"/>
    </row>
    <row r="86" spans="1:16" x14ac:dyDescent="0.2">
      <c r="A86" s="288"/>
      <c r="B86" s="62"/>
      <c r="D86" s="63">
        <v>33573</v>
      </c>
      <c r="E86" s="62">
        <v>7.32</v>
      </c>
      <c r="F86" s="62">
        <v>7.32</v>
      </c>
      <c r="G86" s="62">
        <v>6.71</v>
      </c>
      <c r="H86" s="62">
        <v>6.71</v>
      </c>
      <c r="I86" s="260">
        <v>6.71</v>
      </c>
      <c r="J86" s="262">
        <f t="shared" si="1"/>
        <v>7.7891666666666651E-2</v>
      </c>
      <c r="L86" s="280"/>
      <c r="M86" s="283"/>
      <c r="N86" s="285"/>
      <c r="O86" s="284"/>
      <c r="P86" s="287"/>
    </row>
    <row r="87" spans="1:16" x14ac:dyDescent="0.2">
      <c r="A87" s="288"/>
      <c r="B87" s="62"/>
      <c r="D87" s="63">
        <v>33604</v>
      </c>
      <c r="E87" s="62">
        <v>6.78</v>
      </c>
      <c r="F87" s="62">
        <v>7.31</v>
      </c>
      <c r="G87" s="62">
        <v>6.76</v>
      </c>
      <c r="H87" s="62">
        <v>7.31</v>
      </c>
      <c r="I87" s="260">
        <v>7.31</v>
      </c>
      <c r="J87" s="262">
        <f t="shared" si="1"/>
        <v>7.7291666666666675E-2</v>
      </c>
      <c r="L87" s="280"/>
      <c r="M87" s="283"/>
      <c r="N87" s="285"/>
      <c r="O87" s="284"/>
      <c r="P87" s="287"/>
    </row>
    <row r="88" spans="1:16" x14ac:dyDescent="0.2">
      <c r="A88" s="288"/>
      <c r="B88" s="62"/>
      <c r="D88" s="63">
        <v>33635</v>
      </c>
      <c r="E88" s="62">
        <v>7.36</v>
      </c>
      <c r="F88" s="62">
        <v>7.47</v>
      </c>
      <c r="G88" s="62">
        <v>7.2</v>
      </c>
      <c r="H88" s="62">
        <v>7.27</v>
      </c>
      <c r="I88" s="260">
        <v>7.27</v>
      </c>
      <c r="J88" s="262">
        <f t="shared" si="1"/>
        <v>7.6666666666666675E-2</v>
      </c>
      <c r="L88" s="280"/>
      <c r="M88" s="283"/>
      <c r="N88" s="285"/>
      <c r="O88" s="284"/>
      <c r="P88" s="287"/>
    </row>
    <row r="89" spans="1:16" x14ac:dyDescent="0.2">
      <c r="A89" s="288"/>
      <c r="B89" s="62"/>
      <c r="D89" s="63">
        <v>33664</v>
      </c>
      <c r="E89" s="62">
        <v>7.38</v>
      </c>
      <c r="F89" s="62">
        <v>7.71</v>
      </c>
      <c r="G89" s="62">
        <v>7.38</v>
      </c>
      <c r="H89" s="62">
        <v>7.54</v>
      </c>
      <c r="I89" s="260">
        <v>7.54</v>
      </c>
      <c r="J89" s="262">
        <f t="shared" si="1"/>
        <v>7.6241666666666666E-2</v>
      </c>
      <c r="L89" s="280"/>
      <c r="M89" s="283"/>
      <c r="N89" s="285"/>
      <c r="O89" s="284"/>
      <c r="P89" s="287"/>
    </row>
    <row r="90" spans="1:16" x14ac:dyDescent="0.2">
      <c r="A90" s="288"/>
      <c r="B90" s="62"/>
      <c r="D90" s="63">
        <v>33695</v>
      </c>
      <c r="E90" s="62">
        <v>7.46</v>
      </c>
      <c r="F90" s="62">
        <v>7.61</v>
      </c>
      <c r="G90" s="62">
        <v>7.33</v>
      </c>
      <c r="H90" s="62">
        <v>7.61</v>
      </c>
      <c r="I90" s="260">
        <v>7.61</v>
      </c>
      <c r="J90" s="262">
        <f t="shared" si="1"/>
        <v>7.5899999999999995E-2</v>
      </c>
      <c r="L90" s="280"/>
      <c r="M90" s="283"/>
      <c r="N90" s="285"/>
      <c r="O90" s="284"/>
      <c r="P90" s="287"/>
    </row>
    <row r="91" spans="1:16" x14ac:dyDescent="0.2">
      <c r="A91" s="288"/>
      <c r="B91" s="62"/>
      <c r="D91" s="63">
        <v>33725</v>
      </c>
      <c r="E91" s="62">
        <v>7.56</v>
      </c>
      <c r="F91" s="62">
        <v>7.58</v>
      </c>
      <c r="G91" s="62">
        <v>7.2</v>
      </c>
      <c r="H91" s="62">
        <v>7.33</v>
      </c>
      <c r="I91" s="260">
        <v>7.33</v>
      </c>
      <c r="J91" s="262">
        <f t="shared" si="1"/>
        <v>7.5291666666666673E-2</v>
      </c>
      <c r="L91" s="280"/>
      <c r="M91" s="283"/>
      <c r="N91" s="285"/>
      <c r="O91" s="284"/>
      <c r="P91" s="287"/>
    </row>
    <row r="92" spans="1:16" x14ac:dyDescent="0.2">
      <c r="A92" s="288"/>
      <c r="B92" s="62"/>
      <c r="D92" s="63">
        <v>33756</v>
      </c>
      <c r="E92" s="62">
        <v>7.39</v>
      </c>
      <c r="F92" s="62">
        <v>7.39</v>
      </c>
      <c r="G92" s="62">
        <v>7.12</v>
      </c>
      <c r="H92" s="62">
        <v>7.14</v>
      </c>
      <c r="I92" s="260">
        <v>7.14</v>
      </c>
      <c r="J92" s="262">
        <f t="shared" si="1"/>
        <v>7.4374999999999997E-2</v>
      </c>
      <c r="L92" s="280"/>
      <c r="M92" s="283"/>
      <c r="N92" s="285"/>
      <c r="O92" s="284"/>
      <c r="P92" s="287"/>
    </row>
    <row r="93" spans="1:16" x14ac:dyDescent="0.2">
      <c r="A93" s="288"/>
      <c r="B93" s="62"/>
      <c r="D93" s="63">
        <v>33786</v>
      </c>
      <c r="E93" s="62">
        <v>7.1</v>
      </c>
      <c r="F93" s="62">
        <v>7.1</v>
      </c>
      <c r="G93" s="62">
        <v>6.6</v>
      </c>
      <c r="H93" s="62">
        <v>6.72</v>
      </c>
      <c r="I93" s="260">
        <v>6.72</v>
      </c>
      <c r="J93" s="262">
        <f t="shared" si="1"/>
        <v>7.314166666666666E-2</v>
      </c>
      <c r="L93" s="280"/>
      <c r="M93" s="283"/>
      <c r="N93" s="285"/>
      <c r="O93" s="284"/>
      <c r="P93" s="287"/>
    </row>
    <row r="94" spans="1:16" x14ac:dyDescent="0.2">
      <c r="A94" s="288"/>
      <c r="B94" s="62"/>
      <c r="D94" s="63">
        <v>33817</v>
      </c>
      <c r="E94" s="62">
        <v>6.72</v>
      </c>
      <c r="F94" s="62">
        <v>6.73</v>
      </c>
      <c r="G94" s="62">
        <v>6.46</v>
      </c>
      <c r="H94" s="62">
        <v>6.62</v>
      </c>
      <c r="I94" s="260">
        <v>6.62</v>
      </c>
      <c r="J94" s="262">
        <f t="shared" si="1"/>
        <v>7.2141666666666673E-2</v>
      </c>
      <c r="L94" s="280"/>
      <c r="M94" s="283"/>
      <c r="N94" s="285"/>
      <c r="O94" s="284"/>
      <c r="P94" s="287"/>
    </row>
    <row r="95" spans="1:16" x14ac:dyDescent="0.2">
      <c r="A95" s="288"/>
      <c r="B95" s="62"/>
      <c r="D95" s="63">
        <v>33848</v>
      </c>
      <c r="E95" s="62">
        <v>6.56</v>
      </c>
      <c r="F95" s="62">
        <v>6.56</v>
      </c>
      <c r="G95" s="62">
        <v>6.29</v>
      </c>
      <c r="H95" s="62">
        <v>6.37</v>
      </c>
      <c r="I95" s="260">
        <v>6.37</v>
      </c>
      <c r="J95" s="262">
        <f t="shared" si="1"/>
        <v>7.1224999999999997E-2</v>
      </c>
      <c r="L95" s="280"/>
      <c r="M95" s="283"/>
      <c r="N95" s="285"/>
      <c r="O95" s="284"/>
      <c r="P95" s="287"/>
    </row>
    <row r="96" spans="1:16" x14ac:dyDescent="0.2">
      <c r="A96" s="288"/>
      <c r="B96" s="62"/>
      <c r="D96" s="63">
        <v>33878</v>
      </c>
      <c r="E96" s="62">
        <v>6.23</v>
      </c>
      <c r="F96" s="62">
        <v>6.86</v>
      </c>
      <c r="G96" s="62">
        <v>6.23</v>
      </c>
      <c r="H96" s="62">
        <v>6.8</v>
      </c>
      <c r="I96" s="260">
        <v>6.8</v>
      </c>
      <c r="J96" s="262">
        <f t="shared" si="1"/>
        <v>7.0666666666666669E-2</v>
      </c>
      <c r="L96" s="280"/>
      <c r="M96" s="283"/>
      <c r="N96" s="285"/>
      <c r="O96" s="284"/>
      <c r="P96" s="287"/>
    </row>
    <row r="97" spans="1:16" x14ac:dyDescent="0.2">
      <c r="A97" s="288"/>
      <c r="B97" s="62"/>
      <c r="D97" s="63">
        <v>33909</v>
      </c>
      <c r="E97" s="62">
        <v>6.88</v>
      </c>
      <c r="F97" s="62">
        <v>7</v>
      </c>
      <c r="G97" s="62">
        <v>6.78</v>
      </c>
      <c r="H97" s="62">
        <v>6.95</v>
      </c>
      <c r="I97" s="260">
        <v>6.95</v>
      </c>
      <c r="J97" s="262">
        <f t="shared" si="1"/>
        <v>7.0308333333333334E-2</v>
      </c>
      <c r="L97" s="280"/>
      <c r="M97" s="283"/>
      <c r="N97" s="285"/>
      <c r="O97" s="284"/>
      <c r="P97" s="287"/>
    </row>
    <row r="98" spans="1:16" x14ac:dyDescent="0.2">
      <c r="A98" s="288"/>
      <c r="B98" s="62"/>
      <c r="D98" s="63">
        <v>33939</v>
      </c>
      <c r="E98" s="62">
        <v>6.94</v>
      </c>
      <c r="F98" s="62">
        <v>6.94</v>
      </c>
      <c r="G98" s="62">
        <v>6.65</v>
      </c>
      <c r="H98" s="62">
        <v>6.7</v>
      </c>
      <c r="I98" s="260">
        <v>6.7</v>
      </c>
      <c r="J98" s="262">
        <f t="shared" si="1"/>
        <v>7.0300000000000001E-2</v>
      </c>
      <c r="L98" s="280"/>
      <c r="M98" s="283"/>
      <c r="N98" s="285"/>
      <c r="O98" s="284"/>
      <c r="P98" s="287"/>
    </row>
    <row r="99" spans="1:16" x14ac:dyDescent="0.2">
      <c r="A99" s="288"/>
      <c r="B99" s="62"/>
      <c r="D99" s="63">
        <v>33970</v>
      </c>
      <c r="E99" s="62">
        <v>6.6</v>
      </c>
      <c r="F99" s="62">
        <v>6.76</v>
      </c>
      <c r="G99" s="62">
        <v>6.39</v>
      </c>
      <c r="H99" s="62">
        <v>6.39</v>
      </c>
      <c r="I99" s="260">
        <v>6.39</v>
      </c>
      <c r="J99" s="262">
        <f t="shared" si="1"/>
        <v>6.9533333333333336E-2</v>
      </c>
      <c r="L99" s="280"/>
      <c r="M99" s="283"/>
      <c r="N99" s="285"/>
      <c r="O99" s="284"/>
      <c r="P99" s="287"/>
    </row>
    <row r="100" spans="1:16" x14ac:dyDescent="0.2">
      <c r="A100" s="288"/>
      <c r="B100" s="62"/>
      <c r="D100" s="63">
        <v>34001</v>
      </c>
      <c r="E100" s="62">
        <v>6.38</v>
      </c>
      <c r="F100" s="62">
        <v>6.46</v>
      </c>
      <c r="G100" s="62">
        <v>5.92</v>
      </c>
      <c r="H100" s="62">
        <v>6.03</v>
      </c>
      <c r="I100" s="260">
        <v>6.03</v>
      </c>
      <c r="J100" s="262">
        <f t="shared" si="1"/>
        <v>6.8500000000000005E-2</v>
      </c>
      <c r="L100" s="280"/>
      <c r="M100" s="283"/>
      <c r="N100" s="285"/>
      <c r="O100" s="284"/>
      <c r="P100" s="287"/>
    </row>
    <row r="101" spans="1:16" x14ac:dyDescent="0.2">
      <c r="A101" s="288"/>
      <c r="B101" s="62"/>
      <c r="D101" s="63">
        <v>34029</v>
      </c>
      <c r="E101" s="62">
        <v>5.94</v>
      </c>
      <c r="F101" s="62">
        <v>6.17</v>
      </c>
      <c r="G101" s="62">
        <v>5.83</v>
      </c>
      <c r="H101" s="62">
        <v>6.03</v>
      </c>
      <c r="I101" s="260">
        <v>6.03</v>
      </c>
      <c r="J101" s="262">
        <f t="shared" si="1"/>
        <v>6.7241666666666658E-2</v>
      </c>
      <c r="L101" s="280"/>
      <c r="M101" s="283"/>
      <c r="N101" s="285"/>
      <c r="O101" s="284"/>
      <c r="P101" s="287"/>
    </row>
    <row r="102" spans="1:16" x14ac:dyDescent="0.2">
      <c r="A102" s="288"/>
      <c r="B102" s="62"/>
      <c r="D102" s="63">
        <v>34060</v>
      </c>
      <c r="E102" s="62">
        <v>6.06</v>
      </c>
      <c r="F102" s="62">
        <v>6.16</v>
      </c>
      <c r="G102" s="62">
        <v>5.85</v>
      </c>
      <c r="H102" s="62">
        <v>6.05</v>
      </c>
      <c r="I102" s="260">
        <v>6.05</v>
      </c>
      <c r="J102" s="262">
        <f t="shared" si="1"/>
        <v>6.5941666666666662E-2</v>
      </c>
      <c r="L102" s="280"/>
      <c r="M102" s="283"/>
      <c r="N102" s="285"/>
      <c r="O102" s="284"/>
      <c r="P102" s="287"/>
    </row>
    <row r="103" spans="1:16" x14ac:dyDescent="0.2">
      <c r="A103" s="288"/>
      <c r="B103" s="62"/>
      <c r="D103" s="63">
        <v>34090</v>
      </c>
      <c r="E103" s="62">
        <v>5.96</v>
      </c>
      <c r="F103" s="62">
        <v>6.17</v>
      </c>
      <c r="G103" s="62">
        <v>5.89</v>
      </c>
      <c r="H103" s="62">
        <v>6.16</v>
      </c>
      <c r="I103" s="260">
        <v>6.16</v>
      </c>
      <c r="J103" s="262">
        <f t="shared" si="1"/>
        <v>6.4966666666666659E-2</v>
      </c>
      <c r="L103" s="280"/>
      <c r="M103" s="283"/>
      <c r="N103" s="285"/>
      <c r="O103" s="284"/>
      <c r="P103" s="287"/>
    </row>
    <row r="104" spans="1:16" x14ac:dyDescent="0.2">
      <c r="A104" s="288"/>
      <c r="B104" s="62"/>
      <c r="D104" s="63">
        <v>34121</v>
      </c>
      <c r="E104" s="62">
        <v>6.07</v>
      </c>
      <c r="F104" s="62">
        <v>6.11</v>
      </c>
      <c r="G104" s="62">
        <v>5.79</v>
      </c>
      <c r="H104" s="62">
        <v>5.8</v>
      </c>
      <c r="I104" s="260">
        <v>5.8</v>
      </c>
      <c r="J104" s="262">
        <f t="shared" si="1"/>
        <v>6.3850000000000004E-2</v>
      </c>
      <c r="L104" s="280"/>
      <c r="M104" s="283"/>
      <c r="N104" s="285"/>
      <c r="O104" s="284"/>
      <c r="P104" s="287"/>
    </row>
    <row r="105" spans="1:16" x14ac:dyDescent="0.2">
      <c r="A105" s="288"/>
      <c r="B105" s="62"/>
      <c r="D105" s="63">
        <v>34151</v>
      </c>
      <c r="E105" s="62">
        <v>5.8</v>
      </c>
      <c r="F105" s="62">
        <v>5.95</v>
      </c>
      <c r="G105" s="62">
        <v>5.71</v>
      </c>
      <c r="H105" s="62">
        <v>5.83</v>
      </c>
      <c r="I105" s="260">
        <v>5.83</v>
      </c>
      <c r="J105" s="262">
        <f t="shared" si="1"/>
        <v>6.3108333333333322E-2</v>
      </c>
      <c r="L105" s="280"/>
      <c r="M105" s="283"/>
      <c r="N105" s="285"/>
      <c r="O105" s="284"/>
      <c r="P105" s="287"/>
    </row>
    <row r="106" spans="1:16" x14ac:dyDescent="0.2">
      <c r="A106" s="288"/>
      <c r="B106" s="62"/>
      <c r="D106" s="63">
        <v>34182</v>
      </c>
      <c r="E106" s="62">
        <v>5.85</v>
      </c>
      <c r="F106" s="62">
        <v>5.87</v>
      </c>
      <c r="G106" s="62">
        <v>5.42</v>
      </c>
      <c r="H106" s="62">
        <v>5.45</v>
      </c>
      <c r="I106" s="260">
        <v>5.45</v>
      </c>
      <c r="J106" s="262">
        <f t="shared" si="1"/>
        <v>6.2133333333333339E-2</v>
      </c>
      <c r="L106" s="280"/>
      <c r="M106" s="283"/>
      <c r="N106" s="285"/>
      <c r="O106" s="284"/>
      <c r="P106" s="287"/>
    </row>
    <row r="107" spans="1:16" x14ac:dyDescent="0.2">
      <c r="A107" s="288"/>
      <c r="B107" s="62"/>
      <c r="D107" s="63">
        <v>34213</v>
      </c>
      <c r="E107" s="62">
        <v>5.46</v>
      </c>
      <c r="F107" s="62">
        <v>5.47</v>
      </c>
      <c r="G107" s="62">
        <v>5.23</v>
      </c>
      <c r="H107" s="62">
        <v>5.4</v>
      </c>
      <c r="I107" s="260">
        <v>5.4</v>
      </c>
      <c r="J107" s="262">
        <f t="shared" si="1"/>
        <v>6.1325000000000005E-2</v>
      </c>
      <c r="L107" s="280"/>
      <c r="M107" s="283"/>
      <c r="N107" s="285"/>
      <c r="O107" s="284"/>
      <c r="P107" s="287"/>
    </row>
    <row r="108" spans="1:16" x14ac:dyDescent="0.2">
      <c r="A108" s="288"/>
      <c r="B108" s="62"/>
      <c r="D108" s="63">
        <v>34243</v>
      </c>
      <c r="E108" s="62">
        <v>5.34</v>
      </c>
      <c r="F108" s="62">
        <v>5.47</v>
      </c>
      <c r="G108" s="62">
        <v>5.19</v>
      </c>
      <c r="H108" s="62">
        <v>5.3879999999999999</v>
      </c>
      <c r="I108" s="260">
        <v>5.3879999999999999</v>
      </c>
      <c r="J108" s="262">
        <f t="shared" si="1"/>
        <v>6.0148333333333345E-2</v>
      </c>
      <c r="L108" s="280"/>
      <c r="M108" s="283"/>
      <c r="N108" s="285"/>
      <c r="O108" s="284"/>
      <c r="P108" s="287"/>
    </row>
    <row r="109" spans="1:16" x14ac:dyDescent="0.2">
      <c r="A109" s="288"/>
      <c r="B109" s="62"/>
      <c r="D109" s="63">
        <v>34274</v>
      </c>
      <c r="E109" s="62">
        <v>5.56</v>
      </c>
      <c r="F109" s="62">
        <v>5.8769999999999998</v>
      </c>
      <c r="G109" s="62">
        <v>5.4690000000000003</v>
      </c>
      <c r="H109" s="62">
        <v>5.7949999999999999</v>
      </c>
      <c r="I109" s="260">
        <v>5.7949999999999999</v>
      </c>
      <c r="J109" s="262">
        <f t="shared" si="1"/>
        <v>5.9185833333333333E-2</v>
      </c>
      <c r="L109" s="280"/>
      <c r="M109" s="283"/>
      <c r="N109" s="285"/>
      <c r="O109" s="284"/>
      <c r="P109" s="287"/>
    </row>
    <row r="110" spans="1:16" x14ac:dyDescent="0.2">
      <c r="A110" s="288"/>
      <c r="B110" s="62"/>
      <c r="D110" s="63">
        <v>34304</v>
      </c>
      <c r="E110" s="62">
        <v>5.8129999999999997</v>
      </c>
      <c r="F110" s="62">
        <v>5.8470000000000004</v>
      </c>
      <c r="G110" s="62">
        <v>5.6219999999999999</v>
      </c>
      <c r="H110" s="62">
        <v>5.7830000000000004</v>
      </c>
      <c r="I110" s="260">
        <v>5.7830000000000004</v>
      </c>
      <c r="J110" s="262">
        <f t="shared" si="1"/>
        <v>5.8421666666666663E-2</v>
      </c>
      <c r="L110" s="280"/>
      <c r="M110" s="283"/>
      <c r="N110" s="285"/>
      <c r="O110" s="284"/>
      <c r="P110" s="287"/>
    </row>
    <row r="111" spans="1:16" x14ac:dyDescent="0.2">
      <c r="A111" s="288"/>
      <c r="B111" s="62"/>
      <c r="D111" s="63">
        <v>34335</v>
      </c>
      <c r="E111" s="62">
        <v>5.7960000000000003</v>
      </c>
      <c r="F111" s="62">
        <v>5.9</v>
      </c>
      <c r="G111" s="62">
        <v>5.5410000000000004</v>
      </c>
      <c r="H111" s="62">
        <v>5.6379999999999999</v>
      </c>
      <c r="I111" s="260">
        <v>5.6379999999999999</v>
      </c>
      <c r="J111" s="262">
        <f t="shared" si="1"/>
        <v>5.7794999999999999E-2</v>
      </c>
      <c r="L111" s="280"/>
      <c r="M111" s="283"/>
      <c r="N111" s="285"/>
      <c r="O111" s="284"/>
      <c r="P111" s="287"/>
    </row>
    <row r="112" spans="1:16" x14ac:dyDescent="0.2">
      <c r="A112" s="288"/>
      <c r="B112" s="62"/>
      <c r="D112" s="63">
        <v>34366</v>
      </c>
      <c r="E112" s="62">
        <v>5.6509999999999998</v>
      </c>
      <c r="F112" s="62">
        <v>6.2110000000000003</v>
      </c>
      <c r="G112" s="62">
        <v>5.5830000000000002</v>
      </c>
      <c r="H112" s="62">
        <v>6.15</v>
      </c>
      <c r="I112" s="260">
        <v>6.15</v>
      </c>
      <c r="J112" s="262">
        <f t="shared" si="1"/>
        <v>5.7895000000000002E-2</v>
      </c>
      <c r="L112" s="280"/>
      <c r="M112" s="283"/>
      <c r="N112" s="285"/>
      <c r="O112" s="284"/>
      <c r="P112" s="287"/>
    </row>
    <row r="113" spans="1:16" x14ac:dyDescent="0.2">
      <c r="A113" s="288"/>
      <c r="B113" s="62"/>
      <c r="D113" s="63">
        <v>34394</v>
      </c>
      <c r="E113" s="62">
        <v>6.1680000000000001</v>
      </c>
      <c r="F113" s="62">
        <v>6.8520000000000003</v>
      </c>
      <c r="G113" s="62">
        <v>6.1420000000000003</v>
      </c>
      <c r="H113" s="62">
        <v>6.774</v>
      </c>
      <c r="I113" s="260">
        <v>6.774</v>
      </c>
      <c r="J113" s="262">
        <f t="shared" si="1"/>
        <v>5.8515000000000005E-2</v>
      </c>
      <c r="L113" s="280"/>
      <c r="M113" s="283"/>
      <c r="N113" s="285"/>
      <c r="O113" s="284"/>
      <c r="P113" s="287"/>
    </row>
    <row r="114" spans="1:16" x14ac:dyDescent="0.2">
      <c r="A114" s="288"/>
      <c r="B114" s="62"/>
      <c r="D114" s="63">
        <v>34425</v>
      </c>
      <c r="E114" s="62">
        <v>6.9080000000000004</v>
      </c>
      <c r="F114" s="62">
        <v>7.1760000000000002</v>
      </c>
      <c r="G114" s="62">
        <v>6.7789999999999999</v>
      </c>
      <c r="H114" s="62">
        <v>7.0350000000000001</v>
      </c>
      <c r="I114" s="260">
        <v>7.0350000000000001</v>
      </c>
      <c r="J114" s="262">
        <f t="shared" si="1"/>
        <v>5.9335833333333324E-2</v>
      </c>
      <c r="L114" s="280"/>
      <c r="M114" s="283"/>
      <c r="N114" s="285"/>
      <c r="O114" s="284"/>
      <c r="P114" s="287"/>
    </row>
    <row r="115" spans="1:16" x14ac:dyDescent="0.2">
      <c r="A115" s="288"/>
      <c r="B115" s="62"/>
      <c r="D115" s="63">
        <v>34455</v>
      </c>
      <c r="E115" s="62">
        <v>7.05</v>
      </c>
      <c r="F115" s="62">
        <v>7.4850000000000003</v>
      </c>
      <c r="G115" s="62">
        <v>6.9290000000000003</v>
      </c>
      <c r="H115" s="62">
        <v>7.1520000000000001</v>
      </c>
      <c r="I115" s="260">
        <v>7.1520000000000001</v>
      </c>
      <c r="J115" s="262">
        <f t="shared" si="1"/>
        <v>6.0162499999999994E-2</v>
      </c>
      <c r="L115" s="280"/>
      <c r="M115" s="283"/>
      <c r="N115" s="285"/>
      <c r="O115" s="284"/>
      <c r="P115" s="287"/>
    </row>
    <row r="116" spans="1:16" x14ac:dyDescent="0.2">
      <c r="A116" s="288"/>
      <c r="B116" s="62"/>
      <c r="D116" s="63">
        <v>34486</v>
      </c>
      <c r="E116" s="62">
        <v>7.1820000000000004</v>
      </c>
      <c r="F116" s="62">
        <v>7.3289999999999997</v>
      </c>
      <c r="G116" s="62">
        <v>6.8630000000000004</v>
      </c>
      <c r="H116" s="62">
        <v>7.3289999999999997</v>
      </c>
      <c r="I116" s="260">
        <v>7.3289999999999997</v>
      </c>
      <c r="J116" s="262">
        <f t="shared" si="1"/>
        <v>6.1436666666666653E-2</v>
      </c>
      <c r="L116" s="280"/>
      <c r="M116" s="283"/>
      <c r="N116" s="285"/>
      <c r="O116" s="284"/>
      <c r="P116" s="287"/>
    </row>
    <row r="117" spans="1:16" x14ac:dyDescent="0.2">
      <c r="A117" s="288"/>
      <c r="B117" s="62"/>
      <c r="D117" s="63">
        <v>34516</v>
      </c>
      <c r="E117" s="62">
        <v>7.2889999999999997</v>
      </c>
      <c r="F117" s="62">
        <v>7.47</v>
      </c>
      <c r="G117" s="62">
        <v>7.0860000000000003</v>
      </c>
      <c r="H117" s="62">
        <v>7.0949999999999998</v>
      </c>
      <c r="I117" s="260">
        <v>7.0949999999999998</v>
      </c>
      <c r="J117" s="262">
        <f t="shared" si="1"/>
        <v>6.2490833333333322E-2</v>
      </c>
      <c r="L117" s="280"/>
      <c r="M117" s="283"/>
      <c r="N117" s="285"/>
      <c r="O117" s="284"/>
      <c r="P117" s="287"/>
    </row>
    <row r="118" spans="1:16" x14ac:dyDescent="0.2">
      <c r="A118" s="288"/>
      <c r="B118" s="62"/>
      <c r="D118" s="63">
        <v>34547</v>
      </c>
      <c r="E118" s="62">
        <v>7.1760000000000002</v>
      </c>
      <c r="F118" s="62">
        <v>7.3840000000000003</v>
      </c>
      <c r="G118" s="62">
        <v>7.0330000000000004</v>
      </c>
      <c r="H118" s="62">
        <v>7.165</v>
      </c>
      <c r="I118" s="260">
        <v>7.165</v>
      </c>
      <c r="J118" s="262">
        <f t="shared" si="1"/>
        <v>6.3920000000000005E-2</v>
      </c>
      <c r="L118" s="280"/>
      <c r="M118" s="283"/>
      <c r="N118" s="285"/>
      <c r="O118" s="284"/>
      <c r="P118" s="287"/>
    </row>
    <row r="119" spans="1:16" x14ac:dyDescent="0.2">
      <c r="A119" s="288"/>
      <c r="B119" s="62"/>
      <c r="D119" s="63">
        <v>34578</v>
      </c>
      <c r="E119" s="62">
        <v>7.1740000000000004</v>
      </c>
      <c r="F119" s="62">
        <v>7.65</v>
      </c>
      <c r="G119" s="62">
        <v>7.0720000000000001</v>
      </c>
      <c r="H119" s="62">
        <v>7.5990000000000002</v>
      </c>
      <c r="I119" s="260">
        <v>7.5990000000000002</v>
      </c>
      <c r="J119" s="262">
        <f t="shared" si="1"/>
        <v>6.5752500000000019E-2</v>
      </c>
      <c r="L119" s="280"/>
      <c r="M119" s="283"/>
      <c r="N119" s="285"/>
      <c r="O119" s="284"/>
      <c r="P119" s="287"/>
    </row>
    <row r="120" spans="1:16" x14ac:dyDescent="0.2">
      <c r="A120" s="288"/>
      <c r="B120" s="62"/>
      <c r="D120" s="63">
        <v>34608</v>
      </c>
      <c r="E120" s="62">
        <v>7.6040000000000001</v>
      </c>
      <c r="F120" s="62">
        <v>7.9740000000000002</v>
      </c>
      <c r="G120" s="62">
        <v>7.5529999999999999</v>
      </c>
      <c r="H120" s="62">
        <v>7.7930000000000001</v>
      </c>
      <c r="I120" s="260">
        <v>7.7930000000000001</v>
      </c>
      <c r="J120" s="262">
        <f t="shared" si="1"/>
        <v>6.7756666666666673E-2</v>
      </c>
      <c r="L120" s="280"/>
      <c r="M120" s="283"/>
      <c r="N120" s="285"/>
      <c r="O120" s="284"/>
      <c r="P120" s="287"/>
    </row>
    <row r="121" spans="1:16" x14ac:dyDescent="0.2">
      <c r="A121" s="288"/>
      <c r="B121" s="62"/>
      <c r="D121" s="63">
        <v>34639</v>
      </c>
      <c r="E121" s="62">
        <v>7.8259999999999996</v>
      </c>
      <c r="F121" s="62">
        <v>8.1620000000000008</v>
      </c>
      <c r="G121" s="62">
        <v>7.7830000000000004</v>
      </c>
      <c r="H121" s="62">
        <v>7.8879999999999999</v>
      </c>
      <c r="I121" s="260">
        <v>7.8879999999999999</v>
      </c>
      <c r="J121" s="262">
        <f t="shared" si="1"/>
        <v>6.9500833333333345E-2</v>
      </c>
      <c r="L121" s="280"/>
      <c r="M121" s="283"/>
      <c r="N121" s="285"/>
      <c r="O121" s="284"/>
      <c r="P121" s="287"/>
    </row>
    <row r="122" spans="1:16" x14ac:dyDescent="0.2">
      <c r="A122" s="288"/>
      <c r="B122" s="62"/>
      <c r="D122" s="63">
        <v>34669</v>
      </c>
      <c r="E122" s="62">
        <v>7.883</v>
      </c>
      <c r="F122" s="62">
        <v>7.9889999999999999</v>
      </c>
      <c r="G122" s="62">
        <v>7.7169999999999996</v>
      </c>
      <c r="H122" s="62">
        <v>7.827</v>
      </c>
      <c r="I122" s="260">
        <v>7.827</v>
      </c>
      <c r="J122" s="262">
        <f t="shared" si="1"/>
        <v>7.1204166666666679E-2</v>
      </c>
      <c r="L122" s="280"/>
      <c r="M122" s="283"/>
      <c r="N122" s="285"/>
      <c r="O122" s="284"/>
      <c r="P122" s="287"/>
    </row>
    <row r="123" spans="1:16" x14ac:dyDescent="0.2">
      <c r="A123" s="288"/>
      <c r="B123" s="62"/>
      <c r="D123" s="63">
        <v>34700</v>
      </c>
      <c r="E123" s="62">
        <v>7.8220000000000001</v>
      </c>
      <c r="F123" s="62">
        <v>7.9279999999999999</v>
      </c>
      <c r="G123" s="62">
        <v>7.593</v>
      </c>
      <c r="H123" s="62">
        <v>7.593</v>
      </c>
      <c r="I123" s="260">
        <v>7.593</v>
      </c>
      <c r="J123" s="262">
        <f t="shared" si="1"/>
        <v>7.2833333333333347E-2</v>
      </c>
      <c r="K123" s="277"/>
      <c r="L123" s="280"/>
      <c r="M123" s="283"/>
      <c r="N123" s="285"/>
      <c r="O123" s="284"/>
      <c r="P123" s="287"/>
    </row>
    <row r="124" spans="1:16" x14ac:dyDescent="0.2">
      <c r="A124" s="288"/>
      <c r="B124" s="62"/>
      <c r="D124" s="63">
        <v>34731</v>
      </c>
      <c r="E124" s="62">
        <v>7.548</v>
      </c>
      <c r="F124" s="62">
        <v>7.6840000000000002</v>
      </c>
      <c r="G124" s="62">
        <v>7.2060000000000004</v>
      </c>
      <c r="H124" s="62">
        <v>7.21</v>
      </c>
      <c r="I124" s="260">
        <v>7.21</v>
      </c>
      <c r="J124" s="262">
        <f t="shared" si="1"/>
        <v>7.3716666666666666E-2</v>
      </c>
      <c r="K124" s="277"/>
      <c r="L124" s="280"/>
      <c r="M124" s="283"/>
      <c r="N124" s="285"/>
      <c r="O124" s="284"/>
      <c r="P124" s="287"/>
    </row>
    <row r="125" spans="1:16" x14ac:dyDescent="0.2">
      <c r="A125" s="288"/>
      <c r="B125" s="62"/>
      <c r="D125" s="63">
        <v>34759</v>
      </c>
      <c r="E125" s="62">
        <v>7.2320000000000002</v>
      </c>
      <c r="F125" s="62">
        <v>7.4539999999999997</v>
      </c>
      <c r="G125" s="62">
        <v>6.9950000000000001</v>
      </c>
      <c r="H125" s="62">
        <v>7.1890000000000001</v>
      </c>
      <c r="I125" s="260">
        <v>7.1890000000000001</v>
      </c>
      <c r="J125" s="262">
        <f t="shared" si="1"/>
        <v>7.4062500000000003E-2</v>
      </c>
      <c r="K125" s="277"/>
      <c r="L125" s="280"/>
      <c r="M125" s="283"/>
      <c r="N125" s="285"/>
      <c r="O125" s="284"/>
      <c r="P125" s="287"/>
    </row>
    <row r="126" spans="1:16" x14ac:dyDescent="0.2">
      <c r="A126" s="288"/>
      <c r="B126" s="62"/>
      <c r="D126" s="63">
        <v>34790</v>
      </c>
      <c r="E126" s="62">
        <v>7.2030000000000003</v>
      </c>
      <c r="F126" s="62">
        <v>7.2030000000000003</v>
      </c>
      <c r="G126" s="62">
        <v>6.93</v>
      </c>
      <c r="H126" s="62">
        <v>7.0460000000000003</v>
      </c>
      <c r="I126" s="260">
        <v>7.0460000000000003</v>
      </c>
      <c r="J126" s="262">
        <f t="shared" si="1"/>
        <v>7.4071666666666675E-2</v>
      </c>
      <c r="K126" s="277"/>
      <c r="L126" s="280"/>
      <c r="M126" s="283"/>
      <c r="N126" s="285"/>
      <c r="O126" s="284"/>
      <c r="P126" s="287"/>
    </row>
    <row r="127" spans="1:16" x14ac:dyDescent="0.2">
      <c r="A127" s="288"/>
      <c r="B127" s="62"/>
      <c r="D127" s="63">
        <v>34820</v>
      </c>
      <c r="E127" s="62">
        <v>7.0590000000000002</v>
      </c>
      <c r="F127" s="62">
        <v>7.0720000000000001</v>
      </c>
      <c r="G127" s="62">
        <v>6.2560000000000002</v>
      </c>
      <c r="H127" s="62">
        <v>6.2859999999999996</v>
      </c>
      <c r="I127" s="260">
        <v>6.2859999999999996</v>
      </c>
      <c r="J127" s="262">
        <f t="shared" si="1"/>
        <v>7.3349999999999999E-2</v>
      </c>
      <c r="K127" s="277"/>
      <c r="L127" s="280"/>
      <c r="M127" s="283"/>
      <c r="N127" s="285"/>
      <c r="O127" s="284"/>
      <c r="P127" s="287"/>
    </row>
    <row r="128" spans="1:16" x14ac:dyDescent="0.2">
      <c r="A128" s="288"/>
      <c r="B128" s="62"/>
      <c r="D128" s="63">
        <v>34851</v>
      </c>
      <c r="E128" s="62">
        <v>6.2939999999999996</v>
      </c>
      <c r="F128" s="62">
        <v>6.4</v>
      </c>
      <c r="G128" s="62">
        <v>5.8419999999999996</v>
      </c>
      <c r="H128" s="62">
        <v>6.2030000000000003</v>
      </c>
      <c r="I128" s="260">
        <v>6.2030000000000003</v>
      </c>
      <c r="J128" s="262">
        <f t="shared" si="1"/>
        <v>7.241166666666668E-2</v>
      </c>
      <c r="K128" s="277"/>
      <c r="L128" s="280"/>
      <c r="M128" s="283"/>
      <c r="N128" s="285"/>
      <c r="O128" s="284"/>
      <c r="P128" s="287"/>
    </row>
    <row r="129" spans="1:16" x14ac:dyDescent="0.2">
      <c r="A129" s="288"/>
      <c r="B129" s="62"/>
      <c r="D129" s="63">
        <v>34881</v>
      </c>
      <c r="E129" s="62">
        <v>6.1989999999999998</v>
      </c>
      <c r="F129" s="62">
        <v>6.52</v>
      </c>
      <c r="G129" s="62">
        <v>5.9560000000000004</v>
      </c>
      <c r="H129" s="62">
        <v>6.4290000000000003</v>
      </c>
      <c r="I129" s="260">
        <v>6.4290000000000003</v>
      </c>
      <c r="J129" s="262">
        <f t="shared" si="1"/>
        <v>7.1856666666666666E-2</v>
      </c>
      <c r="K129" s="277"/>
      <c r="L129" s="280"/>
      <c r="M129" s="283"/>
      <c r="N129" s="285"/>
      <c r="O129" s="284"/>
      <c r="P129" s="287"/>
    </row>
    <row r="130" spans="1:16" x14ac:dyDescent="0.2">
      <c r="A130" s="288"/>
      <c r="B130" s="62"/>
      <c r="D130" s="63">
        <v>34912</v>
      </c>
      <c r="E130" s="62">
        <v>6.4329999999999998</v>
      </c>
      <c r="F130" s="62">
        <v>6.665</v>
      </c>
      <c r="G130" s="62">
        <v>6.2610000000000001</v>
      </c>
      <c r="H130" s="62">
        <v>6.2729999999999997</v>
      </c>
      <c r="I130" s="260">
        <v>6.2729999999999997</v>
      </c>
      <c r="J130" s="262">
        <f t="shared" si="1"/>
        <v>7.1113333333333334E-2</v>
      </c>
      <c r="K130" s="277"/>
      <c r="L130" s="280"/>
      <c r="M130" s="283"/>
      <c r="N130" s="285"/>
      <c r="O130" s="284"/>
      <c r="P130" s="287"/>
    </row>
    <row r="131" spans="1:16" x14ac:dyDescent="0.2">
      <c r="A131" s="288"/>
      <c r="B131" s="62"/>
      <c r="D131" s="63">
        <v>34943</v>
      </c>
      <c r="E131" s="62">
        <v>6.29</v>
      </c>
      <c r="F131" s="62">
        <v>6.3879999999999999</v>
      </c>
      <c r="G131" s="62">
        <v>6.0540000000000003</v>
      </c>
      <c r="H131" s="62">
        <v>6.157</v>
      </c>
      <c r="I131" s="260">
        <v>6.157</v>
      </c>
      <c r="J131" s="262">
        <f t="shared" si="1"/>
        <v>6.991166666666665E-2</v>
      </c>
      <c r="K131" s="277"/>
      <c r="L131" s="280"/>
      <c r="M131" s="283"/>
      <c r="N131" s="285"/>
      <c r="O131" s="284"/>
      <c r="P131" s="287"/>
    </row>
    <row r="132" spans="1:16" x14ac:dyDescent="0.2">
      <c r="A132" s="288"/>
      <c r="B132" s="62"/>
      <c r="D132" s="63">
        <v>34973</v>
      </c>
      <c r="E132" s="62">
        <v>6.1609999999999996</v>
      </c>
      <c r="F132" s="62">
        <v>6.1740000000000004</v>
      </c>
      <c r="G132" s="62">
        <v>5.9089999999999998</v>
      </c>
      <c r="H132" s="62">
        <v>6.0030000000000001</v>
      </c>
      <c r="I132" s="260">
        <v>6.0030000000000001</v>
      </c>
      <c r="J132" s="262">
        <f t="shared" si="1"/>
        <v>6.8419999999999995E-2</v>
      </c>
      <c r="K132" s="277"/>
      <c r="L132" s="280"/>
      <c r="M132" s="283"/>
      <c r="N132" s="285"/>
      <c r="O132" s="284"/>
      <c r="P132" s="287"/>
    </row>
    <row r="133" spans="1:16" x14ac:dyDescent="0.2">
      <c r="A133" s="288"/>
      <c r="B133" s="62"/>
      <c r="D133" s="63">
        <v>35004</v>
      </c>
      <c r="E133" s="62">
        <v>6.016</v>
      </c>
      <c r="F133" s="62">
        <v>6.032</v>
      </c>
      <c r="G133" s="62">
        <v>5.7329999999999997</v>
      </c>
      <c r="H133" s="62">
        <v>5.7450000000000001</v>
      </c>
      <c r="I133" s="260">
        <v>5.7450000000000001</v>
      </c>
      <c r="J133" s="262">
        <f t="shared" si="1"/>
        <v>6.6634166666666675E-2</v>
      </c>
      <c r="K133" s="277"/>
      <c r="L133" s="280"/>
      <c r="M133" s="283"/>
      <c r="N133" s="285"/>
      <c r="O133" s="284"/>
      <c r="P133" s="287"/>
    </row>
    <row r="134" spans="1:16" x14ac:dyDescent="0.2">
      <c r="A134" s="288"/>
      <c r="B134" s="62"/>
      <c r="D134" s="63">
        <v>35034</v>
      </c>
      <c r="E134" s="62">
        <v>5.7329999999999997</v>
      </c>
      <c r="F134" s="62">
        <v>5.9080000000000004</v>
      </c>
      <c r="G134" s="62">
        <v>5.3390000000000004</v>
      </c>
      <c r="H134" s="62">
        <v>5.5750000000000002</v>
      </c>
      <c r="I134" s="260">
        <v>5.5750000000000002</v>
      </c>
      <c r="J134" s="262">
        <f t="shared" si="1"/>
        <v>6.4757500000000009E-2</v>
      </c>
      <c r="K134" s="277"/>
      <c r="L134" s="280"/>
      <c r="M134" s="283"/>
      <c r="N134" s="285"/>
      <c r="O134" s="284"/>
      <c r="P134" s="287"/>
    </row>
    <row r="135" spans="1:16" x14ac:dyDescent="0.2">
      <c r="A135" s="288"/>
      <c r="B135" s="62"/>
      <c r="D135" s="63">
        <v>35065</v>
      </c>
      <c r="E135" s="62">
        <v>5.5830000000000002</v>
      </c>
      <c r="F135" s="62">
        <v>5.806</v>
      </c>
      <c r="G135" s="62">
        <v>5.4870000000000001</v>
      </c>
      <c r="H135" s="62">
        <v>5.5810000000000004</v>
      </c>
      <c r="I135" s="260">
        <v>5.5810000000000004</v>
      </c>
      <c r="J135" s="262">
        <f t="shared" si="1"/>
        <v>6.308083333333335E-2</v>
      </c>
      <c r="K135" s="277"/>
      <c r="L135" s="280"/>
      <c r="M135" s="283"/>
      <c r="N135" s="285"/>
      <c r="O135" s="284"/>
      <c r="P135" s="287"/>
    </row>
    <row r="136" spans="1:16" x14ac:dyDescent="0.2">
      <c r="A136" s="288"/>
      <c r="B136" s="62"/>
      <c r="D136" s="63">
        <v>35096</v>
      </c>
      <c r="E136" s="62">
        <v>5.593</v>
      </c>
      <c r="F136" s="62">
        <v>6.194</v>
      </c>
      <c r="G136" s="62">
        <v>5.5510000000000002</v>
      </c>
      <c r="H136" s="62">
        <v>6.1120000000000001</v>
      </c>
      <c r="I136" s="260">
        <v>6.1120000000000001</v>
      </c>
      <c r="J136" s="262">
        <f t="shared" si="1"/>
        <v>6.2165833333333323E-2</v>
      </c>
      <c r="K136" s="277"/>
      <c r="L136" s="280"/>
      <c r="M136" s="283"/>
      <c r="N136" s="285"/>
      <c r="O136" s="284"/>
      <c r="P136" s="287"/>
    </row>
    <row r="137" spans="1:16" x14ac:dyDescent="0.2">
      <c r="A137" s="288"/>
      <c r="B137" s="62"/>
      <c r="D137" s="63">
        <v>35125</v>
      </c>
      <c r="E137" s="62">
        <v>6.0339999999999998</v>
      </c>
      <c r="F137" s="62">
        <v>6.5190000000000001</v>
      </c>
      <c r="G137" s="62">
        <v>5.9020000000000001</v>
      </c>
      <c r="H137" s="62">
        <v>6.3339999999999996</v>
      </c>
      <c r="I137" s="260">
        <v>6.3339999999999996</v>
      </c>
      <c r="J137" s="262">
        <f t="shared" si="1"/>
        <v>6.1453333333333332E-2</v>
      </c>
      <c r="K137" s="277"/>
      <c r="L137" s="280"/>
      <c r="M137" s="283"/>
      <c r="N137" s="285"/>
      <c r="O137" s="284"/>
      <c r="P137" s="287"/>
    </row>
    <row r="138" spans="1:16" x14ac:dyDescent="0.2">
      <c r="A138" s="288"/>
      <c r="B138" s="62"/>
      <c r="D138" s="63">
        <v>35156</v>
      </c>
      <c r="E138" s="62">
        <v>6.3120000000000003</v>
      </c>
      <c r="F138" s="62">
        <v>6.7309999999999999</v>
      </c>
      <c r="G138" s="62">
        <v>6.2370000000000001</v>
      </c>
      <c r="H138" s="62">
        <v>6.633</v>
      </c>
      <c r="I138" s="260">
        <v>6.633</v>
      </c>
      <c r="J138" s="262">
        <f t="shared" si="1"/>
        <v>6.1109166666666673E-2</v>
      </c>
      <c r="K138" s="277"/>
      <c r="L138" s="280"/>
      <c r="M138" s="283"/>
      <c r="N138" s="285"/>
      <c r="O138" s="284"/>
      <c r="P138" s="287"/>
    </row>
    <row r="139" spans="1:16" x14ac:dyDescent="0.2">
      <c r="A139" s="288"/>
      <c r="B139" s="62"/>
      <c r="D139" s="63">
        <v>35186</v>
      </c>
      <c r="E139" s="62">
        <v>6.6890000000000001</v>
      </c>
      <c r="F139" s="62">
        <v>6.9</v>
      </c>
      <c r="G139" s="62">
        <v>6.585</v>
      </c>
      <c r="H139" s="62">
        <v>6.8440000000000003</v>
      </c>
      <c r="I139" s="260">
        <v>6.8440000000000003</v>
      </c>
      <c r="J139" s="262">
        <f t="shared" si="1"/>
        <v>6.1574166666666666E-2</v>
      </c>
      <c r="K139" s="277"/>
      <c r="L139" s="280"/>
      <c r="M139" s="283"/>
      <c r="N139" s="285"/>
      <c r="O139" s="284"/>
      <c r="P139" s="287"/>
    </row>
    <row r="140" spans="1:16" x14ac:dyDescent="0.2">
      <c r="A140" s="288"/>
      <c r="B140" s="62"/>
      <c r="D140" s="63">
        <v>35217</v>
      </c>
      <c r="E140" s="62">
        <v>6.8739999999999997</v>
      </c>
      <c r="F140" s="62">
        <v>7.056</v>
      </c>
      <c r="G140" s="62">
        <v>6.6849999999999996</v>
      </c>
      <c r="H140" s="62">
        <v>6.7110000000000003</v>
      </c>
      <c r="I140" s="260">
        <v>6.7110000000000003</v>
      </c>
      <c r="J140" s="262">
        <f t="shared" ref="J140:J203" si="2">AVERAGE(I129:I140)/100</f>
        <v>6.1997500000000011E-2</v>
      </c>
      <c r="K140" s="277"/>
      <c r="L140" s="280"/>
      <c r="M140" s="283"/>
      <c r="N140" s="285"/>
      <c r="O140" s="284"/>
      <c r="P140" s="287"/>
    </row>
    <row r="141" spans="1:16" x14ac:dyDescent="0.2">
      <c r="A141" s="288"/>
      <c r="B141" s="62"/>
      <c r="D141" s="63">
        <v>35247</v>
      </c>
      <c r="E141" s="62">
        <v>6.7240000000000002</v>
      </c>
      <c r="F141" s="62">
        <v>7.0960000000000001</v>
      </c>
      <c r="G141" s="62">
        <v>6.7050000000000001</v>
      </c>
      <c r="H141" s="62">
        <v>6.79</v>
      </c>
      <c r="I141" s="260">
        <v>6.79</v>
      </c>
      <c r="J141" s="262">
        <f t="shared" si="2"/>
        <v>6.2298333333333344E-2</v>
      </c>
      <c r="K141" s="277"/>
      <c r="L141" s="280"/>
      <c r="M141" s="283"/>
      <c r="N141" s="285"/>
      <c r="O141" s="284"/>
      <c r="P141" s="287"/>
    </row>
    <row r="142" spans="1:16" x14ac:dyDescent="0.2">
      <c r="A142" s="288"/>
      <c r="B142" s="62"/>
      <c r="D142" s="63">
        <v>35278</v>
      </c>
      <c r="E142" s="62">
        <v>6.7720000000000002</v>
      </c>
      <c r="F142" s="62">
        <v>6.9809999999999999</v>
      </c>
      <c r="G142" s="62">
        <v>6.4290000000000003</v>
      </c>
      <c r="H142" s="62">
        <v>6.9359999999999999</v>
      </c>
      <c r="I142" s="260">
        <v>6.9359999999999999</v>
      </c>
      <c r="J142" s="262">
        <f t="shared" si="2"/>
        <v>6.2850833333333356E-2</v>
      </c>
      <c r="K142" s="277"/>
      <c r="L142" s="280"/>
      <c r="M142" s="283"/>
      <c r="N142" s="285"/>
      <c r="O142" s="284"/>
      <c r="P142" s="287"/>
    </row>
    <row r="143" spans="1:16" x14ac:dyDescent="0.2">
      <c r="A143" s="288"/>
      <c r="B143" s="62"/>
      <c r="D143" s="63">
        <v>35309</v>
      </c>
      <c r="E143" s="62">
        <v>6.9889999999999999</v>
      </c>
      <c r="F143" s="62">
        <v>7.0650000000000004</v>
      </c>
      <c r="G143" s="62">
        <v>6.5949999999999998</v>
      </c>
      <c r="H143" s="62">
        <v>6.6989999999999998</v>
      </c>
      <c r="I143" s="260">
        <v>6.6989999999999998</v>
      </c>
      <c r="J143" s="262">
        <f t="shared" si="2"/>
        <v>6.3302499999999998E-2</v>
      </c>
      <c r="K143" s="277"/>
      <c r="L143" s="280"/>
      <c r="M143" s="283"/>
      <c r="N143" s="285"/>
      <c r="O143" s="284"/>
      <c r="P143" s="287"/>
    </row>
    <row r="144" spans="1:16" x14ac:dyDescent="0.2">
      <c r="A144" s="288"/>
      <c r="B144" s="62"/>
      <c r="D144" s="63">
        <v>35339</v>
      </c>
      <c r="E144" s="62">
        <v>6.7030000000000003</v>
      </c>
      <c r="F144" s="62">
        <v>6.7030000000000003</v>
      </c>
      <c r="G144" s="62">
        <v>6.3239999999999998</v>
      </c>
      <c r="H144" s="62">
        <v>6.3490000000000002</v>
      </c>
      <c r="I144" s="260">
        <v>6.3490000000000002</v>
      </c>
      <c r="J144" s="262">
        <f t="shared" si="2"/>
        <v>6.3590833333333333E-2</v>
      </c>
      <c r="K144" s="277"/>
      <c r="L144" s="280"/>
      <c r="M144" s="283"/>
      <c r="N144" s="285"/>
      <c r="O144" s="284"/>
      <c r="P144" s="287"/>
    </row>
    <row r="145" spans="1:16" x14ac:dyDescent="0.2">
      <c r="A145" s="288"/>
      <c r="B145" s="62"/>
      <c r="D145" s="63">
        <v>35370</v>
      </c>
      <c r="E145" s="62">
        <v>6.3070000000000004</v>
      </c>
      <c r="F145" s="62">
        <v>6.383</v>
      </c>
      <c r="G145" s="62">
        <v>6.04</v>
      </c>
      <c r="H145" s="62">
        <v>6.04</v>
      </c>
      <c r="I145" s="260">
        <v>6.04</v>
      </c>
      <c r="J145" s="262">
        <f t="shared" si="2"/>
        <v>6.383666666666668E-2</v>
      </c>
      <c r="K145" s="277"/>
      <c r="L145" s="280"/>
      <c r="M145" s="283"/>
      <c r="N145" s="285"/>
      <c r="O145" s="284"/>
      <c r="P145" s="287"/>
    </row>
    <row r="146" spans="1:16" x14ac:dyDescent="0.2">
      <c r="A146" s="288"/>
      <c r="B146" s="62"/>
      <c r="D146" s="63">
        <v>35400</v>
      </c>
      <c r="E146" s="62">
        <v>6.056</v>
      </c>
      <c r="F146" s="62">
        <v>6.4589999999999996</v>
      </c>
      <c r="G146" s="62">
        <v>5.9980000000000002</v>
      </c>
      <c r="H146" s="62">
        <v>6.407</v>
      </c>
      <c r="I146" s="260">
        <v>6.407</v>
      </c>
      <c r="J146" s="262">
        <f t="shared" si="2"/>
        <v>6.4530000000000004E-2</v>
      </c>
      <c r="K146" s="277"/>
      <c r="L146" s="280"/>
      <c r="M146" s="283"/>
      <c r="N146" s="285"/>
      <c r="O146" s="284"/>
      <c r="P146" s="287"/>
    </row>
    <row r="147" spans="1:16" x14ac:dyDescent="0.2">
      <c r="A147" s="288"/>
      <c r="B147" s="62"/>
      <c r="D147" s="63">
        <v>35431</v>
      </c>
      <c r="E147" s="62">
        <v>6.407</v>
      </c>
      <c r="F147" s="62">
        <v>6.7649999999999997</v>
      </c>
      <c r="G147" s="62">
        <v>6.3769999999999998</v>
      </c>
      <c r="H147" s="62">
        <v>6.5030000000000001</v>
      </c>
      <c r="I147" s="260">
        <v>6.5030000000000001</v>
      </c>
      <c r="J147" s="262">
        <f t="shared" si="2"/>
        <v>6.5298333333333333E-2</v>
      </c>
      <c r="K147" s="277"/>
      <c r="L147" s="280"/>
      <c r="M147" s="283"/>
      <c r="N147" s="285"/>
      <c r="O147" s="284"/>
      <c r="P147" s="287"/>
    </row>
    <row r="148" spans="1:16" x14ac:dyDescent="0.2">
      <c r="A148" s="288"/>
      <c r="B148" s="62"/>
      <c r="D148" s="63">
        <v>35462</v>
      </c>
      <c r="E148" s="62">
        <v>6.4889999999999999</v>
      </c>
      <c r="F148" s="62">
        <v>6.5830000000000002</v>
      </c>
      <c r="G148" s="62">
        <v>6.1059999999999999</v>
      </c>
      <c r="H148" s="62">
        <v>6.5350000000000001</v>
      </c>
      <c r="I148" s="260">
        <v>6.5350000000000001</v>
      </c>
      <c r="J148" s="262">
        <f t="shared" si="2"/>
        <v>6.5650833333333325E-2</v>
      </c>
      <c r="K148" s="277"/>
      <c r="L148" s="280"/>
      <c r="M148" s="283"/>
      <c r="N148" s="285"/>
      <c r="O148" s="284"/>
      <c r="P148" s="287"/>
    </row>
    <row r="149" spans="1:16" x14ac:dyDescent="0.2">
      <c r="A149" s="288"/>
      <c r="B149" s="62"/>
      <c r="D149" s="63">
        <v>35490</v>
      </c>
      <c r="E149" s="62">
        <v>6.5789999999999997</v>
      </c>
      <c r="F149" s="62">
        <v>6.9119999999999999</v>
      </c>
      <c r="G149" s="62">
        <v>6.5259999999999998</v>
      </c>
      <c r="H149" s="62">
        <v>6.907</v>
      </c>
      <c r="I149" s="260">
        <v>6.907</v>
      </c>
      <c r="J149" s="262">
        <f t="shared" si="2"/>
        <v>6.6128333333333331E-2</v>
      </c>
      <c r="K149" s="277"/>
      <c r="L149" s="280"/>
      <c r="M149" s="283"/>
      <c r="N149" s="285"/>
      <c r="O149" s="284"/>
      <c r="P149" s="287"/>
    </row>
    <row r="150" spans="1:16" x14ac:dyDescent="0.2">
      <c r="A150" s="288"/>
      <c r="B150" s="62"/>
      <c r="D150" s="63">
        <v>35521</v>
      </c>
      <c r="E150" s="62">
        <v>6.8979999999999997</v>
      </c>
      <c r="F150" s="62">
        <v>6.9859999999999998</v>
      </c>
      <c r="G150" s="62">
        <v>6.6749999999999998</v>
      </c>
      <c r="H150" s="62">
        <v>6.702</v>
      </c>
      <c r="I150" s="260">
        <v>6.702</v>
      </c>
      <c r="J150" s="262">
        <f t="shared" si="2"/>
        <v>6.6185833333333333E-2</v>
      </c>
      <c r="K150" s="277"/>
      <c r="L150" s="280"/>
      <c r="M150" s="283"/>
      <c r="N150" s="285"/>
      <c r="O150" s="284"/>
      <c r="P150" s="287"/>
    </row>
    <row r="151" spans="1:16" x14ac:dyDescent="0.2">
      <c r="A151" s="288"/>
      <c r="B151" s="62"/>
      <c r="D151" s="63">
        <v>35551</v>
      </c>
      <c r="E151" s="62">
        <v>6.6980000000000004</v>
      </c>
      <c r="F151" s="62">
        <v>6.8120000000000003</v>
      </c>
      <c r="G151" s="62">
        <v>6.6159999999999997</v>
      </c>
      <c r="H151" s="62">
        <v>6.6630000000000003</v>
      </c>
      <c r="I151" s="260">
        <v>6.6630000000000003</v>
      </c>
      <c r="J151" s="262">
        <f t="shared" si="2"/>
        <v>6.6034999999999996E-2</v>
      </c>
      <c r="K151" s="277"/>
      <c r="L151" s="280"/>
      <c r="M151" s="283"/>
      <c r="N151" s="285"/>
      <c r="O151" s="284"/>
      <c r="P151" s="287"/>
    </row>
    <row r="152" spans="1:16" x14ac:dyDescent="0.2">
      <c r="A152" s="288"/>
      <c r="B152" s="62"/>
      <c r="D152" s="63">
        <v>35582</v>
      </c>
      <c r="E152" s="62">
        <v>6.6420000000000003</v>
      </c>
      <c r="F152" s="62">
        <v>6.6849999999999996</v>
      </c>
      <c r="G152" s="62">
        <v>6.3440000000000003</v>
      </c>
      <c r="H152" s="62">
        <v>6.5019999999999998</v>
      </c>
      <c r="I152" s="260">
        <v>6.5019999999999998</v>
      </c>
      <c r="J152" s="262">
        <f t="shared" si="2"/>
        <v>6.5860833333333313E-2</v>
      </c>
      <c r="K152" s="277"/>
      <c r="L152" s="280"/>
      <c r="M152" s="283"/>
      <c r="N152" s="285"/>
      <c r="O152" s="284"/>
      <c r="P152" s="287"/>
    </row>
    <row r="153" spans="1:16" x14ac:dyDescent="0.2">
      <c r="A153" s="288"/>
      <c r="B153" s="62"/>
      <c r="D153" s="63">
        <v>35612</v>
      </c>
      <c r="E153" s="62">
        <v>6.4980000000000002</v>
      </c>
      <c r="F153" s="62">
        <v>6.5110000000000001</v>
      </c>
      <c r="G153" s="62">
        <v>5.992</v>
      </c>
      <c r="H153" s="62">
        <v>6.0039999999999996</v>
      </c>
      <c r="I153" s="260">
        <v>6.0039999999999996</v>
      </c>
      <c r="J153" s="262">
        <f t="shared" si="2"/>
        <v>6.5205833333333324E-2</v>
      </c>
      <c r="K153" s="277"/>
      <c r="L153" s="280"/>
      <c r="M153" s="283"/>
      <c r="N153" s="285"/>
      <c r="O153" s="284"/>
      <c r="P153" s="287"/>
    </row>
    <row r="154" spans="1:16" x14ac:dyDescent="0.2">
      <c r="A154" s="288"/>
      <c r="B154" s="62"/>
      <c r="D154" s="63">
        <v>35643</v>
      </c>
      <c r="E154" s="62">
        <v>5.992</v>
      </c>
      <c r="F154" s="62">
        <v>6.4249999999999998</v>
      </c>
      <c r="G154" s="62">
        <v>5.992</v>
      </c>
      <c r="H154" s="62">
        <v>6.33</v>
      </c>
      <c r="I154" s="260">
        <v>6.33</v>
      </c>
      <c r="J154" s="262">
        <f t="shared" si="2"/>
        <v>6.4700833333333319E-2</v>
      </c>
      <c r="K154" s="277"/>
      <c r="L154" s="280"/>
      <c r="M154" s="283"/>
      <c r="N154" s="285"/>
      <c r="O154" s="284"/>
      <c r="P154" s="287"/>
    </row>
    <row r="155" spans="1:16" x14ac:dyDescent="0.2">
      <c r="A155" s="288"/>
      <c r="B155" s="62"/>
      <c r="D155" s="63">
        <v>35674</v>
      </c>
      <c r="E155" s="62">
        <v>6.3559999999999999</v>
      </c>
      <c r="F155" s="62">
        <v>6.391</v>
      </c>
      <c r="G155" s="62">
        <v>6.0220000000000002</v>
      </c>
      <c r="H155" s="62">
        <v>6.1070000000000002</v>
      </c>
      <c r="I155" s="260">
        <v>6.1070000000000002</v>
      </c>
      <c r="J155" s="262">
        <f t="shared" si="2"/>
        <v>6.4207499999999987E-2</v>
      </c>
      <c r="K155" s="277"/>
      <c r="L155" s="280"/>
      <c r="M155" s="283"/>
      <c r="N155" s="285"/>
      <c r="O155" s="284"/>
      <c r="P155" s="287"/>
    </row>
    <row r="156" spans="1:16" x14ac:dyDescent="0.2">
      <c r="A156" s="288"/>
      <c r="B156" s="62"/>
      <c r="D156" s="63">
        <v>35704</v>
      </c>
      <c r="E156" s="62">
        <v>6.0810000000000004</v>
      </c>
      <c r="F156" s="62">
        <v>6.2089999999999996</v>
      </c>
      <c r="G156" s="62">
        <v>5.74</v>
      </c>
      <c r="H156" s="62">
        <v>5.819</v>
      </c>
      <c r="I156" s="260">
        <v>5.819</v>
      </c>
      <c r="J156" s="262">
        <f t="shared" si="2"/>
        <v>6.3765833333333327E-2</v>
      </c>
      <c r="K156" s="277"/>
      <c r="L156" s="280"/>
      <c r="M156" s="283"/>
      <c r="N156" s="285"/>
      <c r="O156" s="284"/>
      <c r="P156" s="287"/>
    </row>
    <row r="157" spans="1:16" x14ac:dyDescent="0.2">
      <c r="A157" s="288"/>
      <c r="B157" s="62"/>
      <c r="D157" s="63">
        <v>35735</v>
      </c>
      <c r="E157" s="62">
        <v>5.8769999999999998</v>
      </c>
      <c r="F157" s="62">
        <v>5.9569999999999999</v>
      </c>
      <c r="G157" s="62">
        <v>5.7839999999999998</v>
      </c>
      <c r="H157" s="62">
        <v>5.851</v>
      </c>
      <c r="I157" s="260">
        <v>5.851</v>
      </c>
      <c r="J157" s="262">
        <f t="shared" si="2"/>
        <v>6.3608333333333322E-2</v>
      </c>
      <c r="K157" s="277"/>
      <c r="L157" s="280"/>
      <c r="M157" s="283"/>
      <c r="N157" s="285"/>
      <c r="O157" s="284"/>
      <c r="P157" s="287"/>
    </row>
    <row r="158" spans="1:16" x14ac:dyDescent="0.2">
      <c r="A158" s="288"/>
      <c r="B158" s="62"/>
      <c r="D158" s="63">
        <v>35765</v>
      </c>
      <c r="E158" s="62">
        <v>5.851</v>
      </c>
      <c r="F158" s="62">
        <v>5.9770000000000003</v>
      </c>
      <c r="G158" s="62">
        <v>5.6609999999999996</v>
      </c>
      <c r="H158" s="62">
        <v>5.7389999999999999</v>
      </c>
      <c r="I158" s="260">
        <v>5.7389999999999999</v>
      </c>
      <c r="J158" s="262">
        <f t="shared" si="2"/>
        <v>6.3051666666666673E-2</v>
      </c>
      <c r="K158" s="277"/>
      <c r="L158" s="280"/>
      <c r="M158" s="283"/>
      <c r="N158" s="285"/>
      <c r="O158" s="284"/>
      <c r="P158" s="287"/>
    </row>
    <row r="159" spans="1:16" x14ac:dyDescent="0.2">
      <c r="A159" s="288"/>
      <c r="B159" s="62"/>
      <c r="D159" s="63">
        <v>35796</v>
      </c>
      <c r="E159" s="62">
        <v>5.7309999999999999</v>
      </c>
      <c r="F159" s="62">
        <v>5.7350000000000003</v>
      </c>
      <c r="G159" s="62">
        <v>5.2809999999999997</v>
      </c>
      <c r="H159" s="62">
        <v>5.5119999999999996</v>
      </c>
      <c r="I159" s="260">
        <v>5.5119999999999996</v>
      </c>
      <c r="J159" s="262">
        <f t="shared" si="2"/>
        <v>6.2225833333333327E-2</v>
      </c>
      <c r="K159" s="277"/>
      <c r="L159" s="280"/>
      <c r="M159" s="283"/>
      <c r="N159" s="285"/>
      <c r="O159" s="284"/>
      <c r="P159" s="287"/>
    </row>
    <row r="160" spans="1:16" x14ac:dyDescent="0.2">
      <c r="A160" s="288"/>
      <c r="B160" s="62"/>
      <c r="D160" s="63">
        <v>35827</v>
      </c>
      <c r="E160" s="62">
        <v>5.5279999999999996</v>
      </c>
      <c r="F160" s="62">
        <v>5.7030000000000003</v>
      </c>
      <c r="G160" s="62">
        <v>5.4059999999999997</v>
      </c>
      <c r="H160" s="62">
        <v>5.6159999999999997</v>
      </c>
      <c r="I160" s="260">
        <v>5.6159999999999997</v>
      </c>
      <c r="J160" s="262">
        <f t="shared" si="2"/>
        <v>6.1460000000000001E-2</v>
      </c>
      <c r="K160" s="277"/>
      <c r="L160" s="280"/>
      <c r="M160" s="283"/>
      <c r="N160" s="285"/>
      <c r="O160" s="284"/>
      <c r="P160" s="287"/>
    </row>
    <row r="161" spans="1:16" x14ac:dyDescent="0.2">
      <c r="A161" s="288"/>
      <c r="B161" s="62"/>
      <c r="D161" s="63">
        <v>35855</v>
      </c>
      <c r="E161" s="62">
        <v>5.6280000000000001</v>
      </c>
      <c r="F161" s="62">
        <v>5.83</v>
      </c>
      <c r="G161" s="62">
        <v>5.4989999999999997</v>
      </c>
      <c r="H161" s="62">
        <v>5.6619999999999999</v>
      </c>
      <c r="I161" s="260">
        <v>5.6619999999999999</v>
      </c>
      <c r="J161" s="262">
        <f t="shared" si="2"/>
        <v>6.0422500000000004E-2</v>
      </c>
      <c r="K161" s="277"/>
      <c r="L161" s="280"/>
      <c r="M161" s="283"/>
      <c r="N161" s="285"/>
      <c r="O161" s="284"/>
      <c r="P161" s="287"/>
    </row>
    <row r="162" spans="1:16" x14ac:dyDescent="0.2">
      <c r="A162" s="288"/>
      <c r="B162" s="62"/>
      <c r="D162" s="63">
        <v>35886</v>
      </c>
      <c r="E162" s="62">
        <v>5.641</v>
      </c>
      <c r="F162" s="62">
        <v>5.8250000000000002</v>
      </c>
      <c r="G162" s="62">
        <v>5.4039999999999999</v>
      </c>
      <c r="H162" s="62">
        <v>5.6669999999999998</v>
      </c>
      <c r="I162" s="260">
        <v>5.6669999999999998</v>
      </c>
      <c r="J162" s="262">
        <f t="shared" si="2"/>
        <v>5.9559999999999995E-2</v>
      </c>
      <c r="K162" s="277"/>
      <c r="L162" s="280"/>
      <c r="M162" s="283"/>
      <c r="N162" s="285"/>
      <c r="O162" s="284"/>
      <c r="P162" s="287"/>
    </row>
    <row r="163" spans="1:16" x14ac:dyDescent="0.2">
      <c r="A163" s="288"/>
      <c r="B163" s="62"/>
      <c r="D163" s="63">
        <v>35916</v>
      </c>
      <c r="E163" s="62">
        <v>5.6420000000000003</v>
      </c>
      <c r="F163" s="62">
        <v>5.7690000000000001</v>
      </c>
      <c r="G163" s="62">
        <v>5.5259999999999998</v>
      </c>
      <c r="H163" s="62">
        <v>5.5460000000000003</v>
      </c>
      <c r="I163" s="260">
        <v>5.5460000000000003</v>
      </c>
      <c r="J163" s="262">
        <f t="shared" si="2"/>
        <v>5.862916666666667E-2</v>
      </c>
      <c r="K163" s="277"/>
      <c r="L163" s="280"/>
      <c r="M163" s="283"/>
      <c r="N163" s="285"/>
      <c r="O163" s="284"/>
      <c r="P163" s="287"/>
    </row>
    <row r="164" spans="1:16" x14ac:dyDescent="0.2">
      <c r="A164" s="288"/>
      <c r="B164" s="62"/>
      <c r="D164" s="63">
        <v>35947</v>
      </c>
      <c r="E164" s="62">
        <v>5.5259999999999998</v>
      </c>
      <c r="F164" s="62">
        <v>5.6239999999999997</v>
      </c>
      <c r="G164" s="62">
        <v>5.3659999999999997</v>
      </c>
      <c r="H164" s="62">
        <v>5.4340000000000002</v>
      </c>
      <c r="I164" s="260">
        <v>5.4340000000000002</v>
      </c>
      <c r="J164" s="262">
        <f t="shared" si="2"/>
        <v>5.7739166666666654E-2</v>
      </c>
      <c r="K164" s="277"/>
      <c r="L164" s="280"/>
      <c r="M164" s="283"/>
      <c r="N164" s="285"/>
      <c r="O164" s="284"/>
      <c r="P164" s="287"/>
    </row>
    <row r="165" spans="1:16" x14ac:dyDescent="0.2">
      <c r="A165" s="288"/>
      <c r="B165" s="62"/>
      <c r="D165" s="63">
        <v>35977</v>
      </c>
      <c r="E165" s="62">
        <v>5.45</v>
      </c>
      <c r="F165" s="62">
        <v>5.5490000000000004</v>
      </c>
      <c r="G165" s="62">
        <v>5.3689999999999998</v>
      </c>
      <c r="H165" s="62">
        <v>5.4939999999999998</v>
      </c>
      <c r="I165" s="260">
        <v>5.4939999999999998</v>
      </c>
      <c r="J165" s="262">
        <f t="shared" si="2"/>
        <v>5.7314166666666652E-2</v>
      </c>
      <c r="K165" s="277"/>
      <c r="L165" s="280"/>
      <c r="M165" s="283"/>
      <c r="N165" s="285"/>
      <c r="O165" s="284"/>
      <c r="P165" s="287"/>
    </row>
    <row r="166" spans="1:16" x14ac:dyDescent="0.2">
      <c r="A166" s="288"/>
      <c r="B166" s="62"/>
      <c r="D166" s="63">
        <v>36008</v>
      </c>
      <c r="E166" s="62">
        <v>5.4740000000000002</v>
      </c>
      <c r="F166" s="62">
        <v>5.4740000000000002</v>
      </c>
      <c r="G166" s="62">
        <v>5.0170000000000003</v>
      </c>
      <c r="H166" s="62">
        <v>5.032</v>
      </c>
      <c r="I166" s="260">
        <v>5.032</v>
      </c>
      <c r="J166" s="262">
        <f t="shared" si="2"/>
        <v>5.6232499999999998E-2</v>
      </c>
      <c r="K166" s="277"/>
      <c r="L166" s="280"/>
      <c r="M166" s="283"/>
      <c r="N166" s="285"/>
      <c r="O166" s="284"/>
      <c r="P166" s="287"/>
    </row>
    <row r="167" spans="1:16" x14ac:dyDescent="0.2">
      <c r="A167" s="288"/>
      <c r="B167" s="62"/>
      <c r="D167" s="63">
        <v>36039</v>
      </c>
      <c r="E167" s="62">
        <v>5.0199999999999996</v>
      </c>
      <c r="F167" s="62">
        <v>5.1079999999999997</v>
      </c>
      <c r="G167" s="62">
        <v>4.4020000000000001</v>
      </c>
      <c r="H167" s="62">
        <v>4.41</v>
      </c>
      <c r="I167" s="260">
        <v>4.41</v>
      </c>
      <c r="J167" s="262">
        <f t="shared" si="2"/>
        <v>5.481833333333333E-2</v>
      </c>
      <c r="K167" s="277"/>
      <c r="L167" s="280"/>
      <c r="M167" s="283"/>
      <c r="N167" s="285"/>
      <c r="O167" s="284"/>
      <c r="P167" s="287"/>
    </row>
    <row r="168" spans="1:16" x14ac:dyDescent="0.2">
      <c r="A168" s="288"/>
      <c r="B168" s="62"/>
      <c r="D168" s="63">
        <v>36069</v>
      </c>
      <c r="E168" s="62">
        <v>4.3259999999999996</v>
      </c>
      <c r="F168" s="62">
        <v>4.8390000000000004</v>
      </c>
      <c r="G168" s="62">
        <v>4.101</v>
      </c>
      <c r="H168" s="62">
        <v>4.6029999999999998</v>
      </c>
      <c r="I168" s="260">
        <v>4.6029999999999998</v>
      </c>
      <c r="J168" s="262">
        <f t="shared" si="2"/>
        <v>5.3804999999999985E-2</v>
      </c>
      <c r="K168" s="277"/>
      <c r="L168" s="280"/>
      <c r="M168" s="283"/>
      <c r="N168" s="285"/>
      <c r="O168" s="284"/>
      <c r="P168" s="287"/>
    </row>
    <row r="169" spans="1:16" x14ac:dyDescent="0.2">
      <c r="A169" s="288"/>
      <c r="B169" s="62"/>
      <c r="D169" s="63">
        <v>36100</v>
      </c>
      <c r="E169" s="62">
        <v>4.6260000000000003</v>
      </c>
      <c r="F169" s="62">
        <v>4.9660000000000002</v>
      </c>
      <c r="G169" s="62">
        <v>4.6070000000000002</v>
      </c>
      <c r="H169" s="62">
        <v>4.726</v>
      </c>
      <c r="I169" s="260">
        <v>4.726</v>
      </c>
      <c r="J169" s="262">
        <f t="shared" si="2"/>
        <v>5.2867499999999998E-2</v>
      </c>
      <c r="K169" s="277"/>
      <c r="L169" s="280"/>
      <c r="M169" s="283"/>
      <c r="N169" s="285"/>
      <c r="O169" s="284"/>
      <c r="P169" s="287"/>
    </row>
    <row r="170" spans="1:16" x14ac:dyDescent="0.2">
      <c r="A170" s="288"/>
      <c r="B170" s="62"/>
      <c r="D170" s="63">
        <v>36130</v>
      </c>
      <c r="E170" s="62">
        <v>4.6779999999999999</v>
      </c>
      <c r="F170" s="62">
        <v>4.8780000000000001</v>
      </c>
      <c r="G170" s="62">
        <v>4.4980000000000002</v>
      </c>
      <c r="H170" s="62">
        <v>4.6379999999999999</v>
      </c>
      <c r="I170" s="260">
        <v>4.6379999999999999</v>
      </c>
      <c r="J170" s="262">
        <f t="shared" si="2"/>
        <v>5.1949999999999996E-2</v>
      </c>
      <c r="K170" s="277"/>
      <c r="L170" s="280"/>
      <c r="M170" s="283"/>
      <c r="N170" s="285"/>
      <c r="O170" s="284"/>
      <c r="P170" s="287"/>
    </row>
    <row r="171" spans="1:16" x14ac:dyDescent="0.2">
      <c r="A171" s="288"/>
      <c r="B171" s="62"/>
      <c r="D171" s="63">
        <v>36161</v>
      </c>
      <c r="E171" s="62">
        <v>4.6379999999999999</v>
      </c>
      <c r="F171" s="62">
        <v>4.944</v>
      </c>
      <c r="G171" s="62">
        <v>4.6100000000000003</v>
      </c>
      <c r="H171" s="62">
        <v>4.6529999999999996</v>
      </c>
      <c r="I171" s="260">
        <v>4.6529999999999996</v>
      </c>
      <c r="J171" s="262">
        <f t="shared" si="2"/>
        <v>5.1234166666666657E-2</v>
      </c>
      <c r="K171" s="277"/>
      <c r="L171" s="280"/>
      <c r="M171" s="283"/>
      <c r="N171" s="285"/>
      <c r="O171" s="284"/>
      <c r="P171" s="287"/>
    </row>
    <row r="172" spans="1:16" x14ac:dyDescent="0.2">
      <c r="A172" s="288"/>
      <c r="B172" s="62"/>
      <c r="D172" s="63">
        <v>36192</v>
      </c>
      <c r="E172" s="62">
        <v>4.673</v>
      </c>
      <c r="F172" s="62">
        <v>5.3449999999999998</v>
      </c>
      <c r="G172" s="62">
        <v>4.673</v>
      </c>
      <c r="H172" s="62">
        <v>5.2720000000000002</v>
      </c>
      <c r="I172" s="260">
        <v>5.2720000000000002</v>
      </c>
      <c r="J172" s="262">
        <f t="shared" si="2"/>
        <v>5.0947500000000007E-2</v>
      </c>
      <c r="K172" s="277"/>
      <c r="L172" s="280"/>
      <c r="M172" s="283"/>
      <c r="N172" s="285"/>
      <c r="O172" s="284"/>
      <c r="P172" s="287"/>
    </row>
    <row r="173" spans="1:16" x14ac:dyDescent="0.2">
      <c r="A173" s="288"/>
      <c r="B173" s="62"/>
      <c r="D173" s="63">
        <v>36220</v>
      </c>
      <c r="E173" s="62">
        <v>5.2850000000000001</v>
      </c>
      <c r="F173" s="62">
        <v>5.4269999999999996</v>
      </c>
      <c r="G173" s="62">
        <v>5.0629999999999997</v>
      </c>
      <c r="H173" s="62">
        <v>5.234</v>
      </c>
      <c r="I173" s="260">
        <v>5.234</v>
      </c>
      <c r="J173" s="262">
        <f t="shared" si="2"/>
        <v>5.0590833333333328E-2</v>
      </c>
      <c r="K173" s="277"/>
      <c r="L173" s="280"/>
      <c r="M173" s="283"/>
      <c r="N173" s="285"/>
      <c r="O173" s="284"/>
      <c r="P173" s="287"/>
    </row>
    <row r="174" spans="1:16" x14ac:dyDescent="0.2">
      <c r="A174" s="288"/>
      <c r="B174" s="62"/>
      <c r="D174" s="63">
        <v>36251</v>
      </c>
      <c r="E174" s="62">
        <v>5.2080000000000002</v>
      </c>
      <c r="F174" s="62">
        <v>5.367</v>
      </c>
      <c r="G174" s="62">
        <v>4.9980000000000002</v>
      </c>
      <c r="H174" s="62">
        <v>5.35</v>
      </c>
      <c r="I174" s="260">
        <v>5.35</v>
      </c>
      <c r="J174" s="262">
        <f t="shared" si="2"/>
        <v>5.0326666666666665E-2</v>
      </c>
      <c r="K174" s="277"/>
      <c r="L174" s="280"/>
      <c r="M174" s="283"/>
      <c r="N174" s="285"/>
      <c r="O174" s="284"/>
      <c r="P174" s="287"/>
    </row>
    <row r="175" spans="1:16" x14ac:dyDescent="0.2">
      <c r="A175" s="288"/>
      <c r="B175" s="62"/>
      <c r="D175" s="63">
        <v>36281</v>
      </c>
      <c r="E175" s="62">
        <v>5.3630000000000004</v>
      </c>
      <c r="F175" s="62">
        <v>5.6909999999999998</v>
      </c>
      <c r="G175" s="62">
        <v>5.3369999999999997</v>
      </c>
      <c r="H175" s="62">
        <v>5.6109999999999998</v>
      </c>
      <c r="I175" s="260">
        <v>5.6109999999999998</v>
      </c>
      <c r="J175" s="262">
        <f t="shared" si="2"/>
        <v>5.0380833333333326E-2</v>
      </c>
      <c r="K175" s="277"/>
      <c r="L175" s="280"/>
      <c r="M175" s="283"/>
      <c r="N175" s="285"/>
      <c r="O175" s="284"/>
      <c r="P175" s="287"/>
    </row>
    <row r="176" spans="1:16" x14ac:dyDescent="0.2">
      <c r="A176" s="288"/>
      <c r="B176" s="62"/>
      <c r="D176" s="63">
        <v>36312</v>
      </c>
      <c r="E176" s="62">
        <v>5.649</v>
      </c>
      <c r="F176" s="62">
        <v>6.06</v>
      </c>
      <c r="G176" s="62">
        <v>5.6239999999999997</v>
      </c>
      <c r="H176" s="62">
        <v>5.81</v>
      </c>
      <c r="I176" s="260">
        <v>5.81</v>
      </c>
      <c r="J176" s="262">
        <f t="shared" si="2"/>
        <v>5.0694166666666665E-2</v>
      </c>
      <c r="K176" s="277"/>
      <c r="L176" s="280"/>
      <c r="M176" s="283"/>
      <c r="N176" s="285"/>
      <c r="O176" s="284"/>
      <c r="P176" s="287"/>
    </row>
    <row r="177" spans="1:16" x14ac:dyDescent="0.2">
      <c r="A177" s="288"/>
      <c r="B177" s="62"/>
      <c r="D177" s="63">
        <v>36342</v>
      </c>
      <c r="E177" s="62">
        <v>5.8230000000000004</v>
      </c>
      <c r="F177" s="62">
        <v>5.9390000000000001</v>
      </c>
      <c r="G177" s="62">
        <v>5.6289999999999996</v>
      </c>
      <c r="H177" s="62">
        <v>5.907</v>
      </c>
      <c r="I177" s="260">
        <v>5.907</v>
      </c>
      <c r="J177" s="262">
        <f t="shared" si="2"/>
        <v>5.1038333333333331E-2</v>
      </c>
      <c r="K177" s="277"/>
      <c r="L177" s="280"/>
      <c r="M177" s="283"/>
      <c r="N177" s="285"/>
      <c r="O177" s="284"/>
      <c r="P177" s="287"/>
    </row>
    <row r="178" spans="1:16" x14ac:dyDescent="0.2">
      <c r="A178" s="288"/>
      <c r="B178" s="62"/>
      <c r="D178" s="63">
        <v>36373</v>
      </c>
      <c r="E178" s="62">
        <v>5.8979999999999997</v>
      </c>
      <c r="F178" s="62">
        <v>6.1619999999999999</v>
      </c>
      <c r="G178" s="62">
        <v>5.7169999999999996</v>
      </c>
      <c r="H178" s="62">
        <v>5.9790000000000001</v>
      </c>
      <c r="I178" s="260">
        <v>5.9790000000000001</v>
      </c>
      <c r="J178" s="262">
        <f t="shared" si="2"/>
        <v>5.1827499999999999E-2</v>
      </c>
      <c r="K178" s="277"/>
      <c r="L178" s="280"/>
      <c r="M178" s="283"/>
      <c r="N178" s="285"/>
      <c r="O178" s="284"/>
      <c r="P178" s="287"/>
    </row>
    <row r="179" spans="1:16" x14ac:dyDescent="0.2">
      <c r="A179" s="288"/>
      <c r="B179" s="62"/>
      <c r="D179" s="63">
        <v>36404</v>
      </c>
      <c r="E179" s="62">
        <v>5.9660000000000002</v>
      </c>
      <c r="F179" s="62">
        <v>6.0289999999999999</v>
      </c>
      <c r="G179" s="62">
        <v>5.7389999999999999</v>
      </c>
      <c r="H179" s="62">
        <v>5.8849999999999998</v>
      </c>
      <c r="I179" s="260">
        <v>5.8849999999999998</v>
      </c>
      <c r="J179" s="262">
        <f t="shared" si="2"/>
        <v>5.3056666666666662E-2</v>
      </c>
      <c r="K179" s="277"/>
      <c r="L179" s="280"/>
      <c r="M179" s="283"/>
      <c r="N179" s="285"/>
      <c r="O179" s="284"/>
      <c r="P179" s="287"/>
    </row>
    <row r="180" spans="1:16" x14ac:dyDescent="0.2">
      <c r="A180" s="288"/>
      <c r="B180" s="62"/>
      <c r="D180" s="63">
        <v>36434</v>
      </c>
      <c r="E180" s="62">
        <v>5.923</v>
      </c>
      <c r="F180" s="62">
        <v>6.2530000000000001</v>
      </c>
      <c r="G180" s="62">
        <v>5.923</v>
      </c>
      <c r="H180" s="62">
        <v>6.0030000000000001</v>
      </c>
      <c r="I180" s="260">
        <v>6.0030000000000001</v>
      </c>
      <c r="J180" s="262">
        <f t="shared" si="2"/>
        <v>5.4223333333333346E-2</v>
      </c>
      <c r="K180" s="277"/>
      <c r="L180" s="280"/>
      <c r="M180" s="283"/>
      <c r="N180" s="285"/>
      <c r="O180" s="284"/>
      <c r="P180" s="287"/>
    </row>
    <row r="181" spans="1:16" x14ac:dyDescent="0.2">
      <c r="A181" s="288"/>
      <c r="B181" s="62"/>
      <c r="D181" s="63">
        <v>36465</v>
      </c>
      <c r="E181" s="62">
        <v>6.0359999999999996</v>
      </c>
      <c r="F181" s="62">
        <v>6.2110000000000003</v>
      </c>
      <c r="G181" s="62">
        <v>5.867</v>
      </c>
      <c r="H181" s="62">
        <v>6.1630000000000003</v>
      </c>
      <c r="I181" s="260">
        <v>6.1630000000000003</v>
      </c>
      <c r="J181" s="262">
        <f t="shared" si="2"/>
        <v>5.5420833333333336E-2</v>
      </c>
      <c r="K181" s="277"/>
      <c r="L181" s="280"/>
      <c r="M181" s="283"/>
      <c r="N181" s="285"/>
      <c r="O181" s="284"/>
      <c r="P181" s="287"/>
    </row>
    <row r="182" spans="1:16" x14ac:dyDescent="0.2">
      <c r="A182" s="288"/>
      <c r="B182" s="62"/>
      <c r="D182" s="63">
        <v>36495</v>
      </c>
      <c r="E182" s="62">
        <v>6.2240000000000002</v>
      </c>
      <c r="F182" s="62">
        <v>6.44</v>
      </c>
      <c r="G182" s="62">
        <v>6.0629999999999997</v>
      </c>
      <c r="H182" s="62">
        <v>6.4349999999999996</v>
      </c>
      <c r="I182" s="260">
        <v>6.4349999999999996</v>
      </c>
      <c r="J182" s="262">
        <f t="shared" si="2"/>
        <v>5.6918333333333342E-2</v>
      </c>
      <c r="K182" s="277"/>
      <c r="L182" s="280"/>
      <c r="M182" s="283"/>
      <c r="N182" s="285"/>
      <c r="O182" s="284"/>
      <c r="P182" s="287"/>
    </row>
    <row r="183" spans="1:16" x14ac:dyDescent="0.2">
      <c r="A183" s="288"/>
      <c r="B183" s="62"/>
      <c r="D183" s="63">
        <v>36526</v>
      </c>
      <c r="E183" s="62">
        <v>6.4980000000000002</v>
      </c>
      <c r="F183" s="62">
        <v>6.8230000000000004</v>
      </c>
      <c r="G183" s="62">
        <v>6.4109999999999996</v>
      </c>
      <c r="H183" s="62">
        <v>6.6669999999999998</v>
      </c>
      <c r="I183" s="260">
        <v>6.6669999999999998</v>
      </c>
      <c r="J183" s="262">
        <f t="shared" si="2"/>
        <v>5.8596666666666665E-2</v>
      </c>
      <c r="K183" s="277"/>
      <c r="L183" s="280"/>
      <c r="M183" s="283"/>
      <c r="N183" s="285"/>
      <c r="O183" s="284"/>
      <c r="P183" s="287"/>
    </row>
    <row r="184" spans="1:16" x14ac:dyDescent="0.2">
      <c r="A184" s="288"/>
      <c r="B184" s="62"/>
      <c r="D184" s="63">
        <v>36557</v>
      </c>
      <c r="E184" s="62">
        <v>6.63</v>
      </c>
      <c r="F184" s="62">
        <v>6.6829999999999998</v>
      </c>
      <c r="G184" s="62">
        <v>6.3239999999999998</v>
      </c>
      <c r="H184" s="62">
        <v>6.4089999999999998</v>
      </c>
      <c r="I184" s="260">
        <v>6.4089999999999998</v>
      </c>
      <c r="J184" s="262">
        <f t="shared" si="2"/>
        <v>5.9544166666666669E-2</v>
      </c>
      <c r="K184" s="277"/>
      <c r="L184" s="280"/>
      <c r="M184" s="283"/>
      <c r="N184" s="285"/>
      <c r="O184" s="284"/>
      <c r="P184" s="287"/>
    </row>
    <row r="185" spans="1:16" x14ac:dyDescent="0.2">
      <c r="A185" s="288"/>
      <c r="B185" s="62"/>
      <c r="D185" s="63">
        <v>36586</v>
      </c>
      <c r="E185" s="62">
        <v>6.3879999999999999</v>
      </c>
      <c r="F185" s="62">
        <v>6.4429999999999996</v>
      </c>
      <c r="G185" s="62">
        <v>5.9370000000000003</v>
      </c>
      <c r="H185" s="62">
        <v>6.0229999999999997</v>
      </c>
      <c r="I185" s="260">
        <v>6.0229999999999997</v>
      </c>
      <c r="J185" s="262">
        <f t="shared" si="2"/>
        <v>6.0201666666666674E-2</v>
      </c>
      <c r="K185" s="277"/>
      <c r="L185" s="280"/>
      <c r="M185" s="283"/>
      <c r="N185" s="285"/>
      <c r="O185" s="284"/>
      <c r="P185" s="287"/>
    </row>
    <row r="186" spans="1:16" x14ac:dyDescent="0.2">
      <c r="A186" s="288"/>
      <c r="B186" s="62"/>
      <c r="D186" s="63">
        <v>36617</v>
      </c>
      <c r="E186" s="62">
        <v>6.0019999999999998</v>
      </c>
      <c r="F186" s="62">
        <v>6.2910000000000004</v>
      </c>
      <c r="G186" s="62">
        <v>5.7060000000000004</v>
      </c>
      <c r="H186" s="62">
        <v>6.2140000000000004</v>
      </c>
      <c r="I186" s="260">
        <v>6.2140000000000004</v>
      </c>
      <c r="J186" s="262">
        <f t="shared" si="2"/>
        <v>6.0921666666666673E-2</v>
      </c>
      <c r="K186" s="277"/>
      <c r="L186" s="280"/>
      <c r="M186" s="283"/>
      <c r="N186" s="285"/>
      <c r="O186" s="284"/>
      <c r="P186" s="287"/>
    </row>
    <row r="187" spans="1:16" x14ac:dyDescent="0.2">
      <c r="A187" s="288"/>
      <c r="B187" s="62"/>
      <c r="D187" s="63">
        <v>36647</v>
      </c>
      <c r="E187" s="62">
        <v>6.2270000000000003</v>
      </c>
      <c r="F187" s="62">
        <v>6.5640000000000001</v>
      </c>
      <c r="G187" s="62">
        <v>6.2140000000000004</v>
      </c>
      <c r="H187" s="62">
        <v>6.2850000000000001</v>
      </c>
      <c r="I187" s="260">
        <v>6.2850000000000001</v>
      </c>
      <c r="J187" s="262">
        <f t="shared" si="2"/>
        <v>6.1483333333333334E-2</v>
      </c>
      <c r="K187" s="277"/>
      <c r="L187" s="280"/>
      <c r="M187" s="283"/>
      <c r="N187" s="285"/>
      <c r="O187" s="284"/>
      <c r="P187" s="287"/>
    </row>
    <row r="188" spans="1:16" x14ac:dyDescent="0.2">
      <c r="A188" s="288"/>
      <c r="B188" s="62"/>
      <c r="D188" s="63">
        <v>36678</v>
      </c>
      <c r="E188" s="62">
        <v>6.2720000000000002</v>
      </c>
      <c r="F188" s="62">
        <v>6.2720000000000002</v>
      </c>
      <c r="G188" s="62">
        <v>5.9480000000000004</v>
      </c>
      <c r="H188" s="62">
        <v>6.0179999999999998</v>
      </c>
      <c r="I188" s="260">
        <v>6.0179999999999998</v>
      </c>
      <c r="J188" s="262">
        <f t="shared" si="2"/>
        <v>6.1656666666666665E-2</v>
      </c>
      <c r="K188" s="277"/>
      <c r="L188" s="280"/>
      <c r="M188" s="283"/>
      <c r="N188" s="285"/>
      <c r="O188" s="284"/>
      <c r="P188" s="287"/>
    </row>
    <row r="189" spans="1:16" x14ac:dyDescent="0.2">
      <c r="A189" s="288"/>
      <c r="B189" s="62"/>
      <c r="D189" s="63">
        <v>36708</v>
      </c>
      <c r="E189" s="62">
        <v>6.0350000000000001</v>
      </c>
      <c r="F189" s="62">
        <v>6.18</v>
      </c>
      <c r="G189" s="62">
        <v>5.9249999999999998</v>
      </c>
      <c r="H189" s="62">
        <v>6.0289999999999999</v>
      </c>
      <c r="I189" s="260">
        <v>6.0289999999999999</v>
      </c>
      <c r="J189" s="262">
        <f t="shared" si="2"/>
        <v>6.1758333333333325E-2</v>
      </c>
      <c r="K189" s="277"/>
      <c r="L189" s="280"/>
      <c r="M189" s="283"/>
      <c r="N189" s="285"/>
      <c r="O189" s="284"/>
      <c r="P189" s="287"/>
    </row>
    <row r="190" spans="1:16" x14ac:dyDescent="0.2">
      <c r="A190" s="288"/>
      <c r="B190" s="62"/>
      <c r="D190" s="63">
        <v>36739</v>
      </c>
      <c r="E190" s="62">
        <v>6.02</v>
      </c>
      <c r="F190" s="62">
        <v>6.02</v>
      </c>
      <c r="G190" s="62">
        <v>5.6829999999999998</v>
      </c>
      <c r="H190" s="62">
        <v>5.7290000000000001</v>
      </c>
      <c r="I190" s="260">
        <v>5.7290000000000001</v>
      </c>
      <c r="J190" s="262">
        <f t="shared" si="2"/>
        <v>6.1549999999999987E-2</v>
      </c>
      <c r="K190" s="277"/>
      <c r="L190" s="280"/>
      <c r="M190" s="283"/>
      <c r="N190" s="285"/>
      <c r="O190" s="284"/>
      <c r="P190" s="287"/>
    </row>
    <row r="191" spans="1:16" x14ac:dyDescent="0.2">
      <c r="A191" s="288"/>
      <c r="B191" s="62"/>
      <c r="D191" s="63">
        <v>36770</v>
      </c>
      <c r="E191" s="62">
        <v>5.7160000000000002</v>
      </c>
      <c r="F191" s="62">
        <v>5.99</v>
      </c>
      <c r="G191" s="62">
        <v>5.5709999999999997</v>
      </c>
      <c r="H191" s="62">
        <v>5.7779999999999996</v>
      </c>
      <c r="I191" s="260">
        <v>5.7779999999999996</v>
      </c>
      <c r="J191" s="262">
        <f t="shared" si="2"/>
        <v>6.1460833333333333E-2</v>
      </c>
      <c r="K191" s="277"/>
      <c r="L191" s="280"/>
      <c r="M191" s="283"/>
      <c r="N191" s="285"/>
      <c r="O191" s="284"/>
      <c r="P191" s="287"/>
    </row>
    <row r="192" spans="1:16" x14ac:dyDescent="0.2">
      <c r="A192" s="288"/>
      <c r="B192" s="62"/>
      <c r="D192" s="63">
        <v>36800</v>
      </c>
      <c r="E192" s="62">
        <v>5.7910000000000004</v>
      </c>
      <c r="F192" s="62">
        <v>5.8970000000000002</v>
      </c>
      <c r="G192" s="62">
        <v>5.5529999999999999</v>
      </c>
      <c r="H192" s="62">
        <v>5.7569999999999997</v>
      </c>
      <c r="I192" s="260">
        <v>5.7569999999999997</v>
      </c>
      <c r="J192" s="262">
        <f t="shared" si="2"/>
        <v>6.1255833333333343E-2</v>
      </c>
      <c r="K192" s="277"/>
      <c r="L192" s="280"/>
      <c r="M192" s="283"/>
      <c r="N192" s="285"/>
      <c r="O192" s="284"/>
      <c r="P192" s="287"/>
    </row>
    <row r="193" spans="1:16" x14ac:dyDescent="0.2">
      <c r="A193" s="288"/>
      <c r="B193" s="62"/>
      <c r="D193" s="63">
        <v>36831</v>
      </c>
      <c r="E193" s="62">
        <v>5.74</v>
      </c>
      <c r="F193" s="62">
        <v>5.8849999999999998</v>
      </c>
      <c r="G193" s="62">
        <v>5.4269999999999996</v>
      </c>
      <c r="H193" s="62">
        <v>5.4390000000000001</v>
      </c>
      <c r="I193" s="260">
        <v>5.4390000000000001</v>
      </c>
      <c r="J193" s="262">
        <f t="shared" si="2"/>
        <v>6.0652499999999991E-2</v>
      </c>
      <c r="K193" s="277"/>
      <c r="L193" s="280"/>
      <c r="M193" s="283"/>
      <c r="N193" s="285"/>
      <c r="O193" s="284"/>
      <c r="P193" s="287"/>
    </row>
    <row r="194" spans="1:16" x14ac:dyDescent="0.2">
      <c r="A194" s="288"/>
      <c r="B194" s="62"/>
      <c r="D194" s="63">
        <v>36861</v>
      </c>
      <c r="E194" s="62">
        <v>5.4930000000000003</v>
      </c>
      <c r="F194" s="62">
        <v>5.5339999999999998</v>
      </c>
      <c r="G194" s="62">
        <v>4.9939999999999998</v>
      </c>
      <c r="H194" s="62">
        <v>5.1100000000000003</v>
      </c>
      <c r="I194" s="260">
        <v>5.1100000000000003</v>
      </c>
      <c r="J194" s="262">
        <f t="shared" si="2"/>
        <v>5.9548333333333321E-2</v>
      </c>
      <c r="K194" s="277"/>
      <c r="L194" s="280"/>
      <c r="M194" s="283"/>
      <c r="N194" s="285"/>
      <c r="O194" s="284"/>
      <c r="P194" s="287"/>
    </row>
    <row r="195" spans="1:16" x14ac:dyDescent="0.2">
      <c r="A195" s="288"/>
      <c r="B195" s="62"/>
      <c r="D195" s="63">
        <v>36892</v>
      </c>
      <c r="E195" s="62">
        <v>5.0750000000000002</v>
      </c>
      <c r="F195" s="62">
        <v>5.4939999999999998</v>
      </c>
      <c r="G195" s="62">
        <v>4.8739999999999997</v>
      </c>
      <c r="H195" s="62">
        <v>5.1790000000000003</v>
      </c>
      <c r="I195" s="260">
        <v>5.1790000000000003</v>
      </c>
      <c r="J195" s="262">
        <f t="shared" si="2"/>
        <v>5.8308333333333337E-2</v>
      </c>
      <c r="K195" s="277"/>
      <c r="L195" s="280"/>
      <c r="M195" s="283"/>
      <c r="N195" s="285"/>
      <c r="O195" s="284"/>
      <c r="P195" s="287"/>
    </row>
    <row r="196" spans="1:16" x14ac:dyDescent="0.2">
      <c r="A196" s="288"/>
      <c r="B196" s="62"/>
      <c r="D196" s="63">
        <v>36923</v>
      </c>
      <c r="E196" s="62">
        <v>5.0819999999999999</v>
      </c>
      <c r="F196" s="62">
        <v>5.2270000000000003</v>
      </c>
      <c r="G196" s="62">
        <v>4.8719999999999999</v>
      </c>
      <c r="H196" s="62">
        <v>4.9080000000000004</v>
      </c>
      <c r="I196" s="260">
        <v>4.9080000000000004</v>
      </c>
      <c r="J196" s="262">
        <f t="shared" si="2"/>
        <v>5.705749999999999E-2</v>
      </c>
      <c r="K196" s="277"/>
      <c r="L196" s="280"/>
      <c r="M196" s="283"/>
      <c r="N196" s="285"/>
      <c r="O196" s="284"/>
      <c r="P196" s="287"/>
    </row>
    <row r="197" spans="1:16" x14ac:dyDescent="0.2">
      <c r="A197" s="288"/>
      <c r="B197" s="62"/>
      <c r="D197" s="63">
        <v>36951</v>
      </c>
      <c r="E197" s="62">
        <v>4.8600000000000003</v>
      </c>
      <c r="F197" s="62">
        <v>5.1210000000000004</v>
      </c>
      <c r="G197" s="62">
        <v>4.6890000000000001</v>
      </c>
      <c r="H197" s="62">
        <v>4.915</v>
      </c>
      <c r="I197" s="260">
        <v>4.915</v>
      </c>
      <c r="J197" s="262">
        <f t="shared" si="2"/>
        <v>5.6134166666666666E-2</v>
      </c>
      <c r="K197" s="277"/>
      <c r="L197" s="280"/>
      <c r="M197" s="283"/>
      <c r="N197" s="285"/>
      <c r="O197" s="284"/>
      <c r="P197" s="287"/>
    </row>
    <row r="198" spans="1:16" x14ac:dyDescent="0.2">
      <c r="A198" s="288"/>
      <c r="B198" s="62"/>
      <c r="D198" s="63">
        <v>36982</v>
      </c>
      <c r="E198" s="62">
        <v>4.8860000000000001</v>
      </c>
      <c r="F198" s="62">
        <v>5.3929999999999998</v>
      </c>
      <c r="G198" s="62">
        <v>4.8380000000000001</v>
      </c>
      <c r="H198" s="62">
        <v>5.3380000000000001</v>
      </c>
      <c r="I198" s="260">
        <v>5.3380000000000001</v>
      </c>
      <c r="J198" s="262">
        <f t="shared" si="2"/>
        <v>5.5404166666666664E-2</v>
      </c>
      <c r="K198" s="277"/>
      <c r="L198" s="280"/>
      <c r="M198" s="283"/>
      <c r="N198" s="285"/>
      <c r="O198" s="284"/>
      <c r="P198" s="287"/>
    </row>
    <row r="199" spans="1:16" x14ac:dyDescent="0.2">
      <c r="A199" s="288"/>
      <c r="B199" s="62"/>
      <c r="D199" s="63">
        <v>37012</v>
      </c>
      <c r="E199" s="62">
        <v>5.3259999999999996</v>
      </c>
      <c r="F199" s="62">
        <v>5.5270000000000001</v>
      </c>
      <c r="G199" s="62">
        <v>5.0810000000000004</v>
      </c>
      <c r="H199" s="62">
        <v>5.4130000000000003</v>
      </c>
      <c r="I199" s="260">
        <v>5.4130000000000003</v>
      </c>
      <c r="J199" s="262">
        <f t="shared" si="2"/>
        <v>5.4677499999999997E-2</v>
      </c>
      <c r="K199" s="277"/>
      <c r="L199" s="280"/>
      <c r="M199" s="283"/>
      <c r="N199" s="285"/>
      <c r="O199" s="284"/>
      <c r="P199" s="287"/>
    </row>
    <row r="200" spans="1:16" x14ac:dyDescent="0.2">
      <c r="A200" s="288"/>
      <c r="B200" s="62"/>
      <c r="D200" s="63">
        <v>37043</v>
      </c>
      <c r="E200" s="62">
        <v>5.3659999999999997</v>
      </c>
      <c r="F200" s="62">
        <v>5.4390000000000001</v>
      </c>
      <c r="G200" s="62">
        <v>4.9989999999999997</v>
      </c>
      <c r="H200" s="62">
        <v>5.39</v>
      </c>
      <c r="I200" s="260">
        <v>5.39</v>
      </c>
      <c r="J200" s="262">
        <f t="shared" si="2"/>
        <v>5.4154166666666663E-2</v>
      </c>
      <c r="K200" s="277"/>
      <c r="L200" s="280"/>
      <c r="M200" s="283"/>
      <c r="N200" s="285"/>
      <c r="O200" s="284"/>
      <c r="P200" s="287"/>
    </row>
    <row r="201" spans="1:16" x14ac:dyDescent="0.2">
      <c r="A201" s="288"/>
      <c r="B201" s="62"/>
      <c r="D201" s="63">
        <v>37073</v>
      </c>
      <c r="E201" s="62">
        <v>5.4080000000000004</v>
      </c>
      <c r="F201" s="62">
        <v>5.4249999999999998</v>
      </c>
      <c r="G201" s="62">
        <v>5.0330000000000004</v>
      </c>
      <c r="H201" s="62">
        <v>5.0369999999999999</v>
      </c>
      <c r="I201" s="260">
        <v>5.0369999999999999</v>
      </c>
      <c r="J201" s="262">
        <f t="shared" si="2"/>
        <v>5.33275E-2</v>
      </c>
      <c r="K201" s="277"/>
      <c r="L201" s="280"/>
      <c r="M201" s="283"/>
      <c r="N201" s="285"/>
      <c r="O201" s="284"/>
      <c r="P201" s="287"/>
    </row>
    <row r="202" spans="1:16" x14ac:dyDescent="0.2">
      <c r="A202" s="288"/>
      <c r="B202" s="62"/>
      <c r="D202" s="63">
        <v>37104</v>
      </c>
      <c r="E202" s="62">
        <v>5.0540000000000003</v>
      </c>
      <c r="F202" s="62">
        <v>5.1929999999999996</v>
      </c>
      <c r="G202" s="62">
        <v>4.71</v>
      </c>
      <c r="H202" s="62">
        <v>4.8159999999999998</v>
      </c>
      <c r="I202" s="260">
        <v>4.8159999999999998</v>
      </c>
      <c r="J202" s="262">
        <f t="shared" si="2"/>
        <v>5.2566666666666671E-2</v>
      </c>
      <c r="K202" s="277"/>
      <c r="L202" s="280"/>
      <c r="M202" s="283"/>
      <c r="N202" s="285"/>
      <c r="O202" s="284"/>
      <c r="P202" s="287"/>
    </row>
    <row r="203" spans="1:16" x14ac:dyDescent="0.2">
      <c r="A203" s="288"/>
      <c r="B203" s="62"/>
      <c r="D203" s="63">
        <v>37135</v>
      </c>
      <c r="E203" s="62">
        <v>4.8479999999999999</v>
      </c>
      <c r="F203" s="62">
        <v>4.9880000000000004</v>
      </c>
      <c r="G203" s="62">
        <v>4.5090000000000003</v>
      </c>
      <c r="H203" s="62">
        <v>4.5750000000000002</v>
      </c>
      <c r="I203" s="260">
        <v>4.5750000000000002</v>
      </c>
      <c r="J203" s="262">
        <f t="shared" si="2"/>
        <v>5.1564166666666668E-2</v>
      </c>
      <c r="K203" s="277"/>
      <c r="L203" s="280"/>
      <c r="M203" s="283"/>
      <c r="N203" s="285"/>
      <c r="O203" s="284"/>
      <c r="P203" s="287"/>
    </row>
    <row r="204" spans="1:16" x14ac:dyDescent="0.2">
      <c r="A204" s="288"/>
      <c r="B204" s="62"/>
      <c r="D204" s="63">
        <v>37165</v>
      </c>
      <c r="E204" s="62">
        <v>4.5670000000000002</v>
      </c>
      <c r="F204" s="62">
        <v>4.6989999999999998</v>
      </c>
      <c r="G204" s="62">
        <v>4.2549999999999999</v>
      </c>
      <c r="H204" s="62">
        <v>4.2629999999999999</v>
      </c>
      <c r="I204" s="260">
        <v>4.2629999999999999</v>
      </c>
      <c r="J204" s="262">
        <f t="shared" ref="J204:J267" si="3">AVERAGE(I193:I204)/100</f>
        <v>5.0319166666666665E-2</v>
      </c>
      <c r="K204" s="277"/>
      <c r="L204" s="280"/>
      <c r="M204" s="283"/>
      <c r="N204" s="285"/>
      <c r="O204" s="284"/>
      <c r="P204" s="287"/>
    </row>
    <row r="205" spans="1:16" x14ac:dyDescent="0.2">
      <c r="A205" s="288"/>
      <c r="B205" s="62"/>
      <c r="D205" s="63">
        <v>37196</v>
      </c>
      <c r="E205" s="62">
        <v>4.2169999999999996</v>
      </c>
      <c r="F205" s="62">
        <v>5.077</v>
      </c>
      <c r="G205" s="62">
        <v>4.0960000000000001</v>
      </c>
      <c r="H205" s="62">
        <v>4.7439999999999998</v>
      </c>
      <c r="I205" s="260">
        <v>4.7439999999999998</v>
      </c>
      <c r="J205" s="262">
        <f t="shared" si="3"/>
        <v>4.9739999999999999E-2</v>
      </c>
      <c r="K205" s="277"/>
      <c r="L205" s="280"/>
      <c r="M205" s="283"/>
      <c r="N205" s="285"/>
      <c r="O205" s="284"/>
      <c r="P205" s="287"/>
    </row>
    <row r="206" spans="1:16" x14ac:dyDescent="0.2">
      <c r="A206" s="288"/>
      <c r="B206" s="62"/>
      <c r="D206" s="63">
        <v>37226</v>
      </c>
      <c r="E206" s="62">
        <v>4.7350000000000003</v>
      </c>
      <c r="F206" s="62">
        <v>5.3849999999999998</v>
      </c>
      <c r="G206" s="62">
        <v>4.6239999999999997</v>
      </c>
      <c r="H206" s="62">
        <v>5.032</v>
      </c>
      <c r="I206" s="260">
        <v>5.032</v>
      </c>
      <c r="J206" s="262">
        <f t="shared" si="3"/>
        <v>4.9675000000000004E-2</v>
      </c>
      <c r="K206" s="277"/>
      <c r="L206" s="280"/>
      <c r="M206" s="283"/>
      <c r="N206" s="285"/>
      <c r="O206" s="284"/>
      <c r="P206" s="287"/>
    </row>
    <row r="207" spans="1:16" x14ac:dyDescent="0.2">
      <c r="A207" s="288"/>
      <c r="B207" s="62"/>
      <c r="D207" s="63">
        <v>37257</v>
      </c>
      <c r="E207" s="62">
        <v>5.0659999999999998</v>
      </c>
      <c r="F207" s="62">
        <v>5.2169999999999996</v>
      </c>
      <c r="G207" s="62">
        <v>4.7859999999999996</v>
      </c>
      <c r="H207" s="62">
        <v>5.0250000000000004</v>
      </c>
      <c r="I207" s="260">
        <v>5.0250000000000004</v>
      </c>
      <c r="J207" s="262">
        <f t="shared" si="3"/>
        <v>4.9546666666666662E-2</v>
      </c>
      <c r="K207" s="277"/>
      <c r="L207" s="280"/>
      <c r="M207" s="283"/>
      <c r="N207" s="285"/>
      <c r="O207" s="284"/>
      <c r="P207" s="287"/>
    </row>
    <row r="208" spans="1:16" x14ac:dyDescent="0.2">
      <c r="A208" s="288"/>
      <c r="B208" s="62"/>
      <c r="D208" s="63">
        <v>37288</v>
      </c>
      <c r="E208" s="62">
        <v>5.0410000000000004</v>
      </c>
      <c r="F208" s="62">
        <v>5.05</v>
      </c>
      <c r="G208" s="62">
        <v>4.7990000000000004</v>
      </c>
      <c r="H208" s="62">
        <v>4.859</v>
      </c>
      <c r="I208" s="260">
        <v>4.859</v>
      </c>
      <c r="J208" s="262">
        <f t="shared" si="3"/>
        <v>4.9505833333333332E-2</v>
      </c>
      <c r="K208" s="277"/>
      <c r="L208" s="280"/>
      <c r="M208" s="283"/>
      <c r="N208" s="285"/>
      <c r="O208" s="284"/>
      <c r="P208" s="287"/>
    </row>
    <row r="209" spans="1:16" x14ac:dyDescent="0.2">
      <c r="A209" s="288"/>
      <c r="B209" s="62"/>
      <c r="D209" s="63">
        <v>37316</v>
      </c>
      <c r="E209" s="62">
        <v>4.891</v>
      </c>
      <c r="F209" s="62">
        <v>5.452</v>
      </c>
      <c r="G209" s="62">
        <v>4.891</v>
      </c>
      <c r="H209" s="62">
        <v>5.4059999999999997</v>
      </c>
      <c r="I209" s="260">
        <v>5.4059999999999997</v>
      </c>
      <c r="J209" s="262">
        <f t="shared" si="3"/>
        <v>4.9915000000000001E-2</v>
      </c>
      <c r="K209" s="277"/>
      <c r="L209" s="280"/>
      <c r="M209" s="283"/>
      <c r="N209" s="285"/>
      <c r="O209" s="284"/>
      <c r="P209" s="287"/>
    </row>
    <row r="210" spans="1:16" x14ac:dyDescent="0.2">
      <c r="A210" s="288"/>
      <c r="B210" s="62"/>
      <c r="D210" s="63">
        <v>37347</v>
      </c>
      <c r="E210" s="62">
        <v>5.39</v>
      </c>
      <c r="F210" s="62">
        <v>5.4569999999999999</v>
      </c>
      <c r="G210" s="62">
        <v>5.0330000000000004</v>
      </c>
      <c r="H210" s="62">
        <v>5.0910000000000002</v>
      </c>
      <c r="I210" s="260">
        <v>5.0910000000000002</v>
      </c>
      <c r="J210" s="262">
        <f t="shared" si="3"/>
        <v>4.9709166666666665E-2</v>
      </c>
      <c r="K210" s="277"/>
      <c r="L210" s="280"/>
      <c r="M210" s="283"/>
      <c r="N210" s="285"/>
      <c r="O210" s="284"/>
      <c r="P210" s="287"/>
    </row>
    <row r="211" spans="1:16" x14ac:dyDescent="0.2">
      <c r="A211" s="288"/>
      <c r="B211" s="62"/>
      <c r="D211" s="63">
        <v>37377</v>
      </c>
      <c r="E211" s="62">
        <v>5.0830000000000002</v>
      </c>
      <c r="F211" s="62">
        <v>5.327</v>
      </c>
      <c r="G211" s="62">
        <v>5.0110000000000001</v>
      </c>
      <c r="H211" s="62">
        <v>5.0430000000000001</v>
      </c>
      <c r="I211" s="260">
        <v>5.0430000000000001</v>
      </c>
      <c r="J211" s="262">
        <f t="shared" si="3"/>
        <v>4.9400833333333331E-2</v>
      </c>
      <c r="K211" s="277"/>
      <c r="L211" s="280"/>
      <c r="M211" s="283"/>
      <c r="N211" s="285"/>
      <c r="O211" s="284"/>
      <c r="P211" s="287"/>
    </row>
    <row r="212" spans="1:16" x14ac:dyDescent="0.2">
      <c r="A212" s="288"/>
      <c r="B212" s="62"/>
      <c r="D212" s="63">
        <v>37408</v>
      </c>
      <c r="E212" s="62">
        <v>5.0780000000000003</v>
      </c>
      <c r="F212" s="62">
        <v>5.1120000000000001</v>
      </c>
      <c r="G212" s="62">
        <v>4.617</v>
      </c>
      <c r="H212" s="62">
        <v>4.8239999999999998</v>
      </c>
      <c r="I212" s="260">
        <v>4.8239999999999998</v>
      </c>
      <c r="J212" s="262">
        <f t="shared" si="3"/>
        <v>4.8929166666666669E-2</v>
      </c>
      <c r="K212" s="277"/>
      <c r="L212" s="280"/>
      <c r="M212" s="283"/>
      <c r="N212" s="285"/>
      <c r="O212" s="284"/>
      <c r="P212" s="287"/>
    </row>
    <row r="213" spans="1:16" x14ac:dyDescent="0.2">
      <c r="A213" s="288"/>
      <c r="B213" s="62"/>
      <c r="D213" s="63">
        <v>37438</v>
      </c>
      <c r="E213" s="62">
        <v>4.8049999999999997</v>
      </c>
      <c r="F213" s="62">
        <v>4.8689999999999998</v>
      </c>
      <c r="G213" s="62">
        <v>4.2240000000000002</v>
      </c>
      <c r="H213" s="62">
        <v>4.4649999999999999</v>
      </c>
      <c r="I213" s="260">
        <v>4.4649999999999999</v>
      </c>
      <c r="J213" s="262">
        <f t="shared" si="3"/>
        <v>4.8452500000000003E-2</v>
      </c>
      <c r="K213" s="277"/>
      <c r="L213" s="280"/>
      <c r="M213" s="283"/>
      <c r="N213" s="285"/>
      <c r="O213" s="284"/>
      <c r="P213" s="287"/>
    </row>
    <row r="214" spans="1:16" x14ac:dyDescent="0.2">
      <c r="A214" s="288"/>
      <c r="B214" s="62"/>
      <c r="D214" s="63">
        <v>37469</v>
      </c>
      <c r="E214" s="62">
        <v>4.4450000000000003</v>
      </c>
      <c r="F214" s="62">
        <v>4.47</v>
      </c>
      <c r="G214" s="62">
        <v>3.9609999999999999</v>
      </c>
      <c r="H214" s="62">
        <v>4.1369999999999996</v>
      </c>
      <c r="I214" s="260">
        <v>4.1369999999999996</v>
      </c>
      <c r="J214" s="262">
        <f t="shared" si="3"/>
        <v>4.7886666666666668E-2</v>
      </c>
      <c r="K214" s="277"/>
      <c r="L214" s="280"/>
      <c r="M214" s="283"/>
      <c r="N214" s="285"/>
      <c r="O214" s="284"/>
      <c r="P214" s="287"/>
    </row>
    <row r="215" spans="1:16" x14ac:dyDescent="0.2">
      <c r="A215" s="288"/>
      <c r="B215" s="62"/>
      <c r="D215" s="63">
        <v>37500</v>
      </c>
      <c r="E215" s="62">
        <v>4.0540000000000003</v>
      </c>
      <c r="F215" s="62">
        <v>4.1059999999999999</v>
      </c>
      <c r="G215" s="62">
        <v>3.5670000000000002</v>
      </c>
      <c r="H215" s="62">
        <v>3.6070000000000002</v>
      </c>
      <c r="I215" s="260">
        <v>3.6070000000000002</v>
      </c>
      <c r="J215" s="262">
        <f t="shared" si="3"/>
        <v>4.707999999999999E-2</v>
      </c>
      <c r="K215" s="277"/>
      <c r="L215" s="280"/>
      <c r="M215" s="283"/>
      <c r="N215" s="285"/>
      <c r="O215" s="284"/>
      <c r="P215" s="287"/>
    </row>
    <row r="216" spans="1:16" x14ac:dyDescent="0.2">
      <c r="A216" s="288"/>
      <c r="B216" s="62"/>
      <c r="D216" s="63">
        <v>37530</v>
      </c>
      <c r="E216" s="62">
        <v>3.6840000000000002</v>
      </c>
      <c r="F216" s="62">
        <v>4.2729999999999997</v>
      </c>
      <c r="G216" s="62">
        <v>3.5590000000000002</v>
      </c>
      <c r="H216" s="62">
        <v>3.911</v>
      </c>
      <c r="I216" s="260">
        <v>3.911</v>
      </c>
      <c r="J216" s="262">
        <f t="shared" si="3"/>
        <v>4.6786666666666671E-2</v>
      </c>
      <c r="K216" s="277"/>
      <c r="L216" s="280"/>
      <c r="M216" s="283"/>
      <c r="N216" s="285"/>
      <c r="O216" s="284"/>
      <c r="P216" s="287"/>
    </row>
    <row r="217" spans="1:16" x14ac:dyDescent="0.2">
      <c r="A217" s="288"/>
      <c r="B217" s="62"/>
      <c r="D217" s="63">
        <v>37561</v>
      </c>
      <c r="E217" s="62">
        <v>3.9089999999999998</v>
      </c>
      <c r="F217" s="62">
        <v>4.2720000000000002</v>
      </c>
      <c r="G217" s="62">
        <v>3.7749999999999999</v>
      </c>
      <c r="H217" s="62">
        <v>4.2130000000000001</v>
      </c>
      <c r="I217" s="260">
        <v>4.2130000000000001</v>
      </c>
      <c r="J217" s="262">
        <f t="shared" si="3"/>
        <v>4.6344166666666672E-2</v>
      </c>
      <c r="K217" s="277"/>
      <c r="L217" s="280"/>
      <c r="M217" s="283"/>
      <c r="N217" s="285"/>
      <c r="O217" s="284"/>
      <c r="P217" s="287"/>
    </row>
    <row r="218" spans="1:16" x14ac:dyDescent="0.2">
      <c r="A218" s="288"/>
      <c r="B218" s="62"/>
      <c r="D218" s="63">
        <v>37591</v>
      </c>
      <c r="E218" s="62">
        <v>4.3499999999999996</v>
      </c>
      <c r="F218" s="62">
        <v>4.351</v>
      </c>
      <c r="G218" s="62">
        <v>3.7589999999999999</v>
      </c>
      <c r="H218" s="62">
        <v>3.8180000000000001</v>
      </c>
      <c r="I218" s="260">
        <v>3.8180000000000001</v>
      </c>
      <c r="J218" s="262">
        <f t="shared" si="3"/>
        <v>4.5332499999999998E-2</v>
      </c>
      <c r="K218" s="277"/>
      <c r="L218" s="280"/>
      <c r="M218" s="283"/>
      <c r="N218" s="285"/>
      <c r="O218" s="284"/>
      <c r="P218" s="287"/>
    </row>
    <row r="219" spans="1:16" x14ac:dyDescent="0.2">
      <c r="A219" s="288"/>
      <c r="B219" s="62"/>
      <c r="D219" s="63">
        <v>37622</v>
      </c>
      <c r="E219" s="62">
        <v>3.875</v>
      </c>
      <c r="F219" s="62">
        <v>4.2030000000000003</v>
      </c>
      <c r="G219" s="62">
        <v>3.86</v>
      </c>
      <c r="H219" s="62">
        <v>3.9750000000000001</v>
      </c>
      <c r="I219" s="260">
        <v>3.9750000000000001</v>
      </c>
      <c r="J219" s="262">
        <f t="shared" si="3"/>
        <v>4.4457499999999997E-2</v>
      </c>
      <c r="K219" s="277"/>
      <c r="L219" s="280"/>
      <c r="M219" s="283"/>
      <c r="N219" s="285"/>
      <c r="O219" s="284"/>
      <c r="P219" s="287"/>
    </row>
    <row r="220" spans="1:16" x14ac:dyDescent="0.2">
      <c r="A220" s="288"/>
      <c r="B220" s="62"/>
      <c r="D220" s="63">
        <v>37653</v>
      </c>
      <c r="E220" s="62">
        <v>4.0030000000000001</v>
      </c>
      <c r="F220" s="62">
        <v>4.0380000000000003</v>
      </c>
      <c r="G220" s="62">
        <v>3.6920000000000002</v>
      </c>
      <c r="H220" s="62">
        <v>3.6960000000000002</v>
      </c>
      <c r="I220" s="260">
        <v>3.6960000000000002</v>
      </c>
      <c r="J220" s="262">
        <f t="shared" si="3"/>
        <v>4.348833333333333E-2</v>
      </c>
      <c r="K220" s="277"/>
      <c r="L220" s="280"/>
      <c r="M220" s="283"/>
      <c r="N220" s="285"/>
      <c r="O220" s="284"/>
      <c r="P220" s="287"/>
    </row>
    <row r="221" spans="1:16" x14ac:dyDescent="0.2">
      <c r="A221" s="288"/>
      <c r="B221" s="62"/>
      <c r="D221" s="63">
        <v>37681</v>
      </c>
      <c r="E221" s="62">
        <v>3.7109999999999999</v>
      </c>
      <c r="F221" s="62">
        <v>4.117</v>
      </c>
      <c r="G221" s="62">
        <v>3.5489999999999999</v>
      </c>
      <c r="H221" s="62">
        <v>3.823</v>
      </c>
      <c r="I221" s="260">
        <v>3.823</v>
      </c>
      <c r="J221" s="262">
        <f t="shared" si="3"/>
        <v>4.2169166666666674E-2</v>
      </c>
      <c r="K221" s="277"/>
      <c r="L221" s="280"/>
      <c r="M221" s="283"/>
      <c r="N221" s="285"/>
      <c r="O221" s="284"/>
      <c r="P221" s="287"/>
    </row>
    <row r="222" spans="1:16" x14ac:dyDescent="0.2">
      <c r="A222" s="288"/>
      <c r="B222" s="62"/>
      <c r="D222" s="63">
        <v>37712</v>
      </c>
      <c r="E222" s="62">
        <v>3.8039999999999998</v>
      </c>
      <c r="F222" s="62">
        <v>4.08</v>
      </c>
      <c r="G222" s="62">
        <v>3.78</v>
      </c>
      <c r="H222" s="62">
        <v>3.8570000000000002</v>
      </c>
      <c r="I222" s="260">
        <v>3.8570000000000002</v>
      </c>
      <c r="J222" s="262">
        <f t="shared" si="3"/>
        <v>4.1140833333333335E-2</v>
      </c>
      <c r="K222" s="277"/>
      <c r="L222" s="280"/>
      <c r="M222" s="283"/>
      <c r="N222" s="285"/>
      <c r="O222" s="284"/>
      <c r="P222" s="287"/>
    </row>
    <row r="223" spans="1:16" x14ac:dyDescent="0.2">
      <c r="A223" s="288"/>
      <c r="B223" s="62"/>
      <c r="D223" s="63">
        <v>37742</v>
      </c>
      <c r="E223" s="62">
        <v>3.8319999999999999</v>
      </c>
      <c r="F223" s="62">
        <v>3.9550000000000001</v>
      </c>
      <c r="G223" s="62">
        <v>3.29</v>
      </c>
      <c r="H223" s="62">
        <v>3.35</v>
      </c>
      <c r="I223" s="260">
        <v>3.35</v>
      </c>
      <c r="J223" s="262">
        <f t="shared" si="3"/>
        <v>3.9730000000000001E-2</v>
      </c>
      <c r="K223" s="277"/>
      <c r="L223" s="280"/>
      <c r="M223" s="283"/>
      <c r="N223" s="285"/>
      <c r="O223" s="284"/>
      <c r="P223" s="287"/>
    </row>
    <row r="224" spans="1:16" x14ac:dyDescent="0.2">
      <c r="A224" s="288"/>
      <c r="B224" s="62"/>
      <c r="D224" s="63">
        <v>37773</v>
      </c>
      <c r="E224" s="62">
        <v>3.4079999999999999</v>
      </c>
      <c r="F224" s="62">
        <v>3.597</v>
      </c>
      <c r="G224" s="62">
        <v>3.0739999999999998</v>
      </c>
      <c r="H224" s="62">
        <v>3.528</v>
      </c>
      <c r="I224" s="260">
        <v>3.528</v>
      </c>
      <c r="J224" s="262">
        <f t="shared" si="3"/>
        <v>3.8650000000000004E-2</v>
      </c>
      <c r="K224" s="277"/>
      <c r="L224" s="280"/>
      <c r="M224" s="283"/>
      <c r="N224" s="285"/>
      <c r="O224" s="284"/>
      <c r="P224" s="287"/>
    </row>
    <row r="225" spans="1:16" x14ac:dyDescent="0.2">
      <c r="A225" s="288"/>
      <c r="B225" s="62"/>
      <c r="D225" s="63">
        <v>37803</v>
      </c>
      <c r="E225" s="62">
        <v>3.5070000000000001</v>
      </c>
      <c r="F225" s="62">
        <v>4.5659999999999998</v>
      </c>
      <c r="G225" s="62">
        <v>3.4590000000000001</v>
      </c>
      <c r="H225" s="62">
        <v>4.4740000000000002</v>
      </c>
      <c r="I225" s="260">
        <v>4.4740000000000002</v>
      </c>
      <c r="J225" s="262">
        <f t="shared" si="3"/>
        <v>3.8657500000000004E-2</v>
      </c>
      <c r="K225" s="277"/>
      <c r="L225" s="280"/>
      <c r="M225" s="283"/>
      <c r="N225" s="285"/>
      <c r="O225" s="284"/>
      <c r="P225" s="287"/>
    </row>
    <row r="226" spans="1:16" x14ac:dyDescent="0.2">
      <c r="A226" s="288"/>
      <c r="B226" s="62"/>
      <c r="D226" s="63">
        <v>37834</v>
      </c>
      <c r="E226" s="62">
        <v>4.585</v>
      </c>
      <c r="F226" s="62">
        <v>4.6680000000000001</v>
      </c>
      <c r="G226" s="62">
        <v>4.1900000000000004</v>
      </c>
      <c r="H226" s="62">
        <v>4.4539999999999997</v>
      </c>
      <c r="I226" s="260">
        <v>4.4539999999999997</v>
      </c>
      <c r="J226" s="262">
        <f t="shared" si="3"/>
        <v>3.892166666666666E-2</v>
      </c>
      <c r="K226" s="277"/>
      <c r="L226" s="280"/>
      <c r="M226" s="283"/>
      <c r="N226" s="285"/>
      <c r="O226" s="284"/>
      <c r="P226" s="287"/>
    </row>
    <row r="227" spans="1:16" x14ac:dyDescent="0.2">
      <c r="A227" s="288"/>
      <c r="B227" s="62"/>
      <c r="D227" s="63">
        <v>37865</v>
      </c>
      <c r="E227" s="62">
        <v>4.5609999999999999</v>
      </c>
      <c r="F227" s="62">
        <v>4.6159999999999997</v>
      </c>
      <c r="G227" s="62">
        <v>3.9350000000000001</v>
      </c>
      <c r="H227" s="62">
        <v>3.9369999999999998</v>
      </c>
      <c r="I227" s="260">
        <v>3.9369999999999998</v>
      </c>
      <c r="J227" s="262">
        <f t="shared" si="3"/>
        <v>3.9196666666666664E-2</v>
      </c>
      <c r="K227" s="277"/>
      <c r="L227" s="280"/>
      <c r="M227" s="283"/>
      <c r="N227" s="285"/>
      <c r="O227" s="284"/>
      <c r="P227" s="287"/>
    </row>
    <row r="228" spans="1:16" x14ac:dyDescent="0.2">
      <c r="A228" s="288"/>
      <c r="B228" s="62"/>
      <c r="D228" s="63">
        <v>37895</v>
      </c>
      <c r="E228" s="62">
        <v>3.9489999999999998</v>
      </c>
      <c r="F228" s="62">
        <v>4.4749999999999996</v>
      </c>
      <c r="G228" s="62">
        <v>3.9119999999999999</v>
      </c>
      <c r="H228" s="62">
        <v>4.3010000000000002</v>
      </c>
      <c r="I228" s="260">
        <v>4.3010000000000002</v>
      </c>
      <c r="J228" s="262">
        <f t="shared" si="3"/>
        <v>3.9521666666666663E-2</v>
      </c>
      <c r="K228" s="277"/>
      <c r="L228" s="280"/>
      <c r="M228" s="283"/>
      <c r="N228" s="285"/>
      <c r="O228" s="284"/>
      <c r="P228" s="287"/>
    </row>
    <row r="229" spans="1:16" x14ac:dyDescent="0.2">
      <c r="A229" s="288"/>
      <c r="B229" s="62"/>
      <c r="D229" s="63">
        <v>37926</v>
      </c>
      <c r="E229" s="62">
        <v>4.3259999999999996</v>
      </c>
      <c r="F229" s="62">
        <v>4.4909999999999997</v>
      </c>
      <c r="G229" s="62">
        <v>4.1130000000000004</v>
      </c>
      <c r="H229" s="62">
        <v>4.32</v>
      </c>
      <c r="I229" s="260">
        <v>4.32</v>
      </c>
      <c r="J229" s="262">
        <f t="shared" si="3"/>
        <v>3.9610833333333331E-2</v>
      </c>
      <c r="K229" s="277"/>
      <c r="L229" s="280"/>
      <c r="M229" s="283"/>
      <c r="N229" s="285"/>
      <c r="O229" s="284"/>
      <c r="P229" s="287"/>
    </row>
    <row r="230" spans="1:16" x14ac:dyDescent="0.2">
      <c r="A230" s="288"/>
      <c r="B230" s="62"/>
      <c r="D230" s="63">
        <v>37956</v>
      </c>
      <c r="E230" s="62">
        <v>4.343</v>
      </c>
      <c r="F230" s="62">
        <v>4.45</v>
      </c>
      <c r="G230" s="62">
        <v>4.0990000000000002</v>
      </c>
      <c r="H230" s="62">
        <v>4.2569999999999997</v>
      </c>
      <c r="I230" s="260">
        <v>4.2569999999999997</v>
      </c>
      <c r="J230" s="262">
        <f t="shared" si="3"/>
        <v>3.9976666666666667E-2</v>
      </c>
      <c r="K230" s="277"/>
      <c r="L230" s="280"/>
      <c r="M230" s="283"/>
      <c r="N230" s="285"/>
      <c r="O230" s="284"/>
      <c r="P230" s="287"/>
    </row>
    <row r="231" spans="1:16" x14ac:dyDescent="0.2">
      <c r="A231" s="288"/>
      <c r="B231" s="62"/>
      <c r="D231" s="63">
        <v>37987</v>
      </c>
      <c r="E231" s="62">
        <v>4.2720000000000002</v>
      </c>
      <c r="F231" s="62">
        <v>4.4180000000000001</v>
      </c>
      <c r="G231" s="62">
        <v>3.9180000000000001</v>
      </c>
      <c r="H231" s="62">
        <v>4.1379999999999999</v>
      </c>
      <c r="I231" s="260">
        <v>4.1379999999999999</v>
      </c>
      <c r="J231" s="262">
        <f t="shared" si="3"/>
        <v>4.0112499999999995E-2</v>
      </c>
      <c r="K231" s="277"/>
      <c r="L231" s="280"/>
      <c r="M231" s="283"/>
      <c r="N231" s="285"/>
      <c r="O231" s="284"/>
      <c r="P231" s="287"/>
    </row>
    <row r="232" spans="1:16" x14ac:dyDescent="0.2">
      <c r="A232" s="288"/>
      <c r="B232" s="62"/>
      <c r="D232" s="63">
        <v>38018</v>
      </c>
      <c r="E232" s="62">
        <v>4.1660000000000004</v>
      </c>
      <c r="F232" s="62">
        <v>4.2030000000000003</v>
      </c>
      <c r="G232" s="62">
        <v>3.9820000000000002</v>
      </c>
      <c r="H232" s="62">
        <v>3.984</v>
      </c>
      <c r="I232" s="260">
        <v>3.984</v>
      </c>
      <c r="J232" s="262">
        <f t="shared" si="3"/>
        <v>4.0352500000000006E-2</v>
      </c>
      <c r="K232" s="277"/>
      <c r="L232" s="280"/>
      <c r="M232" s="283"/>
      <c r="N232" s="285"/>
      <c r="O232" s="284"/>
      <c r="P232" s="287"/>
    </row>
    <row r="233" spans="1:16" x14ac:dyDescent="0.2">
      <c r="A233" s="288"/>
      <c r="B233" s="62"/>
      <c r="D233" s="63">
        <v>38047</v>
      </c>
      <c r="E233" s="62">
        <v>3.9860000000000002</v>
      </c>
      <c r="F233" s="62">
        <v>4.1059999999999999</v>
      </c>
      <c r="G233" s="62">
        <v>3.65</v>
      </c>
      <c r="H233" s="62">
        <v>3.8370000000000002</v>
      </c>
      <c r="I233" s="260">
        <v>3.8370000000000002</v>
      </c>
      <c r="J233" s="262">
        <f t="shared" si="3"/>
        <v>4.0364166666666666E-2</v>
      </c>
      <c r="K233" s="277"/>
      <c r="L233" s="280"/>
      <c r="M233" s="283"/>
      <c r="N233" s="285"/>
      <c r="O233" s="284"/>
      <c r="P233" s="287"/>
    </row>
    <row r="234" spans="1:16" x14ac:dyDescent="0.2">
      <c r="A234" s="288"/>
      <c r="B234" s="62"/>
      <c r="D234" s="63">
        <v>38078</v>
      </c>
      <c r="E234" s="62">
        <v>3.8370000000000002</v>
      </c>
      <c r="F234" s="62">
        <v>4.6340000000000003</v>
      </c>
      <c r="G234" s="62">
        <v>3.831</v>
      </c>
      <c r="H234" s="62">
        <v>4.5010000000000003</v>
      </c>
      <c r="I234" s="260">
        <v>4.5010000000000003</v>
      </c>
      <c r="J234" s="262">
        <f t="shared" si="3"/>
        <v>4.0900833333333331E-2</v>
      </c>
      <c r="K234" s="277"/>
      <c r="L234" s="280"/>
      <c r="M234" s="283"/>
      <c r="N234" s="285"/>
      <c r="O234" s="284"/>
      <c r="P234" s="287"/>
    </row>
    <row r="235" spans="1:16" x14ac:dyDescent="0.2">
      <c r="A235" s="288"/>
      <c r="B235" s="62"/>
      <c r="D235" s="63">
        <v>38108</v>
      </c>
      <c r="E235" s="62">
        <v>4.532</v>
      </c>
      <c r="F235" s="62">
        <v>4.9039999999999999</v>
      </c>
      <c r="G235" s="62">
        <v>4.444</v>
      </c>
      <c r="H235" s="62">
        <v>4.6550000000000002</v>
      </c>
      <c r="I235" s="260">
        <v>4.6550000000000002</v>
      </c>
      <c r="J235" s="262">
        <f t="shared" si="3"/>
        <v>4.1988333333333336E-2</v>
      </c>
      <c r="K235" s="277"/>
      <c r="L235" s="280"/>
      <c r="M235" s="283"/>
      <c r="N235" s="285"/>
      <c r="O235" s="284"/>
      <c r="P235" s="287"/>
    </row>
    <row r="236" spans="1:16" x14ac:dyDescent="0.2">
      <c r="A236" s="288"/>
      <c r="B236" s="62"/>
      <c r="D236" s="63">
        <v>38139</v>
      </c>
      <c r="E236" s="62">
        <v>4.6790000000000003</v>
      </c>
      <c r="F236" s="62">
        <v>4.8739999999999997</v>
      </c>
      <c r="G236" s="62">
        <v>4.5890000000000004</v>
      </c>
      <c r="H236" s="62">
        <v>4.617</v>
      </c>
      <c r="I236" s="260">
        <v>4.617</v>
      </c>
      <c r="J236" s="262">
        <f t="shared" si="3"/>
        <v>4.2895833333333334E-2</v>
      </c>
      <c r="K236" s="277"/>
      <c r="L236" s="280"/>
      <c r="M236" s="283"/>
      <c r="N236" s="285"/>
      <c r="O236" s="284"/>
      <c r="P236" s="287"/>
    </row>
    <row r="237" spans="1:16" x14ac:dyDescent="0.2">
      <c r="A237" s="288"/>
      <c r="B237" s="62"/>
      <c r="D237" s="63">
        <v>38169</v>
      </c>
      <c r="E237" s="62">
        <v>4.6020000000000003</v>
      </c>
      <c r="F237" s="62">
        <v>4.641</v>
      </c>
      <c r="G237" s="62">
        <v>4.351</v>
      </c>
      <c r="H237" s="62">
        <v>4.4749999999999996</v>
      </c>
      <c r="I237" s="260">
        <v>4.4749999999999996</v>
      </c>
      <c r="J237" s="262">
        <f t="shared" si="3"/>
        <v>4.2896666666666666E-2</v>
      </c>
      <c r="K237" s="277"/>
      <c r="L237" s="280"/>
      <c r="M237" s="283"/>
      <c r="N237" s="285"/>
      <c r="O237" s="284"/>
      <c r="P237" s="287"/>
    </row>
    <row r="238" spans="1:16" x14ac:dyDescent="0.2">
      <c r="A238" s="288"/>
      <c r="B238" s="62"/>
      <c r="D238" s="63">
        <v>38200</v>
      </c>
      <c r="E238" s="62">
        <v>4.4320000000000004</v>
      </c>
      <c r="F238" s="62">
        <v>4.4729999999999999</v>
      </c>
      <c r="G238" s="62">
        <v>4.0960000000000001</v>
      </c>
      <c r="H238" s="62">
        <v>4.1319999999999997</v>
      </c>
      <c r="I238" s="260">
        <v>4.1319999999999997</v>
      </c>
      <c r="J238" s="262">
        <f t="shared" si="3"/>
        <v>4.2628333333333331E-2</v>
      </c>
      <c r="K238" s="277"/>
      <c r="L238" s="280"/>
      <c r="M238" s="283"/>
      <c r="N238" s="285"/>
      <c r="O238" s="284"/>
      <c r="P238" s="287"/>
    </row>
    <row r="239" spans="1:16" x14ac:dyDescent="0.2">
      <c r="A239" s="288"/>
      <c r="B239" s="62"/>
      <c r="D239" s="63">
        <v>38231</v>
      </c>
      <c r="E239" s="62">
        <v>4.0940000000000003</v>
      </c>
      <c r="F239" s="62">
        <v>4.298</v>
      </c>
      <c r="G239" s="62">
        <v>3.9630000000000001</v>
      </c>
      <c r="H239" s="62">
        <v>4.1189999999999998</v>
      </c>
      <c r="I239" s="260">
        <v>4.1189999999999998</v>
      </c>
      <c r="J239" s="262">
        <f t="shared" si="3"/>
        <v>4.2779999999999999E-2</v>
      </c>
      <c r="K239" s="277"/>
      <c r="L239" s="280"/>
      <c r="M239" s="283"/>
      <c r="N239" s="285"/>
      <c r="O239" s="284"/>
      <c r="P239" s="287"/>
    </row>
    <row r="240" spans="1:16" x14ac:dyDescent="0.2">
      <c r="A240" s="288"/>
      <c r="B240" s="62"/>
      <c r="D240" s="63">
        <v>38261</v>
      </c>
      <c r="E240" s="62">
        <v>4.1619999999999999</v>
      </c>
      <c r="F240" s="62">
        <v>4.258</v>
      </c>
      <c r="G240" s="62">
        <v>3.9430000000000001</v>
      </c>
      <c r="H240" s="62">
        <v>4.0289999999999999</v>
      </c>
      <c r="I240" s="260">
        <v>4.0289999999999999</v>
      </c>
      <c r="J240" s="262">
        <f t="shared" si="3"/>
        <v>4.2553333333333325E-2</v>
      </c>
      <c r="K240" s="277"/>
      <c r="L240" s="280"/>
      <c r="M240" s="283"/>
      <c r="N240" s="285"/>
      <c r="O240" s="284"/>
      <c r="P240" s="287"/>
    </row>
    <row r="241" spans="1:16" x14ac:dyDescent="0.2">
      <c r="A241" s="288"/>
      <c r="B241" s="62"/>
      <c r="D241" s="63">
        <v>38292</v>
      </c>
      <c r="E241" s="62">
        <v>4.05</v>
      </c>
      <c r="F241" s="62">
        <v>4.3819999999999997</v>
      </c>
      <c r="G241" s="62">
        <v>4.0359999999999996</v>
      </c>
      <c r="H241" s="62">
        <v>4.3579999999999997</v>
      </c>
      <c r="I241" s="260">
        <v>4.3579999999999997</v>
      </c>
      <c r="J241" s="262">
        <f t="shared" si="3"/>
        <v>4.2584999999999998E-2</v>
      </c>
      <c r="K241" s="277"/>
      <c r="L241" s="280"/>
      <c r="M241" s="283"/>
      <c r="N241" s="285"/>
      <c r="O241" s="284"/>
      <c r="P241" s="287"/>
    </row>
    <row r="242" spans="1:16" x14ac:dyDescent="0.2">
      <c r="A242" s="288"/>
      <c r="B242" s="62"/>
      <c r="D242" s="63">
        <v>38322</v>
      </c>
      <c r="E242" s="62">
        <v>4.3380000000000001</v>
      </c>
      <c r="F242" s="62">
        <v>4.42</v>
      </c>
      <c r="G242" s="62">
        <v>4.069</v>
      </c>
      <c r="H242" s="62">
        <v>4.2160000000000002</v>
      </c>
      <c r="I242" s="260">
        <v>4.2160000000000002</v>
      </c>
      <c r="J242" s="262">
        <f t="shared" si="3"/>
        <v>4.2550833333333322E-2</v>
      </c>
      <c r="K242" s="277"/>
      <c r="L242" s="280"/>
      <c r="M242" s="283"/>
      <c r="N242" s="285"/>
      <c r="O242" s="284"/>
      <c r="P242" s="287"/>
    </row>
    <row r="243" spans="1:16" x14ac:dyDescent="0.2">
      <c r="A243" s="288"/>
      <c r="B243" s="62"/>
      <c r="D243" s="63">
        <v>38353</v>
      </c>
      <c r="E243" s="62">
        <v>4.2569999999999997</v>
      </c>
      <c r="F243" s="62">
        <v>4.3129999999999997</v>
      </c>
      <c r="G243" s="62">
        <v>4.1189999999999998</v>
      </c>
      <c r="H243" s="62">
        <v>4.133</v>
      </c>
      <c r="I243" s="260">
        <v>4.133</v>
      </c>
      <c r="J243" s="262">
        <f t="shared" si="3"/>
        <v>4.254666666666667E-2</v>
      </c>
      <c r="K243" s="277"/>
      <c r="L243" s="280"/>
      <c r="M243" s="283"/>
      <c r="N243" s="285"/>
      <c r="O243" s="284"/>
      <c r="P243" s="287"/>
    </row>
    <row r="244" spans="1:16" x14ac:dyDescent="0.2">
      <c r="A244" s="288"/>
      <c r="B244" s="62"/>
      <c r="D244" s="63">
        <v>38384</v>
      </c>
      <c r="E244" s="62">
        <v>4.1289999999999996</v>
      </c>
      <c r="F244" s="62">
        <v>4.3840000000000003</v>
      </c>
      <c r="G244" s="62">
        <v>3.9769999999999999</v>
      </c>
      <c r="H244" s="62">
        <v>4.359</v>
      </c>
      <c r="I244" s="260">
        <v>4.359</v>
      </c>
      <c r="J244" s="262">
        <f t="shared" si="3"/>
        <v>4.2859166666666663E-2</v>
      </c>
      <c r="K244" s="277"/>
      <c r="L244" s="280"/>
      <c r="M244" s="283"/>
      <c r="N244" s="285"/>
      <c r="O244" s="284"/>
      <c r="P244" s="287"/>
    </row>
    <row r="245" spans="1:16" x14ac:dyDescent="0.2">
      <c r="A245" s="288"/>
      <c r="B245" s="62"/>
      <c r="D245" s="63">
        <v>38412</v>
      </c>
      <c r="E245" s="62">
        <v>4.3630000000000004</v>
      </c>
      <c r="F245" s="62">
        <v>4.6929999999999996</v>
      </c>
      <c r="G245" s="62">
        <v>4.2889999999999997</v>
      </c>
      <c r="H245" s="62">
        <v>4.4960000000000004</v>
      </c>
      <c r="I245" s="260">
        <v>4.4960000000000004</v>
      </c>
      <c r="J245" s="262">
        <f t="shared" si="3"/>
        <v>4.3408333333333333E-2</v>
      </c>
      <c r="K245" s="277"/>
      <c r="L245" s="280"/>
      <c r="M245" s="283"/>
      <c r="N245" s="285"/>
      <c r="O245" s="284"/>
      <c r="P245" s="287"/>
    </row>
    <row r="246" spans="1:16" x14ac:dyDescent="0.2">
      <c r="A246" s="288"/>
      <c r="B246" s="62"/>
      <c r="D246" s="63">
        <v>38443</v>
      </c>
      <c r="E246" s="62">
        <v>4.4880000000000004</v>
      </c>
      <c r="F246" s="62">
        <v>4.5410000000000004</v>
      </c>
      <c r="G246" s="62">
        <v>4.1440000000000001</v>
      </c>
      <c r="H246" s="62">
        <v>4.2009999999999996</v>
      </c>
      <c r="I246" s="260">
        <v>4.2009999999999996</v>
      </c>
      <c r="J246" s="262">
        <f t="shared" si="3"/>
        <v>4.315833333333334E-2</v>
      </c>
      <c r="K246" s="277"/>
      <c r="L246" s="280"/>
      <c r="M246" s="283"/>
      <c r="N246" s="285"/>
      <c r="O246" s="284"/>
      <c r="P246" s="287"/>
    </row>
    <row r="247" spans="1:16" x14ac:dyDescent="0.2">
      <c r="A247" s="288"/>
      <c r="B247" s="62"/>
      <c r="D247" s="63">
        <v>38473</v>
      </c>
      <c r="E247" s="62">
        <v>4.1920000000000002</v>
      </c>
      <c r="F247" s="62">
        <v>4.2919999999999998</v>
      </c>
      <c r="G247" s="62">
        <v>3.992</v>
      </c>
      <c r="H247" s="62">
        <v>4.0060000000000002</v>
      </c>
      <c r="I247" s="260">
        <v>4.0060000000000002</v>
      </c>
      <c r="J247" s="262">
        <f t="shared" si="3"/>
        <v>4.2617500000000003E-2</v>
      </c>
      <c r="K247" s="277"/>
      <c r="L247" s="280"/>
      <c r="M247" s="283"/>
      <c r="N247" s="285"/>
      <c r="O247" s="284"/>
      <c r="P247" s="287"/>
    </row>
    <row r="248" spans="1:16" x14ac:dyDescent="0.2">
      <c r="A248" s="288"/>
      <c r="B248" s="62"/>
      <c r="D248" s="63">
        <v>38504</v>
      </c>
      <c r="E248" s="62">
        <v>3.97</v>
      </c>
      <c r="F248" s="62">
        <v>4.1520000000000001</v>
      </c>
      <c r="G248" s="62">
        <v>3.8029999999999999</v>
      </c>
      <c r="H248" s="62">
        <v>3.9449999999999998</v>
      </c>
      <c r="I248" s="260">
        <v>3.9449999999999998</v>
      </c>
      <c r="J248" s="262">
        <f t="shared" si="3"/>
        <v>4.2057499999999998E-2</v>
      </c>
      <c r="K248" s="277"/>
      <c r="L248" s="280"/>
      <c r="M248" s="283"/>
      <c r="N248" s="285"/>
      <c r="O248" s="284"/>
      <c r="P248" s="287"/>
    </row>
    <row r="249" spans="1:16" x14ac:dyDescent="0.2">
      <c r="A249" s="288"/>
      <c r="B249" s="62"/>
      <c r="D249" s="63">
        <v>38534</v>
      </c>
      <c r="E249" s="62">
        <v>3.944</v>
      </c>
      <c r="F249" s="62">
        <v>4.298</v>
      </c>
      <c r="G249" s="62">
        <v>3.9420000000000002</v>
      </c>
      <c r="H249" s="62">
        <v>4.2859999999999996</v>
      </c>
      <c r="I249" s="260">
        <v>4.2859999999999996</v>
      </c>
      <c r="J249" s="262">
        <f t="shared" si="3"/>
        <v>4.1900000000000007E-2</v>
      </c>
      <c r="K249" s="277"/>
      <c r="L249" s="280"/>
      <c r="M249" s="283"/>
      <c r="N249" s="285"/>
      <c r="O249" s="284"/>
      <c r="P249" s="287"/>
    </row>
    <row r="250" spans="1:16" x14ac:dyDescent="0.2">
      <c r="A250" s="288"/>
      <c r="B250" s="62"/>
      <c r="D250" s="63">
        <v>38565</v>
      </c>
      <c r="E250" s="62">
        <v>4.3</v>
      </c>
      <c r="F250" s="62">
        <v>4.4349999999999996</v>
      </c>
      <c r="G250" s="62">
        <v>4.0049999999999999</v>
      </c>
      <c r="H250" s="62">
        <v>4.0199999999999996</v>
      </c>
      <c r="I250" s="260">
        <v>4.0199999999999996</v>
      </c>
      <c r="J250" s="262">
        <f t="shared" si="3"/>
        <v>4.1806666666666673E-2</v>
      </c>
      <c r="K250" s="277"/>
      <c r="L250" s="280"/>
      <c r="M250" s="283"/>
      <c r="N250" s="285"/>
      <c r="O250" s="284"/>
      <c r="P250" s="287"/>
    </row>
    <row r="251" spans="1:16" x14ac:dyDescent="0.2">
      <c r="A251" s="288"/>
      <c r="B251" s="62"/>
      <c r="D251" s="63">
        <v>38596</v>
      </c>
      <c r="E251" s="62">
        <v>4.0430000000000001</v>
      </c>
      <c r="F251" s="62">
        <v>4.3410000000000002</v>
      </c>
      <c r="G251" s="62">
        <v>3.9830000000000001</v>
      </c>
      <c r="H251" s="62">
        <v>4.3280000000000003</v>
      </c>
      <c r="I251" s="260">
        <v>4.3280000000000003</v>
      </c>
      <c r="J251" s="262">
        <f t="shared" si="3"/>
        <v>4.1980833333333335E-2</v>
      </c>
      <c r="K251" s="277"/>
      <c r="L251" s="280"/>
      <c r="M251" s="283"/>
      <c r="N251" s="285"/>
      <c r="O251" s="284"/>
      <c r="P251" s="287"/>
    </row>
    <row r="252" spans="1:16" x14ac:dyDescent="0.2">
      <c r="A252" s="288"/>
      <c r="B252" s="62"/>
      <c r="D252" s="63">
        <v>38626</v>
      </c>
      <c r="E252" s="62">
        <v>4.32</v>
      </c>
      <c r="F252" s="62">
        <v>4.6050000000000004</v>
      </c>
      <c r="G252" s="62">
        <v>4.3170000000000002</v>
      </c>
      <c r="H252" s="62">
        <v>4.5590000000000002</v>
      </c>
      <c r="I252" s="260">
        <v>4.5590000000000002</v>
      </c>
      <c r="J252" s="262">
        <f t="shared" si="3"/>
        <v>4.2422500000000009E-2</v>
      </c>
      <c r="K252" s="277"/>
      <c r="L252" s="280"/>
      <c r="M252" s="283"/>
      <c r="N252" s="285"/>
      <c r="O252" s="284"/>
      <c r="P252" s="287"/>
    </row>
    <row r="253" spans="1:16" x14ac:dyDescent="0.2">
      <c r="A253" s="288"/>
      <c r="B253" s="62"/>
      <c r="D253" s="63">
        <v>38657</v>
      </c>
      <c r="E253" s="62">
        <v>4.5449999999999999</v>
      </c>
      <c r="F253" s="62">
        <v>4.6820000000000004</v>
      </c>
      <c r="G253" s="62">
        <v>4.3879999999999999</v>
      </c>
      <c r="H253" s="62">
        <v>4.5</v>
      </c>
      <c r="I253" s="260">
        <v>4.5</v>
      </c>
      <c r="J253" s="262">
        <f t="shared" si="3"/>
        <v>4.254083333333334E-2</v>
      </c>
      <c r="K253" s="277"/>
      <c r="L253" s="280"/>
      <c r="M253" s="283"/>
      <c r="N253" s="285"/>
      <c r="O253" s="284"/>
      <c r="P253" s="287"/>
    </row>
    <row r="254" spans="1:16" x14ac:dyDescent="0.2">
      <c r="A254" s="288"/>
      <c r="B254" s="62"/>
      <c r="D254" s="63">
        <v>38687</v>
      </c>
      <c r="E254" s="62">
        <v>4.476</v>
      </c>
      <c r="F254" s="62">
        <v>4.5810000000000004</v>
      </c>
      <c r="G254" s="62">
        <v>4.3339999999999996</v>
      </c>
      <c r="H254" s="62">
        <v>4.3949999999999996</v>
      </c>
      <c r="I254" s="260">
        <v>4.3949999999999996</v>
      </c>
      <c r="J254" s="262">
        <f t="shared" si="3"/>
        <v>4.2689999999999992E-2</v>
      </c>
      <c r="K254" s="277"/>
      <c r="L254" s="280"/>
      <c r="M254" s="283"/>
      <c r="N254" s="285"/>
      <c r="O254" s="284"/>
      <c r="P254" s="287"/>
    </row>
    <row r="255" spans="1:16" x14ac:dyDescent="0.2">
      <c r="A255" s="288"/>
      <c r="B255" s="62"/>
      <c r="D255" s="63">
        <v>38718</v>
      </c>
      <c r="E255" s="62">
        <v>4.4240000000000004</v>
      </c>
      <c r="F255" s="62">
        <v>4.5570000000000004</v>
      </c>
      <c r="G255" s="62">
        <v>4.2889999999999997</v>
      </c>
      <c r="H255" s="62">
        <v>4.5270000000000001</v>
      </c>
      <c r="I255" s="260">
        <v>4.5270000000000001</v>
      </c>
      <c r="J255" s="262">
        <f t="shared" si="3"/>
        <v>4.3018333333333339E-2</v>
      </c>
      <c r="K255" s="277"/>
      <c r="L255" s="280"/>
      <c r="M255" s="283"/>
      <c r="N255" s="285"/>
      <c r="O255" s="284"/>
      <c r="P255" s="287"/>
    </row>
    <row r="256" spans="1:16" x14ac:dyDescent="0.2">
      <c r="A256" s="288"/>
      <c r="B256" s="62"/>
      <c r="D256" s="63">
        <v>38749</v>
      </c>
      <c r="E256" s="62">
        <v>4.5289999999999999</v>
      </c>
      <c r="F256" s="62">
        <v>4.63</v>
      </c>
      <c r="G256" s="62">
        <v>4.5</v>
      </c>
      <c r="H256" s="62">
        <v>4.5469999999999997</v>
      </c>
      <c r="I256" s="260">
        <v>4.5469999999999997</v>
      </c>
      <c r="J256" s="262">
        <f t="shared" si="3"/>
        <v>4.3174999999999991E-2</v>
      </c>
      <c r="K256" s="277"/>
      <c r="L256" s="280"/>
      <c r="M256" s="283"/>
      <c r="N256" s="285"/>
      <c r="O256" s="284"/>
      <c r="P256" s="287"/>
    </row>
    <row r="257" spans="1:16" x14ac:dyDescent="0.2">
      <c r="A257" s="288"/>
      <c r="B257" s="62"/>
      <c r="D257" s="63">
        <v>38777</v>
      </c>
      <c r="E257" s="62">
        <v>4.5609999999999999</v>
      </c>
      <c r="F257" s="62">
        <v>4.8840000000000003</v>
      </c>
      <c r="G257" s="62">
        <v>4.5510000000000002</v>
      </c>
      <c r="H257" s="62">
        <v>4.8529999999999998</v>
      </c>
      <c r="I257" s="260">
        <v>4.8529999999999998</v>
      </c>
      <c r="J257" s="262">
        <f t="shared" si="3"/>
        <v>4.3472499999999997E-2</v>
      </c>
      <c r="K257" s="277"/>
      <c r="L257" s="280"/>
      <c r="M257" s="283"/>
      <c r="N257" s="285"/>
      <c r="O257" s="284"/>
      <c r="P257" s="287"/>
    </row>
    <row r="258" spans="1:16" x14ac:dyDescent="0.2">
      <c r="A258" s="288"/>
      <c r="B258" s="62"/>
      <c r="D258" s="63">
        <v>38808</v>
      </c>
      <c r="E258" s="62">
        <v>4.8840000000000003</v>
      </c>
      <c r="F258" s="62">
        <v>5.1429999999999998</v>
      </c>
      <c r="G258" s="62">
        <v>4.835</v>
      </c>
      <c r="H258" s="62">
        <v>5.069</v>
      </c>
      <c r="I258" s="260">
        <v>5.069</v>
      </c>
      <c r="J258" s="262">
        <f t="shared" si="3"/>
        <v>4.4195833333333337E-2</v>
      </c>
      <c r="K258" s="277"/>
      <c r="L258" s="280"/>
      <c r="M258" s="283"/>
      <c r="N258" s="285"/>
      <c r="O258" s="284"/>
      <c r="P258" s="287"/>
    </row>
    <row r="259" spans="1:16" x14ac:dyDescent="0.2">
      <c r="A259" s="288"/>
      <c r="B259" s="62"/>
      <c r="D259" s="63">
        <v>38838</v>
      </c>
      <c r="E259" s="62">
        <v>5.0590000000000002</v>
      </c>
      <c r="F259" s="62">
        <v>5.1920000000000002</v>
      </c>
      <c r="G259" s="62">
        <v>4.9800000000000004</v>
      </c>
      <c r="H259" s="62">
        <v>5.1130000000000004</v>
      </c>
      <c r="I259" s="260">
        <v>5.1130000000000004</v>
      </c>
      <c r="J259" s="262">
        <f t="shared" si="3"/>
        <v>4.5118333333333337E-2</v>
      </c>
      <c r="K259" s="277"/>
      <c r="L259" s="280"/>
      <c r="M259" s="283"/>
      <c r="N259" s="285"/>
      <c r="O259" s="284"/>
      <c r="P259" s="287"/>
    </row>
    <row r="260" spans="1:16" x14ac:dyDescent="0.2">
      <c r="A260" s="288"/>
      <c r="B260" s="62"/>
      <c r="D260" s="63">
        <v>38869</v>
      </c>
      <c r="E260" s="62">
        <v>5.1369999999999996</v>
      </c>
      <c r="F260" s="62">
        <v>5.2450000000000001</v>
      </c>
      <c r="G260" s="62">
        <v>4.9489999999999998</v>
      </c>
      <c r="H260" s="62">
        <v>5.1379999999999999</v>
      </c>
      <c r="I260" s="260">
        <v>5.1379999999999999</v>
      </c>
      <c r="J260" s="262">
        <f t="shared" si="3"/>
        <v>4.6112500000000001E-2</v>
      </c>
      <c r="K260" s="277"/>
      <c r="L260" s="280"/>
      <c r="M260" s="283"/>
      <c r="N260" s="285"/>
      <c r="O260" s="284"/>
      <c r="P260" s="287"/>
    </row>
    <row r="261" spans="1:16" x14ac:dyDescent="0.2">
      <c r="A261" s="288"/>
      <c r="B261" s="62"/>
      <c r="D261" s="63">
        <v>38899</v>
      </c>
      <c r="E261" s="62">
        <v>5.1550000000000002</v>
      </c>
      <c r="F261" s="62">
        <v>5.2409999999999997</v>
      </c>
      <c r="G261" s="62">
        <v>4.9790000000000001</v>
      </c>
      <c r="H261" s="62">
        <v>4.9880000000000004</v>
      </c>
      <c r="I261" s="260">
        <v>4.9880000000000004</v>
      </c>
      <c r="J261" s="262">
        <f t="shared" si="3"/>
        <v>4.6697499999999996E-2</v>
      </c>
      <c r="K261" s="277"/>
      <c r="L261" s="280"/>
      <c r="M261" s="283"/>
      <c r="N261" s="285"/>
      <c r="O261" s="284"/>
      <c r="P261" s="287"/>
    </row>
    <row r="262" spans="1:16" x14ac:dyDescent="0.2">
      <c r="A262" s="288"/>
      <c r="B262" s="62"/>
      <c r="D262" s="63">
        <v>38930</v>
      </c>
      <c r="E262" s="62">
        <v>5.0019999999999998</v>
      </c>
      <c r="F262" s="62">
        <v>5.0179999999999998</v>
      </c>
      <c r="G262" s="62">
        <v>4.7279999999999998</v>
      </c>
      <c r="H262" s="62">
        <v>4.7320000000000002</v>
      </c>
      <c r="I262" s="260">
        <v>4.7320000000000002</v>
      </c>
      <c r="J262" s="262">
        <f t="shared" si="3"/>
        <v>4.7290833333333337E-2</v>
      </c>
      <c r="K262" s="277"/>
      <c r="L262" s="280"/>
      <c r="M262" s="283"/>
      <c r="N262" s="285"/>
      <c r="O262" s="284"/>
      <c r="P262" s="287"/>
    </row>
    <row r="263" spans="1:16" x14ac:dyDescent="0.2">
      <c r="A263" s="288"/>
      <c r="B263" s="62"/>
      <c r="D263" s="63">
        <v>38961</v>
      </c>
      <c r="E263" s="62">
        <v>4.7240000000000002</v>
      </c>
      <c r="F263" s="62">
        <v>4.8479999999999999</v>
      </c>
      <c r="G263" s="62">
        <v>4.53</v>
      </c>
      <c r="H263" s="62">
        <v>4.633</v>
      </c>
      <c r="I263" s="260">
        <v>4.633</v>
      </c>
      <c r="J263" s="262">
        <f t="shared" si="3"/>
        <v>4.7545000000000004E-2</v>
      </c>
      <c r="K263" s="277"/>
      <c r="L263" s="280"/>
      <c r="M263" s="283"/>
      <c r="N263" s="285"/>
      <c r="O263" s="284"/>
      <c r="P263" s="287"/>
    </row>
    <row r="264" spans="1:16" x14ac:dyDescent="0.2">
      <c r="A264" s="288"/>
      <c r="B264" s="62"/>
      <c r="D264" s="63">
        <v>38991</v>
      </c>
      <c r="E264" s="62">
        <v>4.6529999999999996</v>
      </c>
      <c r="F264" s="62">
        <v>4.8479999999999999</v>
      </c>
      <c r="G264" s="62">
        <v>4.5590000000000002</v>
      </c>
      <c r="H264" s="62">
        <v>4.6059999999999999</v>
      </c>
      <c r="I264" s="260">
        <v>4.6059999999999999</v>
      </c>
      <c r="J264" s="262">
        <f t="shared" si="3"/>
        <v>4.758416666666667E-2</v>
      </c>
      <c r="K264" s="277"/>
      <c r="L264" s="280"/>
      <c r="M264" s="283"/>
      <c r="N264" s="285"/>
      <c r="O264" s="284"/>
      <c r="P264" s="287"/>
    </row>
    <row r="265" spans="1:16" x14ac:dyDescent="0.2">
      <c r="A265" s="288"/>
      <c r="B265" s="62"/>
      <c r="D265" s="63">
        <v>39022</v>
      </c>
      <c r="E265" s="62">
        <v>4.6100000000000003</v>
      </c>
      <c r="F265" s="62">
        <v>4.7370000000000001</v>
      </c>
      <c r="G265" s="62">
        <v>4.4560000000000004</v>
      </c>
      <c r="H265" s="62">
        <v>4.4580000000000002</v>
      </c>
      <c r="I265" s="260">
        <v>4.4580000000000002</v>
      </c>
      <c r="J265" s="262">
        <f t="shared" si="3"/>
        <v>4.754916666666667E-2</v>
      </c>
      <c r="K265" s="277"/>
      <c r="L265" s="280"/>
      <c r="M265" s="283"/>
      <c r="N265" s="285"/>
      <c r="O265" s="284"/>
      <c r="P265" s="287"/>
    </row>
    <row r="266" spans="1:16" x14ac:dyDescent="0.2">
      <c r="A266" s="288"/>
      <c r="B266" s="62"/>
      <c r="D266" s="63">
        <v>39052</v>
      </c>
      <c r="E266" s="62">
        <v>4.4790000000000001</v>
      </c>
      <c r="F266" s="62">
        <v>4.72</v>
      </c>
      <c r="G266" s="62">
        <v>4.4039999999999999</v>
      </c>
      <c r="H266" s="62">
        <v>4.71</v>
      </c>
      <c r="I266" s="260">
        <v>4.71</v>
      </c>
      <c r="J266" s="262">
        <f t="shared" si="3"/>
        <v>4.7811666666666669E-2</v>
      </c>
      <c r="K266" s="277"/>
      <c r="L266" s="280"/>
      <c r="M266" s="283"/>
      <c r="N266" s="285"/>
      <c r="O266" s="284"/>
      <c r="P266" s="287"/>
    </row>
    <row r="267" spans="1:16" x14ac:dyDescent="0.2">
      <c r="A267" s="288"/>
      <c r="B267" s="62"/>
      <c r="D267" s="63">
        <v>39083</v>
      </c>
      <c r="E267" s="62">
        <v>4.6580000000000004</v>
      </c>
      <c r="F267" s="62">
        <v>4.9059999999999997</v>
      </c>
      <c r="G267" s="62">
        <v>4.5830000000000002</v>
      </c>
      <c r="H267" s="62">
        <v>4.8259999999999996</v>
      </c>
      <c r="I267" s="260">
        <v>4.8259999999999996</v>
      </c>
      <c r="J267" s="262">
        <f t="shared" si="3"/>
        <v>4.8060833333333337E-2</v>
      </c>
      <c r="K267" s="277"/>
      <c r="L267" s="280"/>
      <c r="M267" s="283"/>
      <c r="N267" s="285"/>
      <c r="O267" s="284"/>
      <c r="P267" s="287"/>
    </row>
    <row r="268" spans="1:16" x14ac:dyDescent="0.2">
      <c r="A268" s="288"/>
      <c r="B268" s="62"/>
      <c r="D268" s="63">
        <v>39114</v>
      </c>
      <c r="E268" s="62">
        <v>4.8140000000000001</v>
      </c>
      <c r="F268" s="62">
        <v>4.87</v>
      </c>
      <c r="G268" s="62">
        <v>4.5090000000000003</v>
      </c>
      <c r="H268" s="62">
        <v>4.55</v>
      </c>
      <c r="I268" s="260">
        <v>4.55</v>
      </c>
      <c r="J268" s="262">
        <f t="shared" ref="J268:J331" si="4">AVERAGE(I257:I268)/100</f>
        <v>4.806333333333334E-2</v>
      </c>
      <c r="K268" s="277"/>
      <c r="L268" s="280"/>
      <c r="M268" s="283"/>
      <c r="N268" s="285"/>
      <c r="O268" s="284"/>
      <c r="P268" s="287"/>
    </row>
    <row r="269" spans="1:16" x14ac:dyDescent="0.2">
      <c r="A269" s="288"/>
      <c r="B269" s="62"/>
      <c r="D269" s="63">
        <v>39142</v>
      </c>
      <c r="E269" s="62">
        <v>4.5229999999999997</v>
      </c>
      <c r="F269" s="62">
        <v>4.6719999999999997</v>
      </c>
      <c r="G269" s="62">
        <v>4.4729999999999999</v>
      </c>
      <c r="H269" s="62">
        <v>4.6479999999999997</v>
      </c>
      <c r="I269" s="260">
        <v>4.6479999999999997</v>
      </c>
      <c r="J269" s="262">
        <f t="shared" si="4"/>
        <v>4.7892499999999991E-2</v>
      </c>
      <c r="K269" s="277"/>
      <c r="L269" s="280"/>
      <c r="M269" s="283"/>
      <c r="N269" s="285"/>
      <c r="O269" s="284"/>
      <c r="P269" s="287"/>
    </row>
    <row r="270" spans="1:16" x14ac:dyDescent="0.2">
      <c r="A270" s="288"/>
      <c r="B270" s="62"/>
      <c r="D270" s="63">
        <v>39173</v>
      </c>
      <c r="E270" s="62">
        <v>4.6379999999999999</v>
      </c>
      <c r="F270" s="62">
        <v>4.7750000000000004</v>
      </c>
      <c r="G270" s="62">
        <v>4.6120000000000001</v>
      </c>
      <c r="H270" s="62">
        <v>4.63</v>
      </c>
      <c r="I270" s="260">
        <v>4.63</v>
      </c>
      <c r="J270" s="262">
        <f t="shared" si="4"/>
        <v>4.7526666666666675E-2</v>
      </c>
      <c r="K270" s="277"/>
      <c r="L270" s="280"/>
      <c r="M270" s="283"/>
      <c r="N270" s="285"/>
      <c r="O270" s="284"/>
      <c r="P270" s="287"/>
    </row>
    <row r="271" spans="1:16" x14ac:dyDescent="0.2">
      <c r="A271" s="288"/>
      <c r="B271" s="62"/>
      <c r="D271" s="63">
        <v>39203</v>
      </c>
      <c r="E271" s="62">
        <v>4.6180000000000003</v>
      </c>
      <c r="F271" s="62">
        <v>4.9210000000000003</v>
      </c>
      <c r="G271" s="62">
        <v>4.6020000000000003</v>
      </c>
      <c r="H271" s="62">
        <v>4.8899999999999997</v>
      </c>
      <c r="I271" s="260">
        <v>4.8899999999999997</v>
      </c>
      <c r="J271" s="262">
        <f t="shared" si="4"/>
        <v>4.7340833333333332E-2</v>
      </c>
      <c r="K271" s="277"/>
      <c r="L271" s="280"/>
      <c r="M271" s="283"/>
      <c r="N271" s="285"/>
      <c r="O271" s="284"/>
      <c r="P271" s="287"/>
    </row>
    <row r="272" spans="1:16" x14ac:dyDescent="0.2">
      <c r="A272" s="288"/>
      <c r="B272" s="62"/>
      <c r="D272" s="63">
        <v>39234</v>
      </c>
      <c r="E272" s="62">
        <v>4.8979999999999997</v>
      </c>
      <c r="F272" s="62">
        <v>5.3159999999999998</v>
      </c>
      <c r="G272" s="62">
        <v>4.8739999999999997</v>
      </c>
      <c r="H272" s="62">
        <v>5.0330000000000004</v>
      </c>
      <c r="I272" s="260">
        <v>5.0330000000000004</v>
      </c>
      <c r="J272" s="262">
        <f t="shared" si="4"/>
        <v>4.7253333333333335E-2</v>
      </c>
      <c r="K272" s="277"/>
      <c r="L272" s="280"/>
      <c r="M272" s="283"/>
      <c r="N272" s="285"/>
      <c r="O272" s="284"/>
      <c r="P272" s="287"/>
    </row>
    <row r="273" spans="1:16" x14ac:dyDescent="0.2">
      <c r="A273" s="288"/>
      <c r="B273" s="62"/>
      <c r="D273" s="63">
        <v>39264</v>
      </c>
      <c r="E273" s="62">
        <v>5.0309999999999997</v>
      </c>
      <c r="F273" s="62">
        <v>5.2009999999999996</v>
      </c>
      <c r="G273" s="62">
        <v>4.7409999999999997</v>
      </c>
      <c r="H273" s="62">
        <v>4.7709999999999999</v>
      </c>
      <c r="I273" s="260">
        <v>4.7709999999999999</v>
      </c>
      <c r="J273" s="262">
        <f t="shared" si="4"/>
        <v>4.7072500000000003E-2</v>
      </c>
      <c r="K273" s="277"/>
      <c r="L273" s="280"/>
      <c r="M273" s="283"/>
      <c r="N273" s="285"/>
      <c r="O273" s="284"/>
      <c r="P273" s="287"/>
    </row>
    <row r="274" spans="1:16" x14ac:dyDescent="0.2">
      <c r="A274" s="288"/>
      <c r="B274" s="62"/>
      <c r="D274" s="63">
        <v>39295</v>
      </c>
      <c r="E274" s="62">
        <v>4.7329999999999997</v>
      </c>
      <c r="F274" s="62">
        <v>4.8899999999999997</v>
      </c>
      <c r="G274" s="62">
        <v>4.4960000000000004</v>
      </c>
      <c r="H274" s="62">
        <v>4.5369999999999999</v>
      </c>
      <c r="I274" s="260">
        <v>4.5369999999999999</v>
      </c>
      <c r="J274" s="262">
        <f t="shared" si="4"/>
        <v>4.691E-2</v>
      </c>
      <c r="K274" s="277"/>
      <c r="L274" s="280"/>
      <c r="M274" s="283"/>
      <c r="N274" s="285"/>
      <c r="O274" s="284"/>
      <c r="P274" s="287"/>
    </row>
    <row r="275" spans="1:16" x14ac:dyDescent="0.2">
      <c r="A275" s="288"/>
      <c r="B275" s="62"/>
      <c r="D275" s="63">
        <v>39326</v>
      </c>
      <c r="E275" s="62">
        <v>4.5140000000000002</v>
      </c>
      <c r="F275" s="62">
        <v>4.702</v>
      </c>
      <c r="G275" s="62">
        <v>4.3010000000000002</v>
      </c>
      <c r="H275" s="62">
        <v>4.5789999999999997</v>
      </c>
      <c r="I275" s="260">
        <v>4.5789999999999997</v>
      </c>
      <c r="J275" s="262">
        <f t="shared" si="4"/>
        <v>4.6865000000000004E-2</v>
      </c>
      <c r="K275" s="277"/>
      <c r="L275" s="280"/>
      <c r="M275" s="283"/>
      <c r="N275" s="285"/>
      <c r="O275" s="284"/>
      <c r="P275" s="287"/>
    </row>
    <row r="276" spans="1:16" x14ac:dyDescent="0.2">
      <c r="A276" s="288"/>
      <c r="B276" s="62"/>
      <c r="D276" s="63">
        <v>39356</v>
      </c>
      <c r="E276" s="62">
        <v>4.5789999999999997</v>
      </c>
      <c r="F276" s="62">
        <v>4.7190000000000003</v>
      </c>
      <c r="G276" s="62">
        <v>4.3120000000000003</v>
      </c>
      <c r="H276" s="62">
        <v>4.4749999999999996</v>
      </c>
      <c r="I276" s="260">
        <v>4.4749999999999996</v>
      </c>
      <c r="J276" s="262">
        <f t="shared" si="4"/>
        <v>4.675583333333333E-2</v>
      </c>
      <c r="K276" s="277"/>
      <c r="L276" s="280"/>
      <c r="M276" s="283"/>
      <c r="N276" s="285"/>
      <c r="O276" s="284"/>
      <c r="P276" s="287"/>
    </row>
    <row r="277" spans="1:16" x14ac:dyDescent="0.2">
      <c r="A277" s="288"/>
      <c r="B277" s="62"/>
      <c r="D277" s="63">
        <v>39387</v>
      </c>
      <c r="E277" s="62">
        <v>4.4550000000000001</v>
      </c>
      <c r="F277" s="62">
        <v>4.4569999999999999</v>
      </c>
      <c r="G277" s="62">
        <v>3.8450000000000002</v>
      </c>
      <c r="H277" s="62">
        <v>3.972</v>
      </c>
      <c r="I277" s="260">
        <v>3.972</v>
      </c>
      <c r="J277" s="262">
        <f t="shared" si="4"/>
        <v>4.6350833333333334E-2</v>
      </c>
      <c r="K277" s="277"/>
      <c r="L277" s="280"/>
      <c r="M277" s="283"/>
      <c r="N277" s="285"/>
      <c r="O277" s="284"/>
      <c r="P277" s="287"/>
    </row>
    <row r="278" spans="1:16" x14ac:dyDescent="0.2">
      <c r="A278" s="288"/>
      <c r="B278" s="62"/>
      <c r="D278" s="63">
        <v>39417</v>
      </c>
      <c r="E278" s="62">
        <v>3.944</v>
      </c>
      <c r="F278" s="62">
        <v>4.2809999999999997</v>
      </c>
      <c r="G278" s="62">
        <v>3.84</v>
      </c>
      <c r="H278" s="62">
        <v>4.0350000000000001</v>
      </c>
      <c r="I278" s="260">
        <v>4.0350000000000001</v>
      </c>
      <c r="J278" s="262">
        <f t="shared" si="4"/>
        <v>4.5788333333333327E-2</v>
      </c>
      <c r="K278" s="277"/>
      <c r="L278" s="280"/>
      <c r="M278" s="283"/>
      <c r="N278" s="285"/>
      <c r="O278" s="284"/>
      <c r="P278" s="287"/>
    </row>
    <row r="279" spans="1:16" x14ac:dyDescent="0.2">
      <c r="A279" s="288"/>
      <c r="B279" s="62"/>
      <c r="D279" s="63">
        <v>39448</v>
      </c>
      <c r="E279" s="62">
        <v>4.0330000000000004</v>
      </c>
      <c r="F279" s="62">
        <v>4.0519999999999996</v>
      </c>
      <c r="G279" s="62">
        <v>3.2810000000000001</v>
      </c>
      <c r="H279" s="62">
        <v>3.6389999999999998</v>
      </c>
      <c r="I279" s="260">
        <v>3.6389999999999998</v>
      </c>
      <c r="J279" s="262">
        <f t="shared" si="4"/>
        <v>4.4799166666666668E-2</v>
      </c>
      <c r="K279" s="277"/>
      <c r="L279" s="280"/>
      <c r="M279" s="283"/>
      <c r="N279" s="285"/>
      <c r="O279" s="284"/>
      <c r="P279" s="287"/>
    </row>
    <row r="280" spans="1:16" x14ac:dyDescent="0.2">
      <c r="A280" s="288"/>
      <c r="B280" s="62"/>
      <c r="D280" s="63">
        <v>39479</v>
      </c>
      <c r="E280" s="62">
        <v>3.6520000000000001</v>
      </c>
      <c r="F280" s="62">
        <v>3.96</v>
      </c>
      <c r="G280" s="62">
        <v>3.5259999999999998</v>
      </c>
      <c r="H280" s="62">
        <v>3.5339999999999998</v>
      </c>
      <c r="I280" s="260">
        <v>3.5339999999999998</v>
      </c>
      <c r="J280" s="262">
        <f t="shared" si="4"/>
        <v>4.3952500000000005E-2</v>
      </c>
      <c r="K280" s="277"/>
      <c r="L280" s="280"/>
      <c r="M280" s="283"/>
      <c r="N280" s="285"/>
      <c r="O280" s="284"/>
      <c r="P280" s="287"/>
    </row>
    <row r="281" spans="1:16" x14ac:dyDescent="0.2">
      <c r="A281" s="288"/>
      <c r="B281" s="62"/>
      <c r="D281" s="63">
        <v>39508</v>
      </c>
      <c r="E281" s="62">
        <v>3.5619999999999998</v>
      </c>
      <c r="F281" s="62">
        <v>3.7040000000000002</v>
      </c>
      <c r="G281" s="62">
        <v>3.2879999999999998</v>
      </c>
      <c r="H281" s="62">
        <v>3.4319999999999999</v>
      </c>
      <c r="I281" s="260">
        <v>3.4319999999999999</v>
      </c>
      <c r="J281" s="262">
        <f t="shared" si="4"/>
        <v>4.2939166666666667E-2</v>
      </c>
      <c r="K281" s="277"/>
      <c r="L281" s="280"/>
      <c r="M281" s="283"/>
      <c r="N281" s="285"/>
      <c r="O281" s="284"/>
      <c r="P281" s="287"/>
    </row>
    <row r="282" spans="1:16" x14ac:dyDescent="0.2">
      <c r="A282" s="288"/>
      <c r="B282" s="62"/>
      <c r="D282" s="63">
        <v>39539</v>
      </c>
      <c r="E282" s="62">
        <v>3.4860000000000002</v>
      </c>
      <c r="F282" s="62">
        <v>3.8879999999999999</v>
      </c>
      <c r="G282" s="62">
        <v>3.43</v>
      </c>
      <c r="H282" s="62">
        <v>3.7589999999999999</v>
      </c>
      <c r="I282" s="260">
        <v>3.7589999999999999</v>
      </c>
      <c r="J282" s="262">
        <f t="shared" si="4"/>
        <v>4.2213333333333339E-2</v>
      </c>
      <c r="K282" s="277"/>
      <c r="L282" s="280"/>
      <c r="M282" s="283"/>
      <c r="N282" s="285"/>
      <c r="O282" s="284"/>
      <c r="P282" s="287"/>
    </row>
    <row r="283" spans="1:16" x14ac:dyDescent="0.2">
      <c r="A283" s="288"/>
      <c r="B283" s="62"/>
      <c r="D283" s="63">
        <v>39569</v>
      </c>
      <c r="E283" s="62">
        <v>3.7509999999999999</v>
      </c>
      <c r="F283" s="62">
        <v>4.1390000000000002</v>
      </c>
      <c r="G283" s="62">
        <v>3.6819999999999999</v>
      </c>
      <c r="H283" s="62">
        <v>4.0460000000000003</v>
      </c>
      <c r="I283" s="260">
        <v>4.0460000000000003</v>
      </c>
      <c r="J283" s="262">
        <f t="shared" si="4"/>
        <v>4.1510000000000005E-2</v>
      </c>
      <c r="K283" s="277"/>
      <c r="L283" s="280"/>
      <c r="M283" s="283"/>
      <c r="N283" s="285"/>
      <c r="O283" s="284"/>
      <c r="P283" s="287"/>
    </row>
    <row r="284" spans="1:16" x14ac:dyDescent="0.2">
      <c r="A284" s="288"/>
      <c r="B284" s="62"/>
      <c r="D284" s="63">
        <v>39600</v>
      </c>
      <c r="E284" s="62">
        <v>4.0250000000000004</v>
      </c>
      <c r="F284" s="62">
        <v>4.3239999999999998</v>
      </c>
      <c r="G284" s="62">
        <v>3.8559999999999999</v>
      </c>
      <c r="H284" s="62">
        <v>3.9790000000000001</v>
      </c>
      <c r="I284" s="260">
        <v>3.9790000000000001</v>
      </c>
      <c r="J284" s="262">
        <f t="shared" si="4"/>
        <v>4.0631666666666663E-2</v>
      </c>
      <c r="K284" s="277"/>
      <c r="L284" s="280"/>
      <c r="M284" s="283"/>
      <c r="N284" s="285"/>
      <c r="O284" s="284"/>
      <c r="P284" s="287"/>
    </row>
    <row r="285" spans="1:16" x14ac:dyDescent="0.2">
      <c r="A285" s="288"/>
      <c r="B285" s="62"/>
      <c r="D285" s="63">
        <v>39630</v>
      </c>
      <c r="E285" s="62">
        <v>3.9420000000000002</v>
      </c>
      <c r="F285" s="62">
        <v>4.1740000000000004</v>
      </c>
      <c r="G285" s="62">
        <v>3.7690000000000001</v>
      </c>
      <c r="H285" s="62">
        <v>3.9790000000000001</v>
      </c>
      <c r="I285" s="260">
        <v>3.9790000000000001</v>
      </c>
      <c r="J285" s="262">
        <f t="shared" si="4"/>
        <v>3.9971666666666662E-2</v>
      </c>
      <c r="K285" s="277"/>
      <c r="L285" s="280"/>
      <c r="M285" s="283"/>
      <c r="N285" s="285"/>
      <c r="O285" s="284"/>
      <c r="P285" s="287"/>
    </row>
    <row r="286" spans="1:16" x14ac:dyDescent="0.2">
      <c r="A286" s="288"/>
      <c r="B286" s="62"/>
      <c r="D286" s="63">
        <v>39661</v>
      </c>
      <c r="E286" s="62">
        <v>3.9420000000000002</v>
      </c>
      <c r="F286" s="62">
        <v>4.09</v>
      </c>
      <c r="G286" s="62">
        <v>3.7629999999999999</v>
      </c>
      <c r="H286" s="62">
        <v>3.8130000000000002</v>
      </c>
      <c r="I286" s="260">
        <v>3.8130000000000002</v>
      </c>
      <c r="J286" s="262">
        <f t="shared" si="4"/>
        <v>3.9368333333333332E-2</v>
      </c>
      <c r="K286" s="277"/>
      <c r="L286" s="280"/>
      <c r="M286" s="283"/>
      <c r="N286" s="285"/>
      <c r="O286" s="284"/>
      <c r="P286" s="287"/>
    </row>
    <row r="287" spans="1:16" x14ac:dyDescent="0.2">
      <c r="A287" s="288"/>
      <c r="B287" s="62"/>
      <c r="D287" s="63">
        <v>39692</v>
      </c>
      <c r="E287" s="62">
        <v>3.847</v>
      </c>
      <c r="F287" s="62">
        <v>3.9049999999999998</v>
      </c>
      <c r="G287" s="62">
        <v>3.25</v>
      </c>
      <c r="H287" s="62">
        <v>3.827</v>
      </c>
      <c r="I287" s="260">
        <v>3.827</v>
      </c>
      <c r="J287" s="262">
        <f t="shared" si="4"/>
        <v>3.874166666666666E-2</v>
      </c>
      <c r="K287" s="277"/>
      <c r="L287" s="280"/>
      <c r="M287" s="283"/>
      <c r="N287" s="285"/>
      <c r="O287" s="284"/>
      <c r="P287" s="287"/>
    </row>
    <row r="288" spans="1:16" x14ac:dyDescent="0.2">
      <c r="A288" s="288"/>
      <c r="B288" s="62"/>
      <c r="D288" s="63">
        <v>39722</v>
      </c>
      <c r="E288" s="62">
        <v>3.7480000000000002</v>
      </c>
      <c r="F288" s="62">
        <v>4.109</v>
      </c>
      <c r="G288" s="62">
        <v>3.4</v>
      </c>
      <c r="H288" s="62">
        <v>3.97</v>
      </c>
      <c r="I288" s="260">
        <v>3.97</v>
      </c>
      <c r="J288" s="262">
        <f t="shared" si="4"/>
        <v>3.8320833333333332E-2</v>
      </c>
      <c r="K288" s="277"/>
      <c r="L288" s="280"/>
      <c r="M288" s="283"/>
      <c r="N288" s="285"/>
      <c r="O288" s="284"/>
      <c r="P288" s="287"/>
    </row>
    <row r="289" spans="1:16" x14ac:dyDescent="0.2">
      <c r="A289" s="288"/>
      <c r="B289" s="62"/>
      <c r="D289" s="63">
        <v>39753</v>
      </c>
      <c r="E289" s="62">
        <v>3.9369999999999998</v>
      </c>
      <c r="F289" s="62">
        <v>3.964</v>
      </c>
      <c r="G289" s="62">
        <v>2.93</v>
      </c>
      <c r="H289" s="62">
        <v>2.9569999999999999</v>
      </c>
      <c r="I289" s="260">
        <v>2.9569999999999999</v>
      </c>
      <c r="J289" s="262">
        <f t="shared" si="4"/>
        <v>3.7474999999999994E-2</v>
      </c>
      <c r="K289" s="277"/>
      <c r="L289" s="280"/>
      <c r="M289" s="283"/>
      <c r="N289" s="285"/>
      <c r="O289" s="284"/>
      <c r="P289" s="287"/>
    </row>
    <row r="290" spans="1:16" x14ac:dyDescent="0.2">
      <c r="A290" s="288"/>
      <c r="B290" s="62"/>
      <c r="D290" s="63">
        <v>39783</v>
      </c>
      <c r="E290" s="62">
        <v>2.883</v>
      </c>
      <c r="F290" s="62">
        <v>2.887</v>
      </c>
      <c r="G290" s="62">
        <v>2.0379999999999998</v>
      </c>
      <c r="H290" s="62">
        <v>2.2440000000000002</v>
      </c>
      <c r="I290" s="260">
        <v>2.2440000000000002</v>
      </c>
      <c r="J290" s="262">
        <f t="shared" si="4"/>
        <v>3.5982500000000001E-2</v>
      </c>
      <c r="K290" s="277"/>
      <c r="L290" s="280"/>
      <c r="M290" s="283"/>
      <c r="N290" s="285"/>
      <c r="O290" s="284"/>
      <c r="P290" s="287"/>
    </row>
    <row r="291" spans="1:16" x14ac:dyDescent="0.2">
      <c r="A291" s="288"/>
      <c r="B291" s="62"/>
      <c r="D291" s="63">
        <v>39814</v>
      </c>
      <c r="E291" s="62">
        <v>2.2029999999999998</v>
      </c>
      <c r="F291" s="62">
        <v>2.8559999999999999</v>
      </c>
      <c r="G291" s="62">
        <v>2.1589999999999998</v>
      </c>
      <c r="H291" s="62">
        <v>2.8439999999999999</v>
      </c>
      <c r="I291" s="260">
        <v>2.8439999999999999</v>
      </c>
      <c r="J291" s="262">
        <f t="shared" si="4"/>
        <v>3.5319999999999997E-2</v>
      </c>
      <c r="K291" s="277"/>
      <c r="L291" s="280"/>
      <c r="M291" s="283"/>
      <c r="N291" s="285"/>
      <c r="O291" s="284"/>
      <c r="P291" s="287"/>
    </row>
    <row r="292" spans="1:16" x14ac:dyDescent="0.2">
      <c r="A292" s="288"/>
      <c r="B292" s="62"/>
      <c r="D292" s="63">
        <v>39845</v>
      </c>
      <c r="E292" s="62">
        <v>2.8330000000000002</v>
      </c>
      <c r="F292" s="62">
        <v>3.0539999999999998</v>
      </c>
      <c r="G292" s="62">
        <v>2.6280000000000001</v>
      </c>
      <c r="H292" s="62">
        <v>3.0409999999999999</v>
      </c>
      <c r="I292" s="260">
        <v>3.0409999999999999</v>
      </c>
      <c r="J292" s="262">
        <f t="shared" si="4"/>
        <v>3.4909166666666665E-2</v>
      </c>
      <c r="K292" s="277"/>
      <c r="L292" s="280"/>
      <c r="M292" s="283"/>
      <c r="N292" s="285"/>
      <c r="O292" s="284"/>
      <c r="P292" s="287"/>
    </row>
    <row r="293" spans="1:16" x14ac:dyDescent="0.2">
      <c r="A293" s="288"/>
      <c r="B293" s="62"/>
      <c r="D293" s="63">
        <v>39873</v>
      </c>
      <c r="E293" s="62">
        <v>2.9630000000000001</v>
      </c>
      <c r="F293" s="62">
        <v>3.0409999999999999</v>
      </c>
      <c r="G293" s="62">
        <v>2.464</v>
      </c>
      <c r="H293" s="62">
        <v>2.6850000000000001</v>
      </c>
      <c r="I293" s="260">
        <v>2.6850000000000001</v>
      </c>
      <c r="J293" s="262">
        <f t="shared" si="4"/>
        <v>3.4286666666666667E-2</v>
      </c>
      <c r="K293" s="277"/>
      <c r="L293" s="280"/>
      <c r="M293" s="283"/>
      <c r="N293" s="285"/>
      <c r="O293" s="284"/>
      <c r="P293" s="287"/>
    </row>
    <row r="294" spans="1:16" x14ac:dyDescent="0.2">
      <c r="A294" s="288"/>
      <c r="B294" s="62"/>
      <c r="D294" s="63">
        <v>39904</v>
      </c>
      <c r="E294" s="62">
        <v>2.6589999999999998</v>
      </c>
      <c r="F294" s="62">
        <v>3.1659999999999999</v>
      </c>
      <c r="G294" s="62">
        <v>2.6339999999999999</v>
      </c>
      <c r="H294" s="62">
        <v>3.1240000000000001</v>
      </c>
      <c r="I294" s="260">
        <v>3.1240000000000001</v>
      </c>
      <c r="J294" s="262">
        <f t="shared" si="4"/>
        <v>3.3757500000000003E-2</v>
      </c>
      <c r="K294" s="277"/>
      <c r="L294" s="280"/>
      <c r="M294" s="283"/>
      <c r="N294" s="285"/>
      <c r="O294" s="284"/>
      <c r="P294" s="287"/>
    </row>
    <row r="295" spans="1:16" x14ac:dyDescent="0.2">
      <c r="A295" s="288"/>
      <c r="B295" s="62"/>
      <c r="D295" s="63">
        <v>39934</v>
      </c>
      <c r="E295" s="62">
        <v>3.1669999999999998</v>
      </c>
      <c r="F295" s="62">
        <v>3.758</v>
      </c>
      <c r="G295" s="62">
        <v>3.077</v>
      </c>
      <c r="H295" s="62">
        <v>3.4649999999999999</v>
      </c>
      <c r="I295" s="260">
        <v>3.4649999999999999</v>
      </c>
      <c r="J295" s="262">
        <f t="shared" si="4"/>
        <v>3.3273333333333342E-2</v>
      </c>
      <c r="K295" s="277"/>
      <c r="L295" s="280"/>
      <c r="M295" s="283"/>
      <c r="N295" s="285"/>
      <c r="O295" s="284"/>
      <c r="P295" s="287"/>
    </row>
    <row r="296" spans="1:16" x14ac:dyDescent="0.2">
      <c r="A296" s="288"/>
      <c r="B296" s="62"/>
      <c r="D296" s="63">
        <v>39965</v>
      </c>
      <c r="E296" s="62">
        <v>3.5049999999999999</v>
      </c>
      <c r="F296" s="62">
        <v>4.0140000000000002</v>
      </c>
      <c r="G296" s="62">
        <v>3.456</v>
      </c>
      <c r="H296" s="62">
        <v>3.5230000000000001</v>
      </c>
      <c r="I296" s="260">
        <v>3.5230000000000001</v>
      </c>
      <c r="J296" s="262">
        <f t="shared" si="4"/>
        <v>3.2893333333333337E-2</v>
      </c>
      <c r="K296" s="277"/>
      <c r="L296" s="280"/>
      <c r="M296" s="283"/>
      <c r="N296" s="285"/>
      <c r="O296" s="284"/>
      <c r="P296" s="287"/>
    </row>
    <row r="297" spans="1:16" x14ac:dyDescent="0.2">
      <c r="A297" s="288"/>
      <c r="B297" s="62"/>
      <c r="D297" s="63">
        <v>39995</v>
      </c>
      <c r="E297" s="62">
        <v>3.589</v>
      </c>
      <c r="F297" s="62">
        <v>3.766</v>
      </c>
      <c r="G297" s="62">
        <v>3.2650000000000001</v>
      </c>
      <c r="H297" s="62">
        <v>3.5009999999999999</v>
      </c>
      <c r="I297" s="260">
        <v>3.5009999999999999</v>
      </c>
      <c r="J297" s="262">
        <f t="shared" si="4"/>
        <v>3.2494999999999996E-2</v>
      </c>
      <c r="K297" s="277"/>
      <c r="L297" s="280"/>
      <c r="M297" s="283"/>
      <c r="N297" s="285"/>
      <c r="O297" s="284"/>
      <c r="P297" s="287"/>
    </row>
    <row r="298" spans="1:16" x14ac:dyDescent="0.2">
      <c r="A298" s="288"/>
      <c r="B298" s="62"/>
      <c r="D298" s="63">
        <v>40026</v>
      </c>
      <c r="E298" s="62">
        <v>3.5649999999999999</v>
      </c>
      <c r="F298" s="62">
        <v>3.8860000000000001</v>
      </c>
      <c r="G298" s="62">
        <v>3.3940000000000001</v>
      </c>
      <c r="H298" s="62">
        <v>3.4009999999999998</v>
      </c>
      <c r="I298" s="260">
        <v>3.4009999999999998</v>
      </c>
      <c r="J298" s="262">
        <f t="shared" si="4"/>
        <v>3.2151666666666662E-2</v>
      </c>
      <c r="K298" s="277"/>
      <c r="L298" s="280"/>
      <c r="M298" s="283"/>
      <c r="N298" s="285"/>
      <c r="O298" s="284"/>
      <c r="P298" s="287"/>
    </row>
    <row r="299" spans="1:16" x14ac:dyDescent="0.2">
      <c r="A299" s="288"/>
      <c r="B299" s="62"/>
      <c r="D299" s="63">
        <v>40057</v>
      </c>
      <c r="E299" s="62">
        <v>3.399</v>
      </c>
      <c r="F299" s="62">
        <v>3.5350000000000001</v>
      </c>
      <c r="G299" s="62">
        <v>3.2719999999999998</v>
      </c>
      <c r="H299" s="62">
        <v>3.3069999999999999</v>
      </c>
      <c r="I299" s="260">
        <v>3.3069999999999999</v>
      </c>
      <c r="J299" s="262">
        <f t="shared" si="4"/>
        <v>3.1718333333333334E-2</v>
      </c>
      <c r="K299" s="277"/>
      <c r="L299" s="280"/>
      <c r="M299" s="283"/>
      <c r="N299" s="285"/>
      <c r="O299" s="284"/>
      <c r="P299" s="287"/>
    </row>
    <row r="300" spans="1:16" x14ac:dyDescent="0.2">
      <c r="A300" s="288"/>
      <c r="B300" s="62"/>
      <c r="D300" s="63">
        <v>40087</v>
      </c>
      <c r="E300" s="62">
        <v>3.29</v>
      </c>
      <c r="F300" s="62">
        <v>3.5790000000000002</v>
      </c>
      <c r="G300" s="62">
        <v>3.1059999999999999</v>
      </c>
      <c r="H300" s="62">
        <v>3.3919999999999999</v>
      </c>
      <c r="I300" s="260">
        <v>3.3919999999999999</v>
      </c>
      <c r="J300" s="262">
        <f t="shared" si="4"/>
        <v>3.123666666666667E-2</v>
      </c>
      <c r="K300" s="277"/>
      <c r="L300" s="280"/>
      <c r="M300" s="283"/>
      <c r="N300" s="285"/>
      <c r="O300" s="284"/>
      <c r="P300" s="287"/>
    </row>
    <row r="301" spans="1:16" x14ac:dyDescent="0.2">
      <c r="A301" s="288"/>
      <c r="B301" s="62"/>
      <c r="D301" s="63">
        <v>40118</v>
      </c>
      <c r="E301" s="62">
        <v>3.403</v>
      </c>
      <c r="F301" s="62">
        <v>3.5640000000000001</v>
      </c>
      <c r="G301" s="62">
        <v>3.2</v>
      </c>
      <c r="H301" s="62">
        <v>3.2010000000000001</v>
      </c>
      <c r="I301" s="260">
        <v>3.2010000000000001</v>
      </c>
      <c r="J301" s="262">
        <f t="shared" si="4"/>
        <v>3.1440000000000003E-2</v>
      </c>
      <c r="K301" s="277"/>
      <c r="L301" s="280"/>
      <c r="M301" s="283"/>
      <c r="N301" s="285"/>
      <c r="O301" s="284"/>
      <c r="P301" s="287"/>
    </row>
    <row r="302" spans="1:16" x14ac:dyDescent="0.2">
      <c r="A302" s="288"/>
      <c r="B302" s="62"/>
      <c r="D302" s="63">
        <v>40148</v>
      </c>
      <c r="E302" s="62">
        <v>3.2309999999999999</v>
      </c>
      <c r="F302" s="62">
        <v>3.9180000000000001</v>
      </c>
      <c r="G302" s="62">
        <v>3.2229999999999999</v>
      </c>
      <c r="H302" s="62">
        <v>3.843</v>
      </c>
      <c r="I302" s="260">
        <v>3.843</v>
      </c>
      <c r="J302" s="262">
        <f t="shared" si="4"/>
        <v>3.2772500000000003E-2</v>
      </c>
      <c r="K302" s="277"/>
      <c r="L302" s="280"/>
      <c r="M302" s="283"/>
      <c r="N302" s="285"/>
      <c r="O302" s="284"/>
      <c r="P302" s="287"/>
    </row>
    <row r="303" spans="1:16" x14ac:dyDescent="0.2">
      <c r="A303" s="288"/>
      <c r="B303" s="62"/>
      <c r="D303" s="63">
        <v>40179</v>
      </c>
      <c r="E303" s="62">
        <v>3.859</v>
      </c>
      <c r="F303" s="62">
        <v>3.859</v>
      </c>
      <c r="G303" s="62">
        <v>3.5760000000000001</v>
      </c>
      <c r="H303" s="62">
        <v>3.609</v>
      </c>
      <c r="I303" s="260">
        <v>3.609</v>
      </c>
      <c r="J303" s="262">
        <f t="shared" si="4"/>
        <v>3.3409999999999995E-2</v>
      </c>
      <c r="K303" s="277"/>
      <c r="L303" s="280"/>
      <c r="M303" s="283"/>
      <c r="N303" s="285"/>
      <c r="O303" s="284"/>
      <c r="P303" s="287"/>
    </row>
    <row r="304" spans="1:16" x14ac:dyDescent="0.2">
      <c r="A304" s="288"/>
      <c r="B304" s="62"/>
      <c r="D304" s="63">
        <v>40210</v>
      </c>
      <c r="E304" s="62">
        <v>3.633</v>
      </c>
      <c r="F304" s="62">
        <v>3.8279999999999998</v>
      </c>
      <c r="G304" s="62">
        <v>3.5369999999999999</v>
      </c>
      <c r="H304" s="62">
        <v>3.5950000000000002</v>
      </c>
      <c r="I304" s="260">
        <v>3.5950000000000002</v>
      </c>
      <c r="J304" s="262">
        <f t="shared" si="4"/>
        <v>3.3871666666666668E-2</v>
      </c>
      <c r="K304" s="277"/>
      <c r="L304" s="280"/>
      <c r="M304" s="283"/>
      <c r="N304" s="285"/>
      <c r="O304" s="284"/>
      <c r="P304" s="287"/>
    </row>
    <row r="305" spans="1:16" x14ac:dyDescent="0.2">
      <c r="A305" s="288"/>
      <c r="B305" s="62"/>
      <c r="D305" s="63">
        <v>40238</v>
      </c>
      <c r="E305" s="62">
        <v>3.617</v>
      </c>
      <c r="F305" s="62">
        <v>3.93</v>
      </c>
      <c r="G305" s="62">
        <v>3.593</v>
      </c>
      <c r="H305" s="62">
        <v>3.8330000000000002</v>
      </c>
      <c r="I305" s="260">
        <v>3.8330000000000002</v>
      </c>
      <c r="J305" s="262">
        <f t="shared" si="4"/>
        <v>3.4828333333333329E-2</v>
      </c>
      <c r="K305" s="277"/>
      <c r="L305" s="280"/>
      <c r="M305" s="283"/>
      <c r="N305" s="285"/>
      <c r="O305" s="284"/>
      <c r="P305" s="287"/>
    </row>
    <row r="306" spans="1:16" x14ac:dyDescent="0.2">
      <c r="A306" s="288"/>
      <c r="B306" s="62"/>
      <c r="D306" s="63">
        <v>40269</v>
      </c>
      <c r="E306" s="62">
        <v>3.859</v>
      </c>
      <c r="F306" s="62">
        <v>4.0129999999999999</v>
      </c>
      <c r="G306" s="62">
        <v>3.6549999999999998</v>
      </c>
      <c r="H306" s="62">
        <v>3.6629999999999998</v>
      </c>
      <c r="I306" s="260">
        <v>3.6629999999999998</v>
      </c>
      <c r="J306" s="262">
        <f t="shared" si="4"/>
        <v>3.5277499999999989E-2</v>
      </c>
      <c r="K306" s="277"/>
      <c r="L306" s="280"/>
      <c r="M306" s="283"/>
      <c r="N306" s="285"/>
      <c r="O306" s="284"/>
      <c r="P306" s="287"/>
    </row>
    <row r="307" spans="1:16" x14ac:dyDescent="0.2">
      <c r="A307" s="288"/>
      <c r="B307" s="62"/>
      <c r="D307" s="63">
        <v>40299</v>
      </c>
      <c r="E307" s="62">
        <v>3.6949999999999998</v>
      </c>
      <c r="F307" s="62">
        <v>3.7130000000000001</v>
      </c>
      <c r="G307" s="62">
        <v>3.0979999999999999</v>
      </c>
      <c r="H307" s="62">
        <v>3.3010000000000002</v>
      </c>
      <c r="I307" s="260">
        <v>3.3010000000000002</v>
      </c>
      <c r="J307" s="262">
        <f t="shared" si="4"/>
        <v>3.5140833333333329E-2</v>
      </c>
      <c r="K307" s="277"/>
      <c r="L307" s="280"/>
      <c r="M307" s="283"/>
      <c r="N307" s="285"/>
      <c r="O307" s="284"/>
      <c r="P307" s="287"/>
    </row>
    <row r="308" spans="1:16" x14ac:dyDescent="0.2">
      <c r="A308" s="288"/>
      <c r="B308" s="62"/>
      <c r="D308" s="63">
        <v>40330</v>
      </c>
      <c r="E308" s="62">
        <v>3.2589999999999999</v>
      </c>
      <c r="F308" s="62">
        <v>3.4249999999999998</v>
      </c>
      <c r="G308" s="62">
        <v>2.9470000000000001</v>
      </c>
      <c r="H308" s="62">
        <v>2.9510000000000001</v>
      </c>
      <c r="I308" s="260">
        <v>2.9510000000000001</v>
      </c>
      <c r="J308" s="262">
        <f t="shared" si="4"/>
        <v>3.4664166666666663E-2</v>
      </c>
      <c r="K308" s="277"/>
      <c r="L308" s="280"/>
      <c r="M308" s="283"/>
      <c r="N308" s="285"/>
      <c r="O308" s="284"/>
      <c r="P308" s="287"/>
    </row>
    <row r="309" spans="1:16" x14ac:dyDescent="0.2">
      <c r="A309" s="288"/>
      <c r="B309" s="62"/>
      <c r="D309" s="63">
        <v>40360</v>
      </c>
      <c r="E309" s="62">
        <v>2.9289999999999998</v>
      </c>
      <c r="F309" s="62">
        <v>3.1240000000000001</v>
      </c>
      <c r="G309" s="62">
        <v>2.883</v>
      </c>
      <c r="H309" s="62">
        <v>2.907</v>
      </c>
      <c r="I309" s="260">
        <v>2.907</v>
      </c>
      <c r="J309" s="262">
        <f t="shared" si="4"/>
        <v>3.4169166666666667E-2</v>
      </c>
      <c r="K309" s="277"/>
      <c r="L309" s="280"/>
      <c r="M309" s="283"/>
      <c r="N309" s="285"/>
      <c r="O309" s="284"/>
      <c r="P309" s="287"/>
    </row>
    <row r="310" spans="1:16" x14ac:dyDescent="0.2">
      <c r="A310" s="288"/>
      <c r="B310" s="62"/>
      <c r="D310" s="63">
        <v>40391</v>
      </c>
      <c r="E310" s="62">
        <v>2.9340000000000002</v>
      </c>
      <c r="F310" s="62">
        <v>2.964</v>
      </c>
      <c r="G310" s="62">
        <v>2.419</v>
      </c>
      <c r="H310" s="62">
        <v>2.4769999999999999</v>
      </c>
      <c r="I310" s="260">
        <v>2.4769999999999999</v>
      </c>
      <c r="J310" s="262">
        <f t="shared" si="4"/>
        <v>3.3399166666666667E-2</v>
      </c>
      <c r="K310" s="277"/>
      <c r="L310" s="280"/>
      <c r="M310" s="283"/>
      <c r="N310" s="285"/>
      <c r="O310" s="284"/>
      <c r="P310" s="287"/>
    </row>
    <row r="311" spans="1:16" x14ac:dyDescent="0.2">
      <c r="A311" s="288"/>
      <c r="B311" s="62"/>
      <c r="D311" s="63">
        <v>40422</v>
      </c>
      <c r="E311" s="62">
        <v>2.4910000000000001</v>
      </c>
      <c r="F311" s="62">
        <v>2.827</v>
      </c>
      <c r="G311" s="62">
        <v>2.4489999999999998</v>
      </c>
      <c r="H311" s="62">
        <v>2.5169999999999999</v>
      </c>
      <c r="I311" s="260">
        <v>2.5169999999999999</v>
      </c>
      <c r="J311" s="262">
        <f t="shared" si="4"/>
        <v>3.2740833333333337E-2</v>
      </c>
      <c r="K311" s="277"/>
      <c r="L311" s="280"/>
      <c r="M311" s="283"/>
      <c r="N311" s="285"/>
      <c r="O311" s="284"/>
      <c r="P311" s="287"/>
    </row>
    <row r="312" spans="1:16" x14ac:dyDescent="0.2">
      <c r="A312" s="288"/>
      <c r="B312" s="62"/>
      <c r="D312" s="63">
        <v>40452</v>
      </c>
      <c r="E312" s="62">
        <v>2.5459999999999998</v>
      </c>
      <c r="F312" s="62">
        <v>2.72</v>
      </c>
      <c r="G312" s="62">
        <v>2.3340000000000001</v>
      </c>
      <c r="H312" s="62">
        <v>2.6120000000000001</v>
      </c>
      <c r="I312" s="260">
        <v>2.6120000000000001</v>
      </c>
      <c r="J312" s="262">
        <f t="shared" si="4"/>
        <v>3.2090833333333339E-2</v>
      </c>
      <c r="K312" s="277"/>
      <c r="L312" s="280"/>
      <c r="M312" s="283"/>
      <c r="N312" s="285"/>
      <c r="O312" s="284"/>
      <c r="P312" s="287"/>
    </row>
    <row r="313" spans="1:16" x14ac:dyDescent="0.2">
      <c r="A313" s="288"/>
      <c r="B313" s="62"/>
      <c r="D313" s="63">
        <v>40483</v>
      </c>
      <c r="E313" s="62">
        <v>2.5880000000000001</v>
      </c>
      <c r="F313" s="62">
        <v>2.9630000000000001</v>
      </c>
      <c r="G313" s="62">
        <v>2.46</v>
      </c>
      <c r="H313" s="62">
        <v>2.7970000000000002</v>
      </c>
      <c r="I313" s="260">
        <v>2.7970000000000002</v>
      </c>
      <c r="J313" s="262">
        <f t="shared" si="4"/>
        <v>3.1754166666666667E-2</v>
      </c>
      <c r="K313" s="277"/>
      <c r="L313" s="280"/>
      <c r="M313" s="283"/>
      <c r="N313" s="285"/>
      <c r="O313" s="284"/>
      <c r="P313" s="287"/>
    </row>
    <row r="314" spans="1:16" x14ac:dyDescent="0.2">
      <c r="A314" s="288"/>
      <c r="B314" s="62"/>
      <c r="D314" s="63">
        <v>40513</v>
      </c>
      <c r="E314" s="62">
        <v>2.903</v>
      </c>
      <c r="F314" s="62">
        <v>3.5659999999999998</v>
      </c>
      <c r="G314" s="62">
        <v>2.89</v>
      </c>
      <c r="H314" s="62">
        <v>3.3050000000000002</v>
      </c>
      <c r="I314" s="260">
        <v>3.3050000000000002</v>
      </c>
      <c r="J314" s="262">
        <f t="shared" si="4"/>
        <v>3.1305833333333338E-2</v>
      </c>
      <c r="K314" s="277"/>
      <c r="L314" s="280"/>
      <c r="M314" s="283"/>
      <c r="N314" s="285"/>
      <c r="O314" s="284"/>
      <c r="P314" s="287"/>
    </row>
    <row r="315" spans="1:16" x14ac:dyDescent="0.2">
      <c r="A315" s="288"/>
      <c r="B315" s="62"/>
      <c r="D315" s="63">
        <v>40544</v>
      </c>
      <c r="E315" s="62">
        <v>3.3769999999999998</v>
      </c>
      <c r="F315" s="62">
        <v>3.4969999999999999</v>
      </c>
      <c r="G315" s="62">
        <v>3.2549999999999999</v>
      </c>
      <c r="H315" s="62">
        <v>3.3780000000000001</v>
      </c>
      <c r="I315" s="260">
        <v>3.3780000000000001</v>
      </c>
      <c r="J315" s="262">
        <f t="shared" si="4"/>
        <v>3.111333333333334E-2</v>
      </c>
      <c r="K315" s="277"/>
      <c r="L315" s="280"/>
      <c r="M315" s="283"/>
      <c r="N315" s="285"/>
      <c r="O315" s="284"/>
      <c r="P315" s="287"/>
    </row>
    <row r="316" spans="1:16" x14ac:dyDescent="0.2">
      <c r="A316" s="288"/>
      <c r="B316" s="62"/>
      <c r="D316" s="63">
        <v>40575</v>
      </c>
      <c r="E316" s="62">
        <v>3.4279999999999999</v>
      </c>
      <c r="F316" s="62">
        <v>3.7440000000000002</v>
      </c>
      <c r="G316" s="62">
        <v>3.3980000000000001</v>
      </c>
      <c r="H316" s="62">
        <v>3.4140000000000001</v>
      </c>
      <c r="I316" s="260">
        <v>3.4140000000000001</v>
      </c>
      <c r="J316" s="262">
        <f t="shared" si="4"/>
        <v>3.09625E-2</v>
      </c>
      <c r="K316" s="277"/>
      <c r="L316" s="280"/>
      <c r="M316" s="283"/>
      <c r="N316" s="285"/>
      <c r="O316" s="284"/>
      <c r="P316" s="287"/>
    </row>
    <row r="317" spans="1:16" x14ac:dyDescent="0.2">
      <c r="A317" s="288"/>
      <c r="B317" s="62"/>
      <c r="D317" s="63">
        <v>40603</v>
      </c>
      <c r="E317" s="62">
        <v>3.464</v>
      </c>
      <c r="F317" s="62">
        <v>3.5950000000000002</v>
      </c>
      <c r="G317" s="62">
        <v>3.141</v>
      </c>
      <c r="H317" s="62">
        <v>3.4540000000000002</v>
      </c>
      <c r="I317" s="260">
        <v>3.4540000000000002</v>
      </c>
      <c r="J317" s="262">
        <f t="shared" si="4"/>
        <v>3.0646666666666669E-2</v>
      </c>
      <c r="K317" s="277"/>
      <c r="L317" s="280"/>
      <c r="M317" s="283"/>
      <c r="N317" s="285"/>
      <c r="O317" s="284"/>
      <c r="P317" s="287"/>
    </row>
    <row r="318" spans="1:16" x14ac:dyDescent="0.2">
      <c r="A318" s="288"/>
      <c r="B318" s="62"/>
      <c r="D318" s="63">
        <v>40634</v>
      </c>
      <c r="E318" s="62">
        <v>3.4980000000000002</v>
      </c>
      <c r="F318" s="62">
        <v>3.6190000000000002</v>
      </c>
      <c r="G318" s="62">
        <v>3.286</v>
      </c>
      <c r="H318" s="62">
        <v>3.2959999999999998</v>
      </c>
      <c r="I318" s="260">
        <v>3.2959999999999998</v>
      </c>
      <c r="J318" s="262">
        <f t="shared" si="4"/>
        <v>3.0340833333333331E-2</v>
      </c>
      <c r="K318" s="277"/>
      <c r="L318" s="280"/>
      <c r="M318" s="283"/>
      <c r="N318" s="285"/>
      <c r="O318" s="284"/>
      <c r="P318" s="287"/>
    </row>
    <row r="319" spans="1:16" x14ac:dyDescent="0.2">
      <c r="A319" s="288"/>
      <c r="B319" s="62"/>
      <c r="D319" s="63">
        <v>40664</v>
      </c>
      <c r="E319" s="62">
        <v>3.3119999999999998</v>
      </c>
      <c r="F319" s="62">
        <v>3.3119999999999998</v>
      </c>
      <c r="G319" s="62">
        <v>3.0409999999999999</v>
      </c>
      <c r="H319" s="62">
        <v>3.05</v>
      </c>
      <c r="I319" s="260">
        <v>3.05</v>
      </c>
      <c r="J319" s="262">
        <f t="shared" si="4"/>
        <v>3.0131666666666668E-2</v>
      </c>
      <c r="K319" s="277"/>
      <c r="L319" s="280"/>
      <c r="M319" s="283"/>
      <c r="N319" s="285"/>
      <c r="O319" s="284"/>
      <c r="P319" s="287"/>
    </row>
    <row r="320" spans="1:16" x14ac:dyDescent="0.2">
      <c r="A320" s="288"/>
      <c r="B320" s="62"/>
      <c r="D320" s="63">
        <v>40695</v>
      </c>
      <c r="E320" s="62">
        <v>3.0150000000000001</v>
      </c>
      <c r="F320" s="62">
        <v>3.2160000000000002</v>
      </c>
      <c r="G320" s="62">
        <v>2.847</v>
      </c>
      <c r="H320" s="62">
        <v>3.1579999999999999</v>
      </c>
      <c r="I320" s="260">
        <v>3.1579999999999999</v>
      </c>
      <c r="J320" s="262">
        <f t="shared" si="4"/>
        <v>3.030416666666667E-2</v>
      </c>
      <c r="K320" s="277"/>
      <c r="L320" s="280"/>
      <c r="M320" s="283"/>
      <c r="N320" s="285"/>
      <c r="O320" s="284"/>
      <c r="P320" s="287"/>
    </row>
    <row r="321" spans="1:16" x14ac:dyDescent="0.2">
      <c r="A321" s="288"/>
      <c r="B321" s="62"/>
      <c r="D321" s="63">
        <v>40725</v>
      </c>
      <c r="E321" s="62">
        <v>3.1469999999999998</v>
      </c>
      <c r="F321" s="62">
        <v>3.2229999999999999</v>
      </c>
      <c r="G321" s="62">
        <v>2.8050000000000002</v>
      </c>
      <c r="H321" s="62">
        <v>2.8050000000000002</v>
      </c>
      <c r="I321" s="260">
        <v>2.8050000000000002</v>
      </c>
      <c r="J321" s="262">
        <f t="shared" si="4"/>
        <v>3.0219166666666665E-2</v>
      </c>
      <c r="K321" s="277"/>
      <c r="L321" s="280"/>
      <c r="M321" s="283"/>
      <c r="N321" s="285"/>
      <c r="O321" s="284"/>
      <c r="P321" s="287"/>
    </row>
    <row r="322" spans="1:16" x14ac:dyDescent="0.2">
      <c r="A322" s="288"/>
      <c r="B322" s="62"/>
      <c r="D322" s="63">
        <v>40756</v>
      </c>
      <c r="E322" s="62">
        <v>2.7919999999999998</v>
      </c>
      <c r="F322" s="62">
        <v>2.8210000000000002</v>
      </c>
      <c r="G322" s="62">
        <v>1.978</v>
      </c>
      <c r="H322" s="62">
        <v>2.218</v>
      </c>
      <c r="I322" s="260">
        <v>2.218</v>
      </c>
      <c r="J322" s="262">
        <f t="shared" si="4"/>
        <v>3.0003333333333337E-2</v>
      </c>
      <c r="K322" s="277"/>
      <c r="L322" s="280"/>
      <c r="M322" s="283"/>
      <c r="N322" s="285"/>
      <c r="O322" s="284"/>
      <c r="P322" s="287"/>
    </row>
    <row r="323" spans="1:16" x14ac:dyDescent="0.2">
      <c r="A323" s="288"/>
      <c r="B323" s="62"/>
      <c r="D323" s="63">
        <v>40787</v>
      </c>
      <c r="E323" s="62">
        <v>2.202</v>
      </c>
      <c r="F323" s="62">
        <v>2.278</v>
      </c>
      <c r="G323" s="62">
        <v>1.696</v>
      </c>
      <c r="H323" s="62">
        <v>1.9239999999999999</v>
      </c>
      <c r="I323" s="260">
        <v>1.9239999999999999</v>
      </c>
      <c r="J323" s="262">
        <f t="shared" si="4"/>
        <v>2.9509166666666666E-2</v>
      </c>
      <c r="K323" s="277"/>
      <c r="L323" s="280"/>
      <c r="M323" s="283"/>
      <c r="N323" s="285"/>
      <c r="O323" s="284"/>
      <c r="P323" s="287"/>
    </row>
    <row r="324" spans="1:16" x14ac:dyDescent="0.2">
      <c r="A324" s="288"/>
      <c r="B324" s="62"/>
      <c r="D324" s="63">
        <v>40817</v>
      </c>
      <c r="E324" s="62">
        <v>1.883</v>
      </c>
      <c r="F324" s="62">
        <v>2.407</v>
      </c>
      <c r="G324" s="62">
        <v>1.7170000000000001</v>
      </c>
      <c r="H324" s="62">
        <v>2.1749999999999998</v>
      </c>
      <c r="I324" s="260">
        <v>2.1749999999999998</v>
      </c>
      <c r="J324" s="262">
        <f t="shared" si="4"/>
        <v>2.9144999999999997E-2</v>
      </c>
      <c r="K324" s="277"/>
      <c r="L324" s="280"/>
      <c r="M324" s="283"/>
      <c r="N324" s="285"/>
      <c r="O324" s="284"/>
      <c r="P324" s="287"/>
    </row>
    <row r="325" spans="1:16" x14ac:dyDescent="0.2">
      <c r="A325" s="288"/>
      <c r="B325" s="62"/>
      <c r="D325" s="63">
        <v>40848</v>
      </c>
      <c r="E325" s="62">
        <v>2.0289999999999999</v>
      </c>
      <c r="F325" s="62">
        <v>2.137</v>
      </c>
      <c r="G325" s="62">
        <v>1.879</v>
      </c>
      <c r="H325" s="62">
        <v>2.0680000000000001</v>
      </c>
      <c r="I325" s="260">
        <v>2.0680000000000001</v>
      </c>
      <c r="J325" s="262">
        <f t="shared" si="4"/>
        <v>2.8537499999999997E-2</v>
      </c>
      <c r="K325" s="277"/>
      <c r="L325" s="280"/>
      <c r="M325" s="283"/>
      <c r="N325" s="285"/>
      <c r="O325" s="284"/>
      <c r="P325" s="287"/>
    </row>
    <row r="326" spans="1:16" x14ac:dyDescent="0.2">
      <c r="A326" s="288"/>
      <c r="B326" s="62"/>
      <c r="D326" s="63">
        <v>40878</v>
      </c>
      <c r="E326" s="62">
        <v>2.1280000000000001</v>
      </c>
      <c r="F326" s="62">
        <v>2.1560000000000001</v>
      </c>
      <c r="G326" s="62">
        <v>1.8009999999999999</v>
      </c>
      <c r="H326" s="62">
        <v>1.871</v>
      </c>
      <c r="I326" s="260">
        <v>1.871</v>
      </c>
      <c r="J326" s="262">
        <f t="shared" si="4"/>
        <v>2.7342499999999999E-2</v>
      </c>
      <c r="K326" s="277"/>
      <c r="L326" s="280"/>
      <c r="M326" s="283"/>
      <c r="N326" s="285"/>
      <c r="O326" s="284"/>
      <c r="P326" s="287"/>
    </row>
    <row r="327" spans="1:16" x14ac:dyDescent="0.2">
      <c r="A327" s="288"/>
      <c r="B327" s="62"/>
      <c r="D327" s="63">
        <v>40909</v>
      </c>
      <c r="E327" s="62">
        <v>1.9510000000000001</v>
      </c>
      <c r="F327" s="62">
        <v>2.0939999999999999</v>
      </c>
      <c r="G327" s="62">
        <v>1.7969999999999999</v>
      </c>
      <c r="H327" s="62">
        <v>1.7989999999999999</v>
      </c>
      <c r="I327" s="260">
        <v>1.7989999999999999</v>
      </c>
      <c r="J327" s="262">
        <f t="shared" si="4"/>
        <v>2.6026666666666663E-2</v>
      </c>
      <c r="K327" s="277"/>
      <c r="L327" s="280"/>
      <c r="M327" s="283"/>
      <c r="N327" s="285"/>
      <c r="O327" s="284"/>
      <c r="P327" s="287"/>
    </row>
    <row r="328" spans="1:16" x14ac:dyDescent="0.2">
      <c r="A328" s="288"/>
      <c r="B328" s="62"/>
      <c r="D328" s="63">
        <v>40940</v>
      </c>
      <c r="E328" s="62">
        <v>1.8069999999999999</v>
      </c>
      <c r="F328" s="62">
        <v>2.08</v>
      </c>
      <c r="G328" s="62">
        <v>1.8</v>
      </c>
      <c r="H328" s="62">
        <v>1.9770000000000001</v>
      </c>
      <c r="I328" s="260">
        <v>1.9770000000000001</v>
      </c>
      <c r="J328" s="262">
        <f t="shared" si="4"/>
        <v>2.4829166666666666E-2</v>
      </c>
      <c r="K328" s="277"/>
      <c r="L328" s="280"/>
      <c r="M328" s="283"/>
      <c r="N328" s="285"/>
      <c r="O328" s="284"/>
      <c r="P328" s="287"/>
    </row>
    <row r="329" spans="1:16" x14ac:dyDescent="0.2">
      <c r="A329" s="288"/>
      <c r="B329" s="62"/>
      <c r="D329" s="63">
        <v>40969</v>
      </c>
      <c r="E329" s="62">
        <v>2.0329999999999999</v>
      </c>
      <c r="F329" s="62">
        <v>2.3969999999999998</v>
      </c>
      <c r="G329" s="62">
        <v>1.931</v>
      </c>
      <c r="H329" s="62">
        <v>2.2160000000000002</v>
      </c>
      <c r="I329" s="260">
        <v>2.2160000000000002</v>
      </c>
      <c r="J329" s="262">
        <f t="shared" si="4"/>
        <v>2.3797499999999999E-2</v>
      </c>
      <c r="K329" s="277"/>
      <c r="L329" s="280"/>
      <c r="M329" s="283"/>
      <c r="N329" s="285"/>
      <c r="O329" s="284"/>
      <c r="P329" s="287"/>
    </row>
    <row r="330" spans="1:16" x14ac:dyDescent="0.2">
      <c r="A330" s="288"/>
      <c r="B330" s="62"/>
      <c r="D330" s="63">
        <v>41000</v>
      </c>
      <c r="E330" s="62">
        <v>2.2000000000000002</v>
      </c>
      <c r="F330" s="62">
        <v>2.2839999999999998</v>
      </c>
      <c r="G330" s="62">
        <v>1.907</v>
      </c>
      <c r="H330" s="62">
        <v>1.915</v>
      </c>
      <c r="I330" s="260">
        <v>1.915</v>
      </c>
      <c r="J330" s="262">
        <f t="shared" si="4"/>
        <v>2.2646666666666662E-2</v>
      </c>
      <c r="K330" s="277"/>
      <c r="L330" s="280"/>
      <c r="M330" s="283"/>
      <c r="N330" s="285"/>
      <c r="O330" s="284"/>
      <c r="P330" s="287"/>
    </row>
    <row r="331" spans="1:16" x14ac:dyDescent="0.2">
      <c r="A331" s="288"/>
      <c r="B331" s="62"/>
      <c r="D331" s="63">
        <v>41030</v>
      </c>
      <c r="E331" s="62">
        <v>1.919</v>
      </c>
      <c r="F331" s="62">
        <v>1.9610000000000001</v>
      </c>
      <c r="G331" s="62">
        <v>1.5329999999999999</v>
      </c>
      <c r="H331" s="62">
        <v>1.581</v>
      </c>
      <c r="I331" s="260">
        <v>1.581</v>
      </c>
      <c r="J331" s="262">
        <f t="shared" si="4"/>
        <v>2.1422500000000001E-2</v>
      </c>
      <c r="K331" s="277"/>
      <c r="L331" s="280"/>
      <c r="M331" s="283"/>
      <c r="N331" s="285"/>
      <c r="O331" s="284"/>
      <c r="P331" s="287"/>
    </row>
    <row r="332" spans="1:16" x14ac:dyDescent="0.2">
      <c r="A332" s="288"/>
      <c r="B332" s="62"/>
      <c r="D332" s="63">
        <v>41061</v>
      </c>
      <c r="E332" s="62">
        <v>1.5209999999999999</v>
      </c>
      <c r="F332" s="62">
        <v>1.6859999999999999</v>
      </c>
      <c r="G332" s="62">
        <v>1.44</v>
      </c>
      <c r="H332" s="62">
        <v>1.659</v>
      </c>
      <c r="I332" s="260">
        <v>1.659</v>
      </c>
      <c r="J332" s="262">
        <f t="shared" ref="J332:J395" si="5">AVERAGE(I321:I332)/100</f>
        <v>2.0173333333333331E-2</v>
      </c>
      <c r="K332" s="277"/>
      <c r="L332" s="280"/>
      <c r="M332" s="283"/>
      <c r="N332" s="285"/>
      <c r="O332" s="284"/>
      <c r="P332" s="287"/>
    </row>
    <row r="333" spans="1:16" x14ac:dyDescent="0.2">
      <c r="A333" s="288"/>
      <c r="B333" s="62"/>
      <c r="D333" s="63">
        <v>41091</v>
      </c>
      <c r="E333" s="62">
        <v>1.643</v>
      </c>
      <c r="F333" s="62">
        <v>1.643</v>
      </c>
      <c r="G333" s="62">
        <v>1.3939999999999999</v>
      </c>
      <c r="H333" s="62">
        <v>1.492</v>
      </c>
      <c r="I333" s="260">
        <v>1.492</v>
      </c>
      <c r="J333" s="262">
        <f t="shared" si="5"/>
        <v>1.9079166666666668E-2</v>
      </c>
      <c r="K333" s="277"/>
      <c r="L333" s="280"/>
      <c r="M333" s="283"/>
      <c r="N333" s="285"/>
      <c r="O333" s="284"/>
      <c r="P333" s="287"/>
    </row>
    <row r="334" spans="1:16" x14ac:dyDescent="0.2">
      <c r="A334" s="288"/>
      <c r="B334" s="62"/>
      <c r="D334" s="63">
        <v>41122</v>
      </c>
      <c r="E334" s="62">
        <v>1.492</v>
      </c>
      <c r="F334" s="62">
        <v>1.863</v>
      </c>
      <c r="G334" s="62">
        <v>1.4490000000000001</v>
      </c>
      <c r="H334" s="62">
        <v>1.5620000000000001</v>
      </c>
      <c r="I334" s="260">
        <v>1.5620000000000001</v>
      </c>
      <c r="J334" s="262">
        <f t="shared" si="5"/>
        <v>1.85325E-2</v>
      </c>
      <c r="K334" s="277"/>
      <c r="L334" s="280"/>
      <c r="M334" s="283"/>
      <c r="N334" s="285"/>
      <c r="O334" s="284"/>
      <c r="P334" s="287"/>
    </row>
    <row r="335" spans="1:16" x14ac:dyDescent="0.2">
      <c r="A335" s="288"/>
      <c r="B335" s="62"/>
      <c r="D335" s="63">
        <v>41153</v>
      </c>
      <c r="E335" s="62">
        <v>1.5649999999999999</v>
      </c>
      <c r="F335" s="62">
        <v>1.8919999999999999</v>
      </c>
      <c r="G335" s="62">
        <v>1.548</v>
      </c>
      <c r="H335" s="62">
        <v>1.637</v>
      </c>
      <c r="I335" s="260">
        <v>1.637</v>
      </c>
      <c r="J335" s="262">
        <f t="shared" si="5"/>
        <v>1.8293333333333335E-2</v>
      </c>
      <c r="K335" s="277"/>
      <c r="L335" s="280"/>
      <c r="M335" s="283"/>
      <c r="N335" s="285"/>
      <c r="O335" s="284"/>
      <c r="P335" s="287"/>
    </row>
    <row r="336" spans="1:16" x14ac:dyDescent="0.2">
      <c r="A336" s="288"/>
      <c r="B336" s="62"/>
      <c r="D336" s="63">
        <v>41183</v>
      </c>
      <c r="E336" s="62">
        <v>1.62</v>
      </c>
      <c r="F336" s="62">
        <v>1.8520000000000001</v>
      </c>
      <c r="G336" s="62">
        <v>1.611</v>
      </c>
      <c r="H336" s="62">
        <v>1.6859999999999999</v>
      </c>
      <c r="I336" s="260">
        <v>1.6859999999999999</v>
      </c>
      <c r="J336" s="262">
        <f t="shared" si="5"/>
        <v>1.7885833333333333E-2</v>
      </c>
      <c r="K336" s="277"/>
      <c r="L336" s="280"/>
      <c r="M336" s="283"/>
      <c r="N336" s="285"/>
      <c r="O336" s="284"/>
      <c r="P336" s="287"/>
    </row>
    <row r="337" spans="1:16" x14ac:dyDescent="0.2">
      <c r="A337" s="288"/>
      <c r="B337" s="62"/>
      <c r="D337" s="63">
        <v>41214</v>
      </c>
      <c r="E337" s="62">
        <v>1.7150000000000001</v>
      </c>
      <c r="F337" s="62">
        <v>1.7789999999999999</v>
      </c>
      <c r="G337" s="62">
        <v>1.556</v>
      </c>
      <c r="H337" s="62">
        <v>1.6060000000000001</v>
      </c>
      <c r="I337" s="260">
        <v>1.6060000000000001</v>
      </c>
      <c r="J337" s="262">
        <f t="shared" si="5"/>
        <v>1.7500833333333337E-2</v>
      </c>
      <c r="K337" s="277"/>
      <c r="L337" s="280"/>
      <c r="M337" s="283"/>
      <c r="N337" s="285"/>
      <c r="O337" s="284"/>
      <c r="P337" s="287"/>
    </row>
    <row r="338" spans="1:16" x14ac:dyDescent="0.2">
      <c r="A338" s="288"/>
      <c r="B338" s="62"/>
      <c r="D338" s="63">
        <v>41244</v>
      </c>
      <c r="E338" s="62">
        <v>1.6439999999999999</v>
      </c>
      <c r="F338" s="62">
        <v>1.847</v>
      </c>
      <c r="G338" s="62">
        <v>1.5640000000000001</v>
      </c>
      <c r="H338" s="62">
        <v>1.756</v>
      </c>
      <c r="I338" s="260">
        <v>1.756</v>
      </c>
      <c r="J338" s="262">
        <f t="shared" si="5"/>
        <v>1.7405E-2</v>
      </c>
      <c r="K338" s="277"/>
      <c r="L338" s="280"/>
      <c r="M338" s="283"/>
      <c r="N338" s="285"/>
      <c r="O338" s="284"/>
      <c r="P338" s="287"/>
    </row>
    <row r="339" spans="1:16" x14ac:dyDescent="0.2">
      <c r="A339" s="288"/>
      <c r="B339" s="62"/>
      <c r="D339" s="63">
        <v>41275</v>
      </c>
      <c r="E339" s="62">
        <v>1.8420000000000001</v>
      </c>
      <c r="F339" s="62">
        <v>2.0369999999999999</v>
      </c>
      <c r="G339" s="62">
        <v>1.8029999999999999</v>
      </c>
      <c r="H339" s="62">
        <v>1.9850000000000001</v>
      </c>
      <c r="I339" s="260">
        <v>1.9850000000000001</v>
      </c>
      <c r="J339" s="262">
        <f t="shared" si="5"/>
        <v>1.7559999999999999E-2</v>
      </c>
      <c r="K339" s="277"/>
      <c r="L339" s="280"/>
      <c r="M339" s="283"/>
      <c r="N339" s="285"/>
      <c r="O339" s="284"/>
      <c r="P339" s="287"/>
    </row>
    <row r="340" spans="1:16" x14ac:dyDescent="0.2">
      <c r="A340" s="288"/>
      <c r="B340" s="62"/>
      <c r="D340" s="63">
        <v>41306</v>
      </c>
      <c r="E340" s="62">
        <v>2.0099999999999998</v>
      </c>
      <c r="F340" s="62">
        <v>2.0539999999999998</v>
      </c>
      <c r="G340" s="62">
        <v>1.843</v>
      </c>
      <c r="H340" s="62">
        <v>1.8879999999999999</v>
      </c>
      <c r="I340" s="260">
        <v>1.8879999999999999</v>
      </c>
      <c r="J340" s="262">
        <f t="shared" si="5"/>
        <v>1.7485833333333332E-2</v>
      </c>
      <c r="K340" s="277"/>
      <c r="L340" s="280"/>
      <c r="M340" s="283"/>
      <c r="N340" s="285"/>
      <c r="O340" s="284"/>
      <c r="P340" s="287"/>
    </row>
    <row r="341" spans="1:16" x14ac:dyDescent="0.2">
      <c r="A341" s="288"/>
      <c r="B341" s="62"/>
      <c r="D341" s="63">
        <v>41334</v>
      </c>
      <c r="E341" s="62">
        <v>1.85</v>
      </c>
      <c r="F341" s="62">
        <v>2.0859999999999999</v>
      </c>
      <c r="G341" s="62">
        <v>1.833</v>
      </c>
      <c r="H341" s="62">
        <v>1.8520000000000001</v>
      </c>
      <c r="I341" s="260">
        <v>1.8520000000000001</v>
      </c>
      <c r="J341" s="262">
        <f t="shared" si="5"/>
        <v>1.7182500000000003E-2</v>
      </c>
      <c r="K341" s="277"/>
      <c r="L341" s="280"/>
      <c r="M341" s="283"/>
      <c r="N341" s="285"/>
      <c r="O341" s="284"/>
      <c r="P341" s="287"/>
    </row>
    <row r="342" spans="1:16" x14ac:dyDescent="0.2">
      <c r="A342" s="288"/>
      <c r="B342" s="62"/>
      <c r="D342" s="63">
        <v>41365</v>
      </c>
      <c r="E342" s="62">
        <v>1.885</v>
      </c>
      <c r="F342" s="62">
        <v>1.8879999999999999</v>
      </c>
      <c r="G342" s="62">
        <v>1.6379999999999999</v>
      </c>
      <c r="H342" s="62">
        <v>1.675</v>
      </c>
      <c r="I342" s="260">
        <v>1.675</v>
      </c>
      <c r="J342" s="262">
        <f t="shared" si="5"/>
        <v>1.6982500000000001E-2</v>
      </c>
      <c r="K342" s="277"/>
      <c r="L342" s="280"/>
      <c r="M342" s="283"/>
      <c r="N342" s="285"/>
      <c r="O342" s="284"/>
      <c r="P342" s="287"/>
    </row>
    <row r="343" spans="1:16" x14ac:dyDescent="0.2">
      <c r="A343" s="288"/>
      <c r="B343" s="62"/>
      <c r="D343" s="63">
        <v>41395</v>
      </c>
      <c r="E343" s="62">
        <v>1.6579999999999999</v>
      </c>
      <c r="F343" s="62">
        <v>2.2109999999999999</v>
      </c>
      <c r="G343" s="62">
        <v>1.6140000000000001</v>
      </c>
      <c r="H343" s="62">
        <v>2.1640000000000001</v>
      </c>
      <c r="I343" s="260">
        <v>2.1640000000000001</v>
      </c>
      <c r="J343" s="262">
        <f t="shared" si="5"/>
        <v>1.7468333333333332E-2</v>
      </c>
      <c r="K343" s="277"/>
      <c r="L343" s="280"/>
      <c r="M343" s="283"/>
      <c r="N343" s="285"/>
      <c r="O343" s="284"/>
      <c r="P343" s="287"/>
    </row>
    <row r="344" spans="1:16" x14ac:dyDescent="0.2">
      <c r="A344" s="288"/>
      <c r="B344" s="62"/>
      <c r="D344" s="63">
        <v>41426</v>
      </c>
      <c r="E344" s="62">
        <v>2.1680000000000001</v>
      </c>
      <c r="F344" s="62">
        <v>2.657</v>
      </c>
      <c r="G344" s="62">
        <v>1.9990000000000001</v>
      </c>
      <c r="H344" s="62">
        <v>2.4780000000000002</v>
      </c>
      <c r="I344" s="260">
        <v>2.4780000000000002</v>
      </c>
      <c r="J344" s="262">
        <f t="shared" si="5"/>
        <v>1.8150833333333335E-2</v>
      </c>
      <c r="K344" s="277"/>
      <c r="L344" s="280"/>
      <c r="M344" s="283"/>
      <c r="N344" s="285"/>
      <c r="O344" s="284"/>
      <c r="P344" s="287"/>
    </row>
    <row r="345" spans="1:16" x14ac:dyDescent="0.2">
      <c r="A345" s="288"/>
      <c r="B345" s="62"/>
      <c r="D345" s="63">
        <v>41456</v>
      </c>
      <c r="E345" s="62">
        <v>2.5209999999999999</v>
      </c>
      <c r="F345" s="62">
        <v>2.7250000000000001</v>
      </c>
      <c r="G345" s="62">
        <v>2.4510000000000001</v>
      </c>
      <c r="H345" s="62">
        <v>2.593</v>
      </c>
      <c r="I345" s="260">
        <v>2.593</v>
      </c>
      <c r="J345" s="262">
        <f t="shared" si="5"/>
        <v>1.9068333333333333E-2</v>
      </c>
      <c r="K345" s="277"/>
      <c r="L345" s="280"/>
      <c r="M345" s="283"/>
      <c r="N345" s="285"/>
      <c r="O345" s="284"/>
      <c r="P345" s="287"/>
    </row>
    <row r="346" spans="1:16" x14ac:dyDescent="0.2">
      <c r="A346" s="288"/>
      <c r="B346" s="62"/>
      <c r="D346" s="63">
        <v>41487</v>
      </c>
      <c r="E346" s="62">
        <v>2.601</v>
      </c>
      <c r="F346" s="62">
        <v>2.92</v>
      </c>
      <c r="G346" s="62">
        <v>2.552</v>
      </c>
      <c r="H346" s="62">
        <v>2.7490000000000001</v>
      </c>
      <c r="I346" s="260">
        <v>2.7490000000000001</v>
      </c>
      <c r="J346" s="262">
        <f t="shared" si="5"/>
        <v>2.0057500000000002E-2</v>
      </c>
      <c r="K346" s="277"/>
      <c r="L346" s="280"/>
      <c r="M346" s="283"/>
      <c r="N346" s="285"/>
      <c r="O346" s="284"/>
      <c r="P346" s="287"/>
    </row>
    <row r="347" spans="1:16" x14ac:dyDescent="0.2">
      <c r="A347" s="288"/>
      <c r="B347" s="62"/>
      <c r="D347" s="63">
        <v>41518</v>
      </c>
      <c r="E347" s="62">
        <v>2.8370000000000002</v>
      </c>
      <c r="F347" s="62">
        <v>2.984</v>
      </c>
      <c r="G347" s="62">
        <v>2.5990000000000002</v>
      </c>
      <c r="H347" s="62">
        <v>2.6150000000000002</v>
      </c>
      <c r="I347" s="260">
        <v>2.6150000000000002</v>
      </c>
      <c r="J347" s="262">
        <f t="shared" si="5"/>
        <v>2.0872499999999995E-2</v>
      </c>
      <c r="K347" s="277"/>
      <c r="L347" s="280"/>
      <c r="M347" s="283"/>
      <c r="N347" s="285"/>
      <c r="O347" s="284"/>
      <c r="P347" s="287"/>
    </row>
    <row r="348" spans="1:16" x14ac:dyDescent="0.2">
      <c r="A348" s="288"/>
      <c r="B348" s="62"/>
      <c r="D348" s="63">
        <v>41548</v>
      </c>
      <c r="E348" s="62">
        <v>2.6459999999999999</v>
      </c>
      <c r="F348" s="62">
        <v>2.7570000000000001</v>
      </c>
      <c r="G348" s="62">
        <v>2.4710000000000001</v>
      </c>
      <c r="H348" s="62">
        <v>2.5419999999999998</v>
      </c>
      <c r="I348" s="260">
        <v>2.5419999999999998</v>
      </c>
      <c r="J348" s="262">
        <f t="shared" si="5"/>
        <v>2.1585833333333332E-2</v>
      </c>
      <c r="K348" s="277"/>
      <c r="L348" s="280"/>
      <c r="M348" s="283"/>
      <c r="N348" s="285"/>
      <c r="O348" s="284"/>
      <c r="P348" s="287"/>
    </row>
    <row r="349" spans="1:16" x14ac:dyDescent="0.2">
      <c r="A349" s="288"/>
      <c r="B349" s="62"/>
      <c r="D349" s="63">
        <v>41579</v>
      </c>
      <c r="E349" s="62">
        <v>2.589</v>
      </c>
      <c r="F349" s="62">
        <v>2.839</v>
      </c>
      <c r="G349" s="62">
        <v>2.5720000000000001</v>
      </c>
      <c r="H349" s="62">
        <v>2.7410000000000001</v>
      </c>
      <c r="I349" s="260">
        <v>2.7410000000000001</v>
      </c>
      <c r="J349" s="262">
        <f t="shared" si="5"/>
        <v>2.2531666666666665E-2</v>
      </c>
      <c r="K349" s="277"/>
      <c r="L349" s="280"/>
      <c r="M349" s="283"/>
      <c r="N349" s="285"/>
      <c r="O349" s="284"/>
      <c r="P349" s="287"/>
    </row>
    <row r="350" spans="1:16" x14ac:dyDescent="0.2">
      <c r="A350" s="288"/>
      <c r="B350" s="62"/>
      <c r="D350" s="63">
        <v>41609</v>
      </c>
      <c r="E350" s="62">
        <v>2.7810000000000001</v>
      </c>
      <c r="F350" s="62">
        <v>3.036</v>
      </c>
      <c r="G350" s="62">
        <v>2.7589999999999999</v>
      </c>
      <c r="H350" s="62">
        <v>3.0259999999999998</v>
      </c>
      <c r="I350" s="260">
        <v>3.0259999999999998</v>
      </c>
      <c r="J350" s="262">
        <f t="shared" si="5"/>
        <v>2.3590000000000003E-2</v>
      </c>
      <c r="K350" s="277"/>
      <c r="L350" s="280"/>
      <c r="M350" s="283"/>
      <c r="N350" s="285"/>
      <c r="O350" s="284"/>
      <c r="P350" s="287"/>
    </row>
    <row r="351" spans="1:16" x14ac:dyDescent="0.2">
      <c r="A351" s="288"/>
      <c r="B351" s="62"/>
      <c r="D351" s="63">
        <v>41640</v>
      </c>
      <c r="E351" s="62">
        <v>3.028</v>
      </c>
      <c r="F351" s="62">
        <v>3.0339999999999998</v>
      </c>
      <c r="G351" s="62">
        <v>2.6459999999999999</v>
      </c>
      <c r="H351" s="62">
        <v>2.6680000000000001</v>
      </c>
      <c r="I351" s="260">
        <v>2.6680000000000001</v>
      </c>
      <c r="J351" s="262">
        <f t="shared" si="5"/>
        <v>2.4159166666666669E-2</v>
      </c>
      <c r="K351" s="277"/>
      <c r="L351" s="280"/>
      <c r="M351" s="283"/>
      <c r="N351" s="285"/>
      <c r="O351" s="284"/>
      <c r="P351" s="287"/>
    </row>
    <row r="352" spans="1:16" x14ac:dyDescent="0.2">
      <c r="A352" s="288"/>
      <c r="B352" s="62"/>
      <c r="D352" s="63">
        <v>41671</v>
      </c>
      <c r="E352" s="62">
        <v>2.677</v>
      </c>
      <c r="F352" s="62">
        <v>2.7810000000000001</v>
      </c>
      <c r="G352" s="62">
        <v>2.5790000000000002</v>
      </c>
      <c r="H352" s="62">
        <v>2.6579999999999999</v>
      </c>
      <c r="I352" s="260">
        <v>2.6579999999999999</v>
      </c>
      <c r="J352" s="262">
        <f t="shared" si="5"/>
        <v>2.4800833333333334E-2</v>
      </c>
      <c r="K352" s="277"/>
      <c r="L352" s="280"/>
      <c r="M352" s="283"/>
      <c r="N352" s="285"/>
      <c r="O352" s="284"/>
      <c r="P352" s="287"/>
    </row>
    <row r="353" spans="1:16" x14ac:dyDescent="0.2">
      <c r="A353" s="288"/>
      <c r="B353" s="62"/>
      <c r="D353" s="63">
        <v>41699</v>
      </c>
      <c r="E353" s="62">
        <v>2.6120000000000001</v>
      </c>
      <c r="F353" s="62">
        <v>2.8210000000000002</v>
      </c>
      <c r="G353" s="62">
        <v>2.5960000000000001</v>
      </c>
      <c r="H353" s="62">
        <v>2.7229999999999999</v>
      </c>
      <c r="I353" s="260">
        <v>2.7229999999999999</v>
      </c>
      <c r="J353" s="262">
        <f t="shared" si="5"/>
        <v>2.5526666666666666E-2</v>
      </c>
      <c r="K353" s="277"/>
      <c r="L353" s="280"/>
      <c r="M353" s="283"/>
      <c r="N353" s="285"/>
      <c r="O353" s="284"/>
      <c r="P353" s="287"/>
    </row>
    <row r="354" spans="1:16" x14ac:dyDescent="0.2">
      <c r="A354" s="288"/>
      <c r="B354" s="62"/>
      <c r="D354" s="63">
        <v>41730</v>
      </c>
      <c r="E354" s="62">
        <v>2.7429999999999999</v>
      </c>
      <c r="F354" s="62">
        <v>2.8079999999999998</v>
      </c>
      <c r="G354" s="62">
        <v>2.5960000000000001</v>
      </c>
      <c r="H354" s="62">
        <v>2.6480000000000001</v>
      </c>
      <c r="I354" s="260">
        <v>2.6480000000000001</v>
      </c>
      <c r="J354" s="262">
        <f t="shared" si="5"/>
        <v>2.63375E-2</v>
      </c>
      <c r="K354" s="277"/>
      <c r="L354" s="280"/>
      <c r="M354" s="283"/>
      <c r="N354" s="285"/>
      <c r="O354" s="284"/>
      <c r="P354" s="287"/>
    </row>
    <row r="355" spans="1:16" x14ac:dyDescent="0.2">
      <c r="A355" s="288"/>
      <c r="B355" s="62"/>
      <c r="D355" s="63">
        <v>41760</v>
      </c>
      <c r="E355" s="62">
        <v>2.66</v>
      </c>
      <c r="F355" s="62">
        <v>2.7</v>
      </c>
      <c r="G355" s="62">
        <v>2.4020000000000001</v>
      </c>
      <c r="H355" s="62">
        <v>2.4569999999999999</v>
      </c>
      <c r="I355" s="260">
        <v>2.4569999999999999</v>
      </c>
      <c r="J355" s="262">
        <f t="shared" si="5"/>
        <v>2.6581666666666667E-2</v>
      </c>
      <c r="K355" s="277"/>
      <c r="L355" s="280"/>
      <c r="M355" s="283"/>
      <c r="N355" s="285"/>
      <c r="O355" s="284"/>
      <c r="P355" s="287"/>
    </row>
    <row r="356" spans="1:16" x14ac:dyDescent="0.2">
      <c r="A356" s="288"/>
      <c r="B356" s="62"/>
      <c r="D356" s="63">
        <v>41791</v>
      </c>
      <c r="E356" s="62">
        <v>2.5</v>
      </c>
      <c r="F356" s="62">
        <v>2.6589999999999998</v>
      </c>
      <c r="G356" s="62">
        <v>2.4870000000000001</v>
      </c>
      <c r="H356" s="62">
        <v>2.516</v>
      </c>
      <c r="I356" s="260">
        <v>2.516</v>
      </c>
      <c r="J356" s="262">
        <f t="shared" si="5"/>
        <v>2.6613333333333333E-2</v>
      </c>
      <c r="K356" s="277"/>
      <c r="L356" s="280"/>
      <c r="M356" s="283"/>
      <c r="N356" s="285"/>
      <c r="O356" s="284"/>
      <c r="P356" s="287"/>
    </row>
    <row r="357" spans="1:16" x14ac:dyDescent="0.2">
      <c r="A357" s="288"/>
      <c r="B357" s="62"/>
      <c r="D357" s="63">
        <v>41821</v>
      </c>
      <c r="E357" s="62">
        <v>2.5499999999999998</v>
      </c>
      <c r="F357" s="62">
        <v>2.6920000000000002</v>
      </c>
      <c r="G357" s="62">
        <v>2.448</v>
      </c>
      <c r="H357" s="62">
        <v>2.556</v>
      </c>
      <c r="I357" s="260">
        <v>2.556</v>
      </c>
      <c r="J357" s="262">
        <f t="shared" si="5"/>
        <v>2.6582500000000002E-2</v>
      </c>
      <c r="K357" s="277"/>
      <c r="L357" s="280"/>
      <c r="M357" s="283"/>
      <c r="N357" s="285"/>
      <c r="O357" s="284"/>
      <c r="P357" s="287"/>
    </row>
    <row r="358" spans="1:16" x14ac:dyDescent="0.2">
      <c r="A358" s="288"/>
      <c r="B358" s="62"/>
      <c r="D358" s="63">
        <v>41852</v>
      </c>
      <c r="E358" s="62">
        <v>2.5819999999999999</v>
      </c>
      <c r="F358" s="62">
        <v>2.5910000000000002</v>
      </c>
      <c r="G358" s="62">
        <v>2.2999999999999998</v>
      </c>
      <c r="H358" s="62">
        <v>2.343</v>
      </c>
      <c r="I358" s="260">
        <v>2.343</v>
      </c>
      <c r="J358" s="262">
        <f t="shared" si="5"/>
        <v>2.6244166666666669E-2</v>
      </c>
      <c r="K358" s="277"/>
      <c r="L358" s="280"/>
      <c r="M358" s="283"/>
      <c r="N358" s="285"/>
      <c r="O358" s="284"/>
      <c r="P358" s="287"/>
    </row>
    <row r="359" spans="1:16" x14ac:dyDescent="0.2">
      <c r="A359" s="288"/>
      <c r="B359" s="62"/>
      <c r="D359" s="63">
        <v>41883</v>
      </c>
      <c r="E359" s="62">
        <v>2.3929999999999998</v>
      </c>
      <c r="F359" s="62">
        <v>2.6419999999999999</v>
      </c>
      <c r="G359" s="62">
        <v>2.3820000000000001</v>
      </c>
      <c r="H359" s="62">
        <v>2.508</v>
      </c>
      <c r="I359" s="260">
        <v>2.508</v>
      </c>
      <c r="J359" s="262">
        <f t="shared" si="5"/>
        <v>2.6154999999999998E-2</v>
      </c>
      <c r="K359" s="277"/>
      <c r="L359" s="280"/>
      <c r="M359" s="283"/>
      <c r="N359" s="285"/>
      <c r="O359" s="284"/>
      <c r="P359" s="287"/>
    </row>
    <row r="360" spans="1:16" x14ac:dyDescent="0.2">
      <c r="A360" s="288"/>
      <c r="B360" s="62"/>
      <c r="D360" s="63">
        <v>41913</v>
      </c>
      <c r="E360" s="62">
        <v>2.4750000000000001</v>
      </c>
      <c r="F360" s="62">
        <v>2.484</v>
      </c>
      <c r="G360" s="62">
        <v>1.8680000000000001</v>
      </c>
      <c r="H360" s="62">
        <v>2.335</v>
      </c>
      <c r="I360" s="260">
        <v>2.335</v>
      </c>
      <c r="J360" s="262">
        <f t="shared" si="5"/>
        <v>2.5982499999999999E-2</v>
      </c>
      <c r="K360" s="277"/>
      <c r="L360" s="280"/>
      <c r="M360" s="283"/>
      <c r="N360" s="285"/>
      <c r="O360" s="284"/>
      <c r="P360" s="287"/>
    </row>
    <row r="361" spans="1:16" x14ac:dyDescent="0.2">
      <c r="A361" s="288"/>
      <c r="B361" s="62"/>
      <c r="D361" s="63">
        <v>41944</v>
      </c>
      <c r="E361" s="62">
        <v>2.3250000000000002</v>
      </c>
      <c r="F361" s="62">
        <v>2.407</v>
      </c>
      <c r="G361" s="62">
        <v>2.194</v>
      </c>
      <c r="H361" s="62">
        <v>2.194</v>
      </c>
      <c r="I361" s="260">
        <v>2.194</v>
      </c>
      <c r="J361" s="262">
        <f t="shared" si="5"/>
        <v>2.5526666666666666E-2</v>
      </c>
      <c r="K361" s="277"/>
      <c r="L361" s="280"/>
      <c r="M361" s="283"/>
      <c r="N361" s="285"/>
      <c r="O361" s="284"/>
      <c r="P361" s="287"/>
    </row>
    <row r="362" spans="1:16" x14ac:dyDescent="0.2">
      <c r="A362" s="288"/>
      <c r="B362" s="62"/>
      <c r="D362" s="63">
        <v>41974</v>
      </c>
      <c r="E362" s="62">
        <v>2.157</v>
      </c>
      <c r="F362" s="62">
        <v>2.331</v>
      </c>
      <c r="G362" s="62">
        <v>2.0449999999999999</v>
      </c>
      <c r="H362" s="62">
        <v>2.17</v>
      </c>
      <c r="I362" s="260">
        <v>2.17</v>
      </c>
      <c r="J362" s="262">
        <f t="shared" si="5"/>
        <v>2.4813333333333333E-2</v>
      </c>
      <c r="K362" s="277"/>
      <c r="L362" s="280"/>
      <c r="M362" s="283"/>
      <c r="N362" s="285"/>
      <c r="O362" s="284"/>
      <c r="P362" s="287"/>
    </row>
    <row r="363" spans="1:16" x14ac:dyDescent="0.2">
      <c r="A363" s="288"/>
      <c r="B363" s="62"/>
      <c r="D363" s="63">
        <v>42005</v>
      </c>
      <c r="E363" s="62">
        <v>2.1970000000000001</v>
      </c>
      <c r="F363" s="62">
        <v>2.2130000000000001</v>
      </c>
      <c r="G363" s="62">
        <v>1.651</v>
      </c>
      <c r="H363" s="62">
        <v>1.675</v>
      </c>
      <c r="I363" s="260">
        <v>1.675</v>
      </c>
      <c r="J363" s="262">
        <f t="shared" si="5"/>
        <v>2.3985833333333331E-2</v>
      </c>
      <c r="K363" s="277"/>
      <c r="L363" s="280"/>
      <c r="M363" s="283"/>
      <c r="N363" s="285"/>
      <c r="O363" s="284"/>
      <c r="P363" s="287"/>
    </row>
    <row r="364" spans="1:16" x14ac:dyDescent="0.2">
      <c r="A364" s="288"/>
      <c r="B364" s="62"/>
      <c r="D364" s="63">
        <v>42036</v>
      </c>
      <c r="E364" s="62">
        <v>1.6739999999999999</v>
      </c>
      <c r="F364" s="62">
        <v>2.1520000000000001</v>
      </c>
      <c r="G364" s="62">
        <v>1.6539999999999999</v>
      </c>
      <c r="H364" s="62">
        <v>2.0019999999999998</v>
      </c>
      <c r="I364" s="260">
        <v>2.0019999999999998</v>
      </c>
      <c r="J364" s="262">
        <f t="shared" si="5"/>
        <v>2.3439166666666667E-2</v>
      </c>
      <c r="K364" s="277"/>
      <c r="L364" s="280"/>
      <c r="M364" s="283"/>
      <c r="N364" s="285"/>
      <c r="O364" s="284"/>
      <c r="P364" s="287"/>
    </row>
    <row r="365" spans="1:16" x14ac:dyDescent="0.2">
      <c r="A365" s="288"/>
      <c r="B365" s="62"/>
      <c r="D365" s="63">
        <v>42064</v>
      </c>
      <c r="E365" s="62">
        <v>2.0139999999999998</v>
      </c>
      <c r="F365" s="62">
        <v>2.2589999999999999</v>
      </c>
      <c r="G365" s="62">
        <v>1.8520000000000001</v>
      </c>
      <c r="H365" s="62">
        <v>1.9339999999999999</v>
      </c>
      <c r="I365" s="260">
        <v>1.9339999999999999</v>
      </c>
      <c r="J365" s="262">
        <f t="shared" si="5"/>
        <v>2.2781666666666665E-2</v>
      </c>
      <c r="K365" s="277"/>
      <c r="L365" s="280"/>
      <c r="M365" s="283"/>
      <c r="N365" s="285"/>
      <c r="O365" s="284"/>
      <c r="P365" s="287"/>
    </row>
    <row r="366" spans="1:16" x14ac:dyDescent="0.2">
      <c r="A366" s="288"/>
      <c r="B366" s="62"/>
      <c r="D366" s="63">
        <v>42095</v>
      </c>
      <c r="E366" s="62">
        <v>1.8919999999999999</v>
      </c>
      <c r="F366" s="62">
        <v>2.11</v>
      </c>
      <c r="G366" s="62">
        <v>1.843</v>
      </c>
      <c r="H366" s="62">
        <v>2.0459999999999998</v>
      </c>
      <c r="I366" s="260">
        <v>2.0459999999999998</v>
      </c>
      <c r="J366" s="262">
        <f t="shared" si="5"/>
        <v>2.2280000000000001E-2</v>
      </c>
      <c r="K366" s="277"/>
      <c r="L366" s="280"/>
      <c r="M366" s="283"/>
      <c r="N366" s="285"/>
      <c r="O366" s="284"/>
      <c r="P366" s="287"/>
    </row>
    <row r="367" spans="1:16" x14ac:dyDescent="0.2">
      <c r="A367" s="288"/>
      <c r="B367" s="62"/>
      <c r="D367" s="63">
        <v>42125</v>
      </c>
      <c r="E367" s="62">
        <v>2.0670000000000002</v>
      </c>
      <c r="F367" s="62">
        <v>2.335</v>
      </c>
      <c r="G367" s="62">
        <v>2.0579999999999998</v>
      </c>
      <c r="H367" s="62">
        <v>2.0950000000000002</v>
      </c>
      <c r="I367" s="260">
        <v>2.0950000000000002</v>
      </c>
      <c r="J367" s="262">
        <f t="shared" si="5"/>
        <v>2.1978333333333332E-2</v>
      </c>
      <c r="K367" s="277"/>
      <c r="L367" s="280"/>
      <c r="M367" s="283"/>
      <c r="N367" s="285"/>
      <c r="O367" s="284"/>
      <c r="P367" s="287"/>
    </row>
    <row r="368" spans="1:16" x14ac:dyDescent="0.2">
      <c r="A368" s="288"/>
      <c r="B368" s="62"/>
      <c r="D368" s="63">
        <v>42156</v>
      </c>
      <c r="E368" s="62">
        <v>2.125</v>
      </c>
      <c r="F368" s="62">
        <v>2.4889999999999999</v>
      </c>
      <c r="G368" s="62">
        <v>2.1059999999999999</v>
      </c>
      <c r="H368" s="62">
        <v>2.335</v>
      </c>
      <c r="I368" s="260">
        <v>2.335</v>
      </c>
      <c r="J368" s="262">
        <f t="shared" si="5"/>
        <v>2.18275E-2</v>
      </c>
      <c r="K368" s="277"/>
      <c r="L368" s="280"/>
      <c r="M368" s="283"/>
      <c r="N368" s="285"/>
      <c r="O368" s="284"/>
      <c r="P368" s="287"/>
    </row>
    <row r="369" spans="1:16" x14ac:dyDescent="0.2">
      <c r="A369" s="288"/>
      <c r="B369" s="62"/>
      <c r="D369" s="63">
        <v>42186</v>
      </c>
      <c r="E369" s="62">
        <v>2.4180000000000001</v>
      </c>
      <c r="F369" s="62">
        <v>2.4700000000000002</v>
      </c>
      <c r="G369" s="62">
        <v>2.1869999999999998</v>
      </c>
      <c r="H369" s="62">
        <v>2.2050000000000001</v>
      </c>
      <c r="I369" s="260">
        <v>2.2050000000000001</v>
      </c>
      <c r="J369" s="262">
        <f t="shared" si="5"/>
        <v>2.1534999999999999E-2</v>
      </c>
      <c r="K369" s="277"/>
      <c r="L369" s="280"/>
      <c r="M369" s="283"/>
      <c r="N369" s="285"/>
      <c r="O369" s="284"/>
      <c r="P369" s="287"/>
    </row>
    <row r="370" spans="1:16" x14ac:dyDescent="0.2">
      <c r="A370" s="288"/>
      <c r="B370" s="62"/>
      <c r="D370" s="63">
        <v>42217</v>
      </c>
      <c r="E370" s="62">
        <v>2.194</v>
      </c>
      <c r="F370" s="62">
        <v>2.2930000000000001</v>
      </c>
      <c r="G370" s="62">
        <v>1.905</v>
      </c>
      <c r="H370" s="62">
        <v>2.2000000000000002</v>
      </c>
      <c r="I370" s="260">
        <v>2.2000000000000002</v>
      </c>
      <c r="J370" s="262">
        <f t="shared" si="5"/>
        <v>2.1415833333333335E-2</v>
      </c>
      <c r="K370" s="277"/>
      <c r="L370" s="280"/>
      <c r="M370" s="283"/>
      <c r="N370" s="285"/>
      <c r="O370" s="284"/>
      <c r="P370" s="287"/>
    </row>
    <row r="371" spans="1:16" x14ac:dyDescent="0.2">
      <c r="A371" s="288"/>
      <c r="B371" s="62"/>
      <c r="D371" s="63">
        <v>42248</v>
      </c>
      <c r="E371" s="62">
        <v>2.165</v>
      </c>
      <c r="F371" s="62">
        <v>2.3029999999999999</v>
      </c>
      <c r="G371" s="62">
        <v>2.0470000000000002</v>
      </c>
      <c r="H371" s="62">
        <v>2.06</v>
      </c>
      <c r="I371" s="260">
        <v>2.06</v>
      </c>
      <c r="J371" s="262">
        <f t="shared" si="5"/>
        <v>2.1042499999999999E-2</v>
      </c>
      <c r="K371" s="277"/>
      <c r="L371" s="280"/>
      <c r="M371" s="283"/>
      <c r="N371" s="285"/>
      <c r="O371" s="284"/>
      <c r="P371" s="287"/>
    </row>
    <row r="372" spans="1:16" x14ac:dyDescent="0.2">
      <c r="A372" s="288"/>
      <c r="B372" s="62"/>
      <c r="D372" s="63">
        <v>42278</v>
      </c>
      <c r="E372" s="62">
        <v>2.0390000000000001</v>
      </c>
      <c r="F372" s="62">
        <v>2.1819999999999999</v>
      </c>
      <c r="G372" s="62">
        <v>1.9059999999999999</v>
      </c>
      <c r="H372" s="62">
        <v>2.1509999999999998</v>
      </c>
      <c r="I372" s="260">
        <v>2.1509999999999998</v>
      </c>
      <c r="J372" s="262">
        <f t="shared" si="5"/>
        <v>2.0889166666666667E-2</v>
      </c>
      <c r="K372" s="277"/>
      <c r="L372" s="280"/>
      <c r="M372" s="283"/>
      <c r="N372" s="285"/>
      <c r="O372" s="284"/>
      <c r="P372" s="287"/>
    </row>
    <row r="373" spans="1:16" x14ac:dyDescent="0.2">
      <c r="A373" s="288"/>
      <c r="B373" s="62"/>
      <c r="D373" s="63">
        <v>42309</v>
      </c>
      <c r="E373" s="62">
        <v>2.1749999999999998</v>
      </c>
      <c r="F373" s="62">
        <v>2.3769999999999998</v>
      </c>
      <c r="G373" s="62">
        <v>2.1669999999999998</v>
      </c>
      <c r="H373" s="62">
        <v>2.218</v>
      </c>
      <c r="I373" s="260">
        <v>2.218</v>
      </c>
      <c r="J373" s="262">
        <f t="shared" si="5"/>
        <v>2.0909166666666666E-2</v>
      </c>
      <c r="K373" s="277"/>
      <c r="L373" s="280"/>
      <c r="M373" s="283"/>
      <c r="N373" s="285"/>
      <c r="O373" s="284"/>
      <c r="P373" s="287"/>
    </row>
    <row r="374" spans="1:16" x14ac:dyDescent="0.2">
      <c r="A374" s="288"/>
      <c r="B374" s="62"/>
      <c r="D374" s="63">
        <v>42339</v>
      </c>
      <c r="E374" s="62">
        <v>2.2290000000000001</v>
      </c>
      <c r="F374" s="62">
        <v>2.3559999999999999</v>
      </c>
      <c r="G374" s="62">
        <v>2.1320000000000001</v>
      </c>
      <c r="H374" s="62">
        <v>2.2690000000000001</v>
      </c>
      <c r="I374" s="260">
        <v>2.2690000000000001</v>
      </c>
      <c r="J374" s="262">
        <f t="shared" si="5"/>
        <v>2.0991666666666665E-2</v>
      </c>
      <c r="K374" s="277"/>
      <c r="L374" s="280"/>
      <c r="M374" s="283"/>
      <c r="N374" s="285"/>
      <c r="O374" s="284"/>
      <c r="P374" s="287"/>
    </row>
    <row r="375" spans="1:16" x14ac:dyDescent="0.2">
      <c r="A375" s="288"/>
      <c r="B375" s="62"/>
      <c r="D375" s="63">
        <v>42370</v>
      </c>
      <c r="E375" s="62">
        <v>2.23</v>
      </c>
      <c r="F375" s="62">
        <v>2.2610000000000001</v>
      </c>
      <c r="G375" s="62">
        <v>1.911</v>
      </c>
      <c r="H375" s="62">
        <v>1.931</v>
      </c>
      <c r="I375" s="260">
        <v>1.931</v>
      </c>
      <c r="J375" s="262">
        <f t="shared" si="5"/>
        <v>2.1205000000000002E-2</v>
      </c>
      <c r="K375" s="277"/>
      <c r="L375" s="280"/>
      <c r="M375" s="283"/>
      <c r="N375" s="285"/>
      <c r="O375" s="284"/>
      <c r="P375" s="287"/>
    </row>
    <row r="376" spans="1:16" x14ac:dyDescent="0.2">
      <c r="A376" s="288"/>
      <c r="B376" s="62"/>
      <c r="D376" s="63">
        <v>42401</v>
      </c>
      <c r="E376" s="62">
        <v>1.93</v>
      </c>
      <c r="F376" s="62">
        <v>1.966</v>
      </c>
      <c r="G376" s="62">
        <v>1.5669999999999999</v>
      </c>
      <c r="H376" s="62">
        <v>1.74</v>
      </c>
      <c r="I376" s="260">
        <v>1.74</v>
      </c>
      <c r="J376" s="262">
        <f t="shared" si="5"/>
        <v>2.0986666666666667E-2</v>
      </c>
      <c r="K376" s="277"/>
      <c r="L376" s="280"/>
      <c r="M376" s="283"/>
      <c r="N376" s="285"/>
      <c r="O376" s="284"/>
      <c r="P376" s="287"/>
    </row>
    <row r="377" spans="1:16" x14ac:dyDescent="0.2">
      <c r="A377" s="288"/>
      <c r="B377" s="62"/>
      <c r="D377" s="63">
        <v>42430</v>
      </c>
      <c r="E377" s="62">
        <v>1.7490000000000001</v>
      </c>
      <c r="F377" s="62">
        <v>2.0019999999999998</v>
      </c>
      <c r="G377" s="62">
        <v>1.728</v>
      </c>
      <c r="H377" s="62">
        <v>1.786</v>
      </c>
      <c r="I377" s="260">
        <v>1.786</v>
      </c>
      <c r="J377" s="262">
        <f t="shared" si="5"/>
        <v>2.0863333333333334E-2</v>
      </c>
      <c r="K377" s="277"/>
      <c r="L377" s="280"/>
      <c r="M377" s="283"/>
      <c r="N377" s="285"/>
      <c r="O377" s="284"/>
      <c r="P377" s="287"/>
    </row>
    <row r="378" spans="1:16" x14ac:dyDescent="0.2">
      <c r="A378" s="288"/>
      <c r="B378" s="62"/>
      <c r="D378" s="63">
        <v>42461</v>
      </c>
      <c r="E378" s="62">
        <v>1.778</v>
      </c>
      <c r="F378" s="62">
        <v>1.9410000000000001</v>
      </c>
      <c r="G378" s="62">
        <v>1.6850000000000001</v>
      </c>
      <c r="H378" s="62">
        <v>1.819</v>
      </c>
      <c r="I378" s="260">
        <v>1.819</v>
      </c>
      <c r="J378" s="262">
        <f t="shared" si="5"/>
        <v>2.0674166666666671E-2</v>
      </c>
      <c r="K378" s="277"/>
      <c r="L378" s="280"/>
      <c r="M378" s="283"/>
      <c r="N378" s="285"/>
      <c r="O378" s="284"/>
      <c r="P378" s="287"/>
    </row>
    <row r="379" spans="1:16" x14ac:dyDescent="0.2">
      <c r="A379" s="288"/>
      <c r="B379" s="62"/>
      <c r="D379" s="63">
        <v>42491</v>
      </c>
      <c r="E379" s="62">
        <v>1.8160000000000001</v>
      </c>
      <c r="F379" s="62">
        <v>1.89</v>
      </c>
      <c r="G379" s="62">
        <v>1.7050000000000001</v>
      </c>
      <c r="H379" s="62">
        <v>1.8340000000000001</v>
      </c>
      <c r="I379" s="260">
        <v>1.8340000000000001</v>
      </c>
      <c r="J379" s="262">
        <f t="shared" si="5"/>
        <v>2.0456666666666665E-2</v>
      </c>
      <c r="K379" s="277"/>
      <c r="L379" s="280"/>
      <c r="M379" s="283"/>
      <c r="N379" s="285"/>
      <c r="O379" s="284"/>
      <c r="P379" s="287"/>
    </row>
    <row r="380" spans="1:16" x14ac:dyDescent="0.2">
      <c r="A380" s="288"/>
      <c r="B380" s="62"/>
      <c r="D380" s="63">
        <v>42522</v>
      </c>
      <c r="E380" s="62">
        <v>1.83</v>
      </c>
      <c r="F380" s="62">
        <v>1.849</v>
      </c>
      <c r="G380" s="62">
        <v>1.45</v>
      </c>
      <c r="H380" s="62">
        <v>1.488</v>
      </c>
      <c r="I380" s="260">
        <v>1.488</v>
      </c>
      <c r="J380" s="262">
        <f t="shared" si="5"/>
        <v>1.9750833333333332E-2</v>
      </c>
      <c r="K380" s="277"/>
      <c r="L380" s="280"/>
      <c r="M380" s="283"/>
      <c r="N380" s="285"/>
      <c r="O380" s="284"/>
      <c r="P380" s="287"/>
    </row>
    <row r="381" spans="1:16" x14ac:dyDescent="0.2">
      <c r="A381" s="288"/>
      <c r="B381" s="62"/>
      <c r="D381" s="63">
        <v>42552</v>
      </c>
      <c r="E381" s="62">
        <v>1.429</v>
      </c>
      <c r="F381" s="62">
        <v>1.6279999999999999</v>
      </c>
      <c r="G381" s="62">
        <v>1.3360000000000001</v>
      </c>
      <c r="H381" s="62">
        <v>1.458</v>
      </c>
      <c r="I381" s="260">
        <v>1.458</v>
      </c>
      <c r="J381" s="262">
        <f t="shared" si="5"/>
        <v>1.9128333333333331E-2</v>
      </c>
      <c r="K381" s="277"/>
      <c r="L381" s="280"/>
      <c r="M381" s="283"/>
      <c r="N381" s="285"/>
      <c r="O381" s="284"/>
      <c r="P381" s="287"/>
    </row>
    <row r="382" spans="1:16" x14ac:dyDescent="0.2">
      <c r="A382" s="288"/>
      <c r="B382" s="62"/>
      <c r="D382" s="63">
        <v>42583</v>
      </c>
      <c r="E382" s="62">
        <v>1.494</v>
      </c>
      <c r="F382" s="62">
        <v>1.635</v>
      </c>
      <c r="G382" s="62">
        <v>1.4750000000000001</v>
      </c>
      <c r="H382" s="62">
        <v>1.5680000000000001</v>
      </c>
      <c r="I382" s="260">
        <v>1.5680000000000001</v>
      </c>
      <c r="J382" s="262">
        <f t="shared" si="5"/>
        <v>1.8601666666666666E-2</v>
      </c>
      <c r="K382" s="277"/>
      <c r="L382" s="280"/>
      <c r="M382" s="283"/>
      <c r="N382" s="285"/>
      <c r="O382" s="284"/>
      <c r="P382" s="287"/>
    </row>
    <row r="383" spans="1:16" x14ac:dyDescent="0.2">
      <c r="A383" s="288"/>
      <c r="B383" s="62"/>
      <c r="D383" s="63">
        <v>42614</v>
      </c>
      <c r="E383" s="62">
        <v>1.5940000000000001</v>
      </c>
      <c r="F383" s="62">
        <v>1.752</v>
      </c>
      <c r="G383" s="62">
        <v>1.5189999999999999</v>
      </c>
      <c r="H383" s="62">
        <v>1.6080000000000001</v>
      </c>
      <c r="I383" s="260">
        <v>1.6080000000000001</v>
      </c>
      <c r="J383" s="262">
        <f t="shared" si="5"/>
        <v>1.8224999999999998E-2</v>
      </c>
      <c r="K383" s="277"/>
      <c r="L383" s="280"/>
      <c r="M383" s="283"/>
      <c r="N383" s="285"/>
      <c r="O383" s="284"/>
      <c r="P383" s="287"/>
    </row>
    <row r="384" spans="1:16" x14ac:dyDescent="0.2">
      <c r="A384" s="288"/>
      <c r="B384" s="62"/>
      <c r="D384" s="63">
        <v>42644</v>
      </c>
      <c r="E384" s="62">
        <v>1.6</v>
      </c>
      <c r="F384" s="62">
        <v>1.879</v>
      </c>
      <c r="G384" s="62">
        <v>1.5960000000000001</v>
      </c>
      <c r="H384" s="62">
        <v>1.8340000000000001</v>
      </c>
      <c r="I384" s="260">
        <v>1.8340000000000001</v>
      </c>
      <c r="J384" s="262">
        <f t="shared" si="5"/>
        <v>1.7960833333333329E-2</v>
      </c>
      <c r="K384" s="277"/>
      <c r="L384" s="280"/>
      <c r="M384" s="283"/>
      <c r="N384" s="285"/>
      <c r="O384" s="284"/>
      <c r="P384" s="287"/>
    </row>
    <row r="385" spans="1:16" x14ac:dyDescent="0.2">
      <c r="A385" s="288"/>
      <c r="B385" s="62"/>
      <c r="D385" s="63">
        <v>42675</v>
      </c>
      <c r="E385" s="62">
        <v>1.847</v>
      </c>
      <c r="F385" s="62">
        <v>2.4169999999999998</v>
      </c>
      <c r="G385" s="62">
        <v>1.7709999999999999</v>
      </c>
      <c r="H385" s="62">
        <v>2.3679999999999999</v>
      </c>
      <c r="I385" s="260">
        <v>2.3679999999999999</v>
      </c>
      <c r="J385" s="262">
        <f t="shared" si="5"/>
        <v>1.8085833333333332E-2</v>
      </c>
      <c r="K385" s="277"/>
      <c r="L385" s="280"/>
      <c r="M385" s="283"/>
      <c r="N385" s="285"/>
      <c r="O385" s="284"/>
      <c r="P385" s="287"/>
    </row>
    <row r="386" spans="1:16" x14ac:dyDescent="0.2">
      <c r="A386" s="288"/>
      <c r="B386" s="62"/>
      <c r="D386" s="63">
        <v>42705</v>
      </c>
      <c r="E386" s="62">
        <v>2.4140000000000001</v>
      </c>
      <c r="F386" s="62">
        <v>2.621</v>
      </c>
      <c r="G386" s="62">
        <v>2.3460000000000001</v>
      </c>
      <c r="H386" s="62">
        <v>2.4460000000000002</v>
      </c>
      <c r="I386" s="260">
        <v>2.4460000000000002</v>
      </c>
      <c r="J386" s="262">
        <f t="shared" si="5"/>
        <v>1.8233333333333334E-2</v>
      </c>
      <c r="K386" s="277"/>
      <c r="L386" s="280"/>
      <c r="M386" s="283"/>
      <c r="N386" s="285"/>
      <c r="O386" s="284"/>
      <c r="P386" s="287"/>
    </row>
    <row r="387" spans="1:16" x14ac:dyDescent="0.2">
      <c r="A387" s="288"/>
      <c r="B387" s="62"/>
      <c r="D387" s="63">
        <v>42736</v>
      </c>
      <c r="E387" s="62">
        <v>2.5110000000000001</v>
      </c>
      <c r="F387" s="62">
        <v>2.5550000000000002</v>
      </c>
      <c r="G387" s="62">
        <v>2.3090000000000002</v>
      </c>
      <c r="H387" s="62">
        <v>2.4510000000000001</v>
      </c>
      <c r="I387" s="260">
        <v>2.4510000000000001</v>
      </c>
      <c r="J387" s="262">
        <f t="shared" si="5"/>
        <v>1.8666666666666668E-2</v>
      </c>
      <c r="K387" s="277"/>
      <c r="L387" s="280"/>
      <c r="M387" s="283"/>
      <c r="N387" s="285"/>
      <c r="O387" s="284"/>
      <c r="P387" s="287"/>
    </row>
    <row r="388" spans="1:16" x14ac:dyDescent="0.2">
      <c r="A388" s="288"/>
      <c r="B388" s="62"/>
      <c r="D388" s="63">
        <v>42767</v>
      </c>
      <c r="E388" s="62">
        <v>2.4870000000000001</v>
      </c>
      <c r="F388" s="62">
        <v>2.524</v>
      </c>
      <c r="G388" s="62">
        <v>2.3140000000000001</v>
      </c>
      <c r="H388" s="62">
        <v>2.3580000000000001</v>
      </c>
      <c r="I388" s="260">
        <v>2.3580000000000001</v>
      </c>
      <c r="J388" s="262">
        <f t="shared" si="5"/>
        <v>1.9181666666666666E-2</v>
      </c>
      <c r="K388" s="277"/>
      <c r="L388" s="280"/>
      <c r="M388" s="283"/>
      <c r="N388" s="285"/>
      <c r="O388" s="284"/>
      <c r="P388" s="287"/>
    </row>
    <row r="389" spans="1:16" x14ac:dyDescent="0.2">
      <c r="A389" s="288"/>
      <c r="B389" s="62"/>
      <c r="D389" s="63">
        <v>42795</v>
      </c>
      <c r="E389" s="62">
        <v>2.4350000000000001</v>
      </c>
      <c r="F389" s="62">
        <v>2.6150000000000002</v>
      </c>
      <c r="G389" s="62">
        <v>2.3479999999999999</v>
      </c>
      <c r="H389" s="62">
        <v>2.3959999999999999</v>
      </c>
      <c r="I389" s="260">
        <v>2.3959999999999999</v>
      </c>
      <c r="J389" s="262">
        <f t="shared" si="5"/>
        <v>1.9690000000000003E-2</v>
      </c>
      <c r="K389" s="277"/>
      <c r="L389" s="280"/>
      <c r="M389" s="283"/>
      <c r="N389" s="285"/>
      <c r="O389" s="284"/>
      <c r="P389" s="287"/>
    </row>
    <row r="390" spans="1:16" x14ac:dyDescent="0.2">
      <c r="A390" s="288"/>
      <c r="B390" s="62"/>
      <c r="D390" s="63">
        <v>42826</v>
      </c>
      <c r="E390" s="62">
        <v>2.38</v>
      </c>
      <c r="F390" s="62">
        <v>2.391</v>
      </c>
      <c r="G390" s="62">
        <v>2.177</v>
      </c>
      <c r="H390" s="62">
        <v>2.282</v>
      </c>
      <c r="I390" s="260">
        <v>2.282</v>
      </c>
      <c r="J390" s="262">
        <f t="shared" si="5"/>
        <v>2.0075833333333334E-2</v>
      </c>
      <c r="K390" s="277"/>
      <c r="L390" s="280"/>
      <c r="M390" s="283"/>
      <c r="N390" s="285"/>
      <c r="O390" s="284"/>
      <c r="P390" s="287"/>
    </row>
    <row r="391" spans="1:16" x14ac:dyDescent="0.2">
      <c r="A391" s="288"/>
      <c r="B391" s="62"/>
      <c r="D391" s="63">
        <v>42856</v>
      </c>
      <c r="E391" s="62">
        <v>2.2909999999999999</v>
      </c>
      <c r="F391" s="62">
        <v>2.423</v>
      </c>
      <c r="G391" s="62">
        <v>2.1909999999999998</v>
      </c>
      <c r="H391" s="62">
        <v>2.1960000000000002</v>
      </c>
      <c r="I391" s="260">
        <v>2.1960000000000002</v>
      </c>
      <c r="J391" s="262">
        <f t="shared" si="5"/>
        <v>2.0377500000000003E-2</v>
      </c>
      <c r="K391" s="277"/>
      <c r="L391" s="280"/>
      <c r="M391" s="283"/>
      <c r="N391" s="285"/>
      <c r="O391" s="284"/>
      <c r="P391" s="287"/>
    </row>
    <row r="392" spans="1:16" x14ac:dyDescent="0.2">
      <c r="A392" s="288"/>
      <c r="B392" s="62"/>
      <c r="D392" s="63">
        <v>42887</v>
      </c>
      <c r="E392" s="62">
        <v>2.2290000000000001</v>
      </c>
      <c r="F392" s="62">
        <v>2.3050000000000002</v>
      </c>
      <c r="G392" s="62">
        <v>2.1030000000000002</v>
      </c>
      <c r="H392" s="62">
        <v>2.302</v>
      </c>
      <c r="I392" s="260">
        <v>2.302</v>
      </c>
      <c r="J392" s="262">
        <f t="shared" si="5"/>
        <v>2.1055833333333336E-2</v>
      </c>
      <c r="K392" s="277"/>
      <c r="L392" s="280"/>
      <c r="M392" s="283"/>
      <c r="N392" s="285"/>
      <c r="O392" s="284"/>
      <c r="P392" s="287"/>
    </row>
    <row r="393" spans="1:16" x14ac:dyDescent="0.2">
      <c r="A393" s="288"/>
      <c r="B393" s="62"/>
      <c r="D393" s="63">
        <v>42917</v>
      </c>
      <c r="E393" s="62">
        <v>2.3090000000000002</v>
      </c>
      <c r="F393" s="62">
        <v>2.3959999999999999</v>
      </c>
      <c r="G393" s="62">
        <v>2.2250000000000001</v>
      </c>
      <c r="H393" s="62">
        <v>2.2919999999999998</v>
      </c>
      <c r="I393" s="260">
        <v>2.2919999999999998</v>
      </c>
      <c r="J393" s="262">
        <f t="shared" si="5"/>
        <v>2.1750833333333334E-2</v>
      </c>
      <c r="K393" s="277"/>
      <c r="L393" s="280"/>
      <c r="M393" s="283"/>
      <c r="N393" s="285"/>
      <c r="O393" s="284"/>
      <c r="P393" s="287"/>
    </row>
    <row r="394" spans="1:16" x14ac:dyDescent="0.2">
      <c r="A394" s="288"/>
      <c r="B394" s="62"/>
      <c r="D394" s="63">
        <v>42948</v>
      </c>
      <c r="E394" s="62">
        <v>2.3050000000000002</v>
      </c>
      <c r="F394" s="62">
        <v>2.3210000000000002</v>
      </c>
      <c r="G394" s="62">
        <v>2.0910000000000002</v>
      </c>
      <c r="H394" s="62">
        <v>2.121</v>
      </c>
      <c r="I394" s="260">
        <v>2.121</v>
      </c>
      <c r="J394" s="262">
        <f t="shared" si="5"/>
        <v>2.2211666666666664E-2</v>
      </c>
      <c r="K394" s="277"/>
      <c r="L394" s="280"/>
      <c r="M394" s="283"/>
      <c r="N394" s="285"/>
      <c r="O394" s="284"/>
      <c r="P394" s="287"/>
    </row>
    <row r="395" spans="1:16" x14ac:dyDescent="0.2">
      <c r="A395" s="288"/>
      <c r="B395" s="62"/>
      <c r="D395" s="63">
        <v>42979</v>
      </c>
      <c r="E395" s="62">
        <v>2.1269999999999998</v>
      </c>
      <c r="F395" s="62">
        <v>2.3439999999999999</v>
      </c>
      <c r="G395" s="62">
        <v>2.0339999999999998</v>
      </c>
      <c r="H395" s="62">
        <v>2.3260000000000001</v>
      </c>
      <c r="I395" s="260">
        <v>2.3260000000000001</v>
      </c>
      <c r="J395" s="262">
        <f t="shared" si="5"/>
        <v>2.281E-2</v>
      </c>
      <c r="K395" s="277"/>
      <c r="L395" s="280"/>
      <c r="M395" s="283"/>
      <c r="N395" s="285"/>
      <c r="O395" s="284"/>
      <c r="P395" s="287"/>
    </row>
    <row r="396" spans="1:16" x14ac:dyDescent="0.2">
      <c r="A396" s="288"/>
      <c r="B396" s="62"/>
      <c r="D396" s="63">
        <v>43009</v>
      </c>
      <c r="E396" s="62">
        <v>2.3410000000000002</v>
      </c>
      <c r="F396" s="62">
        <v>2.4750000000000001</v>
      </c>
      <c r="G396" s="62">
        <v>2.2730000000000001</v>
      </c>
      <c r="H396" s="62">
        <v>2.3759999999999999</v>
      </c>
      <c r="I396" s="260">
        <v>2.3759999999999999</v>
      </c>
      <c r="J396" s="262">
        <f t="shared" ref="J396:J445" si="6">AVERAGE(I385:I396)/100</f>
        <v>2.326166666666667E-2</v>
      </c>
      <c r="K396" s="277"/>
      <c r="L396" s="280"/>
      <c r="M396" s="283"/>
      <c r="N396" s="285"/>
      <c r="O396" s="284"/>
      <c r="P396" s="287"/>
    </row>
    <row r="397" spans="1:16" x14ac:dyDescent="0.2">
      <c r="A397" s="288"/>
      <c r="B397" s="62"/>
      <c r="D397" s="63">
        <v>43040</v>
      </c>
      <c r="E397" s="62">
        <v>2.3980000000000001</v>
      </c>
      <c r="F397" s="62">
        <v>2.4369999999999998</v>
      </c>
      <c r="G397" s="62">
        <v>2.3039999999999998</v>
      </c>
      <c r="H397" s="62">
        <v>2.4169999999999998</v>
      </c>
      <c r="I397" s="260">
        <v>2.4169999999999998</v>
      </c>
      <c r="J397" s="262">
        <f t="shared" si="6"/>
        <v>2.33025E-2</v>
      </c>
      <c r="K397" s="277"/>
      <c r="L397" s="280"/>
      <c r="M397" s="283"/>
      <c r="N397" s="285"/>
      <c r="O397" s="284"/>
      <c r="P397" s="287"/>
    </row>
    <row r="398" spans="1:16" x14ac:dyDescent="0.2">
      <c r="A398" s="288"/>
      <c r="B398" s="62"/>
      <c r="D398" s="63">
        <v>43070</v>
      </c>
      <c r="E398" s="62">
        <v>2.383</v>
      </c>
      <c r="F398" s="62">
        <v>2.4990000000000001</v>
      </c>
      <c r="G398" s="62">
        <v>2.3140000000000001</v>
      </c>
      <c r="H398" s="62">
        <v>2.4049999999999998</v>
      </c>
      <c r="I398" s="260">
        <v>2.4049999999999998</v>
      </c>
      <c r="J398" s="262">
        <f t="shared" si="6"/>
        <v>2.3268333333333335E-2</v>
      </c>
      <c r="K398" s="277"/>
      <c r="L398" s="280"/>
      <c r="M398" s="283"/>
      <c r="N398" s="285"/>
      <c r="O398" s="284"/>
      <c r="P398" s="287"/>
    </row>
    <row r="399" spans="1:16" x14ac:dyDescent="0.2">
      <c r="A399" s="288"/>
      <c r="B399" s="62"/>
      <c r="D399" s="63">
        <v>43101</v>
      </c>
      <c r="E399" s="62">
        <v>2.4329999999999998</v>
      </c>
      <c r="F399" s="62">
        <v>2.754</v>
      </c>
      <c r="G399" s="62">
        <v>2.4249999999999998</v>
      </c>
      <c r="H399" s="62">
        <v>2.72</v>
      </c>
      <c r="I399" s="260">
        <v>2.72</v>
      </c>
      <c r="J399" s="262">
        <f t="shared" si="6"/>
        <v>2.3492499999999999E-2</v>
      </c>
      <c r="K399" s="277"/>
      <c r="L399" s="280"/>
      <c r="M399" s="283"/>
      <c r="N399" s="285"/>
      <c r="O399" s="284"/>
      <c r="P399" s="287"/>
    </row>
    <row r="400" spans="1:16" x14ac:dyDescent="0.2">
      <c r="A400" s="288"/>
      <c r="B400" s="62"/>
      <c r="D400" s="63">
        <v>43132</v>
      </c>
      <c r="E400" s="62">
        <v>2.7429999999999999</v>
      </c>
      <c r="F400" s="62">
        <v>2.9430000000000001</v>
      </c>
      <c r="G400" s="62">
        <v>2.722</v>
      </c>
      <c r="H400" s="62">
        <v>2.8679999999999999</v>
      </c>
      <c r="I400" s="260">
        <v>2.8679999999999999</v>
      </c>
      <c r="J400" s="262">
        <f t="shared" si="6"/>
        <v>2.3917499999999994E-2</v>
      </c>
      <c r="K400" s="277"/>
      <c r="L400" s="280"/>
      <c r="M400" s="283"/>
      <c r="N400" s="285"/>
      <c r="O400" s="284"/>
      <c r="P400" s="287"/>
    </row>
    <row r="401" spans="1:16" x14ac:dyDescent="0.2">
      <c r="A401" s="288"/>
      <c r="B401" s="62"/>
      <c r="D401" s="63">
        <v>43160</v>
      </c>
      <c r="E401" s="62">
        <v>2.831</v>
      </c>
      <c r="F401" s="62">
        <v>2.9359999999999999</v>
      </c>
      <c r="G401" s="62">
        <v>2.7389999999999999</v>
      </c>
      <c r="H401" s="62">
        <v>2.7410000000000001</v>
      </c>
      <c r="I401" s="260">
        <v>2.7410000000000001</v>
      </c>
      <c r="J401" s="262">
        <f t="shared" si="6"/>
        <v>2.4204999999999997E-2</v>
      </c>
      <c r="K401" s="277"/>
      <c r="L401" s="280"/>
      <c r="M401" s="283"/>
      <c r="N401" s="285"/>
      <c r="O401" s="284"/>
      <c r="P401" s="287"/>
    </row>
    <row r="402" spans="1:16" x14ac:dyDescent="0.2">
      <c r="A402" s="288"/>
      <c r="B402" s="62"/>
      <c r="D402" s="63">
        <v>43191</v>
      </c>
      <c r="E402" s="62">
        <v>2.7629999999999999</v>
      </c>
      <c r="F402" s="62">
        <v>3.0350000000000001</v>
      </c>
      <c r="G402" s="62">
        <v>2.7170000000000001</v>
      </c>
      <c r="H402" s="62">
        <v>2.9359999999999999</v>
      </c>
      <c r="I402" s="260">
        <v>2.9359999999999999</v>
      </c>
      <c r="J402" s="262">
        <f t="shared" si="6"/>
        <v>2.4750000000000001E-2</v>
      </c>
      <c r="K402" s="277"/>
      <c r="L402" s="280"/>
      <c r="M402" s="283"/>
      <c r="N402" s="285"/>
      <c r="O402" s="284"/>
      <c r="P402" s="287"/>
    </row>
    <row r="403" spans="1:16" x14ac:dyDescent="0.2">
      <c r="A403" s="288"/>
      <c r="B403" s="62"/>
      <c r="D403" s="63">
        <v>43221</v>
      </c>
      <c r="E403" s="62">
        <v>2.9660000000000002</v>
      </c>
      <c r="F403" s="62">
        <v>3.1150000000000002</v>
      </c>
      <c r="G403" s="62">
        <v>2.7589999999999999</v>
      </c>
      <c r="H403" s="62">
        <v>2.8220000000000001</v>
      </c>
      <c r="I403" s="260">
        <v>2.8220000000000001</v>
      </c>
      <c r="J403" s="262">
        <f t="shared" si="6"/>
        <v>2.5271666666666665E-2</v>
      </c>
      <c r="K403" s="277"/>
      <c r="L403" s="280"/>
      <c r="M403" s="283"/>
      <c r="N403" s="285"/>
      <c r="O403" s="284"/>
      <c r="P403" s="287"/>
    </row>
    <row r="404" spans="1:16" x14ac:dyDescent="0.2">
      <c r="A404" s="288"/>
      <c r="B404" s="62"/>
      <c r="D404" s="63">
        <v>43252</v>
      </c>
      <c r="E404" s="62">
        <v>2.9</v>
      </c>
      <c r="F404" s="62">
        <v>3.0089999999999999</v>
      </c>
      <c r="G404" s="62">
        <v>2.8239999999999998</v>
      </c>
      <c r="H404" s="62">
        <v>2.8490000000000002</v>
      </c>
      <c r="I404" s="260">
        <v>2.8490000000000002</v>
      </c>
      <c r="J404" s="262">
        <f t="shared" si="6"/>
        <v>2.5727499999999997E-2</v>
      </c>
      <c r="K404" s="277"/>
      <c r="L404" s="280"/>
      <c r="M404" s="283"/>
      <c r="N404" s="285"/>
      <c r="O404" s="284"/>
      <c r="P404" s="287"/>
    </row>
    <row r="405" spans="1:16" x14ac:dyDescent="0.2">
      <c r="A405" s="288"/>
      <c r="B405" s="62"/>
      <c r="D405" s="63">
        <v>43282</v>
      </c>
      <c r="E405" s="62">
        <v>2.8290000000000002</v>
      </c>
      <c r="F405" s="62">
        <v>2.99</v>
      </c>
      <c r="G405" s="62">
        <v>2.8109999999999999</v>
      </c>
      <c r="H405" s="62">
        <v>2.964</v>
      </c>
      <c r="I405" s="260">
        <v>2.964</v>
      </c>
      <c r="J405" s="262">
        <f t="shared" si="6"/>
        <v>2.6287499999999998E-2</v>
      </c>
      <c r="K405" s="277"/>
      <c r="L405" s="280"/>
      <c r="M405" s="283"/>
      <c r="N405" s="285"/>
      <c r="O405" s="284"/>
      <c r="P405" s="287"/>
    </row>
    <row r="406" spans="1:16" x14ac:dyDescent="0.2">
      <c r="A406" s="288"/>
      <c r="B406" s="62"/>
      <c r="D406" s="63">
        <v>43313</v>
      </c>
      <c r="E406" s="62">
        <v>2.992</v>
      </c>
      <c r="F406" s="62">
        <v>3.016</v>
      </c>
      <c r="G406" s="62">
        <v>2.8079999999999998</v>
      </c>
      <c r="H406" s="62">
        <v>2.8530000000000002</v>
      </c>
      <c r="I406" s="260">
        <v>2.8530000000000002</v>
      </c>
      <c r="J406" s="262">
        <f t="shared" si="6"/>
        <v>2.6897500000000001E-2</v>
      </c>
      <c r="K406" s="277"/>
      <c r="L406" s="280"/>
      <c r="M406" s="283"/>
      <c r="N406" s="285"/>
      <c r="O406" s="284"/>
      <c r="P406" s="287"/>
    </row>
    <row r="407" spans="1:16" x14ac:dyDescent="0.2">
      <c r="A407" s="288"/>
      <c r="B407" s="62"/>
      <c r="D407" s="63">
        <v>43344</v>
      </c>
      <c r="E407" s="62">
        <v>2.8690000000000002</v>
      </c>
      <c r="F407" s="62">
        <v>3.11</v>
      </c>
      <c r="G407" s="62">
        <v>2.8679999999999999</v>
      </c>
      <c r="H407" s="62">
        <v>3.056</v>
      </c>
      <c r="I407" s="260">
        <v>3.056</v>
      </c>
      <c r="J407" s="262">
        <f t="shared" si="6"/>
        <v>2.750583333333333E-2</v>
      </c>
      <c r="K407" s="277"/>
      <c r="L407" s="280"/>
      <c r="M407" s="283"/>
      <c r="N407" s="285"/>
      <c r="O407" s="284"/>
      <c r="P407" s="287"/>
    </row>
    <row r="408" spans="1:16" x14ac:dyDescent="0.2">
      <c r="A408" s="288"/>
      <c r="B408" s="62"/>
      <c r="D408" s="63">
        <v>43374</v>
      </c>
      <c r="E408" s="62">
        <v>3.0859999999999999</v>
      </c>
      <c r="F408" s="62">
        <v>3.2480000000000002</v>
      </c>
      <c r="G408" s="62">
        <v>3.0459999999999998</v>
      </c>
      <c r="H408" s="62">
        <v>3.1589999999999998</v>
      </c>
      <c r="I408" s="260">
        <v>3.1589999999999998</v>
      </c>
      <c r="J408" s="262">
        <f t="shared" si="6"/>
        <v>2.8158333333333334E-2</v>
      </c>
      <c r="K408" s="277"/>
      <c r="L408" s="280"/>
      <c r="M408" s="283"/>
      <c r="N408" s="285"/>
      <c r="O408" s="284"/>
      <c r="P408" s="287"/>
    </row>
    <row r="409" spans="1:16" x14ac:dyDescent="0.2">
      <c r="A409" s="288"/>
      <c r="B409" s="62"/>
      <c r="D409" s="63">
        <v>43405</v>
      </c>
      <c r="E409" s="62">
        <v>3.1640000000000001</v>
      </c>
      <c r="F409" s="62">
        <v>3.2389999999999999</v>
      </c>
      <c r="G409" s="62">
        <v>3.008</v>
      </c>
      <c r="H409" s="62">
        <v>3.0129999999999999</v>
      </c>
      <c r="I409" s="260">
        <v>3.0129999999999999</v>
      </c>
      <c r="J409" s="262">
        <f t="shared" si="6"/>
        <v>2.8655000000000003E-2</v>
      </c>
      <c r="K409" s="277"/>
      <c r="L409" s="280"/>
      <c r="M409" s="283"/>
      <c r="N409" s="285"/>
      <c r="O409" s="284"/>
      <c r="P409" s="287"/>
    </row>
    <row r="410" spans="1:16" x14ac:dyDescent="0.2">
      <c r="A410" s="288"/>
      <c r="B410" s="62"/>
      <c r="D410" s="63">
        <v>43435</v>
      </c>
      <c r="E410" s="62">
        <v>3.0409999999999999</v>
      </c>
      <c r="F410" s="62">
        <v>3.0409999999999999</v>
      </c>
      <c r="G410" s="62">
        <v>2.6789999999999998</v>
      </c>
      <c r="H410" s="62">
        <v>2.6859999999999999</v>
      </c>
      <c r="I410" s="260">
        <v>2.6859999999999999</v>
      </c>
      <c r="J410" s="262">
        <f t="shared" si="6"/>
        <v>2.8889166666666667E-2</v>
      </c>
      <c r="K410" s="277"/>
      <c r="L410" s="280"/>
      <c r="M410" s="283"/>
      <c r="N410" s="285"/>
      <c r="O410" s="284"/>
      <c r="P410" s="287"/>
    </row>
    <row r="411" spans="1:16" x14ac:dyDescent="0.2">
      <c r="A411" s="288"/>
      <c r="B411" s="62"/>
      <c r="D411" s="63">
        <v>43466</v>
      </c>
      <c r="E411" s="62">
        <v>2.6520000000000001</v>
      </c>
      <c r="F411" s="62">
        <v>2.7989999999999999</v>
      </c>
      <c r="G411" s="62">
        <v>2.5539999999999998</v>
      </c>
      <c r="H411" s="62">
        <v>2.6349999999999998</v>
      </c>
      <c r="I411" s="260">
        <v>2.6349999999999998</v>
      </c>
      <c r="J411" s="262">
        <f t="shared" si="6"/>
        <v>2.8818333333333331E-2</v>
      </c>
      <c r="K411" s="277"/>
      <c r="L411" s="280"/>
      <c r="M411" s="283"/>
      <c r="N411" s="285"/>
      <c r="O411" s="284"/>
      <c r="P411" s="287"/>
    </row>
    <row r="412" spans="1:16" x14ac:dyDescent="0.2">
      <c r="A412" s="288"/>
      <c r="B412" s="62"/>
      <c r="D412" s="63">
        <v>43497</v>
      </c>
      <c r="E412" s="62">
        <v>2.6309999999999998</v>
      </c>
      <c r="F412" s="62">
        <v>2.734</v>
      </c>
      <c r="G412" s="62">
        <v>2.625</v>
      </c>
      <c r="H412" s="62">
        <v>2.7109999999999999</v>
      </c>
      <c r="I412" s="260">
        <v>2.7109999999999999</v>
      </c>
      <c r="J412" s="262">
        <f t="shared" si="6"/>
        <v>2.8687499999999998E-2</v>
      </c>
      <c r="K412" s="277"/>
      <c r="L412" s="280"/>
      <c r="M412" s="283"/>
      <c r="N412" s="285"/>
      <c r="O412" s="284"/>
      <c r="P412" s="287"/>
    </row>
    <row r="413" spans="1:16" x14ac:dyDescent="0.2">
      <c r="A413" s="288"/>
      <c r="B413" s="62"/>
      <c r="D413" s="63">
        <v>43525</v>
      </c>
      <c r="E413" s="62">
        <v>2.7370000000000001</v>
      </c>
      <c r="F413" s="62">
        <v>2.7589999999999999</v>
      </c>
      <c r="G413" s="62">
        <v>2.3559999999999999</v>
      </c>
      <c r="H413" s="62">
        <v>2.4140000000000001</v>
      </c>
      <c r="I413" s="260">
        <v>2.4140000000000001</v>
      </c>
      <c r="J413" s="262">
        <f t="shared" si="6"/>
        <v>2.8414999999999999E-2</v>
      </c>
      <c r="K413" s="277"/>
      <c r="L413" s="280"/>
      <c r="M413" s="283"/>
      <c r="N413" s="285"/>
      <c r="O413" s="284"/>
      <c r="P413" s="287"/>
    </row>
    <row r="414" spans="1:16" x14ac:dyDescent="0.2">
      <c r="A414" s="288"/>
      <c r="B414" s="62"/>
      <c r="D414" s="63">
        <v>43556</v>
      </c>
      <c r="E414" s="62">
        <v>2.4420000000000002</v>
      </c>
      <c r="F414" s="62">
        <v>2.6139999999999999</v>
      </c>
      <c r="G414" s="62">
        <v>2.4239999999999999</v>
      </c>
      <c r="H414" s="62">
        <v>2.5089999999999999</v>
      </c>
      <c r="I414" s="260">
        <v>2.5089999999999999</v>
      </c>
      <c r="J414" s="262">
        <f t="shared" si="6"/>
        <v>2.8059166666666666E-2</v>
      </c>
      <c r="K414" s="277"/>
      <c r="L414" s="280"/>
      <c r="M414" s="283"/>
      <c r="N414" s="285"/>
      <c r="O414" s="284"/>
      <c r="P414" s="287"/>
    </row>
    <row r="415" spans="1:16" x14ac:dyDescent="0.2">
      <c r="A415" s="288"/>
      <c r="B415" s="62"/>
      <c r="D415" s="63">
        <v>43586</v>
      </c>
      <c r="E415" s="62">
        <v>2.504</v>
      </c>
      <c r="F415" s="62">
        <v>2.5760000000000001</v>
      </c>
      <c r="G415" s="62">
        <v>2.137</v>
      </c>
      <c r="H415" s="62">
        <v>2.1419999999999999</v>
      </c>
      <c r="I415" s="260">
        <v>2.1419999999999999</v>
      </c>
      <c r="J415" s="262">
        <f t="shared" si="6"/>
        <v>2.74925E-2</v>
      </c>
      <c r="K415" s="277"/>
      <c r="L415" s="280"/>
      <c r="M415" s="283"/>
      <c r="N415" s="285"/>
      <c r="O415" s="284"/>
      <c r="P415" s="287"/>
    </row>
    <row r="416" spans="1:16" x14ac:dyDescent="0.2">
      <c r="A416" s="288"/>
      <c r="B416" s="62"/>
      <c r="D416" s="63">
        <v>43617</v>
      </c>
      <c r="E416" s="62">
        <v>2.1120000000000001</v>
      </c>
      <c r="F416" s="62">
        <v>2.1739999999999999</v>
      </c>
      <c r="G416" s="62">
        <v>1.9750000000000001</v>
      </c>
      <c r="H416" s="62">
        <v>2</v>
      </c>
      <c r="I416" s="260">
        <v>2</v>
      </c>
      <c r="J416" s="262">
        <f t="shared" si="6"/>
        <v>2.6784999999999996E-2</v>
      </c>
      <c r="K416" s="277"/>
      <c r="L416" s="280"/>
      <c r="M416" s="283"/>
      <c r="N416" s="285"/>
      <c r="O416" s="284"/>
      <c r="P416" s="287"/>
    </row>
    <row r="417" spans="1:16" x14ac:dyDescent="0.2">
      <c r="A417" s="288"/>
      <c r="B417" s="62"/>
      <c r="D417" s="63">
        <v>43647</v>
      </c>
      <c r="E417" s="62">
        <v>2.0259999999999998</v>
      </c>
      <c r="F417" s="62">
        <v>2.1480000000000001</v>
      </c>
      <c r="G417" s="62">
        <v>1.9430000000000001</v>
      </c>
      <c r="H417" s="62">
        <v>2.0209999999999999</v>
      </c>
      <c r="I417" s="260">
        <v>2.0209999999999999</v>
      </c>
      <c r="J417" s="262">
        <f t="shared" si="6"/>
        <v>2.5999166666666667E-2</v>
      </c>
      <c r="K417" s="277"/>
      <c r="L417" s="280"/>
      <c r="M417" s="283"/>
      <c r="N417" s="285"/>
      <c r="O417" s="284"/>
      <c r="P417" s="287"/>
    </row>
    <row r="418" spans="1:16" x14ac:dyDescent="0.2">
      <c r="A418" s="288"/>
      <c r="B418" s="62"/>
      <c r="D418" s="63">
        <v>43678</v>
      </c>
      <c r="E418" s="62">
        <v>2.028</v>
      </c>
      <c r="F418" s="62">
        <v>2.028</v>
      </c>
      <c r="G418" s="62">
        <v>1.446</v>
      </c>
      <c r="H418" s="62">
        <v>1.506</v>
      </c>
      <c r="I418" s="260">
        <v>1.506</v>
      </c>
      <c r="J418" s="262">
        <f t="shared" si="6"/>
        <v>2.4876666666666668E-2</v>
      </c>
      <c r="K418" s="277"/>
      <c r="L418" s="280"/>
      <c r="M418" s="283"/>
      <c r="N418" s="285"/>
      <c r="O418" s="284"/>
      <c r="P418" s="287"/>
    </row>
    <row r="419" spans="1:16" x14ac:dyDescent="0.2">
      <c r="A419" s="288"/>
      <c r="B419" s="62"/>
      <c r="D419" s="63">
        <v>43709</v>
      </c>
      <c r="E419" s="62">
        <v>1.4830000000000001</v>
      </c>
      <c r="F419" s="62">
        <v>1.903</v>
      </c>
      <c r="G419" s="62">
        <v>1.429</v>
      </c>
      <c r="H419" s="62">
        <v>1.675</v>
      </c>
      <c r="I419" s="260">
        <v>1.675</v>
      </c>
      <c r="J419" s="262">
        <f t="shared" si="6"/>
        <v>2.3725833333333335E-2</v>
      </c>
      <c r="K419" s="277"/>
      <c r="L419" s="280"/>
      <c r="M419" s="283"/>
      <c r="N419" s="285"/>
      <c r="O419" s="284"/>
      <c r="P419" s="287"/>
    </row>
    <row r="420" spans="1:16" x14ac:dyDescent="0.2">
      <c r="A420" s="288"/>
      <c r="B420" s="62"/>
      <c r="D420" s="63">
        <v>43739</v>
      </c>
      <c r="E420" s="62">
        <v>1.7270000000000001</v>
      </c>
      <c r="F420" s="62">
        <v>1.86</v>
      </c>
      <c r="G420" s="62">
        <v>1.51</v>
      </c>
      <c r="H420" s="62">
        <v>1.6910000000000001</v>
      </c>
      <c r="I420" s="260">
        <v>1.6910000000000001</v>
      </c>
      <c r="J420" s="262">
        <f t="shared" si="6"/>
        <v>2.2502499999999998E-2</v>
      </c>
      <c r="K420" s="277"/>
      <c r="L420" s="280"/>
      <c r="M420" s="283"/>
      <c r="N420" s="285"/>
      <c r="O420" s="284"/>
      <c r="P420" s="287"/>
    </row>
    <row r="421" spans="1:16" x14ac:dyDescent="0.2">
      <c r="A421" s="288"/>
      <c r="B421" s="62"/>
      <c r="D421" s="63">
        <v>43770</v>
      </c>
      <c r="E421" s="62">
        <v>1.677</v>
      </c>
      <c r="F421" s="62">
        <v>1.9710000000000001</v>
      </c>
      <c r="G421" s="62">
        <v>1.67</v>
      </c>
      <c r="H421" s="62">
        <v>1.776</v>
      </c>
      <c r="I421" s="260">
        <v>1.776</v>
      </c>
      <c r="J421" s="262">
        <f t="shared" si="6"/>
        <v>2.1471666666666667E-2</v>
      </c>
      <c r="K421" s="277"/>
      <c r="L421" s="280"/>
      <c r="M421" s="283"/>
      <c r="N421" s="285"/>
      <c r="O421" s="284"/>
      <c r="P421" s="287"/>
    </row>
    <row r="422" spans="1:16" x14ac:dyDescent="0.2">
      <c r="A422" s="288"/>
      <c r="B422" s="62"/>
      <c r="D422" s="63">
        <v>43800</v>
      </c>
      <c r="E422" s="62">
        <v>1.833</v>
      </c>
      <c r="F422" s="62">
        <v>1.9490000000000001</v>
      </c>
      <c r="G422" s="62">
        <v>1.6930000000000001</v>
      </c>
      <c r="H422" s="62">
        <v>1.919</v>
      </c>
      <c r="I422" s="260">
        <v>1.919</v>
      </c>
      <c r="J422" s="262">
        <f t="shared" si="6"/>
        <v>2.08325E-2</v>
      </c>
      <c r="K422" s="277"/>
      <c r="L422" s="280"/>
      <c r="M422" s="283"/>
      <c r="N422" s="285"/>
      <c r="O422" s="284"/>
      <c r="P422" s="287"/>
    </row>
    <row r="423" spans="1:16" x14ac:dyDescent="0.2">
      <c r="A423" s="288"/>
      <c r="B423" s="62"/>
      <c r="D423" s="63">
        <v>43831</v>
      </c>
      <c r="E423" s="62">
        <v>1.903</v>
      </c>
      <c r="F423" s="62">
        <v>1.903</v>
      </c>
      <c r="G423" s="62">
        <v>1.512</v>
      </c>
      <c r="H423" s="62">
        <v>1.52</v>
      </c>
      <c r="I423" s="260">
        <v>1.52</v>
      </c>
      <c r="J423" s="262">
        <f t="shared" si="6"/>
        <v>1.9903333333333332E-2</v>
      </c>
      <c r="K423" s="277"/>
      <c r="L423" s="280"/>
      <c r="M423" s="283"/>
      <c r="N423" s="285"/>
      <c r="O423" s="284"/>
      <c r="P423" s="287"/>
    </row>
    <row r="424" spans="1:16" x14ac:dyDescent="0.2">
      <c r="A424" s="288"/>
      <c r="B424" s="62"/>
      <c r="D424" s="63">
        <v>43862</v>
      </c>
      <c r="E424" s="62">
        <v>1.5549999999999999</v>
      </c>
      <c r="F424" s="62">
        <v>1.6679999999999999</v>
      </c>
      <c r="G424" s="62">
        <v>1.127</v>
      </c>
      <c r="H424" s="62">
        <v>1.127</v>
      </c>
      <c r="I424" s="260">
        <v>1.127</v>
      </c>
      <c r="J424" s="262">
        <f t="shared" si="6"/>
        <v>1.8583333333333334E-2</v>
      </c>
      <c r="K424" s="277"/>
      <c r="L424" s="280"/>
      <c r="M424" s="283"/>
      <c r="N424" s="285"/>
      <c r="O424" s="284"/>
      <c r="P424" s="287"/>
    </row>
    <row r="425" spans="1:16" x14ac:dyDescent="0.2">
      <c r="A425" s="288"/>
      <c r="B425" s="62"/>
      <c r="D425" s="63">
        <v>43891</v>
      </c>
      <c r="E425" s="62">
        <v>1.0669999999999999</v>
      </c>
      <c r="F425" s="62">
        <v>1.266</v>
      </c>
      <c r="G425" s="62">
        <v>0.39800000000000002</v>
      </c>
      <c r="H425" s="62">
        <v>0.69799999999999995</v>
      </c>
      <c r="I425" s="260">
        <v>0.69799999999999995</v>
      </c>
      <c r="J425" s="262">
        <f t="shared" si="6"/>
        <v>1.7153333333333333E-2</v>
      </c>
      <c r="K425" s="277"/>
      <c r="L425" s="280"/>
      <c r="M425" s="283"/>
      <c r="N425" s="285"/>
      <c r="O425" s="284"/>
      <c r="P425" s="287"/>
    </row>
    <row r="426" spans="1:16" x14ac:dyDescent="0.2">
      <c r="A426" s="288"/>
      <c r="B426" s="62"/>
      <c r="D426" s="63">
        <v>43922</v>
      </c>
      <c r="E426" s="62">
        <v>0.61</v>
      </c>
      <c r="F426" s="62">
        <v>0.78400000000000003</v>
      </c>
      <c r="G426" s="62">
        <v>0.54300000000000004</v>
      </c>
      <c r="H426" s="62">
        <v>0.622</v>
      </c>
      <c r="I426" s="260">
        <v>0.622</v>
      </c>
      <c r="J426" s="262">
        <f t="shared" si="6"/>
        <v>1.5580833333333332E-2</v>
      </c>
      <c r="K426" s="277"/>
      <c r="L426" s="280"/>
      <c r="M426" s="283"/>
      <c r="N426" s="285"/>
      <c r="O426" s="284"/>
      <c r="P426" s="287"/>
    </row>
    <row r="427" spans="1:16" x14ac:dyDescent="0.2">
      <c r="A427" s="288"/>
      <c r="B427" s="62"/>
      <c r="D427" s="63">
        <v>43952</v>
      </c>
      <c r="E427" s="62">
        <v>0.61299999999999999</v>
      </c>
      <c r="F427" s="62">
        <v>0.745</v>
      </c>
      <c r="G427" s="62">
        <v>0.59</v>
      </c>
      <c r="H427" s="62">
        <v>0.64800000000000002</v>
      </c>
      <c r="I427" s="260">
        <v>0.64800000000000002</v>
      </c>
      <c r="J427" s="262">
        <f t="shared" si="6"/>
        <v>1.4335833333333336E-2</v>
      </c>
      <c r="K427" s="277"/>
      <c r="L427" s="280"/>
      <c r="M427" s="283"/>
      <c r="N427" s="285"/>
      <c r="O427" s="284"/>
      <c r="P427" s="287"/>
    </row>
    <row r="428" spans="1:16" x14ac:dyDescent="0.2">
      <c r="A428" s="288"/>
      <c r="B428" s="62"/>
      <c r="D428" s="63">
        <v>43983</v>
      </c>
      <c r="E428" s="62">
        <v>0.66700000000000004</v>
      </c>
      <c r="F428" s="62">
        <v>0.95699999999999996</v>
      </c>
      <c r="G428" s="62">
        <v>0.61899999999999999</v>
      </c>
      <c r="H428" s="62">
        <v>0.65300000000000002</v>
      </c>
      <c r="I428" s="260">
        <v>0.65300000000000002</v>
      </c>
      <c r="J428" s="262">
        <f t="shared" si="6"/>
        <v>1.3213333333333334E-2</v>
      </c>
      <c r="K428" s="277"/>
      <c r="L428" s="280"/>
      <c r="M428" s="283"/>
      <c r="N428" s="285"/>
      <c r="O428" s="284"/>
      <c r="P428" s="287"/>
    </row>
    <row r="429" spans="1:16" x14ac:dyDescent="0.2">
      <c r="A429" s="288"/>
      <c r="B429" s="62"/>
      <c r="D429" s="63">
        <v>44013</v>
      </c>
      <c r="E429" s="62">
        <v>0.68100000000000005</v>
      </c>
      <c r="F429" s="62">
        <v>0.72399999999999998</v>
      </c>
      <c r="G429" s="62">
        <v>0.52800000000000002</v>
      </c>
      <c r="H429" s="62">
        <v>0.53600000000000003</v>
      </c>
      <c r="I429" s="260">
        <v>0.53600000000000003</v>
      </c>
      <c r="J429" s="262">
        <f t="shared" si="6"/>
        <v>1.1975833333333335E-2</v>
      </c>
      <c r="K429" s="277"/>
      <c r="L429" s="280"/>
      <c r="M429" s="283"/>
      <c r="N429" s="285"/>
      <c r="O429" s="284"/>
      <c r="P429" s="287"/>
    </row>
    <row r="430" spans="1:16" x14ac:dyDescent="0.2">
      <c r="A430" s="288"/>
      <c r="B430" s="62"/>
      <c r="D430" s="63">
        <v>44044</v>
      </c>
      <c r="E430" s="62">
        <v>0.55900000000000005</v>
      </c>
      <c r="F430" s="62">
        <v>0.746</v>
      </c>
      <c r="G430" s="62">
        <v>0.504</v>
      </c>
      <c r="H430" s="62">
        <v>0.69299999999999995</v>
      </c>
      <c r="I430" s="260">
        <v>0.69299999999999995</v>
      </c>
      <c r="J430" s="262">
        <f t="shared" si="6"/>
        <v>1.1298333333333332E-2</v>
      </c>
      <c r="K430" s="277"/>
      <c r="L430" s="280"/>
      <c r="M430" s="283"/>
      <c r="N430" s="285"/>
      <c r="O430" s="284"/>
      <c r="P430" s="287"/>
    </row>
    <row r="431" spans="1:16" x14ac:dyDescent="0.2">
      <c r="A431" s="288"/>
      <c r="B431" s="62"/>
      <c r="D431" s="63">
        <v>44075</v>
      </c>
      <c r="E431" s="62">
        <v>0.72</v>
      </c>
      <c r="F431" s="62">
        <v>0.72899999999999998</v>
      </c>
      <c r="G431" s="62">
        <v>0.60599999999999998</v>
      </c>
      <c r="H431" s="62">
        <v>0.67700000000000005</v>
      </c>
      <c r="I431" s="260">
        <v>0.67700000000000005</v>
      </c>
      <c r="J431" s="262">
        <f t="shared" si="6"/>
        <v>1.0466666666666666E-2</v>
      </c>
      <c r="K431" s="277"/>
      <c r="L431" s="280"/>
      <c r="M431" s="283"/>
      <c r="N431" s="285"/>
      <c r="O431" s="284"/>
      <c r="P431" s="287"/>
    </row>
    <row r="432" spans="1:16" x14ac:dyDescent="0.2">
      <c r="A432" s="288"/>
      <c r="B432" s="62"/>
      <c r="D432" s="63">
        <v>44105</v>
      </c>
      <c r="E432" s="62">
        <v>0.70099999999999996</v>
      </c>
      <c r="F432" s="62">
        <v>0.872</v>
      </c>
      <c r="G432" s="62">
        <v>0.65300000000000002</v>
      </c>
      <c r="H432" s="62">
        <v>0.86</v>
      </c>
      <c r="I432" s="260">
        <v>0.86</v>
      </c>
      <c r="J432" s="262">
        <f t="shared" si="6"/>
        <v>9.7741666666666654E-3</v>
      </c>
      <c r="K432" s="277"/>
      <c r="L432" s="280"/>
      <c r="M432" s="283"/>
      <c r="N432" s="285"/>
      <c r="O432" s="284"/>
      <c r="P432" s="287"/>
    </row>
    <row r="433" spans="1:16" x14ac:dyDescent="0.2">
      <c r="A433" s="288"/>
      <c r="B433" s="62"/>
      <c r="D433" s="63">
        <v>44136</v>
      </c>
      <c r="E433" s="62">
        <v>0.85399999999999998</v>
      </c>
      <c r="F433" s="62">
        <v>0.97499999999999998</v>
      </c>
      <c r="G433" s="62">
        <v>0.748</v>
      </c>
      <c r="H433" s="62">
        <v>0.84399999999999997</v>
      </c>
      <c r="I433" s="260">
        <v>0.84399999999999997</v>
      </c>
      <c r="J433" s="262">
        <f t="shared" si="6"/>
        <v>8.9974999999999968E-3</v>
      </c>
      <c r="K433" s="277"/>
      <c r="L433" s="280"/>
      <c r="M433" s="283"/>
      <c r="N433" s="285"/>
      <c r="O433" s="284"/>
      <c r="P433" s="287"/>
    </row>
    <row r="434" spans="1:16" x14ac:dyDescent="0.2">
      <c r="A434" s="288"/>
      <c r="B434" s="62"/>
      <c r="D434" s="63">
        <v>44166</v>
      </c>
      <c r="E434" s="62">
        <v>0.85699999999999998</v>
      </c>
      <c r="F434" s="62">
        <v>0.98599999999999999</v>
      </c>
      <c r="G434" s="62">
        <v>0.85699999999999998</v>
      </c>
      <c r="H434" s="62">
        <v>0.91700000000000004</v>
      </c>
      <c r="I434" s="260">
        <v>0.91700000000000004</v>
      </c>
      <c r="J434" s="262">
        <f t="shared" si="6"/>
        <v>8.1624999999999979E-3</v>
      </c>
      <c r="K434" s="277"/>
      <c r="L434" s="280"/>
      <c r="M434" s="283"/>
      <c r="N434" s="285"/>
      <c r="O434" s="284"/>
      <c r="P434" s="287"/>
    </row>
    <row r="435" spans="1:16" x14ac:dyDescent="0.2">
      <c r="A435" s="288"/>
      <c r="B435" s="62"/>
      <c r="D435" s="63">
        <v>44197</v>
      </c>
      <c r="E435" s="62">
        <v>0.93500000000000005</v>
      </c>
      <c r="F435" s="62">
        <v>1.1870000000000001</v>
      </c>
      <c r="G435" s="62">
        <v>0.90700000000000003</v>
      </c>
      <c r="H435" s="62">
        <v>1.093</v>
      </c>
      <c r="I435" s="260">
        <v>1.093</v>
      </c>
      <c r="J435" s="262">
        <f t="shared" si="6"/>
        <v>7.8066666666666675E-3</v>
      </c>
      <c r="K435" s="277"/>
      <c r="L435" s="280"/>
      <c r="M435" s="283"/>
      <c r="N435" s="285"/>
      <c r="O435" s="284"/>
      <c r="P435" s="287"/>
    </row>
    <row r="436" spans="1:16" x14ac:dyDescent="0.2">
      <c r="A436" s="288"/>
      <c r="B436" s="62"/>
      <c r="D436" s="63">
        <v>44228</v>
      </c>
      <c r="E436" s="62">
        <v>1.079</v>
      </c>
      <c r="F436" s="62">
        <v>1.6140000000000001</v>
      </c>
      <c r="G436" s="62">
        <v>1.06</v>
      </c>
      <c r="H436" s="62">
        <v>1.46</v>
      </c>
      <c r="I436" s="260">
        <v>1.46</v>
      </c>
      <c r="J436" s="262">
        <f t="shared" si="6"/>
        <v>8.0841666666666666E-3</v>
      </c>
      <c r="K436" s="277"/>
      <c r="L436" s="280"/>
      <c r="M436" s="283"/>
      <c r="N436" s="285"/>
      <c r="O436" s="284"/>
      <c r="P436" s="287"/>
    </row>
    <row r="437" spans="1:16" x14ac:dyDescent="0.2">
      <c r="A437" s="288"/>
      <c r="B437" s="62"/>
      <c r="D437" s="63">
        <v>44256</v>
      </c>
      <c r="E437" s="62">
        <v>1.4510000000000001</v>
      </c>
      <c r="F437" s="62">
        <v>1.7649999999999999</v>
      </c>
      <c r="G437" s="62">
        <v>1.403</v>
      </c>
      <c r="H437" s="62">
        <v>1.746</v>
      </c>
      <c r="I437" s="260">
        <v>1.746</v>
      </c>
      <c r="J437" s="262">
        <f t="shared" si="6"/>
        <v>8.9575000000000002E-3</v>
      </c>
      <c r="K437" s="277"/>
      <c r="L437" s="280"/>
      <c r="M437" s="283"/>
      <c r="N437" s="285"/>
      <c r="O437" s="284"/>
      <c r="P437" s="287"/>
    </row>
    <row r="438" spans="1:16" x14ac:dyDescent="0.2">
      <c r="A438" s="288"/>
      <c r="B438" s="62"/>
      <c r="D438" s="63">
        <v>44287</v>
      </c>
      <c r="E438" s="62">
        <v>1.7050000000000001</v>
      </c>
      <c r="F438" s="62">
        <v>1.7450000000000001</v>
      </c>
      <c r="G438" s="62">
        <v>1.5289999999999999</v>
      </c>
      <c r="H438" s="62">
        <v>1.631</v>
      </c>
      <c r="I438" s="260">
        <v>1.631</v>
      </c>
      <c r="J438" s="262">
        <f t="shared" si="6"/>
        <v>9.7983333333333342E-3</v>
      </c>
      <c r="K438" s="277"/>
      <c r="L438" s="280"/>
      <c r="M438" s="283"/>
      <c r="N438" s="285"/>
      <c r="O438" s="284"/>
      <c r="P438" s="287"/>
    </row>
    <row r="439" spans="1:16" x14ac:dyDescent="0.2">
      <c r="A439" s="288"/>
      <c r="B439" s="62"/>
      <c r="D439" s="63">
        <v>44317</v>
      </c>
      <c r="E439" s="62">
        <v>1.651</v>
      </c>
      <c r="F439" s="62">
        <v>1.7</v>
      </c>
      <c r="G439" s="62">
        <v>1.4710000000000001</v>
      </c>
      <c r="H439" s="62">
        <v>1.581</v>
      </c>
      <c r="I439" s="260">
        <v>1.581</v>
      </c>
      <c r="J439" s="262">
        <f t="shared" si="6"/>
        <v>1.0575833333333333E-2</v>
      </c>
      <c r="K439" s="277"/>
      <c r="L439" s="280"/>
      <c r="M439" s="283"/>
      <c r="N439" s="285"/>
      <c r="O439" s="284"/>
      <c r="P439" s="287"/>
    </row>
    <row r="440" spans="1:16" x14ac:dyDescent="0.2">
      <c r="A440" s="288"/>
      <c r="B440" s="62"/>
      <c r="D440" s="63">
        <v>44348</v>
      </c>
      <c r="E440" s="62">
        <v>1.625</v>
      </c>
      <c r="F440" s="62">
        <v>1.639</v>
      </c>
      <c r="G440" s="62">
        <v>1.4379999999999999</v>
      </c>
      <c r="H440" s="62">
        <v>1.4430000000000001</v>
      </c>
      <c r="I440" s="260">
        <v>1.4430000000000001</v>
      </c>
      <c r="J440" s="262">
        <f t="shared" si="6"/>
        <v>1.1234166666666667E-2</v>
      </c>
      <c r="K440" s="277"/>
      <c r="L440" s="280"/>
      <c r="M440" s="283"/>
      <c r="N440" s="285"/>
      <c r="O440" s="284"/>
      <c r="P440" s="287"/>
    </row>
    <row r="441" spans="1:16" x14ac:dyDescent="0.2">
      <c r="A441" s="288"/>
      <c r="B441" s="62"/>
      <c r="D441" s="63">
        <v>44378</v>
      </c>
      <c r="E441" s="62">
        <v>1.4710000000000001</v>
      </c>
      <c r="F441" s="62">
        <v>1.4850000000000001</v>
      </c>
      <c r="G441" s="62">
        <v>1.1279999999999999</v>
      </c>
      <c r="H441" s="62">
        <v>1.2390000000000001</v>
      </c>
      <c r="I441" s="260">
        <v>1.2390000000000001</v>
      </c>
      <c r="J441" s="262">
        <f t="shared" si="6"/>
        <v>1.1819999999999999E-2</v>
      </c>
      <c r="K441" s="277"/>
      <c r="L441" s="280"/>
      <c r="M441" s="283"/>
      <c r="N441" s="285"/>
      <c r="O441" s="284"/>
      <c r="P441" s="287"/>
    </row>
    <row r="442" spans="1:16" x14ac:dyDescent="0.2">
      <c r="A442" s="288"/>
      <c r="B442" s="62"/>
      <c r="D442" s="63">
        <v>44409</v>
      </c>
      <c r="E442" s="62">
        <v>1.2310000000000001</v>
      </c>
      <c r="F442" s="62">
        <v>1.379</v>
      </c>
      <c r="G442" s="62">
        <v>1.129</v>
      </c>
      <c r="H442" s="62">
        <v>1.304</v>
      </c>
      <c r="I442" s="260">
        <v>1.304</v>
      </c>
      <c r="J442" s="262">
        <f t="shared" si="6"/>
        <v>1.2329166666666667E-2</v>
      </c>
      <c r="K442" s="277"/>
      <c r="L442" s="280"/>
      <c r="M442" s="283"/>
      <c r="N442" s="285"/>
      <c r="O442" s="284"/>
      <c r="P442" s="287"/>
    </row>
    <row r="443" spans="1:16" x14ac:dyDescent="0.2">
      <c r="A443" s="288"/>
      <c r="B443" s="62"/>
      <c r="D443" s="63">
        <v>44440</v>
      </c>
      <c r="E443" s="62">
        <v>1.3109999999999999</v>
      </c>
      <c r="F443" s="62">
        <v>1.5669999999999999</v>
      </c>
      <c r="G443" s="62">
        <v>1.26</v>
      </c>
      <c r="H443" s="62">
        <v>1.5289999999999999</v>
      </c>
      <c r="I443" s="260">
        <v>1.5289999999999999</v>
      </c>
      <c r="J443" s="262">
        <f t="shared" si="6"/>
        <v>1.3039166666666666E-2</v>
      </c>
      <c r="K443" s="277"/>
      <c r="L443" s="280"/>
      <c r="M443" s="283"/>
      <c r="N443" s="285"/>
      <c r="O443" s="284"/>
      <c r="P443" s="287"/>
    </row>
    <row r="444" spans="1:16" x14ac:dyDescent="0.2">
      <c r="A444" s="288"/>
      <c r="B444" s="62"/>
      <c r="D444" s="63">
        <v>44470</v>
      </c>
      <c r="E444" s="62">
        <v>1.496</v>
      </c>
      <c r="F444" s="62">
        <v>1.6910000000000001</v>
      </c>
      <c r="G444" s="62">
        <v>1.4630000000000001</v>
      </c>
      <c r="H444" s="62">
        <v>1.5569999999999999</v>
      </c>
      <c r="I444" s="260">
        <v>1.5569999999999999</v>
      </c>
      <c r="J444" s="262">
        <f t="shared" si="6"/>
        <v>1.362E-2</v>
      </c>
      <c r="K444" s="277"/>
      <c r="L444" s="280"/>
      <c r="M444" s="283"/>
      <c r="N444" s="285"/>
      <c r="O444" s="284"/>
      <c r="P444" s="287"/>
    </row>
    <row r="445" spans="1:16" x14ac:dyDescent="0.2">
      <c r="A445" s="288"/>
      <c r="B445" s="62"/>
      <c r="D445" s="63">
        <v>44501</v>
      </c>
      <c r="E445" s="62">
        <v>1.587</v>
      </c>
      <c r="F445" s="62">
        <v>1.6930000000000001</v>
      </c>
      <c r="G445" s="62">
        <v>1.4119999999999999</v>
      </c>
      <c r="H445" s="62">
        <v>1.4430000000000001</v>
      </c>
      <c r="I445" s="260">
        <v>1.4430000000000001</v>
      </c>
      <c r="J445" s="262">
        <f t="shared" si="6"/>
        <v>1.4119166666666667E-2</v>
      </c>
      <c r="K445" s="277"/>
      <c r="L445" s="280"/>
      <c r="M445" s="283"/>
      <c r="N445" s="285"/>
      <c r="O445" s="284"/>
      <c r="P445" s="287"/>
    </row>
    <row r="446" spans="1:16" x14ac:dyDescent="0.2">
      <c r="A446" s="288"/>
      <c r="B446" s="62"/>
      <c r="D446" s="63">
        <v>44531</v>
      </c>
      <c r="E446" s="62">
        <v>1.482</v>
      </c>
      <c r="F446" s="62">
        <v>1.5580000000000001</v>
      </c>
      <c r="G446" s="62">
        <v>1.343</v>
      </c>
      <c r="H446" s="62">
        <v>1.512</v>
      </c>
      <c r="I446" s="260">
        <v>1.512</v>
      </c>
      <c r="J446" s="262">
        <f>AVERAGE(I435:I446)/100</f>
        <v>1.4615E-2</v>
      </c>
      <c r="K446" s="277"/>
      <c r="L446" s="280"/>
      <c r="M446" s="283"/>
      <c r="N446" s="285"/>
      <c r="O446" s="284"/>
      <c r="P446" s="287"/>
    </row>
    <row r="447" spans="1:16" x14ac:dyDescent="0.2">
      <c r="A447" s="288"/>
      <c r="B447" s="62"/>
      <c r="D447" s="63">
        <v>44562</v>
      </c>
      <c r="E447" s="62">
        <v>1.534</v>
      </c>
      <c r="F447" s="62">
        <v>1.8740000000000001</v>
      </c>
      <c r="G447" s="62">
        <v>1.5329999999999999</v>
      </c>
      <c r="H447" s="62">
        <v>1.782</v>
      </c>
      <c r="I447" s="260">
        <v>1.782</v>
      </c>
      <c r="J447" s="262">
        <f t="shared" ref="J447:J458" si="7">AVERAGE(I436:I447)/100</f>
        <v>1.5189166666666667E-2</v>
      </c>
      <c r="K447" s="277"/>
      <c r="L447" s="280"/>
      <c r="M447" s="283"/>
      <c r="N447" s="285"/>
      <c r="O447" s="284"/>
      <c r="P447" s="287"/>
    </row>
    <row r="448" spans="1:16" x14ac:dyDescent="0.2">
      <c r="A448" s="288"/>
      <c r="B448" s="62"/>
      <c r="D448" s="63">
        <v>44593</v>
      </c>
      <c r="E448" s="62">
        <v>1.75</v>
      </c>
      <c r="F448" s="62">
        <v>2.0649999999999999</v>
      </c>
      <c r="G448" s="62">
        <v>1.7430000000000001</v>
      </c>
      <c r="H448" s="62">
        <v>1.839</v>
      </c>
      <c r="I448" s="260">
        <v>1.839</v>
      </c>
      <c r="J448" s="262">
        <f t="shared" si="7"/>
        <v>1.5504999999999998E-2</v>
      </c>
      <c r="K448" s="277"/>
      <c r="L448" s="280"/>
      <c r="M448" s="283"/>
      <c r="N448" s="285"/>
      <c r="O448" s="284"/>
      <c r="P448" s="287"/>
    </row>
    <row r="449" spans="1:16" x14ac:dyDescent="0.2">
      <c r="A449" s="288"/>
      <c r="B449" s="62"/>
      <c r="D449" s="63">
        <v>44621</v>
      </c>
      <c r="E449" s="62">
        <v>1.734</v>
      </c>
      <c r="F449" s="62">
        <v>2.5030000000000001</v>
      </c>
      <c r="G449" s="62">
        <v>1.6819999999999999</v>
      </c>
      <c r="H449" s="62">
        <v>2.327</v>
      </c>
      <c r="I449" s="260">
        <v>2.327</v>
      </c>
      <c r="J449" s="262">
        <f t="shared" si="7"/>
        <v>1.5989166666666665E-2</v>
      </c>
      <c r="K449" s="277"/>
      <c r="L449" s="280"/>
      <c r="M449" s="283"/>
      <c r="N449" s="285"/>
      <c r="O449" s="284"/>
      <c r="P449" s="287"/>
    </row>
    <row r="450" spans="1:16" x14ac:dyDescent="0.2">
      <c r="A450" s="288"/>
      <c r="B450" s="62"/>
      <c r="D450" s="63">
        <v>44652</v>
      </c>
      <c r="E450" s="62">
        <v>2.4039999999999999</v>
      </c>
      <c r="F450" s="62">
        <v>2.9540000000000002</v>
      </c>
      <c r="G450" s="62">
        <v>2.3570000000000002</v>
      </c>
      <c r="H450" s="62">
        <v>2.887</v>
      </c>
      <c r="I450" s="260">
        <v>2.887</v>
      </c>
      <c r="J450" s="262">
        <f t="shared" si="7"/>
        <v>1.7035833333333333E-2</v>
      </c>
      <c r="K450" s="277"/>
      <c r="L450" s="280"/>
      <c r="M450" s="283"/>
      <c r="N450" s="285"/>
      <c r="O450" s="284"/>
      <c r="P450" s="287"/>
    </row>
    <row r="451" spans="1:16" x14ac:dyDescent="0.2">
      <c r="A451" s="288"/>
      <c r="B451" s="62"/>
      <c r="D451" s="63">
        <v>44682</v>
      </c>
      <c r="E451" s="62">
        <v>2.9220000000000002</v>
      </c>
      <c r="F451" s="62">
        <v>3.1669999999999998</v>
      </c>
      <c r="G451" s="62">
        <v>2.7080000000000002</v>
      </c>
      <c r="H451" s="62">
        <v>2.8439999999999999</v>
      </c>
      <c r="I451" s="260">
        <v>2.8439999999999999</v>
      </c>
      <c r="J451" s="262">
        <f t="shared" si="7"/>
        <v>1.8088333333333335E-2</v>
      </c>
      <c r="K451" s="277"/>
      <c r="L451" s="280"/>
      <c r="M451" s="283"/>
      <c r="N451" s="285"/>
      <c r="O451" s="284"/>
      <c r="P451" s="287"/>
    </row>
    <row r="452" spans="1:16" x14ac:dyDescent="0.2">
      <c r="A452" s="288"/>
      <c r="B452" s="62"/>
      <c r="D452" s="63">
        <v>44713</v>
      </c>
      <c r="E452" s="62">
        <v>2.871</v>
      </c>
      <c r="F452" s="62">
        <v>3.4830000000000001</v>
      </c>
      <c r="G452" s="62">
        <v>2.8330000000000002</v>
      </c>
      <c r="H452" s="62">
        <v>2.972</v>
      </c>
      <c r="I452" s="260">
        <v>2.972</v>
      </c>
      <c r="J452" s="262">
        <f t="shared" si="7"/>
        <v>1.9362500000000001E-2</v>
      </c>
      <c r="K452" s="277"/>
      <c r="L452" s="280"/>
      <c r="M452" s="283"/>
      <c r="N452" s="285"/>
      <c r="O452" s="284"/>
      <c r="P452" s="287"/>
    </row>
    <row r="453" spans="1:16" x14ac:dyDescent="0.2">
      <c r="A453" s="288"/>
      <c r="B453" s="62"/>
      <c r="D453" s="63">
        <v>44743</v>
      </c>
      <c r="E453" s="62">
        <v>2.9319999999999999</v>
      </c>
      <c r="F453" s="62">
        <v>3.101</v>
      </c>
      <c r="G453" s="62">
        <v>2.6179999999999999</v>
      </c>
      <c r="H453" s="62">
        <v>2.6419999999999999</v>
      </c>
      <c r="I453" s="260">
        <v>2.6419999999999999</v>
      </c>
      <c r="J453" s="262">
        <f t="shared" si="7"/>
        <v>2.0531666666666667E-2</v>
      </c>
      <c r="K453" s="277"/>
      <c r="L453" s="280"/>
      <c r="M453" s="283"/>
      <c r="N453" s="285"/>
      <c r="O453" s="284"/>
      <c r="P453" s="287"/>
    </row>
    <row r="454" spans="1:16" x14ac:dyDescent="0.2">
      <c r="A454" s="288"/>
      <c r="B454" s="62"/>
      <c r="D454" s="63">
        <v>44774</v>
      </c>
      <c r="E454" s="62">
        <v>2.6579999999999999</v>
      </c>
      <c r="F454" s="62">
        <v>3.1509999999999998</v>
      </c>
      <c r="G454" s="62">
        <v>2.5249999999999999</v>
      </c>
      <c r="H454" s="62">
        <v>3.133</v>
      </c>
      <c r="I454" s="260">
        <v>3.133</v>
      </c>
      <c r="J454" s="262">
        <f t="shared" si="7"/>
        <v>2.2055833333333337E-2</v>
      </c>
      <c r="K454" s="277"/>
      <c r="L454" s="280"/>
      <c r="M454" s="283"/>
      <c r="N454" s="285"/>
      <c r="O454" s="284"/>
      <c r="P454" s="287"/>
    </row>
    <row r="455" spans="1:16" x14ac:dyDescent="0.2">
      <c r="A455" s="288"/>
      <c r="B455" s="62"/>
      <c r="D455" s="63">
        <v>44805</v>
      </c>
      <c r="E455" s="62">
        <v>3.2170000000000001</v>
      </c>
      <c r="F455" s="62">
        <v>3.992</v>
      </c>
      <c r="G455" s="62">
        <v>3.1760000000000002</v>
      </c>
      <c r="H455" s="62">
        <v>3.8039999999999998</v>
      </c>
      <c r="I455" s="260">
        <v>3.8039999999999998</v>
      </c>
      <c r="J455" s="262">
        <f t="shared" si="7"/>
        <v>2.395166666666667E-2</v>
      </c>
      <c r="K455" s="277"/>
      <c r="L455" s="280"/>
      <c r="M455" s="283"/>
      <c r="N455" s="285"/>
      <c r="O455" s="284"/>
      <c r="P455" s="287"/>
    </row>
    <row r="456" spans="1:16" x14ac:dyDescent="0.2">
      <c r="A456" s="288"/>
      <c r="B456" s="62"/>
      <c r="D456" s="63">
        <v>44835</v>
      </c>
      <c r="E456" s="62">
        <v>3.7120000000000002</v>
      </c>
      <c r="F456" s="62">
        <v>4.2279999999999998</v>
      </c>
      <c r="G456" s="62">
        <v>3.5640000000000001</v>
      </c>
      <c r="H456" s="62">
        <v>4.226</v>
      </c>
      <c r="I456" s="260">
        <v>4.226</v>
      </c>
      <c r="J456" s="262">
        <f t="shared" si="7"/>
        <v>2.6175833333333332E-2</v>
      </c>
      <c r="K456" s="277"/>
      <c r="L456" s="280"/>
      <c r="M456" s="283"/>
      <c r="N456" s="285"/>
      <c r="O456" s="284"/>
      <c r="P456" s="287"/>
    </row>
    <row r="457" spans="1:16" x14ac:dyDescent="0.2">
      <c r="D457" s="63">
        <v>44866</v>
      </c>
      <c r="E457" s="479">
        <v>3.9369999999999998</v>
      </c>
      <c r="F457" s="479">
        <v>4.2229999999999999</v>
      </c>
      <c r="G457" s="479">
        <v>3.6680000000000001</v>
      </c>
      <c r="H457" s="479">
        <v>3.7029999999999998</v>
      </c>
      <c r="I457" s="479">
        <v>3.7029999999999998</v>
      </c>
      <c r="J457" s="262">
        <f t="shared" si="7"/>
        <v>2.8059166666666666E-2</v>
      </c>
    </row>
    <row r="458" spans="1:16" x14ac:dyDescent="0.2">
      <c r="D458" s="63">
        <v>44896</v>
      </c>
      <c r="E458" s="479">
        <v>3.5939999999999999</v>
      </c>
      <c r="F458" s="479">
        <v>3.9049999999999998</v>
      </c>
      <c r="G458" s="479">
        <v>3.4020000000000001</v>
      </c>
      <c r="H458" s="479">
        <v>3.879</v>
      </c>
      <c r="I458" s="479">
        <v>3.879</v>
      </c>
      <c r="J458" s="262">
        <f>AVERAGE(I447:I458)/100</f>
        <v>3.0031666666666665E-2</v>
      </c>
    </row>
  </sheetData>
  <mergeCells count="1">
    <mergeCell ref="D1:I1"/>
  </mergeCells>
  <hyperlinks>
    <hyperlink ref="R2" r:id="rId1" xr:uid="{F7F28FF8-42EB-4AFA-B885-F4C02D038846}"/>
  </hyperlink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C395-7846-4CA3-8012-17022D9261D0}">
  <sheetPr>
    <tabColor theme="7" tint="0.79998168889431442"/>
  </sheetPr>
  <dimension ref="A1:L914"/>
  <sheetViews>
    <sheetView topLeftCell="A2" workbookViewId="0">
      <selection activeCell="B7" sqref="B7"/>
    </sheetView>
  </sheetViews>
  <sheetFormatPr baseColWidth="10" defaultColWidth="9.1640625" defaultRowHeight="15" x14ac:dyDescent="0.2"/>
  <cols>
    <col min="1" max="1" width="10.6640625" style="50" bestFit="1" customWidth="1"/>
    <col min="2" max="2" width="14.1640625" style="50" bestFit="1" customWidth="1"/>
    <col min="3" max="3" width="15.33203125" style="50" bestFit="1" customWidth="1"/>
    <col min="4" max="4" width="37" style="50" customWidth="1"/>
    <col min="5" max="16384" width="9.1640625" style="29"/>
  </cols>
  <sheetData>
    <row r="1" spans="1:12" x14ac:dyDescent="0.2">
      <c r="A1" s="528" t="s">
        <v>102</v>
      </c>
      <c r="B1" s="528"/>
      <c r="C1" s="265"/>
      <c r="D1" s="61"/>
      <c r="E1" s="55" t="s">
        <v>61</v>
      </c>
      <c r="F1" s="54" t="s">
        <v>519</v>
      </c>
      <c r="G1" s="45"/>
      <c r="H1" s="45"/>
      <c r="I1" s="45"/>
      <c r="J1" s="45"/>
      <c r="K1" s="45"/>
      <c r="L1" s="45"/>
    </row>
    <row r="2" spans="1:12" ht="16" x14ac:dyDescent="0.2">
      <c r="A2" s="266" t="s">
        <v>520</v>
      </c>
      <c r="B2" s="266" t="s">
        <v>521</v>
      </c>
      <c r="C2" s="266" t="s">
        <v>522</v>
      </c>
      <c r="D2" s="267" t="s">
        <v>614</v>
      </c>
    </row>
    <row r="3" spans="1:12" x14ac:dyDescent="0.2">
      <c r="A3" s="264">
        <v>17168</v>
      </c>
      <c r="B3" s="268">
        <v>21.48</v>
      </c>
    </row>
    <row r="4" spans="1:12" x14ac:dyDescent="0.2">
      <c r="A4" s="264">
        <v>17199</v>
      </c>
      <c r="B4" s="268">
        <v>21.62</v>
      </c>
      <c r="C4" s="269"/>
    </row>
    <row r="5" spans="1:12" x14ac:dyDescent="0.2">
      <c r="A5" s="264">
        <v>17227</v>
      </c>
      <c r="B5" s="268">
        <v>22</v>
      </c>
      <c r="C5" s="269"/>
    </row>
    <row r="6" spans="1:12" x14ac:dyDescent="0.2">
      <c r="A6" s="264">
        <v>17258</v>
      </c>
      <c r="B6" s="268">
        <v>22</v>
      </c>
      <c r="C6" s="269"/>
    </row>
    <row r="7" spans="1:12" x14ac:dyDescent="0.2">
      <c r="A7" s="264">
        <v>17288</v>
      </c>
      <c r="B7" s="268">
        <v>21.95</v>
      </c>
      <c r="C7" s="269"/>
    </row>
    <row r="8" spans="1:12" x14ac:dyDescent="0.2">
      <c r="A8" s="264">
        <v>17319</v>
      </c>
      <c r="B8" s="268">
        <v>22.08</v>
      </c>
      <c r="C8" s="269"/>
    </row>
    <row r="9" spans="1:12" x14ac:dyDescent="0.2">
      <c r="A9" s="264">
        <v>17349</v>
      </c>
      <c r="B9" s="268">
        <v>22.23</v>
      </c>
      <c r="C9" s="269"/>
    </row>
    <row r="10" spans="1:12" x14ac:dyDescent="0.2">
      <c r="A10" s="264">
        <v>17380</v>
      </c>
      <c r="B10" s="268">
        <v>22.4</v>
      </c>
      <c r="C10" s="269"/>
    </row>
    <row r="11" spans="1:12" x14ac:dyDescent="0.2">
      <c r="A11" s="264">
        <v>17411</v>
      </c>
      <c r="B11" s="268">
        <v>22.84</v>
      </c>
      <c r="C11" s="269"/>
    </row>
    <row r="12" spans="1:12" x14ac:dyDescent="0.2">
      <c r="A12" s="264">
        <v>17441</v>
      </c>
      <c r="B12" s="268">
        <v>22.91</v>
      </c>
      <c r="C12" s="269"/>
    </row>
    <row r="13" spans="1:12" x14ac:dyDescent="0.2">
      <c r="A13" s="264">
        <v>17472</v>
      </c>
      <c r="B13" s="268">
        <v>23.06</v>
      </c>
      <c r="C13" s="269"/>
    </row>
    <row r="14" spans="1:12" x14ac:dyDescent="0.2">
      <c r="A14" s="264">
        <v>17502</v>
      </c>
      <c r="B14" s="268">
        <v>23.41</v>
      </c>
      <c r="C14" s="269"/>
    </row>
    <row r="15" spans="1:12" x14ac:dyDescent="0.2">
      <c r="A15" s="264">
        <v>17533</v>
      </c>
      <c r="B15" s="268">
        <v>23.68</v>
      </c>
      <c r="C15" s="269">
        <f>B15/B3-1</f>
        <v>0.10242085661080069</v>
      </c>
    </row>
    <row r="16" spans="1:12" x14ac:dyDescent="0.2">
      <c r="A16" s="264">
        <v>17564</v>
      </c>
      <c r="B16" s="268">
        <v>23.67</v>
      </c>
      <c r="C16" s="269">
        <f t="shared" ref="C16:C79" si="0">B16/B4-1</f>
        <v>9.4819611470860377E-2</v>
      </c>
    </row>
    <row r="17" spans="1:3" x14ac:dyDescent="0.2">
      <c r="A17" s="264">
        <v>17593</v>
      </c>
      <c r="B17" s="268">
        <v>23.5</v>
      </c>
      <c r="C17" s="269">
        <f t="shared" si="0"/>
        <v>6.8181818181818121E-2</v>
      </c>
    </row>
    <row r="18" spans="1:3" x14ac:dyDescent="0.2">
      <c r="A18" s="264">
        <v>17624</v>
      </c>
      <c r="B18" s="268">
        <v>23.82</v>
      </c>
      <c r="C18" s="269">
        <f t="shared" si="0"/>
        <v>8.272727272727276E-2</v>
      </c>
    </row>
    <row r="19" spans="1:3" x14ac:dyDescent="0.2">
      <c r="A19" s="264">
        <v>17654</v>
      </c>
      <c r="B19" s="268">
        <v>24.01</v>
      </c>
      <c r="C19" s="269">
        <f t="shared" si="0"/>
        <v>9.3849658314350881E-2</v>
      </c>
    </row>
    <row r="20" spans="1:3" x14ac:dyDescent="0.2">
      <c r="A20" s="264">
        <v>17685</v>
      </c>
      <c r="B20" s="268">
        <v>24.15</v>
      </c>
      <c r="C20" s="269">
        <f t="shared" si="0"/>
        <v>9.375E-2</v>
      </c>
    </row>
    <row r="21" spans="1:3" x14ac:dyDescent="0.2">
      <c r="A21" s="264">
        <v>17715</v>
      </c>
      <c r="B21" s="268">
        <v>24.4</v>
      </c>
      <c r="C21" s="269">
        <f t="shared" si="0"/>
        <v>9.7615834457939643E-2</v>
      </c>
    </row>
    <row r="22" spans="1:3" x14ac:dyDescent="0.2">
      <c r="A22" s="264">
        <v>17746</v>
      </c>
      <c r="B22" s="268">
        <v>24.43</v>
      </c>
      <c r="C22" s="269">
        <f t="shared" si="0"/>
        <v>9.0624999999999956E-2</v>
      </c>
    </row>
    <row r="23" spans="1:3" x14ac:dyDescent="0.2">
      <c r="A23" s="264">
        <v>17777</v>
      </c>
      <c r="B23" s="268">
        <v>24.36</v>
      </c>
      <c r="C23" s="269">
        <f t="shared" si="0"/>
        <v>6.654991243432562E-2</v>
      </c>
    </row>
    <row r="24" spans="1:3" x14ac:dyDescent="0.2">
      <c r="A24" s="264">
        <v>17807</v>
      </c>
      <c r="B24" s="268">
        <v>24.31</v>
      </c>
      <c r="C24" s="269">
        <f t="shared" si="0"/>
        <v>6.1108686163247494E-2</v>
      </c>
    </row>
    <row r="25" spans="1:3" x14ac:dyDescent="0.2">
      <c r="A25" s="264">
        <v>17838</v>
      </c>
      <c r="B25" s="268">
        <v>24.16</v>
      </c>
      <c r="C25" s="269">
        <f t="shared" si="0"/>
        <v>4.7701647875108444E-2</v>
      </c>
    </row>
    <row r="26" spans="1:3" x14ac:dyDescent="0.2">
      <c r="A26" s="264">
        <v>17868</v>
      </c>
      <c r="B26" s="268">
        <v>24.05</v>
      </c>
      <c r="C26" s="269">
        <f t="shared" si="0"/>
        <v>2.7338744126441661E-2</v>
      </c>
    </row>
    <row r="27" spans="1:3" x14ac:dyDescent="0.2">
      <c r="A27" s="264">
        <v>17899</v>
      </c>
      <c r="B27" s="268">
        <v>24.01</v>
      </c>
      <c r="C27" s="269">
        <f t="shared" si="0"/>
        <v>1.3935810810810967E-2</v>
      </c>
    </row>
    <row r="28" spans="1:3" x14ac:dyDescent="0.2">
      <c r="A28" s="264">
        <v>17930</v>
      </c>
      <c r="B28" s="268">
        <v>23.91</v>
      </c>
      <c r="C28" s="269">
        <f t="shared" si="0"/>
        <v>1.0139416983523386E-2</v>
      </c>
    </row>
    <row r="29" spans="1:3" x14ac:dyDescent="0.2">
      <c r="A29" s="264">
        <v>17958</v>
      </c>
      <c r="B29" s="268">
        <v>23.91</v>
      </c>
      <c r="C29" s="269">
        <f t="shared" si="0"/>
        <v>1.744680851063829E-2</v>
      </c>
    </row>
    <row r="30" spans="1:3" x14ac:dyDescent="0.2">
      <c r="A30" s="264">
        <v>17989</v>
      </c>
      <c r="B30" s="268">
        <v>23.92</v>
      </c>
      <c r="C30" s="269">
        <f t="shared" si="0"/>
        <v>4.198152812762368E-3</v>
      </c>
    </row>
    <row r="31" spans="1:3" x14ac:dyDescent="0.2">
      <c r="A31" s="264">
        <v>18019</v>
      </c>
      <c r="B31" s="268">
        <v>23.91</v>
      </c>
      <c r="C31" s="269">
        <f t="shared" si="0"/>
        <v>-4.1649312786339321E-3</v>
      </c>
    </row>
    <row r="32" spans="1:3" x14ac:dyDescent="0.2">
      <c r="A32" s="264">
        <v>18050</v>
      </c>
      <c r="B32" s="268">
        <v>23.92</v>
      </c>
      <c r="C32" s="269">
        <f t="shared" si="0"/>
        <v>-9.523809523809379E-3</v>
      </c>
    </row>
    <row r="33" spans="1:3" x14ac:dyDescent="0.2">
      <c r="A33" s="264">
        <v>18080</v>
      </c>
      <c r="B33" s="268">
        <v>23.7</v>
      </c>
      <c r="C33" s="269">
        <f t="shared" si="0"/>
        <v>-2.8688524590163911E-2</v>
      </c>
    </row>
    <row r="34" spans="1:3" x14ac:dyDescent="0.2">
      <c r="A34" s="264">
        <v>18111</v>
      </c>
      <c r="B34" s="268">
        <v>23.7</v>
      </c>
      <c r="C34" s="269">
        <f t="shared" si="0"/>
        <v>-2.9881293491608729E-2</v>
      </c>
    </row>
    <row r="35" spans="1:3" x14ac:dyDescent="0.2">
      <c r="A35" s="264">
        <v>18142</v>
      </c>
      <c r="B35" s="268">
        <v>23.75</v>
      </c>
      <c r="C35" s="269">
        <f t="shared" si="0"/>
        <v>-2.504105090311981E-2</v>
      </c>
    </row>
    <row r="36" spans="1:3" x14ac:dyDescent="0.2">
      <c r="A36" s="264">
        <v>18172</v>
      </c>
      <c r="B36" s="268">
        <v>23.67</v>
      </c>
      <c r="C36" s="269">
        <f t="shared" si="0"/>
        <v>-2.6326614561908546E-2</v>
      </c>
    </row>
    <row r="37" spans="1:3" x14ac:dyDescent="0.2">
      <c r="A37" s="264">
        <v>18203</v>
      </c>
      <c r="B37" s="268">
        <v>23.7</v>
      </c>
      <c r="C37" s="269">
        <f t="shared" si="0"/>
        <v>-1.9039735099337762E-2</v>
      </c>
    </row>
    <row r="38" spans="1:3" x14ac:dyDescent="0.2">
      <c r="A38" s="264">
        <v>18233</v>
      </c>
      <c r="B38" s="268">
        <v>23.61</v>
      </c>
      <c r="C38" s="269">
        <f t="shared" si="0"/>
        <v>-1.8295218295218296E-2</v>
      </c>
    </row>
    <row r="39" spans="1:3" x14ac:dyDescent="0.2">
      <c r="A39" s="264">
        <v>18264</v>
      </c>
      <c r="B39" s="268">
        <v>23.51</v>
      </c>
      <c r="C39" s="269">
        <f t="shared" si="0"/>
        <v>-2.0824656393169549E-2</v>
      </c>
    </row>
    <row r="40" spans="1:3" x14ac:dyDescent="0.2">
      <c r="A40" s="264">
        <v>18295</v>
      </c>
      <c r="B40" s="268">
        <v>23.61</v>
      </c>
      <c r="C40" s="269">
        <f t="shared" si="0"/>
        <v>-1.2547051442910906E-2</v>
      </c>
    </row>
    <row r="41" spans="1:3" x14ac:dyDescent="0.2">
      <c r="A41" s="264">
        <v>18323</v>
      </c>
      <c r="B41" s="268">
        <v>23.64</v>
      </c>
      <c r="C41" s="269">
        <f t="shared" si="0"/>
        <v>-1.129234629861986E-2</v>
      </c>
    </row>
    <row r="42" spans="1:3" x14ac:dyDescent="0.2">
      <c r="A42" s="264">
        <v>18354</v>
      </c>
      <c r="B42" s="268">
        <v>23.65</v>
      </c>
      <c r="C42" s="269">
        <f t="shared" si="0"/>
        <v>-1.1287625418060276E-2</v>
      </c>
    </row>
    <row r="43" spans="1:3" x14ac:dyDescent="0.2">
      <c r="A43" s="264">
        <v>18384</v>
      </c>
      <c r="B43" s="268">
        <v>23.77</v>
      </c>
      <c r="C43" s="269">
        <f t="shared" si="0"/>
        <v>-5.8552906733584376E-3</v>
      </c>
    </row>
    <row r="44" spans="1:3" x14ac:dyDescent="0.2">
      <c r="A44" s="264">
        <v>18415</v>
      </c>
      <c r="B44" s="268">
        <v>23.88</v>
      </c>
      <c r="C44" s="269">
        <f t="shared" si="0"/>
        <v>-1.6722408026756952E-3</v>
      </c>
    </row>
    <row r="45" spans="1:3" x14ac:dyDescent="0.2">
      <c r="A45" s="264">
        <v>18445</v>
      </c>
      <c r="B45" s="268">
        <v>24.07</v>
      </c>
      <c r="C45" s="269">
        <f t="shared" si="0"/>
        <v>1.561181434599157E-2</v>
      </c>
    </row>
    <row r="46" spans="1:3" x14ac:dyDescent="0.2">
      <c r="A46" s="264">
        <v>18476</v>
      </c>
      <c r="B46" s="268">
        <v>24.2</v>
      </c>
      <c r="C46" s="269">
        <f t="shared" si="0"/>
        <v>2.1097046413502074E-2</v>
      </c>
    </row>
    <row r="47" spans="1:3" x14ac:dyDescent="0.2">
      <c r="A47" s="264">
        <v>18507</v>
      </c>
      <c r="B47" s="268">
        <v>24.34</v>
      </c>
      <c r="C47" s="269">
        <f t="shared" si="0"/>
        <v>2.4842105263157999E-2</v>
      </c>
    </row>
    <row r="48" spans="1:3" x14ac:dyDescent="0.2">
      <c r="A48" s="264">
        <v>18537</v>
      </c>
      <c r="B48" s="268">
        <v>24.5</v>
      </c>
      <c r="C48" s="269">
        <f t="shared" si="0"/>
        <v>3.5065483734685099E-2</v>
      </c>
    </row>
    <row r="49" spans="1:3" x14ac:dyDescent="0.2">
      <c r="A49" s="264">
        <v>18568</v>
      </c>
      <c r="B49" s="268">
        <v>24.6</v>
      </c>
      <c r="C49" s="269">
        <f t="shared" si="0"/>
        <v>3.7974683544303778E-2</v>
      </c>
    </row>
    <row r="50" spans="1:3" x14ac:dyDescent="0.2">
      <c r="A50" s="264">
        <v>18598</v>
      </c>
      <c r="B50" s="268">
        <v>24.98</v>
      </c>
      <c r="C50" s="269">
        <f t="shared" si="0"/>
        <v>5.8026260059296897E-2</v>
      </c>
    </row>
    <row r="51" spans="1:3" x14ac:dyDescent="0.2">
      <c r="A51" s="264">
        <v>18629</v>
      </c>
      <c r="B51" s="268">
        <v>25.38</v>
      </c>
      <c r="C51" s="269">
        <f t="shared" si="0"/>
        <v>7.9540621012335055E-2</v>
      </c>
    </row>
    <row r="52" spans="1:3" x14ac:dyDescent="0.2">
      <c r="A52" s="264">
        <v>18660</v>
      </c>
      <c r="B52" s="268">
        <v>25.83</v>
      </c>
      <c r="C52" s="269">
        <f t="shared" si="0"/>
        <v>9.4027954256670876E-2</v>
      </c>
    </row>
    <row r="53" spans="1:3" x14ac:dyDescent="0.2">
      <c r="A53" s="264">
        <v>18688</v>
      </c>
      <c r="B53" s="268">
        <v>25.88</v>
      </c>
      <c r="C53" s="269">
        <f t="shared" si="0"/>
        <v>9.4754653130287636E-2</v>
      </c>
    </row>
    <row r="54" spans="1:3" x14ac:dyDescent="0.2">
      <c r="A54" s="264">
        <v>18719</v>
      </c>
      <c r="B54" s="268">
        <v>25.92</v>
      </c>
      <c r="C54" s="269">
        <f t="shared" si="0"/>
        <v>9.5983086680761165E-2</v>
      </c>
    </row>
    <row r="55" spans="1:3" x14ac:dyDescent="0.2">
      <c r="A55" s="264">
        <v>18749</v>
      </c>
      <c r="B55" s="268">
        <v>25.99</v>
      </c>
      <c r="C55" s="269">
        <f t="shared" si="0"/>
        <v>9.3395035759360479E-2</v>
      </c>
    </row>
    <row r="56" spans="1:3" x14ac:dyDescent="0.2">
      <c r="A56" s="264">
        <v>18780</v>
      </c>
      <c r="B56" s="268">
        <v>25.93</v>
      </c>
      <c r="C56" s="269">
        <f t="shared" si="0"/>
        <v>8.5845896147403788E-2</v>
      </c>
    </row>
    <row r="57" spans="1:3" x14ac:dyDescent="0.2">
      <c r="A57" s="264">
        <v>18810</v>
      </c>
      <c r="B57" s="268">
        <v>25.91</v>
      </c>
      <c r="C57" s="269">
        <f t="shared" si="0"/>
        <v>7.6443705857914379E-2</v>
      </c>
    </row>
    <row r="58" spans="1:3" x14ac:dyDescent="0.2">
      <c r="A58" s="264">
        <v>18841</v>
      </c>
      <c r="B58" s="268">
        <v>25.86</v>
      </c>
      <c r="C58" s="269">
        <f t="shared" si="0"/>
        <v>6.8595041322313977E-2</v>
      </c>
    </row>
    <row r="59" spans="1:3" x14ac:dyDescent="0.2">
      <c r="A59" s="264">
        <v>18872</v>
      </c>
      <c r="B59" s="268">
        <v>26.03</v>
      </c>
      <c r="C59" s="269">
        <f t="shared" si="0"/>
        <v>6.9433032046014809E-2</v>
      </c>
    </row>
    <row r="60" spans="1:3" x14ac:dyDescent="0.2">
      <c r="A60" s="264">
        <v>18902</v>
      </c>
      <c r="B60" s="268">
        <v>26.16</v>
      </c>
      <c r="C60" s="269">
        <f t="shared" si="0"/>
        <v>6.7755102040816251E-2</v>
      </c>
    </row>
    <row r="61" spans="1:3" x14ac:dyDescent="0.2">
      <c r="A61" s="264">
        <v>18933</v>
      </c>
      <c r="B61" s="268">
        <v>26.32</v>
      </c>
      <c r="C61" s="269">
        <f t="shared" si="0"/>
        <v>6.9918699186991784E-2</v>
      </c>
    </row>
    <row r="62" spans="1:3" x14ac:dyDescent="0.2">
      <c r="A62" s="264">
        <v>18963</v>
      </c>
      <c r="B62" s="268">
        <v>26.47</v>
      </c>
      <c r="C62" s="269">
        <f t="shared" si="0"/>
        <v>5.9647718174539621E-2</v>
      </c>
    </row>
    <row r="63" spans="1:3" x14ac:dyDescent="0.2">
      <c r="A63" s="264">
        <v>18994</v>
      </c>
      <c r="B63" s="268">
        <v>26.45</v>
      </c>
      <c r="C63" s="269">
        <f t="shared" si="0"/>
        <v>4.2159180457052914E-2</v>
      </c>
    </row>
    <row r="64" spans="1:3" x14ac:dyDescent="0.2">
      <c r="A64" s="264">
        <v>19025</v>
      </c>
      <c r="B64" s="268">
        <v>26.41</v>
      </c>
      <c r="C64" s="269">
        <f t="shared" si="0"/>
        <v>2.2454510259388272E-2</v>
      </c>
    </row>
    <row r="65" spans="1:3" x14ac:dyDescent="0.2">
      <c r="A65" s="264">
        <v>19054</v>
      </c>
      <c r="B65" s="268">
        <v>26.39</v>
      </c>
      <c r="C65" s="269">
        <f t="shared" si="0"/>
        <v>1.9706336939721902E-2</v>
      </c>
    </row>
    <row r="66" spans="1:3" x14ac:dyDescent="0.2">
      <c r="A66" s="264">
        <v>19085</v>
      </c>
      <c r="B66" s="268">
        <v>26.46</v>
      </c>
      <c r="C66" s="269">
        <f t="shared" si="0"/>
        <v>2.0833333333333259E-2</v>
      </c>
    </row>
    <row r="67" spans="1:3" x14ac:dyDescent="0.2">
      <c r="A67" s="264">
        <v>19115</v>
      </c>
      <c r="B67" s="268">
        <v>26.47</v>
      </c>
      <c r="C67" s="269">
        <f t="shared" si="0"/>
        <v>1.8468641785302164E-2</v>
      </c>
    </row>
    <row r="68" spans="1:3" x14ac:dyDescent="0.2">
      <c r="A68" s="264">
        <v>19146</v>
      </c>
      <c r="B68" s="268">
        <v>26.53</v>
      </c>
      <c r="C68" s="269">
        <f t="shared" si="0"/>
        <v>2.3139220979560449E-2</v>
      </c>
    </row>
    <row r="69" spans="1:3" x14ac:dyDescent="0.2">
      <c r="A69" s="264">
        <v>19176</v>
      </c>
      <c r="B69" s="268">
        <v>26.68</v>
      </c>
      <c r="C69" s="269">
        <f t="shared" si="0"/>
        <v>2.9718255499807E-2</v>
      </c>
    </row>
    <row r="70" spans="1:3" x14ac:dyDescent="0.2">
      <c r="A70" s="264">
        <v>19207</v>
      </c>
      <c r="B70" s="268">
        <v>26.69</v>
      </c>
      <c r="C70" s="269">
        <f t="shared" si="0"/>
        <v>3.2095901005413818E-2</v>
      </c>
    </row>
    <row r="71" spans="1:3" x14ac:dyDescent="0.2">
      <c r="A71" s="264">
        <v>19238</v>
      </c>
      <c r="B71" s="268">
        <v>26.63</v>
      </c>
      <c r="C71" s="269">
        <f t="shared" si="0"/>
        <v>2.3050326546292688E-2</v>
      </c>
    </row>
    <row r="72" spans="1:3" x14ac:dyDescent="0.2">
      <c r="A72" s="264">
        <v>19268</v>
      </c>
      <c r="B72" s="268">
        <v>26.69</v>
      </c>
      <c r="C72" s="269">
        <f t="shared" si="0"/>
        <v>2.0259938837920544E-2</v>
      </c>
    </row>
    <row r="73" spans="1:3" x14ac:dyDescent="0.2">
      <c r="A73" s="264">
        <v>19299</v>
      </c>
      <c r="B73" s="268">
        <v>26.69</v>
      </c>
      <c r="C73" s="269">
        <f t="shared" si="0"/>
        <v>1.4057750759878473E-2</v>
      </c>
    </row>
    <row r="74" spans="1:3" x14ac:dyDescent="0.2">
      <c r="A74" s="264">
        <v>19329</v>
      </c>
      <c r="B74" s="268">
        <v>26.71</v>
      </c>
      <c r="C74" s="269">
        <f t="shared" si="0"/>
        <v>9.0668681526255845E-3</v>
      </c>
    </row>
    <row r="75" spans="1:3" x14ac:dyDescent="0.2">
      <c r="A75" s="264">
        <v>19360</v>
      </c>
      <c r="B75" s="268">
        <v>26.64</v>
      </c>
      <c r="C75" s="269">
        <f t="shared" si="0"/>
        <v>7.1833648393195837E-3</v>
      </c>
    </row>
    <row r="76" spans="1:3" x14ac:dyDescent="0.2">
      <c r="A76" s="264">
        <v>19391</v>
      </c>
      <c r="B76" s="268">
        <v>26.59</v>
      </c>
      <c r="C76" s="269">
        <f t="shared" si="0"/>
        <v>6.815600151457879E-3</v>
      </c>
    </row>
    <row r="77" spans="1:3" x14ac:dyDescent="0.2">
      <c r="A77" s="264">
        <v>19419</v>
      </c>
      <c r="B77" s="268">
        <v>26.63</v>
      </c>
      <c r="C77" s="269">
        <f t="shared" si="0"/>
        <v>9.0943539219401348E-3</v>
      </c>
    </row>
    <row r="78" spans="1:3" x14ac:dyDescent="0.2">
      <c r="A78" s="264">
        <v>19450</v>
      </c>
      <c r="B78" s="268">
        <v>26.69</v>
      </c>
      <c r="C78" s="269">
        <f t="shared" si="0"/>
        <v>8.6923658352229261E-3</v>
      </c>
    </row>
    <row r="79" spans="1:3" x14ac:dyDescent="0.2">
      <c r="A79" s="264">
        <v>19480</v>
      </c>
      <c r="B79" s="268">
        <v>26.7</v>
      </c>
      <c r="C79" s="269">
        <f t="shared" si="0"/>
        <v>8.6890819795995E-3</v>
      </c>
    </row>
    <row r="80" spans="1:3" x14ac:dyDescent="0.2">
      <c r="A80" s="264">
        <v>19511</v>
      </c>
      <c r="B80" s="268">
        <v>26.77</v>
      </c>
      <c r="C80" s="269">
        <f t="shared" ref="C80:C143" si="1">B80/B68-1</f>
        <v>9.0463626083678861E-3</v>
      </c>
    </row>
    <row r="81" spans="1:3" x14ac:dyDescent="0.2">
      <c r="A81" s="264">
        <v>19541</v>
      </c>
      <c r="B81" s="268">
        <v>26.79</v>
      </c>
      <c r="C81" s="269">
        <f t="shared" si="1"/>
        <v>4.1229385307346433E-3</v>
      </c>
    </row>
    <row r="82" spans="1:3" x14ac:dyDescent="0.2">
      <c r="A82" s="264">
        <v>19572</v>
      </c>
      <c r="B82" s="268">
        <v>26.85</v>
      </c>
      <c r="C82" s="269">
        <f t="shared" si="1"/>
        <v>5.9947545897340859E-3</v>
      </c>
    </row>
    <row r="83" spans="1:3" x14ac:dyDescent="0.2">
      <c r="A83" s="264">
        <v>19603</v>
      </c>
      <c r="B83" s="268">
        <v>26.89</v>
      </c>
      <c r="C83" s="269">
        <f t="shared" si="1"/>
        <v>9.7634247089748438E-3</v>
      </c>
    </row>
    <row r="84" spans="1:3" x14ac:dyDescent="0.2">
      <c r="A84" s="264">
        <v>19633</v>
      </c>
      <c r="B84" s="268">
        <v>26.95</v>
      </c>
      <c r="C84" s="269">
        <f t="shared" si="1"/>
        <v>9.7414762083176676E-3</v>
      </c>
    </row>
    <row r="85" spans="1:3" x14ac:dyDescent="0.2">
      <c r="A85" s="264">
        <v>19664</v>
      </c>
      <c r="B85" s="268">
        <v>26.85</v>
      </c>
      <c r="C85" s="269">
        <f t="shared" si="1"/>
        <v>5.9947545897340859E-3</v>
      </c>
    </row>
    <row r="86" spans="1:3" x14ac:dyDescent="0.2">
      <c r="A86" s="264">
        <v>19694</v>
      </c>
      <c r="B86" s="268">
        <v>26.87</v>
      </c>
      <c r="C86" s="269">
        <f t="shared" si="1"/>
        <v>5.9902658180457369E-3</v>
      </c>
    </row>
    <row r="87" spans="1:3" x14ac:dyDescent="0.2">
      <c r="A87" s="264">
        <v>19725</v>
      </c>
      <c r="B87" s="268">
        <v>26.94</v>
      </c>
      <c r="C87" s="269">
        <f t="shared" si="1"/>
        <v>1.1261261261261257E-2</v>
      </c>
    </row>
    <row r="88" spans="1:3" x14ac:dyDescent="0.2">
      <c r="A88" s="264">
        <v>19756</v>
      </c>
      <c r="B88" s="268">
        <v>26.99</v>
      </c>
      <c r="C88" s="269">
        <f t="shared" si="1"/>
        <v>1.5043249341857745E-2</v>
      </c>
    </row>
    <row r="89" spans="1:3" x14ac:dyDescent="0.2">
      <c r="A89" s="264">
        <v>19784</v>
      </c>
      <c r="B89" s="268">
        <v>26.93</v>
      </c>
      <c r="C89" s="269">
        <f t="shared" si="1"/>
        <v>1.1265490048817162E-2</v>
      </c>
    </row>
    <row r="90" spans="1:3" x14ac:dyDescent="0.2">
      <c r="A90" s="264">
        <v>19815</v>
      </c>
      <c r="B90" s="268">
        <v>26.86</v>
      </c>
      <c r="C90" s="269">
        <f t="shared" si="1"/>
        <v>6.3694267515923553E-3</v>
      </c>
    </row>
    <row r="91" spans="1:3" x14ac:dyDescent="0.2">
      <c r="A91" s="264">
        <v>19845</v>
      </c>
      <c r="B91" s="268">
        <v>26.93</v>
      </c>
      <c r="C91" s="269">
        <f t="shared" si="1"/>
        <v>8.6142322097377821E-3</v>
      </c>
    </row>
    <row r="92" spans="1:3" x14ac:dyDescent="0.2">
      <c r="A92" s="264">
        <v>19876</v>
      </c>
      <c r="B92" s="268">
        <v>26.94</v>
      </c>
      <c r="C92" s="269">
        <f t="shared" si="1"/>
        <v>6.3503922301084703E-3</v>
      </c>
    </row>
    <row r="93" spans="1:3" x14ac:dyDescent="0.2">
      <c r="A93" s="264">
        <v>19906</v>
      </c>
      <c r="B93" s="268">
        <v>26.86</v>
      </c>
      <c r="C93" s="269">
        <f t="shared" si="1"/>
        <v>2.6129152668905586E-3</v>
      </c>
    </row>
    <row r="94" spans="1:3" x14ac:dyDescent="0.2">
      <c r="A94" s="264">
        <v>19937</v>
      </c>
      <c r="B94" s="268">
        <v>26.85</v>
      </c>
      <c r="C94" s="269">
        <f t="shared" si="1"/>
        <v>0</v>
      </c>
    </row>
    <row r="95" spans="1:3" x14ac:dyDescent="0.2">
      <c r="A95" s="264">
        <v>19968</v>
      </c>
      <c r="B95" s="268">
        <v>26.81</v>
      </c>
      <c r="C95" s="269">
        <f t="shared" si="1"/>
        <v>-2.9750836742283848E-3</v>
      </c>
    </row>
    <row r="96" spans="1:3" x14ac:dyDescent="0.2">
      <c r="A96" s="264">
        <v>19998</v>
      </c>
      <c r="B96" s="268">
        <v>26.72</v>
      </c>
      <c r="C96" s="269">
        <f t="shared" si="1"/>
        <v>-8.5343228200370769E-3</v>
      </c>
    </row>
    <row r="97" spans="1:3" x14ac:dyDescent="0.2">
      <c r="A97" s="264">
        <v>20029</v>
      </c>
      <c r="B97" s="268">
        <v>26.78</v>
      </c>
      <c r="C97" s="269">
        <f t="shared" si="1"/>
        <v>-2.6070763500931626E-3</v>
      </c>
    </row>
    <row r="98" spans="1:3" x14ac:dyDescent="0.2">
      <c r="A98" s="264">
        <v>20059</v>
      </c>
      <c r="B98" s="268">
        <v>26.77</v>
      </c>
      <c r="C98" s="269">
        <f t="shared" si="1"/>
        <v>-3.7216226274656705E-3</v>
      </c>
    </row>
    <row r="99" spans="1:3" x14ac:dyDescent="0.2">
      <c r="A99" s="264">
        <v>20090</v>
      </c>
      <c r="B99" s="268">
        <v>26.77</v>
      </c>
      <c r="C99" s="269">
        <f t="shared" si="1"/>
        <v>-6.3103192279139186E-3</v>
      </c>
    </row>
    <row r="100" spans="1:3" x14ac:dyDescent="0.2">
      <c r="A100" s="264">
        <v>20121</v>
      </c>
      <c r="B100" s="268">
        <v>26.82</v>
      </c>
      <c r="C100" s="269">
        <f t="shared" si="1"/>
        <v>-6.298629121896937E-3</v>
      </c>
    </row>
    <row r="101" spans="1:3" x14ac:dyDescent="0.2">
      <c r="A101" s="264">
        <v>20149</v>
      </c>
      <c r="B101" s="268">
        <v>26.79</v>
      </c>
      <c r="C101" s="269">
        <f t="shared" si="1"/>
        <v>-5.1986632008912403E-3</v>
      </c>
    </row>
    <row r="102" spans="1:3" x14ac:dyDescent="0.2">
      <c r="A102" s="264">
        <v>20180</v>
      </c>
      <c r="B102" s="268">
        <v>26.79</v>
      </c>
      <c r="C102" s="269">
        <f t="shared" si="1"/>
        <v>-2.6061057334326732E-3</v>
      </c>
    </row>
    <row r="103" spans="1:3" x14ac:dyDescent="0.2">
      <c r="A103" s="264">
        <v>20210</v>
      </c>
      <c r="B103" s="268">
        <v>26.77</v>
      </c>
      <c r="C103" s="269">
        <f t="shared" si="1"/>
        <v>-5.9413293724470684E-3</v>
      </c>
    </row>
    <row r="104" spans="1:3" x14ac:dyDescent="0.2">
      <c r="A104" s="264">
        <v>20241</v>
      </c>
      <c r="B104" s="268">
        <v>26.71</v>
      </c>
      <c r="C104" s="269">
        <f t="shared" si="1"/>
        <v>-8.5374907201187789E-3</v>
      </c>
    </row>
    <row r="105" spans="1:3" x14ac:dyDescent="0.2">
      <c r="A105" s="264">
        <v>20271</v>
      </c>
      <c r="B105" s="268">
        <v>26.76</v>
      </c>
      <c r="C105" s="269">
        <f t="shared" si="1"/>
        <v>-3.7230081906179935E-3</v>
      </c>
    </row>
    <row r="106" spans="1:3" x14ac:dyDescent="0.2">
      <c r="A106" s="264">
        <v>20302</v>
      </c>
      <c r="B106" s="268">
        <v>26.72</v>
      </c>
      <c r="C106" s="269">
        <f t="shared" si="1"/>
        <v>-4.8417132216015402E-3</v>
      </c>
    </row>
    <row r="107" spans="1:3" x14ac:dyDescent="0.2">
      <c r="A107" s="264">
        <v>20333</v>
      </c>
      <c r="B107" s="268">
        <v>26.85</v>
      </c>
      <c r="C107" s="269">
        <f t="shared" si="1"/>
        <v>1.4919806042521522E-3</v>
      </c>
    </row>
    <row r="108" spans="1:3" x14ac:dyDescent="0.2">
      <c r="A108" s="264">
        <v>20363</v>
      </c>
      <c r="B108" s="268">
        <v>26.82</v>
      </c>
      <c r="C108" s="269">
        <f t="shared" si="1"/>
        <v>3.7425149700598404E-3</v>
      </c>
    </row>
    <row r="109" spans="1:3" x14ac:dyDescent="0.2">
      <c r="A109" s="264">
        <v>20394</v>
      </c>
      <c r="B109" s="268">
        <v>26.88</v>
      </c>
      <c r="C109" s="269">
        <f t="shared" si="1"/>
        <v>3.7341299477220424E-3</v>
      </c>
    </row>
    <row r="110" spans="1:3" x14ac:dyDescent="0.2">
      <c r="A110" s="264">
        <v>20424</v>
      </c>
      <c r="B110" s="268">
        <v>26.87</v>
      </c>
      <c r="C110" s="269">
        <f t="shared" si="1"/>
        <v>3.7355248412402897E-3</v>
      </c>
    </row>
    <row r="111" spans="1:3" x14ac:dyDescent="0.2">
      <c r="A111" s="264">
        <v>20455</v>
      </c>
      <c r="B111" s="268">
        <v>26.83</v>
      </c>
      <c r="C111" s="269">
        <f t="shared" si="1"/>
        <v>2.2413149047439962E-3</v>
      </c>
    </row>
    <row r="112" spans="1:3" x14ac:dyDescent="0.2">
      <c r="A112" s="264">
        <v>20486</v>
      </c>
      <c r="B112" s="268">
        <v>26.86</v>
      </c>
      <c r="C112" s="269">
        <f t="shared" si="1"/>
        <v>1.491424310216205E-3</v>
      </c>
    </row>
    <row r="113" spans="1:3" x14ac:dyDescent="0.2">
      <c r="A113" s="264">
        <v>20515</v>
      </c>
      <c r="B113" s="268">
        <v>26.89</v>
      </c>
      <c r="C113" s="269">
        <f t="shared" si="1"/>
        <v>3.7327360955581312E-3</v>
      </c>
    </row>
    <row r="114" spans="1:3" x14ac:dyDescent="0.2">
      <c r="A114" s="264">
        <v>20546</v>
      </c>
      <c r="B114" s="268">
        <v>26.93</v>
      </c>
      <c r="C114" s="269">
        <f t="shared" si="1"/>
        <v>5.2258305337813393E-3</v>
      </c>
    </row>
    <row r="115" spans="1:3" x14ac:dyDescent="0.2">
      <c r="A115" s="264">
        <v>20576</v>
      </c>
      <c r="B115" s="268">
        <v>27.03</v>
      </c>
      <c r="C115" s="269">
        <f t="shared" si="1"/>
        <v>9.7123645872245756E-3</v>
      </c>
    </row>
    <row r="116" spans="1:3" x14ac:dyDescent="0.2">
      <c r="A116" s="264">
        <v>20607</v>
      </c>
      <c r="B116" s="268">
        <v>27.15</v>
      </c>
      <c r="C116" s="269">
        <f t="shared" si="1"/>
        <v>1.647323099962561E-2</v>
      </c>
    </row>
    <row r="117" spans="1:3" x14ac:dyDescent="0.2">
      <c r="A117" s="264">
        <v>20637</v>
      </c>
      <c r="B117" s="268">
        <v>27.29</v>
      </c>
      <c r="C117" s="269">
        <f t="shared" si="1"/>
        <v>1.9805680119581393E-2</v>
      </c>
    </row>
    <row r="118" spans="1:3" x14ac:dyDescent="0.2">
      <c r="A118" s="264">
        <v>20668</v>
      </c>
      <c r="B118" s="268">
        <v>27.31</v>
      </c>
      <c r="C118" s="269">
        <f t="shared" si="1"/>
        <v>2.208083832335328E-2</v>
      </c>
    </row>
    <row r="119" spans="1:3" x14ac:dyDescent="0.2">
      <c r="A119" s="264">
        <v>20699</v>
      </c>
      <c r="B119" s="268">
        <v>27.35</v>
      </c>
      <c r="C119" s="269">
        <f t="shared" si="1"/>
        <v>1.862197392923659E-2</v>
      </c>
    </row>
    <row r="120" spans="1:3" x14ac:dyDescent="0.2">
      <c r="A120" s="264">
        <v>20729</v>
      </c>
      <c r="B120" s="268">
        <v>27.51</v>
      </c>
      <c r="C120" s="269">
        <f t="shared" si="1"/>
        <v>2.5727069351230369E-2</v>
      </c>
    </row>
    <row r="121" spans="1:3" x14ac:dyDescent="0.2">
      <c r="A121" s="264">
        <v>20760</v>
      </c>
      <c r="B121" s="268">
        <v>27.51</v>
      </c>
      <c r="C121" s="269">
        <f t="shared" si="1"/>
        <v>2.34375E-2</v>
      </c>
    </row>
    <row r="122" spans="1:3" x14ac:dyDescent="0.2">
      <c r="A122" s="264">
        <v>20790</v>
      </c>
      <c r="B122" s="268">
        <v>27.63</v>
      </c>
      <c r="C122" s="269">
        <f t="shared" si="1"/>
        <v>2.8284331968738252E-2</v>
      </c>
    </row>
    <row r="123" spans="1:3" x14ac:dyDescent="0.2">
      <c r="A123" s="264">
        <v>20821</v>
      </c>
      <c r="B123" s="268">
        <v>27.67</v>
      </c>
      <c r="C123" s="269">
        <f t="shared" si="1"/>
        <v>3.1308237048080612E-2</v>
      </c>
    </row>
    <row r="124" spans="1:3" x14ac:dyDescent="0.2">
      <c r="A124" s="264">
        <v>20852</v>
      </c>
      <c r="B124" s="268">
        <v>27.8</v>
      </c>
      <c r="C124" s="269">
        <f t="shared" si="1"/>
        <v>3.4996276991809516E-2</v>
      </c>
    </row>
    <row r="125" spans="1:3" x14ac:dyDescent="0.2">
      <c r="A125" s="264">
        <v>20880</v>
      </c>
      <c r="B125" s="268">
        <v>27.86</v>
      </c>
      <c r="C125" s="269">
        <f t="shared" si="1"/>
        <v>3.6072889550018639E-2</v>
      </c>
    </row>
    <row r="126" spans="1:3" x14ac:dyDescent="0.2">
      <c r="A126" s="264">
        <v>20911</v>
      </c>
      <c r="B126" s="268">
        <v>27.93</v>
      </c>
      <c r="C126" s="269">
        <f t="shared" si="1"/>
        <v>3.7133308577794288E-2</v>
      </c>
    </row>
    <row r="127" spans="1:3" x14ac:dyDescent="0.2">
      <c r="A127" s="264">
        <v>20941</v>
      </c>
      <c r="B127" s="268">
        <v>28</v>
      </c>
      <c r="C127" s="269">
        <f t="shared" si="1"/>
        <v>3.588605253422128E-2</v>
      </c>
    </row>
    <row r="128" spans="1:3" x14ac:dyDescent="0.2">
      <c r="A128" s="264">
        <v>20972</v>
      </c>
      <c r="B128" s="268">
        <v>28.11</v>
      </c>
      <c r="C128" s="269">
        <f t="shared" si="1"/>
        <v>3.5359116022099402E-2</v>
      </c>
    </row>
    <row r="129" spans="1:3" x14ac:dyDescent="0.2">
      <c r="A129" s="264">
        <v>21002</v>
      </c>
      <c r="B129" s="268">
        <v>28.19</v>
      </c>
      <c r="C129" s="269">
        <f t="shared" si="1"/>
        <v>3.2979113228288837E-2</v>
      </c>
    </row>
    <row r="130" spans="1:3" x14ac:dyDescent="0.2">
      <c r="A130" s="264">
        <v>21033</v>
      </c>
      <c r="B130" s="268">
        <v>28.28</v>
      </c>
      <c r="C130" s="269">
        <f t="shared" si="1"/>
        <v>3.5518125228853892E-2</v>
      </c>
    </row>
    <row r="131" spans="1:3" x14ac:dyDescent="0.2">
      <c r="A131" s="264">
        <v>21064</v>
      </c>
      <c r="B131" s="268">
        <v>28.32</v>
      </c>
      <c r="C131" s="269">
        <f t="shared" si="1"/>
        <v>3.5466179159049371E-2</v>
      </c>
    </row>
    <row r="132" spans="1:3" x14ac:dyDescent="0.2">
      <c r="A132" s="264">
        <v>21094</v>
      </c>
      <c r="B132" s="268">
        <v>28.32</v>
      </c>
      <c r="C132" s="269">
        <f t="shared" si="1"/>
        <v>2.9443838604143791E-2</v>
      </c>
    </row>
    <row r="133" spans="1:3" x14ac:dyDescent="0.2">
      <c r="A133" s="264">
        <v>21125</v>
      </c>
      <c r="B133" s="268">
        <v>28.41</v>
      </c>
      <c r="C133" s="269">
        <f t="shared" si="1"/>
        <v>3.2715376226826631E-2</v>
      </c>
    </row>
    <row r="134" spans="1:3" x14ac:dyDescent="0.2">
      <c r="A134" s="264">
        <v>21155</v>
      </c>
      <c r="B134" s="268">
        <v>28.47</v>
      </c>
      <c r="C134" s="269">
        <f t="shared" si="1"/>
        <v>3.0401737242128135E-2</v>
      </c>
    </row>
    <row r="135" spans="1:3" x14ac:dyDescent="0.2">
      <c r="A135" s="264">
        <v>21186</v>
      </c>
      <c r="B135" s="268">
        <v>28.64</v>
      </c>
      <c r="C135" s="269">
        <f t="shared" si="1"/>
        <v>3.5056017347307566E-2</v>
      </c>
    </row>
    <row r="136" spans="1:3" x14ac:dyDescent="0.2">
      <c r="A136" s="264">
        <v>21217</v>
      </c>
      <c r="B136" s="268">
        <v>28.7</v>
      </c>
      <c r="C136" s="269">
        <f t="shared" si="1"/>
        <v>3.2374100719424481E-2</v>
      </c>
    </row>
    <row r="137" spans="1:3" x14ac:dyDescent="0.2">
      <c r="A137" s="264">
        <v>21245</v>
      </c>
      <c r="B137" s="268">
        <v>28.87</v>
      </c>
      <c r="C137" s="269">
        <f t="shared" si="1"/>
        <v>3.6252692031586653E-2</v>
      </c>
    </row>
    <row r="138" spans="1:3" x14ac:dyDescent="0.2">
      <c r="A138" s="264">
        <v>21276</v>
      </c>
      <c r="B138" s="268">
        <v>28.94</v>
      </c>
      <c r="C138" s="269">
        <f t="shared" si="1"/>
        <v>3.6161833154314316E-2</v>
      </c>
    </row>
    <row r="139" spans="1:3" x14ac:dyDescent="0.2">
      <c r="A139" s="264">
        <v>21306</v>
      </c>
      <c r="B139" s="268">
        <v>28.94</v>
      </c>
      <c r="C139" s="269">
        <f t="shared" si="1"/>
        <v>3.3571428571428585E-2</v>
      </c>
    </row>
    <row r="140" spans="1:3" x14ac:dyDescent="0.2">
      <c r="A140" s="264">
        <v>21337</v>
      </c>
      <c r="B140" s="268">
        <v>28.91</v>
      </c>
      <c r="C140" s="269">
        <f t="shared" si="1"/>
        <v>2.8459622909996485E-2</v>
      </c>
    </row>
    <row r="141" spans="1:3" x14ac:dyDescent="0.2">
      <c r="A141" s="264">
        <v>21367</v>
      </c>
      <c r="B141" s="268">
        <v>28.89</v>
      </c>
      <c r="C141" s="269">
        <f t="shared" si="1"/>
        <v>2.483150053210359E-2</v>
      </c>
    </row>
    <row r="142" spans="1:3" x14ac:dyDescent="0.2">
      <c r="A142" s="264">
        <v>21398</v>
      </c>
      <c r="B142" s="268">
        <v>28.94</v>
      </c>
      <c r="C142" s="269">
        <f t="shared" si="1"/>
        <v>2.3338048090523422E-2</v>
      </c>
    </row>
    <row r="143" spans="1:3" x14ac:dyDescent="0.2">
      <c r="A143" s="264">
        <v>21429</v>
      </c>
      <c r="B143" s="268">
        <v>28.91</v>
      </c>
      <c r="C143" s="269">
        <f t="shared" si="1"/>
        <v>2.0833333333333259E-2</v>
      </c>
    </row>
    <row r="144" spans="1:3" x14ac:dyDescent="0.2">
      <c r="A144" s="264">
        <v>21459</v>
      </c>
      <c r="B144" s="268">
        <v>28.91</v>
      </c>
      <c r="C144" s="269">
        <f t="shared" ref="C144:C207" si="2">B144/B132-1</f>
        <v>2.0833333333333259E-2</v>
      </c>
    </row>
    <row r="145" spans="1:3" x14ac:dyDescent="0.2">
      <c r="A145" s="264">
        <v>21490</v>
      </c>
      <c r="B145" s="268">
        <v>28.95</v>
      </c>
      <c r="C145" s="269">
        <f t="shared" si="2"/>
        <v>1.9007391763463444E-2</v>
      </c>
    </row>
    <row r="146" spans="1:3" x14ac:dyDescent="0.2">
      <c r="A146" s="264">
        <v>21520</v>
      </c>
      <c r="B146" s="268">
        <v>28.97</v>
      </c>
      <c r="C146" s="269">
        <f t="shared" si="2"/>
        <v>1.7562346329469625E-2</v>
      </c>
    </row>
    <row r="147" spans="1:3" x14ac:dyDescent="0.2">
      <c r="A147" s="264">
        <v>21551</v>
      </c>
      <c r="B147" s="268">
        <v>29.01</v>
      </c>
      <c r="C147" s="269">
        <f t="shared" si="2"/>
        <v>1.2918994413407825E-2</v>
      </c>
    </row>
    <row r="148" spans="1:3" x14ac:dyDescent="0.2">
      <c r="A148" s="264">
        <v>21582</v>
      </c>
      <c r="B148" s="268">
        <v>29</v>
      </c>
      <c r="C148" s="269">
        <f t="shared" si="2"/>
        <v>1.0452961672473782E-2</v>
      </c>
    </row>
    <row r="149" spans="1:3" x14ac:dyDescent="0.2">
      <c r="A149" s="264">
        <v>21610</v>
      </c>
      <c r="B149" s="268">
        <v>28.97</v>
      </c>
      <c r="C149" s="269">
        <f t="shared" si="2"/>
        <v>3.463803255975062E-3</v>
      </c>
    </row>
    <row r="150" spans="1:3" x14ac:dyDescent="0.2">
      <c r="A150" s="264">
        <v>21641</v>
      </c>
      <c r="B150" s="268">
        <v>28.98</v>
      </c>
      <c r="C150" s="269">
        <f t="shared" si="2"/>
        <v>1.3821700069107656E-3</v>
      </c>
    </row>
    <row r="151" spans="1:3" x14ac:dyDescent="0.2">
      <c r="A151" s="264">
        <v>21671</v>
      </c>
      <c r="B151" s="268">
        <v>29.04</v>
      </c>
      <c r="C151" s="269">
        <f t="shared" si="2"/>
        <v>3.4554250172771361E-3</v>
      </c>
    </row>
    <row r="152" spans="1:3" x14ac:dyDescent="0.2">
      <c r="A152" s="264">
        <v>21702</v>
      </c>
      <c r="B152" s="268">
        <v>29.11</v>
      </c>
      <c r="C152" s="269">
        <f t="shared" si="2"/>
        <v>6.9180214458663958E-3</v>
      </c>
    </row>
    <row r="153" spans="1:3" x14ac:dyDescent="0.2">
      <c r="A153" s="264">
        <v>21732</v>
      </c>
      <c r="B153" s="268">
        <v>29.15</v>
      </c>
      <c r="C153" s="269">
        <f t="shared" si="2"/>
        <v>8.9996538594667719E-3</v>
      </c>
    </row>
    <row r="154" spans="1:3" x14ac:dyDescent="0.2">
      <c r="A154" s="264">
        <v>21763</v>
      </c>
      <c r="B154" s="268">
        <v>29.18</v>
      </c>
      <c r="C154" s="269">
        <f t="shared" si="2"/>
        <v>8.2930200414650379E-3</v>
      </c>
    </row>
    <row r="155" spans="1:3" x14ac:dyDescent="0.2">
      <c r="A155" s="264">
        <v>21794</v>
      </c>
      <c r="B155" s="268">
        <v>29.25</v>
      </c>
      <c r="C155" s="269">
        <f t="shared" si="2"/>
        <v>1.1760636457972984E-2</v>
      </c>
    </row>
    <row r="156" spans="1:3" x14ac:dyDescent="0.2">
      <c r="A156" s="264">
        <v>21824</v>
      </c>
      <c r="B156" s="268">
        <v>29.35</v>
      </c>
      <c r="C156" s="269">
        <f t="shared" si="2"/>
        <v>1.5219647180906293E-2</v>
      </c>
    </row>
    <row r="157" spans="1:3" x14ac:dyDescent="0.2">
      <c r="A157" s="264">
        <v>21855</v>
      </c>
      <c r="B157" s="268">
        <v>29.35</v>
      </c>
      <c r="C157" s="269">
        <f t="shared" si="2"/>
        <v>1.3816925734024155E-2</v>
      </c>
    </row>
    <row r="158" spans="1:3" x14ac:dyDescent="0.2">
      <c r="A158" s="264">
        <v>21885</v>
      </c>
      <c r="B158" s="268">
        <v>29.41</v>
      </c>
      <c r="C158" s="269">
        <f t="shared" si="2"/>
        <v>1.5188125647221273E-2</v>
      </c>
    </row>
    <row r="159" spans="1:3" x14ac:dyDescent="0.2">
      <c r="A159" s="264">
        <v>21916</v>
      </c>
      <c r="B159" s="268">
        <v>29.37</v>
      </c>
      <c r="C159" s="269">
        <f t="shared" si="2"/>
        <v>1.2409513960703222E-2</v>
      </c>
    </row>
    <row r="160" spans="1:3" x14ac:dyDescent="0.2">
      <c r="A160" s="264">
        <v>21947</v>
      </c>
      <c r="B160" s="268">
        <v>29.41</v>
      </c>
      <c r="C160" s="269">
        <f t="shared" si="2"/>
        <v>1.4137931034482687E-2</v>
      </c>
    </row>
    <row r="161" spans="1:3" x14ac:dyDescent="0.2">
      <c r="A161" s="264">
        <v>21976</v>
      </c>
      <c r="B161" s="268">
        <v>29.41</v>
      </c>
      <c r="C161" s="269">
        <f t="shared" si="2"/>
        <v>1.5188125647221273E-2</v>
      </c>
    </row>
    <row r="162" spans="1:3" x14ac:dyDescent="0.2">
      <c r="A162" s="264">
        <v>22007</v>
      </c>
      <c r="B162" s="268">
        <v>29.54</v>
      </c>
      <c r="C162" s="269">
        <f t="shared" si="2"/>
        <v>1.9323671497584405E-2</v>
      </c>
    </row>
    <row r="163" spans="1:3" x14ac:dyDescent="0.2">
      <c r="A163" s="264">
        <v>22037</v>
      </c>
      <c r="B163" s="268">
        <v>29.57</v>
      </c>
      <c r="C163" s="269">
        <f t="shared" si="2"/>
        <v>1.8250688705234275E-2</v>
      </c>
    </row>
    <row r="164" spans="1:3" x14ac:dyDescent="0.2">
      <c r="A164" s="264">
        <v>22068</v>
      </c>
      <c r="B164" s="268">
        <v>29.61</v>
      </c>
      <c r="C164" s="269">
        <f t="shared" si="2"/>
        <v>1.7176228100309165E-2</v>
      </c>
    </row>
    <row r="165" spans="1:3" x14ac:dyDescent="0.2">
      <c r="A165" s="264">
        <v>22098</v>
      </c>
      <c r="B165" s="268">
        <v>29.55</v>
      </c>
      <c r="C165" s="269">
        <f t="shared" si="2"/>
        <v>1.3722126929674117E-2</v>
      </c>
    </row>
    <row r="166" spans="1:3" x14ac:dyDescent="0.2">
      <c r="A166" s="264">
        <v>22129</v>
      </c>
      <c r="B166" s="268">
        <v>29.61</v>
      </c>
      <c r="C166" s="269">
        <f t="shared" si="2"/>
        <v>1.473612063056895E-2</v>
      </c>
    </row>
    <row r="167" spans="1:3" x14ac:dyDescent="0.2">
      <c r="A167" s="264">
        <v>22160</v>
      </c>
      <c r="B167" s="268">
        <v>29.61</v>
      </c>
      <c r="C167" s="269">
        <f t="shared" si="2"/>
        <v>1.2307692307692353E-2</v>
      </c>
    </row>
    <row r="168" spans="1:3" x14ac:dyDescent="0.2">
      <c r="A168" s="264">
        <v>22190</v>
      </c>
      <c r="B168" s="268">
        <v>29.75</v>
      </c>
      <c r="C168" s="269">
        <f t="shared" si="2"/>
        <v>1.3628620102214661E-2</v>
      </c>
    </row>
    <row r="169" spans="1:3" x14ac:dyDescent="0.2">
      <c r="A169" s="264">
        <v>22221</v>
      </c>
      <c r="B169" s="268">
        <v>29.78</v>
      </c>
      <c r="C169" s="269">
        <f t="shared" si="2"/>
        <v>1.4650766609880739E-2</v>
      </c>
    </row>
    <row r="170" spans="1:3" x14ac:dyDescent="0.2">
      <c r="A170" s="264">
        <v>22251</v>
      </c>
      <c r="B170" s="268">
        <v>29.81</v>
      </c>
      <c r="C170" s="269">
        <f t="shared" si="2"/>
        <v>1.3600816048962905E-2</v>
      </c>
    </row>
    <row r="171" spans="1:3" x14ac:dyDescent="0.2">
      <c r="A171" s="264">
        <v>22282</v>
      </c>
      <c r="B171" s="268">
        <v>29.84</v>
      </c>
      <c r="C171" s="269">
        <f t="shared" si="2"/>
        <v>1.6002723867892366E-2</v>
      </c>
    </row>
    <row r="172" spans="1:3" x14ac:dyDescent="0.2">
      <c r="A172" s="264">
        <v>22313</v>
      </c>
      <c r="B172" s="268">
        <v>29.84</v>
      </c>
      <c r="C172" s="269">
        <f t="shared" si="2"/>
        <v>1.4620877252635056E-2</v>
      </c>
    </row>
    <row r="173" spans="1:3" x14ac:dyDescent="0.2">
      <c r="A173" s="264">
        <v>22341</v>
      </c>
      <c r="B173" s="268">
        <v>29.84</v>
      </c>
      <c r="C173" s="269">
        <f t="shared" si="2"/>
        <v>1.4620877252635056E-2</v>
      </c>
    </row>
    <row r="174" spans="1:3" x14ac:dyDescent="0.2">
      <c r="A174" s="264">
        <v>22372</v>
      </c>
      <c r="B174" s="268">
        <v>29.81</v>
      </c>
      <c r="C174" s="269">
        <f t="shared" si="2"/>
        <v>9.1401489505755773E-3</v>
      </c>
    </row>
    <row r="175" spans="1:3" x14ac:dyDescent="0.2">
      <c r="A175" s="264">
        <v>22402</v>
      </c>
      <c r="B175" s="268">
        <v>29.84</v>
      </c>
      <c r="C175" s="269">
        <f t="shared" si="2"/>
        <v>9.1308758877239882E-3</v>
      </c>
    </row>
    <row r="176" spans="1:3" x14ac:dyDescent="0.2">
      <c r="A176" s="264">
        <v>22433</v>
      </c>
      <c r="B176" s="268">
        <v>29.84</v>
      </c>
      <c r="C176" s="269">
        <f t="shared" si="2"/>
        <v>7.7676460655184965E-3</v>
      </c>
    </row>
    <row r="177" spans="1:3" x14ac:dyDescent="0.2">
      <c r="A177" s="264">
        <v>22463</v>
      </c>
      <c r="B177" s="268">
        <v>29.92</v>
      </c>
      <c r="C177" s="269">
        <f t="shared" si="2"/>
        <v>1.2521150592216701E-2</v>
      </c>
    </row>
    <row r="178" spans="1:3" x14ac:dyDescent="0.2">
      <c r="A178" s="264">
        <v>22494</v>
      </c>
      <c r="B178" s="268">
        <v>29.94</v>
      </c>
      <c r="C178" s="269">
        <f t="shared" si="2"/>
        <v>1.1144883485309176E-2</v>
      </c>
    </row>
    <row r="179" spans="1:3" x14ac:dyDescent="0.2">
      <c r="A179" s="264">
        <v>22525</v>
      </c>
      <c r="B179" s="268">
        <v>29.98</v>
      </c>
      <c r="C179" s="269">
        <f t="shared" si="2"/>
        <v>1.2495778453225359E-2</v>
      </c>
    </row>
    <row r="180" spans="1:3" x14ac:dyDescent="0.2">
      <c r="A180" s="264">
        <v>22555</v>
      </c>
      <c r="B180" s="268">
        <v>29.98</v>
      </c>
      <c r="C180" s="269">
        <f t="shared" si="2"/>
        <v>7.7310924369748957E-3</v>
      </c>
    </row>
    <row r="181" spans="1:3" x14ac:dyDescent="0.2">
      <c r="A181" s="264">
        <v>22586</v>
      </c>
      <c r="B181" s="268">
        <v>29.98</v>
      </c>
      <c r="C181" s="269">
        <f t="shared" si="2"/>
        <v>6.7159167226327199E-3</v>
      </c>
    </row>
    <row r="182" spans="1:3" x14ac:dyDescent="0.2">
      <c r="A182" s="264">
        <v>22616</v>
      </c>
      <c r="B182" s="268">
        <v>30.01</v>
      </c>
      <c r="C182" s="269">
        <f t="shared" si="2"/>
        <v>6.7091580006710672E-3</v>
      </c>
    </row>
    <row r="183" spans="1:3" x14ac:dyDescent="0.2">
      <c r="A183" s="264">
        <v>22647</v>
      </c>
      <c r="B183" s="268">
        <v>30.04</v>
      </c>
      <c r="C183" s="269">
        <f t="shared" si="2"/>
        <v>6.7024128686326012E-3</v>
      </c>
    </row>
    <row r="184" spans="1:3" x14ac:dyDescent="0.2">
      <c r="A184" s="264">
        <v>22678</v>
      </c>
      <c r="B184" s="268">
        <v>30.11</v>
      </c>
      <c r="C184" s="269">
        <f t="shared" si="2"/>
        <v>9.0482573726542448E-3</v>
      </c>
    </row>
    <row r="185" spans="1:3" x14ac:dyDescent="0.2">
      <c r="A185" s="264">
        <v>22706</v>
      </c>
      <c r="B185" s="268">
        <v>30.17</v>
      </c>
      <c r="C185" s="269">
        <f t="shared" si="2"/>
        <v>1.1058981233244003E-2</v>
      </c>
    </row>
    <row r="186" spans="1:3" x14ac:dyDescent="0.2">
      <c r="A186" s="264">
        <v>22737</v>
      </c>
      <c r="B186" s="268">
        <v>30.21</v>
      </c>
      <c r="C186" s="269">
        <f t="shared" si="2"/>
        <v>1.3418316001341912E-2</v>
      </c>
    </row>
    <row r="187" spans="1:3" x14ac:dyDescent="0.2">
      <c r="A187" s="264">
        <v>22767</v>
      </c>
      <c r="B187" s="268">
        <v>30.24</v>
      </c>
      <c r="C187" s="269">
        <f t="shared" si="2"/>
        <v>1.3404825737265424E-2</v>
      </c>
    </row>
    <row r="188" spans="1:3" x14ac:dyDescent="0.2">
      <c r="A188" s="264">
        <v>22798</v>
      </c>
      <c r="B188" s="268">
        <v>30.21</v>
      </c>
      <c r="C188" s="269">
        <f t="shared" si="2"/>
        <v>1.2399463806970434E-2</v>
      </c>
    </row>
    <row r="189" spans="1:3" x14ac:dyDescent="0.2">
      <c r="A189" s="264">
        <v>22828</v>
      </c>
      <c r="B189" s="268">
        <v>30.22</v>
      </c>
      <c r="C189" s="269">
        <f t="shared" si="2"/>
        <v>1.0026737967914423E-2</v>
      </c>
    </row>
    <row r="190" spans="1:3" x14ac:dyDescent="0.2">
      <c r="A190" s="264">
        <v>22859</v>
      </c>
      <c r="B190" s="268">
        <v>30.28</v>
      </c>
      <c r="C190" s="269">
        <f t="shared" si="2"/>
        <v>1.1356045424181671E-2</v>
      </c>
    </row>
    <row r="191" spans="1:3" x14ac:dyDescent="0.2">
      <c r="A191" s="264">
        <v>22890</v>
      </c>
      <c r="B191" s="268">
        <v>30.42</v>
      </c>
      <c r="C191" s="269">
        <f t="shared" si="2"/>
        <v>1.4676450967311627E-2</v>
      </c>
    </row>
    <row r="192" spans="1:3" x14ac:dyDescent="0.2">
      <c r="A192" s="264">
        <v>22920</v>
      </c>
      <c r="B192" s="268">
        <v>30.38</v>
      </c>
      <c r="C192" s="269">
        <f t="shared" si="2"/>
        <v>1.3342228152101399E-2</v>
      </c>
    </row>
    <row r="193" spans="1:3" x14ac:dyDescent="0.2">
      <c r="A193" s="264">
        <v>22951</v>
      </c>
      <c r="B193" s="268">
        <v>30.38</v>
      </c>
      <c r="C193" s="269">
        <f t="shared" si="2"/>
        <v>1.3342228152101399E-2</v>
      </c>
    </row>
    <row r="194" spans="1:3" x14ac:dyDescent="0.2">
      <c r="A194" s="264">
        <v>22981</v>
      </c>
      <c r="B194" s="268">
        <v>30.38</v>
      </c>
      <c r="C194" s="269">
        <f t="shared" si="2"/>
        <v>1.2329223592135952E-2</v>
      </c>
    </row>
    <row r="195" spans="1:3" x14ac:dyDescent="0.2">
      <c r="A195" s="264">
        <v>23012</v>
      </c>
      <c r="B195" s="268">
        <v>30.44</v>
      </c>
      <c r="C195" s="269">
        <f t="shared" si="2"/>
        <v>1.3315579227696439E-2</v>
      </c>
    </row>
    <row r="196" spans="1:3" x14ac:dyDescent="0.2">
      <c r="A196" s="264">
        <v>23043</v>
      </c>
      <c r="B196" s="268">
        <v>30.48</v>
      </c>
      <c r="C196" s="269">
        <f t="shared" si="2"/>
        <v>1.2288276320159497E-2</v>
      </c>
    </row>
    <row r="197" spans="1:3" x14ac:dyDescent="0.2">
      <c r="A197" s="264">
        <v>23071</v>
      </c>
      <c r="B197" s="268">
        <v>30.51</v>
      </c>
      <c r="C197" s="269">
        <f t="shared" si="2"/>
        <v>1.1269472986410234E-2</v>
      </c>
    </row>
    <row r="198" spans="1:3" x14ac:dyDescent="0.2">
      <c r="A198" s="264">
        <v>23102</v>
      </c>
      <c r="B198" s="268">
        <v>30.48</v>
      </c>
      <c r="C198" s="269">
        <f t="shared" si="2"/>
        <v>8.9374379344586696E-3</v>
      </c>
    </row>
    <row r="199" spans="1:3" x14ac:dyDescent="0.2">
      <c r="A199" s="264">
        <v>23132</v>
      </c>
      <c r="B199" s="268">
        <v>30.51</v>
      </c>
      <c r="C199" s="269">
        <f t="shared" si="2"/>
        <v>8.9285714285716189E-3</v>
      </c>
    </row>
    <row r="200" spans="1:3" x14ac:dyDescent="0.2">
      <c r="A200" s="264">
        <v>23163</v>
      </c>
      <c r="B200" s="268">
        <v>30.61</v>
      </c>
      <c r="C200" s="269">
        <f t="shared" si="2"/>
        <v>1.3240648791790655E-2</v>
      </c>
    </row>
    <row r="201" spans="1:3" x14ac:dyDescent="0.2">
      <c r="A201" s="264">
        <v>23193</v>
      </c>
      <c r="B201" s="268">
        <v>30.69</v>
      </c>
      <c r="C201" s="269">
        <f t="shared" si="2"/>
        <v>1.5552614162806178E-2</v>
      </c>
    </row>
    <row r="202" spans="1:3" x14ac:dyDescent="0.2">
      <c r="A202" s="264">
        <v>23224</v>
      </c>
      <c r="B202" s="268">
        <v>30.75</v>
      </c>
      <c r="C202" s="269">
        <f t="shared" si="2"/>
        <v>1.5521796565389767E-2</v>
      </c>
    </row>
    <row r="203" spans="1:3" x14ac:dyDescent="0.2">
      <c r="A203" s="264">
        <v>23255</v>
      </c>
      <c r="B203" s="268">
        <v>30.72</v>
      </c>
      <c r="C203" s="269">
        <f t="shared" si="2"/>
        <v>9.8619329388558441E-3</v>
      </c>
    </row>
    <row r="204" spans="1:3" x14ac:dyDescent="0.2">
      <c r="A204" s="264">
        <v>23285</v>
      </c>
      <c r="B204" s="268">
        <v>30.75</v>
      </c>
      <c r="C204" s="269">
        <f t="shared" si="2"/>
        <v>1.2179065174456882E-2</v>
      </c>
    </row>
    <row r="205" spans="1:3" x14ac:dyDescent="0.2">
      <c r="A205" s="264">
        <v>23316</v>
      </c>
      <c r="B205" s="268">
        <v>30.78</v>
      </c>
      <c r="C205" s="269">
        <f t="shared" si="2"/>
        <v>1.3166556945358954E-2</v>
      </c>
    </row>
    <row r="206" spans="1:3" x14ac:dyDescent="0.2">
      <c r="A206" s="264">
        <v>23346</v>
      </c>
      <c r="B206" s="268">
        <v>30.88</v>
      </c>
      <c r="C206" s="269">
        <f t="shared" si="2"/>
        <v>1.6458196181698526E-2</v>
      </c>
    </row>
    <row r="207" spans="1:3" x14ac:dyDescent="0.2">
      <c r="A207" s="264">
        <v>23377</v>
      </c>
      <c r="B207" s="268">
        <v>30.94</v>
      </c>
      <c r="C207" s="269">
        <f t="shared" si="2"/>
        <v>1.6425755584756896E-2</v>
      </c>
    </row>
    <row r="208" spans="1:3" x14ac:dyDescent="0.2">
      <c r="A208" s="264">
        <v>23408</v>
      </c>
      <c r="B208" s="268">
        <v>30.91</v>
      </c>
      <c r="C208" s="269">
        <f t="shared" ref="C208:C271" si="3">B208/B196-1</f>
        <v>1.4107611548556331E-2</v>
      </c>
    </row>
    <row r="209" spans="1:3" x14ac:dyDescent="0.2">
      <c r="A209" s="264">
        <v>23437</v>
      </c>
      <c r="B209" s="268">
        <v>30.94</v>
      </c>
      <c r="C209" s="269">
        <f t="shared" si="3"/>
        <v>1.4093739757456536E-2</v>
      </c>
    </row>
    <row r="210" spans="1:3" x14ac:dyDescent="0.2">
      <c r="A210" s="264">
        <v>23468</v>
      </c>
      <c r="B210" s="268">
        <v>30.95</v>
      </c>
      <c r="C210" s="269">
        <f t="shared" si="3"/>
        <v>1.5419947506561726E-2</v>
      </c>
    </row>
    <row r="211" spans="1:3" x14ac:dyDescent="0.2">
      <c r="A211" s="264">
        <v>23498</v>
      </c>
      <c r="B211" s="268">
        <v>30.98</v>
      </c>
      <c r="C211" s="269">
        <f t="shared" si="3"/>
        <v>1.5404785316289749E-2</v>
      </c>
    </row>
    <row r="212" spans="1:3" x14ac:dyDescent="0.2">
      <c r="A212" s="264">
        <v>23529</v>
      </c>
      <c r="B212" s="268">
        <v>31.01</v>
      </c>
      <c r="C212" s="269">
        <f t="shared" si="3"/>
        <v>1.3067624959163693E-2</v>
      </c>
    </row>
    <row r="213" spans="1:3" x14ac:dyDescent="0.2">
      <c r="A213" s="264">
        <v>23559</v>
      </c>
      <c r="B213" s="268">
        <v>31.02</v>
      </c>
      <c r="C213" s="269">
        <f t="shared" si="3"/>
        <v>1.0752688172043001E-2</v>
      </c>
    </row>
    <row r="214" spans="1:3" x14ac:dyDescent="0.2">
      <c r="A214" s="264">
        <v>23590</v>
      </c>
      <c r="B214" s="268">
        <v>31.05</v>
      </c>
      <c r="C214" s="269">
        <f t="shared" si="3"/>
        <v>9.7560975609756184E-3</v>
      </c>
    </row>
    <row r="215" spans="1:3" x14ac:dyDescent="0.2">
      <c r="A215" s="264">
        <v>23621</v>
      </c>
      <c r="B215" s="268">
        <v>31.08</v>
      </c>
      <c r="C215" s="269">
        <f t="shared" si="3"/>
        <v>1.171875E-2</v>
      </c>
    </row>
    <row r="216" spans="1:3" x14ac:dyDescent="0.2">
      <c r="A216" s="264">
        <v>23651</v>
      </c>
      <c r="B216" s="268">
        <v>31.12</v>
      </c>
      <c r="C216" s="269">
        <f t="shared" si="3"/>
        <v>1.2032520325203189E-2</v>
      </c>
    </row>
    <row r="217" spans="1:3" x14ac:dyDescent="0.2">
      <c r="A217" s="264">
        <v>23682</v>
      </c>
      <c r="B217" s="268">
        <v>31.21</v>
      </c>
      <c r="C217" s="269">
        <f t="shared" si="3"/>
        <v>1.3970110461338558E-2</v>
      </c>
    </row>
    <row r="218" spans="1:3" x14ac:dyDescent="0.2">
      <c r="A218" s="264">
        <v>23712</v>
      </c>
      <c r="B218" s="268">
        <v>31.25</v>
      </c>
      <c r="C218" s="269">
        <f t="shared" si="3"/>
        <v>1.1981865284974136E-2</v>
      </c>
    </row>
    <row r="219" spans="1:3" x14ac:dyDescent="0.2">
      <c r="A219" s="264">
        <v>23743</v>
      </c>
      <c r="B219" s="268">
        <v>31.28</v>
      </c>
      <c r="C219" s="269">
        <f t="shared" si="3"/>
        <v>1.098901098901095E-2</v>
      </c>
    </row>
    <row r="220" spans="1:3" x14ac:dyDescent="0.2">
      <c r="A220" s="264">
        <v>23774</v>
      </c>
      <c r="B220" s="268">
        <v>31.28</v>
      </c>
      <c r="C220" s="269">
        <f t="shared" si="3"/>
        <v>1.1970236169524417E-2</v>
      </c>
    </row>
    <row r="221" spans="1:3" x14ac:dyDescent="0.2">
      <c r="A221" s="264">
        <v>23802</v>
      </c>
      <c r="B221" s="268">
        <v>31.31</v>
      </c>
      <c r="C221" s="269">
        <f t="shared" si="3"/>
        <v>1.1958629605688387E-2</v>
      </c>
    </row>
    <row r="222" spans="1:3" x14ac:dyDescent="0.2">
      <c r="A222" s="264">
        <v>23833</v>
      </c>
      <c r="B222" s="268">
        <v>31.38</v>
      </c>
      <c r="C222" s="269">
        <f t="shared" si="3"/>
        <v>1.3893376413570246E-2</v>
      </c>
    </row>
    <row r="223" spans="1:3" x14ac:dyDescent="0.2">
      <c r="A223" s="264">
        <v>23863</v>
      </c>
      <c r="B223" s="268">
        <v>31.48</v>
      </c>
      <c r="C223" s="269">
        <f t="shared" si="3"/>
        <v>1.6139444803098701E-2</v>
      </c>
    </row>
    <row r="224" spans="1:3" x14ac:dyDescent="0.2">
      <c r="A224" s="264">
        <v>23894</v>
      </c>
      <c r="B224" s="268">
        <v>31.61</v>
      </c>
      <c r="C224" s="269">
        <f t="shared" si="3"/>
        <v>1.9348597226700903E-2</v>
      </c>
    </row>
    <row r="225" spans="1:3" x14ac:dyDescent="0.2">
      <c r="A225" s="264">
        <v>23924</v>
      </c>
      <c r="B225" s="268">
        <v>31.58</v>
      </c>
      <c r="C225" s="269">
        <f t="shared" si="3"/>
        <v>1.8052869116698789E-2</v>
      </c>
    </row>
    <row r="226" spans="1:3" x14ac:dyDescent="0.2">
      <c r="A226" s="264">
        <v>23955</v>
      </c>
      <c r="B226" s="268">
        <v>31.55</v>
      </c>
      <c r="C226" s="269">
        <f t="shared" si="3"/>
        <v>1.6103059581320522E-2</v>
      </c>
    </row>
    <row r="227" spans="1:3" x14ac:dyDescent="0.2">
      <c r="A227" s="264">
        <v>23986</v>
      </c>
      <c r="B227" s="268">
        <v>31.62</v>
      </c>
      <c r="C227" s="269">
        <f t="shared" si="3"/>
        <v>1.7374517374517451E-2</v>
      </c>
    </row>
    <row r="228" spans="1:3" x14ac:dyDescent="0.2">
      <c r="A228" s="264">
        <v>24016</v>
      </c>
      <c r="B228" s="268">
        <v>31.65</v>
      </c>
      <c r="C228" s="269">
        <f t="shared" si="3"/>
        <v>1.7030848329048665E-2</v>
      </c>
    </row>
    <row r="229" spans="1:3" x14ac:dyDescent="0.2">
      <c r="A229" s="264">
        <v>24047</v>
      </c>
      <c r="B229" s="268">
        <v>31.75</v>
      </c>
      <c r="C229" s="269">
        <f t="shared" si="3"/>
        <v>1.7302146747837144E-2</v>
      </c>
    </row>
    <row r="230" spans="1:3" x14ac:dyDescent="0.2">
      <c r="A230" s="264">
        <v>24077</v>
      </c>
      <c r="B230" s="268">
        <v>31.85</v>
      </c>
      <c r="C230" s="269">
        <f t="shared" si="3"/>
        <v>1.9200000000000106E-2</v>
      </c>
    </row>
    <row r="231" spans="1:3" x14ac:dyDescent="0.2">
      <c r="A231" s="264">
        <v>24108</v>
      </c>
      <c r="B231" s="268">
        <v>31.88</v>
      </c>
      <c r="C231" s="269">
        <f t="shared" si="3"/>
        <v>1.9181585677749302E-2</v>
      </c>
    </row>
    <row r="232" spans="1:3" x14ac:dyDescent="0.2">
      <c r="A232" s="264">
        <v>24139</v>
      </c>
      <c r="B232" s="268">
        <v>32.08</v>
      </c>
      <c r="C232" s="269">
        <f t="shared" si="3"/>
        <v>2.5575447570332477E-2</v>
      </c>
    </row>
    <row r="233" spans="1:3" x14ac:dyDescent="0.2">
      <c r="A233" s="264">
        <v>24167</v>
      </c>
      <c r="B233" s="268">
        <v>32.18</v>
      </c>
      <c r="C233" s="269">
        <f t="shared" si="3"/>
        <v>2.7786649632705274E-2</v>
      </c>
    </row>
    <row r="234" spans="1:3" x14ac:dyDescent="0.2">
      <c r="A234" s="264">
        <v>24198</v>
      </c>
      <c r="B234" s="268">
        <v>32.28</v>
      </c>
      <c r="C234" s="269">
        <f t="shared" si="3"/>
        <v>2.8680688336520044E-2</v>
      </c>
    </row>
    <row r="235" spans="1:3" x14ac:dyDescent="0.2">
      <c r="A235" s="264">
        <v>24228</v>
      </c>
      <c r="B235" s="268">
        <v>32.35</v>
      </c>
      <c r="C235" s="269">
        <f t="shared" si="3"/>
        <v>2.7636594663278391E-2</v>
      </c>
    </row>
    <row r="236" spans="1:3" x14ac:dyDescent="0.2">
      <c r="A236" s="264">
        <v>24259</v>
      </c>
      <c r="B236" s="268">
        <v>32.380000000000003</v>
      </c>
      <c r="C236" s="269">
        <f t="shared" si="3"/>
        <v>2.4359379943056148E-2</v>
      </c>
    </row>
    <row r="237" spans="1:3" x14ac:dyDescent="0.2">
      <c r="A237" s="264">
        <v>24289</v>
      </c>
      <c r="B237" s="268">
        <v>32.450000000000003</v>
      </c>
      <c r="C237" s="269">
        <f t="shared" si="3"/>
        <v>2.7549081697276989E-2</v>
      </c>
    </row>
    <row r="238" spans="1:3" x14ac:dyDescent="0.2">
      <c r="A238" s="264">
        <v>24320</v>
      </c>
      <c r="B238" s="268">
        <v>32.65</v>
      </c>
      <c r="C238" s="269">
        <f t="shared" si="3"/>
        <v>3.4865293185419866E-2</v>
      </c>
    </row>
    <row r="239" spans="1:3" x14ac:dyDescent="0.2">
      <c r="A239" s="264">
        <v>24351</v>
      </c>
      <c r="B239" s="268">
        <v>32.75</v>
      </c>
      <c r="C239" s="269">
        <f t="shared" si="3"/>
        <v>3.5736875395319334E-2</v>
      </c>
    </row>
    <row r="240" spans="1:3" x14ac:dyDescent="0.2">
      <c r="A240" s="264">
        <v>24381</v>
      </c>
      <c r="B240" s="268">
        <v>32.85</v>
      </c>
      <c r="C240" s="269">
        <f t="shared" si="3"/>
        <v>3.7914691943128132E-2</v>
      </c>
    </row>
    <row r="241" spans="1:3" x14ac:dyDescent="0.2">
      <c r="A241" s="264">
        <v>24412</v>
      </c>
      <c r="B241" s="268">
        <v>32.880000000000003</v>
      </c>
      <c r="C241" s="269">
        <f t="shared" si="3"/>
        <v>3.5590551181102548E-2</v>
      </c>
    </row>
    <row r="242" spans="1:3" x14ac:dyDescent="0.2">
      <c r="A242" s="264">
        <v>24442</v>
      </c>
      <c r="B242" s="268">
        <v>32.92</v>
      </c>
      <c r="C242" s="269">
        <f t="shared" si="3"/>
        <v>3.3594976452119285E-2</v>
      </c>
    </row>
    <row r="243" spans="1:3" x14ac:dyDescent="0.2">
      <c r="A243" s="264">
        <v>24473</v>
      </c>
      <c r="B243" s="268">
        <v>32.9</v>
      </c>
      <c r="C243" s="269">
        <f t="shared" si="3"/>
        <v>3.1994981179422899E-2</v>
      </c>
    </row>
    <row r="244" spans="1:3" x14ac:dyDescent="0.2">
      <c r="A244" s="264">
        <v>24504</v>
      </c>
      <c r="B244" s="268">
        <v>33</v>
      </c>
      <c r="C244" s="269">
        <f t="shared" si="3"/>
        <v>2.8678304239401653E-2</v>
      </c>
    </row>
    <row r="245" spans="1:3" x14ac:dyDescent="0.2">
      <c r="A245" s="264">
        <v>24532</v>
      </c>
      <c r="B245" s="268">
        <v>33</v>
      </c>
      <c r="C245" s="269">
        <f t="shared" si="3"/>
        <v>2.5481665630826544E-2</v>
      </c>
    </row>
    <row r="246" spans="1:3" x14ac:dyDescent="0.2">
      <c r="A246" s="264">
        <v>24563</v>
      </c>
      <c r="B246" s="268">
        <v>33.1</v>
      </c>
      <c r="C246" s="269">
        <f t="shared" si="3"/>
        <v>2.5402726146220633E-2</v>
      </c>
    </row>
    <row r="247" spans="1:3" x14ac:dyDescent="0.2">
      <c r="A247" s="264">
        <v>24593</v>
      </c>
      <c r="B247" s="268">
        <v>33.1</v>
      </c>
      <c r="C247" s="269">
        <f t="shared" si="3"/>
        <v>2.3183925811437467E-2</v>
      </c>
    </row>
    <row r="248" spans="1:3" x14ac:dyDescent="0.2">
      <c r="A248" s="264">
        <v>24624</v>
      </c>
      <c r="B248" s="268">
        <v>33.299999999999997</v>
      </c>
      <c r="C248" s="269">
        <f t="shared" si="3"/>
        <v>2.8412600370598895E-2</v>
      </c>
    </row>
    <row r="249" spans="1:3" x14ac:dyDescent="0.2">
      <c r="A249" s="264">
        <v>24654</v>
      </c>
      <c r="B249" s="268">
        <v>33.4</v>
      </c>
      <c r="C249" s="269">
        <f t="shared" si="3"/>
        <v>2.9275808936825687E-2</v>
      </c>
    </row>
    <row r="250" spans="1:3" x14ac:dyDescent="0.2">
      <c r="A250" s="264">
        <v>24685</v>
      </c>
      <c r="B250" s="268">
        <v>33.5</v>
      </c>
      <c r="C250" s="269">
        <f t="shared" si="3"/>
        <v>2.6033690658499253E-2</v>
      </c>
    </row>
    <row r="251" spans="1:3" x14ac:dyDescent="0.2">
      <c r="A251" s="264">
        <v>24716</v>
      </c>
      <c r="B251" s="268">
        <v>33.6</v>
      </c>
      <c r="C251" s="269">
        <f t="shared" si="3"/>
        <v>2.5954198473282508E-2</v>
      </c>
    </row>
    <row r="252" spans="1:3" x14ac:dyDescent="0.2">
      <c r="A252" s="264">
        <v>24746</v>
      </c>
      <c r="B252" s="268">
        <v>33.700000000000003</v>
      </c>
      <c r="C252" s="269">
        <f t="shared" si="3"/>
        <v>2.5875190258751957E-2</v>
      </c>
    </row>
    <row r="253" spans="1:3" x14ac:dyDescent="0.2">
      <c r="A253" s="264">
        <v>24777</v>
      </c>
      <c r="B253" s="268">
        <v>33.9</v>
      </c>
      <c r="C253" s="269">
        <f t="shared" si="3"/>
        <v>3.1021897810218801E-2</v>
      </c>
    </row>
    <row r="254" spans="1:3" x14ac:dyDescent="0.2">
      <c r="A254" s="264">
        <v>24807</v>
      </c>
      <c r="B254" s="268">
        <v>34</v>
      </c>
      <c r="C254" s="269">
        <f t="shared" si="3"/>
        <v>3.2806804374240439E-2</v>
      </c>
    </row>
    <row r="255" spans="1:3" x14ac:dyDescent="0.2">
      <c r="A255" s="264">
        <v>24838</v>
      </c>
      <c r="B255" s="268">
        <v>34.1</v>
      </c>
      <c r="C255" s="269">
        <f t="shared" si="3"/>
        <v>3.6474164133738718E-2</v>
      </c>
    </row>
    <row r="256" spans="1:3" x14ac:dyDescent="0.2">
      <c r="A256" s="264">
        <v>24869</v>
      </c>
      <c r="B256" s="268">
        <v>34.200000000000003</v>
      </c>
      <c r="C256" s="269">
        <f t="shared" si="3"/>
        <v>3.6363636363636376E-2</v>
      </c>
    </row>
    <row r="257" spans="1:3" x14ac:dyDescent="0.2">
      <c r="A257" s="264">
        <v>24898</v>
      </c>
      <c r="B257" s="268">
        <v>34.299999999999997</v>
      </c>
      <c r="C257" s="269">
        <f t="shared" si="3"/>
        <v>3.9393939393939315E-2</v>
      </c>
    </row>
    <row r="258" spans="1:3" x14ac:dyDescent="0.2">
      <c r="A258" s="264">
        <v>24929</v>
      </c>
      <c r="B258" s="268">
        <v>34.4</v>
      </c>
      <c r="C258" s="269">
        <f t="shared" si="3"/>
        <v>3.92749244712991E-2</v>
      </c>
    </row>
    <row r="259" spans="1:3" x14ac:dyDescent="0.2">
      <c r="A259" s="264">
        <v>24959</v>
      </c>
      <c r="B259" s="268">
        <v>34.5</v>
      </c>
      <c r="C259" s="269">
        <f t="shared" si="3"/>
        <v>4.229607250755274E-2</v>
      </c>
    </row>
    <row r="260" spans="1:3" x14ac:dyDescent="0.2">
      <c r="A260" s="264">
        <v>24990</v>
      </c>
      <c r="B260" s="268">
        <v>34.700000000000003</v>
      </c>
      <c r="C260" s="269">
        <f t="shared" si="3"/>
        <v>4.2042042042042205E-2</v>
      </c>
    </row>
    <row r="261" spans="1:3" x14ac:dyDescent="0.2">
      <c r="A261" s="264">
        <v>25020</v>
      </c>
      <c r="B261" s="268">
        <v>34.9</v>
      </c>
      <c r="C261" s="269">
        <f t="shared" si="3"/>
        <v>4.4910179640718528E-2</v>
      </c>
    </row>
    <row r="262" spans="1:3" x14ac:dyDescent="0.2">
      <c r="A262" s="264">
        <v>25051</v>
      </c>
      <c r="B262" s="268">
        <v>35</v>
      </c>
      <c r="C262" s="269">
        <f t="shared" si="3"/>
        <v>4.4776119402984982E-2</v>
      </c>
    </row>
    <row r="263" spans="1:3" x14ac:dyDescent="0.2">
      <c r="A263" s="264">
        <v>25082</v>
      </c>
      <c r="B263" s="268">
        <v>35.1</v>
      </c>
      <c r="C263" s="269">
        <f t="shared" si="3"/>
        <v>4.4642857142857206E-2</v>
      </c>
    </row>
    <row r="264" spans="1:3" x14ac:dyDescent="0.2">
      <c r="A264" s="264">
        <v>25112</v>
      </c>
      <c r="B264" s="268">
        <v>35.299999999999997</v>
      </c>
      <c r="C264" s="269">
        <f t="shared" si="3"/>
        <v>4.7477744807121525E-2</v>
      </c>
    </row>
    <row r="265" spans="1:3" x14ac:dyDescent="0.2">
      <c r="A265" s="264">
        <v>25143</v>
      </c>
      <c r="B265" s="268">
        <v>35.4</v>
      </c>
      <c r="C265" s="269">
        <f t="shared" si="3"/>
        <v>4.4247787610619538E-2</v>
      </c>
    </row>
    <row r="266" spans="1:3" x14ac:dyDescent="0.2">
      <c r="A266" s="264">
        <v>25173</v>
      </c>
      <c r="B266" s="268">
        <v>35.6</v>
      </c>
      <c r="C266" s="269">
        <f t="shared" si="3"/>
        <v>4.705882352941182E-2</v>
      </c>
    </row>
    <row r="267" spans="1:3" x14ac:dyDescent="0.2">
      <c r="A267" s="264">
        <v>25204</v>
      </c>
      <c r="B267" s="268">
        <v>35.700000000000003</v>
      </c>
      <c r="C267" s="269">
        <f t="shared" si="3"/>
        <v>4.692082111436946E-2</v>
      </c>
    </row>
    <row r="268" spans="1:3" x14ac:dyDescent="0.2">
      <c r="A268" s="264">
        <v>25235</v>
      </c>
      <c r="B268" s="268">
        <v>35.799999999999997</v>
      </c>
      <c r="C268" s="269">
        <f t="shared" si="3"/>
        <v>4.6783625730993927E-2</v>
      </c>
    </row>
    <row r="269" spans="1:3" x14ac:dyDescent="0.2">
      <c r="A269" s="264">
        <v>25263</v>
      </c>
      <c r="B269" s="268">
        <v>36.1</v>
      </c>
      <c r="C269" s="269">
        <f t="shared" si="3"/>
        <v>5.2478134110787389E-2</v>
      </c>
    </row>
    <row r="270" spans="1:3" x14ac:dyDescent="0.2">
      <c r="A270" s="264">
        <v>25294</v>
      </c>
      <c r="B270" s="268">
        <v>36.299999999999997</v>
      </c>
      <c r="C270" s="269">
        <f t="shared" si="3"/>
        <v>5.523255813953476E-2</v>
      </c>
    </row>
    <row r="271" spans="1:3" x14ac:dyDescent="0.2">
      <c r="A271" s="264">
        <v>25324</v>
      </c>
      <c r="B271" s="268">
        <v>36.4</v>
      </c>
      <c r="C271" s="269">
        <f t="shared" si="3"/>
        <v>5.507246376811592E-2</v>
      </c>
    </row>
    <row r="272" spans="1:3" x14ac:dyDescent="0.2">
      <c r="A272" s="264">
        <v>25355</v>
      </c>
      <c r="B272" s="268">
        <v>36.6</v>
      </c>
      <c r="C272" s="269">
        <f t="shared" ref="C272:C335" si="4">B272/B260-1</f>
        <v>5.4755043227665556E-2</v>
      </c>
    </row>
    <row r="273" spans="1:3" x14ac:dyDescent="0.2">
      <c r="A273" s="264">
        <v>25385</v>
      </c>
      <c r="B273" s="268">
        <v>36.799999999999997</v>
      </c>
      <c r="C273" s="269">
        <f t="shared" si="4"/>
        <v>5.4441260744985565E-2</v>
      </c>
    </row>
    <row r="274" spans="1:3" x14ac:dyDescent="0.2">
      <c r="A274" s="264">
        <v>25416</v>
      </c>
      <c r="B274" s="268">
        <v>36.9</v>
      </c>
      <c r="C274" s="269">
        <f t="shared" si="4"/>
        <v>5.428571428571427E-2</v>
      </c>
    </row>
    <row r="275" spans="1:3" x14ac:dyDescent="0.2">
      <c r="A275" s="264">
        <v>25447</v>
      </c>
      <c r="B275" s="268">
        <v>37.1</v>
      </c>
      <c r="C275" s="269">
        <f t="shared" si="4"/>
        <v>5.6980056980056926E-2</v>
      </c>
    </row>
    <row r="276" spans="1:3" x14ac:dyDescent="0.2">
      <c r="A276" s="264">
        <v>25477</v>
      </c>
      <c r="B276" s="268">
        <v>37.299999999999997</v>
      </c>
      <c r="C276" s="269">
        <f t="shared" si="4"/>
        <v>5.6657223796034106E-2</v>
      </c>
    </row>
    <row r="277" spans="1:3" x14ac:dyDescent="0.2">
      <c r="A277" s="264">
        <v>25508</v>
      </c>
      <c r="B277" s="268">
        <v>37.5</v>
      </c>
      <c r="C277" s="269">
        <f t="shared" si="4"/>
        <v>5.9322033898305149E-2</v>
      </c>
    </row>
    <row r="278" spans="1:3" x14ac:dyDescent="0.2">
      <c r="A278" s="264">
        <v>25538</v>
      </c>
      <c r="B278" s="268">
        <v>37.700000000000003</v>
      </c>
      <c r="C278" s="269">
        <f t="shared" si="4"/>
        <v>5.8988764044943798E-2</v>
      </c>
    </row>
    <row r="279" spans="1:3" x14ac:dyDescent="0.2">
      <c r="A279" s="264">
        <v>25569</v>
      </c>
      <c r="B279" s="268">
        <v>37.9</v>
      </c>
      <c r="C279" s="269">
        <f t="shared" si="4"/>
        <v>6.1624649859943759E-2</v>
      </c>
    </row>
    <row r="280" spans="1:3" x14ac:dyDescent="0.2">
      <c r="A280" s="264">
        <v>25600</v>
      </c>
      <c r="B280" s="268">
        <v>38.1</v>
      </c>
      <c r="C280" s="269">
        <f t="shared" si="4"/>
        <v>6.4245810055866048E-2</v>
      </c>
    </row>
    <row r="281" spans="1:3" x14ac:dyDescent="0.2">
      <c r="A281" s="264">
        <v>25628</v>
      </c>
      <c r="B281" s="268">
        <v>38.299999999999997</v>
      </c>
      <c r="C281" s="269">
        <f t="shared" si="4"/>
        <v>6.0941828254847508E-2</v>
      </c>
    </row>
    <row r="282" spans="1:3" x14ac:dyDescent="0.2">
      <c r="A282" s="264">
        <v>25659</v>
      </c>
      <c r="B282" s="268">
        <v>38.5</v>
      </c>
      <c r="C282" s="269">
        <f t="shared" si="4"/>
        <v>6.0606060606060774E-2</v>
      </c>
    </row>
    <row r="283" spans="1:3" x14ac:dyDescent="0.2">
      <c r="A283" s="264">
        <v>25689</v>
      </c>
      <c r="B283" s="268">
        <v>38.6</v>
      </c>
      <c r="C283" s="269">
        <f t="shared" si="4"/>
        <v>6.0439560439560447E-2</v>
      </c>
    </row>
    <row r="284" spans="1:3" x14ac:dyDescent="0.2">
      <c r="A284" s="264">
        <v>25720</v>
      </c>
      <c r="B284" s="268">
        <v>38.799999999999997</v>
      </c>
      <c r="C284" s="269">
        <f t="shared" si="4"/>
        <v>6.0109289617486183E-2</v>
      </c>
    </row>
    <row r="285" spans="1:3" x14ac:dyDescent="0.2">
      <c r="A285" s="264">
        <v>25750</v>
      </c>
      <c r="B285" s="268">
        <v>38.9</v>
      </c>
      <c r="C285" s="269">
        <f t="shared" si="4"/>
        <v>5.7065217391304435E-2</v>
      </c>
    </row>
    <row r="286" spans="1:3" x14ac:dyDescent="0.2">
      <c r="A286" s="264">
        <v>25781</v>
      </c>
      <c r="B286" s="268">
        <v>39</v>
      </c>
      <c r="C286" s="269">
        <f t="shared" si="4"/>
        <v>5.6910569105691033E-2</v>
      </c>
    </row>
    <row r="287" spans="1:3" x14ac:dyDescent="0.2">
      <c r="A287" s="264">
        <v>25812</v>
      </c>
      <c r="B287" s="268">
        <v>39.200000000000003</v>
      </c>
      <c r="C287" s="269">
        <f t="shared" si="4"/>
        <v>5.6603773584905648E-2</v>
      </c>
    </row>
    <row r="288" spans="1:3" x14ac:dyDescent="0.2">
      <c r="A288" s="264">
        <v>25842</v>
      </c>
      <c r="B288" s="268">
        <v>39.4</v>
      </c>
      <c r="C288" s="269">
        <f t="shared" si="4"/>
        <v>5.6300268096514783E-2</v>
      </c>
    </row>
    <row r="289" spans="1:3" x14ac:dyDescent="0.2">
      <c r="A289" s="264">
        <v>25873</v>
      </c>
      <c r="B289" s="268">
        <v>39.6</v>
      </c>
      <c r="C289" s="269">
        <f t="shared" si="4"/>
        <v>5.600000000000005E-2</v>
      </c>
    </row>
    <row r="290" spans="1:3" x14ac:dyDescent="0.2">
      <c r="A290" s="264">
        <v>25903</v>
      </c>
      <c r="B290" s="268">
        <v>39.799999999999997</v>
      </c>
      <c r="C290" s="269">
        <f t="shared" si="4"/>
        <v>5.5702917771883076E-2</v>
      </c>
    </row>
    <row r="291" spans="1:3" x14ac:dyDescent="0.2">
      <c r="A291" s="264">
        <v>25934</v>
      </c>
      <c r="B291" s="268">
        <v>39.9</v>
      </c>
      <c r="C291" s="269">
        <f t="shared" si="4"/>
        <v>5.2770448548812743E-2</v>
      </c>
    </row>
    <row r="292" spans="1:3" x14ac:dyDescent="0.2">
      <c r="A292" s="264">
        <v>25965</v>
      </c>
      <c r="B292" s="268">
        <v>39.9</v>
      </c>
      <c r="C292" s="269">
        <f t="shared" si="4"/>
        <v>4.7244094488188892E-2</v>
      </c>
    </row>
    <row r="293" spans="1:3" x14ac:dyDescent="0.2">
      <c r="A293" s="264">
        <v>25993</v>
      </c>
      <c r="B293" s="268">
        <v>40</v>
      </c>
      <c r="C293" s="269">
        <f t="shared" si="4"/>
        <v>4.4386422976501416E-2</v>
      </c>
    </row>
    <row r="294" spans="1:3" x14ac:dyDescent="0.2">
      <c r="A294" s="264">
        <v>26024</v>
      </c>
      <c r="B294" s="268">
        <v>40.1</v>
      </c>
      <c r="C294" s="269">
        <f t="shared" si="4"/>
        <v>4.1558441558441572E-2</v>
      </c>
    </row>
    <row r="295" spans="1:3" x14ac:dyDescent="0.2">
      <c r="A295" s="264">
        <v>26054</v>
      </c>
      <c r="B295" s="268">
        <v>40.299999999999997</v>
      </c>
      <c r="C295" s="269">
        <f t="shared" si="4"/>
        <v>4.4041450777202007E-2</v>
      </c>
    </row>
    <row r="296" spans="1:3" x14ac:dyDescent="0.2">
      <c r="A296" s="264">
        <v>26085</v>
      </c>
      <c r="B296" s="268">
        <v>40.5</v>
      </c>
      <c r="C296" s="269">
        <f t="shared" si="4"/>
        <v>4.3814432989690788E-2</v>
      </c>
    </row>
    <row r="297" spans="1:3" x14ac:dyDescent="0.2">
      <c r="A297" s="264">
        <v>26115</v>
      </c>
      <c r="B297" s="268">
        <v>40.6</v>
      </c>
      <c r="C297" s="269">
        <f t="shared" si="4"/>
        <v>4.3701799485861281E-2</v>
      </c>
    </row>
    <row r="298" spans="1:3" x14ac:dyDescent="0.2">
      <c r="A298" s="264">
        <v>26146</v>
      </c>
      <c r="B298" s="268">
        <v>40.700000000000003</v>
      </c>
      <c r="C298" s="269">
        <f t="shared" si="4"/>
        <v>4.3589743589743657E-2</v>
      </c>
    </row>
    <row r="299" spans="1:3" x14ac:dyDescent="0.2">
      <c r="A299" s="264">
        <v>26177</v>
      </c>
      <c r="B299" s="268">
        <v>40.799999999999997</v>
      </c>
      <c r="C299" s="269">
        <f t="shared" si="4"/>
        <v>4.0816326530612068E-2</v>
      </c>
    </row>
    <row r="300" spans="1:3" x14ac:dyDescent="0.2">
      <c r="A300" s="264">
        <v>26207</v>
      </c>
      <c r="B300" s="268">
        <v>40.9</v>
      </c>
      <c r="C300" s="269">
        <f t="shared" si="4"/>
        <v>3.8071065989847774E-2</v>
      </c>
    </row>
    <row r="301" spans="1:3" x14ac:dyDescent="0.2">
      <c r="A301" s="264">
        <v>26238</v>
      </c>
      <c r="B301" s="268">
        <v>41</v>
      </c>
      <c r="C301" s="269">
        <f t="shared" si="4"/>
        <v>3.5353535353535248E-2</v>
      </c>
    </row>
    <row r="302" spans="1:3" x14ac:dyDescent="0.2">
      <c r="A302" s="264">
        <v>26268</v>
      </c>
      <c r="B302" s="268">
        <v>41.1</v>
      </c>
      <c r="C302" s="269">
        <f t="shared" si="4"/>
        <v>3.2663316582914659E-2</v>
      </c>
    </row>
    <row r="303" spans="1:3" x14ac:dyDescent="0.2">
      <c r="A303" s="264">
        <v>26299</v>
      </c>
      <c r="B303" s="268">
        <v>41.2</v>
      </c>
      <c r="C303" s="269">
        <f t="shared" si="4"/>
        <v>3.2581453634085378E-2</v>
      </c>
    </row>
    <row r="304" spans="1:3" x14ac:dyDescent="0.2">
      <c r="A304" s="264">
        <v>26330</v>
      </c>
      <c r="B304" s="268">
        <v>41.4</v>
      </c>
      <c r="C304" s="269">
        <f t="shared" si="4"/>
        <v>3.7593984962406068E-2</v>
      </c>
    </row>
    <row r="305" spans="1:3" x14ac:dyDescent="0.2">
      <c r="A305" s="264">
        <v>26359</v>
      </c>
      <c r="B305" s="268">
        <v>41.4</v>
      </c>
      <c r="C305" s="269">
        <f t="shared" si="4"/>
        <v>3.499999999999992E-2</v>
      </c>
    </row>
    <row r="306" spans="1:3" x14ac:dyDescent="0.2">
      <c r="A306" s="264">
        <v>26390</v>
      </c>
      <c r="B306" s="268">
        <v>41.5</v>
      </c>
      <c r="C306" s="269">
        <f t="shared" si="4"/>
        <v>3.4912718204488824E-2</v>
      </c>
    </row>
    <row r="307" spans="1:3" x14ac:dyDescent="0.2">
      <c r="A307" s="264">
        <v>26420</v>
      </c>
      <c r="B307" s="268">
        <v>41.6</v>
      </c>
      <c r="C307" s="269">
        <f t="shared" si="4"/>
        <v>3.2258064516129226E-2</v>
      </c>
    </row>
    <row r="308" spans="1:3" x14ac:dyDescent="0.2">
      <c r="A308" s="264">
        <v>26451</v>
      </c>
      <c r="B308" s="268">
        <v>41.7</v>
      </c>
      <c r="C308" s="269">
        <f t="shared" si="4"/>
        <v>2.9629629629629672E-2</v>
      </c>
    </row>
    <row r="309" spans="1:3" x14ac:dyDescent="0.2">
      <c r="A309" s="264">
        <v>26481</v>
      </c>
      <c r="B309" s="268">
        <v>41.8</v>
      </c>
      <c r="C309" s="269">
        <f t="shared" si="4"/>
        <v>2.9556650246305383E-2</v>
      </c>
    </row>
    <row r="310" spans="1:3" x14ac:dyDescent="0.2">
      <c r="A310" s="264">
        <v>26512</v>
      </c>
      <c r="B310" s="268">
        <v>41.9</v>
      </c>
      <c r="C310" s="269">
        <f t="shared" si="4"/>
        <v>2.9484029484029284E-2</v>
      </c>
    </row>
    <row r="311" spans="1:3" x14ac:dyDescent="0.2">
      <c r="A311" s="264">
        <v>26543</v>
      </c>
      <c r="B311" s="268">
        <v>42.1</v>
      </c>
      <c r="C311" s="269">
        <f t="shared" si="4"/>
        <v>3.1862745098039325E-2</v>
      </c>
    </row>
    <row r="312" spans="1:3" x14ac:dyDescent="0.2">
      <c r="A312" s="264">
        <v>26573</v>
      </c>
      <c r="B312" s="268">
        <v>42.2</v>
      </c>
      <c r="C312" s="269">
        <f t="shared" si="4"/>
        <v>3.1784841075794823E-2</v>
      </c>
    </row>
    <row r="313" spans="1:3" x14ac:dyDescent="0.2">
      <c r="A313" s="264">
        <v>26604</v>
      </c>
      <c r="B313" s="268">
        <v>42.4</v>
      </c>
      <c r="C313" s="269">
        <f t="shared" si="4"/>
        <v>3.4146341463414664E-2</v>
      </c>
    </row>
    <row r="314" spans="1:3" x14ac:dyDescent="0.2">
      <c r="A314" s="264">
        <v>26634</v>
      </c>
      <c r="B314" s="268">
        <v>42.5</v>
      </c>
      <c r="C314" s="269">
        <f t="shared" si="4"/>
        <v>3.4063260340632562E-2</v>
      </c>
    </row>
    <row r="315" spans="1:3" x14ac:dyDescent="0.2">
      <c r="A315" s="264">
        <v>26665</v>
      </c>
      <c r="B315" s="268">
        <v>42.7</v>
      </c>
      <c r="C315" s="269">
        <f t="shared" si="4"/>
        <v>3.6407766990291357E-2</v>
      </c>
    </row>
    <row r="316" spans="1:3" x14ac:dyDescent="0.2">
      <c r="A316" s="264">
        <v>26696</v>
      </c>
      <c r="B316" s="268">
        <v>43</v>
      </c>
      <c r="C316" s="269">
        <f t="shared" si="4"/>
        <v>3.8647342995169032E-2</v>
      </c>
    </row>
    <row r="317" spans="1:3" x14ac:dyDescent="0.2">
      <c r="A317" s="264">
        <v>26724</v>
      </c>
      <c r="B317" s="268">
        <v>43.4</v>
      </c>
      <c r="C317" s="269">
        <f t="shared" si="4"/>
        <v>4.8309178743961345E-2</v>
      </c>
    </row>
    <row r="318" spans="1:3" x14ac:dyDescent="0.2">
      <c r="A318" s="264">
        <v>26755</v>
      </c>
      <c r="B318" s="268">
        <v>43.7</v>
      </c>
      <c r="C318" s="269">
        <f t="shared" si="4"/>
        <v>5.3012048192771166E-2</v>
      </c>
    </row>
    <row r="319" spans="1:3" x14ac:dyDescent="0.2">
      <c r="A319" s="264">
        <v>26785</v>
      </c>
      <c r="B319" s="268">
        <v>43.9</v>
      </c>
      <c r="C319" s="269">
        <f t="shared" si="4"/>
        <v>5.5288461538461453E-2</v>
      </c>
    </row>
    <row r="320" spans="1:3" x14ac:dyDescent="0.2">
      <c r="A320" s="264">
        <v>26816</v>
      </c>
      <c r="B320" s="268">
        <v>44.2</v>
      </c>
      <c r="C320" s="269">
        <f t="shared" si="4"/>
        <v>5.9952038369304628E-2</v>
      </c>
    </row>
    <row r="321" spans="1:3" x14ac:dyDescent="0.2">
      <c r="A321" s="264">
        <v>26846</v>
      </c>
      <c r="B321" s="268">
        <v>44.2</v>
      </c>
      <c r="C321" s="269">
        <f t="shared" si="4"/>
        <v>5.741626794258381E-2</v>
      </c>
    </row>
    <row r="322" spans="1:3" x14ac:dyDescent="0.2">
      <c r="A322" s="264">
        <v>26877</v>
      </c>
      <c r="B322" s="268">
        <v>45</v>
      </c>
      <c r="C322" s="269">
        <f t="shared" si="4"/>
        <v>7.398568019093088E-2</v>
      </c>
    </row>
    <row r="323" spans="1:3" x14ac:dyDescent="0.2">
      <c r="A323" s="264">
        <v>26908</v>
      </c>
      <c r="B323" s="268">
        <v>45.2</v>
      </c>
      <c r="C323" s="269">
        <f t="shared" si="4"/>
        <v>7.3634204275534465E-2</v>
      </c>
    </row>
    <row r="324" spans="1:3" x14ac:dyDescent="0.2">
      <c r="A324" s="264">
        <v>26938</v>
      </c>
      <c r="B324" s="268">
        <v>45.6</v>
      </c>
      <c r="C324" s="269">
        <f t="shared" si="4"/>
        <v>8.0568720379146974E-2</v>
      </c>
    </row>
    <row r="325" spans="1:3" x14ac:dyDescent="0.2">
      <c r="A325" s="264">
        <v>26969</v>
      </c>
      <c r="B325" s="268">
        <v>45.9</v>
      </c>
      <c r="C325" s="269">
        <f t="shared" si="4"/>
        <v>8.2547169811320709E-2</v>
      </c>
    </row>
    <row r="326" spans="1:3" x14ac:dyDescent="0.2">
      <c r="A326" s="264">
        <v>26999</v>
      </c>
      <c r="B326" s="268">
        <v>46.3</v>
      </c>
      <c r="C326" s="269">
        <f t="shared" si="4"/>
        <v>8.9411764705882302E-2</v>
      </c>
    </row>
    <row r="327" spans="1:3" x14ac:dyDescent="0.2">
      <c r="A327" s="264">
        <v>27030</v>
      </c>
      <c r="B327" s="268">
        <v>46.8</v>
      </c>
      <c r="C327" s="269">
        <f t="shared" si="4"/>
        <v>9.6018735362997543E-2</v>
      </c>
    </row>
    <row r="328" spans="1:3" x14ac:dyDescent="0.2">
      <c r="A328" s="264">
        <v>27061</v>
      </c>
      <c r="B328" s="268">
        <v>47.3</v>
      </c>
      <c r="C328" s="269">
        <f t="shared" si="4"/>
        <v>9.9999999999999867E-2</v>
      </c>
    </row>
    <row r="329" spans="1:3" x14ac:dyDescent="0.2">
      <c r="A329" s="264">
        <v>27089</v>
      </c>
      <c r="B329" s="268">
        <v>47.8</v>
      </c>
      <c r="C329" s="269">
        <f t="shared" si="4"/>
        <v>0.10138248847926268</v>
      </c>
    </row>
    <row r="330" spans="1:3" x14ac:dyDescent="0.2">
      <c r="A330" s="264">
        <v>27120</v>
      </c>
      <c r="B330" s="268">
        <v>48.1</v>
      </c>
      <c r="C330" s="269">
        <f t="shared" si="4"/>
        <v>0.10068649885583514</v>
      </c>
    </row>
    <row r="331" spans="1:3" x14ac:dyDescent="0.2">
      <c r="A331" s="264">
        <v>27150</v>
      </c>
      <c r="B331" s="268">
        <v>48.6</v>
      </c>
      <c r="C331" s="269">
        <f t="shared" si="4"/>
        <v>0.1070615034168565</v>
      </c>
    </row>
    <row r="332" spans="1:3" x14ac:dyDescent="0.2">
      <c r="A332" s="264">
        <v>27181</v>
      </c>
      <c r="B332" s="268">
        <v>49</v>
      </c>
      <c r="C332" s="269">
        <f t="shared" si="4"/>
        <v>0.10859728506787314</v>
      </c>
    </row>
    <row r="333" spans="1:3" x14ac:dyDescent="0.2">
      <c r="A333" s="264">
        <v>27211</v>
      </c>
      <c r="B333" s="268">
        <v>49.3</v>
      </c>
      <c r="C333" s="269">
        <f t="shared" si="4"/>
        <v>0.1153846153846152</v>
      </c>
    </row>
    <row r="334" spans="1:3" x14ac:dyDescent="0.2">
      <c r="A334" s="264">
        <v>27242</v>
      </c>
      <c r="B334" s="268">
        <v>49.9</v>
      </c>
      <c r="C334" s="269">
        <f t="shared" si="4"/>
        <v>0.10888888888888881</v>
      </c>
    </row>
    <row r="335" spans="1:3" x14ac:dyDescent="0.2">
      <c r="A335" s="264">
        <v>27273</v>
      </c>
      <c r="B335" s="268">
        <v>50.6</v>
      </c>
      <c r="C335" s="269">
        <f t="shared" si="4"/>
        <v>0.11946902654867242</v>
      </c>
    </row>
    <row r="336" spans="1:3" x14ac:dyDescent="0.2">
      <c r="A336" s="264">
        <v>27303</v>
      </c>
      <c r="B336" s="268">
        <v>51</v>
      </c>
      <c r="C336" s="269">
        <f t="shared" ref="C336:C399" si="5">B336/B324-1</f>
        <v>0.11842105263157898</v>
      </c>
    </row>
    <row r="337" spans="1:3" x14ac:dyDescent="0.2">
      <c r="A337" s="264">
        <v>27334</v>
      </c>
      <c r="B337" s="268">
        <v>51.5</v>
      </c>
      <c r="C337" s="269">
        <f t="shared" si="5"/>
        <v>0.12200435729847503</v>
      </c>
    </row>
    <row r="338" spans="1:3" x14ac:dyDescent="0.2">
      <c r="A338" s="264">
        <v>27364</v>
      </c>
      <c r="B338" s="268">
        <v>51.9</v>
      </c>
      <c r="C338" s="269">
        <f t="shared" si="5"/>
        <v>0.12095032397408212</v>
      </c>
    </row>
    <row r="339" spans="1:3" x14ac:dyDescent="0.2">
      <c r="A339" s="264">
        <v>27395</v>
      </c>
      <c r="B339" s="268">
        <v>52.3</v>
      </c>
      <c r="C339" s="269">
        <f t="shared" si="5"/>
        <v>0.11752136752136755</v>
      </c>
    </row>
    <row r="340" spans="1:3" x14ac:dyDescent="0.2">
      <c r="A340" s="264">
        <v>27426</v>
      </c>
      <c r="B340" s="268">
        <v>52.6</v>
      </c>
      <c r="C340" s="269">
        <f t="shared" si="5"/>
        <v>0.11205073995771686</v>
      </c>
    </row>
    <row r="341" spans="1:3" x14ac:dyDescent="0.2">
      <c r="A341" s="264">
        <v>27454</v>
      </c>
      <c r="B341" s="268">
        <v>52.8</v>
      </c>
      <c r="C341" s="269">
        <f t="shared" si="5"/>
        <v>0.10460251046025104</v>
      </c>
    </row>
    <row r="342" spans="1:3" x14ac:dyDescent="0.2">
      <c r="A342" s="264">
        <v>27485</v>
      </c>
      <c r="B342" s="268">
        <v>53</v>
      </c>
      <c r="C342" s="269">
        <f t="shared" si="5"/>
        <v>0.10187110187110182</v>
      </c>
    </row>
    <row r="343" spans="1:3" x14ac:dyDescent="0.2">
      <c r="A343" s="264">
        <v>27515</v>
      </c>
      <c r="B343" s="268">
        <v>53.1</v>
      </c>
      <c r="C343" s="269">
        <f t="shared" si="5"/>
        <v>9.259259259259256E-2</v>
      </c>
    </row>
    <row r="344" spans="1:3" x14ac:dyDescent="0.2">
      <c r="A344" s="264">
        <v>27546</v>
      </c>
      <c r="B344" s="268">
        <v>53.5</v>
      </c>
      <c r="C344" s="269">
        <f t="shared" si="5"/>
        <v>9.1836734693877542E-2</v>
      </c>
    </row>
    <row r="345" spans="1:3" x14ac:dyDescent="0.2">
      <c r="A345" s="264">
        <v>27576</v>
      </c>
      <c r="B345" s="268">
        <v>54</v>
      </c>
      <c r="C345" s="269">
        <f t="shared" si="5"/>
        <v>9.5334685598377433E-2</v>
      </c>
    </row>
    <row r="346" spans="1:3" x14ac:dyDescent="0.2">
      <c r="A346" s="264">
        <v>27607</v>
      </c>
      <c r="B346" s="268">
        <v>54.2</v>
      </c>
      <c r="C346" s="269">
        <f t="shared" si="5"/>
        <v>8.6172344689378955E-2</v>
      </c>
    </row>
    <row r="347" spans="1:3" x14ac:dyDescent="0.2">
      <c r="A347" s="264">
        <v>27638</v>
      </c>
      <c r="B347" s="268">
        <v>54.6</v>
      </c>
      <c r="C347" s="269">
        <f t="shared" si="5"/>
        <v>7.9051383399209474E-2</v>
      </c>
    </row>
    <row r="348" spans="1:3" x14ac:dyDescent="0.2">
      <c r="A348" s="264">
        <v>27668</v>
      </c>
      <c r="B348" s="268">
        <v>54.9</v>
      </c>
      <c r="C348" s="269">
        <f t="shared" si="5"/>
        <v>7.6470588235294068E-2</v>
      </c>
    </row>
    <row r="349" spans="1:3" x14ac:dyDescent="0.2">
      <c r="A349" s="264">
        <v>27699</v>
      </c>
      <c r="B349" s="268">
        <v>55.3</v>
      </c>
      <c r="C349" s="269">
        <f t="shared" si="5"/>
        <v>7.3786407766990303E-2</v>
      </c>
    </row>
    <row r="350" spans="1:3" x14ac:dyDescent="0.2">
      <c r="A350" s="264">
        <v>27729</v>
      </c>
      <c r="B350" s="268">
        <v>55.6</v>
      </c>
      <c r="C350" s="269">
        <f t="shared" si="5"/>
        <v>7.1290944123314048E-2</v>
      </c>
    </row>
    <row r="351" spans="1:3" x14ac:dyDescent="0.2">
      <c r="A351" s="264">
        <v>27760</v>
      </c>
      <c r="B351" s="268">
        <v>55.8</v>
      </c>
      <c r="C351" s="269">
        <f t="shared" si="5"/>
        <v>6.6921606118546917E-2</v>
      </c>
    </row>
    <row r="352" spans="1:3" x14ac:dyDescent="0.2">
      <c r="A352" s="264">
        <v>27791</v>
      </c>
      <c r="B352" s="268">
        <v>55.9</v>
      </c>
      <c r="C352" s="269">
        <f t="shared" si="5"/>
        <v>6.2737642585551257E-2</v>
      </c>
    </row>
    <row r="353" spans="1:3" x14ac:dyDescent="0.2">
      <c r="A353" s="264">
        <v>27820</v>
      </c>
      <c r="B353" s="268">
        <v>56</v>
      </c>
      <c r="C353" s="269">
        <f t="shared" si="5"/>
        <v>6.0606060606060552E-2</v>
      </c>
    </row>
    <row r="354" spans="1:3" x14ac:dyDescent="0.2">
      <c r="A354" s="264">
        <v>27851</v>
      </c>
      <c r="B354" s="268">
        <v>56.1</v>
      </c>
      <c r="C354" s="269">
        <f t="shared" si="5"/>
        <v>5.8490566037735947E-2</v>
      </c>
    </row>
    <row r="355" spans="1:3" x14ac:dyDescent="0.2">
      <c r="A355" s="264">
        <v>27881</v>
      </c>
      <c r="B355" s="268">
        <v>56.4</v>
      </c>
      <c r="C355" s="269">
        <f t="shared" si="5"/>
        <v>6.2146892655367214E-2</v>
      </c>
    </row>
    <row r="356" spans="1:3" x14ac:dyDescent="0.2">
      <c r="A356" s="264">
        <v>27912</v>
      </c>
      <c r="B356" s="268">
        <v>56.7</v>
      </c>
      <c r="C356" s="269">
        <f t="shared" si="5"/>
        <v>5.9813084112149584E-2</v>
      </c>
    </row>
    <row r="357" spans="1:3" x14ac:dyDescent="0.2">
      <c r="A357" s="264">
        <v>27942</v>
      </c>
      <c r="B357" s="268">
        <v>57</v>
      </c>
      <c r="C357" s="269">
        <f t="shared" si="5"/>
        <v>5.555555555555558E-2</v>
      </c>
    </row>
    <row r="358" spans="1:3" x14ac:dyDescent="0.2">
      <c r="A358" s="264">
        <v>27973</v>
      </c>
      <c r="B358" s="268">
        <v>57.3</v>
      </c>
      <c r="C358" s="269">
        <f t="shared" si="5"/>
        <v>5.719557195571956E-2</v>
      </c>
    </row>
    <row r="359" spans="1:3" x14ac:dyDescent="0.2">
      <c r="A359" s="264">
        <v>28004</v>
      </c>
      <c r="B359" s="268">
        <v>57.6</v>
      </c>
      <c r="C359" s="269">
        <f t="shared" si="5"/>
        <v>5.4945054945054972E-2</v>
      </c>
    </row>
    <row r="360" spans="1:3" x14ac:dyDescent="0.2">
      <c r="A360" s="264">
        <v>28034</v>
      </c>
      <c r="B360" s="268">
        <v>57.9</v>
      </c>
      <c r="C360" s="269">
        <f t="shared" si="5"/>
        <v>5.464480874316946E-2</v>
      </c>
    </row>
    <row r="361" spans="1:3" x14ac:dyDescent="0.2">
      <c r="A361" s="264">
        <v>28065</v>
      </c>
      <c r="B361" s="268">
        <v>58.1</v>
      </c>
      <c r="C361" s="269">
        <f t="shared" si="5"/>
        <v>5.0632911392405111E-2</v>
      </c>
    </row>
    <row r="362" spans="1:3" x14ac:dyDescent="0.2">
      <c r="A362" s="264">
        <v>28095</v>
      </c>
      <c r="B362" s="268">
        <v>58.4</v>
      </c>
      <c r="C362" s="269">
        <f t="shared" si="5"/>
        <v>5.0359712230215736E-2</v>
      </c>
    </row>
    <row r="363" spans="1:3" x14ac:dyDescent="0.2">
      <c r="A363" s="264">
        <v>28126</v>
      </c>
      <c r="B363" s="268">
        <v>58.7</v>
      </c>
      <c r="C363" s="269">
        <f t="shared" si="5"/>
        <v>5.1971326164874654E-2</v>
      </c>
    </row>
    <row r="364" spans="1:3" x14ac:dyDescent="0.2">
      <c r="A364" s="264">
        <v>28157</v>
      </c>
      <c r="B364" s="268">
        <v>59.3</v>
      </c>
      <c r="C364" s="269">
        <f t="shared" si="5"/>
        <v>6.0822898032200312E-2</v>
      </c>
    </row>
    <row r="365" spans="1:3" x14ac:dyDescent="0.2">
      <c r="A365" s="264">
        <v>28185</v>
      </c>
      <c r="B365" s="268">
        <v>59.6</v>
      </c>
      <c r="C365" s="269">
        <f t="shared" si="5"/>
        <v>6.4285714285714279E-2</v>
      </c>
    </row>
    <row r="366" spans="1:3" x14ac:dyDescent="0.2">
      <c r="A366" s="264">
        <v>28216</v>
      </c>
      <c r="B366" s="268">
        <v>60</v>
      </c>
      <c r="C366" s="269">
        <f t="shared" si="5"/>
        <v>6.9518716577540163E-2</v>
      </c>
    </row>
    <row r="367" spans="1:3" x14ac:dyDescent="0.2">
      <c r="A367" s="264">
        <v>28246</v>
      </c>
      <c r="B367" s="268">
        <v>60.2</v>
      </c>
      <c r="C367" s="269">
        <f t="shared" si="5"/>
        <v>6.7375886524822848E-2</v>
      </c>
    </row>
    <row r="368" spans="1:3" x14ac:dyDescent="0.2">
      <c r="A368" s="264">
        <v>28277</v>
      </c>
      <c r="B368" s="268">
        <v>60.5</v>
      </c>
      <c r="C368" s="269">
        <f t="shared" si="5"/>
        <v>6.7019400352733571E-2</v>
      </c>
    </row>
    <row r="369" spans="1:4" x14ac:dyDescent="0.2">
      <c r="A369" s="264">
        <v>28307</v>
      </c>
      <c r="B369" s="268">
        <v>60.8</v>
      </c>
      <c r="C369" s="269">
        <f t="shared" si="5"/>
        <v>6.6666666666666652E-2</v>
      </c>
    </row>
    <row r="370" spans="1:4" x14ac:dyDescent="0.2">
      <c r="A370" s="264">
        <v>28338</v>
      </c>
      <c r="B370" s="268">
        <v>61.1</v>
      </c>
      <c r="C370" s="269">
        <f t="shared" si="5"/>
        <v>6.6317626527050644E-2</v>
      </c>
    </row>
    <row r="371" spans="1:4" x14ac:dyDescent="0.2">
      <c r="A371" s="264">
        <v>28369</v>
      </c>
      <c r="B371" s="268">
        <v>61.3</v>
      </c>
      <c r="C371" s="269">
        <f t="shared" si="5"/>
        <v>6.4236111111110938E-2</v>
      </c>
    </row>
    <row r="372" spans="1:4" x14ac:dyDescent="0.2">
      <c r="A372" s="264">
        <v>28399</v>
      </c>
      <c r="B372" s="268">
        <v>61.6</v>
      </c>
      <c r="C372" s="269">
        <f t="shared" si="5"/>
        <v>6.390328151986191E-2</v>
      </c>
    </row>
    <row r="373" spans="1:4" x14ac:dyDescent="0.2">
      <c r="A373" s="264">
        <v>28430</v>
      </c>
      <c r="B373" s="268">
        <v>62</v>
      </c>
      <c r="C373" s="269">
        <f t="shared" si="5"/>
        <v>6.7125645438898429E-2</v>
      </c>
    </row>
    <row r="374" spans="1:4" x14ac:dyDescent="0.2">
      <c r="A374" s="264">
        <v>28460</v>
      </c>
      <c r="B374" s="268">
        <v>62.3</v>
      </c>
      <c r="C374" s="269">
        <f t="shared" si="5"/>
        <v>6.6780821917808098E-2</v>
      </c>
    </row>
    <row r="375" spans="1:4" x14ac:dyDescent="0.2">
      <c r="A375" s="264">
        <v>28491</v>
      </c>
      <c r="B375" s="268">
        <v>62.7</v>
      </c>
      <c r="C375" s="269">
        <f t="shared" si="5"/>
        <v>6.8143100511073307E-2</v>
      </c>
      <c r="D375" s="53">
        <f>(B375/B255)^(1/10)-1</f>
        <v>6.2799438237460592E-2</v>
      </c>
    </row>
    <row r="376" spans="1:4" x14ac:dyDescent="0.2">
      <c r="A376" s="264">
        <v>28522</v>
      </c>
      <c r="B376" s="268">
        <v>63</v>
      </c>
      <c r="C376" s="269">
        <f t="shared" si="5"/>
        <v>6.2394603709949426E-2</v>
      </c>
      <c r="D376" s="53">
        <f t="shared" ref="D376:D439" si="6">(B376/B256)^(1/10)-1</f>
        <v>6.2995544840789064E-2</v>
      </c>
    </row>
    <row r="377" spans="1:4" x14ac:dyDescent="0.2">
      <c r="A377" s="264">
        <v>28550</v>
      </c>
      <c r="B377" s="268">
        <v>63.4</v>
      </c>
      <c r="C377" s="269">
        <f t="shared" si="5"/>
        <v>6.3758389261744819E-2</v>
      </c>
      <c r="D377" s="53">
        <f t="shared" si="6"/>
        <v>6.3358026983113325E-2</v>
      </c>
    </row>
    <row r="378" spans="1:4" x14ac:dyDescent="0.2">
      <c r="A378" s="264">
        <v>28581</v>
      </c>
      <c r="B378" s="268">
        <v>63.9</v>
      </c>
      <c r="C378" s="269">
        <f t="shared" si="5"/>
        <v>6.4999999999999947E-2</v>
      </c>
      <c r="D378" s="53">
        <f t="shared" si="6"/>
        <v>6.3883911996309495E-2</v>
      </c>
    </row>
    <row r="379" spans="1:4" x14ac:dyDescent="0.2">
      <c r="A379" s="264">
        <v>28611</v>
      </c>
      <c r="B379" s="268">
        <v>64.5</v>
      </c>
      <c r="C379" s="269">
        <f t="shared" si="5"/>
        <v>7.1428571428571397E-2</v>
      </c>
      <c r="D379" s="53">
        <f t="shared" si="6"/>
        <v>6.4569604208857267E-2</v>
      </c>
    </row>
    <row r="380" spans="1:4" x14ac:dyDescent="0.2">
      <c r="A380" s="264">
        <v>28642</v>
      </c>
      <c r="B380" s="268">
        <v>65</v>
      </c>
      <c r="C380" s="269">
        <f t="shared" si="5"/>
        <v>7.4380165289256173E-2</v>
      </c>
      <c r="D380" s="53">
        <f t="shared" si="6"/>
        <v>6.4776329967278112E-2</v>
      </c>
    </row>
    <row r="381" spans="1:4" x14ac:dyDescent="0.2">
      <c r="A381" s="264">
        <v>28672</v>
      </c>
      <c r="B381" s="268">
        <v>65.5</v>
      </c>
      <c r="C381" s="269">
        <f t="shared" si="5"/>
        <v>7.7302631578947345E-2</v>
      </c>
      <c r="D381" s="53">
        <f t="shared" si="6"/>
        <v>6.4980331955330595E-2</v>
      </c>
    </row>
    <row r="382" spans="1:4" x14ac:dyDescent="0.2">
      <c r="A382" s="264">
        <v>28703</v>
      </c>
      <c r="B382" s="268">
        <v>65.900000000000006</v>
      </c>
      <c r="C382" s="269">
        <f t="shared" si="5"/>
        <v>7.8559738134206247E-2</v>
      </c>
      <c r="D382" s="53">
        <f t="shared" si="6"/>
        <v>6.532406365902621E-2</v>
      </c>
    </row>
    <row r="383" spans="1:4" x14ac:dyDescent="0.2">
      <c r="A383" s="264">
        <v>28734</v>
      </c>
      <c r="B383" s="268">
        <v>66.5</v>
      </c>
      <c r="C383" s="269">
        <f t="shared" si="5"/>
        <v>8.4828711256117462E-2</v>
      </c>
      <c r="D383" s="53">
        <f t="shared" si="6"/>
        <v>6.598588196320887E-2</v>
      </c>
    </row>
    <row r="384" spans="1:4" x14ac:dyDescent="0.2">
      <c r="A384" s="264">
        <v>28764</v>
      </c>
      <c r="B384" s="268">
        <v>67.099999999999994</v>
      </c>
      <c r="C384" s="269">
        <f t="shared" si="5"/>
        <v>8.9285714285714191E-2</v>
      </c>
      <c r="D384" s="53">
        <f t="shared" si="6"/>
        <v>6.6337743382089531E-2</v>
      </c>
    </row>
    <row r="385" spans="1:4" x14ac:dyDescent="0.2">
      <c r="A385" s="264">
        <v>28795</v>
      </c>
      <c r="B385" s="268">
        <v>67.5</v>
      </c>
      <c r="C385" s="269">
        <f t="shared" si="5"/>
        <v>8.870967741935476E-2</v>
      </c>
      <c r="D385" s="53">
        <f t="shared" si="6"/>
        <v>6.666992708370767E-2</v>
      </c>
    </row>
    <row r="386" spans="1:4" x14ac:dyDescent="0.2">
      <c r="A386" s="264">
        <v>28825</v>
      </c>
      <c r="B386" s="268">
        <v>67.900000000000006</v>
      </c>
      <c r="C386" s="269">
        <f t="shared" si="5"/>
        <v>8.9887640449438422E-2</v>
      </c>
      <c r="D386" s="53">
        <f t="shared" si="6"/>
        <v>6.6699220265376669E-2</v>
      </c>
    </row>
    <row r="387" spans="1:4" x14ac:dyDescent="0.2">
      <c r="A387" s="264">
        <v>28856</v>
      </c>
      <c r="B387" s="268">
        <v>68.5</v>
      </c>
      <c r="C387" s="269">
        <f t="shared" si="5"/>
        <v>9.2503987240829311E-2</v>
      </c>
      <c r="D387" s="53">
        <f t="shared" si="6"/>
        <v>6.7338648391030098E-2</v>
      </c>
    </row>
    <row r="388" spans="1:4" x14ac:dyDescent="0.2">
      <c r="A388" s="264">
        <v>28887</v>
      </c>
      <c r="B388" s="268">
        <v>69.2</v>
      </c>
      <c r="C388" s="269">
        <f t="shared" si="5"/>
        <v>9.8412698412698507E-2</v>
      </c>
      <c r="D388" s="53">
        <f t="shared" si="6"/>
        <v>6.8125557597688902E-2</v>
      </c>
    </row>
    <row r="389" spans="1:4" x14ac:dyDescent="0.2">
      <c r="A389" s="264">
        <v>28915</v>
      </c>
      <c r="B389" s="268">
        <v>69.900000000000006</v>
      </c>
      <c r="C389" s="269">
        <f t="shared" si="5"/>
        <v>0.10252365930599372</v>
      </c>
      <c r="D389" s="53">
        <f t="shared" si="6"/>
        <v>6.8309271196730359E-2</v>
      </c>
    </row>
    <row r="390" spans="1:4" x14ac:dyDescent="0.2">
      <c r="A390" s="264">
        <v>28946</v>
      </c>
      <c r="B390" s="268">
        <v>70.599999999999994</v>
      </c>
      <c r="C390" s="269">
        <f t="shared" si="5"/>
        <v>0.10485133020344284</v>
      </c>
      <c r="D390" s="53">
        <f t="shared" si="6"/>
        <v>6.8783665144176442E-2</v>
      </c>
    </row>
    <row r="391" spans="1:4" x14ac:dyDescent="0.2">
      <c r="A391" s="264">
        <v>28976</v>
      </c>
      <c r="B391" s="268">
        <v>71.400000000000006</v>
      </c>
      <c r="C391" s="269">
        <f t="shared" si="5"/>
        <v>0.10697674418604652</v>
      </c>
      <c r="D391" s="53">
        <f t="shared" si="6"/>
        <v>6.9694302943088537E-2</v>
      </c>
    </row>
    <row r="392" spans="1:4" x14ac:dyDescent="0.2">
      <c r="A392" s="264">
        <v>29007</v>
      </c>
      <c r="B392" s="268">
        <v>72.2</v>
      </c>
      <c r="C392" s="269">
        <f t="shared" si="5"/>
        <v>0.11076923076923073</v>
      </c>
      <c r="D392" s="53">
        <f t="shared" si="6"/>
        <v>7.0300211428103054E-2</v>
      </c>
    </row>
    <row r="393" spans="1:4" x14ac:dyDescent="0.2">
      <c r="A393" s="264">
        <v>29037</v>
      </c>
      <c r="B393" s="268">
        <v>73</v>
      </c>
      <c r="C393" s="269">
        <f t="shared" si="5"/>
        <v>0.11450381679389321</v>
      </c>
      <c r="D393" s="53">
        <f t="shared" si="6"/>
        <v>7.0896512269279288E-2</v>
      </c>
    </row>
    <row r="394" spans="1:4" x14ac:dyDescent="0.2">
      <c r="A394" s="264">
        <v>29068</v>
      </c>
      <c r="B394" s="268">
        <v>73.7</v>
      </c>
      <c r="C394" s="269">
        <f t="shared" si="5"/>
        <v>0.11836115326251884</v>
      </c>
      <c r="D394" s="53">
        <f t="shared" si="6"/>
        <v>7.1628147150883059E-2</v>
      </c>
    </row>
    <row r="395" spans="1:4" x14ac:dyDescent="0.2">
      <c r="A395" s="264">
        <v>29099</v>
      </c>
      <c r="B395" s="268">
        <v>74.400000000000006</v>
      </c>
      <c r="C395" s="269">
        <f t="shared" si="5"/>
        <v>0.11879699248120312</v>
      </c>
      <c r="D395" s="53">
        <f t="shared" si="6"/>
        <v>7.2062000456147857E-2</v>
      </c>
    </row>
    <row r="396" spans="1:4" x14ac:dyDescent="0.2">
      <c r="A396" s="264">
        <v>29129</v>
      </c>
      <c r="B396" s="268">
        <v>75.2</v>
      </c>
      <c r="C396" s="269">
        <f t="shared" si="5"/>
        <v>0.12071535022354718</v>
      </c>
      <c r="D396" s="53">
        <f t="shared" si="6"/>
        <v>7.2632374628411878E-2</v>
      </c>
    </row>
    <row r="397" spans="1:4" x14ac:dyDescent="0.2">
      <c r="A397" s="264">
        <v>29160</v>
      </c>
      <c r="B397" s="268">
        <v>76</v>
      </c>
      <c r="C397" s="269">
        <f t="shared" si="5"/>
        <v>0.125925925925926</v>
      </c>
      <c r="D397" s="53">
        <f t="shared" si="6"/>
        <v>7.3193991343519116E-2</v>
      </c>
    </row>
    <row r="398" spans="1:4" x14ac:dyDescent="0.2">
      <c r="A398" s="264">
        <v>29190</v>
      </c>
      <c r="B398" s="268">
        <v>76.900000000000006</v>
      </c>
      <c r="C398" s="269">
        <f t="shared" si="5"/>
        <v>0.13254786450662737</v>
      </c>
      <c r="D398" s="53">
        <f t="shared" si="6"/>
        <v>7.3886787163336631E-2</v>
      </c>
    </row>
    <row r="399" spans="1:4" x14ac:dyDescent="0.2">
      <c r="A399" s="264">
        <v>29221</v>
      </c>
      <c r="B399" s="268">
        <v>78</v>
      </c>
      <c r="C399" s="269">
        <f t="shared" si="5"/>
        <v>0.13868613138686126</v>
      </c>
      <c r="D399" s="53">
        <f t="shared" si="6"/>
        <v>7.4844254404803578E-2</v>
      </c>
    </row>
    <row r="400" spans="1:4" x14ac:dyDescent="0.2">
      <c r="A400" s="264">
        <v>29252</v>
      </c>
      <c r="B400" s="268">
        <v>79</v>
      </c>
      <c r="C400" s="269">
        <f t="shared" ref="C400:C463" si="7">B400/B388-1</f>
        <v>0.14161849710982644</v>
      </c>
      <c r="D400" s="53">
        <f t="shared" si="6"/>
        <v>7.5648092894549102E-2</v>
      </c>
    </row>
    <row r="401" spans="1:4" x14ac:dyDescent="0.2">
      <c r="A401" s="264">
        <v>29281</v>
      </c>
      <c r="B401" s="268">
        <v>80.099999999999994</v>
      </c>
      <c r="C401" s="269">
        <f t="shared" si="7"/>
        <v>0.14592274678111572</v>
      </c>
      <c r="D401" s="53">
        <f t="shared" si="6"/>
        <v>7.6572728607597895E-2</v>
      </c>
    </row>
    <row r="402" spans="1:4" x14ac:dyDescent="0.2">
      <c r="A402" s="264">
        <v>29312</v>
      </c>
      <c r="B402" s="268">
        <v>80.900000000000006</v>
      </c>
      <c r="C402" s="269">
        <f t="shared" si="7"/>
        <v>0.14589235127478761</v>
      </c>
      <c r="D402" s="53">
        <f t="shared" si="6"/>
        <v>7.7082027554310262E-2</v>
      </c>
    </row>
    <row r="403" spans="1:4" x14ac:dyDescent="0.2">
      <c r="A403" s="264">
        <v>29342</v>
      </c>
      <c r="B403" s="268">
        <v>81.7</v>
      </c>
      <c r="C403" s="269">
        <f t="shared" si="7"/>
        <v>0.14425770308123242</v>
      </c>
      <c r="D403" s="53">
        <f t="shared" si="6"/>
        <v>7.786277939109687E-2</v>
      </c>
    </row>
    <row r="404" spans="1:4" x14ac:dyDescent="0.2">
      <c r="A404" s="264">
        <v>29373</v>
      </c>
      <c r="B404" s="268">
        <v>82.5</v>
      </c>
      <c r="C404" s="269">
        <f t="shared" si="7"/>
        <v>0.14265927977839321</v>
      </c>
      <c r="D404" s="53">
        <f t="shared" si="6"/>
        <v>7.835615691652098E-2</v>
      </c>
    </row>
    <row r="405" spans="1:4" x14ac:dyDescent="0.2">
      <c r="A405" s="264">
        <v>29403</v>
      </c>
      <c r="B405" s="268">
        <v>82.6</v>
      </c>
      <c r="C405" s="269">
        <f t="shared" si="7"/>
        <v>0.1315068493150684</v>
      </c>
      <c r="D405" s="53">
        <f t="shared" si="6"/>
        <v>7.8209228304581213E-2</v>
      </c>
    </row>
    <row r="406" spans="1:4" x14ac:dyDescent="0.2">
      <c r="A406" s="264">
        <v>29434</v>
      </c>
      <c r="B406" s="268">
        <v>83.2</v>
      </c>
      <c r="C406" s="269">
        <f t="shared" si="7"/>
        <v>0.12890094979647215</v>
      </c>
      <c r="D406" s="53">
        <f t="shared" si="6"/>
        <v>7.871289892416522E-2</v>
      </c>
    </row>
    <row r="407" spans="1:4" x14ac:dyDescent="0.2">
      <c r="A407" s="264">
        <v>29465</v>
      </c>
      <c r="B407" s="268">
        <v>83.9</v>
      </c>
      <c r="C407" s="269">
        <f t="shared" si="7"/>
        <v>0.12768817204301075</v>
      </c>
      <c r="D407" s="53">
        <f t="shared" si="6"/>
        <v>7.9064958177853528E-2</v>
      </c>
    </row>
    <row r="408" spans="1:4" x14ac:dyDescent="0.2">
      <c r="A408" s="264">
        <v>29495</v>
      </c>
      <c r="B408" s="268">
        <v>84.7</v>
      </c>
      <c r="C408" s="269">
        <f t="shared" si="7"/>
        <v>0.12632978723404253</v>
      </c>
      <c r="D408" s="53">
        <f t="shared" si="6"/>
        <v>7.9539950403149762E-2</v>
      </c>
    </row>
    <row r="409" spans="1:4" x14ac:dyDescent="0.2">
      <c r="A409" s="264">
        <v>29526</v>
      </c>
      <c r="B409" s="268">
        <v>85.6</v>
      </c>
      <c r="C409" s="269">
        <f t="shared" si="7"/>
        <v>0.12631578947368416</v>
      </c>
      <c r="D409" s="53">
        <f t="shared" si="6"/>
        <v>8.0134549761423646E-2</v>
      </c>
    </row>
    <row r="410" spans="1:4" x14ac:dyDescent="0.2">
      <c r="A410" s="264">
        <v>29556</v>
      </c>
      <c r="B410" s="268">
        <v>86.4</v>
      </c>
      <c r="C410" s="269">
        <f t="shared" si="7"/>
        <v>0.12353706111833551</v>
      </c>
      <c r="D410" s="53">
        <f t="shared" si="6"/>
        <v>8.0595282028718129E-2</v>
      </c>
    </row>
    <row r="411" spans="1:4" x14ac:dyDescent="0.2">
      <c r="A411" s="264">
        <v>29587</v>
      </c>
      <c r="B411" s="268">
        <v>87.2</v>
      </c>
      <c r="C411" s="269">
        <f t="shared" si="7"/>
        <v>0.11794871794871797</v>
      </c>
      <c r="D411" s="53">
        <f t="shared" si="6"/>
        <v>8.1320306715490842E-2</v>
      </c>
    </row>
    <row r="412" spans="1:4" x14ac:dyDescent="0.2">
      <c r="A412" s="264">
        <v>29618</v>
      </c>
      <c r="B412" s="268">
        <v>88</v>
      </c>
      <c r="C412" s="269">
        <f t="shared" si="7"/>
        <v>0.11392405063291133</v>
      </c>
      <c r="D412" s="53">
        <f t="shared" si="6"/>
        <v>8.2308271768327002E-2</v>
      </c>
    </row>
    <row r="413" spans="1:4" x14ac:dyDescent="0.2">
      <c r="A413" s="264">
        <v>29646</v>
      </c>
      <c r="B413" s="268">
        <v>88.6</v>
      </c>
      <c r="C413" s="269">
        <f t="shared" si="7"/>
        <v>0.10611735330836458</v>
      </c>
      <c r="D413" s="53">
        <f t="shared" si="6"/>
        <v>8.2772888750906271E-2</v>
      </c>
    </row>
    <row r="414" spans="1:4" x14ac:dyDescent="0.2">
      <c r="A414" s="264">
        <v>29677</v>
      </c>
      <c r="B414" s="268">
        <v>89.1</v>
      </c>
      <c r="C414" s="269">
        <f t="shared" si="7"/>
        <v>0.10135970333745359</v>
      </c>
      <c r="D414" s="53">
        <f t="shared" si="6"/>
        <v>8.3111914335435078E-2</v>
      </c>
    </row>
    <row r="415" spans="1:4" x14ac:dyDescent="0.2">
      <c r="A415" s="264">
        <v>29707</v>
      </c>
      <c r="B415" s="268">
        <v>89.7</v>
      </c>
      <c r="C415" s="269">
        <f t="shared" si="7"/>
        <v>9.7919216646266793E-2</v>
      </c>
      <c r="D415" s="53">
        <f t="shared" si="6"/>
        <v>8.3299991378910754E-2</v>
      </c>
    </row>
    <row r="416" spans="1:4" x14ac:dyDescent="0.2">
      <c r="A416" s="264">
        <v>29738</v>
      </c>
      <c r="B416" s="268">
        <v>90.5</v>
      </c>
      <c r="C416" s="269">
        <f t="shared" si="7"/>
        <v>9.6969696969696928E-2</v>
      </c>
      <c r="D416" s="53">
        <f t="shared" si="6"/>
        <v>8.3725657673395348E-2</v>
      </c>
    </row>
    <row r="417" spans="1:4" x14ac:dyDescent="0.2">
      <c r="A417" s="264">
        <v>29768</v>
      </c>
      <c r="B417" s="268">
        <v>91.5</v>
      </c>
      <c r="C417" s="269">
        <f t="shared" si="7"/>
        <v>0.10774818401937059</v>
      </c>
      <c r="D417" s="53">
        <f t="shared" si="6"/>
        <v>8.4649713934929816E-2</v>
      </c>
    </row>
    <row r="418" spans="1:4" x14ac:dyDescent="0.2">
      <c r="A418" s="264">
        <v>29799</v>
      </c>
      <c r="B418" s="268">
        <v>92.2</v>
      </c>
      <c r="C418" s="269">
        <f t="shared" si="7"/>
        <v>0.10817307692307687</v>
      </c>
      <c r="D418" s="53">
        <f t="shared" si="6"/>
        <v>8.5209660502905571E-2</v>
      </c>
    </row>
    <row r="419" spans="1:4" x14ac:dyDescent="0.2">
      <c r="A419" s="264">
        <v>29830</v>
      </c>
      <c r="B419" s="268">
        <v>93.1</v>
      </c>
      <c r="C419" s="269">
        <f t="shared" si="7"/>
        <v>0.1096543504171632</v>
      </c>
      <c r="D419" s="53">
        <f t="shared" si="6"/>
        <v>8.599781581244037E-2</v>
      </c>
    </row>
    <row r="420" spans="1:4" x14ac:dyDescent="0.2">
      <c r="A420" s="264">
        <v>29860</v>
      </c>
      <c r="B420" s="268">
        <v>93.4</v>
      </c>
      <c r="C420" s="269">
        <f t="shared" si="7"/>
        <v>0.10271546635182993</v>
      </c>
      <c r="D420" s="53">
        <f t="shared" si="6"/>
        <v>8.608135173050746E-2</v>
      </c>
    </row>
    <row r="421" spans="1:4" x14ac:dyDescent="0.2">
      <c r="A421" s="264">
        <v>29891</v>
      </c>
      <c r="B421" s="268">
        <v>93.8</v>
      </c>
      <c r="C421" s="269">
        <f t="shared" si="7"/>
        <v>9.5794392523364635E-2</v>
      </c>
      <c r="D421" s="53">
        <f t="shared" si="6"/>
        <v>8.6280286520533656E-2</v>
      </c>
    </row>
    <row r="422" spans="1:4" x14ac:dyDescent="0.2">
      <c r="A422" s="264">
        <v>29921</v>
      </c>
      <c r="B422" s="268">
        <v>94.1</v>
      </c>
      <c r="C422" s="269">
        <f t="shared" si="7"/>
        <v>8.9120370370370239E-2</v>
      </c>
      <c r="D422" s="53">
        <f t="shared" si="6"/>
        <v>8.6362535801529861E-2</v>
      </c>
    </row>
    <row r="423" spans="1:4" x14ac:dyDescent="0.2">
      <c r="A423" s="264">
        <v>29952</v>
      </c>
      <c r="B423" s="268">
        <v>94.4</v>
      </c>
      <c r="C423" s="269">
        <f t="shared" si="7"/>
        <v>8.256880733944949E-2</v>
      </c>
      <c r="D423" s="53">
        <f t="shared" si="6"/>
        <v>8.644433021498954E-2</v>
      </c>
    </row>
    <row r="424" spans="1:4" x14ac:dyDescent="0.2">
      <c r="A424" s="264">
        <v>29983</v>
      </c>
      <c r="B424" s="268">
        <v>94.7</v>
      </c>
      <c r="C424" s="269">
        <f t="shared" si="7"/>
        <v>7.6136363636363669E-2</v>
      </c>
      <c r="D424" s="53">
        <f t="shared" si="6"/>
        <v>8.626294202741458E-2</v>
      </c>
    </row>
    <row r="425" spans="1:4" x14ac:dyDescent="0.2">
      <c r="A425" s="264">
        <v>30011</v>
      </c>
      <c r="B425" s="268">
        <v>94.7</v>
      </c>
      <c r="C425" s="269">
        <f t="shared" si="7"/>
        <v>6.8848758465011484E-2</v>
      </c>
      <c r="D425" s="53">
        <f t="shared" si="6"/>
        <v>8.626294202741458E-2</v>
      </c>
    </row>
    <row r="426" spans="1:4" x14ac:dyDescent="0.2">
      <c r="A426" s="264">
        <v>30042</v>
      </c>
      <c r="B426" s="268">
        <v>95</v>
      </c>
      <c r="C426" s="269">
        <f t="shared" si="7"/>
        <v>6.6217732884399583E-2</v>
      </c>
      <c r="D426" s="53">
        <f t="shared" si="6"/>
        <v>8.6344452282479889E-2</v>
      </c>
    </row>
    <row r="427" spans="1:4" x14ac:dyDescent="0.2">
      <c r="A427" s="264">
        <v>30072</v>
      </c>
      <c r="B427" s="268">
        <v>95.9</v>
      </c>
      <c r="C427" s="269">
        <f t="shared" si="7"/>
        <v>6.911928651059096E-2</v>
      </c>
      <c r="D427" s="53">
        <f t="shared" si="6"/>
        <v>8.7107589326407497E-2</v>
      </c>
    </row>
    <row r="428" spans="1:4" x14ac:dyDescent="0.2">
      <c r="A428" s="264">
        <v>30103</v>
      </c>
      <c r="B428" s="268">
        <v>97</v>
      </c>
      <c r="C428" s="269">
        <f t="shared" si="7"/>
        <v>7.182320441988943E-2</v>
      </c>
      <c r="D428" s="53">
        <f t="shared" si="6"/>
        <v>8.8086865618768551E-2</v>
      </c>
    </row>
    <row r="429" spans="1:4" x14ac:dyDescent="0.2">
      <c r="A429" s="264">
        <v>30133</v>
      </c>
      <c r="B429" s="268">
        <v>97.5</v>
      </c>
      <c r="C429" s="269">
        <f t="shared" si="7"/>
        <v>6.5573770491803351E-2</v>
      </c>
      <c r="D429" s="53">
        <f t="shared" si="6"/>
        <v>8.8385715845447743E-2</v>
      </c>
    </row>
    <row r="430" spans="1:4" x14ac:dyDescent="0.2">
      <c r="A430" s="264">
        <v>30164</v>
      </c>
      <c r="B430" s="268">
        <v>97.7</v>
      </c>
      <c r="C430" s="269">
        <f t="shared" si="7"/>
        <v>5.9652928416485951E-2</v>
      </c>
      <c r="D430" s="53">
        <f t="shared" si="6"/>
        <v>8.8348678018360216E-2</v>
      </c>
    </row>
    <row r="431" spans="1:4" x14ac:dyDescent="0.2">
      <c r="A431" s="264">
        <v>30195</v>
      </c>
      <c r="B431" s="268">
        <v>97.7</v>
      </c>
      <c r="C431" s="269">
        <f t="shared" si="7"/>
        <v>4.9409237379162363E-2</v>
      </c>
      <c r="D431" s="53">
        <f t="shared" si="6"/>
        <v>8.7830539140204111E-2</v>
      </c>
    </row>
    <row r="432" spans="1:4" x14ac:dyDescent="0.2">
      <c r="A432" s="264">
        <v>30225</v>
      </c>
      <c r="B432" s="268">
        <v>98.1</v>
      </c>
      <c r="C432" s="269">
        <f t="shared" si="7"/>
        <v>5.0321199143468887E-2</v>
      </c>
      <c r="D432" s="53">
        <f t="shared" si="6"/>
        <v>8.8016936069486462E-2</v>
      </c>
    </row>
    <row r="433" spans="1:4" x14ac:dyDescent="0.2">
      <c r="A433" s="264">
        <v>30256</v>
      </c>
      <c r="B433" s="268">
        <v>98</v>
      </c>
      <c r="C433" s="269">
        <f t="shared" si="7"/>
        <v>4.4776119402985204E-2</v>
      </c>
      <c r="D433" s="53">
        <f t="shared" si="6"/>
        <v>8.7391720473950496E-2</v>
      </c>
    </row>
    <row r="434" spans="1:4" x14ac:dyDescent="0.2">
      <c r="A434" s="264">
        <v>30286</v>
      </c>
      <c r="B434" s="268">
        <v>97.7</v>
      </c>
      <c r="C434" s="269">
        <f t="shared" si="7"/>
        <v>3.8257173219978791E-2</v>
      </c>
      <c r="D434" s="53">
        <f t="shared" si="6"/>
        <v>8.6802336341878839E-2</v>
      </c>
    </row>
    <row r="435" spans="1:4" x14ac:dyDescent="0.2">
      <c r="A435" s="264">
        <v>30317</v>
      </c>
      <c r="B435" s="268">
        <v>97.9</v>
      </c>
      <c r="C435" s="269">
        <f t="shared" si="7"/>
        <v>3.7076271186440746E-2</v>
      </c>
      <c r="D435" s="53">
        <f t="shared" si="6"/>
        <v>8.6514387762774314E-2</v>
      </c>
    </row>
    <row r="436" spans="1:4" x14ac:dyDescent="0.2">
      <c r="A436" s="264">
        <v>30348</v>
      </c>
      <c r="B436" s="268">
        <v>98</v>
      </c>
      <c r="C436" s="269">
        <f t="shared" si="7"/>
        <v>3.4846884899683239E-2</v>
      </c>
      <c r="D436" s="53">
        <f t="shared" si="6"/>
        <v>8.5864817471837052E-2</v>
      </c>
    </row>
    <row r="437" spans="1:4" x14ac:dyDescent="0.2">
      <c r="A437" s="264">
        <v>30376</v>
      </c>
      <c r="B437" s="268">
        <v>98.1</v>
      </c>
      <c r="C437" s="269">
        <f t="shared" si="7"/>
        <v>3.5902851108764455E-2</v>
      </c>
      <c r="D437" s="53">
        <f t="shared" si="6"/>
        <v>8.4970494427364818E-2</v>
      </c>
    </row>
    <row r="438" spans="1:4" x14ac:dyDescent="0.2">
      <c r="A438" s="264">
        <v>30407</v>
      </c>
      <c r="B438" s="268">
        <v>98.8</v>
      </c>
      <c r="C438" s="269">
        <f t="shared" si="7"/>
        <v>4.0000000000000036E-2</v>
      </c>
      <c r="D438" s="53">
        <f t="shared" si="6"/>
        <v>8.4994535164755858E-2</v>
      </c>
    </row>
    <row r="439" spans="1:4" x14ac:dyDescent="0.2">
      <c r="A439" s="264">
        <v>30437</v>
      </c>
      <c r="B439" s="268">
        <v>99.2</v>
      </c>
      <c r="C439" s="269">
        <f t="shared" si="7"/>
        <v>3.4410844629822801E-2</v>
      </c>
      <c r="D439" s="53">
        <f t="shared" si="6"/>
        <v>8.4937486735922274E-2</v>
      </c>
    </row>
    <row r="440" spans="1:4" x14ac:dyDescent="0.2">
      <c r="A440" s="264">
        <v>30468</v>
      </c>
      <c r="B440" s="268">
        <v>99.4</v>
      </c>
      <c r="C440" s="269">
        <f t="shared" si="7"/>
        <v>2.4742268041237248E-2</v>
      </c>
      <c r="D440" s="53">
        <f t="shared" ref="D440:D503" si="8">(B440/B320)^(1/10)-1</f>
        <v>8.4417235390511269E-2</v>
      </c>
    </row>
    <row r="441" spans="1:4" x14ac:dyDescent="0.2">
      <c r="A441" s="264">
        <v>30498</v>
      </c>
      <c r="B441" s="268">
        <v>99.8</v>
      </c>
      <c r="C441" s="269">
        <f t="shared" si="7"/>
        <v>2.3589743589743639E-2</v>
      </c>
      <c r="D441" s="53">
        <f t="shared" si="8"/>
        <v>8.4852832369276099E-2</v>
      </c>
    </row>
    <row r="442" spans="1:4" x14ac:dyDescent="0.2">
      <c r="A442" s="264">
        <v>30529</v>
      </c>
      <c r="B442" s="268">
        <v>100.1</v>
      </c>
      <c r="C442" s="269">
        <f t="shared" si="7"/>
        <v>2.4564994882292579E-2</v>
      </c>
      <c r="D442" s="53">
        <f t="shared" si="8"/>
        <v>8.3233684230010319E-2</v>
      </c>
    </row>
    <row r="443" spans="1:4" x14ac:dyDescent="0.2">
      <c r="A443" s="264">
        <v>30560</v>
      </c>
      <c r="B443" s="268">
        <v>100.4</v>
      </c>
      <c r="C443" s="269">
        <f t="shared" si="7"/>
        <v>2.763561924257929E-2</v>
      </c>
      <c r="D443" s="53">
        <f t="shared" si="8"/>
        <v>8.3077484948766767E-2</v>
      </c>
    </row>
    <row r="444" spans="1:4" x14ac:dyDescent="0.2">
      <c r="A444" s="264">
        <v>30590</v>
      </c>
      <c r="B444" s="268">
        <v>100.8</v>
      </c>
      <c r="C444" s="269">
        <f t="shared" si="7"/>
        <v>2.7522935779816571E-2</v>
      </c>
      <c r="D444" s="53">
        <f t="shared" si="8"/>
        <v>8.2553999712925874E-2</v>
      </c>
    </row>
    <row r="445" spans="1:4" x14ac:dyDescent="0.2">
      <c r="A445" s="264">
        <v>30621</v>
      </c>
      <c r="B445" s="268">
        <v>101.1</v>
      </c>
      <c r="C445" s="269">
        <f t="shared" si="7"/>
        <v>3.1632653061224536E-2</v>
      </c>
      <c r="D445" s="53">
        <f t="shared" si="8"/>
        <v>8.216590546840985E-2</v>
      </c>
    </row>
    <row r="446" spans="1:4" x14ac:dyDescent="0.2">
      <c r="A446" s="264">
        <v>30651</v>
      </c>
      <c r="B446" s="268">
        <v>101.4</v>
      </c>
      <c r="C446" s="269">
        <f t="shared" si="7"/>
        <v>3.7871033776867957E-2</v>
      </c>
      <c r="D446" s="53">
        <f t="shared" si="8"/>
        <v>8.1547745596942445E-2</v>
      </c>
    </row>
    <row r="447" spans="1:4" x14ac:dyDescent="0.2">
      <c r="A447" s="264">
        <v>30682</v>
      </c>
      <c r="B447" s="268">
        <v>102.1</v>
      </c>
      <c r="C447" s="269">
        <f t="shared" si="7"/>
        <v>4.290091930541351E-2</v>
      </c>
      <c r="D447" s="53">
        <f t="shared" si="8"/>
        <v>8.1130174903863761E-2</v>
      </c>
    </row>
    <row r="448" spans="1:4" x14ac:dyDescent="0.2">
      <c r="A448" s="264">
        <v>30713</v>
      </c>
      <c r="B448" s="268">
        <v>102.6</v>
      </c>
      <c r="C448" s="269">
        <f t="shared" si="7"/>
        <v>4.6938775510203978E-2</v>
      </c>
      <c r="D448" s="53">
        <f t="shared" si="8"/>
        <v>8.0509580575654383E-2</v>
      </c>
    </row>
    <row r="449" spans="1:4" x14ac:dyDescent="0.2">
      <c r="A449" s="264">
        <v>30742</v>
      </c>
      <c r="B449" s="268">
        <v>102.9</v>
      </c>
      <c r="C449" s="269">
        <f t="shared" si="7"/>
        <v>4.8929663608562768E-2</v>
      </c>
      <c r="D449" s="53">
        <f t="shared" si="8"/>
        <v>7.9689176669945905E-2</v>
      </c>
    </row>
    <row r="450" spans="1:4" x14ac:dyDescent="0.2">
      <c r="A450" s="264">
        <v>30773</v>
      </c>
      <c r="B450" s="268">
        <v>103.3</v>
      </c>
      <c r="C450" s="269">
        <f t="shared" si="7"/>
        <v>4.5546558704453455E-2</v>
      </c>
      <c r="D450" s="53">
        <f t="shared" si="8"/>
        <v>7.9432586173546094E-2</v>
      </c>
    </row>
    <row r="451" spans="1:4" x14ac:dyDescent="0.2">
      <c r="A451" s="264">
        <v>30803</v>
      </c>
      <c r="B451" s="268">
        <v>103.5</v>
      </c>
      <c r="C451" s="269">
        <f t="shared" si="7"/>
        <v>4.3346774193548265E-2</v>
      </c>
      <c r="D451" s="53">
        <f t="shared" si="8"/>
        <v>7.8525475908336473E-2</v>
      </c>
    </row>
    <row r="452" spans="1:4" x14ac:dyDescent="0.2">
      <c r="A452" s="264">
        <v>30834</v>
      </c>
      <c r="B452" s="268">
        <v>103.7</v>
      </c>
      <c r="C452" s="269">
        <f t="shared" si="7"/>
        <v>4.3259557344064392E-2</v>
      </c>
      <c r="D452" s="53">
        <f t="shared" si="8"/>
        <v>7.7849855002432466E-2</v>
      </c>
    </row>
    <row r="453" spans="1:4" x14ac:dyDescent="0.2">
      <c r="A453" s="264">
        <v>30864</v>
      </c>
      <c r="B453" s="268">
        <v>104.1</v>
      </c>
      <c r="C453" s="269">
        <f t="shared" si="7"/>
        <v>4.3086172344689366E-2</v>
      </c>
      <c r="D453" s="53">
        <f t="shared" si="8"/>
        <v>7.7606943369012971E-2</v>
      </c>
    </row>
    <row r="454" spans="1:4" x14ac:dyDescent="0.2">
      <c r="A454" s="264">
        <v>30895</v>
      </c>
      <c r="B454" s="268">
        <v>104.4</v>
      </c>
      <c r="C454" s="269">
        <f t="shared" si="7"/>
        <v>4.2957042957043168E-2</v>
      </c>
      <c r="D454" s="53">
        <f t="shared" si="8"/>
        <v>7.661393142805184E-2</v>
      </c>
    </row>
    <row r="455" spans="1:4" x14ac:dyDescent="0.2">
      <c r="A455" s="264">
        <v>30926</v>
      </c>
      <c r="B455" s="268">
        <v>104.7</v>
      </c>
      <c r="C455" s="269">
        <f t="shared" si="7"/>
        <v>4.2828685258964105E-2</v>
      </c>
      <c r="D455" s="53">
        <f t="shared" si="8"/>
        <v>7.5423733011615646E-2</v>
      </c>
    </row>
    <row r="456" spans="1:4" x14ac:dyDescent="0.2">
      <c r="A456" s="264">
        <v>30956</v>
      </c>
      <c r="B456" s="268">
        <v>105.1</v>
      </c>
      <c r="C456" s="269">
        <f t="shared" si="7"/>
        <v>4.2658730158730229E-2</v>
      </c>
      <c r="D456" s="53">
        <f t="shared" si="8"/>
        <v>7.498710323381097E-2</v>
      </c>
    </row>
    <row r="457" spans="1:4" x14ac:dyDescent="0.2">
      <c r="A457" s="264">
        <v>30987</v>
      </c>
      <c r="B457" s="268">
        <v>105.3</v>
      </c>
      <c r="C457" s="269">
        <f t="shared" si="7"/>
        <v>4.1543026706231556E-2</v>
      </c>
      <c r="D457" s="53">
        <f t="shared" si="8"/>
        <v>7.4143028797824861E-2</v>
      </c>
    </row>
    <row r="458" spans="1:4" x14ac:dyDescent="0.2">
      <c r="A458" s="264">
        <v>31017</v>
      </c>
      <c r="B458" s="268">
        <v>105.5</v>
      </c>
      <c r="C458" s="269">
        <f t="shared" si="7"/>
        <v>4.0433925049309538E-2</v>
      </c>
      <c r="D458" s="53">
        <f t="shared" si="8"/>
        <v>7.3515971584964035E-2</v>
      </c>
    </row>
    <row r="459" spans="1:4" x14ac:dyDescent="0.2">
      <c r="A459" s="264">
        <v>31048</v>
      </c>
      <c r="B459" s="268">
        <v>105.7</v>
      </c>
      <c r="C459" s="269">
        <f t="shared" si="7"/>
        <v>3.52595494613126E-2</v>
      </c>
      <c r="D459" s="53">
        <f t="shared" si="8"/>
        <v>7.2895268006408775E-2</v>
      </c>
    </row>
    <row r="460" spans="1:4" x14ac:dyDescent="0.2">
      <c r="A460" s="264">
        <v>31079</v>
      </c>
      <c r="B460" s="268">
        <v>106.3</v>
      </c>
      <c r="C460" s="269">
        <f t="shared" si="7"/>
        <v>3.6062378167641462E-2</v>
      </c>
      <c r="D460" s="53">
        <f t="shared" si="8"/>
        <v>7.2888899726582412E-2</v>
      </c>
    </row>
    <row r="461" spans="1:4" x14ac:dyDescent="0.2">
      <c r="A461" s="264">
        <v>31107</v>
      </c>
      <c r="B461" s="268">
        <v>106.8</v>
      </c>
      <c r="C461" s="269">
        <f t="shared" si="7"/>
        <v>3.790087463556846E-2</v>
      </c>
      <c r="D461" s="53">
        <f t="shared" si="8"/>
        <v>7.2985203359946293E-2</v>
      </c>
    </row>
    <row r="462" spans="1:4" x14ac:dyDescent="0.2">
      <c r="A462" s="264">
        <v>31138</v>
      </c>
      <c r="B462" s="268">
        <v>107</v>
      </c>
      <c r="C462" s="269">
        <f t="shared" si="7"/>
        <v>3.5818005808325282E-2</v>
      </c>
      <c r="D462" s="53">
        <f t="shared" si="8"/>
        <v>7.2780302613369097E-2</v>
      </c>
    </row>
    <row r="463" spans="1:4" x14ac:dyDescent="0.2">
      <c r="A463" s="264">
        <v>31168</v>
      </c>
      <c r="B463" s="268">
        <v>107.2</v>
      </c>
      <c r="C463" s="269">
        <f t="shared" si="7"/>
        <v>3.5748792270531515E-2</v>
      </c>
      <c r="D463" s="53">
        <f t="shared" si="8"/>
        <v>7.2778414465809016E-2</v>
      </c>
    </row>
    <row r="464" spans="1:4" x14ac:dyDescent="0.2">
      <c r="A464" s="264">
        <v>31199</v>
      </c>
      <c r="B464" s="268">
        <v>107.5</v>
      </c>
      <c r="C464" s="269">
        <f t="shared" ref="C464:C527" si="9">B464/B452-1</f>
        <v>3.6644165863066513E-2</v>
      </c>
      <c r="D464" s="53">
        <f t="shared" si="8"/>
        <v>7.2273241218860029E-2</v>
      </c>
    </row>
    <row r="465" spans="1:4" x14ac:dyDescent="0.2">
      <c r="A465" s="264">
        <v>31229</v>
      </c>
      <c r="B465" s="268">
        <v>107.7</v>
      </c>
      <c r="C465" s="269">
        <f t="shared" si="9"/>
        <v>3.4582132564841661E-2</v>
      </c>
      <c r="D465" s="53">
        <f t="shared" si="8"/>
        <v>7.1475374886006859E-2</v>
      </c>
    </row>
    <row r="466" spans="1:4" x14ac:dyDescent="0.2">
      <c r="A466" s="264">
        <v>31260</v>
      </c>
      <c r="B466" s="268">
        <v>107.9</v>
      </c>
      <c r="C466" s="269">
        <f t="shared" si="9"/>
        <v>3.3524904214559337E-2</v>
      </c>
      <c r="D466" s="53">
        <f t="shared" si="8"/>
        <v>7.1278072958281813E-2</v>
      </c>
    </row>
    <row r="467" spans="1:4" x14ac:dyDescent="0.2">
      <c r="A467" s="264">
        <v>31291</v>
      </c>
      <c r="B467" s="268">
        <v>108.1</v>
      </c>
      <c r="C467" s="269">
        <f t="shared" si="9"/>
        <v>3.2473734479465E-2</v>
      </c>
      <c r="D467" s="53">
        <f t="shared" si="8"/>
        <v>7.0688911896076512E-2</v>
      </c>
    </row>
    <row r="468" spans="1:4" x14ac:dyDescent="0.2">
      <c r="A468" s="264">
        <v>31321</v>
      </c>
      <c r="B468" s="268">
        <v>108.5</v>
      </c>
      <c r="C468" s="269">
        <f t="shared" si="9"/>
        <v>3.2350142721217834E-2</v>
      </c>
      <c r="D468" s="53">
        <f t="shared" si="8"/>
        <v>7.0497702065991596E-2</v>
      </c>
    </row>
    <row r="469" spans="1:4" x14ac:dyDescent="0.2">
      <c r="A469" s="264">
        <v>31352</v>
      </c>
      <c r="B469" s="268">
        <v>109</v>
      </c>
      <c r="C469" s="269">
        <f t="shared" si="9"/>
        <v>3.5137701804368593E-2</v>
      </c>
      <c r="D469" s="53">
        <f t="shared" si="8"/>
        <v>7.0212789474784598E-2</v>
      </c>
    </row>
    <row r="470" spans="1:4" x14ac:dyDescent="0.2">
      <c r="A470" s="264">
        <v>31382</v>
      </c>
      <c r="B470" s="268">
        <v>109.5</v>
      </c>
      <c r="C470" s="269">
        <f t="shared" si="9"/>
        <v>3.7914691943127909E-2</v>
      </c>
      <c r="D470" s="53">
        <f t="shared" si="8"/>
        <v>7.0123577504638934E-2</v>
      </c>
    </row>
    <row r="471" spans="1:4" x14ac:dyDescent="0.2">
      <c r="A471" s="264">
        <v>31413</v>
      </c>
      <c r="B471" s="268">
        <v>109.9</v>
      </c>
      <c r="C471" s="269">
        <f t="shared" si="9"/>
        <v>3.9735099337748325E-2</v>
      </c>
      <c r="D471" s="53">
        <f t="shared" si="8"/>
        <v>7.0129532119225901E-2</v>
      </c>
    </row>
    <row r="472" spans="1:4" x14ac:dyDescent="0.2">
      <c r="A472" s="264">
        <v>31444</v>
      </c>
      <c r="B472" s="268">
        <v>109.7</v>
      </c>
      <c r="C472" s="269">
        <f t="shared" si="9"/>
        <v>3.1984948259642598E-2</v>
      </c>
      <c r="D472" s="53">
        <f t="shared" si="8"/>
        <v>6.9743070606873347E-2</v>
      </c>
    </row>
    <row r="473" spans="1:4" x14ac:dyDescent="0.2">
      <c r="A473" s="264">
        <v>31472</v>
      </c>
      <c r="B473" s="268">
        <v>109.1</v>
      </c>
      <c r="C473" s="269">
        <f t="shared" si="9"/>
        <v>2.1535580524344455E-2</v>
      </c>
      <c r="D473" s="53">
        <f t="shared" si="8"/>
        <v>6.8965459209076707E-2</v>
      </c>
    </row>
    <row r="474" spans="1:4" x14ac:dyDescent="0.2">
      <c r="A474" s="264">
        <v>31503</v>
      </c>
      <c r="B474" s="268">
        <v>108.7</v>
      </c>
      <c r="C474" s="269">
        <f t="shared" si="9"/>
        <v>1.5887850467289688E-2</v>
      </c>
      <c r="D474" s="53">
        <f t="shared" si="8"/>
        <v>6.8382260333441414E-2</v>
      </c>
    </row>
    <row r="475" spans="1:4" x14ac:dyDescent="0.2">
      <c r="A475" s="264">
        <v>31533</v>
      </c>
      <c r="B475" s="268">
        <v>109</v>
      </c>
      <c r="C475" s="269">
        <f t="shared" si="9"/>
        <v>1.6791044776119479E-2</v>
      </c>
      <c r="D475" s="53">
        <f t="shared" si="8"/>
        <v>6.8106946153524639E-2</v>
      </c>
    </row>
    <row r="476" spans="1:4" x14ac:dyDescent="0.2">
      <c r="A476" s="264">
        <v>31564</v>
      </c>
      <c r="B476" s="268">
        <v>109.4</v>
      </c>
      <c r="C476" s="269">
        <f t="shared" si="9"/>
        <v>1.7674418604651132E-2</v>
      </c>
      <c r="D476" s="53">
        <f t="shared" si="8"/>
        <v>6.7931572641941829E-2</v>
      </c>
    </row>
    <row r="477" spans="1:4" x14ac:dyDescent="0.2">
      <c r="A477" s="264">
        <v>31594</v>
      </c>
      <c r="B477" s="268">
        <v>109.5</v>
      </c>
      <c r="C477" s="269">
        <f t="shared" si="9"/>
        <v>1.6713091922005541E-2</v>
      </c>
      <c r="D477" s="53">
        <f t="shared" si="8"/>
        <v>6.7465693259290749E-2</v>
      </c>
    </row>
    <row r="478" spans="1:4" x14ac:dyDescent="0.2">
      <c r="A478" s="264">
        <v>31625</v>
      </c>
      <c r="B478" s="268">
        <v>109.6</v>
      </c>
      <c r="C478" s="269">
        <f t="shared" si="9"/>
        <v>1.5755329008340979E-2</v>
      </c>
      <c r="D478" s="53">
        <f t="shared" si="8"/>
        <v>6.7002883848503281E-2</v>
      </c>
    </row>
    <row r="479" spans="1:4" x14ac:dyDescent="0.2">
      <c r="A479" s="264">
        <v>31656</v>
      </c>
      <c r="B479" s="268">
        <v>110</v>
      </c>
      <c r="C479" s="269">
        <f t="shared" si="9"/>
        <v>1.7576318223866849E-2</v>
      </c>
      <c r="D479" s="53">
        <f t="shared" si="8"/>
        <v>6.683442243976434E-2</v>
      </c>
    </row>
    <row r="480" spans="1:4" x14ac:dyDescent="0.2">
      <c r="A480" s="264">
        <v>31686</v>
      </c>
      <c r="B480" s="268">
        <v>110.2</v>
      </c>
      <c r="C480" s="269">
        <f t="shared" si="9"/>
        <v>1.5668202764977046E-2</v>
      </c>
      <c r="D480" s="53">
        <f t="shared" si="8"/>
        <v>6.6474076136728177E-2</v>
      </c>
    </row>
    <row r="481" spans="1:4" x14ac:dyDescent="0.2">
      <c r="A481" s="264">
        <v>31717</v>
      </c>
      <c r="B481" s="268">
        <v>110.4</v>
      </c>
      <c r="C481" s="269">
        <f t="shared" si="9"/>
        <v>1.2844036697247763E-2</v>
      </c>
      <c r="D481" s="53">
        <f t="shared" si="8"/>
        <v>6.629971738417062E-2</v>
      </c>
    </row>
    <row r="482" spans="1:4" x14ac:dyDescent="0.2">
      <c r="A482" s="264">
        <v>31747</v>
      </c>
      <c r="B482" s="268">
        <v>110.8</v>
      </c>
      <c r="C482" s="269">
        <f t="shared" si="9"/>
        <v>1.1872146118721449E-2</v>
      </c>
      <c r="D482" s="53">
        <f t="shared" si="8"/>
        <v>6.6136203743421662E-2</v>
      </c>
    </row>
    <row r="483" spans="1:4" x14ac:dyDescent="0.2">
      <c r="A483" s="264">
        <v>31778</v>
      </c>
      <c r="B483" s="268">
        <v>111.4</v>
      </c>
      <c r="C483" s="269">
        <f t="shared" si="9"/>
        <v>1.364877161055511E-2</v>
      </c>
      <c r="D483" s="53">
        <f t="shared" si="8"/>
        <v>6.6165705865385505E-2</v>
      </c>
    </row>
    <row r="484" spans="1:4" x14ac:dyDescent="0.2">
      <c r="A484" s="264">
        <v>31809</v>
      </c>
      <c r="B484" s="268">
        <v>111.8</v>
      </c>
      <c r="C484" s="269">
        <f t="shared" si="9"/>
        <v>1.9143117593436676E-2</v>
      </c>
      <c r="D484" s="53">
        <f t="shared" si="8"/>
        <v>6.5463829995079159E-2</v>
      </c>
    </row>
    <row r="485" spans="1:4" x14ac:dyDescent="0.2">
      <c r="A485" s="264">
        <v>31837</v>
      </c>
      <c r="B485" s="268">
        <v>112.2</v>
      </c>
      <c r="C485" s="269">
        <f t="shared" si="9"/>
        <v>2.8414298808432603E-2</v>
      </c>
      <c r="D485" s="53">
        <f t="shared" si="8"/>
        <v>6.5306703172819836E-2</v>
      </c>
    </row>
    <row r="486" spans="1:4" x14ac:dyDescent="0.2">
      <c r="A486" s="264">
        <v>31868</v>
      </c>
      <c r="B486" s="268">
        <v>112.7</v>
      </c>
      <c r="C486" s="269">
        <f t="shared" si="9"/>
        <v>3.6798528058877622E-2</v>
      </c>
      <c r="D486" s="53">
        <f t="shared" si="8"/>
        <v>6.5067828517702875E-2</v>
      </c>
    </row>
    <row r="487" spans="1:4" x14ac:dyDescent="0.2">
      <c r="A487" s="264">
        <v>31898</v>
      </c>
      <c r="B487" s="268">
        <v>113</v>
      </c>
      <c r="C487" s="269">
        <f t="shared" si="9"/>
        <v>3.669724770642202E-2</v>
      </c>
      <c r="D487" s="53">
        <f t="shared" si="8"/>
        <v>6.4996536070095257E-2</v>
      </c>
    </row>
    <row r="488" spans="1:4" x14ac:dyDescent="0.2">
      <c r="A488" s="264">
        <v>31929</v>
      </c>
      <c r="B488" s="268">
        <v>113.5</v>
      </c>
      <c r="C488" s="269">
        <f t="shared" si="9"/>
        <v>3.7477148080438782E-2</v>
      </c>
      <c r="D488" s="53">
        <f t="shared" si="8"/>
        <v>6.4937324493144377E-2</v>
      </c>
    </row>
    <row r="489" spans="1:4" x14ac:dyDescent="0.2">
      <c r="A489" s="264">
        <v>31959</v>
      </c>
      <c r="B489" s="268">
        <v>113.8</v>
      </c>
      <c r="C489" s="269">
        <f t="shared" si="9"/>
        <v>3.926940639269394E-2</v>
      </c>
      <c r="D489" s="53">
        <f t="shared" si="8"/>
        <v>6.469169956044607E-2</v>
      </c>
    </row>
    <row r="490" spans="1:4" x14ac:dyDescent="0.2">
      <c r="A490" s="264">
        <v>31990</v>
      </c>
      <c r="B490" s="268">
        <v>114.3</v>
      </c>
      <c r="C490" s="269">
        <f t="shared" si="9"/>
        <v>4.2883211678832245E-2</v>
      </c>
      <c r="D490" s="53">
        <f t="shared" si="8"/>
        <v>6.463441769653322E-2</v>
      </c>
    </row>
    <row r="491" spans="1:4" x14ac:dyDescent="0.2">
      <c r="A491" s="264">
        <v>32021</v>
      </c>
      <c r="B491" s="268">
        <v>114.7</v>
      </c>
      <c r="C491" s="269">
        <f t="shared" si="9"/>
        <v>4.2727272727272725E-2</v>
      </c>
      <c r="D491" s="53">
        <f t="shared" si="8"/>
        <v>6.4658422978838281E-2</v>
      </c>
    </row>
    <row r="492" spans="1:4" x14ac:dyDescent="0.2">
      <c r="A492" s="264">
        <v>32051</v>
      </c>
      <c r="B492" s="268">
        <v>115</v>
      </c>
      <c r="C492" s="269">
        <f t="shared" si="9"/>
        <v>4.3557168784029043E-2</v>
      </c>
      <c r="D492" s="53">
        <f t="shared" si="8"/>
        <v>6.4416781101829912E-2</v>
      </c>
    </row>
    <row r="493" spans="1:4" x14ac:dyDescent="0.2">
      <c r="A493" s="264">
        <v>32082</v>
      </c>
      <c r="B493" s="268">
        <v>115.4</v>
      </c>
      <c r="C493" s="269">
        <f t="shared" si="9"/>
        <v>4.5289855072463858E-2</v>
      </c>
      <c r="D493" s="53">
        <f t="shared" si="8"/>
        <v>6.4097473230875668E-2</v>
      </c>
    </row>
    <row r="494" spans="1:4" x14ac:dyDescent="0.2">
      <c r="A494" s="264">
        <v>32112</v>
      </c>
      <c r="B494" s="268">
        <v>115.6</v>
      </c>
      <c r="C494" s="269">
        <f t="shared" si="9"/>
        <v>4.3321299638989119E-2</v>
      </c>
      <c r="D494" s="53">
        <f t="shared" si="8"/>
        <v>6.3768139367561094E-2</v>
      </c>
    </row>
    <row r="495" spans="1:4" x14ac:dyDescent="0.2">
      <c r="A495" s="264">
        <v>32143</v>
      </c>
      <c r="B495" s="268">
        <v>116</v>
      </c>
      <c r="C495" s="269">
        <f t="shared" si="9"/>
        <v>4.1292639138240439E-2</v>
      </c>
      <c r="D495" s="53">
        <f t="shared" si="8"/>
        <v>6.3454822084935136E-2</v>
      </c>
    </row>
    <row r="496" spans="1:4" x14ac:dyDescent="0.2">
      <c r="A496" s="264">
        <v>32174</v>
      </c>
      <c r="B496" s="268">
        <v>116.2</v>
      </c>
      <c r="C496" s="269">
        <f t="shared" si="9"/>
        <v>3.9355992844364973E-2</v>
      </c>
      <c r="D496" s="53">
        <f t="shared" si="8"/>
        <v>6.3130451330551507E-2</v>
      </c>
    </row>
    <row r="497" spans="1:4" x14ac:dyDescent="0.2">
      <c r="A497" s="264">
        <v>32203</v>
      </c>
      <c r="B497" s="268">
        <v>116.5</v>
      </c>
      <c r="C497" s="269">
        <f t="shared" si="9"/>
        <v>3.8324420677361859E-2</v>
      </c>
      <c r="D497" s="53">
        <f t="shared" si="8"/>
        <v>6.2731777075174078E-2</v>
      </c>
    </row>
    <row r="498" spans="1:4" x14ac:dyDescent="0.2">
      <c r="A498" s="264">
        <v>32234</v>
      </c>
      <c r="B498" s="268">
        <v>117.2</v>
      </c>
      <c r="C498" s="269">
        <f t="shared" si="9"/>
        <v>3.9929015084294583E-2</v>
      </c>
      <c r="D498" s="53">
        <f t="shared" si="8"/>
        <v>6.2533607150967008E-2</v>
      </c>
    </row>
    <row r="499" spans="1:4" x14ac:dyDescent="0.2">
      <c r="A499" s="264">
        <v>32264</v>
      </c>
      <c r="B499" s="268">
        <v>117.5</v>
      </c>
      <c r="C499" s="269">
        <f t="shared" si="9"/>
        <v>3.9823008849557473E-2</v>
      </c>
      <c r="D499" s="53">
        <f t="shared" si="8"/>
        <v>6.1812454786168924E-2</v>
      </c>
    </row>
    <row r="500" spans="1:4" x14ac:dyDescent="0.2">
      <c r="A500" s="264">
        <v>32295</v>
      </c>
      <c r="B500" s="268">
        <v>118</v>
      </c>
      <c r="C500" s="269">
        <f t="shared" si="9"/>
        <v>3.9647577092511099E-2</v>
      </c>
      <c r="D500" s="53">
        <f t="shared" si="8"/>
        <v>6.1443458899414827E-2</v>
      </c>
    </row>
    <row r="501" spans="1:4" x14ac:dyDescent="0.2">
      <c r="A501" s="264">
        <v>32325</v>
      </c>
      <c r="B501" s="268">
        <v>118.5</v>
      </c>
      <c r="C501" s="269">
        <f t="shared" si="9"/>
        <v>4.1300527240773377E-2</v>
      </c>
      <c r="D501" s="53">
        <f t="shared" si="8"/>
        <v>6.1078964851737583E-2</v>
      </c>
    </row>
    <row r="502" spans="1:4" x14ac:dyDescent="0.2">
      <c r="A502" s="264">
        <v>32356</v>
      </c>
      <c r="B502" s="268">
        <v>119</v>
      </c>
      <c r="C502" s="269">
        <f t="shared" si="9"/>
        <v>4.1119860017497789E-2</v>
      </c>
      <c r="D502" s="53">
        <f t="shared" si="8"/>
        <v>6.0879737721958982E-2</v>
      </c>
    </row>
    <row r="503" spans="1:4" x14ac:dyDescent="0.2">
      <c r="A503" s="264">
        <v>32387</v>
      </c>
      <c r="B503" s="268">
        <v>119.5</v>
      </c>
      <c r="C503" s="269">
        <f t="shared" si="9"/>
        <v>4.1848299912816023E-2</v>
      </c>
      <c r="D503" s="53">
        <f t="shared" si="8"/>
        <v>6.0363148493667085E-2</v>
      </c>
    </row>
    <row r="504" spans="1:4" x14ac:dyDescent="0.2">
      <c r="A504" s="264">
        <v>32417</v>
      </c>
      <c r="B504" s="268">
        <v>119.9</v>
      </c>
      <c r="C504" s="269">
        <f t="shared" si="9"/>
        <v>4.2608695652174067E-2</v>
      </c>
      <c r="D504" s="53">
        <f t="shared" ref="D504:D567" si="10">(B504/B384)^(1/10)-1</f>
        <v>5.9765229305059897E-2</v>
      </c>
    </row>
    <row r="505" spans="1:4" x14ac:dyDescent="0.2">
      <c r="A505" s="264">
        <v>32448</v>
      </c>
      <c r="B505" s="268">
        <v>120.3</v>
      </c>
      <c r="C505" s="269">
        <f t="shared" si="9"/>
        <v>4.2461005199306623E-2</v>
      </c>
      <c r="D505" s="53">
        <f t="shared" si="10"/>
        <v>5.9488349573201482E-2</v>
      </c>
    </row>
    <row r="506" spans="1:4" x14ac:dyDescent="0.2">
      <c r="A506" s="264">
        <v>32478</v>
      </c>
      <c r="B506" s="268">
        <v>120.7</v>
      </c>
      <c r="C506" s="269">
        <f t="shared" si="9"/>
        <v>4.4117647058823595E-2</v>
      </c>
      <c r="D506" s="53">
        <f t="shared" si="10"/>
        <v>5.9214090793676677E-2</v>
      </c>
    </row>
    <row r="507" spans="1:4" x14ac:dyDescent="0.2">
      <c r="A507" s="264">
        <v>32509</v>
      </c>
      <c r="B507" s="268">
        <v>121.2</v>
      </c>
      <c r="C507" s="269">
        <f t="shared" si="9"/>
        <v>4.482758620689653E-2</v>
      </c>
      <c r="D507" s="53">
        <f t="shared" si="10"/>
        <v>5.8720213390427656E-2</v>
      </c>
    </row>
    <row r="508" spans="1:4" x14ac:dyDescent="0.2">
      <c r="A508" s="264">
        <v>32540</v>
      </c>
      <c r="B508" s="268">
        <v>121.6</v>
      </c>
      <c r="C508" s="269">
        <f t="shared" si="9"/>
        <v>4.6471600688468007E-2</v>
      </c>
      <c r="D508" s="53">
        <f t="shared" si="10"/>
        <v>5.7992887359419543E-2</v>
      </c>
    </row>
    <row r="509" spans="1:4" x14ac:dyDescent="0.2">
      <c r="A509" s="264">
        <v>32568</v>
      </c>
      <c r="B509" s="268">
        <v>122.2</v>
      </c>
      <c r="C509" s="269">
        <f t="shared" si="9"/>
        <v>4.8927038626609409E-2</v>
      </c>
      <c r="D509" s="53">
        <f t="shared" si="10"/>
        <v>5.7448932243733708E-2</v>
      </c>
    </row>
    <row r="510" spans="1:4" x14ac:dyDescent="0.2">
      <c r="A510" s="264">
        <v>32599</v>
      </c>
      <c r="B510" s="268">
        <v>123.1</v>
      </c>
      <c r="C510" s="269">
        <f t="shared" si="9"/>
        <v>5.0341296928327672E-2</v>
      </c>
      <c r="D510" s="53">
        <f t="shared" si="10"/>
        <v>5.717122882155623E-2</v>
      </c>
    </row>
    <row r="511" spans="1:4" x14ac:dyDescent="0.2">
      <c r="A511" s="264">
        <v>32629</v>
      </c>
      <c r="B511" s="268">
        <v>123.7</v>
      </c>
      <c r="C511" s="269">
        <f t="shared" si="9"/>
        <v>5.2765957446808454E-2</v>
      </c>
      <c r="D511" s="53">
        <f t="shared" si="10"/>
        <v>5.6494276882436578E-2</v>
      </c>
    </row>
    <row r="512" spans="1:4" x14ac:dyDescent="0.2">
      <c r="A512" s="264">
        <v>32660</v>
      </c>
      <c r="B512" s="268">
        <v>124.1</v>
      </c>
      <c r="C512" s="269">
        <f t="shared" si="9"/>
        <v>5.1694915254237195E-2</v>
      </c>
      <c r="D512" s="53">
        <f t="shared" si="10"/>
        <v>5.565852301387797E-2</v>
      </c>
    </row>
    <row r="513" spans="1:4" x14ac:dyDescent="0.2">
      <c r="A513" s="264">
        <v>32690</v>
      </c>
      <c r="B513" s="268">
        <v>124.5</v>
      </c>
      <c r="C513" s="269">
        <f t="shared" si="9"/>
        <v>5.0632911392405111E-2</v>
      </c>
      <c r="D513" s="53">
        <f t="shared" si="10"/>
        <v>5.4835285737257822E-2</v>
      </c>
    </row>
    <row r="514" spans="1:4" x14ac:dyDescent="0.2">
      <c r="A514" s="264">
        <v>32721</v>
      </c>
      <c r="B514" s="268">
        <v>124.5</v>
      </c>
      <c r="C514" s="269">
        <f t="shared" si="9"/>
        <v>4.6218487394958041E-2</v>
      </c>
      <c r="D514" s="53">
        <f t="shared" si="10"/>
        <v>5.382909885247944E-2</v>
      </c>
    </row>
    <row r="515" spans="1:4" x14ac:dyDescent="0.2">
      <c r="A515" s="264">
        <v>32752</v>
      </c>
      <c r="B515" s="268">
        <v>124.8</v>
      </c>
      <c r="C515" s="269">
        <f t="shared" si="9"/>
        <v>4.435146443514637E-2</v>
      </c>
      <c r="D515" s="53">
        <f t="shared" si="10"/>
        <v>5.3086790001943829E-2</v>
      </c>
    </row>
    <row r="516" spans="1:4" x14ac:dyDescent="0.2">
      <c r="A516" s="264">
        <v>32782</v>
      </c>
      <c r="B516" s="268">
        <v>125.4</v>
      </c>
      <c r="C516" s="269">
        <f t="shared" si="9"/>
        <v>4.587155963302747E-2</v>
      </c>
      <c r="D516" s="53">
        <f t="shared" si="10"/>
        <v>5.2465744997722386E-2</v>
      </c>
    </row>
    <row r="517" spans="1:4" x14ac:dyDescent="0.2">
      <c r="A517" s="264">
        <v>32813</v>
      </c>
      <c r="B517" s="268">
        <v>125.9</v>
      </c>
      <c r="C517" s="269">
        <f t="shared" si="9"/>
        <v>4.6550290939318506E-2</v>
      </c>
      <c r="D517" s="53">
        <f t="shared" si="10"/>
        <v>5.1771052657028305E-2</v>
      </c>
    </row>
    <row r="518" spans="1:4" x14ac:dyDescent="0.2">
      <c r="A518" s="264">
        <v>32843</v>
      </c>
      <c r="B518" s="268">
        <v>126.3</v>
      </c>
      <c r="C518" s="269">
        <f t="shared" si="9"/>
        <v>4.6396023198011616E-2</v>
      </c>
      <c r="D518" s="53">
        <f t="shared" si="10"/>
        <v>5.0866871314867224E-2</v>
      </c>
    </row>
    <row r="519" spans="1:4" x14ac:dyDescent="0.2">
      <c r="A519" s="264">
        <v>32874</v>
      </c>
      <c r="B519" s="268">
        <v>127.5</v>
      </c>
      <c r="C519" s="269">
        <f t="shared" si="9"/>
        <v>5.1980198019802026E-2</v>
      </c>
      <c r="D519" s="53">
        <f t="shared" si="10"/>
        <v>5.0368183639439845E-2</v>
      </c>
    </row>
    <row r="520" spans="1:4" x14ac:dyDescent="0.2">
      <c r="A520" s="264">
        <v>32905</v>
      </c>
      <c r="B520" s="268">
        <v>128</v>
      </c>
      <c r="C520" s="269">
        <f t="shared" si="9"/>
        <v>5.2631578947368363E-2</v>
      </c>
      <c r="D520" s="53">
        <f t="shared" si="10"/>
        <v>4.944162934288876E-2</v>
      </c>
    </row>
    <row r="521" spans="1:4" x14ac:dyDescent="0.2">
      <c r="A521" s="264">
        <v>32933</v>
      </c>
      <c r="B521" s="268">
        <v>128.6</v>
      </c>
      <c r="C521" s="269">
        <f t="shared" si="9"/>
        <v>5.237315875613735E-2</v>
      </c>
      <c r="D521" s="53">
        <f t="shared" si="10"/>
        <v>4.8481677007220503E-2</v>
      </c>
    </row>
    <row r="522" spans="1:4" x14ac:dyDescent="0.2">
      <c r="A522" s="264">
        <v>32964</v>
      </c>
      <c r="B522" s="268">
        <v>128.9</v>
      </c>
      <c r="C522" s="269">
        <f t="shared" si="9"/>
        <v>4.7116165718927849E-2</v>
      </c>
      <c r="D522" s="53">
        <f t="shared" si="10"/>
        <v>4.7684308935966868E-2</v>
      </c>
    </row>
    <row r="523" spans="1:4" x14ac:dyDescent="0.2">
      <c r="A523" s="264">
        <v>32994</v>
      </c>
      <c r="B523" s="268">
        <v>129.1</v>
      </c>
      <c r="C523" s="269">
        <f t="shared" si="9"/>
        <v>4.3654001616814764E-2</v>
      </c>
      <c r="D523" s="53">
        <f t="shared" si="10"/>
        <v>4.6816160544433716E-2</v>
      </c>
    </row>
    <row r="524" spans="1:4" x14ac:dyDescent="0.2">
      <c r="A524" s="264">
        <v>33025</v>
      </c>
      <c r="B524" s="268">
        <v>129.9</v>
      </c>
      <c r="C524" s="269">
        <f t="shared" si="9"/>
        <v>4.6736502820306391E-2</v>
      </c>
      <c r="D524" s="53">
        <f t="shared" si="10"/>
        <v>4.6442862795560425E-2</v>
      </c>
    </row>
    <row r="525" spans="1:4" x14ac:dyDescent="0.2">
      <c r="A525" s="264">
        <v>33055</v>
      </c>
      <c r="B525" s="268">
        <v>130.5</v>
      </c>
      <c r="C525" s="269">
        <f t="shared" si="9"/>
        <v>4.8192771084337283E-2</v>
      </c>
      <c r="D525" s="53">
        <f t="shared" si="10"/>
        <v>4.6798391017011554E-2</v>
      </c>
    </row>
    <row r="526" spans="1:4" x14ac:dyDescent="0.2">
      <c r="A526" s="264">
        <v>33086</v>
      </c>
      <c r="B526" s="268">
        <v>131.6</v>
      </c>
      <c r="C526" s="269">
        <f t="shared" si="9"/>
        <v>5.7028112449799107E-2</v>
      </c>
      <c r="D526" s="53">
        <f t="shared" si="10"/>
        <v>4.6919420974165238E-2</v>
      </c>
    </row>
    <row r="527" spans="1:4" x14ac:dyDescent="0.2">
      <c r="A527" s="264">
        <v>33117</v>
      </c>
      <c r="B527" s="268">
        <v>132.5</v>
      </c>
      <c r="C527" s="269">
        <f t="shared" si="9"/>
        <v>6.1698717948718063E-2</v>
      </c>
      <c r="D527" s="53">
        <f t="shared" si="10"/>
        <v>4.6755838032231711E-2</v>
      </c>
    </row>
    <row r="528" spans="1:4" x14ac:dyDescent="0.2">
      <c r="A528" s="264">
        <v>33147</v>
      </c>
      <c r="B528" s="268">
        <v>133.4</v>
      </c>
      <c r="C528" s="269">
        <f t="shared" ref="C528:C591" si="11">B528/B516-1</f>
        <v>6.3795853269537517E-2</v>
      </c>
      <c r="D528" s="53">
        <f t="shared" si="10"/>
        <v>4.6471106825249464E-2</v>
      </c>
    </row>
    <row r="529" spans="1:4" x14ac:dyDescent="0.2">
      <c r="A529" s="264">
        <v>33178</v>
      </c>
      <c r="B529" s="268">
        <v>133.69999999999999</v>
      </c>
      <c r="C529" s="269">
        <f t="shared" si="11"/>
        <v>6.1953931691818731E-2</v>
      </c>
      <c r="D529" s="53">
        <f t="shared" si="10"/>
        <v>4.5600456684872226E-2</v>
      </c>
    </row>
    <row r="530" spans="1:4" x14ac:dyDescent="0.2">
      <c r="A530" s="264">
        <v>33208</v>
      </c>
      <c r="B530" s="268">
        <v>134.19999999999999</v>
      </c>
      <c r="C530" s="269">
        <f t="shared" si="11"/>
        <v>6.2549485352335621E-2</v>
      </c>
      <c r="D530" s="53">
        <f t="shared" si="10"/>
        <v>4.5018255740960411E-2</v>
      </c>
    </row>
    <row r="531" spans="1:4" x14ac:dyDescent="0.2">
      <c r="A531" s="264">
        <v>33239</v>
      </c>
      <c r="B531" s="268">
        <v>134.69999999999999</v>
      </c>
      <c r="C531" s="269">
        <f t="shared" si="11"/>
        <v>5.647058823529405E-2</v>
      </c>
      <c r="D531" s="53">
        <f t="shared" si="10"/>
        <v>4.4443883902123282E-2</v>
      </c>
    </row>
    <row r="532" spans="1:4" x14ac:dyDescent="0.2">
      <c r="A532" s="264">
        <v>33270</v>
      </c>
      <c r="B532" s="268">
        <v>134.80000000000001</v>
      </c>
      <c r="C532" s="269">
        <f t="shared" si="11"/>
        <v>5.3125000000000089E-2</v>
      </c>
      <c r="D532" s="53">
        <f t="shared" si="10"/>
        <v>4.3567924528113089E-2</v>
      </c>
    </row>
    <row r="533" spans="1:4" x14ac:dyDescent="0.2">
      <c r="A533" s="264">
        <v>33298</v>
      </c>
      <c r="B533" s="268">
        <v>134.80000000000001</v>
      </c>
      <c r="C533" s="269">
        <f t="shared" si="11"/>
        <v>4.8211508553654969E-2</v>
      </c>
      <c r="D533" s="53">
        <f t="shared" si="10"/>
        <v>4.2859056488913083E-2</v>
      </c>
    </row>
    <row r="534" spans="1:4" x14ac:dyDescent="0.2">
      <c r="A534" s="264">
        <v>33329</v>
      </c>
      <c r="B534" s="268">
        <v>135.1</v>
      </c>
      <c r="C534" s="269">
        <f t="shared" si="11"/>
        <v>4.8099301784328752E-2</v>
      </c>
      <c r="D534" s="53">
        <f t="shared" si="10"/>
        <v>4.2504082811334554E-2</v>
      </c>
    </row>
    <row r="535" spans="1:4" x14ac:dyDescent="0.2">
      <c r="A535" s="264">
        <v>33359</v>
      </c>
      <c r="B535" s="268">
        <v>135.6</v>
      </c>
      <c r="C535" s="269">
        <f t="shared" si="11"/>
        <v>5.0348567002323819E-2</v>
      </c>
      <c r="D535" s="53">
        <f t="shared" si="10"/>
        <v>4.2189575083096509E-2</v>
      </c>
    </row>
    <row r="536" spans="1:4" x14ac:dyDescent="0.2">
      <c r="A536" s="264">
        <v>33390</v>
      </c>
      <c r="B536" s="268">
        <v>136</v>
      </c>
      <c r="C536" s="269">
        <f t="shared" si="11"/>
        <v>4.6959199384141614E-2</v>
      </c>
      <c r="D536" s="53">
        <f t="shared" si="10"/>
        <v>4.1571367883268318E-2</v>
      </c>
    </row>
    <row r="537" spans="1:4" x14ac:dyDescent="0.2">
      <c r="A537" s="264">
        <v>33420</v>
      </c>
      <c r="B537" s="268">
        <v>136.19999999999999</v>
      </c>
      <c r="C537" s="269">
        <f t="shared" si="11"/>
        <v>4.3678160919540243E-2</v>
      </c>
      <c r="D537" s="53">
        <f t="shared" si="10"/>
        <v>4.058030398986312E-2</v>
      </c>
    </row>
    <row r="538" spans="1:4" x14ac:dyDescent="0.2">
      <c r="A538" s="264">
        <v>33451</v>
      </c>
      <c r="B538" s="268">
        <v>136.6</v>
      </c>
      <c r="C538" s="269">
        <f t="shared" si="11"/>
        <v>3.7993920972644313E-2</v>
      </c>
      <c r="D538" s="53">
        <f t="shared" si="10"/>
        <v>4.0092531360425454E-2</v>
      </c>
    </row>
    <row r="539" spans="1:4" x14ac:dyDescent="0.2">
      <c r="A539" s="264">
        <v>33482</v>
      </c>
      <c r="B539" s="268">
        <v>137</v>
      </c>
      <c r="C539" s="269">
        <f t="shared" si="11"/>
        <v>3.3962264150943389E-2</v>
      </c>
      <c r="D539" s="53">
        <f t="shared" si="10"/>
        <v>3.9386540441607831E-2</v>
      </c>
    </row>
    <row r="540" spans="1:4" x14ac:dyDescent="0.2">
      <c r="A540" s="264">
        <v>33512</v>
      </c>
      <c r="B540" s="268">
        <v>137.19999999999999</v>
      </c>
      <c r="C540" s="269">
        <f t="shared" si="11"/>
        <v>2.8485757121439192E-2</v>
      </c>
      <c r="D540" s="53">
        <f t="shared" si="10"/>
        <v>3.9203793743123549E-2</v>
      </c>
    </row>
    <row r="541" spans="1:4" x14ac:dyDescent="0.2">
      <c r="A541" s="264">
        <v>33543</v>
      </c>
      <c r="B541" s="268">
        <v>137.80000000000001</v>
      </c>
      <c r="C541" s="269">
        <f t="shared" si="11"/>
        <v>3.0665669409125185E-2</v>
      </c>
      <c r="D541" s="53">
        <f t="shared" si="10"/>
        <v>3.9213160390009216E-2</v>
      </c>
    </row>
    <row r="542" spans="1:4" x14ac:dyDescent="0.2">
      <c r="A542" s="264">
        <v>33573</v>
      </c>
      <c r="B542" s="268">
        <v>138.19999999999999</v>
      </c>
      <c r="C542" s="269">
        <f t="shared" si="11"/>
        <v>2.9806259314456129E-2</v>
      </c>
      <c r="D542" s="53">
        <f t="shared" si="10"/>
        <v>3.9182541690538919E-2</v>
      </c>
    </row>
    <row r="543" spans="1:4" x14ac:dyDescent="0.2">
      <c r="A543" s="264">
        <v>33604</v>
      </c>
      <c r="B543" s="268">
        <v>138.30000000000001</v>
      </c>
      <c r="C543" s="269">
        <f t="shared" si="11"/>
        <v>2.6726057906458989E-2</v>
      </c>
      <c r="D543" s="53">
        <f t="shared" si="10"/>
        <v>3.8926965474825659E-2</v>
      </c>
    </row>
    <row r="544" spans="1:4" x14ac:dyDescent="0.2">
      <c r="A544" s="264">
        <v>33635</v>
      </c>
      <c r="B544" s="268">
        <v>138.6</v>
      </c>
      <c r="C544" s="269">
        <f t="shared" si="11"/>
        <v>2.8189910979228294E-2</v>
      </c>
      <c r="D544" s="53">
        <f t="shared" si="10"/>
        <v>3.8822446477006833E-2</v>
      </c>
    </row>
    <row r="545" spans="1:4" x14ac:dyDescent="0.2">
      <c r="A545" s="264">
        <v>33664</v>
      </c>
      <c r="B545" s="268">
        <v>139.1</v>
      </c>
      <c r="C545" s="269">
        <f t="shared" si="11"/>
        <v>3.1899109792284719E-2</v>
      </c>
      <c r="D545" s="53">
        <f t="shared" si="10"/>
        <v>3.9196595066241624E-2</v>
      </c>
    </row>
    <row r="546" spans="1:4" x14ac:dyDescent="0.2">
      <c r="A546" s="264">
        <v>33695</v>
      </c>
      <c r="B546" s="268">
        <v>139.4</v>
      </c>
      <c r="C546" s="269">
        <f t="shared" si="11"/>
        <v>3.1828275351591495E-2</v>
      </c>
      <c r="D546" s="53">
        <f t="shared" si="10"/>
        <v>3.9091798204222039E-2</v>
      </c>
    </row>
    <row r="547" spans="1:4" x14ac:dyDescent="0.2">
      <c r="A547" s="264">
        <v>33725</v>
      </c>
      <c r="B547" s="268">
        <v>139.69999999999999</v>
      </c>
      <c r="C547" s="269">
        <f t="shared" si="11"/>
        <v>3.0235988200590036E-2</v>
      </c>
      <c r="D547" s="53">
        <f t="shared" si="10"/>
        <v>3.8335685021907207E-2</v>
      </c>
    </row>
    <row r="548" spans="1:4" x14ac:dyDescent="0.2">
      <c r="A548" s="264">
        <v>33756</v>
      </c>
      <c r="B548" s="268">
        <v>140.1</v>
      </c>
      <c r="C548" s="269">
        <f t="shared" si="11"/>
        <v>3.0147058823529305E-2</v>
      </c>
      <c r="D548" s="53">
        <f t="shared" si="10"/>
        <v>3.7448722167018333E-2</v>
      </c>
    </row>
    <row r="549" spans="1:4" x14ac:dyDescent="0.2">
      <c r="A549" s="264">
        <v>33786</v>
      </c>
      <c r="B549" s="268">
        <v>140.5</v>
      </c>
      <c r="C549" s="269">
        <f t="shared" si="11"/>
        <v>3.1571218795888534E-2</v>
      </c>
      <c r="D549" s="53">
        <f t="shared" si="10"/>
        <v>3.7211135848287169E-2</v>
      </c>
    </row>
    <row r="550" spans="1:4" x14ac:dyDescent="0.2">
      <c r="A550" s="264">
        <v>33817</v>
      </c>
      <c r="B550" s="268">
        <v>140.80000000000001</v>
      </c>
      <c r="C550" s="269">
        <f t="shared" si="11"/>
        <v>3.0746705710102518E-2</v>
      </c>
      <c r="D550" s="53">
        <f t="shared" si="10"/>
        <v>3.7219825007420715E-2</v>
      </c>
    </row>
    <row r="551" spans="1:4" x14ac:dyDescent="0.2">
      <c r="A551" s="264">
        <v>33848</v>
      </c>
      <c r="B551" s="268">
        <v>141.1</v>
      </c>
      <c r="C551" s="269">
        <f t="shared" si="11"/>
        <v>2.9927007299270114E-2</v>
      </c>
      <c r="D551" s="53">
        <f t="shared" si="10"/>
        <v>3.7440611940268376E-2</v>
      </c>
    </row>
    <row r="552" spans="1:4" x14ac:dyDescent="0.2">
      <c r="A552" s="264">
        <v>33878</v>
      </c>
      <c r="B552" s="268">
        <v>141.69999999999999</v>
      </c>
      <c r="C552" s="269">
        <f t="shared" si="11"/>
        <v>3.2798833819241979E-2</v>
      </c>
      <c r="D552" s="53">
        <f t="shared" si="10"/>
        <v>3.7456949716377919E-2</v>
      </c>
    </row>
    <row r="553" spans="1:4" x14ac:dyDescent="0.2">
      <c r="A553" s="264">
        <v>33909</v>
      </c>
      <c r="B553" s="268">
        <v>142.1</v>
      </c>
      <c r="C553" s="269">
        <f t="shared" si="11"/>
        <v>3.1204644412191396E-2</v>
      </c>
      <c r="D553" s="53">
        <f t="shared" si="10"/>
        <v>3.7855282682871527E-2</v>
      </c>
    </row>
    <row r="554" spans="1:4" x14ac:dyDescent="0.2">
      <c r="A554" s="264">
        <v>33939</v>
      </c>
      <c r="B554" s="268">
        <v>142.30000000000001</v>
      </c>
      <c r="C554" s="269">
        <f t="shared" si="11"/>
        <v>2.9667149059334541E-2</v>
      </c>
      <c r="D554" s="53">
        <f t="shared" si="10"/>
        <v>3.8319555814420703E-2</v>
      </c>
    </row>
    <row r="555" spans="1:4" x14ac:dyDescent="0.2">
      <c r="A555" s="264">
        <v>33970</v>
      </c>
      <c r="B555" s="268">
        <v>142.80000000000001</v>
      </c>
      <c r="C555" s="269">
        <f t="shared" si="11"/>
        <v>3.2537960954446943E-2</v>
      </c>
      <c r="D555" s="53">
        <f t="shared" si="10"/>
        <v>3.8471426795520181E-2</v>
      </c>
    </row>
    <row r="556" spans="1:4" x14ac:dyDescent="0.2">
      <c r="A556" s="264">
        <v>34001</v>
      </c>
      <c r="B556" s="268">
        <v>143.1</v>
      </c>
      <c r="C556" s="269">
        <f t="shared" si="11"/>
        <v>3.2467532467532534E-2</v>
      </c>
      <c r="D556" s="53">
        <f t="shared" si="10"/>
        <v>3.8583349673306788E-2</v>
      </c>
    </row>
    <row r="557" spans="1:4" x14ac:dyDescent="0.2">
      <c r="A557" s="264">
        <v>34029</v>
      </c>
      <c r="B557" s="268">
        <v>143.30000000000001</v>
      </c>
      <c r="C557" s="269">
        <f t="shared" si="11"/>
        <v>3.0194104960460155E-2</v>
      </c>
      <c r="D557" s="53">
        <f t="shared" si="10"/>
        <v>3.8622480115253266E-2</v>
      </c>
    </row>
    <row r="558" spans="1:4" x14ac:dyDescent="0.2">
      <c r="A558" s="264">
        <v>34060</v>
      </c>
      <c r="B558" s="268">
        <v>143.80000000000001</v>
      </c>
      <c r="C558" s="269">
        <f t="shared" si="11"/>
        <v>3.1563845050215145E-2</v>
      </c>
      <c r="D558" s="53">
        <f t="shared" si="10"/>
        <v>3.8245826788039006E-2</v>
      </c>
    </row>
    <row r="559" spans="1:4" x14ac:dyDescent="0.2">
      <c r="A559" s="264">
        <v>34090</v>
      </c>
      <c r="B559" s="268">
        <v>144.19999999999999</v>
      </c>
      <c r="C559" s="269">
        <f t="shared" si="11"/>
        <v>3.2211882605583497E-2</v>
      </c>
      <c r="D559" s="53">
        <f t="shared" si="10"/>
        <v>3.8114743033691889E-2</v>
      </c>
    </row>
    <row r="560" spans="1:4" x14ac:dyDescent="0.2">
      <c r="A560" s="264">
        <v>34121</v>
      </c>
      <c r="B560" s="268">
        <v>144.30000000000001</v>
      </c>
      <c r="C560" s="269">
        <f t="shared" si="11"/>
        <v>2.9978586723768963E-2</v>
      </c>
      <c r="D560" s="53">
        <f t="shared" si="10"/>
        <v>3.7977631826830782E-2</v>
      </c>
    </row>
    <row r="561" spans="1:4" x14ac:dyDescent="0.2">
      <c r="A561" s="264">
        <v>34151</v>
      </c>
      <c r="B561" s="268">
        <v>144.5</v>
      </c>
      <c r="C561" s="269">
        <f t="shared" si="11"/>
        <v>2.8469750889679624E-2</v>
      </c>
      <c r="D561" s="53">
        <f t="shared" si="10"/>
        <v>3.7704572940636449E-2</v>
      </c>
    </row>
    <row r="562" spans="1:4" x14ac:dyDescent="0.2">
      <c r="A562" s="264">
        <v>34182</v>
      </c>
      <c r="B562" s="268">
        <v>144.80000000000001</v>
      </c>
      <c r="C562" s="269">
        <f t="shared" si="11"/>
        <v>2.8409090909090828E-2</v>
      </c>
      <c r="D562" s="53">
        <f t="shared" si="10"/>
        <v>3.760832712925577E-2</v>
      </c>
    </row>
    <row r="563" spans="1:4" x14ac:dyDescent="0.2">
      <c r="A563" s="264">
        <v>34213</v>
      </c>
      <c r="B563" s="268">
        <v>145</v>
      </c>
      <c r="C563" s="269">
        <f t="shared" si="11"/>
        <v>2.7639971651311157E-2</v>
      </c>
      <c r="D563" s="53">
        <f t="shared" si="10"/>
        <v>3.7441051333073405E-2</v>
      </c>
    </row>
    <row r="564" spans="1:4" x14ac:dyDescent="0.2">
      <c r="A564" s="264">
        <v>34243</v>
      </c>
      <c r="B564" s="268">
        <v>145.6</v>
      </c>
      <c r="C564" s="269">
        <f t="shared" si="11"/>
        <v>2.7522935779816571E-2</v>
      </c>
      <c r="D564" s="53">
        <f t="shared" si="10"/>
        <v>3.7456949716377919E-2</v>
      </c>
    </row>
    <row r="565" spans="1:4" x14ac:dyDescent="0.2">
      <c r="A565" s="264">
        <v>34274</v>
      </c>
      <c r="B565" s="268">
        <v>146</v>
      </c>
      <c r="C565" s="269">
        <f t="shared" si="11"/>
        <v>2.7445460942997935E-2</v>
      </c>
      <c r="D565" s="53">
        <f t="shared" si="10"/>
        <v>3.7433266458472447E-2</v>
      </c>
    </row>
    <row r="566" spans="1:4" x14ac:dyDescent="0.2">
      <c r="A566" s="264">
        <v>34304</v>
      </c>
      <c r="B566" s="268">
        <v>146.30000000000001</v>
      </c>
      <c r="C566" s="269">
        <f t="shared" si="11"/>
        <v>2.8109627547435068E-2</v>
      </c>
      <c r="D566" s="53">
        <f t="shared" si="10"/>
        <v>3.7338835404239878E-2</v>
      </c>
    </row>
    <row r="567" spans="1:4" x14ac:dyDescent="0.2">
      <c r="A567" s="264">
        <v>34335</v>
      </c>
      <c r="B567" s="268">
        <v>146.30000000000001</v>
      </c>
      <c r="C567" s="269">
        <f t="shared" si="11"/>
        <v>2.450980392156854E-2</v>
      </c>
      <c r="D567" s="53">
        <f t="shared" si="10"/>
        <v>3.6625429677331622E-2</v>
      </c>
    </row>
    <row r="568" spans="1:4" x14ac:dyDescent="0.2">
      <c r="A568" s="264">
        <v>34366</v>
      </c>
      <c r="B568" s="268">
        <v>146.69999999999999</v>
      </c>
      <c r="C568" s="269">
        <f t="shared" si="11"/>
        <v>2.515723270440251E-2</v>
      </c>
      <c r="D568" s="53">
        <f t="shared" ref="D568:D631" si="12">(B568/B448)^(1/10)-1</f>
        <v>3.640207853898203E-2</v>
      </c>
    </row>
    <row r="569" spans="1:4" x14ac:dyDescent="0.2">
      <c r="A569" s="264">
        <v>34394</v>
      </c>
      <c r="B569" s="268">
        <v>147.1</v>
      </c>
      <c r="C569" s="269">
        <f t="shared" si="11"/>
        <v>2.6517794836008246E-2</v>
      </c>
      <c r="D569" s="53">
        <f t="shared" si="12"/>
        <v>3.6381685700000999E-2</v>
      </c>
    </row>
    <row r="570" spans="1:4" x14ac:dyDescent="0.2">
      <c r="A570" s="264">
        <v>34425</v>
      </c>
      <c r="B570" s="268">
        <v>147.19999999999999</v>
      </c>
      <c r="C570" s="269">
        <f t="shared" si="11"/>
        <v>2.3643949930458819E-2</v>
      </c>
      <c r="D570" s="53">
        <f t="shared" si="12"/>
        <v>3.6050080600511292E-2</v>
      </c>
    </row>
    <row r="571" spans="1:4" x14ac:dyDescent="0.2">
      <c r="A571" s="264">
        <v>34455</v>
      </c>
      <c r="B571" s="268">
        <v>147.5</v>
      </c>
      <c r="C571" s="269">
        <f t="shared" si="11"/>
        <v>2.2884882108183069E-2</v>
      </c>
      <c r="D571" s="53">
        <f t="shared" si="12"/>
        <v>3.6060620692595302E-2</v>
      </c>
    </row>
    <row r="572" spans="1:4" x14ac:dyDescent="0.2">
      <c r="A572" s="264">
        <v>34486</v>
      </c>
      <c r="B572" s="268">
        <v>147.9</v>
      </c>
      <c r="C572" s="269">
        <f t="shared" si="11"/>
        <v>2.4948024948024949E-2</v>
      </c>
      <c r="D572" s="53">
        <f t="shared" si="12"/>
        <v>3.614119736990995E-2</v>
      </c>
    </row>
    <row r="573" spans="1:4" x14ac:dyDescent="0.2">
      <c r="A573" s="264">
        <v>34516</v>
      </c>
      <c r="B573" s="268">
        <v>148.4</v>
      </c>
      <c r="C573" s="269">
        <f t="shared" si="11"/>
        <v>2.6989619377162599E-2</v>
      </c>
      <c r="D573" s="53">
        <f t="shared" si="12"/>
        <v>3.6091992258219241E-2</v>
      </c>
    </row>
    <row r="574" spans="1:4" x14ac:dyDescent="0.2">
      <c r="A574" s="264">
        <v>34547</v>
      </c>
      <c r="B574" s="268">
        <v>149</v>
      </c>
      <c r="C574" s="269">
        <f t="shared" si="11"/>
        <v>2.9005524861878351E-2</v>
      </c>
      <c r="D574" s="53">
        <f t="shared" si="12"/>
        <v>3.6211903572484383E-2</v>
      </c>
    </row>
    <row r="575" spans="1:4" x14ac:dyDescent="0.2">
      <c r="A575" s="264">
        <v>34578</v>
      </c>
      <c r="B575" s="268">
        <v>149.30000000000001</v>
      </c>
      <c r="C575" s="269">
        <f t="shared" si="11"/>
        <v>2.9655172413793229E-2</v>
      </c>
      <c r="D575" s="53">
        <f t="shared" si="12"/>
        <v>3.6122995864010798E-2</v>
      </c>
    </row>
    <row r="576" spans="1:4" x14ac:dyDescent="0.2">
      <c r="A576" s="264">
        <v>34608</v>
      </c>
      <c r="B576" s="268">
        <v>149.4</v>
      </c>
      <c r="C576" s="269">
        <f t="shared" si="11"/>
        <v>2.6098901098901228E-2</v>
      </c>
      <c r="D576" s="53">
        <f t="shared" si="12"/>
        <v>3.5797332273529214E-2</v>
      </c>
    </row>
    <row r="577" spans="1:4" x14ac:dyDescent="0.2">
      <c r="A577" s="264">
        <v>34639</v>
      </c>
      <c r="B577" s="268">
        <v>149.80000000000001</v>
      </c>
      <c r="C577" s="269">
        <f t="shared" si="11"/>
        <v>2.6027397260274032E-2</v>
      </c>
      <c r="D577" s="53">
        <f t="shared" si="12"/>
        <v>3.5877366984588877E-2</v>
      </c>
    </row>
    <row r="578" spans="1:4" x14ac:dyDescent="0.2">
      <c r="A578" s="264">
        <v>34669</v>
      </c>
      <c r="B578" s="268">
        <v>150.1</v>
      </c>
      <c r="C578" s="269">
        <f t="shared" si="11"/>
        <v>2.5974025974025761E-2</v>
      </c>
      <c r="D578" s="53">
        <f t="shared" si="12"/>
        <v>3.5888050434538243E-2</v>
      </c>
    </row>
    <row r="579" spans="1:4" x14ac:dyDescent="0.2">
      <c r="A579" s="264">
        <v>34700</v>
      </c>
      <c r="B579" s="268">
        <v>150.5</v>
      </c>
      <c r="C579" s="269">
        <f t="shared" si="11"/>
        <v>2.8708133971291794E-2</v>
      </c>
      <c r="D579" s="53">
        <f t="shared" si="12"/>
        <v>3.5967548112841419E-2</v>
      </c>
    </row>
    <row r="580" spans="1:4" x14ac:dyDescent="0.2">
      <c r="A580" s="264">
        <v>34731</v>
      </c>
      <c r="B580" s="268">
        <v>150.9</v>
      </c>
      <c r="C580" s="269">
        <f t="shared" si="11"/>
        <v>2.8629856850715951E-2</v>
      </c>
      <c r="D580" s="53">
        <f t="shared" si="12"/>
        <v>3.5656171584325769E-2</v>
      </c>
    </row>
    <row r="581" spans="1:4" x14ac:dyDescent="0.2">
      <c r="A581" s="264">
        <v>34759</v>
      </c>
      <c r="B581" s="268">
        <v>151.19999999999999</v>
      </c>
      <c r="C581" s="269">
        <f t="shared" si="11"/>
        <v>2.7872195785180187E-2</v>
      </c>
      <c r="D581" s="53">
        <f t="shared" si="12"/>
        <v>3.5375904696204996E-2</v>
      </c>
    </row>
    <row r="582" spans="1:4" x14ac:dyDescent="0.2">
      <c r="A582" s="264">
        <v>34790</v>
      </c>
      <c r="B582" s="268">
        <v>151.80000000000001</v>
      </c>
      <c r="C582" s="269">
        <f t="shared" si="11"/>
        <v>3.1250000000000222E-2</v>
      </c>
      <c r="D582" s="53">
        <f t="shared" si="12"/>
        <v>3.559226839948626E-2</v>
      </c>
    </row>
    <row r="583" spans="1:4" x14ac:dyDescent="0.2">
      <c r="A583" s="264">
        <v>34820</v>
      </c>
      <c r="B583" s="268">
        <v>152.1</v>
      </c>
      <c r="C583" s="269">
        <f t="shared" si="11"/>
        <v>3.1186440677966054E-2</v>
      </c>
      <c r="D583" s="53">
        <f t="shared" si="12"/>
        <v>3.5603341024565305E-2</v>
      </c>
    </row>
    <row r="584" spans="1:4" x14ac:dyDescent="0.2">
      <c r="A584" s="264">
        <v>34851</v>
      </c>
      <c r="B584" s="268">
        <v>152.4</v>
      </c>
      <c r="C584" s="269">
        <f t="shared" si="11"/>
        <v>3.0425963488843744E-2</v>
      </c>
      <c r="D584" s="53">
        <f t="shared" si="12"/>
        <v>3.5517994780216444E-2</v>
      </c>
    </row>
    <row r="585" spans="1:4" x14ac:dyDescent="0.2">
      <c r="A585" s="264">
        <v>34881</v>
      </c>
      <c r="B585" s="268">
        <v>152.6</v>
      </c>
      <c r="C585" s="269">
        <f t="shared" si="11"/>
        <v>2.8301886792452713E-2</v>
      </c>
      <c r="D585" s="53">
        <f t="shared" si="12"/>
        <v>3.5461326469844234E-2</v>
      </c>
    </row>
    <row r="586" spans="1:4" x14ac:dyDescent="0.2">
      <c r="A586" s="264">
        <v>34912</v>
      </c>
      <c r="B586" s="268">
        <v>152.9</v>
      </c>
      <c r="C586" s="269">
        <f t="shared" si="11"/>
        <v>2.6174496644295386E-2</v>
      </c>
      <c r="D586" s="53">
        <f t="shared" si="12"/>
        <v>3.547258261515096E-2</v>
      </c>
    </row>
    <row r="587" spans="1:4" x14ac:dyDescent="0.2">
      <c r="A587" s="264">
        <v>34943</v>
      </c>
      <c r="B587" s="268">
        <v>153.1</v>
      </c>
      <c r="C587" s="269">
        <f t="shared" si="11"/>
        <v>2.5452109845947701E-2</v>
      </c>
      <c r="D587" s="53">
        <f t="shared" si="12"/>
        <v>3.5416185826687263E-2</v>
      </c>
    </row>
    <row r="588" spans="1:4" x14ac:dyDescent="0.2">
      <c r="A588" s="264">
        <v>34973</v>
      </c>
      <c r="B588" s="268">
        <v>153.5</v>
      </c>
      <c r="C588" s="269">
        <f t="shared" si="11"/>
        <v>2.7443105756358666E-2</v>
      </c>
      <c r="D588" s="53">
        <f t="shared" si="12"/>
        <v>3.5303933748617178E-2</v>
      </c>
    </row>
    <row r="589" spans="1:4" x14ac:dyDescent="0.2">
      <c r="A589" s="264">
        <v>35004</v>
      </c>
      <c r="B589" s="268">
        <v>153.69999999999999</v>
      </c>
      <c r="C589" s="269">
        <f t="shared" si="11"/>
        <v>2.6034712950600669E-2</v>
      </c>
      <c r="D589" s="53">
        <f t="shared" si="12"/>
        <v>3.4962792537011511E-2</v>
      </c>
    </row>
    <row r="590" spans="1:4" x14ac:dyDescent="0.2">
      <c r="A590" s="264">
        <v>35034</v>
      </c>
      <c r="B590" s="268">
        <v>153.9</v>
      </c>
      <c r="C590" s="269">
        <f t="shared" si="11"/>
        <v>2.5316455696202667E-2</v>
      </c>
      <c r="D590" s="53">
        <f t="shared" si="12"/>
        <v>3.4623765626279779E-2</v>
      </c>
    </row>
    <row r="591" spans="1:4" x14ac:dyDescent="0.2">
      <c r="A591" s="264">
        <v>35065</v>
      </c>
      <c r="B591" s="268">
        <v>154.69999999999999</v>
      </c>
      <c r="C591" s="269">
        <f t="shared" si="11"/>
        <v>2.7906976744185963E-2</v>
      </c>
      <c r="D591" s="53">
        <f t="shared" si="12"/>
        <v>3.4782944864151677E-2</v>
      </c>
    </row>
    <row r="592" spans="1:4" x14ac:dyDescent="0.2">
      <c r="A592" s="264">
        <v>35096</v>
      </c>
      <c r="B592" s="268">
        <v>155</v>
      </c>
      <c r="C592" s="269">
        <f t="shared" ref="C592:C655" si="13">B592/B580-1</f>
        <v>2.7170311464546071E-2</v>
      </c>
      <c r="D592" s="53">
        <f t="shared" si="12"/>
        <v>3.5171977721603298E-2</v>
      </c>
    </row>
    <row r="593" spans="1:4" x14ac:dyDescent="0.2">
      <c r="A593" s="264">
        <v>35125</v>
      </c>
      <c r="B593" s="268">
        <v>155.5</v>
      </c>
      <c r="C593" s="269">
        <f t="shared" si="13"/>
        <v>2.8439153439153486E-2</v>
      </c>
      <c r="D593" s="53">
        <f t="shared" si="12"/>
        <v>3.6073496489092749E-2</v>
      </c>
    </row>
    <row r="594" spans="1:4" x14ac:dyDescent="0.2">
      <c r="A594" s="264">
        <v>35156</v>
      </c>
      <c r="B594" s="268">
        <v>156.1</v>
      </c>
      <c r="C594" s="269">
        <f t="shared" si="13"/>
        <v>2.832674571805005E-2</v>
      </c>
      <c r="D594" s="53">
        <f t="shared" si="12"/>
        <v>3.6853351703615811E-2</v>
      </c>
    </row>
    <row r="595" spans="1:4" x14ac:dyDescent="0.2">
      <c r="A595" s="264">
        <v>35186</v>
      </c>
      <c r="B595" s="268">
        <v>156.4</v>
      </c>
      <c r="C595" s="269">
        <f t="shared" si="13"/>
        <v>2.8270874424720649E-2</v>
      </c>
      <c r="D595" s="53">
        <f t="shared" si="12"/>
        <v>3.6766665313607172E-2</v>
      </c>
    </row>
    <row r="596" spans="1:4" x14ac:dyDescent="0.2">
      <c r="A596" s="264">
        <v>35217</v>
      </c>
      <c r="B596" s="268">
        <v>156.69999999999999</v>
      </c>
      <c r="C596" s="269">
        <f t="shared" si="13"/>
        <v>2.8215223097112663E-2</v>
      </c>
      <c r="D596" s="53">
        <f t="shared" si="12"/>
        <v>3.6585590493492859E-2</v>
      </c>
    </row>
    <row r="597" spans="1:4" x14ac:dyDescent="0.2">
      <c r="A597" s="264">
        <v>35247</v>
      </c>
      <c r="B597" s="268">
        <v>157</v>
      </c>
      <c r="C597" s="269">
        <f t="shared" si="13"/>
        <v>2.8833551769331667E-2</v>
      </c>
      <c r="D597" s="53">
        <f t="shared" si="12"/>
        <v>3.6689150226445921E-2</v>
      </c>
    </row>
    <row r="598" spans="1:4" x14ac:dyDescent="0.2">
      <c r="A598" s="264">
        <v>35278</v>
      </c>
      <c r="B598" s="268">
        <v>157.19999999999999</v>
      </c>
      <c r="C598" s="269">
        <f t="shared" si="13"/>
        <v>2.8122956180510084E-2</v>
      </c>
      <c r="D598" s="53">
        <f t="shared" si="12"/>
        <v>3.6726497562500127E-2</v>
      </c>
    </row>
    <row r="599" spans="1:4" x14ac:dyDescent="0.2">
      <c r="A599" s="264">
        <v>35309</v>
      </c>
      <c r="B599" s="268">
        <v>157.69999999999999</v>
      </c>
      <c r="C599" s="269">
        <f t="shared" si="13"/>
        <v>3.0045721750489918E-2</v>
      </c>
      <c r="D599" s="53">
        <f t="shared" si="12"/>
        <v>3.6678044451198044E-2</v>
      </c>
    </row>
    <row r="600" spans="1:4" x14ac:dyDescent="0.2">
      <c r="A600" s="264">
        <v>35339</v>
      </c>
      <c r="B600" s="268">
        <v>158.19999999999999</v>
      </c>
      <c r="C600" s="269">
        <f t="shared" si="13"/>
        <v>3.0618892508143203E-2</v>
      </c>
      <c r="D600" s="53">
        <f t="shared" si="12"/>
        <v>3.6817904908440502E-2</v>
      </c>
    </row>
    <row r="601" spans="1:4" x14ac:dyDescent="0.2">
      <c r="A601" s="264">
        <v>35370</v>
      </c>
      <c r="B601" s="268">
        <v>158.69999999999999</v>
      </c>
      <c r="C601" s="269">
        <f t="shared" si="13"/>
        <v>3.2530904359141077E-2</v>
      </c>
      <c r="D601" s="53">
        <f t="shared" si="12"/>
        <v>3.6957089953856048E-2</v>
      </c>
    </row>
    <row r="602" spans="1:4" x14ac:dyDescent="0.2">
      <c r="A602" s="264">
        <v>35400</v>
      </c>
      <c r="B602" s="268">
        <v>159.1</v>
      </c>
      <c r="C602" s="269">
        <f t="shared" si="13"/>
        <v>3.378817413905133E-2</v>
      </c>
      <c r="D602" s="53">
        <f t="shared" si="12"/>
        <v>3.6843100140130147E-2</v>
      </c>
    </row>
    <row r="603" spans="1:4" x14ac:dyDescent="0.2">
      <c r="A603" s="264">
        <v>35431</v>
      </c>
      <c r="B603" s="268">
        <v>159.4</v>
      </c>
      <c r="C603" s="269">
        <f t="shared" si="13"/>
        <v>3.0381383322559907E-2</v>
      </c>
      <c r="D603" s="53">
        <f t="shared" si="12"/>
        <v>3.6478535336082363E-2</v>
      </c>
    </row>
    <row r="604" spans="1:4" x14ac:dyDescent="0.2">
      <c r="A604" s="264">
        <v>35462</v>
      </c>
      <c r="B604" s="268">
        <v>159.69999999999999</v>
      </c>
      <c r="C604" s="269">
        <f t="shared" si="13"/>
        <v>3.0322580645161246E-2</v>
      </c>
      <c r="D604" s="53">
        <f t="shared" si="12"/>
        <v>3.6301940206161509E-2</v>
      </c>
    </row>
    <row r="605" spans="1:4" x14ac:dyDescent="0.2">
      <c r="A605" s="264">
        <v>35490</v>
      </c>
      <c r="B605" s="268">
        <v>159.80000000000001</v>
      </c>
      <c r="C605" s="269">
        <f t="shared" si="13"/>
        <v>2.7652733118971096E-2</v>
      </c>
      <c r="D605" s="53">
        <f t="shared" si="12"/>
        <v>3.5996747158907549E-2</v>
      </c>
    </row>
    <row r="606" spans="1:4" x14ac:dyDescent="0.2">
      <c r="A606" s="264">
        <v>35521</v>
      </c>
      <c r="B606" s="268">
        <v>159.9</v>
      </c>
      <c r="C606" s="269">
        <f t="shared" si="13"/>
        <v>2.4343369634849621E-2</v>
      </c>
      <c r="D606" s="53">
        <f t="shared" si="12"/>
        <v>3.5600984839676997E-2</v>
      </c>
    </row>
    <row r="607" spans="1:4" x14ac:dyDescent="0.2">
      <c r="A607" s="264">
        <v>35551</v>
      </c>
      <c r="B607" s="268">
        <v>159.9</v>
      </c>
      <c r="C607" s="269">
        <f t="shared" si="13"/>
        <v>2.2378516624040889E-2</v>
      </c>
      <c r="D607" s="53">
        <f t="shared" si="12"/>
        <v>3.5325717505636511E-2</v>
      </c>
    </row>
    <row r="608" spans="1:4" x14ac:dyDescent="0.2">
      <c r="A608" s="264">
        <v>35582</v>
      </c>
      <c r="B608" s="268">
        <v>160.19999999999999</v>
      </c>
      <c r="C608" s="269">
        <f t="shared" si="13"/>
        <v>2.2335673261008271E-2</v>
      </c>
      <c r="D608" s="53">
        <f t="shared" si="12"/>
        <v>3.5062715710884929E-2</v>
      </c>
    </row>
    <row r="609" spans="1:4" x14ac:dyDescent="0.2">
      <c r="A609" s="264">
        <v>35612</v>
      </c>
      <c r="B609" s="268">
        <v>160.4</v>
      </c>
      <c r="C609" s="269">
        <f t="shared" si="13"/>
        <v>2.1656050955414008E-2</v>
      </c>
      <c r="D609" s="53">
        <f t="shared" si="12"/>
        <v>3.4918642527440591E-2</v>
      </c>
    </row>
    <row r="610" spans="1:4" x14ac:dyDescent="0.2">
      <c r="A610" s="264">
        <v>35643</v>
      </c>
      <c r="B610" s="268">
        <v>160.80000000000001</v>
      </c>
      <c r="C610" s="269">
        <f t="shared" si="13"/>
        <v>2.2900763358778775E-2</v>
      </c>
      <c r="D610" s="53">
        <f t="shared" si="12"/>
        <v>3.4722710843988924E-2</v>
      </c>
    </row>
    <row r="611" spans="1:4" x14ac:dyDescent="0.2">
      <c r="A611" s="264">
        <v>35674</v>
      </c>
      <c r="B611" s="268">
        <v>161.19999999999999</v>
      </c>
      <c r="C611" s="269">
        <f t="shared" si="13"/>
        <v>2.2194039315155401E-2</v>
      </c>
      <c r="D611" s="53">
        <f t="shared" si="12"/>
        <v>3.4618314657968163E-2</v>
      </c>
    </row>
    <row r="612" spans="1:4" x14ac:dyDescent="0.2">
      <c r="A612" s="264">
        <v>35704</v>
      </c>
      <c r="B612" s="268">
        <v>161.5</v>
      </c>
      <c r="C612" s="269">
        <f t="shared" si="13"/>
        <v>2.0859671302149163E-2</v>
      </c>
      <c r="D612" s="53">
        <f t="shared" si="12"/>
        <v>3.454043238790816E-2</v>
      </c>
    </row>
    <row r="613" spans="1:4" x14ac:dyDescent="0.2">
      <c r="A613" s="264">
        <v>35735</v>
      </c>
      <c r="B613" s="268">
        <v>161.69999999999999</v>
      </c>
      <c r="C613" s="269">
        <f t="shared" si="13"/>
        <v>1.8903591682419618E-2</v>
      </c>
      <c r="D613" s="53">
        <f t="shared" si="12"/>
        <v>3.430927962534347E-2</v>
      </c>
    </row>
    <row r="614" spans="1:4" x14ac:dyDescent="0.2">
      <c r="A614" s="264">
        <v>35765</v>
      </c>
      <c r="B614" s="268">
        <v>161.80000000000001</v>
      </c>
      <c r="C614" s="269">
        <f t="shared" si="13"/>
        <v>1.6970458830924073E-2</v>
      </c>
      <c r="D614" s="53">
        <f t="shared" si="12"/>
        <v>3.4194129751252689E-2</v>
      </c>
    </row>
    <row r="615" spans="1:4" x14ac:dyDescent="0.2">
      <c r="A615" s="264">
        <v>35796</v>
      </c>
      <c r="B615" s="268">
        <v>162</v>
      </c>
      <c r="C615" s="269">
        <f t="shared" si="13"/>
        <v>1.6311166875784044E-2</v>
      </c>
      <c r="D615" s="53">
        <f t="shared" si="12"/>
        <v>3.3964677432803292E-2</v>
      </c>
    </row>
    <row r="616" spans="1:4" x14ac:dyDescent="0.2">
      <c r="A616" s="264">
        <v>35827</v>
      </c>
      <c r="B616" s="268">
        <v>162</v>
      </c>
      <c r="C616" s="269">
        <f t="shared" si="13"/>
        <v>1.4402003757044479E-2</v>
      </c>
      <c r="D616" s="53">
        <f t="shared" si="12"/>
        <v>3.3786576506001476E-2</v>
      </c>
    </row>
    <row r="617" spans="1:4" x14ac:dyDescent="0.2">
      <c r="A617" s="264">
        <v>35855</v>
      </c>
      <c r="B617" s="268">
        <v>162</v>
      </c>
      <c r="C617" s="269">
        <f t="shared" si="13"/>
        <v>1.3767209011263937E-2</v>
      </c>
      <c r="D617" s="53">
        <f t="shared" si="12"/>
        <v>3.3520056381364016E-2</v>
      </c>
    </row>
    <row r="618" spans="1:4" x14ac:dyDescent="0.2">
      <c r="A618" s="264">
        <v>35886</v>
      </c>
      <c r="B618" s="268">
        <v>162.19999999999999</v>
      </c>
      <c r="C618" s="269">
        <f t="shared" si="13"/>
        <v>1.4383989993745905E-2</v>
      </c>
      <c r="D618" s="53">
        <f t="shared" si="12"/>
        <v>3.3028548709266525E-2</v>
      </c>
    </row>
    <row r="619" spans="1:4" x14ac:dyDescent="0.2">
      <c r="A619" s="264">
        <v>35916</v>
      </c>
      <c r="B619" s="268">
        <v>162.6</v>
      </c>
      <c r="C619" s="269">
        <f t="shared" si="13"/>
        <v>1.6885553470919357E-2</v>
      </c>
      <c r="D619" s="53">
        <f t="shared" si="12"/>
        <v>3.3018900163458209E-2</v>
      </c>
    </row>
    <row r="620" spans="1:4" x14ac:dyDescent="0.2">
      <c r="A620" s="264">
        <v>35947</v>
      </c>
      <c r="B620" s="268">
        <v>162.80000000000001</v>
      </c>
      <c r="C620" s="269">
        <f t="shared" si="13"/>
        <v>1.6229712858926382E-2</v>
      </c>
      <c r="D620" s="53">
        <f t="shared" si="12"/>
        <v>3.2707281815461453E-2</v>
      </c>
    </row>
    <row r="621" spans="1:4" x14ac:dyDescent="0.2">
      <c r="A621" s="264">
        <v>35977</v>
      </c>
      <c r="B621" s="268">
        <v>163.19999999999999</v>
      </c>
      <c r="C621" s="269">
        <f t="shared" si="13"/>
        <v>1.7456359102244301E-2</v>
      </c>
      <c r="D621" s="53">
        <f t="shared" si="12"/>
        <v>3.2524059948885853E-2</v>
      </c>
    </row>
    <row r="622" spans="1:4" x14ac:dyDescent="0.2">
      <c r="A622" s="264">
        <v>36008</v>
      </c>
      <c r="B622" s="268">
        <v>163.4</v>
      </c>
      <c r="C622" s="269">
        <f t="shared" si="13"/>
        <v>1.6169154228855787E-2</v>
      </c>
      <c r="D622" s="53">
        <f t="shared" si="12"/>
        <v>3.2215815694919048E-2</v>
      </c>
    </row>
    <row r="623" spans="1:4" x14ac:dyDescent="0.2">
      <c r="A623" s="264">
        <v>36039</v>
      </c>
      <c r="B623" s="268">
        <v>163.5</v>
      </c>
      <c r="C623" s="269">
        <f t="shared" si="13"/>
        <v>1.4267990074441794E-2</v>
      </c>
      <c r="D623" s="53">
        <f t="shared" si="12"/>
        <v>3.1846238127934745E-2</v>
      </c>
    </row>
    <row r="624" spans="1:4" x14ac:dyDescent="0.2">
      <c r="A624" s="264">
        <v>36069</v>
      </c>
      <c r="B624" s="268">
        <v>163.9</v>
      </c>
      <c r="C624" s="269">
        <f t="shared" si="13"/>
        <v>1.4860681114551078E-2</v>
      </c>
      <c r="D624" s="53">
        <f t="shared" si="12"/>
        <v>3.1753562351121589E-2</v>
      </c>
    </row>
    <row r="625" spans="1:4" x14ac:dyDescent="0.2">
      <c r="A625" s="264">
        <v>36100</v>
      </c>
      <c r="B625" s="268">
        <v>164.1</v>
      </c>
      <c r="C625" s="269">
        <f t="shared" si="13"/>
        <v>1.4842300556586308E-2</v>
      </c>
      <c r="D625" s="53">
        <f t="shared" si="12"/>
        <v>3.1535777148259836E-2</v>
      </c>
    </row>
    <row r="626" spans="1:4" x14ac:dyDescent="0.2">
      <c r="A626" s="264">
        <v>36130</v>
      </c>
      <c r="B626" s="268">
        <v>164.4</v>
      </c>
      <c r="C626" s="269">
        <f t="shared" si="13"/>
        <v>1.606922126081578E-2</v>
      </c>
      <c r="D626" s="53">
        <f t="shared" si="12"/>
        <v>3.1381778228560142E-2</v>
      </c>
    </row>
    <row r="627" spans="1:4" x14ac:dyDescent="0.2">
      <c r="A627" s="264">
        <v>36161</v>
      </c>
      <c r="B627" s="268">
        <v>164.7</v>
      </c>
      <c r="C627" s="269">
        <f t="shared" si="13"/>
        <v>1.6666666666666607E-2</v>
      </c>
      <c r="D627" s="53">
        <f t="shared" si="12"/>
        <v>3.1143474993071463E-2</v>
      </c>
    </row>
    <row r="628" spans="1:4" x14ac:dyDescent="0.2">
      <c r="A628" s="264">
        <v>36192</v>
      </c>
      <c r="B628" s="268">
        <v>164.7</v>
      </c>
      <c r="C628" s="269">
        <f t="shared" si="13"/>
        <v>1.6666666666666607E-2</v>
      </c>
      <c r="D628" s="53">
        <f t="shared" si="12"/>
        <v>3.0803779918658014E-2</v>
      </c>
    </row>
    <row r="629" spans="1:4" x14ac:dyDescent="0.2">
      <c r="A629" s="264">
        <v>36220</v>
      </c>
      <c r="B629" s="268">
        <v>164.8</v>
      </c>
      <c r="C629" s="269">
        <f t="shared" si="13"/>
        <v>1.7283950617283939E-2</v>
      </c>
      <c r="D629" s="53">
        <f t="shared" si="12"/>
        <v>3.0359074052073165E-2</v>
      </c>
    </row>
    <row r="630" spans="1:4" x14ac:dyDescent="0.2">
      <c r="A630" s="264">
        <v>36251</v>
      </c>
      <c r="B630" s="268">
        <v>165.9</v>
      </c>
      <c r="C630" s="269">
        <f t="shared" si="13"/>
        <v>2.2811344019728841E-2</v>
      </c>
      <c r="D630" s="53">
        <f t="shared" si="12"/>
        <v>3.0288454967679179E-2</v>
      </c>
    </row>
    <row r="631" spans="1:4" x14ac:dyDescent="0.2">
      <c r="A631" s="264">
        <v>36281</v>
      </c>
      <c r="B631" s="268">
        <v>166</v>
      </c>
      <c r="C631" s="269">
        <f t="shared" si="13"/>
        <v>2.091020910209096E-2</v>
      </c>
      <c r="D631" s="53">
        <f t="shared" si="12"/>
        <v>2.9849681083784496E-2</v>
      </c>
    </row>
    <row r="632" spans="1:4" x14ac:dyDescent="0.2">
      <c r="A632" s="264">
        <v>36312</v>
      </c>
      <c r="B632" s="268">
        <v>166</v>
      </c>
      <c r="C632" s="269">
        <f t="shared" si="13"/>
        <v>1.9656019656019597E-2</v>
      </c>
      <c r="D632" s="53">
        <f t="shared" ref="D632:D695" si="14">(B632/B512)^(1/10)-1</f>
        <v>2.9517256756322885E-2</v>
      </c>
    </row>
    <row r="633" spans="1:4" x14ac:dyDescent="0.2">
      <c r="A633" s="264">
        <v>36342</v>
      </c>
      <c r="B633" s="268">
        <v>166.7</v>
      </c>
      <c r="C633" s="269">
        <f t="shared" si="13"/>
        <v>2.1446078431372584E-2</v>
      </c>
      <c r="D633" s="53">
        <f t="shared" si="14"/>
        <v>2.9619181714624965E-2</v>
      </c>
    </row>
    <row r="634" spans="1:4" x14ac:dyDescent="0.2">
      <c r="A634" s="264">
        <v>36373</v>
      </c>
      <c r="B634" s="268">
        <v>167.1</v>
      </c>
      <c r="C634" s="269">
        <f t="shared" si="13"/>
        <v>2.2643818849449104E-2</v>
      </c>
      <c r="D634" s="53">
        <f t="shared" si="14"/>
        <v>2.9865974540531415E-2</v>
      </c>
    </row>
    <row r="635" spans="1:4" x14ac:dyDescent="0.2">
      <c r="A635" s="264">
        <v>36404</v>
      </c>
      <c r="B635" s="268">
        <v>167.8</v>
      </c>
      <c r="C635" s="269">
        <f t="shared" si="13"/>
        <v>2.629969418960254E-2</v>
      </c>
      <c r="D635" s="53">
        <f t="shared" si="14"/>
        <v>3.0048649664171423E-2</v>
      </c>
    </row>
    <row r="636" spans="1:4" x14ac:dyDescent="0.2">
      <c r="A636" s="264">
        <v>36434</v>
      </c>
      <c r="B636" s="268">
        <v>168.1</v>
      </c>
      <c r="C636" s="269">
        <f t="shared" si="13"/>
        <v>2.56253813300793E-2</v>
      </c>
      <c r="D636" s="53">
        <f t="shared" si="14"/>
        <v>2.9738659309873849E-2</v>
      </c>
    </row>
    <row r="637" spans="1:4" x14ac:dyDescent="0.2">
      <c r="A637" s="264">
        <v>36465</v>
      </c>
      <c r="B637" s="268">
        <v>168.4</v>
      </c>
      <c r="C637" s="269">
        <f t="shared" si="13"/>
        <v>2.6203534430225606E-2</v>
      </c>
      <c r="D637" s="53">
        <f t="shared" si="14"/>
        <v>2.951252763971457E-2</v>
      </c>
    </row>
    <row r="638" spans="1:4" x14ac:dyDescent="0.2">
      <c r="A638" s="264">
        <v>36495</v>
      </c>
      <c r="B638" s="268">
        <v>168.8</v>
      </c>
      <c r="C638" s="269">
        <f t="shared" si="13"/>
        <v>2.6763990267639981E-2</v>
      </c>
      <c r="D638" s="53">
        <f t="shared" si="14"/>
        <v>2.9430210290407599E-2</v>
      </c>
    </row>
    <row r="639" spans="1:4" x14ac:dyDescent="0.2">
      <c r="A639" s="264">
        <v>36526</v>
      </c>
      <c r="B639" s="268">
        <v>169.3</v>
      </c>
      <c r="C639" s="269">
        <f t="shared" si="13"/>
        <v>2.7929568913175551E-2</v>
      </c>
      <c r="D639" s="53">
        <f t="shared" si="14"/>
        <v>2.8761439192558358E-2</v>
      </c>
    </row>
    <row r="640" spans="1:4" x14ac:dyDescent="0.2">
      <c r="A640" s="264">
        <v>36557</v>
      </c>
      <c r="B640" s="268">
        <v>170</v>
      </c>
      <c r="C640" s="269">
        <f t="shared" si="13"/>
        <v>3.2179720704310855E-2</v>
      </c>
      <c r="D640" s="53">
        <f t="shared" si="14"/>
        <v>2.8783274740781017E-2</v>
      </c>
    </row>
    <row r="641" spans="1:4" x14ac:dyDescent="0.2">
      <c r="A641" s="264">
        <v>36586</v>
      </c>
      <c r="B641" s="268">
        <v>171</v>
      </c>
      <c r="C641" s="269">
        <f t="shared" si="13"/>
        <v>3.762135922330101E-2</v>
      </c>
      <c r="D641" s="53">
        <f t="shared" si="14"/>
        <v>2.8905560262941776E-2</v>
      </c>
    </row>
    <row r="642" spans="1:4" x14ac:dyDescent="0.2">
      <c r="A642" s="264">
        <v>36617</v>
      </c>
      <c r="B642" s="268">
        <v>170.9</v>
      </c>
      <c r="C642" s="269">
        <f t="shared" si="13"/>
        <v>3.0138637733574392E-2</v>
      </c>
      <c r="D642" s="53">
        <f t="shared" si="14"/>
        <v>2.8605671365242946E-2</v>
      </c>
    </row>
    <row r="643" spans="1:4" x14ac:dyDescent="0.2">
      <c r="A643" s="264">
        <v>36647</v>
      </c>
      <c r="B643" s="268">
        <v>171.2</v>
      </c>
      <c r="C643" s="269">
        <f t="shared" si="13"/>
        <v>3.1325301204819134E-2</v>
      </c>
      <c r="D643" s="53">
        <f t="shared" si="14"/>
        <v>2.8626602230507947E-2</v>
      </c>
    </row>
    <row r="644" spans="1:4" x14ac:dyDescent="0.2">
      <c r="A644" s="264">
        <v>36678</v>
      </c>
      <c r="B644" s="268">
        <v>172.2</v>
      </c>
      <c r="C644" s="269">
        <f t="shared" si="13"/>
        <v>3.7349397590361377E-2</v>
      </c>
      <c r="D644" s="53">
        <f t="shared" si="14"/>
        <v>2.8590241176051023E-2</v>
      </c>
    </row>
    <row r="645" spans="1:4" x14ac:dyDescent="0.2">
      <c r="A645" s="264">
        <v>36708</v>
      </c>
      <c r="B645" s="268">
        <v>172.7</v>
      </c>
      <c r="C645" s="269">
        <f t="shared" si="13"/>
        <v>3.5992801439711952E-2</v>
      </c>
      <c r="D645" s="53">
        <f t="shared" si="14"/>
        <v>2.8414479387116387E-2</v>
      </c>
    </row>
    <row r="646" spans="1:4" x14ac:dyDescent="0.2">
      <c r="A646" s="264">
        <v>36739</v>
      </c>
      <c r="B646" s="268">
        <v>172.7</v>
      </c>
      <c r="C646" s="269">
        <f t="shared" si="13"/>
        <v>3.3512866546977715E-2</v>
      </c>
      <c r="D646" s="53">
        <f t="shared" si="14"/>
        <v>2.7551611838131818E-2</v>
      </c>
    </row>
    <row r="647" spans="1:4" x14ac:dyDescent="0.2">
      <c r="A647" s="264">
        <v>36770</v>
      </c>
      <c r="B647" s="268">
        <v>173.6</v>
      </c>
      <c r="C647" s="269">
        <f t="shared" si="13"/>
        <v>3.4564958283670899E-2</v>
      </c>
      <c r="D647" s="53">
        <f t="shared" si="14"/>
        <v>2.7385387012523799E-2</v>
      </c>
    </row>
    <row r="648" spans="1:4" x14ac:dyDescent="0.2">
      <c r="A648" s="264">
        <v>36800</v>
      </c>
      <c r="B648" s="268">
        <v>173.9</v>
      </c>
      <c r="C648" s="269">
        <f t="shared" si="13"/>
        <v>3.4503271861986873E-2</v>
      </c>
      <c r="D648" s="53">
        <f t="shared" si="14"/>
        <v>2.6867420641494277E-2</v>
      </c>
    </row>
    <row r="649" spans="1:4" x14ac:dyDescent="0.2">
      <c r="A649" s="264">
        <v>36831</v>
      </c>
      <c r="B649" s="268">
        <v>174.2</v>
      </c>
      <c r="C649" s="269">
        <f t="shared" si="13"/>
        <v>3.444180522565321E-2</v>
      </c>
      <c r="D649" s="53">
        <f t="shared" si="14"/>
        <v>2.6813746907058178E-2</v>
      </c>
    </row>
    <row r="650" spans="1:4" x14ac:dyDescent="0.2">
      <c r="A650" s="264">
        <v>36861</v>
      </c>
      <c r="B650" s="268">
        <v>174.6</v>
      </c>
      <c r="C650" s="269">
        <f t="shared" si="13"/>
        <v>3.4360189573459543E-2</v>
      </c>
      <c r="D650" s="53">
        <f t="shared" si="14"/>
        <v>2.6665982464831206E-2</v>
      </c>
    </row>
    <row r="651" spans="1:4" x14ac:dyDescent="0.2">
      <c r="A651" s="264">
        <v>36892</v>
      </c>
      <c r="B651" s="268">
        <v>175.6</v>
      </c>
      <c r="C651" s="269">
        <f t="shared" si="13"/>
        <v>3.7212049616065945E-2</v>
      </c>
      <c r="D651" s="53">
        <f t="shared" si="14"/>
        <v>2.6870533071708946E-2</v>
      </c>
    </row>
    <row r="652" spans="1:4" x14ac:dyDescent="0.2">
      <c r="A652" s="264">
        <v>36923</v>
      </c>
      <c r="B652" s="268">
        <v>176</v>
      </c>
      <c r="C652" s="269">
        <f t="shared" si="13"/>
        <v>3.529411764705892E-2</v>
      </c>
      <c r="D652" s="53">
        <f t="shared" si="14"/>
        <v>2.7027984806005101E-2</v>
      </c>
    </row>
    <row r="653" spans="1:4" x14ac:dyDescent="0.2">
      <c r="A653" s="264">
        <v>36951</v>
      </c>
      <c r="B653" s="268">
        <v>176.1</v>
      </c>
      <c r="C653" s="269">
        <f t="shared" si="13"/>
        <v>2.9824561403508643E-2</v>
      </c>
      <c r="D653" s="53">
        <f t="shared" si="14"/>
        <v>2.708632375412301E-2</v>
      </c>
    </row>
    <row r="654" spans="1:4" x14ac:dyDescent="0.2">
      <c r="A654" s="264">
        <v>36982</v>
      </c>
      <c r="B654" s="268">
        <v>176.4</v>
      </c>
      <c r="C654" s="269">
        <f t="shared" si="13"/>
        <v>3.2182562902282053E-2</v>
      </c>
      <c r="D654" s="53">
        <f t="shared" si="14"/>
        <v>2.7032822329397188E-2</v>
      </c>
    </row>
    <row r="655" spans="1:4" x14ac:dyDescent="0.2">
      <c r="A655" s="264">
        <v>37012</v>
      </c>
      <c r="B655" s="268">
        <v>177.3</v>
      </c>
      <c r="C655" s="269">
        <f t="shared" si="13"/>
        <v>3.5630841121495394E-2</v>
      </c>
      <c r="D655" s="53">
        <f t="shared" si="14"/>
        <v>2.7176097132604493E-2</v>
      </c>
    </row>
    <row r="656" spans="1:4" x14ac:dyDescent="0.2">
      <c r="A656" s="264">
        <v>37043</v>
      </c>
      <c r="B656" s="268">
        <v>177.7</v>
      </c>
      <c r="C656" s="269">
        <f t="shared" ref="C656:C719" si="15">B656/B644-1</f>
        <v>3.1939605110336888E-2</v>
      </c>
      <c r="D656" s="53">
        <f t="shared" si="14"/>
        <v>2.7105020223204379E-2</v>
      </c>
    </row>
    <row r="657" spans="1:4" x14ac:dyDescent="0.2">
      <c r="A657" s="264">
        <v>37073</v>
      </c>
      <c r="B657" s="268">
        <v>177.4</v>
      </c>
      <c r="C657" s="269">
        <f t="shared" si="15"/>
        <v>2.7214823393167498E-2</v>
      </c>
      <c r="D657" s="53">
        <f t="shared" si="14"/>
        <v>2.6780591200306514E-2</v>
      </c>
    </row>
    <row r="658" spans="1:4" x14ac:dyDescent="0.2">
      <c r="A658" s="264">
        <v>37104</v>
      </c>
      <c r="B658" s="268">
        <v>177.4</v>
      </c>
      <c r="C658" s="269">
        <f t="shared" si="15"/>
        <v>2.7214823393167498E-2</v>
      </c>
      <c r="D658" s="53">
        <f t="shared" si="14"/>
        <v>2.6479526453324187E-2</v>
      </c>
    </row>
    <row r="659" spans="1:4" x14ac:dyDescent="0.2">
      <c r="A659" s="264">
        <v>37135</v>
      </c>
      <c r="B659" s="268">
        <v>178.1</v>
      </c>
      <c r="C659" s="269">
        <f t="shared" si="15"/>
        <v>2.5921658986175045E-2</v>
      </c>
      <c r="D659" s="53">
        <f t="shared" si="14"/>
        <v>2.6583631304232025E-2</v>
      </c>
    </row>
    <row r="660" spans="1:4" x14ac:dyDescent="0.2">
      <c r="A660" s="264">
        <v>37165</v>
      </c>
      <c r="B660" s="268">
        <v>177.6</v>
      </c>
      <c r="C660" s="269">
        <f t="shared" si="15"/>
        <v>2.1276595744680771E-2</v>
      </c>
      <c r="D660" s="53">
        <f t="shared" si="14"/>
        <v>2.6145358358116599E-2</v>
      </c>
    </row>
    <row r="661" spans="1:4" x14ac:dyDescent="0.2">
      <c r="A661" s="264">
        <v>37196</v>
      </c>
      <c r="B661" s="268">
        <v>177.5</v>
      </c>
      <c r="C661" s="269">
        <f t="shared" si="15"/>
        <v>1.8943742824339971E-2</v>
      </c>
      <c r="D661" s="53">
        <f t="shared" si="14"/>
        <v>2.5639914922961804E-2</v>
      </c>
    </row>
    <row r="662" spans="1:4" x14ac:dyDescent="0.2">
      <c r="A662" s="264">
        <v>37226</v>
      </c>
      <c r="B662" s="268">
        <v>177.4</v>
      </c>
      <c r="C662" s="269">
        <f t="shared" si="15"/>
        <v>1.6036655211913109E-2</v>
      </c>
      <c r="D662" s="53">
        <f t="shared" si="14"/>
        <v>2.5284890429571494E-2</v>
      </c>
    </row>
    <row r="663" spans="1:4" x14ac:dyDescent="0.2">
      <c r="A663" s="264">
        <v>37257</v>
      </c>
      <c r="B663" s="268">
        <v>177.7</v>
      </c>
      <c r="C663" s="269">
        <f t="shared" si="15"/>
        <v>1.1958997722095743E-2</v>
      </c>
      <c r="D663" s="53">
        <f t="shared" si="14"/>
        <v>2.5383972386538778E-2</v>
      </c>
    </row>
    <row r="664" spans="1:4" x14ac:dyDescent="0.2">
      <c r="A664" s="264">
        <v>37288</v>
      </c>
      <c r="B664" s="268">
        <v>178</v>
      </c>
      <c r="C664" s="269">
        <f t="shared" si="15"/>
        <v>1.1363636363636465E-2</v>
      </c>
      <c r="D664" s="53">
        <f t="shared" si="14"/>
        <v>2.5334751758239404E-2</v>
      </c>
    </row>
    <row r="665" spans="1:4" x14ac:dyDescent="0.2">
      <c r="A665" s="264">
        <v>37316</v>
      </c>
      <c r="B665" s="268">
        <v>178.5</v>
      </c>
      <c r="C665" s="269">
        <f t="shared" si="15"/>
        <v>1.3628620102214661E-2</v>
      </c>
      <c r="D665" s="53">
        <f t="shared" si="14"/>
        <v>2.5253142333523382E-2</v>
      </c>
    </row>
    <row r="666" spans="1:4" x14ac:dyDescent="0.2">
      <c r="A666" s="264">
        <v>37347</v>
      </c>
      <c r="B666" s="268">
        <v>179.3</v>
      </c>
      <c r="C666" s="269">
        <f t="shared" si="15"/>
        <v>1.6439909297052191E-2</v>
      </c>
      <c r="D666" s="53">
        <f t="shared" si="14"/>
        <v>2.5490759977099264E-2</v>
      </c>
    </row>
    <row r="667" spans="1:4" x14ac:dyDescent="0.2">
      <c r="A667" s="264">
        <v>37377</v>
      </c>
      <c r="B667" s="268">
        <v>179.5</v>
      </c>
      <c r="C667" s="269">
        <f t="shared" si="15"/>
        <v>1.2408347433727984E-2</v>
      </c>
      <c r="D667" s="53">
        <f t="shared" si="14"/>
        <v>2.5384633264720069E-2</v>
      </c>
    </row>
    <row r="668" spans="1:4" x14ac:dyDescent="0.2">
      <c r="A668" s="264">
        <v>37408</v>
      </c>
      <c r="B668" s="268">
        <v>179.6</v>
      </c>
      <c r="C668" s="269">
        <f t="shared" si="15"/>
        <v>1.0692177827799743E-2</v>
      </c>
      <c r="D668" s="53">
        <f t="shared" si="14"/>
        <v>2.5148592373237078E-2</v>
      </c>
    </row>
    <row r="669" spans="1:4" x14ac:dyDescent="0.2">
      <c r="A669" s="264">
        <v>37438</v>
      </c>
      <c r="B669" s="268">
        <v>180</v>
      </c>
      <c r="C669" s="269">
        <f t="shared" si="15"/>
        <v>1.465614430665152E-2</v>
      </c>
      <c r="D669" s="53">
        <f t="shared" si="14"/>
        <v>2.5084385185200508E-2</v>
      </c>
    </row>
    <row r="670" spans="1:4" x14ac:dyDescent="0.2">
      <c r="A670" s="264">
        <v>37469</v>
      </c>
      <c r="B670" s="268">
        <v>180.5</v>
      </c>
      <c r="C670" s="269">
        <f t="shared" si="15"/>
        <v>1.7474633596392231E-2</v>
      </c>
      <c r="D670" s="53">
        <f t="shared" si="14"/>
        <v>2.5150092322943074E-2</v>
      </c>
    </row>
    <row r="671" spans="1:4" x14ac:dyDescent="0.2">
      <c r="A671" s="264">
        <v>37500</v>
      </c>
      <c r="B671" s="268">
        <v>180.8</v>
      </c>
      <c r="C671" s="269">
        <f t="shared" si="15"/>
        <v>1.516002245929271E-2</v>
      </c>
      <c r="D671" s="53">
        <f t="shared" si="14"/>
        <v>2.5102142566529206E-2</v>
      </c>
    </row>
    <row r="672" spans="1:4" x14ac:dyDescent="0.2">
      <c r="A672" s="264">
        <v>37530</v>
      </c>
      <c r="B672" s="268">
        <v>181.2</v>
      </c>
      <c r="C672" s="269">
        <f t="shared" si="15"/>
        <v>2.0270270270270174E-2</v>
      </c>
      <c r="D672" s="53">
        <f t="shared" si="14"/>
        <v>2.4893725413163814E-2</v>
      </c>
    </row>
    <row r="673" spans="1:4" x14ac:dyDescent="0.2">
      <c r="A673" s="264">
        <v>37561</v>
      </c>
      <c r="B673" s="268">
        <v>181.5</v>
      </c>
      <c r="C673" s="269">
        <f t="shared" si="15"/>
        <v>2.2535211267605604E-2</v>
      </c>
      <c r="D673" s="53">
        <f t="shared" si="14"/>
        <v>2.4774370338737528E-2</v>
      </c>
    </row>
    <row r="674" spans="1:4" x14ac:dyDescent="0.2">
      <c r="A674" s="264">
        <v>37591</v>
      </c>
      <c r="B674" s="268">
        <v>181.8</v>
      </c>
      <c r="C674" s="269">
        <f t="shared" si="15"/>
        <v>2.4802705749718212E-2</v>
      </c>
      <c r="D674" s="53">
        <f t="shared" si="14"/>
        <v>2.4799483566896319E-2</v>
      </c>
    </row>
    <row r="675" spans="1:4" x14ac:dyDescent="0.2">
      <c r="A675" s="264">
        <v>37622</v>
      </c>
      <c r="B675" s="268">
        <v>182.6</v>
      </c>
      <c r="C675" s="269">
        <f t="shared" si="15"/>
        <v>2.7574563871693991E-2</v>
      </c>
      <c r="D675" s="53">
        <f t="shared" si="14"/>
        <v>2.4890002118679977E-2</v>
      </c>
    </row>
    <row r="676" spans="1:4" x14ac:dyDescent="0.2">
      <c r="A676" s="264">
        <v>37653</v>
      </c>
      <c r="B676" s="268">
        <v>183.6</v>
      </c>
      <c r="C676" s="269">
        <f t="shared" si="15"/>
        <v>3.1460674157303359E-2</v>
      </c>
      <c r="D676" s="53">
        <f t="shared" si="14"/>
        <v>2.5234717606545054E-2</v>
      </c>
    </row>
    <row r="677" spans="1:4" x14ac:dyDescent="0.2">
      <c r="A677" s="264">
        <v>37681</v>
      </c>
      <c r="B677" s="268">
        <v>183.9</v>
      </c>
      <c r="C677" s="269">
        <f t="shared" si="15"/>
        <v>3.0252100840336249E-2</v>
      </c>
      <c r="D677" s="53">
        <f t="shared" si="14"/>
        <v>2.5258913959620433E-2</v>
      </c>
    </row>
    <row r="678" spans="1:4" x14ac:dyDescent="0.2">
      <c r="A678" s="264">
        <v>37712</v>
      </c>
      <c r="B678" s="268">
        <v>183.2</v>
      </c>
      <c r="C678" s="269">
        <f t="shared" si="15"/>
        <v>2.175125488008911E-2</v>
      </c>
      <c r="D678" s="53">
        <f t="shared" si="14"/>
        <v>2.4511076952335786E-2</v>
      </c>
    </row>
    <row r="679" spans="1:4" x14ac:dyDescent="0.2">
      <c r="A679" s="264">
        <v>37742</v>
      </c>
      <c r="B679" s="268">
        <v>182.9</v>
      </c>
      <c r="C679" s="269">
        <f t="shared" si="15"/>
        <v>1.8941504178273005E-2</v>
      </c>
      <c r="D679" s="53">
        <f t="shared" si="14"/>
        <v>2.4058683473230147E-2</v>
      </c>
    </row>
    <row r="680" spans="1:4" x14ac:dyDescent="0.2">
      <c r="A680" s="264">
        <v>37773</v>
      </c>
      <c r="B680" s="268">
        <v>183.1</v>
      </c>
      <c r="C680" s="269">
        <f t="shared" si="15"/>
        <v>1.9487750556792971E-2</v>
      </c>
      <c r="D680" s="53">
        <f t="shared" si="14"/>
        <v>2.4099611344711391E-2</v>
      </c>
    </row>
    <row r="681" spans="1:4" x14ac:dyDescent="0.2">
      <c r="A681" s="264">
        <v>37803</v>
      </c>
      <c r="B681" s="268">
        <v>183.7</v>
      </c>
      <c r="C681" s="269">
        <f t="shared" si="15"/>
        <v>2.0555555555555438E-2</v>
      </c>
      <c r="D681" s="53">
        <f t="shared" si="14"/>
        <v>2.4292825834589582E-2</v>
      </c>
    </row>
    <row r="682" spans="1:4" x14ac:dyDescent="0.2">
      <c r="A682" s="264">
        <v>37834</v>
      </c>
      <c r="B682" s="268">
        <v>184.5</v>
      </c>
      <c r="C682" s="269">
        <f t="shared" si="15"/>
        <v>2.2160664819944609E-2</v>
      </c>
      <c r="D682" s="53">
        <f t="shared" si="14"/>
        <v>2.4525520260502365E-2</v>
      </c>
    </row>
    <row r="683" spans="1:4" x14ac:dyDescent="0.2">
      <c r="A683" s="264">
        <v>37865</v>
      </c>
      <c r="B683" s="268">
        <v>185.1</v>
      </c>
      <c r="C683" s="269">
        <f t="shared" si="15"/>
        <v>2.3783185840707821E-2</v>
      </c>
      <c r="D683" s="53">
        <f t="shared" si="14"/>
        <v>2.4716765143539599E-2</v>
      </c>
    </row>
    <row r="684" spans="1:4" x14ac:dyDescent="0.2">
      <c r="A684" s="264">
        <v>37895</v>
      </c>
      <c r="B684" s="268">
        <v>184.9</v>
      </c>
      <c r="C684" s="269">
        <f t="shared" si="15"/>
        <v>2.0419426048565281E-2</v>
      </c>
      <c r="D684" s="53">
        <f t="shared" si="14"/>
        <v>2.4182978159431601E-2</v>
      </c>
    </row>
    <row r="685" spans="1:4" x14ac:dyDescent="0.2">
      <c r="A685" s="264">
        <v>37926</v>
      </c>
      <c r="B685" s="268">
        <v>185</v>
      </c>
      <c r="C685" s="269">
        <f t="shared" si="15"/>
        <v>1.9283746556473913E-2</v>
      </c>
      <c r="D685" s="53">
        <f t="shared" si="14"/>
        <v>2.3957396055257263E-2</v>
      </c>
    </row>
    <row r="686" spans="1:4" x14ac:dyDescent="0.2">
      <c r="A686" s="264">
        <v>37956</v>
      </c>
      <c r="B686" s="268">
        <v>185.5</v>
      </c>
      <c r="C686" s="269">
        <f t="shared" si="15"/>
        <v>2.0352035203520247E-2</v>
      </c>
      <c r="D686" s="53">
        <f t="shared" si="14"/>
        <v>2.4023583795236503E-2</v>
      </c>
    </row>
    <row r="687" spans="1:4" x14ac:dyDescent="0.2">
      <c r="A687" s="264">
        <v>37987</v>
      </c>
      <c r="B687" s="268">
        <v>186.3</v>
      </c>
      <c r="C687" s="269">
        <f t="shared" si="15"/>
        <v>2.0262869660460092E-2</v>
      </c>
      <c r="D687" s="53">
        <f t="shared" si="14"/>
        <v>2.4464356483785199E-2</v>
      </c>
    </row>
    <row r="688" spans="1:4" x14ac:dyDescent="0.2">
      <c r="A688" s="264">
        <v>38018</v>
      </c>
      <c r="B688" s="268">
        <v>186.7</v>
      </c>
      <c r="C688" s="269">
        <f t="shared" si="15"/>
        <v>1.6884531590413809E-2</v>
      </c>
      <c r="D688" s="53">
        <f t="shared" si="14"/>
        <v>2.4404365179139464E-2</v>
      </c>
    </row>
    <row r="689" spans="1:4" x14ac:dyDescent="0.2">
      <c r="A689" s="264">
        <v>38047</v>
      </c>
      <c r="B689" s="268">
        <v>187.1</v>
      </c>
      <c r="C689" s="269">
        <f t="shared" si="15"/>
        <v>1.7400761283306032E-2</v>
      </c>
      <c r="D689" s="53">
        <f t="shared" si="14"/>
        <v>2.4344668757864341E-2</v>
      </c>
    </row>
    <row r="690" spans="1:4" x14ac:dyDescent="0.2">
      <c r="A690" s="264">
        <v>38078</v>
      </c>
      <c r="B690" s="268">
        <v>187.4</v>
      </c>
      <c r="C690" s="269">
        <f t="shared" si="15"/>
        <v>2.2925764192139875E-2</v>
      </c>
      <c r="D690" s="53">
        <f t="shared" si="14"/>
        <v>2.443917483734781E-2</v>
      </c>
    </row>
    <row r="691" spans="1:4" x14ac:dyDescent="0.2">
      <c r="A691" s="264">
        <v>38108</v>
      </c>
      <c r="B691" s="268">
        <v>188.2</v>
      </c>
      <c r="C691" s="269">
        <f t="shared" si="15"/>
        <v>2.8977583378895444E-2</v>
      </c>
      <c r="D691" s="53">
        <f t="shared" si="14"/>
        <v>2.4667023956566503E-2</v>
      </c>
    </row>
    <row r="692" spans="1:4" x14ac:dyDescent="0.2">
      <c r="A692" s="264">
        <v>38139</v>
      </c>
      <c r="B692" s="268">
        <v>188.9</v>
      </c>
      <c r="C692" s="269">
        <f t="shared" si="15"/>
        <v>3.1676679410158393E-2</v>
      </c>
      <c r="D692" s="53">
        <f t="shared" si="14"/>
        <v>2.476994190769588E-2</v>
      </c>
    </row>
    <row r="693" spans="1:4" x14ac:dyDescent="0.2">
      <c r="A693" s="264">
        <v>38169</v>
      </c>
      <c r="B693" s="268">
        <v>189.1</v>
      </c>
      <c r="C693" s="269">
        <f t="shared" si="15"/>
        <v>2.9395753946652281E-2</v>
      </c>
      <c r="D693" s="53">
        <f t="shared" si="14"/>
        <v>2.4532554820529962E-2</v>
      </c>
    </row>
    <row r="694" spans="1:4" x14ac:dyDescent="0.2">
      <c r="A694" s="264">
        <v>38200</v>
      </c>
      <c r="B694" s="268">
        <v>189.2</v>
      </c>
      <c r="C694" s="269">
        <f t="shared" si="15"/>
        <v>2.5474254742547275E-2</v>
      </c>
      <c r="D694" s="53">
        <f t="shared" si="14"/>
        <v>2.4173386530202068E-2</v>
      </c>
    </row>
    <row r="695" spans="1:4" x14ac:dyDescent="0.2">
      <c r="A695" s="264">
        <v>38231</v>
      </c>
      <c r="B695" s="268">
        <v>189.8</v>
      </c>
      <c r="C695" s="269">
        <f t="shared" si="15"/>
        <v>2.5391680172879516E-2</v>
      </c>
      <c r="D695" s="53">
        <f t="shared" si="14"/>
        <v>2.4291668073179729E-2</v>
      </c>
    </row>
    <row r="696" spans="1:4" x14ac:dyDescent="0.2">
      <c r="A696" s="264">
        <v>38261</v>
      </c>
      <c r="B696" s="268">
        <v>190.8</v>
      </c>
      <c r="C696" s="269">
        <f t="shared" si="15"/>
        <v>3.1909140075716547E-2</v>
      </c>
      <c r="D696" s="53">
        <f t="shared" ref="D696:D759" si="16">(B696/B576)^(1/10)-1</f>
        <v>2.476144470681918E-2</v>
      </c>
    </row>
    <row r="697" spans="1:4" x14ac:dyDescent="0.2">
      <c r="A697" s="264">
        <v>38292</v>
      </c>
      <c r="B697" s="268">
        <v>191.7</v>
      </c>
      <c r="C697" s="269">
        <f t="shared" si="15"/>
        <v>3.6216216216216068E-2</v>
      </c>
      <c r="D697" s="53">
        <f t="shared" si="16"/>
        <v>2.4969706886792453E-2</v>
      </c>
    </row>
    <row r="698" spans="1:4" x14ac:dyDescent="0.2">
      <c r="A698" s="264">
        <v>38322</v>
      </c>
      <c r="B698" s="268">
        <v>191.7</v>
      </c>
      <c r="C698" s="269">
        <f t="shared" si="15"/>
        <v>3.3423180592991875E-2</v>
      </c>
      <c r="D698" s="53">
        <f t="shared" si="16"/>
        <v>2.4764665034629818E-2</v>
      </c>
    </row>
    <row r="699" spans="1:4" x14ac:dyDescent="0.2">
      <c r="A699" s="264">
        <v>38353</v>
      </c>
      <c r="B699" s="268">
        <v>191.6</v>
      </c>
      <c r="C699" s="269">
        <f t="shared" si="15"/>
        <v>2.8448738593666034E-2</v>
      </c>
      <c r="D699" s="53">
        <f t="shared" si="16"/>
        <v>2.44385210239082E-2</v>
      </c>
    </row>
    <row r="700" spans="1:4" x14ac:dyDescent="0.2">
      <c r="A700" s="264">
        <v>38384</v>
      </c>
      <c r="B700" s="268">
        <v>192.4</v>
      </c>
      <c r="C700" s="269">
        <f t="shared" si="15"/>
        <v>3.0530262453133394E-2</v>
      </c>
      <c r="D700" s="53">
        <f t="shared" si="16"/>
        <v>2.4593467911818712E-2</v>
      </c>
    </row>
    <row r="701" spans="1:4" x14ac:dyDescent="0.2">
      <c r="A701" s="264">
        <v>38412</v>
      </c>
      <c r="B701" s="268">
        <v>193.1</v>
      </c>
      <c r="C701" s="269">
        <f t="shared" si="15"/>
        <v>3.2068412613575736E-2</v>
      </c>
      <c r="D701" s="53">
        <f t="shared" si="16"/>
        <v>2.476208409396552E-2</v>
      </c>
    </row>
    <row r="702" spans="1:4" x14ac:dyDescent="0.2">
      <c r="A702" s="264">
        <v>38443</v>
      </c>
      <c r="B702" s="268">
        <v>193.7</v>
      </c>
      <c r="C702" s="269">
        <f t="shared" si="15"/>
        <v>3.3617929562433257E-2</v>
      </c>
      <c r="D702" s="53">
        <f t="shared" si="16"/>
        <v>2.4674161205310963E-2</v>
      </c>
    </row>
    <row r="703" spans="1:4" x14ac:dyDescent="0.2">
      <c r="A703" s="264">
        <v>38473</v>
      </c>
      <c r="B703" s="268">
        <v>193.6</v>
      </c>
      <c r="C703" s="269">
        <f t="shared" si="15"/>
        <v>2.8692879914984148E-2</v>
      </c>
      <c r="D703" s="53">
        <f t="shared" si="16"/>
        <v>2.4418974332246268E-2</v>
      </c>
    </row>
    <row r="704" spans="1:4" x14ac:dyDescent="0.2">
      <c r="A704" s="264">
        <v>38504</v>
      </c>
      <c r="B704" s="268">
        <v>193.7</v>
      </c>
      <c r="C704" s="269">
        <f t="shared" si="15"/>
        <v>2.541026998411855E-2</v>
      </c>
      <c r="D704" s="53">
        <f t="shared" si="16"/>
        <v>2.4270029682365912E-2</v>
      </c>
    </row>
    <row r="705" spans="1:4" x14ac:dyDescent="0.2">
      <c r="A705" s="264">
        <v>38534</v>
      </c>
      <c r="B705" s="268">
        <v>194.9</v>
      </c>
      <c r="C705" s="269">
        <f t="shared" si="15"/>
        <v>3.0671602326811209E-2</v>
      </c>
      <c r="D705" s="53">
        <f t="shared" si="16"/>
        <v>2.4768413246442522E-2</v>
      </c>
    </row>
    <row r="706" spans="1:4" x14ac:dyDescent="0.2">
      <c r="A706" s="264">
        <v>38565</v>
      </c>
      <c r="B706" s="268">
        <v>196.1</v>
      </c>
      <c r="C706" s="269">
        <f t="shared" si="15"/>
        <v>3.6469344608879517E-2</v>
      </c>
      <c r="D706" s="53">
        <f t="shared" si="16"/>
        <v>2.5196254458069056E-2</v>
      </c>
    </row>
    <row r="707" spans="1:4" x14ac:dyDescent="0.2">
      <c r="A707" s="264">
        <v>38596</v>
      </c>
      <c r="B707" s="268">
        <v>198.8</v>
      </c>
      <c r="C707" s="269">
        <f t="shared" si="15"/>
        <v>4.7418335089568053E-2</v>
      </c>
      <c r="D707" s="53">
        <f t="shared" si="16"/>
        <v>2.6464937082375295E-2</v>
      </c>
    </row>
    <row r="708" spans="1:4" x14ac:dyDescent="0.2">
      <c r="A708" s="264">
        <v>38626</v>
      </c>
      <c r="B708" s="268">
        <v>199.1</v>
      </c>
      <c r="C708" s="269">
        <f t="shared" si="15"/>
        <v>4.3501048218029359E-2</v>
      </c>
      <c r="D708" s="53">
        <f t="shared" si="16"/>
        <v>2.6351893846618735E-2</v>
      </c>
    </row>
    <row r="709" spans="1:4" x14ac:dyDescent="0.2">
      <c r="A709" s="264">
        <v>38657</v>
      </c>
      <c r="B709" s="268">
        <v>198.1</v>
      </c>
      <c r="C709" s="269">
        <f t="shared" si="15"/>
        <v>3.3385498174230532E-2</v>
      </c>
      <c r="D709" s="53">
        <f t="shared" si="16"/>
        <v>2.5701665722528411E-2</v>
      </c>
    </row>
    <row r="710" spans="1:4" x14ac:dyDescent="0.2">
      <c r="A710" s="264">
        <v>38687</v>
      </c>
      <c r="B710" s="268">
        <v>198.1</v>
      </c>
      <c r="C710" s="269">
        <f t="shared" si="15"/>
        <v>3.3385498174230532E-2</v>
      </c>
      <c r="D710" s="53">
        <f t="shared" si="16"/>
        <v>2.5568293144827559E-2</v>
      </c>
    </row>
    <row r="711" spans="1:4" x14ac:dyDescent="0.2">
      <c r="A711" s="264">
        <v>38718</v>
      </c>
      <c r="B711" s="268">
        <v>199.3</v>
      </c>
      <c r="C711" s="269">
        <f t="shared" si="15"/>
        <v>4.0187891440501167E-2</v>
      </c>
      <c r="D711" s="53">
        <f t="shared" si="16"/>
        <v>2.565593752346107E-2</v>
      </c>
    </row>
    <row r="712" spans="1:4" x14ac:dyDescent="0.2">
      <c r="A712" s="264">
        <v>38749</v>
      </c>
      <c r="B712" s="268">
        <v>199.4</v>
      </c>
      <c r="C712" s="269">
        <f t="shared" si="15"/>
        <v>3.6382536382536301E-2</v>
      </c>
      <c r="D712" s="53">
        <f t="shared" si="16"/>
        <v>2.5508691693413299E-2</v>
      </c>
    </row>
    <row r="713" spans="1:4" x14ac:dyDescent="0.2">
      <c r="A713" s="264">
        <v>38777</v>
      </c>
      <c r="B713" s="268">
        <v>199.7</v>
      </c>
      <c r="C713" s="269">
        <f t="shared" si="15"/>
        <v>3.4179181771103018E-2</v>
      </c>
      <c r="D713" s="53">
        <f t="shared" si="16"/>
        <v>2.5332603198812587E-2</v>
      </c>
    </row>
    <row r="714" spans="1:4" x14ac:dyDescent="0.2">
      <c r="A714" s="264">
        <v>38808</v>
      </c>
      <c r="B714" s="268">
        <v>200.7</v>
      </c>
      <c r="C714" s="269">
        <f t="shared" si="15"/>
        <v>3.6138358286009309E-2</v>
      </c>
      <c r="D714" s="53">
        <f t="shared" si="16"/>
        <v>2.5449899701238676E-2</v>
      </c>
    </row>
    <row r="715" spans="1:4" x14ac:dyDescent="0.2">
      <c r="A715" s="264">
        <v>38838</v>
      </c>
      <c r="B715" s="268">
        <v>201.3</v>
      </c>
      <c r="C715" s="269">
        <f t="shared" si="15"/>
        <v>3.9772727272727293E-2</v>
      </c>
      <c r="D715" s="53">
        <f t="shared" si="16"/>
        <v>2.5559123751478285E-2</v>
      </c>
    </row>
    <row r="716" spans="1:4" x14ac:dyDescent="0.2">
      <c r="A716" s="264">
        <v>38869</v>
      </c>
      <c r="B716" s="268">
        <v>201.8</v>
      </c>
      <c r="C716" s="269">
        <f t="shared" si="15"/>
        <v>4.1817243159525175E-2</v>
      </c>
      <c r="D716" s="53">
        <f t="shared" si="16"/>
        <v>2.5617013482589934E-2</v>
      </c>
    </row>
    <row r="717" spans="1:4" x14ac:dyDescent="0.2">
      <c r="A717" s="264">
        <v>38899</v>
      </c>
      <c r="B717" s="268">
        <v>202.9</v>
      </c>
      <c r="C717" s="269">
        <f t="shared" si="15"/>
        <v>4.1046690610569536E-2</v>
      </c>
      <c r="D717" s="53">
        <f t="shared" si="16"/>
        <v>2.59784515584498E-2</v>
      </c>
    </row>
    <row r="718" spans="1:4" x14ac:dyDescent="0.2">
      <c r="A718" s="264">
        <v>38930</v>
      </c>
      <c r="B718" s="268">
        <v>203.8</v>
      </c>
      <c r="C718" s="269">
        <f t="shared" si="15"/>
        <v>3.9265680775114831E-2</v>
      </c>
      <c r="D718" s="53">
        <f t="shared" si="16"/>
        <v>2.6301972971094933E-2</v>
      </c>
    </row>
    <row r="719" spans="1:4" x14ac:dyDescent="0.2">
      <c r="A719" s="264">
        <v>38961</v>
      </c>
      <c r="B719" s="268">
        <v>202.8</v>
      </c>
      <c r="C719" s="269">
        <f t="shared" si="15"/>
        <v>2.0120724346076369E-2</v>
      </c>
      <c r="D719" s="53">
        <f t="shared" si="16"/>
        <v>2.5471572759254268E-2</v>
      </c>
    </row>
    <row r="720" spans="1:4" x14ac:dyDescent="0.2">
      <c r="A720" s="264">
        <v>38991</v>
      </c>
      <c r="B720" s="268">
        <v>201.9</v>
      </c>
      <c r="C720" s="269">
        <f t="shared" ref="C720:C783" si="17">B720/B708-1</f>
        <v>1.4063284781516971E-2</v>
      </c>
      <c r="D720" s="53">
        <f t="shared" si="16"/>
        <v>2.4691146809555864E-2</v>
      </c>
    </row>
    <row r="721" spans="1:4" x14ac:dyDescent="0.2">
      <c r="A721" s="264">
        <v>39022</v>
      </c>
      <c r="B721" s="268">
        <v>202</v>
      </c>
      <c r="C721" s="269">
        <f t="shared" si="17"/>
        <v>1.9687026754164672E-2</v>
      </c>
      <c r="D721" s="53">
        <f t="shared" si="16"/>
        <v>2.4418574224146283E-2</v>
      </c>
    </row>
    <row r="722" spans="1:4" x14ac:dyDescent="0.2">
      <c r="A722" s="264">
        <v>39052</v>
      </c>
      <c r="B722" s="268">
        <v>203.1</v>
      </c>
      <c r="C722" s="269">
        <f t="shared" si="17"/>
        <v>2.5239777889954462E-2</v>
      </c>
      <c r="D722" s="53">
        <f t="shared" si="16"/>
        <v>2.4717078305609874E-2</v>
      </c>
    </row>
    <row r="723" spans="1:4" x14ac:dyDescent="0.2">
      <c r="A723" s="264">
        <v>39083</v>
      </c>
      <c r="B723" s="268">
        <v>203.43700000000001</v>
      </c>
      <c r="C723" s="269">
        <f t="shared" si="17"/>
        <v>2.0757651781234232E-2</v>
      </c>
      <c r="D723" s="53">
        <f t="shared" si="16"/>
        <v>2.4693927651029179E-2</v>
      </c>
    </row>
    <row r="724" spans="1:4" x14ac:dyDescent="0.2">
      <c r="A724" s="264">
        <v>39114</v>
      </c>
      <c r="B724" s="268">
        <v>204.226</v>
      </c>
      <c r="C724" s="269">
        <f t="shared" si="17"/>
        <v>2.4202607823470279E-2</v>
      </c>
      <c r="D724" s="53">
        <f t="shared" si="16"/>
        <v>2.489791945524944E-2</v>
      </c>
    </row>
    <row r="725" spans="1:4" x14ac:dyDescent="0.2">
      <c r="A725" s="264">
        <v>39142</v>
      </c>
      <c r="B725" s="268">
        <v>205.28800000000001</v>
      </c>
      <c r="C725" s="269">
        <f t="shared" si="17"/>
        <v>2.7981972959439272E-2</v>
      </c>
      <c r="D725" s="53">
        <f t="shared" si="16"/>
        <v>2.536544811542063E-2</v>
      </c>
    </row>
    <row r="726" spans="1:4" x14ac:dyDescent="0.2">
      <c r="A726" s="264">
        <v>39173</v>
      </c>
      <c r="B726" s="268">
        <v>205.904</v>
      </c>
      <c r="C726" s="269">
        <f t="shared" si="17"/>
        <v>2.5929247633283525E-2</v>
      </c>
      <c r="D726" s="53">
        <f t="shared" si="16"/>
        <v>2.5608548316112145E-2</v>
      </c>
    </row>
    <row r="727" spans="1:4" x14ac:dyDescent="0.2">
      <c r="A727" s="264">
        <v>39203</v>
      </c>
      <c r="B727" s="268">
        <v>206.755</v>
      </c>
      <c r="C727" s="269">
        <f t="shared" si="17"/>
        <v>2.7098857426726131E-2</v>
      </c>
      <c r="D727" s="53">
        <f t="shared" si="16"/>
        <v>2.6031645414486659E-2</v>
      </c>
    </row>
    <row r="728" spans="1:4" x14ac:dyDescent="0.2">
      <c r="A728" s="264">
        <v>39234</v>
      </c>
      <c r="B728" s="268">
        <v>207.23400000000001</v>
      </c>
      <c r="C728" s="269">
        <f t="shared" si="17"/>
        <v>2.692765113974227E-2</v>
      </c>
      <c r="D728" s="53">
        <f t="shared" si="16"/>
        <v>2.6076756645179833E-2</v>
      </c>
    </row>
    <row r="729" spans="1:4" x14ac:dyDescent="0.2">
      <c r="A729" s="264">
        <v>39264</v>
      </c>
      <c r="B729" s="268">
        <v>207.60300000000001</v>
      </c>
      <c r="C729" s="269">
        <f t="shared" si="17"/>
        <v>2.3178905864958077E-2</v>
      </c>
      <c r="D729" s="53">
        <f t="shared" si="16"/>
        <v>2.6131278853358308E-2</v>
      </c>
    </row>
    <row r="730" spans="1:4" x14ac:dyDescent="0.2">
      <c r="A730" s="264">
        <v>39295</v>
      </c>
      <c r="B730" s="268">
        <v>207.667</v>
      </c>
      <c r="C730" s="269">
        <f t="shared" si="17"/>
        <v>1.8974484789008761E-2</v>
      </c>
      <c r="D730" s="53">
        <f t="shared" si="16"/>
        <v>2.5907357513866858E-2</v>
      </c>
    </row>
    <row r="731" spans="1:4" x14ac:dyDescent="0.2">
      <c r="A731" s="264">
        <v>39326</v>
      </c>
      <c r="B731" s="268">
        <v>208.547</v>
      </c>
      <c r="C731" s="269">
        <f t="shared" si="17"/>
        <v>2.8338264299802685E-2</v>
      </c>
      <c r="D731" s="53">
        <f t="shared" si="16"/>
        <v>2.6086304382454184E-2</v>
      </c>
    </row>
    <row r="732" spans="1:4" x14ac:dyDescent="0.2">
      <c r="A732" s="264">
        <v>39356</v>
      </c>
      <c r="B732" s="268">
        <v>209.19</v>
      </c>
      <c r="C732" s="269">
        <f t="shared" si="17"/>
        <v>3.610698365527476E-2</v>
      </c>
      <c r="D732" s="53">
        <f t="shared" si="16"/>
        <v>2.6211410584532802E-2</v>
      </c>
    </row>
    <row r="733" spans="1:4" x14ac:dyDescent="0.2">
      <c r="A733" s="264">
        <v>39387</v>
      </c>
      <c r="B733" s="268">
        <v>210.834</v>
      </c>
      <c r="C733" s="269">
        <f t="shared" si="17"/>
        <v>4.373267326732666E-2</v>
      </c>
      <c r="D733" s="53">
        <f t="shared" si="16"/>
        <v>2.6887962253761666E-2</v>
      </c>
    </row>
    <row r="734" spans="1:4" x14ac:dyDescent="0.2">
      <c r="A734" s="264">
        <v>39417</v>
      </c>
      <c r="B734" s="268">
        <v>211.44499999999999</v>
      </c>
      <c r="C734" s="269">
        <f t="shared" si="17"/>
        <v>4.1088133924175319E-2</v>
      </c>
      <c r="D734" s="53">
        <f t="shared" si="16"/>
        <v>2.7121665964882968E-2</v>
      </c>
    </row>
    <row r="735" spans="1:4" x14ac:dyDescent="0.2">
      <c r="A735" s="264">
        <v>39448</v>
      </c>
      <c r="B735" s="268">
        <v>212.17400000000001</v>
      </c>
      <c r="C735" s="269">
        <f t="shared" si="17"/>
        <v>4.294695655165981E-2</v>
      </c>
      <c r="D735" s="53">
        <f t="shared" si="16"/>
        <v>2.7348319690600587E-2</v>
      </c>
    </row>
    <row r="736" spans="1:4" x14ac:dyDescent="0.2">
      <c r="A736" s="264">
        <v>39479</v>
      </c>
      <c r="B736" s="268">
        <v>212.68700000000001</v>
      </c>
      <c r="C736" s="269">
        <f t="shared" si="17"/>
        <v>4.1429592706119678E-2</v>
      </c>
      <c r="D736" s="53">
        <f t="shared" si="16"/>
        <v>2.7596444882467708E-2</v>
      </c>
    </row>
    <row r="737" spans="1:4" x14ac:dyDescent="0.2">
      <c r="A737" s="264">
        <v>39508</v>
      </c>
      <c r="B737" s="268">
        <v>213.44800000000001</v>
      </c>
      <c r="C737" s="269">
        <f t="shared" si="17"/>
        <v>3.9749035501344343E-2</v>
      </c>
      <c r="D737" s="53">
        <f t="shared" si="16"/>
        <v>2.7963531084726156E-2</v>
      </c>
    </row>
    <row r="738" spans="1:4" x14ac:dyDescent="0.2">
      <c r="A738" s="264">
        <v>39539</v>
      </c>
      <c r="B738" s="268">
        <v>213.94200000000001</v>
      </c>
      <c r="C738" s="269">
        <f t="shared" si="17"/>
        <v>3.9037609759888126E-2</v>
      </c>
      <c r="D738" s="53">
        <f t="shared" si="16"/>
        <v>2.8074341298856442E-2</v>
      </c>
    </row>
    <row r="739" spans="1:4" x14ac:dyDescent="0.2">
      <c r="A739" s="264">
        <v>39569</v>
      </c>
      <c r="B739" s="268">
        <v>215.208</v>
      </c>
      <c r="C739" s="269">
        <f t="shared" si="17"/>
        <v>4.088413823123993E-2</v>
      </c>
      <c r="D739" s="53">
        <f t="shared" si="16"/>
        <v>2.8427750833978527E-2</v>
      </c>
    </row>
    <row r="740" spans="1:4" x14ac:dyDescent="0.2">
      <c r="A740" s="264">
        <v>39600</v>
      </c>
      <c r="B740" s="268">
        <v>217.46299999999999</v>
      </c>
      <c r="C740" s="269">
        <f t="shared" si="17"/>
        <v>4.9359661059478643E-2</v>
      </c>
      <c r="D740" s="53">
        <f t="shared" si="16"/>
        <v>2.9373769696769303E-2</v>
      </c>
    </row>
    <row r="741" spans="1:4" x14ac:dyDescent="0.2">
      <c r="A741" s="264">
        <v>39630</v>
      </c>
      <c r="B741" s="268">
        <v>219.01599999999999</v>
      </c>
      <c r="C741" s="269">
        <f t="shared" si="17"/>
        <v>5.4975120783418374E-2</v>
      </c>
      <c r="D741" s="53">
        <f t="shared" si="16"/>
        <v>2.985378350026302E-2</v>
      </c>
    </row>
    <row r="742" spans="1:4" x14ac:dyDescent="0.2">
      <c r="A742" s="264">
        <v>39661</v>
      </c>
      <c r="B742" s="268">
        <v>218.69</v>
      </c>
      <c r="C742" s="269">
        <f t="shared" si="17"/>
        <v>5.3080171620912386E-2</v>
      </c>
      <c r="D742" s="53">
        <f t="shared" si="16"/>
        <v>2.9574285698336755E-2</v>
      </c>
    </row>
    <row r="743" spans="1:4" x14ac:dyDescent="0.2">
      <c r="A743" s="264">
        <v>39692</v>
      </c>
      <c r="B743" s="268">
        <v>218.87700000000001</v>
      </c>
      <c r="C743" s="269">
        <f t="shared" si="17"/>
        <v>4.9533198751360752E-2</v>
      </c>
      <c r="D743" s="53">
        <f t="shared" si="16"/>
        <v>2.959929625472002E-2</v>
      </c>
    </row>
    <row r="744" spans="1:4" x14ac:dyDescent="0.2">
      <c r="A744" s="264">
        <v>39722</v>
      </c>
      <c r="B744" s="268">
        <v>216.995</v>
      </c>
      <c r="C744" s="269">
        <f t="shared" si="17"/>
        <v>3.7310578899565128E-2</v>
      </c>
      <c r="D744" s="53">
        <f t="shared" si="16"/>
        <v>2.8459223348617169E-2</v>
      </c>
    </row>
    <row r="745" spans="1:4" x14ac:dyDescent="0.2">
      <c r="A745" s="264">
        <v>39753</v>
      </c>
      <c r="B745" s="268">
        <v>213.15299999999999</v>
      </c>
      <c r="C745" s="269">
        <f t="shared" si="17"/>
        <v>1.0999174706166848E-2</v>
      </c>
      <c r="D745" s="53">
        <f t="shared" si="16"/>
        <v>2.6498423794341086E-2</v>
      </c>
    </row>
    <row r="746" spans="1:4" x14ac:dyDescent="0.2">
      <c r="A746" s="264">
        <v>39783</v>
      </c>
      <c r="B746" s="268">
        <v>211.398</v>
      </c>
      <c r="C746" s="269">
        <f t="shared" si="17"/>
        <v>-2.2228002553859039E-4</v>
      </c>
      <c r="D746" s="53">
        <f t="shared" si="16"/>
        <v>2.5462789866994573E-2</v>
      </c>
    </row>
    <row r="747" spans="1:4" x14ac:dyDescent="0.2">
      <c r="A747" s="264">
        <v>39814</v>
      </c>
      <c r="B747" s="268">
        <v>211.93299999999999</v>
      </c>
      <c r="C747" s="269">
        <f t="shared" si="17"/>
        <v>-1.1358601902212717E-3</v>
      </c>
      <c r="D747" s="53">
        <f t="shared" si="16"/>
        <v>2.5535028037599661E-2</v>
      </c>
    </row>
    <row r="748" spans="1:4" x14ac:dyDescent="0.2">
      <c r="A748" s="264">
        <v>39845</v>
      </c>
      <c r="B748" s="268">
        <v>212.70500000000001</v>
      </c>
      <c r="C748" s="269">
        <f t="shared" si="17"/>
        <v>8.4631406715107715E-5</v>
      </c>
      <c r="D748" s="53">
        <f t="shared" si="16"/>
        <v>2.590798470497746E-2</v>
      </c>
    </row>
    <row r="749" spans="1:4" x14ac:dyDescent="0.2">
      <c r="A749" s="264">
        <v>39873</v>
      </c>
      <c r="B749" s="268">
        <v>212.495</v>
      </c>
      <c r="C749" s="269">
        <f t="shared" si="17"/>
        <v>-4.4647876766238381E-3</v>
      </c>
      <c r="D749" s="53">
        <f t="shared" si="16"/>
        <v>2.574439098856085E-2</v>
      </c>
    </row>
    <row r="750" spans="1:4" x14ac:dyDescent="0.2">
      <c r="A750" s="264">
        <v>39904</v>
      </c>
      <c r="B750" s="268">
        <v>212.709</v>
      </c>
      <c r="C750" s="269">
        <f t="shared" si="17"/>
        <v>-5.7632442437670628E-3</v>
      </c>
      <c r="D750" s="53">
        <f t="shared" si="16"/>
        <v>2.5165418757663982E-2</v>
      </c>
    </row>
    <row r="751" spans="1:4" x14ac:dyDescent="0.2">
      <c r="A751" s="264">
        <v>39934</v>
      </c>
      <c r="B751" s="268">
        <v>213.02199999999999</v>
      </c>
      <c r="C751" s="269">
        <f t="shared" si="17"/>
        <v>-1.0157614958551719E-2</v>
      </c>
      <c r="D751" s="53">
        <f t="shared" si="16"/>
        <v>2.525438864367735E-2</v>
      </c>
    </row>
    <row r="752" spans="1:4" x14ac:dyDescent="0.2">
      <c r="A752" s="264">
        <v>39965</v>
      </c>
      <c r="B752" s="268">
        <v>214.79</v>
      </c>
      <c r="C752" s="269">
        <f t="shared" si="17"/>
        <v>-1.2291746182109153E-2</v>
      </c>
      <c r="D752" s="53">
        <f t="shared" si="16"/>
        <v>2.6102148594018271E-2</v>
      </c>
    </row>
    <row r="753" spans="1:4" x14ac:dyDescent="0.2">
      <c r="A753" s="264">
        <v>39995</v>
      </c>
      <c r="B753" s="268">
        <v>214.726</v>
      </c>
      <c r="C753" s="269">
        <f t="shared" si="17"/>
        <v>-1.9587610037622771E-2</v>
      </c>
      <c r="D753" s="53">
        <f t="shared" si="16"/>
        <v>2.5639889965897389E-2</v>
      </c>
    </row>
    <row r="754" spans="1:4" x14ac:dyDescent="0.2">
      <c r="A754" s="264">
        <v>40026</v>
      </c>
      <c r="B754" s="268">
        <v>215.44499999999999</v>
      </c>
      <c r="C754" s="269">
        <f t="shared" si="17"/>
        <v>-1.4838355663267633E-2</v>
      </c>
      <c r="D754" s="53">
        <f t="shared" si="16"/>
        <v>2.5736942034200627E-2</v>
      </c>
    </row>
    <row r="755" spans="1:4" x14ac:dyDescent="0.2">
      <c r="A755" s="264">
        <v>40057</v>
      </c>
      <c r="B755" s="268">
        <v>215.86099999999999</v>
      </c>
      <c r="C755" s="269">
        <f t="shared" si="17"/>
        <v>-1.3779428628864721E-2</v>
      </c>
      <c r="D755" s="53">
        <f t="shared" si="16"/>
        <v>2.5506040487895065E-2</v>
      </c>
    </row>
    <row r="756" spans="1:4" x14ac:dyDescent="0.2">
      <c r="A756" s="264">
        <v>40087</v>
      </c>
      <c r="B756" s="268">
        <v>216.50899999999999</v>
      </c>
      <c r="C756" s="269">
        <f t="shared" si="17"/>
        <v>-2.2396829420033848E-3</v>
      </c>
      <c r="D756" s="53">
        <f t="shared" si="16"/>
        <v>2.5630256134474783E-2</v>
      </c>
    </row>
    <row r="757" spans="1:4" x14ac:dyDescent="0.2">
      <c r="A757" s="264">
        <v>40118</v>
      </c>
      <c r="B757" s="268">
        <v>217.23400000000001</v>
      </c>
      <c r="C757" s="269">
        <f t="shared" si="17"/>
        <v>1.9145871744709275E-2</v>
      </c>
      <c r="D757" s="53">
        <f t="shared" si="16"/>
        <v>2.5790260282830602E-2</v>
      </c>
    </row>
    <row r="758" spans="1:4" x14ac:dyDescent="0.2">
      <c r="A758" s="264">
        <v>40148</v>
      </c>
      <c r="B758" s="268">
        <v>217.34700000000001</v>
      </c>
      <c r="C758" s="269">
        <f t="shared" si="17"/>
        <v>2.8141231232083674E-2</v>
      </c>
      <c r="D758" s="53">
        <f t="shared" si="16"/>
        <v>2.5600256473106375E-2</v>
      </c>
    </row>
    <row r="759" spans="1:4" x14ac:dyDescent="0.2">
      <c r="A759" s="264">
        <v>40179</v>
      </c>
      <c r="B759" s="268">
        <v>217.488</v>
      </c>
      <c r="C759" s="269">
        <f t="shared" si="17"/>
        <v>2.6211113889767157E-2</v>
      </c>
      <c r="D759" s="53">
        <f t="shared" si="16"/>
        <v>2.5363453732004215E-2</v>
      </c>
    </row>
    <row r="760" spans="1:4" x14ac:dyDescent="0.2">
      <c r="A760" s="264">
        <v>40210</v>
      </c>
      <c r="B760" s="268">
        <v>217.28100000000001</v>
      </c>
      <c r="C760" s="269">
        <f t="shared" si="17"/>
        <v>2.151336357866529E-2</v>
      </c>
      <c r="D760" s="53">
        <f t="shared" ref="D760:D823" si="18">(B760/B640)^(1/10)-1</f>
        <v>2.4842867631039489E-2</v>
      </c>
    </row>
    <row r="761" spans="1:4" x14ac:dyDescent="0.2">
      <c r="A761" s="264">
        <v>40238</v>
      </c>
      <c r="B761" s="268">
        <v>217.35300000000001</v>
      </c>
      <c r="C761" s="269">
        <f t="shared" si="17"/>
        <v>2.2861714393279886E-2</v>
      </c>
      <c r="D761" s="53">
        <f t="shared" si="18"/>
        <v>2.4275896338812553E-2</v>
      </c>
    </row>
    <row r="762" spans="1:4" x14ac:dyDescent="0.2">
      <c r="A762" s="264">
        <v>40269</v>
      </c>
      <c r="B762" s="268">
        <v>217.40299999999999</v>
      </c>
      <c r="C762" s="269">
        <f t="shared" si="17"/>
        <v>2.2067707525304403E-2</v>
      </c>
      <c r="D762" s="53">
        <f t="shared" si="18"/>
        <v>2.4359376224503126E-2</v>
      </c>
    </row>
    <row r="763" spans="1:4" x14ac:dyDescent="0.2">
      <c r="A763" s="264">
        <v>40299</v>
      </c>
      <c r="B763" s="268">
        <v>217.29</v>
      </c>
      <c r="C763" s="269">
        <f t="shared" si="17"/>
        <v>2.0035489292185682E-2</v>
      </c>
      <c r="D763" s="53">
        <f t="shared" si="18"/>
        <v>2.4126485839447209E-2</v>
      </c>
    </row>
    <row r="764" spans="1:4" x14ac:dyDescent="0.2">
      <c r="A764" s="264">
        <v>40330</v>
      </c>
      <c r="B764" s="268">
        <v>217.19900000000001</v>
      </c>
      <c r="C764" s="269">
        <f t="shared" si="17"/>
        <v>1.1215605940686268E-2</v>
      </c>
      <c r="D764" s="53">
        <f t="shared" si="18"/>
        <v>2.3487322067119898E-2</v>
      </c>
    </row>
    <row r="765" spans="1:4" x14ac:dyDescent="0.2">
      <c r="A765" s="264">
        <v>40360</v>
      </c>
      <c r="B765" s="268">
        <v>217.60499999999999</v>
      </c>
      <c r="C765" s="269">
        <f t="shared" si="17"/>
        <v>1.3407784804821077E-2</v>
      </c>
      <c r="D765" s="53">
        <f t="shared" si="18"/>
        <v>2.3381715445787821E-2</v>
      </c>
    </row>
    <row r="766" spans="1:4" x14ac:dyDescent="0.2">
      <c r="A766" s="264">
        <v>40391</v>
      </c>
      <c r="B766" s="268">
        <v>217.923</v>
      </c>
      <c r="C766" s="269">
        <f t="shared" si="17"/>
        <v>1.1501775395112546E-2</v>
      </c>
      <c r="D766" s="53">
        <f t="shared" si="18"/>
        <v>2.3531170454933248E-2</v>
      </c>
    </row>
    <row r="767" spans="1:4" x14ac:dyDescent="0.2">
      <c r="A767" s="264">
        <v>40422</v>
      </c>
      <c r="B767" s="268">
        <v>218.27500000000001</v>
      </c>
      <c r="C767" s="269">
        <f t="shared" si="17"/>
        <v>1.1183122472331775E-2</v>
      </c>
      <c r="D767" s="53">
        <f t="shared" si="18"/>
        <v>2.316441583523976E-2</v>
      </c>
    </row>
    <row r="768" spans="1:4" x14ac:dyDescent="0.2">
      <c r="A768" s="264">
        <v>40452</v>
      </c>
      <c r="B768" s="268">
        <v>219.035</v>
      </c>
      <c r="C768" s="269">
        <f t="shared" si="17"/>
        <v>1.1666951489314625E-2</v>
      </c>
      <c r="D768" s="53">
        <f t="shared" si="18"/>
        <v>2.3343401317739376E-2</v>
      </c>
    </row>
    <row r="769" spans="1:4" x14ac:dyDescent="0.2">
      <c r="A769" s="264">
        <v>40483</v>
      </c>
      <c r="B769" s="268">
        <v>219.59</v>
      </c>
      <c r="C769" s="269">
        <f t="shared" si="17"/>
        <v>1.084544776600338E-2</v>
      </c>
      <c r="D769" s="53">
        <f t="shared" si="18"/>
        <v>2.3425987828157524E-2</v>
      </c>
    </row>
    <row r="770" spans="1:4" x14ac:dyDescent="0.2">
      <c r="A770" s="264">
        <v>40513</v>
      </c>
      <c r="B770" s="268">
        <v>220.47200000000001</v>
      </c>
      <c r="C770" s="269">
        <f t="shared" si="17"/>
        <v>1.4377930222179369E-2</v>
      </c>
      <c r="D770" s="53">
        <f t="shared" si="18"/>
        <v>2.3601515569514842E-2</v>
      </c>
    </row>
    <row r="771" spans="1:4" x14ac:dyDescent="0.2">
      <c r="A771" s="264">
        <v>40544</v>
      </c>
      <c r="B771" s="268">
        <v>221.18700000000001</v>
      </c>
      <c r="C771" s="269">
        <f t="shared" si="17"/>
        <v>1.7007834915029774E-2</v>
      </c>
      <c r="D771" s="53">
        <f t="shared" si="18"/>
        <v>2.3348385353844092E-2</v>
      </c>
    </row>
    <row r="772" spans="1:4" x14ac:dyDescent="0.2">
      <c r="A772" s="264">
        <v>40575</v>
      </c>
      <c r="B772" s="268">
        <v>221.898</v>
      </c>
      <c r="C772" s="269">
        <f t="shared" si="17"/>
        <v>2.1248981733331451E-2</v>
      </c>
      <c r="D772" s="53">
        <f t="shared" si="18"/>
        <v>2.3443971110917783E-2</v>
      </c>
    </row>
    <row r="773" spans="1:4" x14ac:dyDescent="0.2">
      <c r="A773" s="264">
        <v>40603</v>
      </c>
      <c r="B773" s="268">
        <v>223.04599999999999</v>
      </c>
      <c r="C773" s="269">
        <f t="shared" si="17"/>
        <v>2.6192415103541089E-2</v>
      </c>
      <c r="D773" s="53">
        <f t="shared" si="18"/>
        <v>2.3914064051778539E-2</v>
      </c>
    </row>
    <row r="774" spans="1:4" x14ac:dyDescent="0.2">
      <c r="A774" s="264">
        <v>40634</v>
      </c>
      <c r="B774" s="268">
        <v>224.09299999999999</v>
      </c>
      <c r="C774" s="269">
        <f t="shared" si="17"/>
        <v>3.0772344447868694E-2</v>
      </c>
      <c r="D774" s="53">
        <f t="shared" si="18"/>
        <v>2.4219337101880622E-2</v>
      </c>
    </row>
    <row r="775" spans="1:4" x14ac:dyDescent="0.2">
      <c r="A775" s="264">
        <v>40664</v>
      </c>
      <c r="B775" s="268">
        <v>224.80600000000001</v>
      </c>
      <c r="C775" s="269">
        <f t="shared" si="17"/>
        <v>3.4589718808964998E-2</v>
      </c>
      <c r="D775" s="53">
        <f t="shared" si="18"/>
        <v>2.4023483538544221E-2</v>
      </c>
    </row>
    <row r="776" spans="1:4" x14ac:dyDescent="0.2">
      <c r="A776" s="264">
        <v>40695</v>
      </c>
      <c r="B776" s="268">
        <v>224.80600000000001</v>
      </c>
      <c r="C776" s="269">
        <f t="shared" si="17"/>
        <v>3.5023181506360412E-2</v>
      </c>
      <c r="D776" s="53">
        <f t="shared" si="18"/>
        <v>2.3792743585294929E-2</v>
      </c>
    </row>
    <row r="777" spans="1:4" x14ac:dyDescent="0.2">
      <c r="A777" s="264">
        <v>40725</v>
      </c>
      <c r="B777" s="268">
        <v>225.39500000000001</v>
      </c>
      <c r="C777" s="269">
        <f t="shared" si="17"/>
        <v>3.5798809769996165E-2</v>
      </c>
      <c r="D777" s="53">
        <f t="shared" si="18"/>
        <v>2.423371191702306E-2</v>
      </c>
    </row>
    <row r="778" spans="1:4" x14ac:dyDescent="0.2">
      <c r="A778" s="264">
        <v>40756</v>
      </c>
      <c r="B778" s="268">
        <v>226.10599999999999</v>
      </c>
      <c r="C778" s="269">
        <f t="shared" si="17"/>
        <v>3.7549960307080799E-2</v>
      </c>
      <c r="D778" s="53">
        <f t="shared" si="18"/>
        <v>2.4556344850823031E-2</v>
      </c>
    </row>
    <row r="779" spans="1:4" x14ac:dyDescent="0.2">
      <c r="A779" s="264">
        <v>40787</v>
      </c>
      <c r="B779" s="268">
        <v>226.59700000000001</v>
      </c>
      <c r="C779" s="269">
        <f t="shared" si="17"/>
        <v>3.8126216928186851E-2</v>
      </c>
      <c r="D779" s="53">
        <f t="shared" si="18"/>
        <v>2.4375124345107135E-2</v>
      </c>
    </row>
    <row r="780" spans="1:4" x14ac:dyDescent="0.2">
      <c r="A780" s="264">
        <v>40817</v>
      </c>
      <c r="B780" s="268">
        <v>226.75</v>
      </c>
      <c r="C780" s="269">
        <f t="shared" si="17"/>
        <v>3.5222681306640524E-2</v>
      </c>
      <c r="D780" s="53">
        <f t="shared" si="18"/>
        <v>2.4732318543625897E-2</v>
      </c>
    </row>
    <row r="781" spans="1:4" x14ac:dyDescent="0.2">
      <c r="A781" s="264">
        <v>40848</v>
      </c>
      <c r="B781" s="268">
        <v>227.16900000000001</v>
      </c>
      <c r="C781" s="269">
        <f t="shared" si="17"/>
        <v>3.4514322145817289E-2</v>
      </c>
      <c r="D781" s="53">
        <f t="shared" si="18"/>
        <v>2.4979243863454625E-2</v>
      </c>
    </row>
    <row r="782" spans="1:4" x14ac:dyDescent="0.2">
      <c r="A782" s="264">
        <v>40878</v>
      </c>
      <c r="B782" s="268">
        <v>227.22300000000001</v>
      </c>
      <c r="C782" s="269">
        <f t="shared" si="17"/>
        <v>3.0620668384193861E-2</v>
      </c>
      <c r="D782" s="53">
        <f t="shared" si="18"/>
        <v>2.5061370466860744E-2</v>
      </c>
    </row>
    <row r="783" spans="1:4" x14ac:dyDescent="0.2">
      <c r="A783" s="264">
        <v>40909</v>
      </c>
      <c r="B783" s="268">
        <v>227.84200000000001</v>
      </c>
      <c r="C783" s="269">
        <f t="shared" si="17"/>
        <v>3.0087663379855023E-2</v>
      </c>
      <c r="D783" s="53">
        <f t="shared" si="18"/>
        <v>2.5167041993846118E-2</v>
      </c>
    </row>
    <row r="784" spans="1:4" x14ac:dyDescent="0.2">
      <c r="A784" s="264">
        <v>40940</v>
      </c>
      <c r="B784" s="268">
        <v>228.32900000000001</v>
      </c>
      <c r="C784" s="269">
        <f t="shared" ref="C784:C847" si="19">B784/B772-1</f>
        <v>2.8981784423473878E-2</v>
      </c>
      <c r="D784" s="53">
        <f t="shared" si="18"/>
        <v>2.5213006378873359E-2</v>
      </c>
    </row>
    <row r="785" spans="1:4" x14ac:dyDescent="0.2">
      <c r="A785" s="264">
        <v>40969</v>
      </c>
      <c r="B785" s="268">
        <v>228.80699999999999</v>
      </c>
      <c r="C785" s="269">
        <f t="shared" si="19"/>
        <v>2.5828752813320977E-2</v>
      </c>
      <c r="D785" s="53">
        <f t="shared" si="18"/>
        <v>2.5139832485024272E-2</v>
      </c>
    </row>
    <row r="786" spans="1:4" x14ac:dyDescent="0.2">
      <c r="A786" s="264">
        <v>41000</v>
      </c>
      <c r="B786" s="268">
        <v>229.18700000000001</v>
      </c>
      <c r="C786" s="269">
        <f t="shared" si="19"/>
        <v>2.2731633741348567E-2</v>
      </c>
      <c r="D786" s="53">
        <f t="shared" si="18"/>
        <v>2.4851565912372919E-2</v>
      </c>
    </row>
    <row r="787" spans="1:4" x14ac:dyDescent="0.2">
      <c r="A787" s="264">
        <v>41030</v>
      </c>
      <c r="B787" s="268">
        <v>228.71299999999999</v>
      </c>
      <c r="C787" s="269">
        <f t="shared" si="19"/>
        <v>1.7379429374660749E-2</v>
      </c>
      <c r="D787" s="53">
        <f t="shared" si="18"/>
        <v>2.4525187390343151E-2</v>
      </c>
    </row>
    <row r="788" spans="1:4" x14ac:dyDescent="0.2">
      <c r="A788" s="264">
        <v>41061</v>
      </c>
      <c r="B788" s="268">
        <v>228.524</v>
      </c>
      <c r="C788" s="269">
        <f t="shared" si="19"/>
        <v>1.6538704482976341E-2</v>
      </c>
      <c r="D788" s="53">
        <f t="shared" si="18"/>
        <v>2.4383438489131271E-2</v>
      </c>
    </row>
    <row r="789" spans="1:4" x14ac:dyDescent="0.2">
      <c r="A789" s="264">
        <v>41091</v>
      </c>
      <c r="B789" s="268">
        <v>228.59</v>
      </c>
      <c r="C789" s="269">
        <f t="shared" si="19"/>
        <v>1.4175114798464783E-2</v>
      </c>
      <c r="D789" s="53">
        <f t="shared" si="18"/>
        <v>2.4185144549532911E-2</v>
      </c>
    </row>
    <row r="790" spans="1:4" x14ac:dyDescent="0.2">
      <c r="A790" s="264">
        <v>41122</v>
      </c>
      <c r="B790" s="268">
        <v>229.91800000000001</v>
      </c>
      <c r="C790" s="269">
        <f t="shared" si="19"/>
        <v>1.6859349154821235E-2</v>
      </c>
      <c r="D790" s="53">
        <f t="shared" si="18"/>
        <v>2.4494371297100637E-2</v>
      </c>
    </row>
    <row r="791" spans="1:4" x14ac:dyDescent="0.2">
      <c r="A791" s="264">
        <v>41153</v>
      </c>
      <c r="B791" s="268">
        <v>231.01499999999999</v>
      </c>
      <c r="C791" s="269">
        <f t="shared" si="19"/>
        <v>1.9497168982819613E-2</v>
      </c>
      <c r="D791" s="53">
        <f t="shared" si="18"/>
        <v>2.481193689037986E-2</v>
      </c>
    </row>
    <row r="792" spans="1:4" x14ac:dyDescent="0.2">
      <c r="A792" s="264">
        <v>41183</v>
      </c>
      <c r="B792" s="268">
        <v>231.63800000000001</v>
      </c>
      <c r="C792" s="269">
        <f t="shared" si="19"/>
        <v>2.1556780595369363E-2</v>
      </c>
      <c r="D792" s="53">
        <f t="shared" si="18"/>
        <v>2.4861458957420757E-2</v>
      </c>
    </row>
    <row r="793" spans="1:4" x14ac:dyDescent="0.2">
      <c r="A793" s="264">
        <v>41214</v>
      </c>
      <c r="B793" s="268">
        <v>231.249</v>
      </c>
      <c r="C793" s="269">
        <f t="shared" si="19"/>
        <v>1.7960197033926262E-2</v>
      </c>
      <c r="D793" s="53">
        <f t="shared" si="18"/>
        <v>2.451972298131766E-2</v>
      </c>
    </row>
    <row r="794" spans="1:4" x14ac:dyDescent="0.2">
      <c r="A794" s="264">
        <v>41244</v>
      </c>
      <c r="B794" s="268">
        <v>231.221</v>
      </c>
      <c r="C794" s="269">
        <f t="shared" si="19"/>
        <v>1.7595049796895523E-2</v>
      </c>
      <c r="D794" s="53">
        <f t="shared" si="18"/>
        <v>2.4338130971319316E-2</v>
      </c>
    </row>
    <row r="795" spans="1:4" x14ac:dyDescent="0.2">
      <c r="A795" s="264">
        <v>41275</v>
      </c>
      <c r="B795" s="268">
        <v>231.679</v>
      </c>
      <c r="C795" s="269">
        <f t="shared" si="19"/>
        <v>1.6840617620982989E-2</v>
      </c>
      <c r="D795" s="53">
        <f t="shared" si="18"/>
        <v>2.4091094847750183E-2</v>
      </c>
    </row>
    <row r="796" spans="1:4" x14ac:dyDescent="0.2">
      <c r="A796" s="264">
        <v>41306</v>
      </c>
      <c r="B796" s="268">
        <v>232.93700000000001</v>
      </c>
      <c r="C796" s="269">
        <f t="shared" si="19"/>
        <v>2.0181404902574807E-2</v>
      </c>
      <c r="D796" s="53">
        <f t="shared" si="18"/>
        <v>2.408635616631738E-2</v>
      </c>
    </row>
    <row r="797" spans="1:4" x14ac:dyDescent="0.2">
      <c r="A797" s="264">
        <v>41334</v>
      </c>
      <c r="B797" s="268">
        <v>232.28200000000001</v>
      </c>
      <c r="C797" s="269">
        <f t="shared" si="19"/>
        <v>1.5187472411246183E-2</v>
      </c>
      <c r="D797" s="53">
        <f t="shared" si="18"/>
        <v>2.3630889246051501E-2</v>
      </c>
    </row>
    <row r="798" spans="1:4" x14ac:dyDescent="0.2">
      <c r="A798" s="264">
        <v>41365</v>
      </c>
      <c r="B798" s="268">
        <v>231.797</v>
      </c>
      <c r="C798" s="269">
        <f t="shared" si="19"/>
        <v>1.1388080475768669E-2</v>
      </c>
      <c r="D798" s="53">
        <f t="shared" si="18"/>
        <v>2.3807328998544319E-2</v>
      </c>
    </row>
    <row r="799" spans="1:4" x14ac:dyDescent="0.2">
      <c r="A799" s="264">
        <v>41395</v>
      </c>
      <c r="B799" s="268">
        <v>231.893</v>
      </c>
      <c r="C799" s="269">
        <f t="shared" si="19"/>
        <v>1.3903888279197085E-2</v>
      </c>
      <c r="D799" s="53">
        <f t="shared" si="18"/>
        <v>2.401753479959301E-2</v>
      </c>
    </row>
    <row r="800" spans="1:4" x14ac:dyDescent="0.2">
      <c r="A800" s="264">
        <v>41426</v>
      </c>
      <c r="B800" s="268">
        <v>232.44499999999999</v>
      </c>
      <c r="C800" s="269">
        <f t="shared" si="19"/>
        <v>1.7157935271568725E-2</v>
      </c>
      <c r="D800" s="53">
        <f t="shared" si="18"/>
        <v>2.414909706647328E-2</v>
      </c>
    </row>
    <row r="801" spans="1:4" x14ac:dyDescent="0.2">
      <c r="A801" s="264">
        <v>41456</v>
      </c>
      <c r="B801" s="268">
        <v>232.9</v>
      </c>
      <c r="C801" s="269">
        <f t="shared" si="19"/>
        <v>1.8854718054158059E-2</v>
      </c>
      <c r="D801" s="53">
        <f t="shared" si="18"/>
        <v>2.4014327754231735E-2</v>
      </c>
    </row>
    <row r="802" spans="1:4" x14ac:dyDescent="0.2">
      <c r="A802" s="264">
        <v>41487</v>
      </c>
      <c r="B802" s="268">
        <v>233.45599999999999</v>
      </c>
      <c r="C802" s="269">
        <f t="shared" si="19"/>
        <v>1.538809488600279E-2</v>
      </c>
      <c r="D802" s="53">
        <f t="shared" si="18"/>
        <v>2.3813535608772307E-2</v>
      </c>
    </row>
    <row r="803" spans="1:4" x14ac:dyDescent="0.2">
      <c r="A803" s="264">
        <v>41518</v>
      </c>
      <c r="B803" s="268">
        <v>233.54400000000001</v>
      </c>
      <c r="C803" s="269">
        <f t="shared" si="19"/>
        <v>1.0947341081747997E-2</v>
      </c>
      <c r="D803" s="53">
        <f t="shared" si="18"/>
        <v>2.3519755318509139E-2</v>
      </c>
    </row>
    <row r="804" spans="1:4" x14ac:dyDescent="0.2">
      <c r="A804" s="264">
        <v>41548</v>
      </c>
      <c r="B804" s="268">
        <v>233.66900000000001</v>
      </c>
      <c r="C804" s="269">
        <f t="shared" si="19"/>
        <v>8.7679914349114707E-3</v>
      </c>
      <c r="D804" s="53">
        <f t="shared" si="18"/>
        <v>2.368518678145648E-2</v>
      </c>
    </row>
    <row r="805" spans="1:4" x14ac:dyDescent="0.2">
      <c r="A805" s="264">
        <v>41579</v>
      </c>
      <c r="B805" s="268">
        <v>234.1</v>
      </c>
      <c r="C805" s="269">
        <f t="shared" si="19"/>
        <v>1.2328701961954458E-2</v>
      </c>
      <c r="D805" s="53">
        <f t="shared" si="18"/>
        <v>2.3818489893102646E-2</v>
      </c>
    </row>
    <row r="806" spans="1:4" x14ac:dyDescent="0.2">
      <c r="A806" s="264">
        <v>41609</v>
      </c>
      <c r="B806" s="268">
        <v>234.71899999999999</v>
      </c>
      <c r="C806" s="269">
        <f t="shared" si="19"/>
        <v>1.5128383667573297E-2</v>
      </c>
      <c r="D806" s="53">
        <f t="shared" si="18"/>
        <v>2.3812513116636458E-2</v>
      </c>
    </row>
    <row r="807" spans="1:4" x14ac:dyDescent="0.2">
      <c r="A807" s="264">
        <v>41640</v>
      </c>
      <c r="B807" s="268">
        <v>235.28800000000001</v>
      </c>
      <c r="C807" s="269">
        <f t="shared" si="19"/>
        <v>1.557758795574915E-2</v>
      </c>
      <c r="D807" s="53">
        <f t="shared" si="18"/>
        <v>2.3619833984239724E-2</v>
      </c>
    </row>
    <row r="808" spans="1:4" x14ac:dyDescent="0.2">
      <c r="A808" s="264">
        <v>41671</v>
      </c>
      <c r="B808" s="268">
        <v>235.547</v>
      </c>
      <c r="C808" s="269">
        <f t="shared" si="19"/>
        <v>1.1204746347724948E-2</v>
      </c>
      <c r="D808" s="53">
        <f t="shared" si="18"/>
        <v>2.3512912268387476E-2</v>
      </c>
    </row>
    <row r="809" spans="1:4" x14ac:dyDescent="0.2">
      <c r="A809" s="264">
        <v>41699</v>
      </c>
      <c r="B809" s="268">
        <v>236.02799999999999</v>
      </c>
      <c r="C809" s="269">
        <f t="shared" si="19"/>
        <v>1.6126949139408042E-2</v>
      </c>
      <c r="D809" s="53">
        <f t="shared" si="18"/>
        <v>2.3502655738631084E-2</v>
      </c>
    </row>
    <row r="810" spans="1:4" x14ac:dyDescent="0.2">
      <c r="A810" s="264">
        <v>41730</v>
      </c>
      <c r="B810" s="268">
        <v>236.46799999999999</v>
      </c>
      <c r="C810" s="269">
        <f t="shared" si="19"/>
        <v>2.0151253036061689E-2</v>
      </c>
      <c r="D810" s="53">
        <f t="shared" si="18"/>
        <v>2.3529299255935943E-2</v>
      </c>
    </row>
    <row r="811" spans="1:4" x14ac:dyDescent="0.2">
      <c r="A811" s="264">
        <v>41760</v>
      </c>
      <c r="B811" s="268">
        <v>236.91800000000001</v>
      </c>
      <c r="C811" s="269">
        <f t="shared" si="19"/>
        <v>2.1669476870798121E-2</v>
      </c>
      <c r="D811" s="53">
        <f t="shared" si="18"/>
        <v>2.3287911976676456E-2</v>
      </c>
    </row>
    <row r="812" spans="1:4" x14ac:dyDescent="0.2">
      <c r="A812" s="264">
        <v>41791</v>
      </c>
      <c r="B812" s="268">
        <v>237.23099999999999</v>
      </c>
      <c r="C812" s="269">
        <f t="shared" si="19"/>
        <v>2.0589816945944195E-2</v>
      </c>
      <c r="D812" s="53">
        <f t="shared" si="18"/>
        <v>2.3043141411089874E-2</v>
      </c>
    </row>
    <row r="813" spans="1:4" x14ac:dyDescent="0.2">
      <c r="A813" s="264">
        <v>41821</v>
      </c>
      <c r="B813" s="268">
        <v>237.49799999999999</v>
      </c>
      <c r="C813" s="269">
        <f t="shared" si="19"/>
        <v>1.9742378703305974E-2</v>
      </c>
      <c r="D813" s="53">
        <f t="shared" si="18"/>
        <v>2.3049960143802339E-2</v>
      </c>
    </row>
    <row r="814" spans="1:4" x14ac:dyDescent="0.2">
      <c r="A814" s="264">
        <v>41852</v>
      </c>
      <c r="B814" s="268">
        <v>237.46</v>
      </c>
      <c r="C814" s="269">
        <f t="shared" si="19"/>
        <v>1.7150983482969062E-2</v>
      </c>
      <c r="D814" s="53">
        <f t="shared" si="18"/>
        <v>2.2979505620215779E-2</v>
      </c>
    </row>
    <row r="815" spans="1:4" x14ac:dyDescent="0.2">
      <c r="A815" s="264">
        <v>41883</v>
      </c>
      <c r="B815" s="268">
        <v>237.477</v>
      </c>
      <c r="C815" s="269">
        <f t="shared" si="19"/>
        <v>1.6840509711232077E-2</v>
      </c>
      <c r="D815" s="53">
        <f t="shared" si="18"/>
        <v>2.2662979155664953E-2</v>
      </c>
    </row>
    <row r="816" spans="1:4" x14ac:dyDescent="0.2">
      <c r="A816" s="264">
        <v>41913</v>
      </c>
      <c r="B816" s="268">
        <v>237.43</v>
      </c>
      <c r="C816" s="269">
        <f t="shared" si="19"/>
        <v>1.6095417021513292E-2</v>
      </c>
      <c r="D816" s="53">
        <f t="shared" si="18"/>
        <v>2.2105492846190122E-2</v>
      </c>
    </row>
    <row r="817" spans="1:4" x14ac:dyDescent="0.2">
      <c r="A817" s="264">
        <v>41944</v>
      </c>
      <c r="B817" s="268">
        <v>236.983</v>
      </c>
      <c r="C817" s="269">
        <f t="shared" si="19"/>
        <v>1.231524989320798E-2</v>
      </c>
      <c r="D817" s="53">
        <f t="shared" si="18"/>
        <v>2.1432113958084642E-2</v>
      </c>
    </row>
    <row r="818" spans="1:4" x14ac:dyDescent="0.2">
      <c r="A818" s="264">
        <v>41974</v>
      </c>
      <c r="B818" s="268">
        <v>236.25200000000001</v>
      </c>
      <c r="C818" s="269">
        <f t="shared" si="19"/>
        <v>6.5312139196231911E-3</v>
      </c>
      <c r="D818" s="53">
        <f t="shared" si="18"/>
        <v>2.1116603844001158E-2</v>
      </c>
    </row>
    <row r="819" spans="1:4" x14ac:dyDescent="0.2">
      <c r="A819" s="264">
        <v>42005</v>
      </c>
      <c r="B819" s="268">
        <v>234.74700000000001</v>
      </c>
      <c r="C819" s="269">
        <f t="shared" si="19"/>
        <v>-2.2993097820542818E-3</v>
      </c>
      <c r="D819" s="53">
        <f t="shared" si="18"/>
        <v>2.0517495626424909E-2</v>
      </c>
    </row>
    <row r="820" spans="1:4" x14ac:dyDescent="0.2">
      <c r="A820" s="264">
        <v>42036</v>
      </c>
      <c r="B820" s="268">
        <v>235.34200000000001</v>
      </c>
      <c r="C820" s="269">
        <f t="shared" si="19"/>
        <v>-8.7031462935205361E-4</v>
      </c>
      <c r="D820" s="53">
        <f t="shared" si="18"/>
        <v>2.0350630594994978E-2</v>
      </c>
    </row>
    <row r="821" spans="1:4" x14ac:dyDescent="0.2">
      <c r="A821" s="264">
        <v>42064</v>
      </c>
      <c r="B821" s="268">
        <v>235.976</v>
      </c>
      <c r="C821" s="269">
        <f t="shared" si="19"/>
        <v>-2.2031284423873476E-4</v>
      </c>
      <c r="D821" s="53">
        <f t="shared" si="18"/>
        <v>2.0254587305990945E-2</v>
      </c>
    </row>
    <row r="822" spans="1:4" x14ac:dyDescent="0.2">
      <c r="A822" s="264">
        <v>42095</v>
      </c>
      <c r="B822" s="268">
        <v>236.22200000000001</v>
      </c>
      <c r="C822" s="269">
        <f t="shared" si="19"/>
        <v>-1.0403098939391064E-3</v>
      </c>
      <c r="D822" s="53">
        <f t="shared" si="18"/>
        <v>2.0044391106522452E-2</v>
      </c>
    </row>
    <row r="823" spans="1:4" x14ac:dyDescent="0.2">
      <c r="A823" s="264">
        <v>42125</v>
      </c>
      <c r="B823" s="268">
        <v>237.001</v>
      </c>
      <c r="C823" s="269">
        <f t="shared" si="19"/>
        <v>3.5033218244295838E-4</v>
      </c>
      <c r="D823" s="53">
        <f t="shared" si="18"/>
        <v>2.0432970966637765E-2</v>
      </c>
    </row>
    <row r="824" spans="1:4" x14ac:dyDescent="0.2">
      <c r="A824" s="264">
        <v>42156</v>
      </c>
      <c r="B824" s="268">
        <v>237.65700000000001</v>
      </c>
      <c r="C824" s="269">
        <f t="shared" si="19"/>
        <v>1.7957180975505249E-3</v>
      </c>
      <c r="D824" s="53">
        <f t="shared" ref="D824:D887" si="20">(B824/B704)^(1/10)-1</f>
        <v>2.0662359627815263E-2</v>
      </c>
    </row>
    <row r="825" spans="1:4" x14ac:dyDescent="0.2">
      <c r="A825" s="264">
        <v>42186</v>
      </c>
      <c r="B825" s="268">
        <v>238.03399999999999</v>
      </c>
      <c r="C825" s="269">
        <f t="shared" si="19"/>
        <v>2.2568611104094582E-3</v>
      </c>
      <c r="D825" s="53">
        <f t="shared" si="20"/>
        <v>2.0193883820457392E-2</v>
      </c>
    </row>
    <row r="826" spans="1:4" x14ac:dyDescent="0.2">
      <c r="A826" s="264">
        <v>42217</v>
      </c>
      <c r="B826" s="268">
        <v>238.03299999999999</v>
      </c>
      <c r="C826" s="269">
        <f t="shared" si="19"/>
        <v>2.413037985344868E-3</v>
      </c>
      <c r="D826" s="53">
        <f t="shared" si="20"/>
        <v>1.9567439708239709E-2</v>
      </c>
    </row>
    <row r="827" spans="1:4" x14ac:dyDescent="0.2">
      <c r="A827" s="264">
        <v>42248</v>
      </c>
      <c r="B827" s="268">
        <v>237.49799999999999</v>
      </c>
      <c r="C827" s="269">
        <f t="shared" si="19"/>
        <v>8.8429616341700878E-5</v>
      </c>
      <c r="D827" s="53">
        <f t="shared" si="20"/>
        <v>1.7945103476691981E-2</v>
      </c>
    </row>
    <row r="828" spans="1:4" x14ac:dyDescent="0.2">
      <c r="A828" s="264">
        <v>42278</v>
      </c>
      <c r="B828" s="268">
        <v>237.733</v>
      </c>
      <c r="C828" s="269">
        <f t="shared" si="19"/>
        <v>1.2761656067050708E-3</v>
      </c>
      <c r="D828" s="53">
        <f t="shared" si="20"/>
        <v>1.7892281228108153E-2</v>
      </c>
    </row>
    <row r="829" spans="1:4" x14ac:dyDescent="0.2">
      <c r="A829" s="264">
        <v>42309</v>
      </c>
      <c r="B829" s="268">
        <v>238.017</v>
      </c>
      <c r="C829" s="269">
        <f t="shared" si="19"/>
        <v>4.3631821691851869E-3</v>
      </c>
      <c r="D829" s="53">
        <f t="shared" si="20"/>
        <v>1.8526540331227359E-2</v>
      </c>
    </row>
    <row r="830" spans="1:4" x14ac:dyDescent="0.2">
      <c r="A830" s="264">
        <v>42339</v>
      </c>
      <c r="B830" s="268">
        <v>237.761</v>
      </c>
      <c r="C830" s="269">
        <f t="shared" si="19"/>
        <v>6.3872475153647912E-3</v>
      </c>
      <c r="D830" s="53">
        <f t="shared" si="20"/>
        <v>1.8416939302889235E-2</v>
      </c>
    </row>
    <row r="831" spans="1:4" x14ac:dyDescent="0.2">
      <c r="A831" s="264">
        <v>42370</v>
      </c>
      <c r="B831" s="268">
        <v>237.65199999999999</v>
      </c>
      <c r="C831" s="269">
        <f t="shared" si="19"/>
        <v>1.2375025026943876E-2</v>
      </c>
      <c r="D831" s="53">
        <f t="shared" si="20"/>
        <v>1.7755405033602178E-2</v>
      </c>
    </row>
    <row r="832" spans="1:4" x14ac:dyDescent="0.2">
      <c r="A832" s="264">
        <v>42401</v>
      </c>
      <c r="B832" s="268">
        <v>237.33600000000001</v>
      </c>
      <c r="C832" s="269">
        <f t="shared" si="19"/>
        <v>8.4727757901266187E-3</v>
      </c>
      <c r="D832" s="53">
        <f t="shared" si="20"/>
        <v>1.7568949943335355E-2</v>
      </c>
    </row>
    <row r="833" spans="1:4" x14ac:dyDescent="0.2">
      <c r="A833" s="264">
        <v>42430</v>
      </c>
      <c r="B833" s="268">
        <v>238.08</v>
      </c>
      <c r="C833" s="269">
        <f t="shared" si="19"/>
        <v>8.9161609655219465E-3</v>
      </c>
      <c r="D833" s="53">
        <f t="shared" si="20"/>
        <v>1.7734472023106074E-2</v>
      </c>
    </row>
    <row r="834" spans="1:4" x14ac:dyDescent="0.2">
      <c r="A834" s="264">
        <v>42461</v>
      </c>
      <c r="B834" s="268">
        <v>238.99199999999999</v>
      </c>
      <c r="C834" s="269">
        <f t="shared" si="19"/>
        <v>1.1726257503534843E-2</v>
      </c>
      <c r="D834" s="53">
        <f t="shared" si="20"/>
        <v>1.7615232235488776E-2</v>
      </c>
    </row>
    <row r="835" spans="1:4" x14ac:dyDescent="0.2">
      <c r="A835" s="264">
        <v>42491</v>
      </c>
      <c r="B835" s="268">
        <v>239.55699999999999</v>
      </c>
      <c r="C835" s="269">
        <f t="shared" si="19"/>
        <v>1.0784764621246223E-2</v>
      </c>
      <c r="D835" s="53">
        <f t="shared" si="20"/>
        <v>1.7551758322744027E-2</v>
      </c>
    </row>
    <row r="836" spans="1:4" x14ac:dyDescent="0.2">
      <c r="A836" s="264">
        <v>42522</v>
      </c>
      <c r="B836" s="268">
        <v>240.22200000000001</v>
      </c>
      <c r="C836" s="269">
        <f t="shared" si="19"/>
        <v>1.0792865347959424E-2</v>
      </c>
      <c r="D836" s="53">
        <f t="shared" si="20"/>
        <v>1.7581403716795618E-2</v>
      </c>
    </row>
    <row r="837" spans="1:4" x14ac:dyDescent="0.2">
      <c r="A837" s="264">
        <v>42552</v>
      </c>
      <c r="B837" s="268">
        <v>240.101</v>
      </c>
      <c r="C837" s="269">
        <f t="shared" si="19"/>
        <v>8.6836334305182561E-3</v>
      </c>
      <c r="D837" s="53">
        <f t="shared" si="20"/>
        <v>1.6977143248345872E-2</v>
      </c>
    </row>
    <row r="838" spans="1:4" x14ac:dyDescent="0.2">
      <c r="A838" s="264">
        <v>42583</v>
      </c>
      <c r="B838" s="268">
        <v>240.54499999999999</v>
      </c>
      <c r="C838" s="269">
        <f t="shared" si="19"/>
        <v>1.0553158595656864E-2</v>
      </c>
      <c r="D838" s="53">
        <f t="shared" si="20"/>
        <v>1.6714963743289957E-2</v>
      </c>
    </row>
    <row r="839" spans="1:4" x14ac:dyDescent="0.2">
      <c r="A839" s="264">
        <v>42614</v>
      </c>
      <c r="B839" s="268">
        <v>241.17599999999999</v>
      </c>
      <c r="C839" s="269">
        <f t="shared" si="19"/>
        <v>1.5486446201652182E-2</v>
      </c>
      <c r="D839" s="53">
        <f t="shared" si="20"/>
        <v>1.7481715928556962E-2</v>
      </c>
    </row>
    <row r="840" spans="1:4" x14ac:dyDescent="0.2">
      <c r="A840" s="264">
        <v>42644</v>
      </c>
      <c r="B840" s="268">
        <v>241.74100000000001</v>
      </c>
      <c r="C840" s="269">
        <f t="shared" si="19"/>
        <v>1.685924966243646E-2</v>
      </c>
      <c r="D840" s="53">
        <f t="shared" si="20"/>
        <v>1.817258583488468E-2</v>
      </c>
    </row>
    <row r="841" spans="1:4" x14ac:dyDescent="0.2">
      <c r="A841" s="264">
        <v>42675</v>
      </c>
      <c r="B841" s="268">
        <v>242.02600000000001</v>
      </c>
      <c r="C841" s="269">
        <f t="shared" si="19"/>
        <v>1.6843334719788938E-2</v>
      </c>
      <c r="D841" s="53">
        <f t="shared" si="20"/>
        <v>1.8242137667670688E-2</v>
      </c>
    </row>
    <row r="842" spans="1:4" x14ac:dyDescent="0.2">
      <c r="A842" s="264">
        <v>42705</v>
      </c>
      <c r="B842" s="268">
        <v>242.637</v>
      </c>
      <c r="C842" s="269">
        <f t="shared" si="19"/>
        <v>2.0507989115119862E-2</v>
      </c>
      <c r="D842" s="53">
        <f t="shared" si="20"/>
        <v>1.7945930308778557E-2</v>
      </c>
    </row>
    <row r="843" spans="1:4" x14ac:dyDescent="0.2">
      <c r="A843" s="264">
        <v>42736</v>
      </c>
      <c r="B843" s="268">
        <v>243.61799999999999</v>
      </c>
      <c r="C843" s="269">
        <f t="shared" si="19"/>
        <v>2.5103933482571117E-2</v>
      </c>
      <c r="D843" s="53">
        <f t="shared" si="20"/>
        <v>1.8187926788288733E-2</v>
      </c>
    </row>
    <row r="844" spans="1:4" x14ac:dyDescent="0.2">
      <c r="A844" s="264">
        <v>42767</v>
      </c>
      <c r="B844" s="268">
        <v>244.006</v>
      </c>
      <c r="C844" s="269">
        <f t="shared" si="19"/>
        <v>2.8103616813294208E-2</v>
      </c>
      <c r="D844" s="53">
        <f t="shared" si="20"/>
        <v>1.7955861504617143E-2</v>
      </c>
    </row>
    <row r="845" spans="1:4" x14ac:dyDescent="0.2">
      <c r="A845" s="264">
        <v>42795</v>
      </c>
      <c r="B845" s="268">
        <v>243.892</v>
      </c>
      <c r="C845" s="269">
        <f t="shared" si="19"/>
        <v>2.44119623655914E-2</v>
      </c>
      <c r="D845" s="53">
        <f t="shared" si="20"/>
        <v>1.7380476181763971E-2</v>
      </c>
    </row>
    <row r="846" spans="1:4" x14ac:dyDescent="0.2">
      <c r="A846" s="264">
        <v>42826</v>
      </c>
      <c r="B846" s="268">
        <v>244.19300000000001</v>
      </c>
      <c r="C846" s="269">
        <f t="shared" si="19"/>
        <v>2.176223471915395E-2</v>
      </c>
      <c r="D846" s="53">
        <f t="shared" si="20"/>
        <v>1.7201150436304324E-2</v>
      </c>
    </row>
    <row r="847" spans="1:4" x14ac:dyDescent="0.2">
      <c r="A847" s="264">
        <v>42856</v>
      </c>
      <c r="B847" s="268">
        <v>244.00399999999999</v>
      </c>
      <c r="C847" s="269">
        <f t="shared" si="19"/>
        <v>1.8563431667619756E-2</v>
      </c>
      <c r="D847" s="53">
        <f t="shared" si="20"/>
        <v>1.6702970619083324E-2</v>
      </c>
    </row>
    <row r="848" spans="1:4" x14ac:dyDescent="0.2">
      <c r="A848" s="264">
        <v>42887</v>
      </c>
      <c r="B848" s="268">
        <v>244.16300000000001</v>
      </c>
      <c r="C848" s="269">
        <f t="shared" ref="C848:C911" si="21">B848/B836-1</f>
        <v>1.6405658099591269E-2</v>
      </c>
      <c r="D848" s="53">
        <f t="shared" si="20"/>
        <v>1.6533941968765342E-2</v>
      </c>
    </row>
    <row r="849" spans="1:4" x14ac:dyDescent="0.2">
      <c r="A849" s="264">
        <v>42917</v>
      </c>
      <c r="B849" s="268">
        <v>244.24299999999999</v>
      </c>
      <c r="C849" s="269">
        <f t="shared" si="21"/>
        <v>1.7251073506566073E-2</v>
      </c>
      <c r="D849" s="53">
        <f t="shared" si="20"/>
        <v>1.6386411296319459E-2</v>
      </c>
    </row>
    <row r="850" spans="1:4" x14ac:dyDescent="0.2">
      <c r="A850" s="264">
        <v>42948</v>
      </c>
      <c r="B850" s="268">
        <v>245.18299999999999</v>
      </c>
      <c r="C850" s="269">
        <f t="shared" si="21"/>
        <v>1.9281215572969801E-2</v>
      </c>
      <c r="D850" s="53">
        <f t="shared" si="20"/>
        <v>1.6745564660858081E-2</v>
      </c>
    </row>
    <row r="851" spans="1:4" x14ac:dyDescent="0.2">
      <c r="A851" s="264">
        <v>42979</v>
      </c>
      <c r="B851" s="268">
        <v>246.435</v>
      </c>
      <c r="C851" s="269">
        <f t="shared" si="21"/>
        <v>2.1805652303711787E-2</v>
      </c>
      <c r="D851" s="53">
        <f t="shared" si="20"/>
        <v>1.6833496241218882E-2</v>
      </c>
    </row>
    <row r="852" spans="1:4" x14ac:dyDescent="0.2">
      <c r="A852" s="264">
        <v>43009</v>
      </c>
      <c r="B852" s="268">
        <v>246.626</v>
      </c>
      <c r="C852" s="269">
        <f t="shared" si="21"/>
        <v>2.020757753132485E-2</v>
      </c>
      <c r="D852" s="53">
        <f t="shared" si="20"/>
        <v>1.6599270982764258E-2</v>
      </c>
    </row>
    <row r="853" spans="1:4" x14ac:dyDescent="0.2">
      <c r="A853" s="264">
        <v>43040</v>
      </c>
      <c r="B853" s="268">
        <v>247.28399999999999</v>
      </c>
      <c r="C853" s="269">
        <f t="shared" si="21"/>
        <v>2.172493864295566E-2</v>
      </c>
      <c r="D853" s="53">
        <f t="shared" si="20"/>
        <v>1.6074464163792657E-2</v>
      </c>
    </row>
    <row r="854" spans="1:4" x14ac:dyDescent="0.2">
      <c r="A854" s="264">
        <v>43070</v>
      </c>
      <c r="B854" s="268">
        <v>247.80500000000001</v>
      </c>
      <c r="C854" s="269">
        <f t="shared" si="21"/>
        <v>2.1299307195522532E-2</v>
      </c>
      <c r="D854" s="53">
        <f t="shared" si="20"/>
        <v>1.5994283756674887E-2</v>
      </c>
    </row>
    <row r="855" spans="1:4" x14ac:dyDescent="0.2">
      <c r="A855" s="264">
        <v>43101</v>
      </c>
      <c r="B855" s="268">
        <v>248.74299999999999</v>
      </c>
      <c r="C855" s="269">
        <f t="shared" si="21"/>
        <v>2.1037033388337401E-2</v>
      </c>
      <c r="D855" s="53">
        <f t="shared" si="20"/>
        <v>1.6028453541645504E-2</v>
      </c>
    </row>
    <row r="856" spans="1:4" x14ac:dyDescent="0.2">
      <c r="A856" s="264">
        <v>43132</v>
      </c>
      <c r="B856" s="268">
        <v>249.43899999999999</v>
      </c>
      <c r="C856" s="269">
        <f t="shared" si="21"/>
        <v>2.2265845921821459E-2</v>
      </c>
      <c r="D856" s="53">
        <f t="shared" si="20"/>
        <v>1.60669874303081E-2</v>
      </c>
    </row>
    <row r="857" spans="1:4" x14ac:dyDescent="0.2">
      <c r="A857" s="264">
        <v>43160</v>
      </c>
      <c r="B857" s="268">
        <v>249.58099999999999</v>
      </c>
      <c r="C857" s="269">
        <f t="shared" si="21"/>
        <v>2.3325898348449225E-2</v>
      </c>
      <c r="D857" s="53">
        <f t="shared" si="20"/>
        <v>1.5761956429263924E-2</v>
      </c>
    </row>
    <row r="858" spans="1:4" x14ac:dyDescent="0.2">
      <c r="A858" s="264">
        <v>43191</v>
      </c>
      <c r="B858" s="268">
        <v>250.14599999999999</v>
      </c>
      <c r="C858" s="269">
        <f t="shared" si="21"/>
        <v>2.4378258181028789E-2</v>
      </c>
      <c r="D858" s="53">
        <f t="shared" si="20"/>
        <v>1.575682975266246E-2</v>
      </c>
    </row>
    <row r="859" spans="1:4" x14ac:dyDescent="0.2">
      <c r="A859" s="264">
        <v>43221</v>
      </c>
      <c r="B859" s="268">
        <v>250.779</v>
      </c>
      <c r="C859" s="269">
        <f t="shared" si="21"/>
        <v>2.7765938263307088E-2</v>
      </c>
      <c r="D859" s="53">
        <f t="shared" si="20"/>
        <v>1.5414300544092985E-2</v>
      </c>
    </row>
    <row r="860" spans="1:4" x14ac:dyDescent="0.2">
      <c r="A860" s="264">
        <v>43252</v>
      </c>
      <c r="B860" s="268">
        <v>251.11799999999999</v>
      </c>
      <c r="C860" s="269">
        <f t="shared" si="21"/>
        <v>2.8485069400359553E-2</v>
      </c>
      <c r="D860" s="53">
        <f t="shared" si="20"/>
        <v>1.4493448809264509E-2</v>
      </c>
    </row>
    <row r="861" spans="1:4" x14ac:dyDescent="0.2">
      <c r="A861" s="264">
        <v>43282</v>
      </c>
      <c r="B861" s="268">
        <v>251.32300000000001</v>
      </c>
      <c r="C861" s="269">
        <f t="shared" si="21"/>
        <v>2.8987524719234603E-2</v>
      </c>
      <c r="D861" s="53">
        <f t="shared" si="20"/>
        <v>1.3854514238452076E-2</v>
      </c>
    </row>
    <row r="862" spans="1:4" x14ac:dyDescent="0.2">
      <c r="A862" s="264">
        <v>43313</v>
      </c>
      <c r="B862" s="268">
        <v>251.749</v>
      </c>
      <c r="C862" s="269">
        <f t="shared" si="21"/>
        <v>2.6779996981846299E-2</v>
      </c>
      <c r="D862" s="53">
        <f t="shared" si="20"/>
        <v>1.4177293706457483E-2</v>
      </c>
    </row>
    <row r="863" spans="1:4" x14ac:dyDescent="0.2">
      <c r="A863" s="264">
        <v>43344</v>
      </c>
      <c r="B863" s="268">
        <v>252.239</v>
      </c>
      <c r="C863" s="269">
        <f t="shared" si="21"/>
        <v>2.3551849372045464E-2</v>
      </c>
      <c r="D863" s="53">
        <f t="shared" si="20"/>
        <v>1.4287821226210307E-2</v>
      </c>
    </row>
    <row r="864" spans="1:4" x14ac:dyDescent="0.2">
      <c r="A864" s="264">
        <v>43374</v>
      </c>
      <c r="B864" s="268">
        <v>252.86199999999999</v>
      </c>
      <c r="C864" s="269">
        <f t="shared" si="21"/>
        <v>2.5285249730360837E-2</v>
      </c>
      <c r="D864" s="53">
        <f t="shared" si="20"/>
        <v>1.5414554670795777E-2</v>
      </c>
    </row>
    <row r="865" spans="1:4" x14ac:dyDescent="0.2">
      <c r="A865" s="264">
        <v>43405</v>
      </c>
      <c r="B865" s="268">
        <v>252.65700000000001</v>
      </c>
      <c r="C865" s="269">
        <f t="shared" si="21"/>
        <v>2.1728053574028294E-2</v>
      </c>
      <c r="D865" s="53">
        <f t="shared" si="20"/>
        <v>1.7147623106458676E-2</v>
      </c>
    </row>
    <row r="866" spans="1:4" x14ac:dyDescent="0.2">
      <c r="A866" s="264">
        <v>43435</v>
      </c>
      <c r="B866" s="268">
        <v>252.55099999999999</v>
      </c>
      <c r="C866" s="269">
        <f t="shared" si="21"/>
        <v>1.9152155929057058E-2</v>
      </c>
      <c r="D866" s="53">
        <f t="shared" si="20"/>
        <v>1.7946191426522873E-2</v>
      </c>
    </row>
    <row r="867" spans="1:4" x14ac:dyDescent="0.2">
      <c r="A867" s="264">
        <v>43466</v>
      </c>
      <c r="B867" s="268">
        <v>252.47</v>
      </c>
      <c r="C867" s="269">
        <f t="shared" si="21"/>
        <v>1.4983336214486442E-2</v>
      </c>
      <c r="D867" s="53">
        <f t="shared" si="20"/>
        <v>1.7656285699731766E-2</v>
      </c>
    </row>
    <row r="868" spans="1:4" x14ac:dyDescent="0.2">
      <c r="A868" s="264">
        <v>43497</v>
      </c>
      <c r="B868" s="268">
        <v>253.13499999999999</v>
      </c>
      <c r="C868" s="269">
        <f t="shared" si="21"/>
        <v>1.4817249908795294E-2</v>
      </c>
      <c r="D868" s="53">
        <f t="shared" si="20"/>
        <v>1.7553962578596094E-2</v>
      </c>
    </row>
    <row r="869" spans="1:4" x14ac:dyDescent="0.2">
      <c r="A869" s="264">
        <v>43525</v>
      </c>
      <c r="B869" s="268">
        <v>254.273</v>
      </c>
      <c r="C869" s="269">
        <f t="shared" si="21"/>
        <v>1.8799507975366669E-2</v>
      </c>
      <c r="D869" s="53">
        <f t="shared" si="20"/>
        <v>1.8111054894714984E-2</v>
      </c>
    </row>
    <row r="870" spans="1:4" x14ac:dyDescent="0.2">
      <c r="A870" s="264">
        <v>43556</v>
      </c>
      <c r="B870" s="268">
        <v>255.16300000000001</v>
      </c>
      <c r="C870" s="269">
        <f t="shared" si="21"/>
        <v>2.0056287128317196E-2</v>
      </c>
      <c r="D870" s="53">
        <f t="shared" si="20"/>
        <v>1.8364340288657965E-2</v>
      </c>
    </row>
    <row r="871" spans="1:4" x14ac:dyDescent="0.2">
      <c r="A871" s="264">
        <v>43586</v>
      </c>
      <c r="B871" s="268">
        <v>255.32499999999999</v>
      </c>
      <c r="C871" s="269">
        <f t="shared" si="21"/>
        <v>1.8127514664306066E-2</v>
      </c>
      <c r="D871" s="53">
        <f t="shared" si="20"/>
        <v>1.8279236539940236E-2</v>
      </c>
    </row>
    <row r="872" spans="1:4" x14ac:dyDescent="0.2">
      <c r="A872" s="264">
        <v>43617</v>
      </c>
      <c r="B872" s="268">
        <v>255.36099999999999</v>
      </c>
      <c r="C872" s="269">
        <f t="shared" si="21"/>
        <v>1.6896439124236329E-2</v>
      </c>
      <c r="D872" s="53">
        <f t="shared" si="20"/>
        <v>1.7452284472579294E-2</v>
      </c>
    </row>
    <row r="873" spans="1:4" x14ac:dyDescent="0.2">
      <c r="A873" s="264">
        <v>43647</v>
      </c>
      <c r="B873" s="268">
        <v>255.9</v>
      </c>
      <c r="C873" s="269">
        <f t="shared" si="21"/>
        <v>1.8211624085340272E-2</v>
      </c>
      <c r="D873" s="53">
        <f t="shared" si="20"/>
        <v>1.7697166141687148E-2</v>
      </c>
    </row>
    <row r="874" spans="1:4" x14ac:dyDescent="0.2">
      <c r="A874" s="264">
        <v>43678</v>
      </c>
      <c r="B874" s="268">
        <v>256.17899999999997</v>
      </c>
      <c r="C874" s="269">
        <f t="shared" si="21"/>
        <v>1.7596892142570431E-2</v>
      </c>
      <c r="D874" s="53">
        <f t="shared" si="20"/>
        <v>1.7467886069229888E-2</v>
      </c>
    </row>
    <row r="875" spans="1:4" x14ac:dyDescent="0.2">
      <c r="A875" s="264">
        <v>43709</v>
      </c>
      <c r="B875" s="268">
        <v>256.596</v>
      </c>
      <c r="C875" s="269">
        <f t="shared" si="21"/>
        <v>1.7273300322313334E-2</v>
      </c>
      <c r="D875" s="53">
        <f t="shared" si="20"/>
        <v>1.7437099914234588E-2</v>
      </c>
    </row>
    <row r="876" spans="1:4" x14ac:dyDescent="0.2">
      <c r="A876" s="264">
        <v>43739</v>
      </c>
      <c r="B876" s="268">
        <v>257.30500000000001</v>
      </c>
      <c r="C876" s="269">
        <f t="shared" si="21"/>
        <v>1.7570848921546256E-2</v>
      </c>
      <c r="D876" s="53">
        <f t="shared" si="20"/>
        <v>1.7412870250951062E-2</v>
      </c>
    </row>
    <row r="877" spans="1:4" x14ac:dyDescent="0.2">
      <c r="A877" s="264">
        <v>43770</v>
      </c>
      <c r="B877" s="268">
        <v>257.78800000000001</v>
      </c>
      <c r="C877" s="269">
        <f t="shared" si="21"/>
        <v>2.0308164824247799E-2</v>
      </c>
      <c r="D877" s="53">
        <f t="shared" si="20"/>
        <v>1.7263565032873629E-2</v>
      </c>
    </row>
    <row r="878" spans="1:4" x14ac:dyDescent="0.2">
      <c r="A878" s="264">
        <v>43800</v>
      </c>
      <c r="B878" s="268">
        <v>258.26299999999998</v>
      </c>
      <c r="C878" s="269">
        <f t="shared" si="21"/>
        <v>2.2617213948865622E-2</v>
      </c>
      <c r="D878" s="53">
        <f t="shared" si="20"/>
        <v>1.7397940455807781E-2</v>
      </c>
    </row>
    <row r="879" spans="1:4" x14ac:dyDescent="0.2">
      <c r="A879" s="264">
        <v>43831</v>
      </c>
      <c r="B879" s="268">
        <v>258.68200000000002</v>
      </c>
      <c r="C879" s="269">
        <f t="shared" si="21"/>
        <v>2.4604903552897461E-2</v>
      </c>
      <c r="D879" s="53">
        <f t="shared" si="20"/>
        <v>1.7496891356016731E-2</v>
      </c>
    </row>
    <row r="880" spans="1:4" x14ac:dyDescent="0.2">
      <c r="A880" s="264">
        <v>43862</v>
      </c>
      <c r="B880" s="268">
        <v>259.00700000000001</v>
      </c>
      <c r="C880" s="269">
        <f t="shared" si="21"/>
        <v>2.3197108262389632E-2</v>
      </c>
      <c r="D880" s="53">
        <f t="shared" si="20"/>
        <v>1.7721560150738336E-2</v>
      </c>
    </row>
    <row r="881" spans="1:10" x14ac:dyDescent="0.2">
      <c r="A881" s="264">
        <v>43891</v>
      </c>
      <c r="B881" s="268">
        <v>258.16500000000002</v>
      </c>
      <c r="C881" s="269">
        <f t="shared" si="21"/>
        <v>1.5306383296693093E-2</v>
      </c>
      <c r="D881" s="53">
        <f t="shared" si="20"/>
        <v>1.735651942658456E-2</v>
      </c>
    </row>
    <row r="882" spans="1:10" x14ac:dyDescent="0.2">
      <c r="A882" s="264">
        <v>43922</v>
      </c>
      <c r="B882" s="268">
        <v>256.09399999999999</v>
      </c>
      <c r="C882" s="269">
        <f t="shared" si="21"/>
        <v>3.6486481190454167E-3</v>
      </c>
      <c r="D882" s="53">
        <f t="shared" si="20"/>
        <v>1.6514053177131283E-2</v>
      </c>
    </row>
    <row r="883" spans="1:10" x14ac:dyDescent="0.2">
      <c r="A883" s="264">
        <v>43952</v>
      </c>
      <c r="B883" s="268">
        <v>255.94399999999999</v>
      </c>
      <c r="C883" s="269">
        <f t="shared" si="21"/>
        <v>2.4243611083911709E-3</v>
      </c>
      <c r="D883" s="53">
        <f t="shared" si="20"/>
        <v>1.6507345541411089E-2</v>
      </c>
    </row>
    <row r="884" spans="1:10" x14ac:dyDescent="0.2">
      <c r="A884" s="264">
        <v>43983</v>
      </c>
      <c r="B884" s="268">
        <v>257.21699999999998</v>
      </c>
      <c r="C884" s="269">
        <f t="shared" si="21"/>
        <v>7.2681419637297129E-3</v>
      </c>
      <c r="D884" s="53">
        <f t="shared" si="20"/>
        <v>1.7054404033444825E-2</v>
      </c>
    </row>
    <row r="885" spans="1:10" x14ac:dyDescent="0.2">
      <c r="A885" s="264">
        <v>44013</v>
      </c>
      <c r="B885" s="268">
        <v>258.54300000000001</v>
      </c>
      <c r="C885" s="269">
        <f t="shared" si="21"/>
        <v>1.0328253223915507E-2</v>
      </c>
      <c r="D885" s="53">
        <f t="shared" si="20"/>
        <v>1.7387485821390714E-2</v>
      </c>
    </row>
    <row r="886" spans="1:10" x14ac:dyDescent="0.2">
      <c r="A886" s="264">
        <v>44044</v>
      </c>
      <c r="B886" s="268">
        <v>259.58</v>
      </c>
      <c r="C886" s="269">
        <f t="shared" si="21"/>
        <v>1.3275873510318892E-2</v>
      </c>
      <c r="D886" s="53">
        <f t="shared" si="20"/>
        <v>1.7646201598533695E-2</v>
      </c>
    </row>
    <row r="887" spans="1:10" x14ac:dyDescent="0.2">
      <c r="A887" s="264">
        <v>44075</v>
      </c>
      <c r="B887" s="268">
        <v>260.19</v>
      </c>
      <c r="C887" s="269">
        <f t="shared" si="21"/>
        <v>1.4006453724921597E-2</v>
      </c>
      <c r="D887" s="53">
        <f t="shared" si="20"/>
        <v>1.7720822915787693E-2</v>
      </c>
    </row>
    <row r="888" spans="1:10" x14ac:dyDescent="0.2">
      <c r="A888" s="264">
        <v>44105</v>
      </c>
      <c r="B888" s="268">
        <v>260.35199999999998</v>
      </c>
      <c r="C888" s="269">
        <f t="shared" si="21"/>
        <v>1.1841977419793537E-2</v>
      </c>
      <c r="D888" s="53">
        <f t="shared" ref="D888:D914" si="22">(B888/B768)^(1/10)-1</f>
        <v>1.7430470882455751E-2</v>
      </c>
    </row>
    <row r="889" spans="1:10" x14ac:dyDescent="0.2">
      <c r="A889" s="264">
        <v>44136</v>
      </c>
      <c r="B889" s="268">
        <v>260.721</v>
      </c>
      <c r="C889" s="269">
        <f t="shared" si="21"/>
        <v>1.1377566062035438E-2</v>
      </c>
      <c r="D889" s="53">
        <f t="shared" si="22"/>
        <v>1.7317102037201826E-2</v>
      </c>
    </row>
    <row r="890" spans="1:10" x14ac:dyDescent="0.2">
      <c r="A890" s="264">
        <v>44166</v>
      </c>
      <c r="B890" s="268">
        <v>261.56400000000002</v>
      </c>
      <c r="C890" s="269">
        <f t="shared" si="21"/>
        <v>1.2781544394667721E-2</v>
      </c>
      <c r="D890" s="53">
        <f t="shared" si="22"/>
        <v>1.7237713092008278E-2</v>
      </c>
    </row>
    <row r="891" spans="1:10" x14ac:dyDescent="0.2">
      <c r="A891" s="264">
        <v>44197</v>
      </c>
      <c r="B891" s="268">
        <v>262.2</v>
      </c>
      <c r="C891" s="269">
        <f t="shared" si="21"/>
        <v>1.3599709295582851E-2</v>
      </c>
      <c r="D891" s="53">
        <f t="shared" si="22"/>
        <v>1.7155399615506051E-2</v>
      </c>
    </row>
    <row r="892" spans="1:10" x14ac:dyDescent="0.2">
      <c r="A892" s="264">
        <v>44228</v>
      </c>
      <c r="B892" s="268">
        <v>263.346</v>
      </c>
      <c r="C892" s="269">
        <f t="shared" si="21"/>
        <v>1.6752442984166338E-2</v>
      </c>
      <c r="D892" s="53">
        <f t="shared" si="22"/>
        <v>1.7272569068350396E-2</v>
      </c>
    </row>
    <row r="893" spans="1:10" x14ac:dyDescent="0.2">
      <c r="A893" s="264">
        <v>44256</v>
      </c>
      <c r="B893" s="268">
        <v>265.02800000000002</v>
      </c>
      <c r="C893" s="269">
        <f t="shared" si="21"/>
        <v>2.6583773943021027E-2</v>
      </c>
      <c r="D893" s="53">
        <f t="shared" si="22"/>
        <v>1.7395311679196057E-2</v>
      </c>
    </row>
    <row r="894" spans="1:10" x14ac:dyDescent="0.2">
      <c r="A894" s="264">
        <v>44287</v>
      </c>
      <c r="B894" s="268">
        <v>266.72699999999998</v>
      </c>
      <c r="C894" s="269">
        <f t="shared" si="21"/>
        <v>4.1519910657805248E-2</v>
      </c>
      <c r="D894" s="53">
        <f t="shared" si="22"/>
        <v>1.7569002657213284E-2</v>
      </c>
    </row>
    <row r="895" spans="1:10" x14ac:dyDescent="0.2">
      <c r="A895" s="264">
        <v>44317</v>
      </c>
      <c r="B895" s="268">
        <v>268.59899999999999</v>
      </c>
      <c r="C895" s="269">
        <f t="shared" si="21"/>
        <v>4.9444409714625159E-2</v>
      </c>
      <c r="D895" s="53">
        <f t="shared" si="22"/>
        <v>1.7957506689615599E-2</v>
      </c>
    </row>
    <row r="896" spans="1:10" x14ac:dyDescent="0.2">
      <c r="A896" s="264">
        <v>44348</v>
      </c>
      <c r="B896" s="268">
        <v>270.95499999999998</v>
      </c>
      <c r="C896" s="269">
        <f t="shared" si="21"/>
        <v>5.3410155627349631E-2</v>
      </c>
      <c r="D896" s="53">
        <f t="shared" si="22"/>
        <v>1.884689706935605E-2</v>
      </c>
      <c r="J896" s="500" t="s">
        <v>3595</v>
      </c>
    </row>
    <row r="897" spans="1:8" x14ac:dyDescent="0.2">
      <c r="A897" s="264">
        <v>44378</v>
      </c>
      <c r="B897" s="268">
        <v>272.18400000000003</v>
      </c>
      <c r="C897" s="269">
        <f t="shared" si="21"/>
        <v>5.2761049419245643E-2</v>
      </c>
      <c r="D897" s="53">
        <f t="shared" si="22"/>
        <v>1.9041407621149808E-2</v>
      </c>
    </row>
    <row r="898" spans="1:8" x14ac:dyDescent="0.2">
      <c r="A898" s="264">
        <v>44409</v>
      </c>
      <c r="B898" s="268">
        <v>273.09199999999998</v>
      </c>
      <c r="C898" s="269">
        <f t="shared" si="21"/>
        <v>5.2053316896525148E-2</v>
      </c>
      <c r="D898" s="53">
        <f t="shared" si="22"/>
        <v>1.9059845230903649E-2</v>
      </c>
    </row>
    <row r="899" spans="1:8" x14ac:dyDescent="0.2">
      <c r="A899" s="264">
        <v>44440</v>
      </c>
      <c r="B899" s="268">
        <v>274.214</v>
      </c>
      <c r="C899" s="269">
        <f t="shared" si="21"/>
        <v>5.3899073753795212E-2</v>
      </c>
      <c r="D899" s="53">
        <f t="shared" si="22"/>
        <v>1.9256634009626961E-2</v>
      </c>
    </row>
    <row r="900" spans="1:8" x14ac:dyDescent="0.2">
      <c r="A900" s="264">
        <v>44470</v>
      </c>
      <c r="B900" s="268">
        <v>276.58999999999997</v>
      </c>
      <c r="C900" s="269">
        <f t="shared" si="21"/>
        <v>6.2369407571288171E-2</v>
      </c>
      <c r="D900" s="53">
        <f t="shared" si="22"/>
        <v>2.0067516374113081E-2</v>
      </c>
    </row>
    <row r="901" spans="1:8" x14ac:dyDescent="0.2">
      <c r="A901" s="264">
        <v>44501</v>
      </c>
      <c r="B901" s="268">
        <v>278.524</v>
      </c>
      <c r="C901" s="269">
        <f t="shared" si="21"/>
        <v>6.8283720912392987E-2</v>
      </c>
      <c r="D901" s="53">
        <f t="shared" si="22"/>
        <v>2.0590110560863462E-2</v>
      </c>
    </row>
    <row r="902" spans="1:8" x14ac:dyDescent="0.2">
      <c r="A902" s="264">
        <v>44531</v>
      </c>
      <c r="B902" s="268">
        <v>280.12599999999998</v>
      </c>
      <c r="C902" s="269">
        <f t="shared" si="21"/>
        <v>7.0965423376305514E-2</v>
      </c>
      <c r="D902" s="53">
        <f t="shared" si="22"/>
        <v>2.1151343428029934E-2</v>
      </c>
    </row>
    <row r="903" spans="1:8" x14ac:dyDescent="0.2">
      <c r="A903" s="264">
        <v>44562</v>
      </c>
      <c r="B903" s="268">
        <v>281.93299999999999</v>
      </c>
      <c r="C903" s="269">
        <f t="shared" si="21"/>
        <v>7.5259344012204465E-2</v>
      </c>
      <c r="D903" s="53">
        <f t="shared" si="22"/>
        <v>2.1530205693549354E-2</v>
      </c>
    </row>
    <row r="904" spans="1:8" x14ac:dyDescent="0.2">
      <c r="A904" s="264">
        <v>44593</v>
      </c>
      <c r="B904" s="268">
        <v>284.18200000000002</v>
      </c>
      <c r="C904" s="269">
        <f t="shared" si="21"/>
        <v>7.9120244848982058E-2</v>
      </c>
      <c r="D904" s="53">
        <f t="shared" si="22"/>
        <v>2.2123913652011939E-2</v>
      </c>
    </row>
    <row r="905" spans="1:8" x14ac:dyDescent="0.2">
      <c r="A905" s="264">
        <v>44621</v>
      </c>
      <c r="B905" s="268">
        <v>287.70800000000003</v>
      </c>
      <c r="C905" s="269">
        <f t="shared" si="21"/>
        <v>8.5575863682327835E-2</v>
      </c>
      <c r="D905" s="53">
        <f t="shared" si="22"/>
        <v>2.3171096097536648E-2</v>
      </c>
    </row>
    <row r="906" spans="1:8" x14ac:dyDescent="0.2">
      <c r="A906" s="264">
        <v>44652</v>
      </c>
      <c r="B906" s="268">
        <v>288.66300000000001</v>
      </c>
      <c r="C906" s="269">
        <f t="shared" si="21"/>
        <v>8.2241392884859987E-2</v>
      </c>
      <c r="D906" s="53">
        <f t="shared" si="22"/>
        <v>2.3340386602396457E-2</v>
      </c>
    </row>
    <row r="907" spans="1:8" x14ac:dyDescent="0.2">
      <c r="A907" s="264">
        <v>44682</v>
      </c>
      <c r="B907" s="50">
        <v>291.26799999999997</v>
      </c>
      <c r="C907" s="269">
        <f t="shared" si="21"/>
        <v>8.43971868845379E-2</v>
      </c>
      <c r="D907" s="53">
        <f t="shared" si="22"/>
        <v>2.4472233981614133E-2</v>
      </c>
    </row>
    <row r="908" spans="1:8" x14ac:dyDescent="0.2">
      <c r="A908" s="264">
        <v>44713</v>
      </c>
      <c r="B908" s="50">
        <v>294.72800000000001</v>
      </c>
      <c r="C908" s="269">
        <f t="shared" si="21"/>
        <v>8.7737816242549505E-2</v>
      </c>
      <c r="D908" s="53">
        <f t="shared" si="22"/>
        <v>2.5767554431948669E-2</v>
      </c>
    </row>
    <row r="909" spans="1:8" x14ac:dyDescent="0.2">
      <c r="A909" s="264">
        <v>44743</v>
      </c>
      <c r="B909" s="50">
        <v>294.62799999999999</v>
      </c>
      <c r="C909" s="269">
        <f t="shared" si="21"/>
        <v>8.2458924844957648E-2</v>
      </c>
      <c r="D909" s="53">
        <f t="shared" si="22"/>
        <v>2.5703125769664936E-2</v>
      </c>
    </row>
    <row r="910" spans="1:8" x14ac:dyDescent="0.2">
      <c r="A910" s="264">
        <v>44774</v>
      </c>
      <c r="B910" s="50">
        <v>295.32</v>
      </c>
      <c r="C910" s="269">
        <f t="shared" si="21"/>
        <v>8.1393816003398234E-2</v>
      </c>
      <c r="D910" s="53">
        <f t="shared" si="22"/>
        <v>2.5349652752922447E-2</v>
      </c>
    </row>
    <row r="911" spans="1:8" x14ac:dyDescent="0.2">
      <c r="A911" s="264">
        <v>44805</v>
      </c>
      <c r="B911" s="50">
        <v>296.53899999999999</v>
      </c>
      <c r="C911" s="269">
        <f t="shared" si="21"/>
        <v>8.1414515670242826E-2</v>
      </c>
      <c r="D911" s="53">
        <f t="shared" si="22"/>
        <v>2.5283961761531693E-2</v>
      </c>
      <c r="G911" s="29">
        <v>298.99</v>
      </c>
      <c r="H911" s="29">
        <f>G911/G912</f>
        <v>1.0644494049208402</v>
      </c>
    </row>
    <row r="912" spans="1:8" x14ac:dyDescent="0.2">
      <c r="A912" s="264">
        <v>44835</v>
      </c>
      <c r="B912" s="50">
        <v>297.98700000000002</v>
      </c>
      <c r="C912" s="269">
        <f t="shared" ref="C912:C913" si="23">B912/B900-1</f>
        <v>7.7359991322896837E-2</v>
      </c>
      <c r="D912" s="53">
        <f t="shared" si="22"/>
        <v>2.5507288034616993E-2</v>
      </c>
      <c r="G912" s="29">
        <v>280.887</v>
      </c>
    </row>
    <row r="913" spans="1:4" x14ac:dyDescent="0.2">
      <c r="A913" s="264">
        <v>44866</v>
      </c>
      <c r="B913" s="50">
        <v>298.59800000000001</v>
      </c>
      <c r="C913" s="269">
        <f t="shared" si="23"/>
        <v>7.2072783673938323E-2</v>
      </c>
      <c r="D913" s="53">
        <f t="shared" si="22"/>
        <v>2.5889779418018177E-2</v>
      </c>
    </row>
    <row r="914" spans="1:4" x14ac:dyDescent="0.2">
      <c r="A914" s="264">
        <v>44896</v>
      </c>
      <c r="B914" s="50">
        <v>298.99</v>
      </c>
      <c r="C914" s="269">
        <f>B914/B902-1</f>
        <v>6.7341125065149443E-2</v>
      </c>
      <c r="D914" s="53">
        <f t="shared" si="22"/>
        <v>2.6036803013944843E-2</v>
      </c>
    </row>
  </sheetData>
  <mergeCells count="1">
    <mergeCell ref="A1:B1"/>
  </mergeCells>
  <hyperlinks>
    <hyperlink ref="F1" r:id="rId1" xr:uid="{8F116785-1669-400B-96A3-1DDA2A01C14A}"/>
  </hyperlink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A61F-C73C-43E6-854E-288E28C2D0B4}">
  <sheetPr>
    <tabColor theme="7" tint="0.79998168889431442"/>
  </sheetPr>
  <dimension ref="A1:P182"/>
  <sheetViews>
    <sheetView topLeftCell="A142" workbookViewId="0">
      <selection activeCell="A182" sqref="A182"/>
    </sheetView>
  </sheetViews>
  <sheetFormatPr baseColWidth="10" defaultColWidth="9.1640625" defaultRowHeight="15" x14ac:dyDescent="0.2"/>
  <cols>
    <col min="1" max="16384" width="9.1640625" style="29"/>
  </cols>
  <sheetData>
    <row r="1" spans="1:16" x14ac:dyDescent="0.2">
      <c r="A1" s="528" t="s">
        <v>102</v>
      </c>
      <c r="B1" s="528"/>
      <c r="C1" s="528"/>
      <c r="D1" s="528"/>
      <c r="E1" s="528"/>
      <c r="F1" s="528"/>
      <c r="G1" s="64"/>
      <c r="H1" s="45"/>
      <c r="I1" s="55" t="s">
        <v>61</v>
      </c>
      <c r="J1" s="54" t="s">
        <v>619</v>
      </c>
      <c r="K1" s="45"/>
      <c r="L1" s="45"/>
      <c r="M1" s="45"/>
      <c r="N1" s="45"/>
      <c r="O1" s="45"/>
      <c r="P1" s="45"/>
    </row>
    <row r="2" spans="1:16" x14ac:dyDescent="0.2">
      <c r="A2" s="62" t="s">
        <v>115</v>
      </c>
      <c r="B2" s="62" t="s">
        <v>116</v>
      </c>
      <c r="C2" s="62" t="s">
        <v>117</v>
      </c>
      <c r="D2" s="62" t="s">
        <v>118</v>
      </c>
      <c r="E2" s="62" t="s">
        <v>119</v>
      </c>
      <c r="F2" s="62" t="s">
        <v>120</v>
      </c>
      <c r="G2" s="45"/>
      <c r="H2" s="45"/>
      <c r="I2" s="45"/>
      <c r="J2" s="45"/>
      <c r="K2" s="45"/>
      <c r="L2" s="45"/>
      <c r="M2" s="45"/>
      <c r="N2" s="45"/>
      <c r="O2" s="45"/>
      <c r="P2" s="45"/>
    </row>
    <row r="3" spans="1:16" x14ac:dyDescent="0.2">
      <c r="A3" s="162">
        <v>39448</v>
      </c>
      <c r="B3" s="160">
        <v>152.9</v>
      </c>
      <c r="C3" s="160">
        <v>152.9</v>
      </c>
      <c r="D3" s="160">
        <v>152.9</v>
      </c>
      <c r="E3" s="160">
        <v>152.9</v>
      </c>
      <c r="F3" s="161">
        <v>7.0000000000000007E-2</v>
      </c>
    </row>
    <row r="4" spans="1:16" x14ac:dyDescent="0.2">
      <c r="A4" s="162">
        <v>39479</v>
      </c>
      <c r="B4" s="160">
        <v>190.95</v>
      </c>
      <c r="C4" s="160">
        <v>190.95</v>
      </c>
      <c r="D4" s="160">
        <v>190.95</v>
      </c>
      <c r="E4" s="160">
        <v>190.95</v>
      </c>
      <c r="F4" s="161">
        <v>0.24890000000000001</v>
      </c>
    </row>
    <row r="5" spans="1:16" x14ac:dyDescent="0.2">
      <c r="A5" s="162">
        <v>39508</v>
      </c>
      <c r="B5" s="160">
        <v>221.95</v>
      </c>
      <c r="C5" s="160">
        <v>221.95</v>
      </c>
      <c r="D5" s="160">
        <v>221.95</v>
      </c>
      <c r="E5" s="160">
        <v>221.95</v>
      </c>
      <c r="F5" s="161">
        <v>0.1623</v>
      </c>
    </row>
    <row r="6" spans="1:16" x14ac:dyDescent="0.2">
      <c r="A6" s="162">
        <v>39539</v>
      </c>
      <c r="B6" s="160">
        <v>166.95</v>
      </c>
      <c r="C6" s="160">
        <v>166.95</v>
      </c>
      <c r="D6" s="160">
        <v>166.95</v>
      </c>
      <c r="E6" s="160">
        <v>166.95</v>
      </c>
      <c r="F6" s="161">
        <v>-0.24779999999999999</v>
      </c>
    </row>
    <row r="7" spans="1:16" x14ac:dyDescent="0.2">
      <c r="A7" s="162">
        <v>39569</v>
      </c>
      <c r="B7" s="160">
        <v>166.95</v>
      </c>
      <c r="C7" s="160">
        <v>166.95</v>
      </c>
      <c r="D7" s="160">
        <v>166.95</v>
      </c>
      <c r="E7" s="160">
        <v>166.95</v>
      </c>
      <c r="F7" s="161">
        <v>0</v>
      </c>
    </row>
    <row r="8" spans="1:16" x14ac:dyDescent="0.2">
      <c r="A8" s="162">
        <v>39600</v>
      </c>
      <c r="B8" s="160">
        <v>166.95</v>
      </c>
      <c r="C8" s="160">
        <v>166.95</v>
      </c>
      <c r="D8" s="160">
        <v>166.95</v>
      </c>
      <c r="E8" s="160">
        <v>166.95</v>
      </c>
      <c r="F8" s="161">
        <v>0</v>
      </c>
    </row>
    <row r="9" spans="1:16" x14ac:dyDescent="0.2">
      <c r="A9" s="162">
        <v>39630</v>
      </c>
      <c r="B9" s="160">
        <v>166.95</v>
      </c>
      <c r="C9" s="160">
        <v>166.95</v>
      </c>
      <c r="D9" s="160">
        <v>166.95</v>
      </c>
      <c r="E9" s="160">
        <v>166.95</v>
      </c>
      <c r="F9" s="161">
        <v>0</v>
      </c>
    </row>
    <row r="10" spans="1:16" x14ac:dyDescent="0.2">
      <c r="A10" s="162">
        <v>39661</v>
      </c>
      <c r="B10" s="160">
        <v>166.95</v>
      </c>
      <c r="C10" s="160">
        <v>166.95</v>
      </c>
      <c r="D10" s="160">
        <v>166.95</v>
      </c>
      <c r="E10" s="160">
        <v>166.95</v>
      </c>
      <c r="F10" s="161">
        <v>0</v>
      </c>
    </row>
    <row r="11" spans="1:16" x14ac:dyDescent="0.2">
      <c r="A11" s="162">
        <v>39692</v>
      </c>
      <c r="B11" s="160">
        <v>231.45</v>
      </c>
      <c r="C11" s="160">
        <v>231.45</v>
      </c>
      <c r="D11" s="160">
        <v>231.45</v>
      </c>
      <c r="E11" s="160">
        <v>231.45</v>
      </c>
      <c r="F11" s="161">
        <v>0.38629999999999998</v>
      </c>
    </row>
    <row r="12" spans="1:16" x14ac:dyDescent="0.2">
      <c r="A12" s="162">
        <v>39722</v>
      </c>
      <c r="B12" s="160">
        <v>359.47</v>
      </c>
      <c r="C12" s="160">
        <v>359.47</v>
      </c>
      <c r="D12" s="160">
        <v>359.47</v>
      </c>
      <c r="E12" s="160">
        <v>359.47</v>
      </c>
      <c r="F12" s="161">
        <v>0.55310000000000004</v>
      </c>
      <c r="G12" s="29">
        <f t="shared" ref="G12:G16" si="0">B12/B11 -1</f>
        <v>0.55312162454093783</v>
      </c>
    </row>
    <row r="13" spans="1:16" x14ac:dyDescent="0.2">
      <c r="A13" s="162">
        <v>39753</v>
      </c>
      <c r="B13" s="160">
        <v>346.34</v>
      </c>
      <c r="C13" s="160">
        <v>346.34</v>
      </c>
      <c r="D13" s="160">
        <v>346.34</v>
      </c>
      <c r="E13" s="160">
        <v>346.34</v>
      </c>
      <c r="F13" s="161">
        <v>-3.6499999999999998E-2</v>
      </c>
      <c r="G13" s="29">
        <f t="shared" si="0"/>
        <v>-3.6525996606114663E-2</v>
      </c>
    </row>
    <row r="14" spans="1:16" x14ac:dyDescent="0.2">
      <c r="A14" s="162">
        <v>39783</v>
      </c>
      <c r="B14" s="160">
        <v>326.26</v>
      </c>
      <c r="C14" s="160">
        <v>326.26</v>
      </c>
      <c r="D14" s="160">
        <v>326.26</v>
      </c>
      <c r="E14" s="160">
        <v>326.26</v>
      </c>
      <c r="F14" s="161">
        <v>-5.8000000000000003E-2</v>
      </c>
      <c r="G14" s="29">
        <f t="shared" si="0"/>
        <v>-5.7977709764970742E-2</v>
      </c>
    </row>
    <row r="15" spans="1:16" x14ac:dyDescent="0.2">
      <c r="A15" s="162">
        <v>39814</v>
      </c>
      <c r="B15" s="160">
        <v>373.26</v>
      </c>
      <c r="C15" s="160">
        <v>373.26</v>
      </c>
      <c r="D15" s="160">
        <v>373.26</v>
      </c>
      <c r="E15" s="160">
        <v>373.26</v>
      </c>
      <c r="F15" s="161">
        <v>0.14410000000000001</v>
      </c>
      <c r="G15" s="29">
        <f t="shared" si="0"/>
        <v>0.14405688714522169</v>
      </c>
    </row>
    <row r="16" spans="1:16" x14ac:dyDescent="0.2">
      <c r="A16" s="162">
        <v>39845</v>
      </c>
      <c r="B16" s="160">
        <v>423.76</v>
      </c>
      <c r="C16" s="160">
        <v>423.76</v>
      </c>
      <c r="D16" s="160">
        <v>423.76</v>
      </c>
      <c r="E16" s="160">
        <v>423.76</v>
      </c>
      <c r="F16" s="161">
        <v>0.1353</v>
      </c>
      <c r="G16" s="29">
        <f t="shared" si="0"/>
        <v>0.13529443283502118</v>
      </c>
    </row>
    <row r="17" spans="1:7" x14ac:dyDescent="0.2">
      <c r="A17" s="162">
        <v>39873</v>
      </c>
      <c r="B17" s="160">
        <v>354.49</v>
      </c>
      <c r="C17" s="160">
        <v>354.49</v>
      </c>
      <c r="D17" s="160">
        <v>354.49</v>
      </c>
      <c r="E17" s="160">
        <v>354.49</v>
      </c>
      <c r="F17" s="161">
        <v>-0.16350000000000001</v>
      </c>
      <c r="G17" s="29">
        <f>B17/B16 -1</f>
        <v>-0.16346516896356422</v>
      </c>
    </row>
    <row r="18" spans="1:7" x14ac:dyDescent="0.2">
      <c r="A18" s="162">
        <v>39904</v>
      </c>
      <c r="B18" s="160">
        <v>304.39</v>
      </c>
      <c r="C18" s="160">
        <v>304.39</v>
      </c>
      <c r="D18" s="160">
        <v>304.39</v>
      </c>
      <c r="E18" s="160">
        <v>304.39</v>
      </c>
      <c r="F18" s="161">
        <v>-0.14130000000000001</v>
      </c>
      <c r="G18" s="29">
        <f>B18/B17 -1</f>
        <v>-0.14132979773759491</v>
      </c>
    </row>
    <row r="19" spans="1:7" x14ac:dyDescent="0.2">
      <c r="A19" s="162">
        <v>39934</v>
      </c>
      <c r="B19" s="160">
        <v>222.25</v>
      </c>
      <c r="C19" s="160">
        <v>222.25</v>
      </c>
      <c r="D19" s="160">
        <v>222.25</v>
      </c>
      <c r="E19" s="160">
        <v>222.25</v>
      </c>
      <c r="F19" s="161">
        <v>-0.26989999999999997</v>
      </c>
    </row>
    <row r="20" spans="1:7" x14ac:dyDescent="0.2">
      <c r="A20" s="162">
        <v>39965</v>
      </c>
      <c r="B20" s="160">
        <v>208.38</v>
      </c>
      <c r="C20" s="160">
        <v>208.38</v>
      </c>
      <c r="D20" s="160">
        <v>208.38</v>
      </c>
      <c r="E20" s="160">
        <v>208.38</v>
      </c>
      <c r="F20" s="161">
        <v>-6.2399999999999997E-2</v>
      </c>
    </row>
    <row r="21" spans="1:7" x14ac:dyDescent="0.2">
      <c r="A21" s="162">
        <v>39995</v>
      </c>
      <c r="B21" s="160">
        <v>152.82</v>
      </c>
      <c r="C21" s="160">
        <v>152.82</v>
      </c>
      <c r="D21" s="160">
        <v>152.82</v>
      </c>
      <c r="E21" s="160">
        <v>152.82</v>
      </c>
      <c r="F21" s="161">
        <v>-0.2666</v>
      </c>
    </row>
    <row r="22" spans="1:7" x14ac:dyDescent="0.2">
      <c r="A22" s="162">
        <v>40026</v>
      </c>
      <c r="B22" s="160">
        <v>168.86</v>
      </c>
      <c r="C22" s="160">
        <v>168.86</v>
      </c>
      <c r="D22" s="160">
        <v>168.86</v>
      </c>
      <c r="E22" s="160">
        <v>168.86</v>
      </c>
      <c r="F22" s="161">
        <v>0.105</v>
      </c>
    </row>
    <row r="23" spans="1:7" x14ac:dyDescent="0.2">
      <c r="A23" s="162">
        <v>40057</v>
      </c>
      <c r="B23" s="160">
        <v>153.94999999999999</v>
      </c>
      <c r="C23" s="160">
        <v>153.94999999999999</v>
      </c>
      <c r="D23" s="160">
        <v>153.94999999999999</v>
      </c>
      <c r="E23" s="160">
        <v>153.94999999999999</v>
      </c>
      <c r="F23" s="161">
        <v>-8.8300000000000003E-2</v>
      </c>
    </row>
    <row r="24" spans="1:7" x14ac:dyDescent="0.2">
      <c r="A24" s="162">
        <v>40087</v>
      </c>
      <c r="B24" s="160">
        <v>163.44</v>
      </c>
      <c r="C24" s="160">
        <v>163.44</v>
      </c>
      <c r="D24" s="160">
        <v>163.44</v>
      </c>
      <c r="E24" s="160">
        <v>163.44</v>
      </c>
      <c r="F24" s="161">
        <v>6.1600000000000002E-2</v>
      </c>
    </row>
    <row r="25" spans="1:7" x14ac:dyDescent="0.2">
      <c r="A25" s="162">
        <v>40118</v>
      </c>
      <c r="B25" s="160">
        <v>153.44</v>
      </c>
      <c r="C25" s="160">
        <v>153.44</v>
      </c>
      <c r="D25" s="160">
        <v>153.44</v>
      </c>
      <c r="E25" s="160">
        <v>153.44</v>
      </c>
      <c r="F25" s="161">
        <v>-6.1199999999999997E-2</v>
      </c>
    </row>
    <row r="26" spans="1:7" x14ac:dyDescent="0.2">
      <c r="A26" s="162">
        <v>40148</v>
      </c>
      <c r="B26" s="160">
        <v>145</v>
      </c>
      <c r="C26" s="160">
        <v>145</v>
      </c>
      <c r="D26" s="160">
        <v>145</v>
      </c>
      <c r="E26" s="160">
        <v>145</v>
      </c>
      <c r="F26" s="161">
        <v>-5.5E-2</v>
      </c>
    </row>
    <row r="27" spans="1:7" x14ac:dyDescent="0.2">
      <c r="A27" s="162">
        <v>40179</v>
      </c>
      <c r="B27" s="160">
        <v>167.505</v>
      </c>
      <c r="C27" s="160">
        <v>167.505</v>
      </c>
      <c r="D27" s="160">
        <v>167.505</v>
      </c>
      <c r="E27" s="160">
        <v>167.505</v>
      </c>
      <c r="F27" s="161">
        <v>0.1552</v>
      </c>
    </row>
    <row r="28" spans="1:7" x14ac:dyDescent="0.2">
      <c r="A28" s="162">
        <v>40210</v>
      </c>
      <c r="B28" s="160">
        <v>152.005</v>
      </c>
      <c r="C28" s="160">
        <v>152.005</v>
      </c>
      <c r="D28" s="160">
        <v>152.005</v>
      </c>
      <c r="E28" s="160">
        <v>152.005</v>
      </c>
      <c r="F28" s="161">
        <v>-9.2499999999999999E-2</v>
      </c>
    </row>
    <row r="29" spans="1:7" x14ac:dyDescent="0.2">
      <c r="A29" s="162">
        <v>40238</v>
      </c>
      <c r="B29" s="160">
        <v>156.505</v>
      </c>
      <c r="C29" s="160">
        <v>156.505</v>
      </c>
      <c r="D29" s="160">
        <v>156.505</v>
      </c>
      <c r="E29" s="160">
        <v>156.505</v>
      </c>
      <c r="F29" s="161">
        <v>2.9600000000000001E-2</v>
      </c>
    </row>
    <row r="30" spans="1:7" x14ac:dyDescent="0.2">
      <c r="A30" s="162">
        <v>40269</v>
      </c>
      <c r="B30" s="160">
        <v>149.24799999999999</v>
      </c>
      <c r="C30" s="160">
        <v>149.24799999999999</v>
      </c>
      <c r="D30" s="160">
        <v>149.24799999999999</v>
      </c>
      <c r="E30" s="160">
        <v>149.24799999999999</v>
      </c>
      <c r="F30" s="161">
        <v>-4.6399999999999997E-2</v>
      </c>
    </row>
    <row r="31" spans="1:7" x14ac:dyDescent="0.2">
      <c r="A31" s="162">
        <v>40299</v>
      </c>
      <c r="B31" s="160">
        <v>161.43199999999999</v>
      </c>
      <c r="C31" s="160">
        <v>161.43199999999999</v>
      </c>
      <c r="D31" s="160">
        <v>161.43199999999999</v>
      </c>
      <c r="E31" s="160">
        <v>161.43199999999999</v>
      </c>
      <c r="F31" s="161">
        <v>8.1600000000000006E-2</v>
      </c>
    </row>
    <row r="32" spans="1:7" x14ac:dyDescent="0.2">
      <c r="A32" s="162">
        <v>40330</v>
      </c>
      <c r="B32" s="160">
        <v>162.94999999999999</v>
      </c>
      <c r="C32" s="160">
        <v>162.94999999999999</v>
      </c>
      <c r="D32" s="160">
        <v>162.94999999999999</v>
      </c>
      <c r="E32" s="160">
        <v>162.94999999999999</v>
      </c>
      <c r="F32" s="161">
        <v>9.4000000000000004E-3</v>
      </c>
    </row>
    <row r="33" spans="1:6" x14ac:dyDescent="0.2">
      <c r="A33" s="162">
        <v>40360</v>
      </c>
      <c r="B33" s="160">
        <v>141.08000000000001</v>
      </c>
      <c r="C33" s="160">
        <v>141.08000000000001</v>
      </c>
      <c r="D33" s="160">
        <v>141.08000000000001</v>
      </c>
      <c r="E33" s="160">
        <v>141.08000000000001</v>
      </c>
      <c r="F33" s="161">
        <v>-0.13420000000000001</v>
      </c>
    </row>
    <row r="34" spans="1:6" x14ac:dyDescent="0.2">
      <c r="A34" s="162">
        <v>40391</v>
      </c>
      <c r="B34" s="160">
        <v>156.46</v>
      </c>
      <c r="C34" s="160">
        <v>156.46</v>
      </c>
      <c r="D34" s="160">
        <v>156.46</v>
      </c>
      <c r="E34" s="160">
        <v>156.46</v>
      </c>
      <c r="F34" s="161">
        <v>0.109</v>
      </c>
    </row>
    <row r="35" spans="1:6" x14ac:dyDescent="0.2">
      <c r="A35" s="162">
        <v>40422</v>
      </c>
      <c r="B35" s="160">
        <v>144.26</v>
      </c>
      <c r="C35" s="160">
        <v>144.26</v>
      </c>
      <c r="D35" s="160">
        <v>144.26</v>
      </c>
      <c r="E35" s="160">
        <v>144.26</v>
      </c>
      <c r="F35" s="161">
        <v>-7.8E-2</v>
      </c>
    </row>
    <row r="36" spans="1:6" x14ac:dyDescent="0.2">
      <c r="A36" s="162">
        <v>40452</v>
      </c>
      <c r="B36" s="160">
        <v>130.29</v>
      </c>
      <c r="C36" s="160">
        <v>130.29</v>
      </c>
      <c r="D36" s="160">
        <v>130.29</v>
      </c>
      <c r="E36" s="160">
        <v>130.29</v>
      </c>
      <c r="F36" s="161">
        <v>-9.6799999999999997E-2</v>
      </c>
    </row>
    <row r="37" spans="1:6" x14ac:dyDescent="0.2">
      <c r="A37" s="162">
        <v>40483</v>
      </c>
      <c r="B37" s="160">
        <v>154.28</v>
      </c>
      <c r="C37" s="160">
        <v>154.28</v>
      </c>
      <c r="D37" s="160">
        <v>154.28</v>
      </c>
      <c r="E37" s="160">
        <v>154.28</v>
      </c>
      <c r="F37" s="161">
        <v>0.18410000000000001</v>
      </c>
    </row>
    <row r="38" spans="1:6" x14ac:dyDescent="0.2">
      <c r="A38" s="162">
        <v>40513</v>
      </c>
      <c r="B38" s="160">
        <v>142.86000000000001</v>
      </c>
      <c r="C38" s="160">
        <v>142.86000000000001</v>
      </c>
      <c r="D38" s="160">
        <v>142.86000000000001</v>
      </c>
      <c r="E38" s="160">
        <v>142.86000000000001</v>
      </c>
      <c r="F38" s="161">
        <v>-7.3999999999999996E-2</v>
      </c>
    </row>
    <row r="39" spans="1:6" x14ac:dyDescent="0.2">
      <c r="A39" s="162">
        <v>40544</v>
      </c>
      <c r="B39" s="160">
        <v>152.28200000000001</v>
      </c>
      <c r="C39" s="160">
        <v>152.28200000000001</v>
      </c>
      <c r="D39" s="160">
        <v>152.28200000000001</v>
      </c>
      <c r="E39" s="160">
        <v>152.28200000000001</v>
      </c>
      <c r="F39" s="161">
        <v>6.6000000000000003E-2</v>
      </c>
    </row>
    <row r="40" spans="1:6" x14ac:dyDescent="0.2">
      <c r="A40" s="162">
        <v>40575</v>
      </c>
      <c r="B40" s="160">
        <v>152.97399999999999</v>
      </c>
      <c r="C40" s="160">
        <v>152.97399999999999</v>
      </c>
      <c r="D40" s="160">
        <v>152.97399999999999</v>
      </c>
      <c r="E40" s="160">
        <v>152.97399999999999</v>
      </c>
      <c r="F40" s="161">
        <v>4.4999999999999997E-3</v>
      </c>
    </row>
    <row r="41" spans="1:6" x14ac:dyDescent="0.2">
      <c r="A41" s="162">
        <v>40603</v>
      </c>
      <c r="B41" s="160">
        <v>153.83000000000001</v>
      </c>
      <c r="C41" s="160">
        <v>153.83000000000001</v>
      </c>
      <c r="D41" s="160">
        <v>153.83000000000001</v>
      </c>
      <c r="E41" s="160">
        <v>153.83000000000001</v>
      </c>
      <c r="F41" s="161">
        <v>5.5999999999999999E-3</v>
      </c>
    </row>
    <row r="42" spans="1:6" x14ac:dyDescent="0.2">
      <c r="A42" s="162">
        <v>40634</v>
      </c>
      <c r="B42" s="160">
        <v>149.268</v>
      </c>
      <c r="C42" s="160">
        <v>149.268</v>
      </c>
      <c r="D42" s="160">
        <v>149.268</v>
      </c>
      <c r="E42" s="160">
        <v>149.268</v>
      </c>
      <c r="F42" s="161">
        <v>-2.9700000000000001E-2</v>
      </c>
    </row>
    <row r="43" spans="1:6" x14ac:dyDescent="0.2">
      <c r="A43" s="162">
        <v>40664</v>
      </c>
      <c r="B43" s="160">
        <v>150.292</v>
      </c>
      <c r="C43" s="160">
        <v>150.292</v>
      </c>
      <c r="D43" s="160">
        <v>150.292</v>
      </c>
      <c r="E43" s="160">
        <v>150.292</v>
      </c>
      <c r="F43" s="161">
        <v>6.8999999999999999E-3</v>
      </c>
    </row>
    <row r="44" spans="1:6" x14ac:dyDescent="0.2">
      <c r="A44" s="162">
        <v>40695</v>
      </c>
      <c r="B44" s="160">
        <v>153.25399999999999</v>
      </c>
      <c r="C44" s="160">
        <v>153.25399999999999</v>
      </c>
      <c r="D44" s="160">
        <v>153.25399999999999</v>
      </c>
      <c r="E44" s="160">
        <v>153.25399999999999</v>
      </c>
      <c r="F44" s="161">
        <v>1.9699999999999999E-2</v>
      </c>
    </row>
    <row r="45" spans="1:6" x14ac:dyDescent="0.2">
      <c r="A45" s="162">
        <v>40725</v>
      </c>
      <c r="B45" s="160">
        <v>149.66900000000001</v>
      </c>
      <c r="C45" s="160">
        <v>149.66900000000001</v>
      </c>
      <c r="D45" s="160">
        <v>149.66900000000001</v>
      </c>
      <c r="E45" s="160">
        <v>149.66900000000001</v>
      </c>
      <c r="F45" s="161">
        <v>-2.3400000000000001E-2</v>
      </c>
    </row>
    <row r="46" spans="1:6" x14ac:dyDescent="0.2">
      <c r="A46" s="162">
        <v>40756</v>
      </c>
      <c r="B46" s="160">
        <v>182.06399999999999</v>
      </c>
      <c r="C46" s="160">
        <v>182.06399999999999</v>
      </c>
      <c r="D46" s="160">
        <v>182.06399999999999</v>
      </c>
      <c r="E46" s="160">
        <v>182.06399999999999</v>
      </c>
      <c r="F46" s="161">
        <v>0.21640000000000001</v>
      </c>
    </row>
    <row r="47" spans="1:6" x14ac:dyDescent="0.2">
      <c r="A47" s="162">
        <v>40787</v>
      </c>
      <c r="B47" s="160">
        <v>228.01</v>
      </c>
      <c r="C47" s="160">
        <v>228.01</v>
      </c>
      <c r="D47" s="160">
        <v>228.01</v>
      </c>
      <c r="E47" s="160">
        <v>228.01</v>
      </c>
      <c r="F47" s="161">
        <v>0.25240000000000001</v>
      </c>
    </row>
    <row r="48" spans="1:6" x14ac:dyDescent="0.2">
      <c r="A48" s="162">
        <v>40817</v>
      </c>
      <c r="B48" s="160">
        <v>167.40899999999999</v>
      </c>
      <c r="C48" s="160">
        <v>167.40899999999999</v>
      </c>
      <c r="D48" s="160">
        <v>167.40899999999999</v>
      </c>
      <c r="E48" s="160">
        <v>167.40899999999999</v>
      </c>
      <c r="F48" s="161">
        <v>-0.26579999999999998</v>
      </c>
    </row>
    <row r="49" spans="1:6" x14ac:dyDescent="0.2">
      <c r="A49" s="162">
        <v>40848</v>
      </c>
      <c r="B49" s="160">
        <v>189.67099999999999</v>
      </c>
      <c r="C49" s="160">
        <v>189.67099999999999</v>
      </c>
      <c r="D49" s="160">
        <v>189.67099999999999</v>
      </c>
      <c r="E49" s="160">
        <v>189.67099999999999</v>
      </c>
      <c r="F49" s="161">
        <v>0.13300000000000001</v>
      </c>
    </row>
    <row r="50" spans="1:6" x14ac:dyDescent="0.2">
      <c r="A50" s="162">
        <v>40878</v>
      </c>
      <c r="B50" s="160">
        <v>186.75</v>
      </c>
      <c r="C50" s="160">
        <v>186.75</v>
      </c>
      <c r="D50" s="160">
        <v>186.75</v>
      </c>
      <c r="E50" s="160">
        <v>186.75</v>
      </c>
      <c r="F50" s="161">
        <v>-1.54E-2</v>
      </c>
    </row>
    <row r="51" spans="1:6" x14ac:dyDescent="0.2">
      <c r="A51" s="162">
        <v>40909</v>
      </c>
      <c r="B51" s="160">
        <v>174.97</v>
      </c>
      <c r="C51" s="160">
        <v>174.97</v>
      </c>
      <c r="D51" s="160">
        <v>174.97</v>
      </c>
      <c r="E51" s="160">
        <v>174.97</v>
      </c>
      <c r="F51" s="161">
        <v>-6.3100000000000003E-2</v>
      </c>
    </row>
    <row r="52" spans="1:6" x14ac:dyDescent="0.2">
      <c r="A52" s="162">
        <v>40940</v>
      </c>
      <c r="B52" s="160">
        <v>170.9</v>
      </c>
      <c r="C52" s="160">
        <v>170.9</v>
      </c>
      <c r="D52" s="160">
        <v>170.9</v>
      </c>
      <c r="E52" s="160">
        <v>170.9</v>
      </c>
      <c r="F52" s="161">
        <v>-2.3300000000000001E-2</v>
      </c>
    </row>
    <row r="53" spans="1:6" x14ac:dyDescent="0.2">
      <c r="A53" s="162">
        <v>40969</v>
      </c>
      <c r="B53" s="160">
        <v>155.74</v>
      </c>
      <c r="C53" s="160">
        <v>155.74</v>
      </c>
      <c r="D53" s="160">
        <v>155.74</v>
      </c>
      <c r="E53" s="160">
        <v>155.74</v>
      </c>
      <c r="F53" s="161">
        <v>-8.8700000000000001E-2</v>
      </c>
    </row>
    <row r="54" spans="1:6" x14ac:dyDescent="0.2">
      <c r="A54" s="162">
        <v>41000</v>
      </c>
      <c r="B54" s="160">
        <v>159.19999999999999</v>
      </c>
      <c r="C54" s="160">
        <v>159.19999999999999</v>
      </c>
      <c r="D54" s="160">
        <v>159.19999999999999</v>
      </c>
      <c r="E54" s="160">
        <v>159.19999999999999</v>
      </c>
      <c r="F54" s="161">
        <v>2.2200000000000001E-2</v>
      </c>
    </row>
    <row r="55" spans="1:6" x14ac:dyDescent="0.2">
      <c r="A55" s="162">
        <v>41030</v>
      </c>
      <c r="B55" s="160">
        <v>209.34</v>
      </c>
      <c r="C55" s="160">
        <v>209.34</v>
      </c>
      <c r="D55" s="160">
        <v>209.34</v>
      </c>
      <c r="E55" s="160">
        <v>209.34</v>
      </c>
      <c r="F55" s="161">
        <v>0.31490000000000001</v>
      </c>
    </row>
    <row r="56" spans="1:6" x14ac:dyDescent="0.2">
      <c r="A56" s="162">
        <v>41061</v>
      </c>
      <c r="B56" s="160">
        <v>194.32</v>
      </c>
      <c r="C56" s="160">
        <v>194.32</v>
      </c>
      <c r="D56" s="160">
        <v>194.32</v>
      </c>
      <c r="E56" s="160">
        <v>194.32</v>
      </c>
      <c r="F56" s="161">
        <v>-7.17E-2</v>
      </c>
    </row>
    <row r="57" spans="1:6" x14ac:dyDescent="0.2">
      <c r="A57" s="162">
        <v>41091</v>
      </c>
      <c r="B57" s="160">
        <v>173.38</v>
      </c>
      <c r="C57" s="160">
        <v>173.38</v>
      </c>
      <c r="D57" s="160">
        <v>173.38</v>
      </c>
      <c r="E57" s="160">
        <v>173.38</v>
      </c>
      <c r="F57" s="161">
        <v>-0.10780000000000001</v>
      </c>
    </row>
    <row r="58" spans="1:6" x14ac:dyDescent="0.2">
      <c r="A58" s="162">
        <v>41122</v>
      </c>
      <c r="B58" s="160">
        <v>170.93</v>
      </c>
      <c r="C58" s="160">
        <v>170.93</v>
      </c>
      <c r="D58" s="160">
        <v>170.93</v>
      </c>
      <c r="E58" s="160">
        <v>170.93</v>
      </c>
      <c r="F58" s="161">
        <v>-1.41E-2</v>
      </c>
    </row>
    <row r="59" spans="1:6" x14ac:dyDescent="0.2">
      <c r="A59" s="162">
        <v>41153</v>
      </c>
      <c r="B59" s="160">
        <v>150.166</v>
      </c>
      <c r="C59" s="160">
        <v>150.166</v>
      </c>
      <c r="D59" s="160">
        <v>150.166</v>
      </c>
      <c r="E59" s="160">
        <v>150.166</v>
      </c>
      <c r="F59" s="161">
        <v>-0.1215</v>
      </c>
    </row>
    <row r="60" spans="1:6" x14ac:dyDescent="0.2">
      <c r="A60" s="162">
        <v>41183</v>
      </c>
      <c r="B60" s="160">
        <v>151.80099999999999</v>
      </c>
      <c r="C60" s="160">
        <v>151.80099999999999</v>
      </c>
      <c r="D60" s="160">
        <v>151.80099999999999</v>
      </c>
      <c r="E60" s="160">
        <v>151.80099999999999</v>
      </c>
      <c r="F60" s="161">
        <v>1.09E-2</v>
      </c>
    </row>
    <row r="61" spans="1:6" x14ac:dyDescent="0.2">
      <c r="A61" s="162">
        <v>41214</v>
      </c>
      <c r="B61" s="160">
        <v>147.47999999999999</v>
      </c>
      <c r="C61" s="160">
        <v>147.47999999999999</v>
      </c>
      <c r="D61" s="160">
        <v>147.47999999999999</v>
      </c>
      <c r="E61" s="160">
        <v>147.47999999999999</v>
      </c>
      <c r="F61" s="161">
        <v>-2.8500000000000001E-2</v>
      </c>
    </row>
    <row r="62" spans="1:6" x14ac:dyDescent="0.2">
      <c r="A62" s="162">
        <v>41244</v>
      </c>
      <c r="B62" s="160">
        <v>146.78800000000001</v>
      </c>
      <c r="C62" s="160">
        <v>146.78800000000001</v>
      </c>
      <c r="D62" s="160">
        <v>146.78800000000001</v>
      </c>
      <c r="E62" s="160">
        <v>146.78800000000001</v>
      </c>
      <c r="F62" s="161">
        <v>-4.7000000000000002E-3</v>
      </c>
    </row>
    <row r="63" spans="1:6" x14ac:dyDescent="0.2">
      <c r="A63" s="162">
        <v>41275</v>
      </c>
      <c r="B63" s="160">
        <v>154.75700000000001</v>
      </c>
      <c r="C63" s="160">
        <v>154.75700000000001</v>
      </c>
      <c r="D63" s="160">
        <v>154.75700000000001</v>
      </c>
      <c r="E63" s="160">
        <v>154.75700000000001</v>
      </c>
      <c r="F63" s="161">
        <v>5.4300000000000001E-2</v>
      </c>
    </row>
    <row r="64" spans="1:6" x14ac:dyDescent="0.2">
      <c r="A64" s="162">
        <v>41306</v>
      </c>
      <c r="B64" s="160">
        <v>169.697</v>
      </c>
      <c r="C64" s="160">
        <v>169.697</v>
      </c>
      <c r="D64" s="160">
        <v>169.697</v>
      </c>
      <c r="E64" s="160">
        <v>169.697</v>
      </c>
      <c r="F64" s="161">
        <v>9.6500000000000002E-2</v>
      </c>
    </row>
    <row r="65" spans="1:6" x14ac:dyDescent="0.2">
      <c r="A65" s="162">
        <v>41334</v>
      </c>
      <c r="B65" s="160">
        <v>175.078</v>
      </c>
      <c r="C65" s="160">
        <v>167.88399999999999</v>
      </c>
      <c r="D65" s="160">
        <v>179.32599999999999</v>
      </c>
      <c r="E65" s="160">
        <v>166.827</v>
      </c>
      <c r="F65" s="161">
        <v>3.1699999999999999E-2</v>
      </c>
    </row>
    <row r="66" spans="1:6" x14ac:dyDescent="0.2">
      <c r="A66" s="162">
        <v>41365</v>
      </c>
      <c r="B66" s="160">
        <v>150.761</v>
      </c>
      <c r="C66" s="160">
        <v>178.179</v>
      </c>
      <c r="D66" s="160">
        <v>180.55099999999999</v>
      </c>
      <c r="E66" s="160">
        <v>150.761</v>
      </c>
      <c r="F66" s="161">
        <v>-0.1389</v>
      </c>
    </row>
    <row r="67" spans="1:6" x14ac:dyDescent="0.2">
      <c r="A67" s="162">
        <v>41395</v>
      </c>
      <c r="B67" s="160">
        <v>192.251</v>
      </c>
      <c r="C67" s="160">
        <v>150.761</v>
      </c>
      <c r="D67" s="160">
        <v>192.251</v>
      </c>
      <c r="E67" s="160">
        <v>147.00800000000001</v>
      </c>
      <c r="F67" s="161">
        <v>0.2752</v>
      </c>
    </row>
    <row r="68" spans="1:6" x14ac:dyDescent="0.2">
      <c r="A68" s="162">
        <v>41426</v>
      </c>
      <c r="B68" s="160">
        <v>228.79</v>
      </c>
      <c r="C68" s="160">
        <v>192.57300000000001</v>
      </c>
      <c r="D68" s="160">
        <v>256.61799999999999</v>
      </c>
      <c r="E68" s="160">
        <v>190.86</v>
      </c>
      <c r="F68" s="161">
        <v>0.19009999999999999</v>
      </c>
    </row>
    <row r="69" spans="1:6" x14ac:dyDescent="0.2">
      <c r="A69" s="162">
        <v>41456</v>
      </c>
      <c r="B69" s="160">
        <v>231.07</v>
      </c>
      <c r="C69" s="160">
        <v>230.25299999999999</v>
      </c>
      <c r="D69" s="160">
        <v>253.596</v>
      </c>
      <c r="E69" s="160">
        <v>200.59</v>
      </c>
      <c r="F69" s="161">
        <v>0.01</v>
      </c>
    </row>
    <row r="70" spans="1:6" x14ac:dyDescent="0.2">
      <c r="A70" s="162">
        <v>41487</v>
      </c>
      <c r="B70" s="160">
        <v>250.35</v>
      </c>
      <c r="C70" s="160">
        <v>229.86</v>
      </c>
      <c r="D70" s="160">
        <v>260.22300000000001</v>
      </c>
      <c r="E70" s="160">
        <v>218.785</v>
      </c>
      <c r="F70" s="161">
        <v>8.3400000000000002E-2</v>
      </c>
    </row>
    <row r="71" spans="1:6" x14ac:dyDescent="0.2">
      <c r="A71" s="162">
        <v>41518</v>
      </c>
      <c r="B71" s="160">
        <v>219.15</v>
      </c>
      <c r="C71" s="160">
        <v>248.78</v>
      </c>
      <c r="D71" s="160">
        <v>251.678</v>
      </c>
      <c r="E71" s="160">
        <v>195.636</v>
      </c>
      <c r="F71" s="161">
        <v>-0.1246</v>
      </c>
    </row>
    <row r="72" spans="1:6" x14ac:dyDescent="0.2">
      <c r="A72" s="162">
        <v>41548</v>
      </c>
      <c r="B72" s="160">
        <v>216.67</v>
      </c>
      <c r="C72" s="160">
        <v>219.15</v>
      </c>
      <c r="D72" s="160">
        <v>219.15</v>
      </c>
      <c r="E72" s="160">
        <v>187.62</v>
      </c>
      <c r="F72" s="161">
        <v>-1.1299999999999999E-2</v>
      </c>
    </row>
    <row r="73" spans="1:6" x14ac:dyDescent="0.2">
      <c r="A73" s="162">
        <v>41579</v>
      </c>
      <c r="B73" s="160">
        <v>251.1</v>
      </c>
      <c r="C73" s="160">
        <v>216.67</v>
      </c>
      <c r="D73" s="160">
        <v>251.66</v>
      </c>
      <c r="E73" s="160">
        <v>216.67</v>
      </c>
      <c r="F73" s="161">
        <v>0.15890000000000001</v>
      </c>
    </row>
    <row r="74" spans="1:6" x14ac:dyDescent="0.2">
      <c r="A74" s="162">
        <v>41609</v>
      </c>
      <c r="B74" s="160">
        <v>241.89</v>
      </c>
      <c r="C74" s="160">
        <v>251.1</v>
      </c>
      <c r="D74" s="160">
        <v>260.82</v>
      </c>
      <c r="E74" s="160">
        <v>227.93</v>
      </c>
      <c r="F74" s="161">
        <v>-3.6700000000000003E-2</v>
      </c>
    </row>
    <row r="75" spans="1:6" x14ac:dyDescent="0.2">
      <c r="A75" s="162">
        <v>41640</v>
      </c>
      <c r="B75" s="160">
        <v>261.13</v>
      </c>
      <c r="C75" s="160">
        <v>241.89</v>
      </c>
      <c r="D75" s="160">
        <v>264.66000000000003</v>
      </c>
      <c r="E75" s="160">
        <v>235.94</v>
      </c>
      <c r="F75" s="161">
        <v>7.9500000000000001E-2</v>
      </c>
    </row>
    <row r="76" spans="1:6" x14ac:dyDescent="0.2">
      <c r="A76" s="162">
        <v>41671</v>
      </c>
      <c r="B76" s="160">
        <v>226.35</v>
      </c>
      <c r="C76" s="160">
        <v>261.13</v>
      </c>
      <c r="D76" s="160">
        <v>263.19</v>
      </c>
      <c r="E76" s="160">
        <v>224.21</v>
      </c>
      <c r="F76" s="161">
        <v>-0.13320000000000001</v>
      </c>
    </row>
    <row r="77" spans="1:6" x14ac:dyDescent="0.2">
      <c r="A77" s="162">
        <v>41699</v>
      </c>
      <c r="B77" s="160">
        <v>222.82</v>
      </c>
      <c r="C77" s="160">
        <v>226.31</v>
      </c>
      <c r="D77" s="160">
        <v>235.97</v>
      </c>
      <c r="E77" s="160">
        <v>214.98</v>
      </c>
      <c r="F77" s="161">
        <v>-1.5599999999999999E-2</v>
      </c>
    </row>
    <row r="78" spans="1:6" x14ac:dyDescent="0.2">
      <c r="A78" s="162">
        <v>41730</v>
      </c>
      <c r="B78" s="160">
        <v>198.79</v>
      </c>
      <c r="C78" s="160">
        <v>222.82</v>
      </c>
      <c r="D78" s="160">
        <v>225.19</v>
      </c>
      <c r="E78" s="160">
        <v>198.79</v>
      </c>
      <c r="F78" s="161">
        <v>-0.10780000000000001</v>
      </c>
    </row>
    <row r="79" spans="1:6" x14ac:dyDescent="0.2">
      <c r="A79" s="162">
        <v>41760</v>
      </c>
      <c r="B79" s="160">
        <v>197.36</v>
      </c>
      <c r="C79" s="160">
        <v>197.57</v>
      </c>
      <c r="D79" s="160">
        <v>211.12</v>
      </c>
      <c r="E79" s="160">
        <v>195.75</v>
      </c>
      <c r="F79" s="161">
        <v>-7.1999999999999998E-3</v>
      </c>
    </row>
    <row r="80" spans="1:6" x14ac:dyDescent="0.2">
      <c r="A80" s="162">
        <v>41791</v>
      </c>
      <c r="B80" s="160">
        <v>196.48</v>
      </c>
      <c r="C80" s="160">
        <v>198.8</v>
      </c>
      <c r="D80" s="160">
        <v>200.94</v>
      </c>
      <c r="E80" s="160">
        <v>186.72</v>
      </c>
      <c r="F80" s="161">
        <v>-4.4999999999999997E-3</v>
      </c>
    </row>
    <row r="81" spans="1:6" x14ac:dyDescent="0.2">
      <c r="A81" s="162">
        <v>41821</v>
      </c>
      <c r="B81" s="160">
        <v>214.91</v>
      </c>
      <c r="C81" s="160">
        <v>196.45</v>
      </c>
      <c r="D81" s="160">
        <v>214.91</v>
      </c>
      <c r="E81" s="160">
        <v>185.78</v>
      </c>
      <c r="F81" s="161">
        <v>9.3799999999999994E-2</v>
      </c>
    </row>
    <row r="82" spans="1:6" x14ac:dyDescent="0.2">
      <c r="A82" s="162">
        <v>41852</v>
      </c>
      <c r="B82" s="160">
        <v>183.86</v>
      </c>
      <c r="C82" s="160">
        <v>214.91</v>
      </c>
      <c r="D82" s="160">
        <v>222.24</v>
      </c>
      <c r="E82" s="160">
        <v>183.86</v>
      </c>
      <c r="F82" s="161">
        <v>-0.14449999999999999</v>
      </c>
    </row>
    <row r="83" spans="1:6" x14ac:dyDescent="0.2">
      <c r="A83" s="162">
        <v>41883</v>
      </c>
      <c r="B83" s="160">
        <v>235.02</v>
      </c>
      <c r="C83" s="160">
        <v>183.85</v>
      </c>
      <c r="D83" s="160">
        <v>235.27</v>
      </c>
      <c r="E83" s="160">
        <v>181.91</v>
      </c>
      <c r="F83" s="161">
        <v>0.27829999999999999</v>
      </c>
    </row>
    <row r="84" spans="1:6" x14ac:dyDescent="0.2">
      <c r="A84" s="162">
        <v>41913</v>
      </c>
      <c r="B84" s="160">
        <v>213.68</v>
      </c>
      <c r="C84" s="160">
        <v>235.99</v>
      </c>
      <c r="D84" s="160">
        <v>235.99</v>
      </c>
      <c r="E84" s="160">
        <v>208.16</v>
      </c>
      <c r="F84" s="161">
        <v>-9.0800000000000006E-2</v>
      </c>
    </row>
    <row r="85" spans="1:6" x14ac:dyDescent="0.2">
      <c r="A85" s="162">
        <v>41944</v>
      </c>
      <c r="B85" s="160">
        <v>216.45</v>
      </c>
      <c r="C85" s="160">
        <v>213.76</v>
      </c>
      <c r="D85" s="160">
        <v>250.23</v>
      </c>
      <c r="E85" s="160">
        <v>213.76</v>
      </c>
      <c r="F85" s="161">
        <v>1.2999999999999999E-2</v>
      </c>
    </row>
    <row r="86" spans="1:6" x14ac:dyDescent="0.2">
      <c r="A86" s="162">
        <v>41974</v>
      </c>
      <c r="B86" s="160">
        <v>256.18</v>
      </c>
      <c r="C86" s="160">
        <v>216.34</v>
      </c>
      <c r="D86" s="160">
        <v>299.27</v>
      </c>
      <c r="E86" s="160">
        <v>216.34</v>
      </c>
      <c r="F86" s="161">
        <v>0.18360000000000001</v>
      </c>
    </row>
    <row r="87" spans="1:6" x14ac:dyDescent="0.2">
      <c r="A87" s="162">
        <v>42005</v>
      </c>
      <c r="B87" s="160">
        <v>263.02999999999997</v>
      </c>
      <c r="C87" s="160">
        <v>256.17</v>
      </c>
      <c r="D87" s="160">
        <v>277.97000000000003</v>
      </c>
      <c r="E87" s="160">
        <v>244.15</v>
      </c>
      <c r="F87" s="161">
        <v>2.6700000000000002E-2</v>
      </c>
    </row>
    <row r="88" spans="1:6" x14ac:dyDescent="0.2">
      <c r="A88" s="162">
        <v>42036</v>
      </c>
      <c r="B88" s="160">
        <v>286.98</v>
      </c>
      <c r="C88" s="160">
        <v>277.16000000000003</v>
      </c>
      <c r="D88" s="160">
        <v>304.98</v>
      </c>
      <c r="E88" s="160">
        <v>270.74</v>
      </c>
      <c r="F88" s="161">
        <v>9.11E-2</v>
      </c>
    </row>
    <row r="89" spans="1:6" x14ac:dyDescent="0.2">
      <c r="A89" s="162">
        <v>42064</v>
      </c>
      <c r="B89" s="160">
        <v>322.14999999999998</v>
      </c>
      <c r="C89" s="160">
        <v>285.45999999999998</v>
      </c>
      <c r="D89" s="160">
        <v>354.35</v>
      </c>
      <c r="E89" s="160">
        <v>283.91000000000003</v>
      </c>
      <c r="F89" s="161">
        <v>0.1226</v>
      </c>
    </row>
    <row r="90" spans="1:6" x14ac:dyDescent="0.2">
      <c r="A90" s="162">
        <v>42095</v>
      </c>
      <c r="B90" s="160">
        <v>285.54000000000002</v>
      </c>
      <c r="C90" s="160">
        <v>321.52</v>
      </c>
      <c r="D90" s="160">
        <v>321.52</v>
      </c>
      <c r="E90" s="160">
        <v>268.52</v>
      </c>
      <c r="F90" s="161">
        <v>-0.11360000000000001</v>
      </c>
    </row>
    <row r="91" spans="1:6" x14ac:dyDescent="0.2">
      <c r="A91" s="162">
        <v>42125</v>
      </c>
      <c r="B91" s="160">
        <v>287.42</v>
      </c>
      <c r="C91" s="160">
        <v>285.77</v>
      </c>
      <c r="D91" s="160">
        <v>292.45</v>
      </c>
      <c r="E91" s="160">
        <v>273</v>
      </c>
      <c r="F91" s="161">
        <v>6.6E-3</v>
      </c>
    </row>
    <row r="92" spans="1:6" x14ac:dyDescent="0.2">
      <c r="A92" s="162">
        <v>42156</v>
      </c>
      <c r="B92" s="160">
        <v>320.06</v>
      </c>
      <c r="C92" s="160">
        <v>283.83999999999997</v>
      </c>
      <c r="D92" s="160">
        <v>328</v>
      </c>
      <c r="E92" s="160">
        <v>283.83999999999997</v>
      </c>
      <c r="F92" s="161">
        <v>0.11360000000000001</v>
      </c>
    </row>
    <row r="93" spans="1:6" x14ac:dyDescent="0.2">
      <c r="A93" s="162">
        <v>42186</v>
      </c>
      <c r="B93" s="160">
        <v>345.62</v>
      </c>
      <c r="C93" s="160">
        <v>320.02</v>
      </c>
      <c r="D93" s="160">
        <v>350.59</v>
      </c>
      <c r="E93" s="160">
        <v>307.13</v>
      </c>
      <c r="F93" s="161">
        <v>7.9899999999999999E-2</v>
      </c>
    </row>
    <row r="94" spans="1:6" x14ac:dyDescent="0.2">
      <c r="A94" s="162">
        <v>42217</v>
      </c>
      <c r="B94" s="160">
        <v>397.94</v>
      </c>
      <c r="C94" s="160">
        <v>339.72</v>
      </c>
      <c r="D94" s="160">
        <v>405.97</v>
      </c>
      <c r="E94" s="160">
        <v>339.72</v>
      </c>
      <c r="F94" s="161">
        <v>0.15140000000000001</v>
      </c>
    </row>
    <row r="95" spans="1:6" x14ac:dyDescent="0.2">
      <c r="A95" s="162">
        <v>42248</v>
      </c>
      <c r="B95" s="160">
        <v>499.36</v>
      </c>
      <c r="C95" s="160">
        <v>398.29</v>
      </c>
      <c r="D95" s="160">
        <v>559</v>
      </c>
      <c r="E95" s="160">
        <v>398.29</v>
      </c>
      <c r="F95" s="161">
        <v>0.25490000000000002</v>
      </c>
    </row>
    <row r="96" spans="1:6" x14ac:dyDescent="0.2">
      <c r="A96" s="162">
        <v>42278</v>
      </c>
      <c r="B96" s="160">
        <v>468.82</v>
      </c>
      <c r="C96" s="160">
        <v>545.66</v>
      </c>
      <c r="D96" s="160">
        <v>545.70000000000005</v>
      </c>
      <c r="E96" s="160">
        <v>436.33</v>
      </c>
      <c r="F96" s="161">
        <v>-6.1199999999999997E-2</v>
      </c>
    </row>
    <row r="97" spans="1:6" x14ac:dyDescent="0.2">
      <c r="A97" s="162">
        <v>42309</v>
      </c>
      <c r="B97" s="160">
        <v>484.22</v>
      </c>
      <c r="C97" s="160">
        <v>468.82</v>
      </c>
      <c r="D97" s="160">
        <v>484.22</v>
      </c>
      <c r="E97" s="160">
        <v>427.17</v>
      </c>
      <c r="F97" s="161">
        <v>3.2800000000000003E-2</v>
      </c>
    </row>
    <row r="98" spans="1:6" x14ac:dyDescent="0.2">
      <c r="A98" s="162">
        <v>42339</v>
      </c>
      <c r="B98" s="160">
        <v>542.5</v>
      </c>
      <c r="C98" s="160">
        <v>484.19</v>
      </c>
      <c r="D98" s="160">
        <v>558.83000000000004</v>
      </c>
      <c r="E98" s="160">
        <v>481.93</v>
      </c>
      <c r="F98" s="161">
        <v>0.12039999999999999</v>
      </c>
    </row>
    <row r="99" spans="1:6" x14ac:dyDescent="0.2">
      <c r="A99" s="162">
        <v>42370</v>
      </c>
      <c r="B99" s="160">
        <v>523.47</v>
      </c>
      <c r="C99" s="160">
        <v>542.5</v>
      </c>
      <c r="D99" s="160">
        <v>547.55999999999995</v>
      </c>
      <c r="E99" s="160">
        <v>515.97</v>
      </c>
      <c r="F99" s="161">
        <v>-3.5099999999999999E-2</v>
      </c>
    </row>
    <row r="100" spans="1:6" x14ac:dyDescent="0.2">
      <c r="A100" s="162">
        <v>42401</v>
      </c>
      <c r="B100" s="160">
        <v>514.67999999999995</v>
      </c>
      <c r="C100" s="160">
        <v>523.46</v>
      </c>
      <c r="D100" s="160">
        <v>562.52</v>
      </c>
      <c r="E100" s="160">
        <v>503.2</v>
      </c>
      <c r="F100" s="161">
        <v>-1.6799999999999999E-2</v>
      </c>
    </row>
    <row r="101" spans="1:6" x14ac:dyDescent="0.2">
      <c r="A101" s="162">
        <v>42430</v>
      </c>
      <c r="B101" s="160">
        <v>424.52</v>
      </c>
      <c r="C101" s="160">
        <v>514.67999999999995</v>
      </c>
      <c r="D101" s="160">
        <v>514.67999999999995</v>
      </c>
      <c r="E101" s="160">
        <v>412.18</v>
      </c>
      <c r="F101" s="161">
        <v>-0.17519999999999999</v>
      </c>
    </row>
    <row r="102" spans="1:6" x14ac:dyDescent="0.2">
      <c r="A102" s="162">
        <v>42461</v>
      </c>
      <c r="B102" s="160">
        <v>396.08</v>
      </c>
      <c r="C102" s="160">
        <v>424.52</v>
      </c>
      <c r="D102" s="160">
        <v>456.63</v>
      </c>
      <c r="E102" s="160">
        <v>391.24</v>
      </c>
      <c r="F102" s="161">
        <v>-6.7000000000000004E-2</v>
      </c>
    </row>
    <row r="103" spans="1:6" x14ac:dyDescent="0.2">
      <c r="A103" s="162">
        <v>42491</v>
      </c>
      <c r="B103" s="160">
        <v>423.67</v>
      </c>
      <c r="C103" s="160">
        <v>396.08</v>
      </c>
      <c r="D103" s="160">
        <v>423.67</v>
      </c>
      <c r="E103" s="160">
        <v>381.74</v>
      </c>
      <c r="F103" s="161">
        <v>6.9699999999999998E-2</v>
      </c>
    </row>
    <row r="104" spans="1:6" x14ac:dyDescent="0.2">
      <c r="A104" s="162">
        <v>42522</v>
      </c>
      <c r="B104" s="160">
        <v>378.24</v>
      </c>
      <c r="C104" s="160">
        <v>423.67</v>
      </c>
      <c r="D104" s="160">
        <v>423.67</v>
      </c>
      <c r="E104" s="160">
        <v>378.24</v>
      </c>
      <c r="F104" s="161">
        <v>-0.1072</v>
      </c>
    </row>
    <row r="105" spans="1:6" x14ac:dyDescent="0.2">
      <c r="A105" s="162">
        <v>42552</v>
      </c>
      <c r="B105" s="160">
        <v>358.24</v>
      </c>
      <c r="C105" s="160">
        <v>391.92</v>
      </c>
      <c r="D105" s="160">
        <v>391.92</v>
      </c>
      <c r="E105" s="160">
        <v>348.53</v>
      </c>
      <c r="F105" s="161">
        <v>-5.2900000000000003E-2</v>
      </c>
    </row>
    <row r="106" spans="1:6" x14ac:dyDescent="0.2">
      <c r="A106" s="162">
        <v>42583</v>
      </c>
      <c r="B106" s="160">
        <v>330.16</v>
      </c>
      <c r="C106" s="160">
        <v>352.44</v>
      </c>
      <c r="D106" s="160">
        <v>362.54</v>
      </c>
      <c r="E106" s="160">
        <v>316.69</v>
      </c>
      <c r="F106" s="161">
        <v>-7.8399999999999997E-2</v>
      </c>
    </row>
    <row r="107" spans="1:6" x14ac:dyDescent="0.2">
      <c r="A107" s="162">
        <v>42614</v>
      </c>
      <c r="B107" s="160">
        <v>333.81</v>
      </c>
      <c r="C107" s="160">
        <v>328.94</v>
      </c>
      <c r="D107" s="160">
        <v>349.14</v>
      </c>
      <c r="E107" s="160">
        <v>315.02999999999997</v>
      </c>
      <c r="F107" s="161">
        <v>1.11E-2</v>
      </c>
    </row>
    <row r="108" spans="1:6" x14ac:dyDescent="0.2">
      <c r="A108" s="162">
        <v>42644</v>
      </c>
      <c r="B108" s="160">
        <v>334.38</v>
      </c>
      <c r="C108" s="160">
        <v>333.81</v>
      </c>
      <c r="D108" s="160">
        <v>339.54</v>
      </c>
      <c r="E108" s="160">
        <v>322.29000000000002</v>
      </c>
      <c r="F108" s="161">
        <v>1.6999999999999999E-3</v>
      </c>
    </row>
    <row r="109" spans="1:6" x14ac:dyDescent="0.2">
      <c r="A109" s="162">
        <v>42675</v>
      </c>
      <c r="B109" s="160">
        <v>362.67</v>
      </c>
      <c r="C109" s="160">
        <v>334.08</v>
      </c>
      <c r="D109" s="160">
        <v>385.61</v>
      </c>
      <c r="E109" s="160">
        <v>324.5</v>
      </c>
      <c r="F109" s="161">
        <v>8.4599999999999995E-2</v>
      </c>
    </row>
    <row r="110" spans="1:6" x14ac:dyDescent="0.2">
      <c r="A110" s="162">
        <v>42705</v>
      </c>
      <c r="B110" s="160">
        <v>347.95</v>
      </c>
      <c r="C110" s="160">
        <v>362.19</v>
      </c>
      <c r="D110" s="160">
        <v>381.41</v>
      </c>
      <c r="E110" s="160">
        <v>346.55</v>
      </c>
      <c r="F110" s="161">
        <v>-4.0599999999999997E-2</v>
      </c>
    </row>
    <row r="111" spans="1:6" x14ac:dyDescent="0.2">
      <c r="A111" s="162">
        <v>42736</v>
      </c>
      <c r="B111" s="160">
        <v>333.24</v>
      </c>
      <c r="C111" s="160">
        <v>348</v>
      </c>
      <c r="D111" s="160">
        <v>348</v>
      </c>
      <c r="E111" s="160">
        <v>321.79000000000002</v>
      </c>
      <c r="F111" s="161">
        <v>-4.2299999999999997E-2</v>
      </c>
    </row>
    <row r="112" spans="1:6" x14ac:dyDescent="0.2">
      <c r="A112" s="162">
        <v>42767</v>
      </c>
      <c r="B112" s="160">
        <v>303.10000000000002</v>
      </c>
      <c r="C112" s="160">
        <v>330.68</v>
      </c>
      <c r="D112" s="160">
        <v>330.68</v>
      </c>
      <c r="E112" s="160">
        <v>296.94</v>
      </c>
      <c r="F112" s="161">
        <v>-9.0399999999999994E-2</v>
      </c>
    </row>
    <row r="113" spans="1:6" x14ac:dyDescent="0.2">
      <c r="A113" s="162">
        <v>42795</v>
      </c>
      <c r="B113" s="160">
        <v>303.7</v>
      </c>
      <c r="C113" s="160">
        <v>302.23</v>
      </c>
      <c r="D113" s="160">
        <v>319.38</v>
      </c>
      <c r="E113" s="160">
        <v>294.77999999999997</v>
      </c>
      <c r="F113" s="161">
        <v>2E-3</v>
      </c>
    </row>
    <row r="114" spans="1:6" x14ac:dyDescent="0.2">
      <c r="A114" s="162">
        <v>42826</v>
      </c>
      <c r="B114" s="160">
        <v>298.45999999999998</v>
      </c>
      <c r="C114" s="160">
        <v>307.5</v>
      </c>
      <c r="D114" s="160">
        <v>308.86</v>
      </c>
      <c r="E114" s="160">
        <v>298.24</v>
      </c>
      <c r="F114" s="161">
        <v>-1.7299999999999999E-2</v>
      </c>
    </row>
    <row r="115" spans="1:6" x14ac:dyDescent="0.2">
      <c r="A115" s="162">
        <v>42856</v>
      </c>
      <c r="B115" s="160">
        <v>325.38</v>
      </c>
      <c r="C115" s="160">
        <v>300.08999999999997</v>
      </c>
      <c r="D115" s="160">
        <v>352.84</v>
      </c>
      <c r="E115" s="160">
        <v>281.58</v>
      </c>
      <c r="F115" s="161">
        <v>9.0200000000000002E-2</v>
      </c>
    </row>
    <row r="116" spans="1:6" x14ac:dyDescent="0.2">
      <c r="A116" s="162">
        <v>42887</v>
      </c>
      <c r="B116" s="160">
        <v>333.71899999999999</v>
      </c>
      <c r="C116" s="160">
        <v>320.77</v>
      </c>
      <c r="D116" s="160">
        <v>336.93</v>
      </c>
      <c r="E116" s="160">
        <v>317.49</v>
      </c>
      <c r="F116" s="161">
        <v>2.5600000000000001E-2</v>
      </c>
    </row>
    <row r="117" spans="1:6" x14ac:dyDescent="0.2">
      <c r="A117" s="162">
        <v>42917</v>
      </c>
      <c r="B117" s="160">
        <v>308.76</v>
      </c>
      <c r="C117" s="160">
        <v>333.71</v>
      </c>
      <c r="D117" s="160">
        <v>338.97</v>
      </c>
      <c r="E117" s="160">
        <v>308.04000000000002</v>
      </c>
      <c r="F117" s="161">
        <v>-7.4800000000000005E-2</v>
      </c>
    </row>
    <row r="118" spans="1:6" x14ac:dyDescent="0.2">
      <c r="A118" s="162">
        <v>42948</v>
      </c>
      <c r="B118" s="160">
        <v>301.20999999999998</v>
      </c>
      <c r="C118" s="160">
        <v>309.57</v>
      </c>
      <c r="D118" s="160">
        <v>312.70999999999998</v>
      </c>
      <c r="E118" s="160">
        <v>294.70999999999998</v>
      </c>
      <c r="F118" s="161">
        <v>-2.4500000000000001E-2</v>
      </c>
    </row>
    <row r="119" spans="1:6" x14ac:dyDescent="0.2">
      <c r="A119" s="162">
        <v>42979</v>
      </c>
      <c r="B119" s="160">
        <v>290.23</v>
      </c>
      <c r="C119" s="160">
        <v>300.87</v>
      </c>
      <c r="D119" s="160">
        <v>302.85000000000002</v>
      </c>
      <c r="E119" s="160">
        <v>286.33999999999997</v>
      </c>
      <c r="F119" s="161">
        <v>-3.6499999999999998E-2</v>
      </c>
    </row>
    <row r="120" spans="1:6" x14ac:dyDescent="0.2">
      <c r="A120" s="162">
        <v>43009</v>
      </c>
      <c r="B120" s="160">
        <v>265.04000000000002</v>
      </c>
      <c r="C120" s="160">
        <v>290.02999999999997</v>
      </c>
      <c r="D120" s="160">
        <v>290.02999999999997</v>
      </c>
      <c r="E120" s="160">
        <v>263.76</v>
      </c>
      <c r="F120" s="161">
        <v>-8.6800000000000002E-2</v>
      </c>
    </row>
    <row r="121" spans="1:6" x14ac:dyDescent="0.2">
      <c r="A121" s="162">
        <v>43040</v>
      </c>
      <c r="B121" s="160">
        <v>262.31</v>
      </c>
      <c r="C121" s="160">
        <v>265.70999999999998</v>
      </c>
      <c r="D121" s="160">
        <v>278.74</v>
      </c>
      <c r="E121" s="160">
        <v>256.43</v>
      </c>
      <c r="F121" s="161">
        <v>-1.03E-2</v>
      </c>
    </row>
    <row r="122" spans="1:6" x14ac:dyDescent="0.2">
      <c r="A122" s="162">
        <v>43070</v>
      </c>
      <c r="B122" s="160">
        <v>250.2</v>
      </c>
      <c r="C122" s="160">
        <v>263.38</v>
      </c>
      <c r="D122" s="160">
        <v>263.38</v>
      </c>
      <c r="E122" s="160">
        <v>250.2</v>
      </c>
      <c r="F122" s="161">
        <v>-4.6199999999999998E-2</v>
      </c>
    </row>
    <row r="123" spans="1:6" x14ac:dyDescent="0.2">
      <c r="A123" s="162">
        <v>43101</v>
      </c>
      <c r="B123" s="160">
        <v>232.31</v>
      </c>
      <c r="C123" s="160">
        <v>249.27</v>
      </c>
      <c r="D123" s="160">
        <v>250.16</v>
      </c>
      <c r="E123" s="160">
        <v>226.83</v>
      </c>
      <c r="F123" s="161">
        <v>-7.1499999999999994E-2</v>
      </c>
    </row>
    <row r="124" spans="1:6" x14ac:dyDescent="0.2">
      <c r="A124" s="162">
        <v>43132</v>
      </c>
      <c r="B124" s="160">
        <v>253.16</v>
      </c>
      <c r="C124" s="160">
        <v>232.31</v>
      </c>
      <c r="D124" s="160">
        <v>268.67</v>
      </c>
      <c r="E124" s="160">
        <v>232.1</v>
      </c>
      <c r="F124" s="161">
        <v>8.9800000000000005E-2</v>
      </c>
    </row>
    <row r="125" spans="1:6" x14ac:dyDescent="0.2">
      <c r="A125" s="162">
        <v>43160</v>
      </c>
      <c r="B125" s="160">
        <v>252.77</v>
      </c>
      <c r="C125" s="160">
        <v>257.3</v>
      </c>
      <c r="D125" s="160">
        <v>267.16000000000003</v>
      </c>
      <c r="E125" s="160">
        <v>240.84</v>
      </c>
      <c r="F125" s="161">
        <v>-1.5E-3</v>
      </c>
    </row>
    <row r="126" spans="1:6" x14ac:dyDescent="0.2">
      <c r="A126" s="162">
        <v>43191</v>
      </c>
      <c r="B126" s="160">
        <v>259.70999999999998</v>
      </c>
      <c r="C126" s="160">
        <v>257.14999999999998</v>
      </c>
      <c r="D126" s="160">
        <v>264.08</v>
      </c>
      <c r="E126" s="160">
        <v>249.36</v>
      </c>
      <c r="F126" s="161">
        <v>2.75E-2</v>
      </c>
    </row>
    <row r="127" spans="1:6" x14ac:dyDescent="0.2">
      <c r="A127" s="162">
        <v>43221</v>
      </c>
      <c r="B127" s="160">
        <v>319.3</v>
      </c>
      <c r="C127" s="160">
        <v>264.85000000000002</v>
      </c>
      <c r="D127" s="160">
        <v>319.3</v>
      </c>
      <c r="E127" s="160">
        <v>262.62</v>
      </c>
      <c r="F127" s="161">
        <v>0.22939999999999999</v>
      </c>
    </row>
    <row r="128" spans="1:6" x14ac:dyDescent="0.2">
      <c r="A128" s="162">
        <v>43252</v>
      </c>
      <c r="B128" s="160">
        <v>357.45</v>
      </c>
      <c r="C128" s="160">
        <v>320.47000000000003</v>
      </c>
      <c r="D128" s="160">
        <v>364.44</v>
      </c>
      <c r="E128" s="160">
        <v>318.91000000000003</v>
      </c>
      <c r="F128" s="161">
        <v>0.1195</v>
      </c>
    </row>
    <row r="129" spans="1:6" x14ac:dyDescent="0.2">
      <c r="A129" s="162">
        <v>43282</v>
      </c>
      <c r="B129" s="160">
        <v>300.93</v>
      </c>
      <c r="C129" s="160">
        <v>360.91</v>
      </c>
      <c r="D129" s="160">
        <v>360.91</v>
      </c>
      <c r="E129" s="160">
        <v>297.89</v>
      </c>
      <c r="F129" s="161">
        <v>-0.15809999999999999</v>
      </c>
    </row>
    <row r="130" spans="1:6" x14ac:dyDescent="0.2">
      <c r="A130" s="162">
        <v>43313</v>
      </c>
      <c r="B130" s="160">
        <v>382.1</v>
      </c>
      <c r="C130" s="160">
        <v>304.86</v>
      </c>
      <c r="D130" s="160">
        <v>382.1</v>
      </c>
      <c r="E130" s="160">
        <v>299.43</v>
      </c>
      <c r="F130" s="161">
        <v>0.2697</v>
      </c>
    </row>
    <row r="131" spans="1:6" x14ac:dyDescent="0.2">
      <c r="A131" s="162">
        <v>43344</v>
      </c>
      <c r="B131" s="160">
        <v>337.96</v>
      </c>
      <c r="C131" s="160">
        <v>382.37</v>
      </c>
      <c r="D131" s="160">
        <v>388.06</v>
      </c>
      <c r="E131" s="160">
        <v>331.95</v>
      </c>
      <c r="F131" s="161">
        <v>-0.11550000000000001</v>
      </c>
    </row>
    <row r="132" spans="1:6" x14ac:dyDescent="0.2">
      <c r="A132" s="162">
        <v>43374</v>
      </c>
      <c r="B132" s="160">
        <v>278.33999999999997</v>
      </c>
      <c r="C132" s="160">
        <v>336.72</v>
      </c>
      <c r="D132" s="160">
        <v>344.01</v>
      </c>
      <c r="E132" s="160">
        <v>278.33999999999997</v>
      </c>
      <c r="F132" s="161">
        <v>-0.1764</v>
      </c>
    </row>
    <row r="133" spans="1:6" x14ac:dyDescent="0.2">
      <c r="A133" s="162">
        <v>43405</v>
      </c>
      <c r="B133" s="160">
        <v>279.5</v>
      </c>
      <c r="C133" s="160">
        <v>281.5</v>
      </c>
      <c r="D133" s="160">
        <v>294.07</v>
      </c>
      <c r="E133" s="160">
        <v>268.79000000000002</v>
      </c>
      <c r="F133" s="161">
        <v>4.1999999999999997E-3</v>
      </c>
    </row>
    <row r="134" spans="1:6" x14ac:dyDescent="0.2">
      <c r="A134" s="162">
        <v>43435</v>
      </c>
      <c r="B134" s="160">
        <v>274.98</v>
      </c>
      <c r="C134" s="160">
        <v>283.5</v>
      </c>
      <c r="D134" s="160">
        <v>293.5</v>
      </c>
      <c r="E134" s="160">
        <v>266.97000000000003</v>
      </c>
      <c r="F134" s="161">
        <v>-1.6199999999999999E-2</v>
      </c>
    </row>
    <row r="135" spans="1:6" x14ac:dyDescent="0.2">
      <c r="A135" s="162">
        <v>43466</v>
      </c>
      <c r="B135" s="160">
        <v>237.03</v>
      </c>
      <c r="C135" s="160">
        <v>272.87</v>
      </c>
      <c r="D135" s="160">
        <v>274.98</v>
      </c>
      <c r="E135" s="160">
        <v>237.03</v>
      </c>
      <c r="F135" s="161">
        <v>-0.13800000000000001</v>
      </c>
    </row>
    <row r="136" spans="1:6" x14ac:dyDescent="0.2">
      <c r="A136" s="162">
        <v>43497</v>
      </c>
      <c r="B136" s="160">
        <v>233.95</v>
      </c>
      <c r="C136" s="160">
        <v>236.38</v>
      </c>
      <c r="D136" s="160">
        <v>249.68</v>
      </c>
      <c r="E136" s="160">
        <v>229.39</v>
      </c>
      <c r="F136" s="161">
        <v>-1.2999999999999999E-2</v>
      </c>
    </row>
    <row r="137" spans="1:6" x14ac:dyDescent="0.2">
      <c r="A137" s="162">
        <v>43525</v>
      </c>
      <c r="B137" s="160">
        <v>251.7</v>
      </c>
      <c r="C137" s="160">
        <v>233.05</v>
      </c>
      <c r="D137" s="160">
        <v>261.48</v>
      </c>
      <c r="E137" s="160">
        <v>229.06</v>
      </c>
      <c r="F137" s="161">
        <v>7.5899999999999995E-2</v>
      </c>
    </row>
    <row r="138" spans="1:6" x14ac:dyDescent="0.2">
      <c r="A138" s="162">
        <v>43556</v>
      </c>
      <c r="B138" s="160">
        <v>250.05</v>
      </c>
      <c r="C138" s="160">
        <v>250.86</v>
      </c>
      <c r="D138" s="160">
        <v>254.11</v>
      </c>
      <c r="E138" s="160">
        <v>244.66</v>
      </c>
      <c r="F138" s="161">
        <v>-6.6E-3</v>
      </c>
    </row>
    <row r="139" spans="1:6" x14ac:dyDescent="0.2">
      <c r="A139" s="162">
        <v>43586</v>
      </c>
      <c r="B139" s="160">
        <v>256.66000000000003</v>
      </c>
      <c r="C139" s="160">
        <v>249.51</v>
      </c>
      <c r="D139" s="160">
        <v>262.60000000000002</v>
      </c>
      <c r="E139" s="160">
        <v>246.7</v>
      </c>
      <c r="F139" s="161">
        <v>2.64E-2</v>
      </c>
    </row>
    <row r="140" spans="1:6" x14ac:dyDescent="0.2">
      <c r="A140" s="162">
        <v>43617</v>
      </c>
      <c r="B140" s="160">
        <v>229.89</v>
      </c>
      <c r="C140" s="160">
        <v>255.74</v>
      </c>
      <c r="D140" s="160">
        <v>256.19</v>
      </c>
      <c r="E140" s="160">
        <v>227.02</v>
      </c>
      <c r="F140" s="161">
        <v>-0.1043</v>
      </c>
    </row>
    <row r="141" spans="1:6" x14ac:dyDescent="0.2">
      <c r="A141" s="162">
        <v>43647</v>
      </c>
      <c r="B141" s="160">
        <v>207.37</v>
      </c>
      <c r="C141" s="160">
        <v>229.87</v>
      </c>
      <c r="D141" s="160">
        <v>229.87</v>
      </c>
      <c r="E141" s="160">
        <v>202.63</v>
      </c>
      <c r="F141" s="161">
        <v>-9.8000000000000004E-2</v>
      </c>
    </row>
    <row r="142" spans="1:6" x14ac:dyDescent="0.2">
      <c r="A142" s="162">
        <v>43678</v>
      </c>
      <c r="B142" s="160">
        <v>213.45</v>
      </c>
      <c r="C142" s="160">
        <v>205.83</v>
      </c>
      <c r="D142" s="160">
        <v>223.26</v>
      </c>
      <c r="E142" s="160">
        <v>205.83</v>
      </c>
      <c r="F142" s="161">
        <v>2.93E-2</v>
      </c>
    </row>
    <row r="143" spans="1:6" x14ac:dyDescent="0.2">
      <c r="A143" s="162">
        <v>43709</v>
      </c>
      <c r="B143" s="160">
        <v>213.38</v>
      </c>
      <c r="C143" s="160">
        <v>213.95</v>
      </c>
      <c r="D143" s="160">
        <v>215.25</v>
      </c>
      <c r="E143" s="160">
        <v>198.77</v>
      </c>
      <c r="F143" s="161">
        <v>-2.9999999999999997E-4</v>
      </c>
    </row>
    <row r="144" spans="1:6" x14ac:dyDescent="0.2">
      <c r="A144" s="162">
        <v>43739</v>
      </c>
      <c r="B144" s="160">
        <v>199.2</v>
      </c>
      <c r="C144" s="160">
        <v>213.34</v>
      </c>
      <c r="D144" s="160">
        <v>220.89</v>
      </c>
      <c r="E144" s="160">
        <v>194.85</v>
      </c>
      <c r="F144" s="161">
        <v>-6.6500000000000004E-2</v>
      </c>
    </row>
    <row r="145" spans="1:6" x14ac:dyDescent="0.2">
      <c r="A145" s="162">
        <v>43770</v>
      </c>
      <c r="B145" s="160">
        <v>202.05</v>
      </c>
      <c r="C145" s="160">
        <v>198.72</v>
      </c>
      <c r="D145" s="160">
        <v>205.78</v>
      </c>
      <c r="E145" s="160">
        <v>192.8</v>
      </c>
      <c r="F145" s="161">
        <v>1.43E-2</v>
      </c>
    </row>
    <row r="146" spans="1:6" x14ac:dyDescent="0.2">
      <c r="A146" s="162">
        <v>43800</v>
      </c>
      <c r="B146" s="160">
        <v>177.32</v>
      </c>
      <c r="C146" s="160">
        <v>202.23</v>
      </c>
      <c r="D146" s="160">
        <v>203.28</v>
      </c>
      <c r="E146" s="160">
        <v>174.9</v>
      </c>
      <c r="F146" s="161">
        <v>-0.12239999999999999</v>
      </c>
    </row>
    <row r="147" spans="1:6" x14ac:dyDescent="0.2">
      <c r="A147" s="162">
        <v>43831</v>
      </c>
      <c r="B147" s="160">
        <v>180.92</v>
      </c>
      <c r="C147" s="160">
        <v>177.61</v>
      </c>
      <c r="D147" s="160">
        <v>184.96</v>
      </c>
      <c r="E147" s="160">
        <v>171.22</v>
      </c>
      <c r="F147" s="161">
        <v>2.0299999999999999E-2</v>
      </c>
    </row>
    <row r="148" spans="1:6" x14ac:dyDescent="0.2">
      <c r="A148" s="162">
        <v>43862</v>
      </c>
      <c r="B148" s="160">
        <v>213.41</v>
      </c>
      <c r="C148" s="160">
        <v>181.19</v>
      </c>
      <c r="D148" s="160">
        <v>213.41</v>
      </c>
      <c r="E148" s="160">
        <v>167.82</v>
      </c>
      <c r="F148" s="161">
        <v>0.17960000000000001</v>
      </c>
    </row>
    <row r="149" spans="1:6" x14ac:dyDescent="0.2">
      <c r="A149" s="162">
        <v>43891</v>
      </c>
      <c r="B149" s="160">
        <v>328.15</v>
      </c>
      <c r="C149" s="160">
        <v>208.46</v>
      </c>
      <c r="D149" s="160">
        <v>447.84</v>
      </c>
      <c r="E149" s="160">
        <v>187.18</v>
      </c>
      <c r="F149" s="161">
        <v>0.53769999999999996</v>
      </c>
    </row>
    <row r="150" spans="1:6" x14ac:dyDescent="0.2">
      <c r="A150" s="162">
        <v>43922</v>
      </c>
      <c r="B150" s="160">
        <v>359</v>
      </c>
      <c r="C150" s="160">
        <v>328.14</v>
      </c>
      <c r="D150" s="160">
        <v>425.572</v>
      </c>
      <c r="E150" s="160">
        <v>289.95999999999998</v>
      </c>
      <c r="F150" s="161">
        <v>9.4E-2</v>
      </c>
    </row>
    <row r="151" spans="1:6" x14ac:dyDescent="0.2">
      <c r="A151" s="162">
        <v>43952</v>
      </c>
      <c r="B151" s="160">
        <v>344.76</v>
      </c>
      <c r="C151" s="160">
        <v>373.13900000000001</v>
      </c>
      <c r="D151" s="160">
        <v>397.14</v>
      </c>
      <c r="E151" s="160">
        <v>326.08</v>
      </c>
      <c r="F151" s="161">
        <v>-3.9699999999999999E-2</v>
      </c>
    </row>
    <row r="152" spans="1:6" x14ac:dyDescent="0.2">
      <c r="A152" s="162">
        <v>43983</v>
      </c>
      <c r="B152" s="160">
        <v>312.43</v>
      </c>
      <c r="C152" s="160">
        <v>339.84</v>
      </c>
      <c r="D152" s="160">
        <v>339.84</v>
      </c>
      <c r="E152" s="160">
        <v>264.88</v>
      </c>
      <c r="F152" s="161">
        <v>-9.3799999999999994E-2</v>
      </c>
    </row>
    <row r="153" spans="1:6" x14ac:dyDescent="0.2">
      <c r="A153" s="162">
        <v>44013</v>
      </c>
      <c r="B153" s="160">
        <v>281.952</v>
      </c>
      <c r="C153" s="160">
        <v>309.52999999999997</v>
      </c>
      <c r="D153" s="160">
        <v>321.85000000000002</v>
      </c>
      <c r="E153" s="160">
        <v>264.64</v>
      </c>
      <c r="F153" s="161">
        <v>-9.7600000000000006E-2</v>
      </c>
    </row>
    <row r="154" spans="1:6" x14ac:dyDescent="0.2">
      <c r="A154" s="162">
        <v>44044</v>
      </c>
      <c r="B154" s="160">
        <v>278.97000000000003</v>
      </c>
      <c r="C154" s="160">
        <v>281.952</v>
      </c>
      <c r="D154" s="160">
        <v>299.07</v>
      </c>
      <c r="E154" s="160">
        <v>270.85000000000002</v>
      </c>
      <c r="F154" s="161">
        <v>-1.06E-2</v>
      </c>
    </row>
    <row r="155" spans="1:6" x14ac:dyDescent="0.2">
      <c r="A155" s="162">
        <v>44075</v>
      </c>
      <c r="B155" s="160">
        <v>311.12</v>
      </c>
      <c r="C155" s="160">
        <v>274.29000000000002</v>
      </c>
      <c r="D155" s="160">
        <v>315.98</v>
      </c>
      <c r="E155" s="160">
        <v>258.39</v>
      </c>
      <c r="F155" s="161">
        <v>0.1152</v>
      </c>
    </row>
    <row r="156" spans="1:6" x14ac:dyDescent="0.2">
      <c r="A156" s="162">
        <v>44105</v>
      </c>
      <c r="B156" s="160">
        <v>280.35000000000002</v>
      </c>
      <c r="C156" s="160">
        <v>309.33</v>
      </c>
      <c r="D156" s="160">
        <v>309.33</v>
      </c>
      <c r="E156" s="160">
        <v>273.86</v>
      </c>
      <c r="F156" s="161">
        <v>-9.8900000000000002E-2</v>
      </c>
    </row>
    <row r="157" spans="1:6" x14ac:dyDescent="0.2">
      <c r="A157" s="162">
        <v>44136</v>
      </c>
      <c r="B157" s="160">
        <v>232.33</v>
      </c>
      <c r="C157" s="160">
        <v>280.5</v>
      </c>
      <c r="D157" s="160">
        <v>280.5</v>
      </c>
      <c r="E157" s="160">
        <v>227.84</v>
      </c>
      <c r="F157" s="161">
        <v>-0.17130000000000001</v>
      </c>
    </row>
    <row r="158" spans="1:6" x14ac:dyDescent="0.2">
      <c r="A158" s="162">
        <v>44166</v>
      </c>
      <c r="B158" s="160">
        <v>208.94</v>
      </c>
      <c r="C158" s="160">
        <v>231.45</v>
      </c>
      <c r="D158" s="160">
        <v>231.45</v>
      </c>
      <c r="E158" s="160">
        <v>207.7</v>
      </c>
      <c r="F158" s="161">
        <v>-0.1007</v>
      </c>
    </row>
    <row r="159" spans="1:6" x14ac:dyDescent="0.2">
      <c r="A159" s="162">
        <v>44197</v>
      </c>
      <c r="B159" s="160">
        <v>247.29</v>
      </c>
      <c r="C159" s="160">
        <v>207.59</v>
      </c>
      <c r="D159" s="160">
        <v>247.29</v>
      </c>
      <c r="E159" s="160">
        <v>207.59</v>
      </c>
      <c r="F159" s="161">
        <v>0.1835</v>
      </c>
    </row>
    <row r="160" spans="1:6" x14ac:dyDescent="0.2">
      <c r="A160" s="162">
        <v>44228</v>
      </c>
      <c r="B160" s="160">
        <v>271.77999999999997</v>
      </c>
      <c r="C160" s="160">
        <v>246.5</v>
      </c>
      <c r="D160" s="160">
        <v>271.77999999999997</v>
      </c>
      <c r="E160" s="160">
        <v>227.33</v>
      </c>
      <c r="F160" s="161">
        <v>9.9000000000000005E-2</v>
      </c>
    </row>
    <row r="161" spans="1:6" x14ac:dyDescent="0.2">
      <c r="A161" s="162">
        <v>44256</v>
      </c>
      <c r="B161" s="160">
        <v>296.89999999999998</v>
      </c>
      <c r="C161" s="160">
        <v>271.52</v>
      </c>
      <c r="D161" s="160">
        <v>305.68</v>
      </c>
      <c r="E161" s="160">
        <v>262.89999999999998</v>
      </c>
      <c r="F161" s="161">
        <v>9.2399999999999996E-2</v>
      </c>
    </row>
    <row r="162" spans="1:6" x14ac:dyDescent="0.2">
      <c r="A162" s="162">
        <v>44287</v>
      </c>
      <c r="B162" s="160">
        <v>266.54000000000002</v>
      </c>
      <c r="C162" s="160">
        <v>299.23</v>
      </c>
      <c r="D162" s="160">
        <v>300.83</v>
      </c>
      <c r="E162" s="160">
        <v>265.73</v>
      </c>
      <c r="F162" s="161">
        <v>-0.1023</v>
      </c>
    </row>
    <row r="163" spans="1:6" x14ac:dyDescent="0.2">
      <c r="A163" s="162">
        <v>44317</v>
      </c>
      <c r="B163" s="160">
        <v>249.1</v>
      </c>
      <c r="C163" s="160">
        <v>268.69</v>
      </c>
      <c r="D163" s="160">
        <v>271.43</v>
      </c>
      <c r="E163" s="160">
        <v>248.92</v>
      </c>
      <c r="F163" s="161">
        <v>-6.54E-2</v>
      </c>
    </row>
    <row r="164" spans="1:6" x14ac:dyDescent="0.2">
      <c r="A164" s="162">
        <v>44348</v>
      </c>
      <c r="B164" s="160">
        <v>245.69</v>
      </c>
      <c r="C164" s="160">
        <v>250.33</v>
      </c>
      <c r="D164" s="160">
        <v>253.84</v>
      </c>
      <c r="E164" s="160">
        <v>236.95</v>
      </c>
      <c r="F164" s="161">
        <v>-1.37E-2</v>
      </c>
    </row>
    <row r="165" spans="1:6" x14ac:dyDescent="0.2">
      <c r="A165" s="162">
        <v>44378</v>
      </c>
      <c r="B165" s="160">
        <v>254.08</v>
      </c>
      <c r="C165" s="160">
        <v>243.83</v>
      </c>
      <c r="D165" s="160">
        <v>258.04000000000002</v>
      </c>
      <c r="E165" s="160">
        <v>242.74</v>
      </c>
      <c r="F165" s="161">
        <v>3.4099999999999998E-2</v>
      </c>
    </row>
    <row r="166" spans="1:6" x14ac:dyDescent="0.2">
      <c r="A166" s="162">
        <v>44409</v>
      </c>
      <c r="B166" s="160">
        <v>258.69</v>
      </c>
      <c r="C166" s="160">
        <v>254.34</v>
      </c>
      <c r="D166" s="160">
        <v>271.41000000000003</v>
      </c>
      <c r="E166" s="160">
        <v>254.34</v>
      </c>
      <c r="F166" s="161">
        <v>1.8100000000000002E-2</v>
      </c>
    </row>
    <row r="167" spans="1:6" x14ac:dyDescent="0.2">
      <c r="A167" s="162">
        <v>44440</v>
      </c>
      <c r="B167" s="160">
        <v>284.77999999999997</v>
      </c>
      <c r="C167" s="160">
        <v>258.41000000000003</v>
      </c>
      <c r="D167" s="160">
        <v>287.37</v>
      </c>
      <c r="E167" s="160">
        <v>256.44</v>
      </c>
      <c r="F167" s="161">
        <v>0.1009</v>
      </c>
    </row>
    <row r="168" spans="1:6" x14ac:dyDescent="0.2">
      <c r="A168" s="162">
        <v>44470</v>
      </c>
      <c r="B168" s="160">
        <v>324.39</v>
      </c>
      <c r="C168" s="160">
        <v>285.06</v>
      </c>
      <c r="D168" s="160">
        <v>324.39</v>
      </c>
      <c r="E168" s="160">
        <v>282.57</v>
      </c>
      <c r="F168" s="161">
        <v>0.1391</v>
      </c>
    </row>
    <row r="169" spans="1:6" x14ac:dyDescent="0.2">
      <c r="A169" s="162">
        <v>44501</v>
      </c>
      <c r="B169" s="160">
        <v>332.87</v>
      </c>
      <c r="C169" s="160">
        <v>323.79000000000002</v>
      </c>
      <c r="D169" s="160">
        <v>341.68</v>
      </c>
      <c r="E169" s="160">
        <v>306.97000000000003</v>
      </c>
      <c r="F169" s="161">
        <v>2.6100000000000002E-2</v>
      </c>
    </row>
    <row r="170" spans="1:6" x14ac:dyDescent="0.2">
      <c r="A170" s="162">
        <v>44531</v>
      </c>
      <c r="B170" s="160">
        <v>282.31</v>
      </c>
      <c r="C170" s="160">
        <v>332.12</v>
      </c>
      <c r="D170" s="160">
        <v>332.12</v>
      </c>
      <c r="E170" s="160">
        <v>282.13</v>
      </c>
      <c r="F170" s="161">
        <v>-0.15190000000000001</v>
      </c>
    </row>
    <row r="171" spans="1:6" x14ac:dyDescent="0.2">
      <c r="A171" s="162">
        <v>44562</v>
      </c>
      <c r="B171" s="160">
        <v>307.3</v>
      </c>
      <c r="C171" s="160">
        <v>282.45</v>
      </c>
      <c r="D171" s="160">
        <v>290.48</v>
      </c>
      <c r="E171" s="160">
        <v>281.55</v>
      </c>
      <c r="F171" s="161">
        <v>8.8499999999999995E-2</v>
      </c>
    </row>
    <row r="172" spans="1:6" x14ac:dyDescent="0.2">
      <c r="A172" s="162">
        <v>44593</v>
      </c>
      <c r="B172" s="160">
        <v>299.18</v>
      </c>
      <c r="C172" s="160">
        <v>304.77</v>
      </c>
      <c r="D172" s="160">
        <v>304.77</v>
      </c>
      <c r="E172" s="160">
        <v>304.77</v>
      </c>
      <c r="F172" s="161">
        <v>-2.64E-2</v>
      </c>
    </row>
    <row r="173" spans="1:6" x14ac:dyDescent="0.2">
      <c r="A173" s="162">
        <v>44621</v>
      </c>
      <c r="B173" s="160">
        <v>281.72000000000003</v>
      </c>
      <c r="C173" s="160">
        <v>300.56</v>
      </c>
      <c r="D173" s="160">
        <v>300.56</v>
      </c>
      <c r="E173" s="160">
        <v>300.56</v>
      </c>
      <c r="F173" s="161">
        <v>-5.8400000000000001E-2</v>
      </c>
    </row>
    <row r="174" spans="1:6" x14ac:dyDescent="0.2">
      <c r="A174" s="162">
        <v>44652</v>
      </c>
      <c r="B174" s="160">
        <v>301.05</v>
      </c>
      <c r="C174" s="160">
        <v>284.08</v>
      </c>
      <c r="D174" s="160">
        <v>284.08</v>
      </c>
      <c r="E174" s="160">
        <v>284.08</v>
      </c>
      <c r="F174" s="161">
        <v>6.8599999999999994E-2</v>
      </c>
    </row>
    <row r="175" spans="1:6" x14ac:dyDescent="0.2">
      <c r="A175" s="162">
        <v>44682</v>
      </c>
      <c r="B175" s="160">
        <v>305.5</v>
      </c>
      <c r="C175" s="160">
        <v>311.81</v>
      </c>
      <c r="D175" s="160">
        <v>311.81</v>
      </c>
      <c r="E175" s="160">
        <v>311.81</v>
      </c>
      <c r="F175" s="161">
        <v>1.4800000000000001E-2</v>
      </c>
    </row>
    <row r="176" spans="1:6" x14ac:dyDescent="0.2">
      <c r="A176" s="162">
        <v>44713</v>
      </c>
      <c r="B176" s="160">
        <v>375.84</v>
      </c>
      <c r="C176" s="160">
        <v>307.61</v>
      </c>
      <c r="D176" s="160">
        <v>307.61</v>
      </c>
      <c r="E176" s="160">
        <v>307.61</v>
      </c>
      <c r="F176" s="161">
        <v>0.23019999999999999</v>
      </c>
    </row>
    <row r="177" spans="1:6" x14ac:dyDescent="0.2">
      <c r="A177" s="162">
        <v>44743</v>
      </c>
      <c r="B177" s="160">
        <v>358.88</v>
      </c>
      <c r="C177" s="160">
        <v>374.56</v>
      </c>
      <c r="D177" s="160">
        <v>374.56</v>
      </c>
      <c r="E177" s="160">
        <v>374.56</v>
      </c>
      <c r="F177" s="161">
        <v>-4.5100000000000001E-2</v>
      </c>
    </row>
    <row r="178" spans="1:6" x14ac:dyDescent="0.2">
      <c r="A178" s="162">
        <v>44774</v>
      </c>
      <c r="B178" s="160">
        <v>342.94</v>
      </c>
      <c r="C178" s="160">
        <v>367.83</v>
      </c>
      <c r="D178" s="160">
        <v>367.83</v>
      </c>
      <c r="E178" s="160">
        <v>367.83</v>
      </c>
      <c r="F178" s="161">
        <v>-4.4400000000000002E-2</v>
      </c>
    </row>
    <row r="179" spans="1:6" x14ac:dyDescent="0.2">
      <c r="A179" s="162">
        <v>44805</v>
      </c>
      <c r="B179" s="160">
        <v>347.02</v>
      </c>
      <c r="C179" s="160">
        <v>342.74</v>
      </c>
      <c r="D179" s="160">
        <v>342.74</v>
      </c>
      <c r="E179" s="160">
        <v>342.74</v>
      </c>
      <c r="F179" s="161">
        <v>1.1900000000000001E-2</v>
      </c>
    </row>
    <row r="180" spans="1:6" x14ac:dyDescent="0.2">
      <c r="A180" s="162">
        <v>44835</v>
      </c>
      <c r="B180" s="160">
        <v>379.49</v>
      </c>
      <c r="C180" s="160">
        <v>361.99</v>
      </c>
      <c r="D180" s="160">
        <v>361.99</v>
      </c>
      <c r="E180" s="160">
        <v>361.99</v>
      </c>
      <c r="F180" s="161">
        <v>9.3600000000000003E-2</v>
      </c>
    </row>
    <row r="181" spans="1:6" x14ac:dyDescent="0.2">
      <c r="A181" s="162">
        <v>44866</v>
      </c>
      <c r="B181" s="29">
        <v>336.91</v>
      </c>
      <c r="C181" s="29">
        <v>356.26</v>
      </c>
      <c r="D181" s="29">
        <v>356.26</v>
      </c>
      <c r="E181" s="29">
        <v>356.26</v>
      </c>
      <c r="F181" s="29" t="s">
        <v>3101</v>
      </c>
    </row>
    <row r="182" spans="1:6" x14ac:dyDescent="0.2">
      <c r="A182" s="162">
        <v>44896</v>
      </c>
      <c r="B182" s="29">
        <v>333.35</v>
      </c>
      <c r="C182" s="29">
        <v>336.61</v>
      </c>
      <c r="D182" s="29">
        <v>336.61</v>
      </c>
      <c r="E182" s="29">
        <v>336.61</v>
      </c>
      <c r="F182" s="29" t="s">
        <v>3102</v>
      </c>
    </row>
  </sheetData>
  <mergeCells count="1">
    <mergeCell ref="A1:F1"/>
  </mergeCells>
  <hyperlinks>
    <hyperlink ref="J1" r:id="rId1" xr:uid="{02491F8D-F232-4B6B-BD36-9D289CA77D04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3EC869-0769-004A-809C-F79AE546044E}">
  <dimension ref="A1:D361"/>
  <sheetViews>
    <sheetView topLeftCell="A321" workbookViewId="0">
      <selection activeCell="D2" sqref="D2:D361"/>
    </sheetView>
  </sheetViews>
  <sheetFormatPr baseColWidth="10" defaultRowHeight="15" x14ac:dyDescent="0.2"/>
  <sheetData>
    <row r="1" spans="1:4" x14ac:dyDescent="0.2">
      <c r="A1" s="37" t="s">
        <v>523</v>
      </c>
      <c r="B1" s="156" t="s">
        <v>573</v>
      </c>
      <c r="C1" s="156" t="s">
        <v>524</v>
      </c>
      <c r="D1" s="156" t="s">
        <v>597</v>
      </c>
    </row>
    <row r="2" spans="1:4" x14ac:dyDescent="0.2">
      <c r="A2" s="501">
        <v>33970</v>
      </c>
      <c r="C2" s="502">
        <v>3.2537960954446943E-2</v>
      </c>
      <c r="D2" s="466">
        <v>6.3899999999999998E-2</v>
      </c>
    </row>
    <row r="3" spans="1:4" x14ac:dyDescent="0.2">
      <c r="A3" s="501">
        <v>34001</v>
      </c>
      <c r="C3" s="502">
        <v>3.2467532467532527E-2</v>
      </c>
      <c r="D3" s="466">
        <v>6.0299999999999999E-2</v>
      </c>
    </row>
    <row r="4" spans="1:4" x14ac:dyDescent="0.2">
      <c r="A4" s="501">
        <v>34029</v>
      </c>
      <c r="C4" s="502">
        <v>3.0194104960460159E-2</v>
      </c>
      <c r="D4" s="466">
        <v>6.0299999999999999E-2</v>
      </c>
    </row>
    <row r="5" spans="1:4" x14ac:dyDescent="0.2">
      <c r="A5" s="501">
        <v>34060</v>
      </c>
      <c r="C5" s="502">
        <v>3.1563845050215138E-2</v>
      </c>
      <c r="D5" s="466">
        <v>6.0499999999999998E-2</v>
      </c>
    </row>
    <row r="6" spans="1:4" x14ac:dyDescent="0.2">
      <c r="A6" s="501">
        <v>34090</v>
      </c>
      <c r="C6" s="502">
        <v>3.2211882605583497E-2</v>
      </c>
      <c r="D6" s="466">
        <v>6.1600000000000002E-2</v>
      </c>
    </row>
    <row r="7" spans="1:4" x14ac:dyDescent="0.2">
      <c r="A7" s="501">
        <v>34121</v>
      </c>
      <c r="C7" s="502">
        <v>2.9978586723768959E-2</v>
      </c>
      <c r="D7" s="466">
        <v>5.8000000000000003E-2</v>
      </c>
    </row>
    <row r="8" spans="1:4" x14ac:dyDescent="0.2">
      <c r="A8" s="501">
        <v>34151</v>
      </c>
      <c r="C8" s="502">
        <v>2.846975088967962E-2</v>
      </c>
      <c r="D8" s="466">
        <v>5.8299999999999998E-2</v>
      </c>
    </row>
    <row r="9" spans="1:4" x14ac:dyDescent="0.2">
      <c r="A9" s="501">
        <v>34182</v>
      </c>
      <c r="C9" s="502">
        <v>2.8409090909090828E-2</v>
      </c>
      <c r="D9" s="466">
        <v>5.45E-2</v>
      </c>
    </row>
    <row r="10" spans="1:4" x14ac:dyDescent="0.2">
      <c r="A10" s="501">
        <v>34213</v>
      </c>
      <c r="C10" s="502">
        <v>2.7639971651311161E-2</v>
      </c>
      <c r="D10" s="466">
        <v>5.4000000000000013E-2</v>
      </c>
    </row>
    <row r="11" spans="1:4" x14ac:dyDescent="0.2">
      <c r="A11" s="501">
        <v>34243</v>
      </c>
      <c r="C11" s="502">
        <v>2.7522935779816571E-2</v>
      </c>
      <c r="D11" s="466">
        <v>5.4299999999999987E-2</v>
      </c>
    </row>
    <row r="12" spans="1:4" x14ac:dyDescent="0.2">
      <c r="A12" s="501">
        <v>34274</v>
      </c>
      <c r="C12" s="502">
        <v>2.7445460942997931E-2</v>
      </c>
      <c r="D12" s="466">
        <v>5.8299999999999998E-2</v>
      </c>
    </row>
    <row r="13" spans="1:4" x14ac:dyDescent="0.2">
      <c r="A13" s="501">
        <v>34304</v>
      </c>
      <c r="C13" s="502">
        <v>2.8109627547435071E-2</v>
      </c>
      <c r="D13" s="466">
        <v>5.8299999999999998E-2</v>
      </c>
    </row>
    <row r="14" spans="1:4" x14ac:dyDescent="0.2">
      <c r="A14" s="501">
        <v>34335</v>
      </c>
      <c r="C14" s="502">
        <v>2.450980392156854E-2</v>
      </c>
      <c r="D14" s="466">
        <v>5.7000000000000002E-2</v>
      </c>
    </row>
    <row r="15" spans="1:4" x14ac:dyDescent="0.2">
      <c r="A15" s="501">
        <v>34366</v>
      </c>
      <c r="C15" s="502">
        <v>2.515723270440251E-2</v>
      </c>
      <c r="D15" s="466">
        <v>6.1500000000000013E-2</v>
      </c>
    </row>
    <row r="16" spans="1:4" x14ac:dyDescent="0.2">
      <c r="A16" s="501">
        <v>34394</v>
      </c>
      <c r="C16" s="502">
        <v>2.651779483600825E-2</v>
      </c>
      <c r="D16" s="466">
        <v>6.7699999999999996E-2</v>
      </c>
    </row>
    <row r="17" spans="1:4" x14ac:dyDescent="0.2">
      <c r="A17" s="501">
        <v>34425</v>
      </c>
      <c r="B17" s="273">
        <v>0.112</v>
      </c>
      <c r="C17" s="502">
        <v>2.3643949930458819E-2</v>
      </c>
      <c r="D17" s="466">
        <v>7.0599999999999996E-2</v>
      </c>
    </row>
    <row r="18" spans="1:4" x14ac:dyDescent="0.2">
      <c r="A18" s="501">
        <v>34455</v>
      </c>
      <c r="B18" s="273">
        <v>0.1079</v>
      </c>
      <c r="C18" s="502">
        <v>2.2884882108183069E-2</v>
      </c>
      <c r="D18" s="466">
        <v>7.17E-2</v>
      </c>
    </row>
    <row r="19" spans="1:4" x14ac:dyDescent="0.2">
      <c r="A19" s="501">
        <v>34486</v>
      </c>
      <c r="B19" s="273">
        <v>0.1183</v>
      </c>
      <c r="C19" s="502">
        <v>2.4948024948024949E-2</v>
      </c>
      <c r="D19" s="466">
        <v>7.3399999999999993E-2</v>
      </c>
    </row>
    <row r="20" spans="1:4" x14ac:dyDescent="0.2">
      <c r="A20" s="501">
        <v>34516</v>
      </c>
      <c r="B20" s="273">
        <v>0.1096</v>
      </c>
      <c r="C20" s="502">
        <v>2.6989619377162599E-2</v>
      </c>
      <c r="D20" s="466">
        <v>7.1199999999999999E-2</v>
      </c>
    </row>
    <row r="21" spans="1:4" x14ac:dyDescent="0.2">
      <c r="A21" s="501">
        <v>34547</v>
      </c>
      <c r="B21" s="273">
        <v>8.1299999999999997E-2</v>
      </c>
      <c r="C21" s="502">
        <v>2.9005524861878351E-2</v>
      </c>
      <c r="D21" s="466">
        <v>7.1900000000000006E-2</v>
      </c>
    </row>
    <row r="22" spans="1:4" x14ac:dyDescent="0.2">
      <c r="A22" s="501">
        <v>34578</v>
      </c>
      <c r="B22" s="273">
        <v>7.3899999999999993E-2</v>
      </c>
      <c r="C22" s="502">
        <v>2.9655172413793229E-2</v>
      </c>
      <c r="D22" s="466">
        <v>7.6200000000000004E-2</v>
      </c>
    </row>
    <row r="23" spans="1:4" x14ac:dyDescent="0.2">
      <c r="A23" s="501">
        <v>34608</v>
      </c>
      <c r="B23" s="273">
        <v>8.5199999999999998E-2</v>
      </c>
      <c r="C23" s="502">
        <v>2.6098901098901232E-2</v>
      </c>
      <c r="D23" s="466">
        <v>7.8100000000000003E-2</v>
      </c>
    </row>
    <row r="24" spans="1:4" x14ac:dyDescent="0.2">
      <c r="A24" s="501">
        <v>34639</v>
      </c>
      <c r="B24" s="273">
        <v>8.1699999999999995E-2</v>
      </c>
      <c r="C24" s="502">
        <v>2.6027397260274029E-2</v>
      </c>
      <c r="D24" s="466">
        <v>7.9100000000000004E-2</v>
      </c>
    </row>
    <row r="25" spans="1:4" x14ac:dyDescent="0.2">
      <c r="A25" s="501">
        <v>34669</v>
      </c>
      <c r="B25" s="273">
        <v>9.2299999999999993E-2</v>
      </c>
      <c r="C25" s="502">
        <v>2.5974025974025761E-2</v>
      </c>
      <c r="D25" s="466">
        <v>7.8399999999999997E-2</v>
      </c>
    </row>
    <row r="26" spans="1:4" x14ac:dyDescent="0.2">
      <c r="A26" s="501">
        <v>34700</v>
      </c>
      <c r="B26" s="273">
        <v>0.1057</v>
      </c>
      <c r="C26" s="502">
        <v>2.870813397129179E-2</v>
      </c>
      <c r="D26" s="466">
        <v>7.5999999999999998E-2</v>
      </c>
    </row>
    <row r="27" spans="1:4" x14ac:dyDescent="0.2">
      <c r="A27" s="501">
        <v>34731</v>
      </c>
      <c r="B27" s="273">
        <v>0.12139999999999999</v>
      </c>
      <c r="C27" s="502">
        <v>2.8629856850715951E-2</v>
      </c>
      <c r="D27" s="466">
        <v>7.22E-2</v>
      </c>
    </row>
    <row r="28" spans="1:4" x14ac:dyDescent="0.2">
      <c r="A28" s="501">
        <v>34759</v>
      </c>
      <c r="B28" s="273">
        <v>0.14410000000000001</v>
      </c>
      <c r="C28" s="502">
        <v>2.7872195785180191E-2</v>
      </c>
      <c r="D28" s="466">
        <v>7.2000000000000008E-2</v>
      </c>
    </row>
    <row r="29" spans="1:4" x14ac:dyDescent="0.2">
      <c r="A29" s="501">
        <v>34790</v>
      </c>
      <c r="B29" s="273">
        <v>0.1217</v>
      </c>
      <c r="C29" s="502">
        <v>3.1250000000000222E-2</v>
      </c>
      <c r="D29" s="466">
        <v>7.0699999999999999E-2</v>
      </c>
    </row>
    <row r="30" spans="1:4" x14ac:dyDescent="0.2">
      <c r="A30" s="501">
        <v>34820</v>
      </c>
      <c r="B30" s="273">
        <v>0.106</v>
      </c>
      <c r="C30" s="502">
        <v>3.1186440677966051E-2</v>
      </c>
      <c r="D30" s="466">
        <v>6.3E-2</v>
      </c>
    </row>
    <row r="31" spans="1:4" x14ac:dyDescent="0.2">
      <c r="A31" s="501">
        <v>34851</v>
      </c>
      <c r="B31" s="273">
        <v>0.1106</v>
      </c>
      <c r="C31" s="502">
        <v>3.042596348884374E-2</v>
      </c>
      <c r="D31" s="466">
        <v>6.2100000000000002E-2</v>
      </c>
    </row>
    <row r="32" spans="1:4" x14ac:dyDescent="0.2">
      <c r="A32" s="501">
        <v>34881</v>
      </c>
      <c r="B32" s="273">
        <v>0.1109</v>
      </c>
      <c r="C32" s="502">
        <v>2.8301886792452709E-2</v>
      </c>
      <c r="D32" s="466">
        <v>6.4500000000000002E-2</v>
      </c>
    </row>
    <row r="33" spans="1:4" x14ac:dyDescent="0.2">
      <c r="A33" s="501">
        <v>34912</v>
      </c>
      <c r="B33" s="273">
        <v>0.1081</v>
      </c>
      <c r="C33" s="502">
        <v>2.617449664429539E-2</v>
      </c>
      <c r="D33" s="466">
        <v>6.2800000000000009E-2</v>
      </c>
    </row>
    <row r="34" spans="1:4" x14ac:dyDescent="0.2">
      <c r="A34" s="501">
        <v>34943</v>
      </c>
      <c r="B34" s="273">
        <v>9.6000000000000002E-2</v>
      </c>
      <c r="C34" s="502">
        <v>2.5452109845947701E-2</v>
      </c>
      <c r="D34" s="466">
        <v>6.1699999999999998E-2</v>
      </c>
    </row>
    <row r="35" spans="1:4" x14ac:dyDescent="0.2">
      <c r="A35" s="501">
        <v>34973</v>
      </c>
      <c r="B35" s="273">
        <v>0.1021</v>
      </c>
      <c r="C35" s="502">
        <v>2.7443105756358669E-2</v>
      </c>
      <c r="D35" s="466">
        <v>6.0299999999999999E-2</v>
      </c>
    </row>
    <row r="36" spans="1:4" x14ac:dyDescent="0.2">
      <c r="A36" s="501">
        <v>35004</v>
      </c>
      <c r="B36" s="273">
        <v>0.10199999999999999</v>
      </c>
      <c r="C36" s="502">
        <v>2.6034712950600669E-2</v>
      </c>
      <c r="D36" s="466">
        <v>5.7599999999999998E-2</v>
      </c>
    </row>
    <row r="37" spans="1:4" x14ac:dyDescent="0.2">
      <c r="A37" s="501">
        <v>35034</v>
      </c>
      <c r="B37" s="273">
        <v>9.3299999999999994E-2</v>
      </c>
      <c r="C37" s="502">
        <v>2.531645569620267E-2</v>
      </c>
      <c r="D37" s="466">
        <v>5.5800000000000002E-2</v>
      </c>
    </row>
    <row r="38" spans="1:4" x14ac:dyDescent="0.2">
      <c r="A38" s="501">
        <v>35065</v>
      </c>
      <c r="B38" s="273">
        <v>7.5999999999999998E-2</v>
      </c>
      <c r="C38" s="502">
        <v>2.7906976744185959E-2</v>
      </c>
      <c r="D38" s="466">
        <v>5.5999999999999987E-2</v>
      </c>
    </row>
    <row r="39" spans="1:4" x14ac:dyDescent="0.2">
      <c r="A39" s="501">
        <v>35096</v>
      </c>
      <c r="B39" s="273">
        <v>8.6300000000000002E-2</v>
      </c>
      <c r="C39" s="502">
        <v>2.7170311464546071E-2</v>
      </c>
      <c r="D39" s="466">
        <v>6.13E-2</v>
      </c>
    </row>
    <row r="40" spans="1:4" x14ac:dyDescent="0.2">
      <c r="A40" s="501">
        <v>35125</v>
      </c>
      <c r="B40" s="273">
        <v>8.4000000000000005E-2</v>
      </c>
      <c r="C40" s="502">
        <v>2.843915343915349E-2</v>
      </c>
      <c r="D40" s="466">
        <v>6.3399999999999998E-2</v>
      </c>
    </row>
    <row r="41" spans="1:4" x14ac:dyDescent="0.2">
      <c r="A41" s="501">
        <v>35156</v>
      </c>
      <c r="B41" s="273">
        <v>7.6300000000000007E-2</v>
      </c>
      <c r="C41" s="502">
        <v>2.832674571805005E-2</v>
      </c>
      <c r="D41" s="466">
        <v>6.6600000000000006E-2</v>
      </c>
    </row>
    <row r="42" spans="1:4" x14ac:dyDescent="0.2">
      <c r="A42" s="501">
        <v>35186</v>
      </c>
      <c r="B42" s="273">
        <v>7.4800000000000005E-2</v>
      </c>
      <c r="C42" s="502">
        <v>2.8270874424720649E-2</v>
      </c>
      <c r="D42" s="466">
        <v>6.8499999999999991E-2</v>
      </c>
    </row>
    <row r="43" spans="1:4" x14ac:dyDescent="0.2">
      <c r="A43" s="501">
        <v>35217</v>
      </c>
      <c r="B43" s="273">
        <v>6.8699999999999997E-2</v>
      </c>
      <c r="C43" s="502">
        <v>2.8215223097112659E-2</v>
      </c>
      <c r="D43" s="466">
        <v>6.7299999999999999E-2</v>
      </c>
    </row>
    <row r="44" spans="1:4" x14ac:dyDescent="0.2">
      <c r="A44" s="501">
        <v>35247</v>
      </c>
      <c r="B44" s="273">
        <v>6.8099999999999994E-2</v>
      </c>
      <c r="C44" s="502">
        <v>2.883355176933167E-2</v>
      </c>
      <c r="D44" s="466">
        <v>6.8000000000000005E-2</v>
      </c>
    </row>
    <row r="45" spans="1:4" x14ac:dyDescent="0.2">
      <c r="A45" s="501">
        <v>35278</v>
      </c>
      <c r="B45" s="273">
        <v>6.0999999999999999E-2</v>
      </c>
      <c r="C45" s="502">
        <v>2.812295618051008E-2</v>
      </c>
      <c r="D45" s="466">
        <v>6.9599999999999995E-2</v>
      </c>
    </row>
    <row r="46" spans="1:4" x14ac:dyDescent="0.2">
      <c r="A46" s="501">
        <v>35309</v>
      </c>
      <c r="B46" s="273">
        <v>5.33E-2</v>
      </c>
      <c r="C46" s="502">
        <v>3.0045721750489921E-2</v>
      </c>
      <c r="D46" s="466">
        <v>6.7199999999999996E-2</v>
      </c>
    </row>
    <row r="47" spans="1:4" x14ac:dyDescent="0.2">
      <c r="A47" s="501">
        <v>35339</v>
      </c>
      <c r="B47" s="273">
        <v>5.9400000000000001E-2</v>
      </c>
      <c r="C47" s="502">
        <v>3.0618892508143199E-2</v>
      </c>
      <c r="D47" s="466">
        <v>6.3700000000000007E-2</v>
      </c>
    </row>
    <row r="48" spans="1:4" x14ac:dyDescent="0.2">
      <c r="A48" s="501">
        <v>35370</v>
      </c>
      <c r="B48" s="273">
        <v>5.4600000000000003E-2</v>
      </c>
      <c r="C48" s="502">
        <v>3.2530904359141077E-2</v>
      </c>
      <c r="D48" s="466">
        <v>6.0599999999999987E-2</v>
      </c>
    </row>
    <row r="49" spans="1:4" x14ac:dyDescent="0.2">
      <c r="A49" s="501">
        <v>35400</v>
      </c>
      <c r="B49" s="273">
        <v>5.2299999999999999E-2</v>
      </c>
      <c r="C49" s="502">
        <v>3.378817413905133E-2</v>
      </c>
      <c r="D49" s="466">
        <v>6.4299999999999996E-2</v>
      </c>
    </row>
    <row r="50" spans="1:4" x14ac:dyDescent="0.2">
      <c r="A50" s="501">
        <v>35431</v>
      </c>
      <c r="B50" s="273">
        <v>4.3700000000000003E-2</v>
      </c>
      <c r="C50" s="502">
        <v>3.0381383322559911E-2</v>
      </c>
      <c r="D50" s="466">
        <v>6.5299999999999997E-2</v>
      </c>
    </row>
    <row r="51" spans="1:4" x14ac:dyDescent="0.2">
      <c r="A51" s="501">
        <v>35462</v>
      </c>
      <c r="B51" s="273">
        <v>4.19E-2</v>
      </c>
      <c r="C51" s="502">
        <v>3.0322580645161249E-2</v>
      </c>
      <c r="D51" s="466">
        <v>6.5599999999999992E-2</v>
      </c>
    </row>
    <row r="52" spans="1:4" x14ac:dyDescent="0.2">
      <c r="A52" s="501">
        <v>35490</v>
      </c>
      <c r="B52" s="273">
        <v>4.6899999999999997E-2</v>
      </c>
      <c r="C52" s="502">
        <v>2.7652733118971099E-2</v>
      </c>
      <c r="D52" s="466">
        <v>6.9199999999999998E-2</v>
      </c>
    </row>
    <row r="53" spans="1:4" x14ac:dyDescent="0.2">
      <c r="A53" s="501">
        <v>35521</v>
      </c>
      <c r="B53" s="273">
        <v>4.5699999999999998E-2</v>
      </c>
      <c r="C53" s="502">
        <v>2.4343369634849621E-2</v>
      </c>
      <c r="D53" s="466">
        <v>6.7199999999999996E-2</v>
      </c>
    </row>
    <row r="54" spans="1:4" x14ac:dyDescent="0.2">
      <c r="A54" s="501">
        <v>35551</v>
      </c>
      <c r="B54" s="273">
        <v>4.0399999999999998E-2</v>
      </c>
      <c r="C54" s="502">
        <v>2.2378516624040889E-2</v>
      </c>
      <c r="D54" s="466">
        <v>6.6699999999999995E-2</v>
      </c>
    </row>
    <row r="55" spans="1:4" x14ac:dyDescent="0.2">
      <c r="A55" s="501">
        <v>35582</v>
      </c>
      <c r="B55" s="273">
        <v>3.9199999999999999E-2</v>
      </c>
      <c r="C55" s="502">
        <v>2.2335673261008271E-2</v>
      </c>
      <c r="D55" s="466">
        <v>6.5099999999999991E-2</v>
      </c>
    </row>
    <row r="56" spans="1:4" x14ac:dyDescent="0.2">
      <c r="A56" s="501">
        <v>35612</v>
      </c>
      <c r="B56" s="273">
        <v>3.7499999999999999E-2</v>
      </c>
      <c r="C56" s="502">
        <v>2.1656050955414011E-2</v>
      </c>
      <c r="D56" s="466">
        <v>6.0199999999999997E-2</v>
      </c>
    </row>
    <row r="57" spans="1:4" x14ac:dyDescent="0.2">
      <c r="A57" s="501">
        <v>35643</v>
      </c>
      <c r="B57" s="273">
        <v>3.8699999999999998E-2</v>
      </c>
      <c r="C57" s="502">
        <v>2.2900763358778779E-2</v>
      </c>
      <c r="D57" s="466">
        <v>6.3399999999999998E-2</v>
      </c>
    </row>
    <row r="58" spans="1:4" x14ac:dyDescent="0.2">
      <c r="A58" s="501">
        <v>35674</v>
      </c>
      <c r="B58" s="273">
        <v>3.5999999999999997E-2</v>
      </c>
      <c r="C58" s="502">
        <v>2.2194039315155401E-2</v>
      </c>
      <c r="D58" s="466">
        <v>6.1199999999999997E-2</v>
      </c>
    </row>
    <row r="59" spans="1:4" x14ac:dyDescent="0.2">
      <c r="A59" s="501">
        <v>35704</v>
      </c>
      <c r="B59" s="273">
        <v>6.7699999999999996E-2</v>
      </c>
      <c r="C59" s="502">
        <v>2.085967130214916E-2</v>
      </c>
      <c r="D59" s="466">
        <v>5.8400000000000001E-2</v>
      </c>
    </row>
    <row r="60" spans="1:4" x14ac:dyDescent="0.2">
      <c r="A60" s="501">
        <v>35735</v>
      </c>
      <c r="B60" s="273">
        <v>5.7200000000000001E-2</v>
      </c>
      <c r="C60" s="502">
        <v>1.8903591682419622E-2</v>
      </c>
      <c r="D60" s="466">
        <v>5.8600000000000013E-2</v>
      </c>
    </row>
    <row r="61" spans="1:4" x14ac:dyDescent="0.2">
      <c r="A61" s="501">
        <v>35765</v>
      </c>
      <c r="B61" s="273">
        <v>5.21E-2</v>
      </c>
      <c r="C61" s="502">
        <v>1.697045883092407E-2</v>
      </c>
      <c r="D61" s="466">
        <v>5.7500000000000002E-2</v>
      </c>
    </row>
    <row r="62" spans="1:4" x14ac:dyDescent="0.2">
      <c r="A62" s="501">
        <v>35796</v>
      </c>
      <c r="B62" s="273">
        <v>5.4600000000000003E-2</v>
      </c>
      <c r="C62" s="502">
        <v>1.6311166875784041E-2</v>
      </c>
      <c r="D62" s="466">
        <v>5.5300000000000002E-2</v>
      </c>
    </row>
    <row r="63" spans="1:4" x14ac:dyDescent="0.2">
      <c r="A63" s="501">
        <v>35827</v>
      </c>
      <c r="B63" s="273">
        <v>4.9500000000000002E-2</v>
      </c>
      <c r="C63" s="502">
        <v>1.4402003757044479E-2</v>
      </c>
      <c r="D63" s="466">
        <v>5.62E-2</v>
      </c>
    </row>
    <row r="64" spans="1:4" x14ac:dyDescent="0.2">
      <c r="A64" s="501">
        <v>35855</v>
      </c>
      <c r="B64" s="273">
        <v>4.4299999999999999E-2</v>
      </c>
      <c r="C64" s="502">
        <v>1.376720901126394E-2</v>
      </c>
      <c r="D64" s="466">
        <v>5.67E-2</v>
      </c>
    </row>
    <row r="65" spans="1:4" x14ac:dyDescent="0.2">
      <c r="A65" s="501">
        <v>35886</v>
      </c>
      <c r="B65" s="273">
        <v>4.6699999999999998E-2</v>
      </c>
      <c r="C65" s="502">
        <v>1.43839899937459E-2</v>
      </c>
      <c r="D65" s="466">
        <v>5.6800000000000003E-2</v>
      </c>
    </row>
    <row r="66" spans="1:4" x14ac:dyDescent="0.2">
      <c r="A66" s="501">
        <v>35916</v>
      </c>
      <c r="B66" s="273">
        <v>5.7599999999999998E-2</v>
      </c>
      <c r="C66" s="502">
        <v>1.688555347091936E-2</v>
      </c>
      <c r="D66" s="466">
        <v>5.5599999999999997E-2</v>
      </c>
    </row>
    <row r="67" spans="1:4" x14ac:dyDescent="0.2">
      <c r="A67" s="501">
        <v>35947</v>
      </c>
      <c r="B67" s="273">
        <v>6.6299999999999998E-2</v>
      </c>
      <c r="C67" s="502">
        <v>1.6229712858926382E-2</v>
      </c>
      <c r="D67" s="466">
        <v>5.4399999999999997E-2</v>
      </c>
    </row>
    <row r="68" spans="1:4" x14ac:dyDescent="0.2">
      <c r="A68" s="501">
        <v>35977</v>
      </c>
      <c r="B68" s="273">
        <v>6.08E-2</v>
      </c>
      <c r="C68" s="502">
        <v>1.7456359102244301E-2</v>
      </c>
      <c r="D68" s="466">
        <v>5.5E-2</v>
      </c>
    </row>
    <row r="69" spans="1:4" x14ac:dyDescent="0.2">
      <c r="A69" s="501">
        <v>36008</v>
      </c>
      <c r="B69" s="273">
        <v>0.1421</v>
      </c>
      <c r="C69" s="502">
        <v>1.616915422885579E-2</v>
      </c>
      <c r="D69" s="466">
        <v>5.0500000000000003E-2</v>
      </c>
    </row>
    <row r="70" spans="1:4" x14ac:dyDescent="0.2">
      <c r="A70" s="501">
        <v>36039</v>
      </c>
      <c r="B70" s="273">
        <v>0.1326</v>
      </c>
      <c r="C70" s="502">
        <v>1.4267990074441791E-2</v>
      </c>
      <c r="D70" s="466">
        <v>4.4400000000000002E-2</v>
      </c>
    </row>
    <row r="71" spans="1:4" x14ac:dyDescent="0.2">
      <c r="A71" s="501">
        <v>36069</v>
      </c>
      <c r="B71" s="273">
        <v>0.1192</v>
      </c>
      <c r="C71" s="502">
        <v>1.4860681114551079E-2</v>
      </c>
      <c r="D71" s="466">
        <v>4.6399999999999997E-2</v>
      </c>
    </row>
    <row r="72" spans="1:4" x14ac:dyDescent="0.2">
      <c r="A72" s="501">
        <v>36100</v>
      </c>
      <c r="B72" s="273">
        <v>9.7500000000000003E-2</v>
      </c>
      <c r="C72" s="502">
        <v>1.4842300556586309E-2</v>
      </c>
      <c r="D72" s="466">
        <v>4.7399999999999998E-2</v>
      </c>
    </row>
    <row r="73" spans="1:4" x14ac:dyDescent="0.2">
      <c r="A73" s="501">
        <v>36130</v>
      </c>
      <c r="B73" s="273">
        <v>0.1231</v>
      </c>
      <c r="C73" s="502">
        <v>1.606922126081578E-2</v>
      </c>
      <c r="D73" s="466">
        <v>4.6500000000000007E-2</v>
      </c>
    </row>
    <row r="74" spans="1:4" x14ac:dyDescent="0.2">
      <c r="A74" s="501">
        <v>36161</v>
      </c>
      <c r="B74" s="273">
        <v>0.1507</v>
      </c>
      <c r="C74" s="502">
        <v>1.6666666666666611E-2</v>
      </c>
      <c r="D74" s="466">
        <v>4.6600000000000003E-2</v>
      </c>
    </row>
    <row r="75" spans="1:4" x14ac:dyDescent="0.2">
      <c r="A75" s="501">
        <v>36192</v>
      </c>
      <c r="B75" s="273">
        <v>0.1376</v>
      </c>
      <c r="C75" s="502">
        <v>1.6666666666666611E-2</v>
      </c>
      <c r="D75" s="466">
        <v>5.2900000000000003E-2</v>
      </c>
    </row>
    <row r="76" spans="1:4" x14ac:dyDescent="0.2">
      <c r="A76" s="501">
        <v>36220</v>
      </c>
      <c r="B76" s="273">
        <v>0.1041</v>
      </c>
      <c r="C76" s="502">
        <v>1.7283950617283939E-2</v>
      </c>
      <c r="D76" s="466">
        <v>5.2499999999999998E-2</v>
      </c>
    </row>
    <row r="77" spans="1:4" x14ac:dyDescent="0.2">
      <c r="A77" s="501">
        <v>36251</v>
      </c>
      <c r="B77" s="273">
        <v>8.7300000000000003E-2</v>
      </c>
      <c r="C77" s="502">
        <v>2.2811344019728841E-2</v>
      </c>
      <c r="D77" s="466">
        <v>5.3600000000000002E-2</v>
      </c>
    </row>
    <row r="78" spans="1:4" x14ac:dyDescent="0.2">
      <c r="A78" s="501">
        <v>36281</v>
      </c>
      <c r="B78" s="273">
        <v>0.1066</v>
      </c>
      <c r="C78" s="502">
        <v>2.091020910209096E-2</v>
      </c>
      <c r="D78" s="466">
        <v>5.6399999999999999E-2</v>
      </c>
    </row>
    <row r="79" spans="1:4" x14ac:dyDescent="0.2">
      <c r="A79" s="501">
        <v>36312</v>
      </c>
      <c r="B79" s="273">
        <v>9.5699999999999993E-2</v>
      </c>
      <c r="C79" s="502">
        <v>1.96560196560196E-2</v>
      </c>
      <c r="D79" s="466">
        <v>5.8099999999999999E-2</v>
      </c>
    </row>
    <row r="80" spans="1:4" x14ac:dyDescent="0.2">
      <c r="A80" s="501">
        <v>36342</v>
      </c>
      <c r="B80" s="273">
        <v>0.1053</v>
      </c>
      <c r="C80" s="502">
        <v>2.144607843137258E-2</v>
      </c>
      <c r="D80" s="466">
        <v>5.9200000000000003E-2</v>
      </c>
    </row>
    <row r="81" spans="1:4" x14ac:dyDescent="0.2">
      <c r="A81" s="501">
        <v>36373</v>
      </c>
      <c r="B81" s="273">
        <v>0.1124</v>
      </c>
      <c r="C81" s="502">
        <v>2.2643818849449101E-2</v>
      </c>
      <c r="D81" s="466">
        <v>5.9800000000000013E-2</v>
      </c>
    </row>
    <row r="82" spans="1:4" x14ac:dyDescent="0.2">
      <c r="A82" s="501">
        <v>36404</v>
      </c>
      <c r="B82" s="273">
        <v>9.8400000000000001E-2</v>
      </c>
      <c r="C82" s="502">
        <v>2.629969418960254E-2</v>
      </c>
      <c r="D82" s="466">
        <v>5.8999999999999997E-2</v>
      </c>
    </row>
    <row r="83" spans="1:4" x14ac:dyDescent="0.2">
      <c r="A83" s="501">
        <v>36434</v>
      </c>
      <c r="B83" s="273">
        <v>8.5099999999999995E-2</v>
      </c>
      <c r="C83" s="502">
        <v>2.56253813300793E-2</v>
      </c>
      <c r="D83" s="466">
        <v>6.0199999999999997E-2</v>
      </c>
    </row>
    <row r="84" spans="1:4" x14ac:dyDescent="0.2">
      <c r="A84" s="501">
        <v>36465</v>
      </c>
      <c r="B84" s="273">
        <v>8.0600000000000005E-2</v>
      </c>
      <c r="C84" s="502">
        <v>2.6203534430225609E-2</v>
      </c>
      <c r="D84" s="466">
        <v>6.1799999999999987E-2</v>
      </c>
    </row>
    <row r="85" spans="1:4" x14ac:dyDescent="0.2">
      <c r="A85" s="501">
        <v>36495</v>
      </c>
      <c r="B85" s="273">
        <v>6.3600000000000004E-2</v>
      </c>
      <c r="C85" s="502">
        <v>2.6763990267639981E-2</v>
      </c>
      <c r="D85" s="466">
        <v>6.4500000000000002E-2</v>
      </c>
    </row>
    <row r="86" spans="1:4" x14ac:dyDescent="0.2">
      <c r="A86" s="501">
        <v>36526</v>
      </c>
      <c r="B86" s="273">
        <v>7.5800000000000006E-2</v>
      </c>
      <c r="C86" s="502">
        <v>2.7929568913175551E-2</v>
      </c>
      <c r="D86" s="466">
        <v>6.6799999999999998E-2</v>
      </c>
    </row>
    <row r="87" spans="1:4" x14ac:dyDescent="0.2">
      <c r="A87" s="501">
        <v>36557</v>
      </c>
      <c r="B87" s="273">
        <v>6.88E-2</v>
      </c>
      <c r="C87" s="502">
        <v>3.2179720704310848E-2</v>
      </c>
      <c r="D87" s="466">
        <v>6.4199999999999993E-2</v>
      </c>
    </row>
    <row r="88" spans="1:4" x14ac:dyDescent="0.2">
      <c r="A88" s="501">
        <v>36586</v>
      </c>
      <c r="B88" s="273">
        <v>6.7900000000000002E-2</v>
      </c>
      <c r="C88" s="502">
        <v>3.762135922330101E-2</v>
      </c>
      <c r="D88" s="466">
        <v>6.0299999999999999E-2</v>
      </c>
    </row>
    <row r="89" spans="1:4" x14ac:dyDescent="0.2">
      <c r="A89" s="501">
        <v>36617</v>
      </c>
      <c r="B89" s="273">
        <v>7.4200000000000002E-2</v>
      </c>
      <c r="C89" s="502">
        <v>3.0138637733574392E-2</v>
      </c>
      <c r="D89" s="466">
        <v>6.2300000000000001E-2</v>
      </c>
    </row>
    <row r="90" spans="1:4" x14ac:dyDescent="0.2">
      <c r="A90" s="501">
        <v>36647</v>
      </c>
      <c r="B90" s="273">
        <v>7.9200000000000007E-2</v>
      </c>
      <c r="C90" s="502">
        <v>3.1325301204819127E-2</v>
      </c>
      <c r="D90" s="466">
        <v>6.2899999999999998E-2</v>
      </c>
    </row>
    <row r="91" spans="1:4" x14ac:dyDescent="0.2">
      <c r="A91" s="501">
        <v>36678</v>
      </c>
      <c r="B91" s="273">
        <v>7.22E-2</v>
      </c>
      <c r="C91" s="502">
        <v>3.7349397590361377E-2</v>
      </c>
      <c r="D91" s="466">
        <v>6.0299999999999999E-2</v>
      </c>
    </row>
    <row r="92" spans="1:4" x14ac:dyDescent="0.2">
      <c r="A92" s="501">
        <v>36708</v>
      </c>
      <c r="B92" s="273">
        <v>7.1199999999999999E-2</v>
      </c>
      <c r="C92" s="502">
        <v>3.5992801439711952E-2</v>
      </c>
      <c r="D92" s="466">
        <v>6.0400000000000002E-2</v>
      </c>
    </row>
    <row r="93" spans="1:4" x14ac:dyDescent="0.2">
      <c r="A93" s="501">
        <v>36739</v>
      </c>
      <c r="B93" s="273">
        <v>6.7199999999999996E-2</v>
      </c>
      <c r="C93" s="502">
        <v>3.3512866546977722E-2</v>
      </c>
      <c r="D93" s="466">
        <v>5.7299999999999997E-2</v>
      </c>
    </row>
    <row r="94" spans="1:4" x14ac:dyDescent="0.2">
      <c r="A94" s="501">
        <v>36770</v>
      </c>
      <c r="B94" s="273">
        <v>7.0499999999999993E-2</v>
      </c>
      <c r="C94" s="502">
        <v>3.4564958283670899E-2</v>
      </c>
      <c r="D94" s="466">
        <v>5.8000000000000003E-2</v>
      </c>
    </row>
    <row r="95" spans="1:4" x14ac:dyDescent="0.2">
      <c r="A95" s="501">
        <v>36800</v>
      </c>
      <c r="B95" s="273">
        <v>7.5800000000000006E-2</v>
      </c>
      <c r="C95" s="502">
        <v>3.4503271861986873E-2</v>
      </c>
      <c r="D95" s="466">
        <v>5.7699999999999987E-2</v>
      </c>
    </row>
    <row r="96" spans="1:4" x14ac:dyDescent="0.2">
      <c r="A96" s="501">
        <v>36831</v>
      </c>
      <c r="B96" s="273">
        <v>8.2900000000000001E-2</v>
      </c>
      <c r="C96" s="502">
        <v>3.444180522565321E-2</v>
      </c>
      <c r="D96" s="466">
        <v>5.4800000000000001E-2</v>
      </c>
    </row>
    <row r="97" spans="1:4" x14ac:dyDescent="0.2">
      <c r="A97" s="501">
        <v>36861</v>
      </c>
      <c r="B97" s="273">
        <v>7.4899999999999994E-2</v>
      </c>
      <c r="C97" s="502">
        <v>3.4360189573459543E-2</v>
      </c>
      <c r="D97" s="466">
        <v>5.1200000000000002E-2</v>
      </c>
    </row>
    <row r="98" spans="1:4" x14ac:dyDescent="0.2">
      <c r="A98" s="501">
        <v>36892</v>
      </c>
      <c r="B98" s="273">
        <v>6.7699999999999996E-2</v>
      </c>
      <c r="C98" s="502">
        <v>3.7212049616065952E-2</v>
      </c>
      <c r="D98" s="466">
        <v>5.1900000000000002E-2</v>
      </c>
    </row>
    <row r="99" spans="1:4" x14ac:dyDescent="0.2">
      <c r="A99" s="501">
        <v>36923</v>
      </c>
      <c r="B99" s="273">
        <v>7.5300000000000006E-2</v>
      </c>
      <c r="C99" s="502">
        <v>3.529411764705892E-2</v>
      </c>
      <c r="D99" s="466">
        <v>4.9200000000000001E-2</v>
      </c>
    </row>
    <row r="100" spans="1:4" x14ac:dyDescent="0.2">
      <c r="A100" s="501">
        <v>36951</v>
      </c>
      <c r="B100" s="273">
        <v>8.14E-2</v>
      </c>
      <c r="C100" s="502">
        <v>2.9824561403508639E-2</v>
      </c>
      <c r="D100" s="466">
        <v>4.9299999999999997E-2</v>
      </c>
    </row>
    <row r="101" spans="1:4" x14ac:dyDescent="0.2">
      <c r="A101" s="501">
        <v>36982</v>
      </c>
      <c r="B101" s="273">
        <v>8.2100000000000006E-2</v>
      </c>
      <c r="C101" s="502">
        <v>3.2182562902282053E-2</v>
      </c>
      <c r="D101" s="466">
        <v>5.3499999999999999E-2</v>
      </c>
    </row>
    <row r="102" spans="1:4" x14ac:dyDescent="0.2">
      <c r="A102" s="501">
        <v>37012</v>
      </c>
      <c r="B102" s="273">
        <v>8.5699999999999998E-2</v>
      </c>
      <c r="C102" s="502">
        <v>3.5630841121495387E-2</v>
      </c>
      <c r="D102" s="466">
        <v>5.4299999999999987E-2</v>
      </c>
    </row>
    <row r="103" spans="1:4" x14ac:dyDescent="0.2">
      <c r="A103" s="501">
        <v>37043</v>
      </c>
      <c r="B103" s="273">
        <v>8.4099999999999994E-2</v>
      </c>
      <c r="C103" s="502">
        <v>3.1939605110336888E-2</v>
      </c>
      <c r="D103" s="466">
        <v>5.4199999999999998E-2</v>
      </c>
    </row>
    <row r="104" spans="1:4" x14ac:dyDescent="0.2">
      <c r="A104" s="501">
        <v>37073</v>
      </c>
      <c r="B104" s="273">
        <v>9.7199999999999995E-2</v>
      </c>
      <c r="C104" s="502">
        <v>2.7214823393167501E-2</v>
      </c>
      <c r="D104" s="466">
        <v>5.0700000000000002E-2</v>
      </c>
    </row>
    <row r="105" spans="1:4" x14ac:dyDescent="0.2">
      <c r="A105" s="501">
        <v>37104</v>
      </c>
      <c r="B105" s="273">
        <v>9.5200000000000007E-2</v>
      </c>
      <c r="C105" s="502">
        <v>2.7214823393167501E-2</v>
      </c>
      <c r="D105" s="466">
        <v>4.8499999999999988E-2</v>
      </c>
    </row>
    <row r="106" spans="1:4" x14ac:dyDescent="0.2">
      <c r="A106" s="501">
        <v>37135</v>
      </c>
      <c r="B106" s="273">
        <v>0.1163</v>
      </c>
      <c r="C106" s="502">
        <v>2.5921658986175041E-2</v>
      </c>
      <c r="D106" s="466">
        <v>4.5999999999999999E-2</v>
      </c>
    </row>
    <row r="107" spans="1:4" x14ac:dyDescent="0.2">
      <c r="A107" s="501">
        <v>37165</v>
      </c>
      <c r="B107" s="273">
        <v>0.1179</v>
      </c>
      <c r="C107" s="502">
        <v>2.1276595744680771E-2</v>
      </c>
      <c r="D107" s="466">
        <v>4.2999999999999997E-2</v>
      </c>
    </row>
    <row r="108" spans="1:4" x14ac:dyDescent="0.2">
      <c r="A108" s="501">
        <v>37196</v>
      </c>
      <c r="B108" s="273">
        <v>9.7799999999999998E-2</v>
      </c>
      <c r="C108" s="502">
        <v>1.8943742824339971E-2</v>
      </c>
      <c r="D108" s="466">
        <v>4.7800000000000002E-2</v>
      </c>
    </row>
    <row r="109" spans="1:4" x14ac:dyDescent="0.2">
      <c r="A109" s="501">
        <v>37226</v>
      </c>
      <c r="B109" s="273">
        <v>8.6999999999999994E-2</v>
      </c>
      <c r="C109" s="502">
        <v>1.6036655211913109E-2</v>
      </c>
      <c r="D109" s="466">
        <v>5.0700000000000002E-2</v>
      </c>
    </row>
    <row r="110" spans="1:4" x14ac:dyDescent="0.2">
      <c r="A110" s="501">
        <v>37257</v>
      </c>
      <c r="B110" s="273">
        <v>9.6500000000000002E-2</v>
      </c>
      <c r="C110" s="502">
        <v>1.195899772209574E-2</v>
      </c>
      <c r="D110" s="466">
        <v>5.0700000000000002E-2</v>
      </c>
    </row>
    <row r="111" spans="1:4" x14ac:dyDescent="0.2">
      <c r="A111" s="501">
        <v>37288</v>
      </c>
      <c r="B111" s="273">
        <v>7.8600000000000003E-2</v>
      </c>
      <c r="C111" s="502">
        <v>1.1363636363636459E-2</v>
      </c>
      <c r="D111" s="466">
        <v>4.8800000000000003E-2</v>
      </c>
    </row>
    <row r="112" spans="1:4" x14ac:dyDescent="0.2">
      <c r="A112" s="501">
        <v>37316</v>
      </c>
      <c r="B112" s="273">
        <v>7.17E-2</v>
      </c>
      <c r="C112" s="502">
        <v>1.362862010221466E-2</v>
      </c>
      <c r="D112" s="466">
        <v>5.4199999999999998E-2</v>
      </c>
    </row>
    <row r="113" spans="1:4" x14ac:dyDescent="0.2">
      <c r="A113" s="501">
        <v>37347</v>
      </c>
      <c r="B113" s="273">
        <v>8.5699999999999998E-2</v>
      </c>
      <c r="C113" s="502">
        <v>1.6439909297052191E-2</v>
      </c>
      <c r="D113" s="466">
        <v>5.1100000000000013E-2</v>
      </c>
    </row>
    <row r="114" spans="1:4" x14ac:dyDescent="0.2">
      <c r="A114" s="501">
        <v>37377</v>
      </c>
      <c r="B114" s="273">
        <v>9.7600000000000006E-2</v>
      </c>
      <c r="C114" s="502">
        <v>1.2408347433727981E-2</v>
      </c>
      <c r="D114" s="466">
        <v>5.0799999999999998E-2</v>
      </c>
    </row>
    <row r="115" spans="1:4" x14ac:dyDescent="0.2">
      <c r="A115" s="501">
        <v>37408</v>
      </c>
      <c r="B115" s="273">
        <v>0.1527</v>
      </c>
      <c r="C115" s="502">
        <v>1.0692177827799741E-2</v>
      </c>
      <c r="D115" s="466">
        <v>4.8599999999999997E-2</v>
      </c>
    </row>
    <row r="116" spans="1:4" x14ac:dyDescent="0.2">
      <c r="A116" s="501">
        <v>37438</v>
      </c>
      <c r="B116" s="273">
        <v>0.23069999999999999</v>
      </c>
      <c r="C116" s="502">
        <v>1.465614430665152E-2</v>
      </c>
      <c r="D116" s="466">
        <v>4.5100000000000001E-2</v>
      </c>
    </row>
    <row r="117" spans="1:4" x14ac:dyDescent="0.2">
      <c r="A117" s="501">
        <v>37469</v>
      </c>
      <c r="B117" s="273">
        <v>0.1633</v>
      </c>
      <c r="C117" s="502">
        <v>1.7474633596392231E-2</v>
      </c>
      <c r="D117" s="466">
        <v>4.1399999999999999E-2</v>
      </c>
    </row>
    <row r="118" spans="1:4" x14ac:dyDescent="0.2">
      <c r="A118" s="501">
        <v>37500</v>
      </c>
      <c r="B118" s="273">
        <v>0.2397</v>
      </c>
      <c r="C118" s="502">
        <v>1.516002245929271E-2</v>
      </c>
      <c r="D118" s="466">
        <v>3.6299999999999999E-2</v>
      </c>
    </row>
    <row r="119" spans="1:4" x14ac:dyDescent="0.2">
      <c r="A119" s="501">
        <v>37530</v>
      </c>
      <c r="B119" s="273">
        <v>0.1741</v>
      </c>
      <c r="C119" s="502">
        <v>2.0270270270270171E-2</v>
      </c>
      <c r="D119" s="466">
        <v>3.9300000000000002E-2</v>
      </c>
    </row>
    <row r="120" spans="1:4" x14ac:dyDescent="0.2">
      <c r="A120" s="501">
        <v>37561</v>
      </c>
      <c r="B120" s="273">
        <v>0.15859999999999999</v>
      </c>
      <c r="C120" s="502">
        <v>2.25352112676056E-2</v>
      </c>
      <c r="D120" s="466">
        <v>4.2199999999999988E-2</v>
      </c>
    </row>
    <row r="121" spans="1:4" x14ac:dyDescent="0.2">
      <c r="A121" s="501">
        <v>37591</v>
      </c>
      <c r="B121" s="273">
        <v>0.14449999999999999</v>
      </c>
      <c r="C121" s="502">
        <v>2.4802705749718209E-2</v>
      </c>
      <c r="D121" s="466">
        <v>3.8300000000000001E-2</v>
      </c>
    </row>
    <row r="122" spans="1:4" x14ac:dyDescent="0.2">
      <c r="A122" s="501">
        <v>37622</v>
      </c>
      <c r="B122" s="273">
        <v>0.1323</v>
      </c>
      <c r="C122" s="502">
        <v>2.7574563871693991E-2</v>
      </c>
      <c r="D122" s="466">
        <v>0.04</v>
      </c>
    </row>
    <row r="123" spans="1:4" x14ac:dyDescent="0.2">
      <c r="A123" s="501">
        <v>37653</v>
      </c>
      <c r="B123" s="273">
        <v>0.1205</v>
      </c>
      <c r="C123" s="502">
        <v>3.1460674157303359E-2</v>
      </c>
      <c r="D123" s="466">
        <v>3.7100000000000001E-2</v>
      </c>
    </row>
    <row r="124" spans="1:4" x14ac:dyDescent="0.2">
      <c r="A124" s="501">
        <v>37681</v>
      </c>
      <c r="B124" s="273">
        <v>0.1045</v>
      </c>
      <c r="C124" s="502">
        <v>3.0252100840336249E-2</v>
      </c>
      <c r="D124" s="466">
        <v>3.8300000000000001E-2</v>
      </c>
    </row>
    <row r="125" spans="1:4" x14ac:dyDescent="0.2">
      <c r="A125" s="501">
        <v>37712</v>
      </c>
      <c r="B125" s="273">
        <v>8.2100000000000006E-2</v>
      </c>
      <c r="C125" s="502">
        <v>2.175125488008911E-2</v>
      </c>
      <c r="D125" s="466">
        <v>3.8899999999999997E-2</v>
      </c>
    </row>
    <row r="126" spans="1:4" x14ac:dyDescent="0.2">
      <c r="A126" s="501">
        <v>37742</v>
      </c>
      <c r="B126" s="273">
        <v>7.9399999999999998E-2</v>
      </c>
      <c r="C126" s="502">
        <v>1.8941504178273009E-2</v>
      </c>
      <c r="D126" s="466">
        <v>3.3700000000000001E-2</v>
      </c>
    </row>
    <row r="127" spans="1:4" x14ac:dyDescent="0.2">
      <c r="A127" s="501">
        <v>37773</v>
      </c>
      <c r="B127" s="273">
        <v>8.0100000000000005E-2</v>
      </c>
      <c r="C127" s="502">
        <v>1.9487750556792971E-2</v>
      </c>
      <c r="D127" s="466">
        <v>3.5400000000000001E-2</v>
      </c>
    </row>
    <row r="128" spans="1:4" x14ac:dyDescent="0.2">
      <c r="A128" s="501">
        <v>37803</v>
      </c>
      <c r="B128" s="273">
        <v>8.0100000000000005E-2</v>
      </c>
      <c r="C128" s="502">
        <v>2.0555555555555442E-2</v>
      </c>
      <c r="D128" s="466">
        <v>4.4900000000000002E-2</v>
      </c>
    </row>
    <row r="129" spans="1:4" x14ac:dyDescent="0.2">
      <c r="A129" s="501">
        <v>37834</v>
      </c>
      <c r="B129" s="273">
        <v>7.0300000000000001E-2</v>
      </c>
      <c r="C129" s="502">
        <v>2.2160664819944609E-2</v>
      </c>
      <c r="D129" s="466">
        <v>4.4499999999999998E-2</v>
      </c>
    </row>
    <row r="130" spans="1:4" x14ac:dyDescent="0.2">
      <c r="A130" s="501">
        <v>37865</v>
      </c>
      <c r="B130" s="273">
        <v>6.9800000000000001E-2</v>
      </c>
      <c r="C130" s="502">
        <v>2.3783185840707821E-2</v>
      </c>
      <c r="D130" s="466">
        <v>3.9600000000000003E-2</v>
      </c>
    </row>
    <row r="131" spans="1:4" x14ac:dyDescent="0.2">
      <c r="A131" s="501">
        <v>37895</v>
      </c>
      <c r="B131" s="273">
        <v>6.0299999999999999E-2</v>
      </c>
      <c r="C131" s="502">
        <v>2.0419426048565281E-2</v>
      </c>
      <c r="D131" s="466">
        <v>4.3299999999999998E-2</v>
      </c>
    </row>
    <row r="132" spans="1:4" x14ac:dyDescent="0.2">
      <c r="A132" s="501">
        <v>37926</v>
      </c>
      <c r="B132" s="273">
        <v>5.33E-2</v>
      </c>
      <c r="C132" s="502">
        <v>1.928374655647391E-2</v>
      </c>
      <c r="D132" s="466">
        <v>4.3400000000000001E-2</v>
      </c>
    </row>
    <row r="133" spans="1:4" x14ac:dyDescent="0.2">
      <c r="A133" s="501">
        <v>37956</v>
      </c>
      <c r="B133" s="273">
        <v>4.6300000000000001E-2</v>
      </c>
      <c r="C133" s="502">
        <v>2.035203520352025E-2</v>
      </c>
      <c r="D133" s="466">
        <v>4.2699999999999988E-2</v>
      </c>
    </row>
    <row r="134" spans="1:4" x14ac:dyDescent="0.2">
      <c r="A134" s="501">
        <v>37987</v>
      </c>
      <c r="B134" s="273">
        <v>4.9299999999999997E-2</v>
      </c>
      <c r="C134" s="502">
        <v>2.0262869660460089E-2</v>
      </c>
      <c r="D134" s="466">
        <v>4.1599999999999998E-2</v>
      </c>
    </row>
    <row r="135" spans="1:4" x14ac:dyDescent="0.2">
      <c r="A135" s="501">
        <v>38018</v>
      </c>
      <c r="B135" s="273">
        <v>5.79E-2</v>
      </c>
      <c r="C135" s="502">
        <v>1.6884531590413809E-2</v>
      </c>
      <c r="D135" s="466">
        <v>3.9899999999999998E-2</v>
      </c>
    </row>
    <row r="136" spans="1:4" x14ac:dyDescent="0.2">
      <c r="A136" s="501">
        <v>38047</v>
      </c>
      <c r="B136" s="273">
        <v>5.5899999999999998E-2</v>
      </c>
      <c r="C136" s="502">
        <v>1.7400761283306029E-2</v>
      </c>
      <c r="D136" s="466">
        <v>3.8600000000000002E-2</v>
      </c>
    </row>
    <row r="137" spans="1:4" x14ac:dyDescent="0.2">
      <c r="A137" s="501">
        <v>38078</v>
      </c>
      <c r="B137" s="273">
        <v>6.6299999999999998E-2</v>
      </c>
      <c r="C137" s="502">
        <v>2.2925764192139871E-2</v>
      </c>
      <c r="D137" s="466">
        <v>4.53E-2</v>
      </c>
    </row>
    <row r="138" spans="1:4" x14ac:dyDescent="0.2">
      <c r="A138" s="501">
        <v>38108</v>
      </c>
      <c r="B138" s="273">
        <v>6.9800000000000001E-2</v>
      </c>
      <c r="C138" s="502">
        <v>2.8977583378895441E-2</v>
      </c>
      <c r="D138" s="466">
        <v>4.6600000000000003E-2</v>
      </c>
    </row>
    <row r="139" spans="1:4" x14ac:dyDescent="0.2">
      <c r="A139" s="501">
        <v>38139</v>
      </c>
      <c r="B139" s="273">
        <v>6.5000000000000002E-2</v>
      </c>
      <c r="C139" s="502">
        <v>3.1676679410158393E-2</v>
      </c>
      <c r="D139" s="466">
        <v>4.6199999999999998E-2</v>
      </c>
    </row>
    <row r="140" spans="1:4" x14ac:dyDescent="0.2">
      <c r="A140" s="501">
        <v>38169</v>
      </c>
      <c r="B140" s="273">
        <v>5.9299999999999999E-2</v>
      </c>
      <c r="C140" s="502">
        <v>2.9395753946652281E-2</v>
      </c>
      <c r="D140" s="466">
        <v>4.4999999999999998E-2</v>
      </c>
    </row>
    <row r="141" spans="1:4" x14ac:dyDescent="0.2">
      <c r="A141" s="501">
        <v>38200</v>
      </c>
      <c r="B141" s="273">
        <v>5.21E-2</v>
      </c>
      <c r="C141" s="502">
        <v>2.5474254742547279E-2</v>
      </c>
      <c r="D141" s="466">
        <v>4.1300000000000003E-2</v>
      </c>
    </row>
    <row r="142" spans="1:4" x14ac:dyDescent="0.2">
      <c r="A142" s="501">
        <v>38231</v>
      </c>
      <c r="B142" s="273">
        <v>4.6899999999999997E-2</v>
      </c>
      <c r="C142" s="502">
        <v>2.539168017287952E-2</v>
      </c>
      <c r="D142" s="466">
        <v>4.1399999999999999E-2</v>
      </c>
    </row>
    <row r="143" spans="1:4" x14ac:dyDescent="0.2">
      <c r="A143" s="501">
        <v>38261</v>
      </c>
      <c r="B143" s="273">
        <v>4.7300000000000002E-2</v>
      </c>
      <c r="C143" s="502">
        <v>3.1909140075716547E-2</v>
      </c>
      <c r="D143" s="466">
        <v>4.0500000000000001E-2</v>
      </c>
    </row>
    <row r="144" spans="1:4" x14ac:dyDescent="0.2">
      <c r="A144" s="501">
        <v>38292</v>
      </c>
      <c r="B144" s="273">
        <v>4.1399999999999999E-2</v>
      </c>
      <c r="C144" s="502">
        <v>3.6216216216216068E-2</v>
      </c>
      <c r="D144" s="466">
        <v>4.36E-2</v>
      </c>
    </row>
    <row r="145" spans="1:4" x14ac:dyDescent="0.2">
      <c r="A145" s="501">
        <v>38322</v>
      </c>
      <c r="B145" s="273">
        <v>3.8199999999999998E-2</v>
      </c>
      <c r="C145" s="502">
        <v>3.3423180592991868E-2</v>
      </c>
      <c r="D145" s="466">
        <v>4.24E-2</v>
      </c>
    </row>
    <row r="146" spans="1:4" x14ac:dyDescent="0.2">
      <c r="A146" s="501">
        <v>38353</v>
      </c>
      <c r="B146" s="273">
        <v>4.1799999999999997E-2</v>
      </c>
      <c r="C146" s="502">
        <v>2.8448738593666031E-2</v>
      </c>
      <c r="D146" s="466">
        <v>4.1399999999999999E-2</v>
      </c>
    </row>
    <row r="147" spans="1:4" x14ac:dyDescent="0.2">
      <c r="A147" s="501">
        <v>38384</v>
      </c>
      <c r="B147" s="273">
        <v>3.9300000000000002E-2</v>
      </c>
      <c r="C147" s="502">
        <v>3.0530262453133391E-2</v>
      </c>
      <c r="D147" s="466">
        <v>4.36E-2</v>
      </c>
    </row>
    <row r="148" spans="1:4" x14ac:dyDescent="0.2">
      <c r="A148" s="501">
        <v>38412</v>
      </c>
      <c r="B148" s="273">
        <v>4.58E-2</v>
      </c>
      <c r="C148" s="502">
        <v>3.2068412613575743E-2</v>
      </c>
      <c r="D148" s="466">
        <v>4.4999999999999998E-2</v>
      </c>
    </row>
    <row r="149" spans="1:4" x14ac:dyDescent="0.2">
      <c r="A149" s="501">
        <v>38443</v>
      </c>
      <c r="B149" s="273">
        <v>4.5699999999999998E-2</v>
      </c>
      <c r="C149" s="502">
        <v>3.3617929562433257E-2</v>
      </c>
      <c r="D149" s="466">
        <v>4.2099999999999999E-2</v>
      </c>
    </row>
    <row r="150" spans="1:4" x14ac:dyDescent="0.2">
      <c r="A150" s="501">
        <v>38473</v>
      </c>
      <c r="B150" s="273">
        <v>4.2000000000000003E-2</v>
      </c>
      <c r="C150" s="502">
        <v>2.8692879914984148E-2</v>
      </c>
      <c r="D150" s="466">
        <v>0.04</v>
      </c>
    </row>
    <row r="151" spans="1:4" x14ac:dyDescent="0.2">
      <c r="A151" s="501">
        <v>38504</v>
      </c>
      <c r="B151" s="273">
        <v>4.1399999999999999E-2</v>
      </c>
      <c r="C151" s="502">
        <v>2.541026998411855E-2</v>
      </c>
      <c r="D151" s="466">
        <v>3.9399999999999998E-2</v>
      </c>
    </row>
    <row r="152" spans="1:4" x14ac:dyDescent="0.2">
      <c r="A152" s="501">
        <v>38534</v>
      </c>
      <c r="B152" s="273">
        <v>4.02E-2</v>
      </c>
      <c r="C152" s="502">
        <v>3.0671602326811209E-2</v>
      </c>
      <c r="D152" s="466">
        <v>4.2799999999999998E-2</v>
      </c>
    </row>
    <row r="153" spans="1:4" x14ac:dyDescent="0.2">
      <c r="A153" s="501">
        <v>38565</v>
      </c>
      <c r="B153" s="273">
        <v>4.1300000000000003E-2</v>
      </c>
      <c r="C153" s="502">
        <v>3.6469344608879517E-2</v>
      </c>
      <c r="D153" s="466">
        <v>4.0199999999999993E-2</v>
      </c>
    </row>
    <row r="154" spans="1:4" x14ac:dyDescent="0.2">
      <c r="A154" s="501">
        <v>38596</v>
      </c>
      <c r="B154" s="273">
        <v>3.4500000000000003E-2</v>
      </c>
      <c r="C154" s="502">
        <v>4.7418335089568053E-2</v>
      </c>
      <c r="D154" s="466">
        <v>4.3400000000000001E-2</v>
      </c>
    </row>
    <row r="155" spans="1:4" x14ac:dyDescent="0.2">
      <c r="A155" s="501">
        <v>38626</v>
      </c>
      <c r="B155" s="273">
        <v>3.5700000000000003E-2</v>
      </c>
      <c r="C155" s="502">
        <v>4.3501048218029359E-2</v>
      </c>
      <c r="D155" s="466">
        <v>4.5699999999999998E-2</v>
      </c>
    </row>
    <row r="156" spans="1:4" x14ac:dyDescent="0.2">
      <c r="A156" s="501">
        <v>38657</v>
      </c>
      <c r="B156" s="273">
        <v>3.4000000000000002E-2</v>
      </c>
      <c r="C156" s="502">
        <v>3.3385498174230532E-2</v>
      </c>
      <c r="D156" s="466">
        <v>4.4900000000000002E-2</v>
      </c>
    </row>
    <row r="157" spans="1:4" x14ac:dyDescent="0.2">
      <c r="A157" s="501">
        <v>38687</v>
      </c>
      <c r="B157" s="273">
        <v>3.1099999999999999E-2</v>
      </c>
      <c r="C157" s="502">
        <v>3.3385498174230532E-2</v>
      </c>
      <c r="D157" s="466">
        <v>4.3899999999999988E-2</v>
      </c>
    </row>
    <row r="158" spans="1:4" x14ac:dyDescent="0.2">
      <c r="A158" s="501">
        <v>38718</v>
      </c>
      <c r="B158" s="273">
        <v>2.6599999999999999E-2</v>
      </c>
      <c r="C158" s="502">
        <v>4.0187891440501167E-2</v>
      </c>
      <c r="D158" s="466">
        <v>4.53E-2</v>
      </c>
    </row>
    <row r="159" spans="1:4" x14ac:dyDescent="0.2">
      <c r="A159" s="501">
        <v>38749</v>
      </c>
      <c r="B159" s="273">
        <v>2.2100000000000002E-2</v>
      </c>
      <c r="C159" s="502">
        <v>3.6382536382536301E-2</v>
      </c>
      <c r="D159" s="466">
        <v>4.5499999999999999E-2</v>
      </c>
    </row>
    <row r="160" spans="1:4" x14ac:dyDescent="0.2">
      <c r="A160" s="501">
        <v>38777</v>
      </c>
      <c r="B160" s="273">
        <v>2.35E-2</v>
      </c>
      <c r="C160" s="502">
        <v>3.4179181771103018E-2</v>
      </c>
      <c r="D160" s="466">
        <v>4.8599999999999997E-2</v>
      </c>
    </row>
    <row r="161" spans="1:4" x14ac:dyDescent="0.2">
      <c r="A161" s="501">
        <v>38808</v>
      </c>
      <c r="B161" s="273">
        <v>2.18E-2</v>
      </c>
      <c r="C161" s="502">
        <v>3.6138358286009309E-2</v>
      </c>
      <c r="D161" s="466">
        <v>5.0700000000000002E-2</v>
      </c>
    </row>
    <row r="162" spans="1:4" x14ac:dyDescent="0.2">
      <c r="A162" s="501">
        <v>38838</v>
      </c>
      <c r="B162" s="273">
        <v>2.7300000000000001E-2</v>
      </c>
      <c r="C162" s="502">
        <v>3.9772727272727293E-2</v>
      </c>
      <c r="D162" s="466">
        <v>5.1200000000000002E-2</v>
      </c>
    </row>
    <row r="163" spans="1:4" x14ac:dyDescent="0.2">
      <c r="A163" s="501">
        <v>38869</v>
      </c>
      <c r="B163" s="273">
        <v>2.5399999999999999E-2</v>
      </c>
      <c r="C163" s="502">
        <v>4.1817243159525168E-2</v>
      </c>
      <c r="D163" s="466">
        <v>5.1499999999999997E-2</v>
      </c>
    </row>
    <row r="164" spans="1:4" x14ac:dyDescent="0.2">
      <c r="A164" s="501">
        <v>38899</v>
      </c>
      <c r="B164" s="273">
        <v>2.23E-2</v>
      </c>
      <c r="C164" s="502">
        <v>4.1046690610569543E-2</v>
      </c>
      <c r="D164" s="466">
        <v>4.99E-2</v>
      </c>
    </row>
    <row r="165" spans="1:4" x14ac:dyDescent="0.2">
      <c r="A165" s="501">
        <v>38930</v>
      </c>
      <c r="B165" s="273">
        <v>2.23E-2</v>
      </c>
      <c r="C165" s="502">
        <v>3.9265680775114831E-2</v>
      </c>
      <c r="D165" s="466">
        <v>4.7399999999999998E-2</v>
      </c>
    </row>
    <row r="166" spans="1:4" x14ac:dyDescent="0.2">
      <c r="A166" s="501">
        <v>38961</v>
      </c>
      <c r="B166" s="273">
        <v>2.3300000000000001E-2</v>
      </c>
      <c r="C166" s="502">
        <v>2.0120724346076369E-2</v>
      </c>
      <c r="D166" s="466">
        <v>4.6399999999999997E-2</v>
      </c>
    </row>
    <row r="167" spans="1:4" x14ac:dyDescent="0.2">
      <c r="A167" s="501">
        <v>38991</v>
      </c>
      <c r="B167" s="273">
        <v>2.23E-2</v>
      </c>
      <c r="C167" s="502">
        <v>1.406328478151697E-2</v>
      </c>
      <c r="D167" s="466">
        <v>4.6100000000000002E-2</v>
      </c>
    </row>
    <row r="168" spans="1:4" x14ac:dyDescent="0.2">
      <c r="A168" s="501">
        <v>39022</v>
      </c>
      <c r="B168" s="273">
        <v>2.23E-2</v>
      </c>
      <c r="C168" s="502">
        <v>1.9687026754164672E-2</v>
      </c>
      <c r="D168" s="466">
        <v>4.4600000000000001E-2</v>
      </c>
    </row>
    <row r="169" spans="1:4" x14ac:dyDescent="0.2">
      <c r="A169" s="501">
        <v>39052</v>
      </c>
      <c r="B169" s="273">
        <v>1.9199999999999998E-2</v>
      </c>
      <c r="C169" s="502">
        <v>2.5239777889954459E-2</v>
      </c>
      <c r="D169" s="466">
        <v>4.7100000000000003E-2</v>
      </c>
    </row>
    <row r="170" spans="1:4" x14ac:dyDescent="0.2">
      <c r="A170" s="501">
        <v>39083</v>
      </c>
      <c r="B170" s="273">
        <v>1.9E-2</v>
      </c>
      <c r="C170" s="502">
        <v>2.0757651781234229E-2</v>
      </c>
      <c r="D170" s="466">
        <v>4.8300000000000003E-2</v>
      </c>
    </row>
    <row r="171" spans="1:4" x14ac:dyDescent="0.2">
      <c r="A171" s="501">
        <v>39114</v>
      </c>
      <c r="B171" s="273">
        <v>1.95E-2</v>
      </c>
      <c r="C171" s="502">
        <v>2.4202607823470279E-2</v>
      </c>
      <c r="D171" s="466">
        <v>4.5599999999999988E-2</v>
      </c>
    </row>
    <row r="172" spans="1:4" x14ac:dyDescent="0.2">
      <c r="A172" s="501">
        <v>39142</v>
      </c>
      <c r="B172" s="273">
        <v>1.67E-2</v>
      </c>
      <c r="C172" s="502">
        <v>2.7981972959439268E-2</v>
      </c>
      <c r="D172" s="466">
        <v>4.6500000000000007E-2</v>
      </c>
    </row>
    <row r="173" spans="1:4" x14ac:dyDescent="0.2">
      <c r="A173" s="501">
        <v>39173</v>
      </c>
      <c r="B173" s="273">
        <v>1.5599999999999999E-2</v>
      </c>
      <c r="C173" s="502">
        <v>2.5929247633283529E-2</v>
      </c>
      <c r="D173" s="466">
        <v>4.6300000000000001E-2</v>
      </c>
    </row>
    <row r="174" spans="1:4" x14ac:dyDescent="0.2">
      <c r="A174" s="501">
        <v>39203</v>
      </c>
      <c r="B174" s="273">
        <v>1.4500000000000001E-2</v>
      </c>
      <c r="C174" s="502">
        <v>2.7098857426726131E-2</v>
      </c>
      <c r="D174" s="466">
        <v>4.9000000000000002E-2</v>
      </c>
    </row>
    <row r="175" spans="1:4" x14ac:dyDescent="0.2">
      <c r="A175" s="501">
        <v>39234</v>
      </c>
      <c r="B175" s="273">
        <v>1.6E-2</v>
      </c>
      <c r="C175" s="502">
        <v>2.692765113974227E-2</v>
      </c>
      <c r="D175" s="466">
        <v>5.0299999999999997E-2</v>
      </c>
    </row>
    <row r="176" spans="1:4" x14ac:dyDescent="0.2">
      <c r="A176" s="501">
        <v>39264</v>
      </c>
      <c r="B176" s="273">
        <v>2.0799999999999999E-2</v>
      </c>
      <c r="C176" s="502">
        <v>2.3178905864958081E-2</v>
      </c>
      <c r="D176" s="466">
        <v>4.7800000000000002E-2</v>
      </c>
    </row>
    <row r="177" spans="1:4" x14ac:dyDescent="0.2">
      <c r="A177" s="501">
        <v>39295</v>
      </c>
      <c r="B177" s="273">
        <v>1.95E-2</v>
      </c>
      <c r="C177" s="502">
        <v>1.8974484789008761E-2</v>
      </c>
      <c r="D177" s="466">
        <v>4.5400000000000003E-2</v>
      </c>
    </row>
    <row r="178" spans="1:4" x14ac:dyDescent="0.2">
      <c r="A178" s="501">
        <v>39326</v>
      </c>
      <c r="B178" s="273">
        <v>1.7299999999999999E-2</v>
      </c>
      <c r="C178" s="502">
        <v>2.8338264299802681E-2</v>
      </c>
      <c r="D178" s="466">
        <v>4.5900000000000003E-2</v>
      </c>
    </row>
    <row r="179" spans="1:4" x14ac:dyDescent="0.2">
      <c r="A179" s="501">
        <v>39356</v>
      </c>
      <c r="B179" s="273">
        <v>1.67E-2</v>
      </c>
      <c r="C179" s="502">
        <v>3.610698365527476E-2</v>
      </c>
      <c r="D179" s="466">
        <v>4.4800000000000013E-2</v>
      </c>
    </row>
    <row r="180" spans="1:4" x14ac:dyDescent="0.2">
      <c r="A180" s="501">
        <v>39387</v>
      </c>
      <c r="B180" s="273">
        <v>2.1299999999999999E-2</v>
      </c>
      <c r="C180" s="502">
        <v>4.373267326732666E-2</v>
      </c>
      <c r="D180" s="466">
        <v>3.9699999999999999E-2</v>
      </c>
    </row>
    <row r="181" spans="1:4" x14ac:dyDescent="0.2">
      <c r="A181" s="501">
        <v>39417</v>
      </c>
      <c r="B181" s="273">
        <v>2.2100000000000002E-2</v>
      </c>
      <c r="C181" s="502">
        <v>4.1088133924175319E-2</v>
      </c>
      <c r="D181" s="466">
        <v>4.0399999999999998E-2</v>
      </c>
    </row>
    <row r="182" spans="1:4" x14ac:dyDescent="0.2">
      <c r="A182" s="501">
        <v>39448</v>
      </c>
      <c r="B182" s="273">
        <v>2.5499999999999998E-2</v>
      </c>
      <c r="C182" s="502">
        <v>4.294695655165981E-2</v>
      </c>
      <c r="D182" s="466">
        <v>3.6700000000000003E-2</v>
      </c>
    </row>
    <row r="183" spans="1:4" x14ac:dyDescent="0.2">
      <c r="A183" s="501">
        <v>39479</v>
      </c>
      <c r="B183" s="273">
        <v>2.6499999999999999E-2</v>
      </c>
      <c r="C183" s="502">
        <v>4.1429592706119678E-2</v>
      </c>
      <c r="D183" s="466">
        <v>3.5299999999999998E-2</v>
      </c>
    </row>
    <row r="184" spans="1:4" x14ac:dyDescent="0.2">
      <c r="A184" s="501">
        <v>39508</v>
      </c>
      <c r="B184" s="273">
        <v>2.8400000000000002E-2</v>
      </c>
      <c r="C184" s="502">
        <v>3.9749035501344343E-2</v>
      </c>
      <c r="D184" s="466">
        <v>3.4500000000000003E-2</v>
      </c>
    </row>
    <row r="185" spans="1:4" x14ac:dyDescent="0.2">
      <c r="A185" s="501">
        <v>39539</v>
      </c>
      <c r="B185" s="273">
        <v>2.18E-2</v>
      </c>
      <c r="C185" s="502">
        <v>3.9037609759888132E-2</v>
      </c>
      <c r="D185" s="466">
        <v>3.7699999999999997E-2</v>
      </c>
    </row>
    <row r="186" spans="1:4" x14ac:dyDescent="0.2">
      <c r="A186" s="501">
        <v>39569</v>
      </c>
      <c r="B186" s="273">
        <v>1.8100000000000002E-2</v>
      </c>
      <c r="C186" s="502">
        <v>4.088413823123993E-2</v>
      </c>
      <c r="D186" s="466">
        <v>4.0599999999999997E-2</v>
      </c>
    </row>
    <row r="187" spans="1:4" x14ac:dyDescent="0.2">
      <c r="A187" s="501">
        <v>39600</v>
      </c>
      <c r="B187" s="273">
        <v>2.2800000000000001E-2</v>
      </c>
      <c r="C187" s="502">
        <v>4.9359661059478643E-2</v>
      </c>
      <c r="D187" s="466">
        <v>3.9899999999999998E-2</v>
      </c>
    </row>
    <row r="188" spans="1:4" x14ac:dyDescent="0.2">
      <c r="A188" s="501">
        <v>39630</v>
      </c>
      <c r="B188" s="273">
        <v>2.2599999999999999E-2</v>
      </c>
      <c r="C188" s="502">
        <v>5.4975120783418367E-2</v>
      </c>
      <c r="D188" s="466">
        <v>3.9899999999999998E-2</v>
      </c>
    </row>
    <row r="189" spans="1:4" x14ac:dyDescent="0.2">
      <c r="A189" s="501">
        <v>39661</v>
      </c>
      <c r="B189" s="273">
        <v>2.4E-2</v>
      </c>
      <c r="C189" s="502">
        <v>5.3080171620912393E-2</v>
      </c>
      <c r="D189" s="466">
        <v>3.8300000000000001E-2</v>
      </c>
    </row>
    <row r="190" spans="1:4" x14ac:dyDescent="0.2">
      <c r="A190" s="501">
        <v>39692</v>
      </c>
      <c r="B190" s="273">
        <v>3.3099999999999997E-2</v>
      </c>
      <c r="C190" s="502">
        <v>4.9533198751360752E-2</v>
      </c>
      <c r="D190" s="466">
        <v>3.85E-2</v>
      </c>
    </row>
    <row r="191" spans="1:4" x14ac:dyDescent="0.2">
      <c r="A191" s="501">
        <v>39722</v>
      </c>
      <c r="B191" s="273">
        <v>4.4900000000000002E-2</v>
      </c>
      <c r="C191" s="502">
        <v>3.7310578899565128E-2</v>
      </c>
      <c r="D191" s="466">
        <v>4.0099999999999997E-2</v>
      </c>
    </row>
    <row r="192" spans="1:4" x14ac:dyDescent="0.2">
      <c r="A192" s="501">
        <v>39753</v>
      </c>
      <c r="B192" s="273">
        <v>4.8899999999999999E-2</v>
      </c>
      <c r="C192" s="502">
        <v>1.0999174706166849E-2</v>
      </c>
      <c r="D192" s="466">
        <v>2.93E-2</v>
      </c>
    </row>
    <row r="193" spans="1:4" x14ac:dyDescent="0.2">
      <c r="A193" s="501">
        <v>39783</v>
      </c>
      <c r="B193" s="273">
        <v>4.2799999999999998E-2</v>
      </c>
      <c r="C193" s="502">
        <v>-2.2228002553859039E-4</v>
      </c>
      <c r="D193" s="466">
        <v>2.2499999999999999E-2</v>
      </c>
    </row>
    <row r="194" spans="1:4" x14ac:dyDescent="0.2">
      <c r="A194" s="501">
        <v>39814</v>
      </c>
      <c r="B194" s="273">
        <v>4.0899999999999999E-2</v>
      </c>
      <c r="C194" s="502">
        <v>-1.1358601902212719E-3</v>
      </c>
      <c r="D194" s="466">
        <v>2.87E-2</v>
      </c>
    </row>
    <row r="195" spans="1:4" x14ac:dyDescent="0.2">
      <c r="A195" s="501">
        <v>39845</v>
      </c>
      <c r="B195" s="273">
        <v>4.2099999999999999E-2</v>
      </c>
      <c r="C195" s="502">
        <v>8.4631406715107715E-5</v>
      </c>
      <c r="D195" s="466">
        <v>3.0200000000000001E-2</v>
      </c>
    </row>
    <row r="196" spans="1:4" x14ac:dyDescent="0.2">
      <c r="A196" s="501">
        <v>39873</v>
      </c>
      <c r="B196" s="273">
        <v>4.2500000000000003E-2</v>
      </c>
      <c r="C196" s="502">
        <v>-4.4647876766238381E-3</v>
      </c>
      <c r="D196" s="466">
        <v>2.7099999999999999E-2</v>
      </c>
    </row>
    <row r="197" spans="1:4" x14ac:dyDescent="0.2">
      <c r="A197" s="501">
        <v>39904</v>
      </c>
      <c r="B197" s="273">
        <v>3.5499999999999997E-2</v>
      </c>
      <c r="C197" s="502">
        <v>-5.7632442437670628E-3</v>
      </c>
      <c r="D197" s="466">
        <v>3.1600000000000003E-2</v>
      </c>
    </row>
    <row r="198" spans="1:4" x14ac:dyDescent="0.2">
      <c r="A198" s="501">
        <v>39934</v>
      </c>
      <c r="B198" s="273">
        <v>2.9399999999999999E-2</v>
      </c>
      <c r="C198" s="502">
        <v>-1.0157614958551719E-2</v>
      </c>
      <c r="D198" s="466">
        <v>3.4700000000000002E-2</v>
      </c>
    </row>
    <row r="199" spans="1:4" x14ac:dyDescent="0.2">
      <c r="A199" s="501">
        <v>39965</v>
      </c>
      <c r="B199" s="273">
        <v>2.8400000000000002E-2</v>
      </c>
      <c r="C199" s="502">
        <v>-1.229174618210915E-2</v>
      </c>
      <c r="D199" s="466">
        <v>3.5299999999999998E-2</v>
      </c>
    </row>
    <row r="200" spans="1:4" x14ac:dyDescent="0.2">
      <c r="A200" s="501">
        <v>39995</v>
      </c>
      <c r="B200" s="273">
        <v>2.6499999999999999E-2</v>
      </c>
      <c r="C200" s="502">
        <v>-1.9587610037622771E-2</v>
      </c>
      <c r="D200" s="466">
        <v>3.5200000000000002E-2</v>
      </c>
    </row>
    <row r="201" spans="1:4" x14ac:dyDescent="0.2">
      <c r="A201" s="501">
        <v>40026</v>
      </c>
      <c r="B201" s="273">
        <v>2.7099999999999999E-2</v>
      </c>
      <c r="C201" s="502">
        <v>-1.4838355663267629E-2</v>
      </c>
      <c r="D201" s="466">
        <v>3.4000000000000002E-2</v>
      </c>
    </row>
    <row r="202" spans="1:4" x14ac:dyDescent="0.2">
      <c r="A202" s="501">
        <v>40057</v>
      </c>
      <c r="B202" s="273">
        <v>2.3400000000000001E-2</v>
      </c>
      <c r="C202" s="502">
        <v>-1.3779428628864721E-2</v>
      </c>
      <c r="D202" s="466">
        <v>3.3099999999999997E-2</v>
      </c>
    </row>
    <row r="203" spans="1:4" x14ac:dyDescent="0.2">
      <c r="A203" s="501">
        <v>40087</v>
      </c>
      <c r="B203" s="273">
        <v>2.4E-2</v>
      </c>
      <c r="C203" s="502">
        <v>-2.2396829420033848E-3</v>
      </c>
      <c r="D203" s="466">
        <v>3.4099999999999998E-2</v>
      </c>
    </row>
    <row r="204" spans="1:4" x14ac:dyDescent="0.2">
      <c r="A204" s="501">
        <v>40118</v>
      </c>
      <c r="B204" s="273">
        <v>2.3099999999999999E-2</v>
      </c>
      <c r="C204" s="502">
        <v>1.9145871744709279E-2</v>
      </c>
      <c r="D204" s="466">
        <v>3.2099999999999997E-2</v>
      </c>
    </row>
    <row r="205" spans="1:4" x14ac:dyDescent="0.2">
      <c r="A205" s="501">
        <v>40148</v>
      </c>
      <c r="B205" s="273">
        <v>1.9199999999999998E-2</v>
      </c>
      <c r="C205" s="502">
        <v>2.8141231232083671E-2</v>
      </c>
      <c r="D205" s="466">
        <v>3.85E-2</v>
      </c>
    </row>
    <row r="206" spans="1:4" x14ac:dyDescent="0.2">
      <c r="A206" s="501">
        <v>40179</v>
      </c>
      <c r="B206" s="273">
        <v>2.3400000000000001E-2</v>
      </c>
      <c r="C206" s="502">
        <v>2.621111388976716E-2</v>
      </c>
      <c r="D206" s="466">
        <v>3.6299999999999999E-2</v>
      </c>
    </row>
    <row r="207" spans="1:4" x14ac:dyDescent="0.2">
      <c r="A207" s="501">
        <v>40210</v>
      </c>
      <c r="B207" s="273">
        <v>2.1499999999999998E-2</v>
      </c>
      <c r="C207" s="502">
        <v>2.151336357866529E-2</v>
      </c>
      <c r="D207" s="466">
        <v>3.61E-2</v>
      </c>
    </row>
    <row r="208" spans="1:4" x14ac:dyDescent="0.2">
      <c r="A208" s="501">
        <v>40238</v>
      </c>
      <c r="B208" s="273">
        <v>1.8499999999999999E-2</v>
      </c>
      <c r="C208" s="502">
        <v>2.286171439327989E-2</v>
      </c>
      <c r="D208" s="466">
        <v>3.8399999999999997E-2</v>
      </c>
    </row>
    <row r="209" spans="1:4" x14ac:dyDescent="0.2">
      <c r="A209" s="501">
        <v>40269</v>
      </c>
      <c r="B209" s="273">
        <v>1.9599999999999999E-2</v>
      </c>
      <c r="C209" s="502">
        <v>2.20677075253044E-2</v>
      </c>
      <c r="D209" s="466">
        <v>3.6900000000000002E-2</v>
      </c>
    </row>
    <row r="210" spans="1:4" x14ac:dyDescent="0.2">
      <c r="A210" s="501">
        <v>40299</v>
      </c>
      <c r="B210" s="273">
        <v>2.35E-2</v>
      </c>
      <c r="C210" s="502">
        <v>2.0035489292185679E-2</v>
      </c>
      <c r="D210" s="466">
        <v>3.3099999999999997E-2</v>
      </c>
    </row>
    <row r="211" spans="1:4" x14ac:dyDescent="0.2">
      <c r="A211" s="501">
        <v>40330</v>
      </c>
      <c r="B211" s="273">
        <v>2.4799999999999999E-2</v>
      </c>
      <c r="C211" s="502">
        <v>1.121560594068627E-2</v>
      </c>
      <c r="D211" s="466">
        <v>2.9700000000000001E-2</v>
      </c>
    </row>
    <row r="212" spans="1:4" x14ac:dyDescent="0.2">
      <c r="A212" s="501">
        <v>40360</v>
      </c>
      <c r="B212" s="273">
        <v>2.1399999999999999E-2</v>
      </c>
      <c r="C212" s="502">
        <v>1.340778480482108E-2</v>
      </c>
      <c r="D212" s="466">
        <v>2.9399999999999999E-2</v>
      </c>
    </row>
    <row r="213" spans="1:4" x14ac:dyDescent="0.2">
      <c r="A213" s="501">
        <v>40391</v>
      </c>
      <c r="B213" s="273">
        <v>2.3300000000000001E-2</v>
      </c>
      <c r="C213" s="502">
        <v>1.1501775395112551E-2</v>
      </c>
      <c r="D213" s="466">
        <v>2.47E-2</v>
      </c>
    </row>
    <row r="214" spans="1:4" x14ac:dyDescent="0.2">
      <c r="A214" s="501">
        <v>40422</v>
      </c>
      <c r="B214" s="273">
        <v>2.06E-2</v>
      </c>
      <c r="C214" s="502">
        <v>1.1183122472331769E-2</v>
      </c>
      <c r="D214" s="466">
        <v>2.53E-2</v>
      </c>
    </row>
    <row r="215" spans="1:4" x14ac:dyDescent="0.2">
      <c r="A215" s="501">
        <v>40452</v>
      </c>
      <c r="B215" s="273">
        <v>1.7500000000000002E-2</v>
      </c>
      <c r="C215" s="502">
        <v>1.1666951489314631E-2</v>
      </c>
      <c r="D215" s="466">
        <v>2.63E-2</v>
      </c>
    </row>
    <row r="216" spans="1:4" x14ac:dyDescent="0.2">
      <c r="A216" s="501">
        <v>40483</v>
      </c>
      <c r="B216" s="273">
        <v>1.9800000000000002E-2</v>
      </c>
      <c r="C216" s="502">
        <v>1.084544776600338E-2</v>
      </c>
      <c r="D216" s="466">
        <v>2.81E-2</v>
      </c>
    </row>
    <row r="217" spans="1:4" x14ac:dyDescent="0.2">
      <c r="A217" s="501">
        <v>40513</v>
      </c>
      <c r="B217" s="273">
        <v>1.89E-2</v>
      </c>
      <c r="C217" s="502">
        <v>1.4377930222179369E-2</v>
      </c>
      <c r="D217" s="466">
        <v>3.3000000000000002E-2</v>
      </c>
    </row>
    <row r="218" spans="1:4" x14ac:dyDescent="0.2">
      <c r="A218" s="501">
        <v>40544</v>
      </c>
      <c r="B218" s="273">
        <v>1.7899999999999999E-2</v>
      </c>
      <c r="C218" s="502">
        <v>1.700783491502977E-2</v>
      </c>
      <c r="D218" s="466">
        <v>3.4200000000000001E-2</v>
      </c>
    </row>
    <row r="219" spans="1:4" x14ac:dyDescent="0.2">
      <c r="A219" s="501">
        <v>40575</v>
      </c>
      <c r="B219" s="273">
        <v>1.77E-2</v>
      </c>
      <c r="C219" s="502">
        <v>2.1248981733331451E-2</v>
      </c>
      <c r="D219" s="466">
        <v>3.4200000000000001E-2</v>
      </c>
    </row>
    <row r="220" spans="1:4" x14ac:dyDescent="0.2">
      <c r="A220" s="501">
        <v>40603</v>
      </c>
      <c r="B220" s="273">
        <v>1.7299999999999999E-2</v>
      </c>
      <c r="C220" s="502">
        <v>2.6192415103541089E-2</v>
      </c>
      <c r="D220" s="466">
        <v>3.4700000000000002E-2</v>
      </c>
    </row>
    <row r="221" spans="1:4" x14ac:dyDescent="0.2">
      <c r="A221" s="501">
        <v>40634</v>
      </c>
      <c r="B221" s="273">
        <v>1.6899999999999998E-2</v>
      </c>
      <c r="C221" s="502">
        <v>3.077234444786869E-2</v>
      </c>
      <c r="D221" s="466">
        <v>3.32E-2</v>
      </c>
    </row>
    <row r="222" spans="1:4" x14ac:dyDescent="0.2">
      <c r="A222" s="501">
        <v>40664</v>
      </c>
      <c r="B222" s="273">
        <v>1.7500000000000002E-2</v>
      </c>
      <c r="C222" s="502">
        <v>3.4589718808964998E-2</v>
      </c>
      <c r="D222" s="466">
        <v>3.0499999999999999E-2</v>
      </c>
    </row>
    <row r="223" spans="1:4" x14ac:dyDescent="0.2">
      <c r="A223" s="501">
        <v>40695</v>
      </c>
      <c r="B223" s="273">
        <v>1.4800000000000001E-2</v>
      </c>
      <c r="C223" s="502">
        <v>3.5023181506360412E-2</v>
      </c>
      <c r="D223" s="466">
        <v>3.1800000000000002E-2</v>
      </c>
    </row>
    <row r="224" spans="1:4" x14ac:dyDescent="0.2">
      <c r="A224" s="501">
        <v>40725</v>
      </c>
      <c r="B224" s="273">
        <v>1.5699999999999999E-2</v>
      </c>
      <c r="C224" s="502">
        <v>3.5798809769996158E-2</v>
      </c>
      <c r="D224" s="466">
        <v>2.8199999999999999E-2</v>
      </c>
    </row>
    <row r="225" spans="1:4" x14ac:dyDescent="0.2">
      <c r="A225" s="501">
        <v>40756</v>
      </c>
      <c r="B225" s="273">
        <v>1.9400000000000001E-2</v>
      </c>
      <c r="C225" s="502">
        <v>3.7549960307080799E-2</v>
      </c>
      <c r="D225" s="466">
        <v>2.23E-2</v>
      </c>
    </row>
    <row r="226" spans="1:4" x14ac:dyDescent="0.2">
      <c r="A226" s="501">
        <v>40787</v>
      </c>
      <c r="B226" s="273">
        <v>2.75E-2</v>
      </c>
      <c r="C226" s="502">
        <v>3.8126216928186851E-2</v>
      </c>
      <c r="D226" s="466">
        <v>1.9199999999999998E-2</v>
      </c>
    </row>
    <row r="227" spans="1:4" x14ac:dyDescent="0.2">
      <c r="A227" s="501">
        <v>40817</v>
      </c>
      <c r="B227" s="273">
        <v>2.2200000000000001E-2</v>
      </c>
      <c r="C227" s="502">
        <v>3.5222681306640517E-2</v>
      </c>
      <c r="D227" s="466">
        <v>2.1700000000000001E-2</v>
      </c>
    </row>
    <row r="228" spans="1:4" x14ac:dyDescent="0.2">
      <c r="A228" s="501">
        <v>40848</v>
      </c>
      <c r="B228" s="273">
        <v>2.2800000000000001E-2</v>
      </c>
      <c r="C228" s="502">
        <v>3.4514322145817289E-2</v>
      </c>
      <c r="D228" s="466">
        <v>2.0799999999999999E-2</v>
      </c>
    </row>
    <row r="229" spans="1:4" x14ac:dyDescent="0.2">
      <c r="A229" s="501">
        <v>40878</v>
      </c>
      <c r="B229" s="273">
        <v>2.23E-2</v>
      </c>
      <c r="C229" s="502">
        <v>3.0620668384193861E-2</v>
      </c>
      <c r="D229" s="466">
        <v>1.89E-2</v>
      </c>
    </row>
    <row r="230" spans="1:4" x14ac:dyDescent="0.2">
      <c r="A230" s="501">
        <v>40909</v>
      </c>
      <c r="B230" s="273">
        <v>2.24E-2</v>
      </c>
      <c r="C230" s="502">
        <v>3.008766337985502E-2</v>
      </c>
      <c r="D230" s="466">
        <v>1.83E-2</v>
      </c>
    </row>
    <row r="231" spans="1:4" x14ac:dyDescent="0.2">
      <c r="A231" s="501">
        <v>40940</v>
      </c>
      <c r="B231" s="273">
        <v>1.9599999999999999E-2</v>
      </c>
      <c r="C231" s="502">
        <v>2.8981784423473881E-2</v>
      </c>
      <c r="D231" s="466">
        <v>1.9800000000000002E-2</v>
      </c>
    </row>
    <row r="232" spans="1:4" x14ac:dyDescent="0.2">
      <c r="A232" s="501">
        <v>40969</v>
      </c>
      <c r="B232" s="273">
        <v>1.77E-2</v>
      </c>
      <c r="C232" s="502">
        <v>2.582875281332098E-2</v>
      </c>
      <c r="D232" s="466">
        <v>2.23E-2</v>
      </c>
    </row>
    <row r="233" spans="1:4" x14ac:dyDescent="0.2">
      <c r="A233" s="501">
        <v>41000</v>
      </c>
      <c r="B233" s="273">
        <v>1.8800000000000001E-2</v>
      </c>
      <c r="C233" s="502">
        <v>2.273163374134857E-2</v>
      </c>
      <c r="D233" s="466">
        <v>1.95E-2</v>
      </c>
    </row>
    <row r="234" spans="1:4" x14ac:dyDescent="0.2">
      <c r="A234" s="501">
        <v>41030</v>
      </c>
      <c r="B234" s="273">
        <v>2.4400000000000002E-2</v>
      </c>
      <c r="C234" s="502">
        <v>1.7379429374660749E-2</v>
      </c>
      <c r="D234" s="466">
        <v>1.5900000000000001E-2</v>
      </c>
    </row>
    <row r="235" spans="1:4" x14ac:dyDescent="0.2">
      <c r="A235" s="501">
        <v>41061</v>
      </c>
      <c r="B235" s="273">
        <v>2.0799999999999999E-2</v>
      </c>
      <c r="C235" s="502">
        <v>1.6538704482976341E-2</v>
      </c>
      <c r="D235" s="466">
        <v>1.67E-2</v>
      </c>
    </row>
    <row r="236" spans="1:4" x14ac:dyDescent="0.2">
      <c r="A236" s="501">
        <v>41091</v>
      </c>
      <c r="B236" s="273">
        <v>1.83E-2</v>
      </c>
      <c r="C236" s="502">
        <v>1.4175114798464779E-2</v>
      </c>
      <c r="D236" s="466">
        <v>1.5100000000000001E-2</v>
      </c>
    </row>
    <row r="237" spans="1:4" x14ac:dyDescent="0.2">
      <c r="A237" s="501">
        <v>41122</v>
      </c>
      <c r="B237" s="273">
        <v>1.8100000000000002E-2</v>
      </c>
      <c r="C237" s="502">
        <v>1.6859349154821231E-2</v>
      </c>
      <c r="D237" s="466">
        <v>1.5699999999999999E-2</v>
      </c>
    </row>
    <row r="238" spans="1:4" x14ac:dyDescent="0.2">
      <c r="A238" s="501">
        <v>41153</v>
      </c>
      <c r="B238" s="273">
        <v>1.66E-2</v>
      </c>
      <c r="C238" s="502">
        <v>1.9497168982819609E-2</v>
      </c>
      <c r="D238" s="466">
        <v>1.6500000000000001E-2</v>
      </c>
    </row>
    <row r="239" spans="1:4" x14ac:dyDescent="0.2">
      <c r="A239" s="501">
        <v>41183</v>
      </c>
      <c r="B239" s="273">
        <v>1.5800000000000002E-2</v>
      </c>
      <c r="C239" s="502">
        <v>2.1556780595369359E-2</v>
      </c>
      <c r="D239" s="466">
        <v>1.72E-2</v>
      </c>
    </row>
    <row r="240" spans="1:4" x14ac:dyDescent="0.2">
      <c r="A240" s="501">
        <v>41214</v>
      </c>
      <c r="B240" s="273">
        <v>1.5299999999999999E-2</v>
      </c>
      <c r="C240" s="502">
        <v>1.7960197033926258E-2</v>
      </c>
      <c r="D240" s="466">
        <v>1.6199999999999999E-2</v>
      </c>
    </row>
    <row r="241" spans="1:4" x14ac:dyDescent="0.2">
      <c r="A241" s="501">
        <v>41244</v>
      </c>
      <c r="B241" s="273">
        <v>1.4200000000000001E-2</v>
      </c>
      <c r="C241" s="502">
        <v>1.759504979689552E-2</v>
      </c>
      <c r="D241" s="466">
        <v>1.78E-2</v>
      </c>
    </row>
    <row r="242" spans="1:4" x14ac:dyDescent="0.2">
      <c r="A242" s="501">
        <v>41275</v>
      </c>
      <c r="B242" s="273">
        <v>1.55E-2</v>
      </c>
      <c r="C242" s="502">
        <v>1.6840617620982989E-2</v>
      </c>
      <c r="D242" s="466">
        <v>2.0199999999999999E-2</v>
      </c>
    </row>
    <row r="243" spans="1:4" x14ac:dyDescent="0.2">
      <c r="A243" s="501">
        <v>41306</v>
      </c>
      <c r="B243" s="273">
        <v>1.78E-2</v>
      </c>
      <c r="C243" s="502">
        <v>2.018140490257481E-2</v>
      </c>
      <c r="D243" s="466">
        <v>1.89E-2</v>
      </c>
    </row>
    <row r="244" spans="1:4" x14ac:dyDescent="0.2">
      <c r="A244" s="501">
        <v>41334</v>
      </c>
      <c r="B244" s="273">
        <v>1.89E-2</v>
      </c>
      <c r="C244" s="502">
        <v>1.518747241124618E-2</v>
      </c>
      <c r="D244" s="466">
        <v>1.8700000000000001E-2</v>
      </c>
    </row>
    <row r="245" spans="1:4" x14ac:dyDescent="0.2">
      <c r="A245" s="501">
        <v>41365</v>
      </c>
      <c r="B245" s="273">
        <v>1.7100000000000001E-2</v>
      </c>
      <c r="C245" s="502">
        <v>1.1388080475768669E-2</v>
      </c>
      <c r="D245" s="466">
        <v>1.7000000000000001E-2</v>
      </c>
    </row>
    <row r="246" spans="1:4" x14ac:dyDescent="0.2">
      <c r="A246" s="501">
        <v>41395</v>
      </c>
      <c r="B246" s="273">
        <v>2.06E-2</v>
      </c>
      <c r="C246" s="502">
        <v>1.390388827919709E-2</v>
      </c>
      <c r="D246" s="466">
        <v>2.1600000000000001E-2</v>
      </c>
    </row>
    <row r="247" spans="1:4" x14ac:dyDescent="0.2">
      <c r="A247" s="501">
        <v>41426</v>
      </c>
      <c r="B247" s="273">
        <v>2.3699999999999999E-2</v>
      </c>
      <c r="C247" s="502">
        <v>1.7157935271568722E-2</v>
      </c>
      <c r="D247" s="466">
        <v>2.52E-2</v>
      </c>
    </row>
    <row r="248" spans="1:4" x14ac:dyDescent="0.2">
      <c r="A248" s="501">
        <v>41456</v>
      </c>
      <c r="B248" s="273">
        <v>2.35E-2</v>
      </c>
      <c r="C248" s="502">
        <v>1.8854718054158059E-2</v>
      </c>
      <c r="D248" s="466">
        <v>2.5999999999999999E-2</v>
      </c>
    </row>
    <row r="249" spans="1:4" x14ac:dyDescent="0.2">
      <c r="A249" s="501">
        <v>41487</v>
      </c>
      <c r="B249" s="273">
        <v>2.5100000000000001E-2</v>
      </c>
      <c r="C249" s="502">
        <v>1.538809488600279E-2</v>
      </c>
      <c r="D249" s="466">
        <v>2.7799999999999998E-2</v>
      </c>
    </row>
    <row r="250" spans="1:4" x14ac:dyDescent="0.2">
      <c r="A250" s="501">
        <v>41518</v>
      </c>
      <c r="B250" s="273">
        <v>2.3599999999999999E-2</v>
      </c>
      <c r="C250" s="502">
        <v>1.0947341081748E-2</v>
      </c>
      <c r="D250" s="466">
        <v>2.64E-2</v>
      </c>
    </row>
    <row r="251" spans="1:4" x14ac:dyDescent="0.2">
      <c r="A251" s="501">
        <v>41548</v>
      </c>
      <c r="B251" s="273">
        <v>2.1999999999999999E-2</v>
      </c>
      <c r="C251" s="502">
        <v>8.7679914349114707E-3</v>
      </c>
      <c r="D251" s="466">
        <v>2.5700000000000001E-2</v>
      </c>
    </row>
    <row r="252" spans="1:4" x14ac:dyDescent="0.2">
      <c r="A252" s="501">
        <v>41579</v>
      </c>
      <c r="B252" s="273">
        <v>2.47E-2</v>
      </c>
      <c r="C252" s="502">
        <v>1.232870196195446E-2</v>
      </c>
      <c r="D252" s="466">
        <v>2.75E-2</v>
      </c>
    </row>
    <row r="253" spans="1:4" x14ac:dyDescent="0.2">
      <c r="A253" s="501">
        <v>41609</v>
      </c>
      <c r="B253" s="273">
        <v>2.24E-2</v>
      </c>
      <c r="C253" s="502">
        <v>1.5128383667573299E-2</v>
      </c>
      <c r="D253" s="466">
        <v>3.04E-2</v>
      </c>
    </row>
    <row r="254" spans="1:4" x14ac:dyDescent="0.2">
      <c r="A254" s="501">
        <v>41640</v>
      </c>
      <c r="B254" s="273">
        <v>2.7199999999999998E-2</v>
      </c>
      <c r="C254" s="502">
        <v>1.557758795574915E-2</v>
      </c>
      <c r="D254" s="466">
        <v>2.6700000000000002E-2</v>
      </c>
    </row>
    <row r="255" spans="1:4" x14ac:dyDescent="0.2">
      <c r="A255" s="501">
        <v>41671</v>
      </c>
      <c r="B255" s="273">
        <v>2.4500000000000001E-2</v>
      </c>
      <c r="C255" s="502">
        <v>1.1204746347724949E-2</v>
      </c>
      <c r="D255" s="466">
        <v>2.6599999999999999E-2</v>
      </c>
    </row>
    <row r="256" spans="1:4" x14ac:dyDescent="0.2">
      <c r="A256" s="501">
        <v>41699</v>
      </c>
      <c r="B256" s="273">
        <v>2.2800000000000001E-2</v>
      </c>
      <c r="C256" s="502">
        <v>1.6126949139408039E-2</v>
      </c>
      <c r="D256" s="466">
        <v>2.7300000000000001E-2</v>
      </c>
    </row>
    <row r="257" spans="1:4" x14ac:dyDescent="0.2">
      <c r="A257" s="501">
        <v>41730</v>
      </c>
      <c r="B257" s="273">
        <v>2.1100000000000001E-2</v>
      </c>
      <c r="C257" s="502">
        <v>2.0151253036061689E-2</v>
      </c>
      <c r="D257" s="466">
        <v>2.6700000000000002E-2</v>
      </c>
    </row>
    <row r="258" spans="1:4" x14ac:dyDescent="0.2">
      <c r="A258" s="501">
        <v>41760</v>
      </c>
      <c r="B258" s="273">
        <v>2.0799999999999999E-2</v>
      </c>
      <c r="C258" s="502">
        <v>2.1669476870798121E-2</v>
      </c>
      <c r="D258" s="466">
        <v>2.4799999999999999E-2</v>
      </c>
    </row>
    <row r="259" spans="1:4" x14ac:dyDescent="0.2">
      <c r="A259" s="501">
        <v>41791</v>
      </c>
      <c r="B259" s="273">
        <v>2.0799999999999999E-2</v>
      </c>
      <c r="C259" s="502">
        <v>2.0589816945944191E-2</v>
      </c>
      <c r="D259" s="466">
        <v>2.53E-2</v>
      </c>
    </row>
    <row r="260" spans="1:4" x14ac:dyDescent="0.2">
      <c r="A260" s="501">
        <v>41821</v>
      </c>
      <c r="B260" s="273">
        <v>2.12E-2</v>
      </c>
      <c r="C260" s="502">
        <v>1.974237870330597E-2</v>
      </c>
      <c r="D260" s="466">
        <v>2.58E-2</v>
      </c>
    </row>
    <row r="261" spans="1:4" x14ac:dyDescent="0.2">
      <c r="A261" s="501">
        <v>41852</v>
      </c>
      <c r="B261" s="273">
        <v>2.0500000000000001E-2</v>
      </c>
      <c r="C261" s="502">
        <v>1.7150983482969059E-2</v>
      </c>
      <c r="D261" s="466">
        <v>2.35E-2</v>
      </c>
    </row>
    <row r="262" spans="1:4" x14ac:dyDescent="0.2">
      <c r="A262" s="501">
        <v>41883</v>
      </c>
      <c r="B262" s="273">
        <v>2.3900000000000001E-2</v>
      </c>
      <c r="C262" s="502">
        <v>1.684050971123208E-2</v>
      </c>
      <c r="D262" s="466">
        <v>2.52E-2</v>
      </c>
    </row>
    <row r="263" spans="1:4" x14ac:dyDescent="0.2">
      <c r="A263" s="501">
        <v>41913</v>
      </c>
      <c r="B263" s="273">
        <v>2.3300000000000001E-2</v>
      </c>
      <c r="C263" s="502">
        <v>1.6095417021513288E-2</v>
      </c>
      <c r="D263" s="466">
        <v>2.35E-2</v>
      </c>
    </row>
    <row r="264" spans="1:4" x14ac:dyDescent="0.2">
      <c r="A264" s="501">
        <v>41944</v>
      </c>
      <c r="B264" s="273">
        <v>2.3800000000000002E-2</v>
      </c>
      <c r="C264" s="502">
        <v>1.231524989320798E-2</v>
      </c>
      <c r="D264" s="466">
        <v>2.18E-2</v>
      </c>
    </row>
    <row r="265" spans="1:4" x14ac:dyDescent="0.2">
      <c r="A265" s="501">
        <v>41974</v>
      </c>
      <c r="B265" s="273">
        <v>2.5899999999999999E-2</v>
      </c>
      <c r="C265" s="502">
        <v>6.5312139196231911E-3</v>
      </c>
      <c r="D265" s="466">
        <v>2.1700000000000001E-2</v>
      </c>
    </row>
    <row r="266" spans="1:4" x14ac:dyDescent="0.2">
      <c r="A266" s="501">
        <v>42005</v>
      </c>
      <c r="B266" s="273">
        <v>3.2399999999999998E-2</v>
      </c>
      <c r="C266" s="502">
        <v>-2.2993097820542818E-3</v>
      </c>
      <c r="D266" s="466">
        <v>1.6799999999999999E-2</v>
      </c>
    </row>
    <row r="267" spans="1:4" x14ac:dyDescent="0.2">
      <c r="A267" s="501">
        <v>42036</v>
      </c>
      <c r="B267" s="273">
        <v>3.2199999999999999E-2</v>
      </c>
      <c r="C267" s="502">
        <v>-8.7031462935205361E-4</v>
      </c>
      <c r="D267" s="466">
        <v>0.02</v>
      </c>
    </row>
    <row r="268" spans="1:4" x14ac:dyDescent="0.2">
      <c r="A268" s="501">
        <v>42064</v>
      </c>
      <c r="B268" s="273">
        <v>3.2199999999999999E-2</v>
      </c>
      <c r="C268" s="502">
        <v>-2.2031284423873479E-4</v>
      </c>
      <c r="D268" s="466">
        <v>1.9400000000000001E-2</v>
      </c>
    </row>
    <row r="269" spans="1:4" x14ac:dyDescent="0.2">
      <c r="A269" s="501">
        <v>42095</v>
      </c>
      <c r="B269" s="273">
        <v>2.9499999999999998E-2</v>
      </c>
      <c r="C269" s="502">
        <v>-1.040309893939106E-3</v>
      </c>
      <c r="D269" s="466">
        <v>2.0500000000000001E-2</v>
      </c>
    </row>
    <row r="270" spans="1:4" x14ac:dyDescent="0.2">
      <c r="A270" s="501">
        <v>42125</v>
      </c>
      <c r="B270" s="273">
        <v>2.9399999999999999E-2</v>
      </c>
      <c r="C270" s="502">
        <v>3.5033218244295838E-4</v>
      </c>
      <c r="D270" s="466">
        <v>2.12E-2</v>
      </c>
    </row>
    <row r="271" spans="1:4" x14ac:dyDescent="0.2">
      <c r="A271" s="501">
        <v>42156</v>
      </c>
      <c r="B271" s="273">
        <v>3.04E-2</v>
      </c>
      <c r="C271" s="502">
        <v>1.7957180975505249E-3</v>
      </c>
      <c r="D271" s="466">
        <v>2.35E-2</v>
      </c>
    </row>
    <row r="272" spans="1:4" x14ac:dyDescent="0.2">
      <c r="A272" s="501">
        <v>42186</v>
      </c>
      <c r="B272" s="273">
        <v>3.15E-2</v>
      </c>
      <c r="C272" s="502">
        <v>2.2568611104094578E-3</v>
      </c>
      <c r="D272" s="466">
        <v>2.1999999999999999E-2</v>
      </c>
    </row>
    <row r="273" spans="1:4" x14ac:dyDescent="0.2">
      <c r="A273" s="501">
        <v>42217</v>
      </c>
      <c r="B273" s="273">
        <v>3.4000000000000002E-2</v>
      </c>
      <c r="C273" s="502">
        <v>2.413037985344868E-3</v>
      </c>
      <c r="D273" s="466">
        <v>2.2100000000000002E-2</v>
      </c>
    </row>
    <row r="274" spans="1:4" x14ac:dyDescent="0.2">
      <c r="A274" s="501">
        <v>42248</v>
      </c>
      <c r="B274" s="273">
        <v>4.4200000000000003E-2</v>
      </c>
      <c r="C274" s="502">
        <v>8.8429616341700878E-5</v>
      </c>
      <c r="D274" s="466">
        <v>2.06E-2</v>
      </c>
    </row>
    <row r="275" spans="1:4" x14ac:dyDescent="0.2">
      <c r="A275" s="501">
        <v>42278</v>
      </c>
      <c r="B275" s="273">
        <v>4.1000000000000002E-2</v>
      </c>
      <c r="C275" s="502">
        <v>1.2761656067050711E-3</v>
      </c>
      <c r="D275" s="466">
        <v>2.1600000000000001E-2</v>
      </c>
    </row>
    <row r="276" spans="1:4" x14ac:dyDescent="0.2">
      <c r="A276" s="501">
        <v>42309</v>
      </c>
      <c r="B276" s="273">
        <v>4.3200000000000002E-2</v>
      </c>
      <c r="C276" s="502">
        <v>4.3631821691851869E-3</v>
      </c>
      <c r="D276" s="466">
        <v>2.2100000000000002E-2</v>
      </c>
    </row>
    <row r="277" spans="1:4" x14ac:dyDescent="0.2">
      <c r="A277" s="501">
        <v>42339</v>
      </c>
      <c r="B277" s="273">
        <v>5.2299999999999999E-2</v>
      </c>
      <c r="C277" s="502">
        <v>6.3872475153647912E-3</v>
      </c>
      <c r="D277" s="466">
        <v>2.2700000000000001E-2</v>
      </c>
    </row>
    <row r="278" spans="1:4" x14ac:dyDescent="0.2">
      <c r="A278" s="501">
        <v>42370</v>
      </c>
      <c r="B278" s="273">
        <v>5.1200000000000002E-2</v>
      </c>
      <c r="C278" s="502">
        <v>1.2375025026943881E-2</v>
      </c>
      <c r="D278" s="466">
        <v>1.9400000000000001E-2</v>
      </c>
    </row>
    <row r="279" spans="1:4" x14ac:dyDescent="0.2">
      <c r="A279" s="501">
        <v>42401</v>
      </c>
      <c r="B279" s="273">
        <v>5.0200000000000002E-2</v>
      </c>
      <c r="C279" s="502">
        <v>8.4727757901266187E-3</v>
      </c>
      <c r="D279" s="466">
        <v>1.7399999999999999E-2</v>
      </c>
    </row>
    <row r="280" spans="1:4" x14ac:dyDescent="0.2">
      <c r="A280" s="501">
        <v>42430</v>
      </c>
      <c r="B280" s="273">
        <v>4.0899999999999999E-2</v>
      </c>
      <c r="C280" s="502">
        <v>8.9161609655219465E-3</v>
      </c>
      <c r="D280" s="466">
        <v>1.78E-2</v>
      </c>
    </row>
    <row r="281" spans="1:4" x14ac:dyDescent="0.2">
      <c r="A281" s="501">
        <v>42461</v>
      </c>
      <c r="B281" s="273">
        <v>3.85E-2</v>
      </c>
      <c r="C281" s="502">
        <v>1.1726257503534839E-2</v>
      </c>
      <c r="D281" s="466">
        <v>1.83E-2</v>
      </c>
    </row>
    <row r="282" spans="1:4" x14ac:dyDescent="0.2">
      <c r="A282" s="501">
        <v>42491</v>
      </c>
      <c r="B282" s="273">
        <v>4.0399999999999998E-2</v>
      </c>
      <c r="C282" s="502">
        <v>1.078476462124622E-2</v>
      </c>
      <c r="D282" s="466">
        <v>1.84E-2</v>
      </c>
    </row>
    <row r="283" spans="1:4" x14ac:dyDescent="0.2">
      <c r="A283" s="501">
        <v>42522</v>
      </c>
      <c r="B283" s="273">
        <v>3.5000000000000003E-2</v>
      </c>
      <c r="C283" s="502">
        <v>1.079286534795942E-2</v>
      </c>
      <c r="D283" s="466">
        <v>1.49E-2</v>
      </c>
    </row>
    <row r="284" spans="1:4" x14ac:dyDescent="0.2">
      <c r="A284" s="501">
        <v>42552</v>
      </c>
      <c r="B284" s="273">
        <v>3.39E-2</v>
      </c>
      <c r="C284" s="502">
        <v>8.6836334305182561E-3</v>
      </c>
      <c r="D284" s="466">
        <v>1.46E-2</v>
      </c>
    </row>
    <row r="285" spans="1:4" x14ac:dyDescent="0.2">
      <c r="A285" s="501">
        <v>42583</v>
      </c>
      <c r="B285" s="273">
        <v>3.09E-2</v>
      </c>
      <c r="C285" s="502">
        <v>1.0553158595656861E-2</v>
      </c>
      <c r="D285" s="466">
        <v>1.5800000000000002E-2</v>
      </c>
    </row>
    <row r="286" spans="1:4" x14ac:dyDescent="0.2">
      <c r="A286" s="501">
        <v>42614</v>
      </c>
      <c r="B286" s="273">
        <v>3.1899999999999998E-2</v>
      </c>
      <c r="C286" s="502">
        <v>1.548644620165218E-2</v>
      </c>
      <c r="D286" s="466">
        <v>1.6E-2</v>
      </c>
    </row>
    <row r="287" spans="1:4" x14ac:dyDescent="0.2">
      <c r="A287" s="501">
        <v>42644</v>
      </c>
      <c r="B287" s="273">
        <v>3.1300000000000001E-2</v>
      </c>
      <c r="C287" s="502">
        <v>1.685924966243646E-2</v>
      </c>
      <c r="D287" s="466">
        <v>1.84E-2</v>
      </c>
    </row>
    <row r="288" spans="1:4" x14ac:dyDescent="0.2">
      <c r="A288" s="501">
        <v>42675</v>
      </c>
      <c r="B288" s="273">
        <v>3.3700000000000001E-2</v>
      </c>
      <c r="C288" s="502">
        <v>1.6843334719788942E-2</v>
      </c>
      <c r="D288" s="466">
        <v>2.3699999999999999E-2</v>
      </c>
    </row>
    <row r="289" spans="1:4" x14ac:dyDescent="0.2">
      <c r="A289" s="501">
        <v>42705</v>
      </c>
      <c r="B289" s="273">
        <v>3.2800000000000003E-2</v>
      </c>
      <c r="C289" s="502">
        <v>2.0507989115119859E-2</v>
      </c>
      <c r="D289" s="466">
        <v>2.4500000000000001E-2</v>
      </c>
    </row>
    <row r="290" spans="1:4" x14ac:dyDescent="0.2">
      <c r="A290" s="501">
        <v>42736</v>
      </c>
      <c r="B290" s="273">
        <v>2.8899999999999999E-2</v>
      </c>
      <c r="C290" s="502">
        <v>2.510393348257112E-2</v>
      </c>
      <c r="D290" s="466">
        <v>2.4500000000000001E-2</v>
      </c>
    </row>
    <row r="291" spans="1:4" x14ac:dyDescent="0.2">
      <c r="A291" s="501">
        <v>42767</v>
      </c>
      <c r="B291" s="273">
        <v>2.86E-2</v>
      </c>
      <c r="C291" s="502">
        <v>2.8103616813294211E-2</v>
      </c>
      <c r="D291" s="466">
        <v>2.3599999999999999E-2</v>
      </c>
    </row>
    <row r="292" spans="1:4" x14ac:dyDescent="0.2">
      <c r="A292" s="501">
        <v>42795</v>
      </c>
      <c r="B292" s="273">
        <v>2.7E-2</v>
      </c>
      <c r="C292" s="502">
        <v>2.44119623655914E-2</v>
      </c>
      <c r="D292" s="466">
        <v>2.4E-2</v>
      </c>
    </row>
    <row r="293" spans="1:4" x14ac:dyDescent="0.2">
      <c r="A293" s="501">
        <v>42826</v>
      </c>
      <c r="B293" s="273">
        <v>2.63E-2</v>
      </c>
      <c r="C293" s="502">
        <v>2.176223471915395E-2</v>
      </c>
      <c r="D293" s="466">
        <v>2.29E-2</v>
      </c>
    </row>
    <row r="294" spans="1:4" x14ac:dyDescent="0.2">
      <c r="A294" s="501">
        <v>42856</v>
      </c>
      <c r="B294" s="273">
        <v>2.8400000000000002E-2</v>
      </c>
      <c r="C294" s="502">
        <v>1.856343166761976E-2</v>
      </c>
      <c r="D294" s="466">
        <v>2.2100000000000002E-2</v>
      </c>
    </row>
    <row r="295" spans="1:4" x14ac:dyDescent="0.2">
      <c r="A295" s="501">
        <v>42887</v>
      </c>
      <c r="B295" s="273">
        <v>2.8899999999999999E-2</v>
      </c>
      <c r="C295" s="502">
        <v>1.6405658099591269E-2</v>
      </c>
      <c r="D295" s="466">
        <v>2.3099999999999999E-2</v>
      </c>
    </row>
    <row r="296" spans="1:4" x14ac:dyDescent="0.2">
      <c r="A296" s="501">
        <v>42917</v>
      </c>
      <c r="B296" s="273">
        <v>2.6800000000000001E-2</v>
      </c>
      <c r="C296" s="502">
        <v>1.7251073506566069E-2</v>
      </c>
      <c r="D296" s="466">
        <v>2.3E-2</v>
      </c>
    </row>
    <row r="297" spans="1:4" x14ac:dyDescent="0.2">
      <c r="A297" s="501">
        <v>42948</v>
      </c>
      <c r="B297" s="273">
        <v>2.7199999999999998E-2</v>
      </c>
      <c r="C297" s="502">
        <v>1.9281215572969801E-2</v>
      </c>
      <c r="D297" s="466">
        <v>2.12E-2</v>
      </c>
    </row>
    <row r="298" spans="1:4" x14ac:dyDescent="0.2">
      <c r="A298" s="501">
        <v>42979</v>
      </c>
      <c r="B298" s="273">
        <v>2.47E-2</v>
      </c>
      <c r="C298" s="502">
        <v>2.180565230371179E-2</v>
      </c>
      <c r="D298" s="466">
        <v>2.3300000000000001E-2</v>
      </c>
    </row>
    <row r="299" spans="1:4" x14ac:dyDescent="0.2">
      <c r="A299" s="501">
        <v>43009</v>
      </c>
      <c r="B299" s="273">
        <v>2.4299999999999999E-2</v>
      </c>
      <c r="C299" s="502">
        <v>2.020757753132485E-2</v>
      </c>
      <c r="D299" s="466">
        <v>2.3800000000000002E-2</v>
      </c>
    </row>
    <row r="300" spans="1:4" x14ac:dyDescent="0.2">
      <c r="A300" s="501">
        <v>43040</v>
      </c>
      <c r="B300" s="273">
        <v>2.41E-2</v>
      </c>
      <c r="C300" s="502">
        <v>2.172493864295566E-2</v>
      </c>
      <c r="D300" s="466">
        <v>2.4199999999999999E-2</v>
      </c>
    </row>
    <row r="301" spans="1:4" x14ac:dyDescent="0.2">
      <c r="A301" s="501">
        <v>43070</v>
      </c>
      <c r="B301" s="273">
        <v>2.4E-2</v>
      </c>
      <c r="C301" s="502">
        <v>2.1299307195522529E-2</v>
      </c>
      <c r="D301" s="466">
        <v>2.4E-2</v>
      </c>
    </row>
    <row r="302" spans="1:4" x14ac:dyDescent="0.2">
      <c r="A302" s="501">
        <v>43101</v>
      </c>
      <c r="B302" s="273">
        <v>2.2700000000000001E-2</v>
      </c>
      <c r="C302" s="502">
        <v>2.151318868063945E-2</v>
      </c>
      <c r="D302" s="466">
        <v>2.7199999999999998E-2</v>
      </c>
    </row>
    <row r="303" spans="1:4" x14ac:dyDescent="0.2">
      <c r="A303" s="501">
        <v>43132</v>
      </c>
      <c r="B303" s="273">
        <v>2.3599999999999999E-2</v>
      </c>
      <c r="C303" s="502">
        <v>2.263468931091861E-2</v>
      </c>
      <c r="D303" s="466">
        <v>2.87E-2</v>
      </c>
    </row>
    <row r="304" spans="1:4" x14ac:dyDescent="0.2">
      <c r="A304" s="501">
        <v>43160</v>
      </c>
      <c r="B304" s="273">
        <v>2.4799999999999999E-2</v>
      </c>
      <c r="C304" s="502">
        <v>2.330949764649937E-2</v>
      </c>
      <c r="D304" s="466">
        <v>2.7400000000000001E-2</v>
      </c>
    </row>
    <row r="305" spans="1:4" x14ac:dyDescent="0.2">
      <c r="A305" s="501">
        <v>43191</v>
      </c>
      <c r="B305" s="273">
        <v>2.5000000000000001E-2</v>
      </c>
      <c r="C305" s="502">
        <v>2.4709963021052991E-2</v>
      </c>
      <c r="D305" s="466">
        <v>2.9499999999999998E-2</v>
      </c>
    </row>
    <row r="306" spans="1:4" x14ac:dyDescent="0.2">
      <c r="A306" s="501">
        <v>43221</v>
      </c>
      <c r="B306" s="273">
        <v>3.0700000000000002E-2</v>
      </c>
      <c r="C306" s="502">
        <v>2.7819216078424969E-2</v>
      </c>
      <c r="D306" s="466">
        <v>2.8299999999999999E-2</v>
      </c>
    </row>
    <row r="307" spans="1:4" x14ac:dyDescent="0.2">
      <c r="A307" s="501">
        <v>43252</v>
      </c>
      <c r="B307" s="273">
        <v>3.32E-2</v>
      </c>
      <c r="C307" s="502">
        <v>2.807550693594019E-2</v>
      </c>
      <c r="D307" s="466">
        <v>2.8500000000000001E-2</v>
      </c>
    </row>
    <row r="308" spans="1:4" x14ac:dyDescent="0.2">
      <c r="A308" s="501">
        <v>43282</v>
      </c>
      <c r="B308" s="273">
        <v>2.6700000000000002E-2</v>
      </c>
      <c r="C308" s="502">
        <v>2.8541247855619289E-2</v>
      </c>
      <c r="D308" s="466">
        <v>2.9600000000000001E-2</v>
      </c>
    </row>
    <row r="309" spans="1:4" x14ac:dyDescent="0.2">
      <c r="A309" s="501">
        <v>43313</v>
      </c>
      <c r="B309" s="273">
        <v>3.4500000000000003E-2</v>
      </c>
      <c r="C309" s="502">
        <v>2.6429238568742571E-2</v>
      </c>
      <c r="D309" s="466">
        <v>2.86E-2</v>
      </c>
    </row>
    <row r="310" spans="1:4" x14ac:dyDescent="0.2">
      <c r="A310" s="501">
        <v>43344</v>
      </c>
      <c r="B310" s="273">
        <v>2.93E-2</v>
      </c>
      <c r="C310" s="502">
        <v>2.3320551058088279E-2</v>
      </c>
      <c r="D310" s="466">
        <v>3.0499999999999999E-2</v>
      </c>
    </row>
    <row r="311" spans="1:4" x14ac:dyDescent="0.2">
      <c r="A311" s="501">
        <v>43374</v>
      </c>
      <c r="B311" s="273">
        <v>2.5999999999999999E-2</v>
      </c>
      <c r="C311" s="502">
        <v>2.492032470218053E-2</v>
      </c>
      <c r="D311" s="466">
        <v>3.15E-2</v>
      </c>
    </row>
    <row r="312" spans="1:4" x14ac:dyDescent="0.2">
      <c r="A312" s="501">
        <v>43405</v>
      </c>
      <c r="B312" s="273">
        <v>2.7E-2</v>
      </c>
      <c r="C312" s="502">
        <v>2.1473285776677731E-2</v>
      </c>
      <c r="D312" s="466">
        <v>3.0099999999999998E-2</v>
      </c>
    </row>
    <row r="313" spans="1:4" x14ac:dyDescent="0.2">
      <c r="A313" s="501">
        <v>43435</v>
      </c>
      <c r="B313" s="273">
        <v>2.76E-2</v>
      </c>
      <c r="C313" s="502">
        <v>2.0023809043401061E-2</v>
      </c>
      <c r="D313" s="466">
        <v>2.69E-2</v>
      </c>
    </row>
    <row r="314" spans="1:4" x14ac:dyDescent="0.2">
      <c r="A314" s="501">
        <v>43466</v>
      </c>
      <c r="B314" s="273">
        <v>2.3800000000000002E-2</v>
      </c>
      <c r="C314" s="502">
        <v>1.5506772911568319E-2</v>
      </c>
      <c r="D314" s="466">
        <v>2.63E-2</v>
      </c>
    </row>
    <row r="315" spans="1:4" x14ac:dyDescent="0.2">
      <c r="A315" s="501">
        <v>43497</v>
      </c>
      <c r="B315" s="273">
        <v>2.35E-2</v>
      </c>
      <c r="C315" s="502">
        <v>1.5200638001995779E-2</v>
      </c>
      <c r="D315" s="466">
        <v>2.7300000000000001E-2</v>
      </c>
    </row>
    <row r="316" spans="1:4" x14ac:dyDescent="0.2">
      <c r="A316" s="501">
        <v>43525</v>
      </c>
      <c r="B316" s="273">
        <v>2.53E-2</v>
      </c>
      <c r="C316" s="502">
        <v>1.853135505274928E-2</v>
      </c>
      <c r="D316" s="466">
        <v>2.41E-2</v>
      </c>
    </row>
    <row r="317" spans="1:4" x14ac:dyDescent="0.2">
      <c r="A317" s="501">
        <v>43556</v>
      </c>
      <c r="B317" s="273">
        <v>2.52E-2</v>
      </c>
      <c r="C317" s="502">
        <v>1.9917914533603479E-2</v>
      </c>
      <c r="D317" s="466">
        <v>2.5100000000000001E-2</v>
      </c>
    </row>
    <row r="318" spans="1:4" x14ac:dyDescent="0.2">
      <c r="A318" s="501">
        <v>43586</v>
      </c>
      <c r="B318" s="273">
        <v>2.7400000000000001E-2</v>
      </c>
      <c r="C318" s="502">
        <v>1.793518134549732E-2</v>
      </c>
      <c r="D318" s="466">
        <v>2.1399999999999999E-2</v>
      </c>
    </row>
    <row r="319" spans="1:4" x14ac:dyDescent="0.2">
      <c r="A319" s="501">
        <v>43617</v>
      </c>
      <c r="B319" s="273">
        <v>2.3900000000000001E-2</v>
      </c>
      <c r="C319" s="502">
        <v>1.649682492888949E-2</v>
      </c>
      <c r="D319" s="466">
        <v>0.02</v>
      </c>
    </row>
    <row r="320" spans="1:4" x14ac:dyDescent="0.2">
      <c r="A320" s="501">
        <v>43647</v>
      </c>
      <c r="B320" s="273">
        <v>2.12E-2</v>
      </c>
      <c r="C320" s="502">
        <v>1.7797574975916941E-2</v>
      </c>
      <c r="D320" s="466">
        <v>2.0199999999999999E-2</v>
      </c>
    </row>
    <row r="321" spans="1:4" x14ac:dyDescent="0.2">
      <c r="A321" s="501">
        <v>43678</v>
      </c>
      <c r="B321" s="273">
        <v>2.4799999999999999E-2</v>
      </c>
      <c r="C321" s="502">
        <v>1.7467804166683362E-2</v>
      </c>
      <c r="D321" s="466">
        <v>1.4999999999999999E-2</v>
      </c>
    </row>
    <row r="322" spans="1:4" x14ac:dyDescent="0.2">
      <c r="A322" s="501">
        <v>43709</v>
      </c>
      <c r="B322" s="273">
        <v>2.47E-2</v>
      </c>
      <c r="C322" s="502">
        <v>1.7166173636500751E-2</v>
      </c>
      <c r="D322" s="466">
        <v>1.6799999999999999E-2</v>
      </c>
    </row>
    <row r="323" spans="1:4" x14ac:dyDescent="0.2">
      <c r="A323" s="501">
        <v>43739</v>
      </c>
      <c r="B323" s="273">
        <v>2.4E-2</v>
      </c>
      <c r="C323" s="502">
        <v>1.769183295618193E-2</v>
      </c>
      <c r="D323" s="466">
        <v>1.6899999999999998E-2</v>
      </c>
    </row>
    <row r="324" spans="1:4" x14ac:dyDescent="0.2">
      <c r="A324" s="501">
        <v>43770</v>
      </c>
      <c r="B324" s="273">
        <v>2.3900000000000001E-2</v>
      </c>
      <c r="C324" s="502">
        <v>2.0622025859679871E-2</v>
      </c>
      <c r="D324" s="466">
        <v>1.78E-2</v>
      </c>
    </row>
    <row r="325" spans="1:4" x14ac:dyDescent="0.2">
      <c r="A325" s="501">
        <v>43800</v>
      </c>
      <c r="B325" s="273">
        <v>2.1399999999999999E-2</v>
      </c>
      <c r="C325" s="502">
        <v>2.3139887722685382E-2</v>
      </c>
      <c r="D325" s="466">
        <v>1.9199999999999998E-2</v>
      </c>
    </row>
    <row r="326" spans="1:4" x14ac:dyDescent="0.2">
      <c r="A326" s="501">
        <v>43831</v>
      </c>
      <c r="B326" s="273">
        <v>2.2499999999999999E-2</v>
      </c>
      <c r="C326" s="502">
        <v>2.500415482870233E-2</v>
      </c>
      <c r="D326" s="466">
        <v>1.5100000000000001E-2</v>
      </c>
    </row>
    <row r="327" spans="1:4" x14ac:dyDescent="0.2">
      <c r="A327" s="501">
        <v>43862</v>
      </c>
      <c r="B327" s="273">
        <v>2.52E-2</v>
      </c>
      <c r="C327" s="502">
        <v>2.339315179889612E-2</v>
      </c>
      <c r="D327" s="466">
        <v>1.1299999999999999E-2</v>
      </c>
    </row>
    <row r="328" spans="1:4" x14ac:dyDescent="0.2">
      <c r="A328" s="501">
        <v>43891</v>
      </c>
      <c r="B328" s="273">
        <v>3.8899999999999997E-2</v>
      </c>
      <c r="C328" s="502">
        <v>1.5428674833400271E-2</v>
      </c>
      <c r="D328" s="466">
        <v>6.9999999999999993E-3</v>
      </c>
    </row>
    <row r="329" spans="1:4" x14ac:dyDescent="0.2">
      <c r="A329" s="501">
        <v>43922</v>
      </c>
      <c r="B329" s="273">
        <v>4.2200000000000001E-2</v>
      </c>
      <c r="C329" s="502">
        <v>3.452045562299277E-3</v>
      </c>
      <c r="D329" s="466">
        <v>6.4000000000000003E-3</v>
      </c>
    </row>
    <row r="330" spans="1:4" x14ac:dyDescent="0.2">
      <c r="A330" s="501">
        <v>43952</v>
      </c>
      <c r="B330" s="273">
        <v>3.9199999999999999E-2</v>
      </c>
      <c r="C330" s="502">
        <v>2.2640918171490392E-3</v>
      </c>
      <c r="D330" s="466">
        <v>6.5000000000000006E-3</v>
      </c>
    </row>
    <row r="331" spans="1:4" x14ac:dyDescent="0.2">
      <c r="A331" s="501">
        <v>43983</v>
      </c>
      <c r="B331" s="273">
        <v>3.7999999999999999E-2</v>
      </c>
      <c r="C331" s="502">
        <v>7.1602412613311914E-3</v>
      </c>
      <c r="D331" s="466">
        <v>6.6E-3</v>
      </c>
    </row>
    <row r="332" spans="1:4" x14ac:dyDescent="0.2">
      <c r="A332" s="501">
        <v>44013</v>
      </c>
      <c r="B332" s="273">
        <v>3.3399999999999999E-2</v>
      </c>
      <c r="C332" s="502">
        <v>1.014138490721006E-2</v>
      </c>
      <c r="D332" s="466">
        <v>5.5000000000000014E-3</v>
      </c>
    </row>
    <row r="333" spans="1:4" x14ac:dyDescent="0.2">
      <c r="A333" s="501">
        <v>44044</v>
      </c>
      <c r="B333" s="273">
        <v>3.1899999999999998E-2</v>
      </c>
      <c r="C333" s="502">
        <v>1.3090732995129971E-2</v>
      </c>
      <c r="D333" s="466">
        <v>7.1999999999999998E-3</v>
      </c>
    </row>
    <row r="334" spans="1:4" x14ac:dyDescent="0.2">
      <c r="A334" s="501">
        <v>44075</v>
      </c>
      <c r="B334" s="273">
        <v>3.4299999999999997E-2</v>
      </c>
      <c r="C334" s="502">
        <v>1.371481145058095E-2</v>
      </c>
      <c r="D334" s="466">
        <v>6.8999999999999999E-3</v>
      </c>
    </row>
    <row r="335" spans="1:4" x14ac:dyDescent="0.2">
      <c r="A335" s="501">
        <v>44105</v>
      </c>
      <c r="B335" s="273">
        <v>3.1800000000000002E-2</v>
      </c>
      <c r="C335" s="502">
        <v>1.1825348696179461E-2</v>
      </c>
      <c r="D335" s="466">
        <v>8.8000000000000005E-3</v>
      </c>
    </row>
    <row r="336" spans="1:4" x14ac:dyDescent="0.2">
      <c r="A336" s="501">
        <v>44136</v>
      </c>
      <c r="B336" s="273">
        <v>2.75E-2</v>
      </c>
      <c r="C336" s="502">
        <v>1.1675581742648379E-2</v>
      </c>
      <c r="D336" s="466">
        <v>8.3999999999999995E-3</v>
      </c>
    </row>
    <row r="337" spans="1:4" x14ac:dyDescent="0.2">
      <c r="A337" s="501">
        <v>44166</v>
      </c>
      <c r="B337" s="273">
        <v>2.5999999999999999E-2</v>
      </c>
      <c r="C337" s="502">
        <v>1.322037306276513E-2</v>
      </c>
      <c r="D337" s="466">
        <v>9.300000000000001E-3</v>
      </c>
    </row>
    <row r="338" spans="1:4" x14ac:dyDescent="0.2">
      <c r="A338" s="501">
        <v>44197</v>
      </c>
      <c r="B338" s="273">
        <v>2.8799999999999999E-2</v>
      </c>
      <c r="C338" s="502">
        <v>1.3947814404891901E-2</v>
      </c>
      <c r="D338" s="466">
        <v>1.11E-2</v>
      </c>
    </row>
    <row r="339" spans="1:4" x14ac:dyDescent="0.2">
      <c r="A339" s="501">
        <v>44228</v>
      </c>
      <c r="B339" s="273">
        <v>2.9899999999999999E-2</v>
      </c>
      <c r="C339" s="502">
        <v>1.693359254459037E-2</v>
      </c>
      <c r="D339" s="466">
        <v>1.44E-2</v>
      </c>
    </row>
    <row r="340" spans="1:4" x14ac:dyDescent="0.2">
      <c r="A340" s="501">
        <v>44256</v>
      </c>
      <c r="B340" s="273">
        <v>2.9000000000000001E-2</v>
      </c>
      <c r="C340" s="502">
        <v>2.6305186654475898E-2</v>
      </c>
      <c r="D340" s="466">
        <v>1.7399999999999999E-2</v>
      </c>
    </row>
    <row r="341" spans="1:4" x14ac:dyDescent="0.2">
      <c r="A341" s="501">
        <v>44287</v>
      </c>
      <c r="B341" s="273">
        <v>2.7699999999999999E-2</v>
      </c>
      <c r="C341" s="502">
        <v>4.1305468347312857E-2</v>
      </c>
      <c r="D341" s="466">
        <v>1.6500000000000001E-2</v>
      </c>
    </row>
    <row r="342" spans="1:4" x14ac:dyDescent="0.2">
      <c r="A342" s="501">
        <v>44317</v>
      </c>
      <c r="B342" s="273">
        <v>2.6200000000000001E-2</v>
      </c>
      <c r="C342" s="502">
        <v>4.9150343145684561E-2</v>
      </c>
      <c r="D342" s="466">
        <v>1.5800000000000002E-2</v>
      </c>
    </row>
    <row r="343" spans="1:4" x14ac:dyDescent="0.2">
      <c r="A343" s="501">
        <v>44348</v>
      </c>
      <c r="B343" s="273">
        <v>2.75E-2</v>
      </c>
      <c r="C343" s="502">
        <v>5.2816106713984512E-2</v>
      </c>
      <c r="D343" s="466">
        <v>1.4500000000000001E-2</v>
      </c>
    </row>
    <row r="344" spans="1:4" x14ac:dyDescent="0.2">
      <c r="A344" s="501">
        <v>44378</v>
      </c>
      <c r="B344" s="273">
        <v>0.03</v>
      </c>
      <c r="C344" s="502">
        <v>5.2215055095672147E-2</v>
      </c>
      <c r="D344" s="466">
        <v>1.24E-2</v>
      </c>
    </row>
    <row r="345" spans="1:4" x14ac:dyDescent="0.2">
      <c r="A345" s="501">
        <v>44409</v>
      </c>
      <c r="B345" s="273">
        <v>3.04E-2</v>
      </c>
      <c r="C345" s="502">
        <v>5.1882919382755473E-2</v>
      </c>
      <c r="D345" s="466">
        <v>1.2999999999999999E-2</v>
      </c>
    </row>
    <row r="346" spans="1:4" x14ac:dyDescent="0.2">
      <c r="A346" s="501">
        <v>44440</v>
      </c>
      <c r="B346" s="273">
        <v>3.27E-2</v>
      </c>
      <c r="C346" s="502">
        <v>5.3836302873910391E-2</v>
      </c>
      <c r="D346" s="466">
        <v>1.52E-2</v>
      </c>
    </row>
    <row r="347" spans="1:4" x14ac:dyDescent="0.2">
      <c r="A347" s="501">
        <v>44470</v>
      </c>
      <c r="B347" s="273">
        <v>3.6200000000000003E-2</v>
      </c>
      <c r="C347" s="502">
        <v>6.2377538553744623E-2</v>
      </c>
      <c r="D347" s="466">
        <v>1.55E-2</v>
      </c>
    </row>
    <row r="348" spans="1:4" x14ac:dyDescent="0.2">
      <c r="A348" s="501">
        <v>44501</v>
      </c>
      <c r="B348" s="273">
        <v>3.6600000000000001E-2</v>
      </c>
      <c r="C348" s="502">
        <v>6.8623879944634814E-2</v>
      </c>
      <c r="D348" s="466">
        <v>1.43E-2</v>
      </c>
    </row>
    <row r="349" spans="1:4" x14ac:dyDescent="0.2">
      <c r="A349" s="501">
        <v>44531</v>
      </c>
      <c r="B349" s="273">
        <v>3.2599999999999997E-2</v>
      </c>
      <c r="C349" s="502">
        <v>7.1944587555097472E-2</v>
      </c>
      <c r="D349" s="466">
        <v>1.52E-2</v>
      </c>
    </row>
    <row r="350" spans="1:4" x14ac:dyDescent="0.2">
      <c r="A350" s="501">
        <v>44562</v>
      </c>
      <c r="B350" s="273">
        <v>3.3399999999999999E-2</v>
      </c>
      <c r="C350" s="502">
        <v>7.595278888254331E-2</v>
      </c>
      <c r="D350" s="466">
        <v>1.7899999999999999E-2</v>
      </c>
    </row>
    <row r="351" spans="1:4" x14ac:dyDescent="0.2">
      <c r="A351" s="501">
        <v>44593</v>
      </c>
      <c r="B351" s="273">
        <v>3.3799999999999997E-2</v>
      </c>
      <c r="C351" s="502">
        <v>7.954847176810631E-2</v>
      </c>
      <c r="D351" s="466">
        <v>1.83E-2</v>
      </c>
    </row>
    <row r="352" spans="1:4" x14ac:dyDescent="0.2">
      <c r="A352" s="501">
        <v>44621</v>
      </c>
      <c r="B352" s="273">
        <v>2.9399999999999999E-2</v>
      </c>
      <c r="C352" s="502">
        <v>8.5152162588613578E-2</v>
      </c>
      <c r="D352" s="466">
        <v>2.3199999999999998E-2</v>
      </c>
    </row>
    <row r="353" spans="1:4" x14ac:dyDescent="0.2">
      <c r="A353" s="501">
        <v>44652</v>
      </c>
      <c r="B353" s="273">
        <v>3.0599999999999999E-2</v>
      </c>
      <c r="C353" s="502">
        <v>8.2277721528480896E-2</v>
      </c>
      <c r="D353" s="466">
        <v>2.8899999999999999E-2</v>
      </c>
    </row>
    <row r="354" spans="1:4" x14ac:dyDescent="0.2">
      <c r="A354" s="501">
        <v>44682</v>
      </c>
      <c r="B354" s="273">
        <v>0.03</v>
      </c>
      <c r="C354" s="502">
        <v>8.5023319575032286E-2</v>
      </c>
      <c r="D354" s="466">
        <v>2.8500000000000001E-2</v>
      </c>
    </row>
    <row r="355" spans="1:4" x14ac:dyDescent="0.2">
      <c r="A355" s="501">
        <v>44713</v>
      </c>
      <c r="B355" s="273">
        <v>3.6400000000000002E-2</v>
      </c>
      <c r="C355" s="502">
        <v>8.9329868901052878E-2</v>
      </c>
      <c r="D355" s="466">
        <v>2.98E-2</v>
      </c>
    </row>
    <row r="356" spans="1:4" x14ac:dyDescent="0.2">
      <c r="A356" s="501">
        <v>44743</v>
      </c>
      <c r="B356" s="273">
        <v>3.0499999999999999E-2</v>
      </c>
      <c r="C356" s="502">
        <v>8.4131820255810119E-2</v>
      </c>
      <c r="D356" s="466">
        <v>2.6700000000000002E-2</v>
      </c>
    </row>
    <row r="357" spans="1:4" x14ac:dyDescent="0.2">
      <c r="A357" s="501">
        <v>44774</v>
      </c>
      <c r="B357" s="273">
        <v>2.8500000000000001E-2</v>
      </c>
      <c r="C357" s="502">
        <v>8.2273610144024678E-2</v>
      </c>
      <c r="D357" s="466">
        <v>3.15E-2</v>
      </c>
    </row>
    <row r="358" spans="1:4" x14ac:dyDescent="0.2">
      <c r="A358" s="501">
        <v>44805</v>
      </c>
      <c r="B358" s="273">
        <v>2.8799999999999999E-2</v>
      </c>
      <c r="C358" s="502">
        <v>8.2148539565299661E-2</v>
      </c>
      <c r="D358" s="466">
        <v>3.8300000000000001E-2</v>
      </c>
    </row>
    <row r="359" spans="1:4" x14ac:dyDescent="0.2">
      <c r="A359" s="501">
        <v>44835</v>
      </c>
      <c r="B359" s="273">
        <v>2.5499999999999998E-2</v>
      </c>
      <c r="C359" s="502">
        <v>7.7624926768937064E-2</v>
      </c>
      <c r="D359" s="466">
        <v>4.0999999999999988E-2</v>
      </c>
    </row>
    <row r="360" spans="1:4" x14ac:dyDescent="0.2">
      <c r="A360" s="501">
        <v>44866</v>
      </c>
      <c r="B360" s="273">
        <v>2.5100000000000001E-2</v>
      </c>
      <c r="C360" s="502">
        <v>7.135348084575055E-2</v>
      </c>
      <c r="D360" s="466">
        <v>3.6799999999999999E-2</v>
      </c>
    </row>
    <row r="361" spans="1:4" x14ac:dyDescent="0.2">
      <c r="A361" s="501">
        <v>44896</v>
      </c>
      <c r="B361" s="273">
        <v>2.5600000000000001E-2</v>
      </c>
      <c r="C361" s="502">
        <v>6.444940492084017E-2</v>
      </c>
      <c r="D361" s="466">
        <v>3.8800000000000001E-2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outlinePr summaryBelow="0" summaryRight="0"/>
  </sheetPr>
  <dimension ref="A1:J940"/>
  <sheetViews>
    <sheetView topLeftCell="A86" workbookViewId="0">
      <selection activeCell="D121" sqref="D121"/>
    </sheetView>
  </sheetViews>
  <sheetFormatPr baseColWidth="10" defaultColWidth="14.5" defaultRowHeight="15" customHeight="1" x14ac:dyDescent="0.2"/>
  <cols>
    <col min="1" max="1" width="8.6640625" style="159" customWidth="1"/>
    <col min="2" max="2" width="9.83203125" style="168" customWidth="1"/>
    <col min="3" max="4" width="9.83203125" style="166" customWidth="1"/>
    <col min="5" max="16384" width="14.5" style="29"/>
  </cols>
  <sheetData>
    <row r="1" spans="1:6" ht="15" customHeight="1" x14ac:dyDescent="0.2">
      <c r="A1" s="37" t="s">
        <v>523</v>
      </c>
      <c r="B1" s="156" t="s">
        <v>573</v>
      </c>
      <c r="C1" s="156" t="s">
        <v>524</v>
      </c>
      <c r="D1" s="156" t="s">
        <v>597</v>
      </c>
      <c r="F1" s="53"/>
    </row>
    <row r="2" spans="1:6" x14ac:dyDescent="0.2">
      <c r="A2" s="164">
        <v>41275</v>
      </c>
      <c r="B2" s="96">
        <f>VLOOKUP(DATE(YEAR(A2),MONTH(A2),1),'20. CDS 10y'!$A$3:$B$180,2,)/10000</f>
        <v>1.54757E-2</v>
      </c>
      <c r="C2" s="163">
        <f>VLOOKUP(DATE(YEAR(A2),MONTH(A2),1),'19. CPI'!$A$3:$D$906,3,)</f>
        <v>1.6840617620982989E-2</v>
      </c>
      <c r="D2" s="165">
        <f>VLOOKUP(DATE(YEAR(A2),MONTH(A2),1),'18. US 10Y Yield'!$D$2:$I$456,6,)/100</f>
        <v>1.985E-2</v>
      </c>
    </row>
    <row r="3" spans="1:6" x14ac:dyDescent="0.2">
      <c r="A3" s="164">
        <v>41306</v>
      </c>
      <c r="B3" s="96">
        <f>VLOOKUP(DATE(YEAR(A3),MONTH(A3),1),'20. CDS 10y'!$A$3:$B$180,2,)/10000</f>
        <v>1.6969700000000001E-2</v>
      </c>
      <c r="C3" s="163">
        <f>VLOOKUP(DATE(YEAR(A3),MONTH(A3),1),'19. CPI'!$A$3:$D$906,3,)</f>
        <v>2.0181404902574807E-2</v>
      </c>
      <c r="D3" s="165">
        <f>VLOOKUP(DATE(YEAR(A3),MONTH(A3),1),'18. US 10Y Yield'!$D$2:$I$456,6,)/100</f>
        <v>1.8879999999999997E-2</v>
      </c>
    </row>
    <row r="4" spans="1:6" x14ac:dyDescent="0.2">
      <c r="A4" s="164">
        <v>41334</v>
      </c>
      <c r="B4" s="96">
        <f>VLOOKUP(DATE(YEAR(A4),MONTH(A4),1),'20. CDS 10y'!$A$3:$B$180,2,)/10000</f>
        <v>1.75078E-2</v>
      </c>
      <c r="C4" s="163">
        <f>VLOOKUP(DATE(YEAR(A4),MONTH(A4),1),'19. CPI'!$A$3:$D$906,3,)</f>
        <v>1.5187472411246183E-2</v>
      </c>
      <c r="D4" s="165">
        <f>VLOOKUP(DATE(YEAR(A4),MONTH(A4),1),'18. US 10Y Yield'!$D$2:$I$456,6,)/100</f>
        <v>1.8520000000000002E-2</v>
      </c>
    </row>
    <row r="5" spans="1:6" x14ac:dyDescent="0.2">
      <c r="A5" s="164">
        <v>41365</v>
      </c>
      <c r="B5" s="96">
        <f>VLOOKUP(DATE(YEAR(A5),MONTH(A5),1),'20. CDS 10y'!$A$3:$B$180,2,)/10000</f>
        <v>1.50761E-2</v>
      </c>
      <c r="C5" s="163">
        <f>VLOOKUP(DATE(YEAR(A5),MONTH(A5),1),'19. CPI'!$A$3:$D$906,3,)</f>
        <v>1.1388080475768669E-2</v>
      </c>
      <c r="D5" s="165">
        <f>VLOOKUP(DATE(YEAR(A5),MONTH(A5),1),'18. US 10Y Yield'!$D$2:$I$456,6,)/100</f>
        <v>1.6750000000000001E-2</v>
      </c>
    </row>
    <row r="6" spans="1:6" x14ac:dyDescent="0.2">
      <c r="A6" s="164">
        <v>41395</v>
      </c>
      <c r="B6" s="96">
        <f>VLOOKUP(DATE(YEAR(A6),MONTH(A6),1),'20. CDS 10y'!$A$3:$B$180,2,)/10000</f>
        <v>1.9225100000000002E-2</v>
      </c>
      <c r="C6" s="163">
        <f>VLOOKUP(DATE(YEAR(A6),MONTH(A6),1),'19. CPI'!$A$3:$D$906,3,)</f>
        <v>1.3903888279197085E-2</v>
      </c>
      <c r="D6" s="165">
        <f>VLOOKUP(DATE(YEAR(A6),MONTH(A6),1),'18. US 10Y Yield'!$D$2:$I$456,6,)/100</f>
        <v>2.1640000000000003E-2</v>
      </c>
    </row>
    <row r="7" spans="1:6" x14ac:dyDescent="0.2">
      <c r="A7" s="164">
        <v>41426</v>
      </c>
      <c r="B7" s="96">
        <f>VLOOKUP(DATE(YEAR(A7),MONTH(A7),1),'20. CDS 10y'!$A$3:$B$180,2,)/10000</f>
        <v>2.2879E-2</v>
      </c>
      <c r="C7" s="163">
        <f>VLOOKUP(DATE(YEAR(A7),MONTH(A7),1),'19. CPI'!$A$3:$D$906,3,)</f>
        <v>1.7157935271568725E-2</v>
      </c>
      <c r="D7" s="165">
        <f>VLOOKUP(DATE(YEAR(A7),MONTH(A7),1),'18. US 10Y Yield'!$D$2:$I$456,6,)/100</f>
        <v>2.4780000000000003E-2</v>
      </c>
    </row>
    <row r="8" spans="1:6" x14ac:dyDescent="0.2">
      <c r="A8" s="164">
        <v>41456</v>
      </c>
      <c r="B8" s="96">
        <f>VLOOKUP(DATE(YEAR(A8),MONTH(A8),1),'20. CDS 10y'!$A$3:$B$180,2,)/10000</f>
        <v>2.3106999999999999E-2</v>
      </c>
      <c r="C8" s="163">
        <f>VLOOKUP(DATE(YEAR(A8),MONTH(A8),1),'19. CPI'!$A$3:$D$906,3,)</f>
        <v>1.8854718054158059E-2</v>
      </c>
      <c r="D8" s="165">
        <f>VLOOKUP(DATE(YEAR(A8),MONTH(A8),1),'18. US 10Y Yield'!$D$2:$I$456,6,)/100</f>
        <v>2.5929999999999998E-2</v>
      </c>
    </row>
    <row r="9" spans="1:6" x14ac:dyDescent="0.2">
      <c r="A9" s="164">
        <v>41487</v>
      </c>
      <c r="B9" s="96">
        <f>VLOOKUP(DATE(YEAR(A9),MONTH(A9),1),'20. CDS 10y'!$A$3:$B$180,2,)/10000</f>
        <v>2.5034999999999998E-2</v>
      </c>
      <c r="C9" s="163">
        <f>VLOOKUP(DATE(YEAR(A9),MONTH(A9),1),'19. CPI'!$A$3:$D$906,3,)</f>
        <v>1.538809488600279E-2</v>
      </c>
      <c r="D9" s="165">
        <f>VLOOKUP(DATE(YEAR(A9),MONTH(A9),1),'18. US 10Y Yield'!$D$2:$I$456,6,)/100</f>
        <v>2.7490000000000001E-2</v>
      </c>
    </row>
    <row r="10" spans="1:6" x14ac:dyDescent="0.2">
      <c r="A10" s="164">
        <v>41518</v>
      </c>
      <c r="B10" s="96">
        <f>VLOOKUP(DATE(YEAR(A10),MONTH(A10),1),'20. CDS 10y'!$A$3:$B$180,2,)/10000</f>
        <v>2.1915E-2</v>
      </c>
      <c r="C10" s="163">
        <f>VLOOKUP(DATE(YEAR(A10),MONTH(A10),1),'19. CPI'!$A$3:$D$906,3,)</f>
        <v>1.0947341081747997E-2</v>
      </c>
      <c r="D10" s="165">
        <f>VLOOKUP(DATE(YEAR(A10),MONTH(A10),1),'18. US 10Y Yield'!$D$2:$I$456,6,)/100</f>
        <v>2.6150000000000003E-2</v>
      </c>
    </row>
    <row r="11" spans="1:6" x14ac:dyDescent="0.2">
      <c r="A11" s="164">
        <v>41548</v>
      </c>
      <c r="B11" s="96">
        <f>VLOOKUP(DATE(YEAR(A11),MONTH(A11),1),'20. CDS 10y'!$A$3:$B$180,2,)/10000</f>
        <v>2.1666999999999999E-2</v>
      </c>
      <c r="C11" s="163">
        <f>VLOOKUP(DATE(YEAR(A11),MONTH(A11),1),'19. CPI'!$A$3:$D$906,3,)</f>
        <v>8.7679914349114707E-3</v>
      </c>
      <c r="D11" s="165">
        <f>VLOOKUP(DATE(YEAR(A11),MONTH(A11),1),'18. US 10Y Yield'!$D$2:$I$456,6,)/100</f>
        <v>2.5419999999999998E-2</v>
      </c>
    </row>
    <row r="12" spans="1:6" x14ac:dyDescent="0.2">
      <c r="A12" s="164">
        <v>41579</v>
      </c>
      <c r="B12" s="96">
        <f>VLOOKUP(DATE(YEAR(A12),MONTH(A12),1),'20. CDS 10y'!$A$3:$B$180,2,)/10000</f>
        <v>2.511E-2</v>
      </c>
      <c r="C12" s="163">
        <f>VLOOKUP(DATE(YEAR(A12),MONTH(A12),1),'19. CPI'!$A$3:$D$906,3,)</f>
        <v>1.2328701961954458E-2</v>
      </c>
      <c r="D12" s="165">
        <f>VLOOKUP(DATE(YEAR(A12),MONTH(A12),1),'18. US 10Y Yield'!$D$2:$I$456,6,)/100</f>
        <v>2.741E-2</v>
      </c>
    </row>
    <row r="13" spans="1:6" x14ac:dyDescent="0.2">
      <c r="A13" s="164">
        <v>41609</v>
      </c>
      <c r="B13" s="96">
        <f>VLOOKUP(DATE(YEAR(A13),MONTH(A13),1),'20. CDS 10y'!$A$3:$B$180,2,)/10000</f>
        <v>2.4188999999999999E-2</v>
      </c>
      <c r="C13" s="163">
        <f>VLOOKUP(DATE(YEAR(A13),MONTH(A13),1),'19. CPI'!$A$3:$D$906,3,)</f>
        <v>1.5128383667573297E-2</v>
      </c>
      <c r="D13" s="165">
        <f>VLOOKUP(DATE(YEAR(A13),MONTH(A13),1),'18. US 10Y Yield'!$D$2:$I$456,6,)/100</f>
        <v>3.0259999999999999E-2</v>
      </c>
    </row>
    <row r="14" spans="1:6" x14ac:dyDescent="0.2">
      <c r="A14" s="164">
        <v>41640</v>
      </c>
      <c r="B14" s="96">
        <f>VLOOKUP(DATE(YEAR(A14),MONTH(A14),1),'20. CDS 10y'!$A$3:$B$180,2,)/10000</f>
        <v>2.6113000000000001E-2</v>
      </c>
      <c r="C14" s="163">
        <f>VLOOKUP(DATE(YEAR(A14),MONTH(A14),1),'19. CPI'!$A$3:$D$906,3,)</f>
        <v>1.557758795574915E-2</v>
      </c>
      <c r="D14" s="165">
        <f>VLOOKUP(DATE(YEAR(A14),MONTH(A14),1),'18. US 10Y Yield'!$D$2:$I$456,6,)/100</f>
        <v>2.6680000000000002E-2</v>
      </c>
    </row>
    <row r="15" spans="1:6" x14ac:dyDescent="0.2">
      <c r="A15" s="164">
        <v>41671</v>
      </c>
      <c r="B15" s="96">
        <f>VLOOKUP(DATE(YEAR(A15),MONTH(A15),1),'20. CDS 10y'!$A$3:$B$180,2,)/10000</f>
        <v>2.2634999999999999E-2</v>
      </c>
      <c r="C15" s="163">
        <f>VLOOKUP(DATE(YEAR(A15),MONTH(A15),1),'19. CPI'!$A$3:$D$906,3,)</f>
        <v>1.1204746347724948E-2</v>
      </c>
      <c r="D15" s="165">
        <f>VLOOKUP(DATE(YEAR(A15),MONTH(A15),1),'18. US 10Y Yield'!$D$2:$I$456,6,)/100</f>
        <v>2.6579999999999999E-2</v>
      </c>
    </row>
    <row r="16" spans="1:6" x14ac:dyDescent="0.2">
      <c r="A16" s="164">
        <v>41699</v>
      </c>
      <c r="B16" s="96">
        <f>VLOOKUP(DATE(YEAR(A16),MONTH(A16),1),'20. CDS 10y'!$A$3:$B$180,2,)/10000</f>
        <v>2.2282E-2</v>
      </c>
      <c r="C16" s="163">
        <f>VLOOKUP(DATE(YEAR(A16),MONTH(A16),1),'19. CPI'!$A$3:$D$906,3,)</f>
        <v>1.6126949139408042E-2</v>
      </c>
      <c r="D16" s="165">
        <f>VLOOKUP(DATE(YEAR(A16),MONTH(A16),1),'18. US 10Y Yield'!$D$2:$I$456,6,)/100</f>
        <v>2.7229999999999997E-2</v>
      </c>
    </row>
    <row r="17" spans="1:4" x14ac:dyDescent="0.2">
      <c r="A17" s="164">
        <v>41730</v>
      </c>
      <c r="B17" s="96">
        <f>VLOOKUP(DATE(YEAR(A17),MONTH(A17),1),'20. CDS 10y'!$A$3:$B$180,2,)/10000</f>
        <v>1.9879000000000001E-2</v>
      </c>
      <c r="C17" s="163">
        <f>VLOOKUP(DATE(YEAR(A17),MONTH(A17),1),'19. CPI'!$A$3:$D$906,3,)</f>
        <v>2.0151253036061689E-2</v>
      </c>
      <c r="D17" s="165">
        <f>VLOOKUP(DATE(YEAR(A17),MONTH(A17),1),'18. US 10Y Yield'!$D$2:$I$456,6,)/100</f>
        <v>2.648E-2</v>
      </c>
    </row>
    <row r="18" spans="1:4" x14ac:dyDescent="0.2">
      <c r="A18" s="164">
        <v>41760</v>
      </c>
      <c r="B18" s="96">
        <f>VLOOKUP(DATE(YEAR(A18),MONTH(A18),1),'20. CDS 10y'!$A$3:$B$180,2,)/10000</f>
        <v>1.9736E-2</v>
      </c>
      <c r="C18" s="163">
        <f>VLOOKUP(DATE(YEAR(A18),MONTH(A18),1),'19. CPI'!$A$3:$D$906,3,)</f>
        <v>2.1669476870798121E-2</v>
      </c>
      <c r="D18" s="165">
        <f>VLOOKUP(DATE(YEAR(A18),MONTH(A18),1),'18. US 10Y Yield'!$D$2:$I$456,6,)/100</f>
        <v>2.4569999999999998E-2</v>
      </c>
    </row>
    <row r="19" spans="1:4" x14ac:dyDescent="0.2">
      <c r="A19" s="164">
        <v>41791</v>
      </c>
      <c r="B19" s="96">
        <f>VLOOKUP(DATE(YEAR(A19),MONTH(A19),1),'20. CDS 10y'!$A$3:$B$180,2,)/10000</f>
        <v>1.9647999999999999E-2</v>
      </c>
      <c r="C19" s="163">
        <f>VLOOKUP(DATE(YEAR(A19),MONTH(A19),1),'19. CPI'!$A$3:$D$906,3,)</f>
        <v>2.0589816945944195E-2</v>
      </c>
      <c r="D19" s="165">
        <f>VLOOKUP(DATE(YEAR(A19),MONTH(A19),1),'18. US 10Y Yield'!$D$2:$I$456,6,)/100</f>
        <v>2.5160000000000002E-2</v>
      </c>
    </row>
    <row r="20" spans="1:4" x14ac:dyDescent="0.2">
      <c r="A20" s="164">
        <v>41821</v>
      </c>
      <c r="B20" s="96">
        <f>VLOOKUP(DATE(YEAR(A20),MONTH(A20),1),'20. CDS 10y'!$A$3:$B$180,2,)/10000</f>
        <v>2.1491E-2</v>
      </c>
      <c r="C20" s="163">
        <f>VLOOKUP(DATE(YEAR(A20),MONTH(A20),1),'19. CPI'!$A$3:$D$906,3,)</f>
        <v>1.9742378703305974E-2</v>
      </c>
      <c r="D20" s="165">
        <f>VLOOKUP(DATE(YEAR(A20),MONTH(A20),1),'18. US 10Y Yield'!$D$2:$I$456,6,)/100</f>
        <v>2.5559999999999999E-2</v>
      </c>
    </row>
    <row r="21" spans="1:4" x14ac:dyDescent="0.2">
      <c r="A21" s="164">
        <v>41852</v>
      </c>
      <c r="B21" s="96">
        <f>VLOOKUP(DATE(YEAR(A21),MONTH(A21),1),'20. CDS 10y'!$A$3:$B$180,2,)/10000</f>
        <v>1.8386000000000003E-2</v>
      </c>
      <c r="C21" s="163">
        <f>VLOOKUP(DATE(YEAR(A21),MONTH(A21),1),'19. CPI'!$A$3:$D$906,3,)</f>
        <v>1.7150983482969062E-2</v>
      </c>
      <c r="D21" s="165">
        <f>VLOOKUP(DATE(YEAR(A21),MONTH(A21),1),'18. US 10Y Yield'!$D$2:$I$456,6,)/100</f>
        <v>2.3429999999999999E-2</v>
      </c>
    </row>
    <row r="22" spans="1:4" x14ac:dyDescent="0.2">
      <c r="A22" s="164">
        <v>41883</v>
      </c>
      <c r="B22" s="96">
        <f>VLOOKUP(DATE(YEAR(A22),MONTH(A22),1),'20. CDS 10y'!$A$3:$B$180,2,)/10000</f>
        <v>2.3502000000000002E-2</v>
      </c>
      <c r="C22" s="163">
        <f>VLOOKUP(DATE(YEAR(A22),MONTH(A22),1),'19. CPI'!$A$3:$D$906,3,)</f>
        <v>1.6840509711232077E-2</v>
      </c>
      <c r="D22" s="165">
        <f>VLOOKUP(DATE(YEAR(A22),MONTH(A22),1),'18. US 10Y Yield'!$D$2:$I$456,6,)/100</f>
        <v>2.5080000000000002E-2</v>
      </c>
    </row>
    <row r="23" spans="1:4" x14ac:dyDescent="0.2">
      <c r="A23" s="164">
        <v>41913</v>
      </c>
      <c r="B23" s="96">
        <f>VLOOKUP(DATE(YEAR(A23),MONTH(A23),1),'20. CDS 10y'!$A$3:$B$180,2,)/10000</f>
        <v>2.1368000000000002E-2</v>
      </c>
      <c r="C23" s="163">
        <f>VLOOKUP(DATE(YEAR(A23),MONTH(A23),1),'19. CPI'!$A$3:$D$906,3,)</f>
        <v>1.6095417021513292E-2</v>
      </c>
      <c r="D23" s="165">
        <f>VLOOKUP(DATE(YEAR(A23),MONTH(A23),1),'18. US 10Y Yield'!$D$2:$I$456,6,)/100</f>
        <v>2.3349999999999999E-2</v>
      </c>
    </row>
    <row r="24" spans="1:4" x14ac:dyDescent="0.2">
      <c r="A24" s="164">
        <v>41944</v>
      </c>
      <c r="B24" s="96">
        <f>VLOOKUP(DATE(YEAR(A24),MONTH(A24),1),'20. CDS 10y'!$A$3:$B$180,2,)/10000</f>
        <v>2.1644999999999998E-2</v>
      </c>
      <c r="C24" s="163">
        <f>VLOOKUP(DATE(YEAR(A24),MONTH(A24),1),'19. CPI'!$A$3:$D$906,3,)</f>
        <v>1.231524989320798E-2</v>
      </c>
      <c r="D24" s="165">
        <f>VLOOKUP(DATE(YEAR(A24),MONTH(A24),1),'18. US 10Y Yield'!$D$2:$I$456,6,)/100</f>
        <v>2.1940000000000001E-2</v>
      </c>
    </row>
    <row r="25" spans="1:4" x14ac:dyDescent="0.2">
      <c r="A25" s="164">
        <v>41974</v>
      </c>
      <c r="B25" s="96">
        <f>VLOOKUP(DATE(YEAR(A25),MONTH(A25),1),'20. CDS 10y'!$A$3:$B$180,2,)/10000</f>
        <v>2.5618000000000002E-2</v>
      </c>
      <c r="C25" s="163">
        <f>VLOOKUP(DATE(YEAR(A25),MONTH(A25),1),'19. CPI'!$A$3:$D$906,3,)</f>
        <v>6.5312139196231911E-3</v>
      </c>
      <c r="D25" s="165">
        <f>VLOOKUP(DATE(YEAR(A25),MONTH(A25),1),'18. US 10Y Yield'!$D$2:$I$456,6,)/100</f>
        <v>2.1700000000000001E-2</v>
      </c>
    </row>
    <row r="26" spans="1:4" x14ac:dyDescent="0.2">
      <c r="A26" s="164">
        <v>42005</v>
      </c>
      <c r="B26" s="96">
        <f>VLOOKUP(DATE(YEAR(A26),MONTH(A26),1),'20. CDS 10y'!$A$3:$B$180,2,)/10000</f>
        <v>2.6302999999999997E-2</v>
      </c>
      <c r="C26" s="163">
        <f>VLOOKUP(DATE(YEAR(A26),MONTH(A26),1),'19. CPI'!$A$3:$D$906,3,)</f>
        <v>-2.2993097820542818E-3</v>
      </c>
      <c r="D26" s="165">
        <f>VLOOKUP(DATE(YEAR(A26),MONTH(A26),1),'18. US 10Y Yield'!$D$2:$I$456,6,)/100</f>
        <v>1.6750000000000001E-2</v>
      </c>
    </row>
    <row r="27" spans="1:4" x14ac:dyDescent="0.2">
      <c r="A27" s="164">
        <v>42036</v>
      </c>
      <c r="B27" s="96">
        <f>VLOOKUP(DATE(YEAR(A27),MONTH(A27),1),'20. CDS 10y'!$A$3:$B$180,2,)/10000</f>
        <v>2.8698000000000001E-2</v>
      </c>
      <c r="C27" s="163">
        <f>VLOOKUP(DATE(YEAR(A27),MONTH(A27),1),'19. CPI'!$A$3:$D$906,3,)</f>
        <v>-8.7031462935205361E-4</v>
      </c>
      <c r="D27" s="165">
        <f>VLOOKUP(DATE(YEAR(A27),MONTH(A27),1),'18. US 10Y Yield'!$D$2:$I$456,6,)/100</f>
        <v>2.0019999999999996E-2</v>
      </c>
    </row>
    <row r="28" spans="1:4" x14ac:dyDescent="0.2">
      <c r="A28" s="164">
        <v>42064</v>
      </c>
      <c r="B28" s="96">
        <f>VLOOKUP(DATE(YEAR(A28),MONTH(A28),1),'20. CDS 10y'!$A$3:$B$180,2,)/10000</f>
        <v>3.2215000000000001E-2</v>
      </c>
      <c r="C28" s="163">
        <f>VLOOKUP(DATE(YEAR(A28),MONTH(A28),1),'19. CPI'!$A$3:$D$906,3,)</f>
        <v>-2.2031284423873476E-4</v>
      </c>
      <c r="D28" s="165">
        <f>VLOOKUP(DATE(YEAR(A28),MONTH(A28),1),'18. US 10Y Yield'!$D$2:$I$456,6,)/100</f>
        <v>1.934E-2</v>
      </c>
    </row>
    <row r="29" spans="1:4" x14ac:dyDescent="0.2">
      <c r="A29" s="164">
        <v>42095</v>
      </c>
      <c r="B29" s="96">
        <f>VLOOKUP(DATE(YEAR(A29),MONTH(A29),1),'20. CDS 10y'!$A$3:$B$180,2,)/10000</f>
        <v>2.8554000000000003E-2</v>
      </c>
      <c r="C29" s="163">
        <f>VLOOKUP(DATE(YEAR(A29),MONTH(A29),1),'19. CPI'!$A$3:$D$906,3,)</f>
        <v>-1.0403098939391064E-3</v>
      </c>
      <c r="D29" s="165">
        <f>VLOOKUP(DATE(YEAR(A29),MONTH(A29),1),'18. US 10Y Yield'!$D$2:$I$456,6,)/100</f>
        <v>2.0459999999999999E-2</v>
      </c>
    </row>
    <row r="30" spans="1:4" x14ac:dyDescent="0.2">
      <c r="A30" s="164">
        <v>42125</v>
      </c>
      <c r="B30" s="96">
        <f>VLOOKUP(DATE(YEAR(A30),MONTH(A30),1),'20. CDS 10y'!$A$3:$B$180,2,)/10000</f>
        <v>2.8742E-2</v>
      </c>
      <c r="C30" s="163">
        <f>VLOOKUP(DATE(YEAR(A30),MONTH(A30),1),'19. CPI'!$A$3:$D$906,3,)</f>
        <v>3.5033218244295838E-4</v>
      </c>
      <c r="D30" s="165">
        <f>VLOOKUP(DATE(YEAR(A30),MONTH(A30),1),'18. US 10Y Yield'!$D$2:$I$456,6,)/100</f>
        <v>2.0950000000000003E-2</v>
      </c>
    </row>
    <row r="31" spans="1:4" x14ac:dyDescent="0.2">
      <c r="A31" s="164">
        <v>42156</v>
      </c>
      <c r="B31" s="96">
        <f>VLOOKUP(DATE(YEAR(A31),MONTH(A31),1),'20. CDS 10y'!$A$3:$B$180,2,)/10000</f>
        <v>3.2006E-2</v>
      </c>
      <c r="C31" s="163">
        <f>VLOOKUP(DATE(YEAR(A31),MONTH(A31),1),'19. CPI'!$A$3:$D$906,3,)</f>
        <v>1.7957180975505249E-3</v>
      </c>
      <c r="D31" s="165">
        <f>VLOOKUP(DATE(YEAR(A31),MONTH(A31),1),'18. US 10Y Yield'!$D$2:$I$456,6,)/100</f>
        <v>2.3349999999999999E-2</v>
      </c>
    </row>
    <row r="32" spans="1:4" x14ac:dyDescent="0.2">
      <c r="A32" s="164">
        <v>42186</v>
      </c>
      <c r="B32" s="96">
        <f>VLOOKUP(DATE(YEAR(A32),MONTH(A32),1),'20. CDS 10y'!$A$3:$B$180,2,)/10000</f>
        <v>3.4562000000000002E-2</v>
      </c>
      <c r="C32" s="163">
        <f>VLOOKUP(DATE(YEAR(A32),MONTH(A32),1),'19. CPI'!$A$3:$D$906,3,)</f>
        <v>2.2568611104094582E-3</v>
      </c>
      <c r="D32" s="165">
        <f>VLOOKUP(DATE(YEAR(A32),MONTH(A32),1),'18. US 10Y Yield'!$D$2:$I$456,6,)/100</f>
        <v>2.205E-2</v>
      </c>
    </row>
    <row r="33" spans="1:4" x14ac:dyDescent="0.2">
      <c r="A33" s="164">
        <v>42217</v>
      </c>
      <c r="B33" s="96">
        <f>VLOOKUP(DATE(YEAR(A33),MONTH(A33),1),'20. CDS 10y'!$A$3:$B$180,2,)/10000</f>
        <v>3.9794000000000003E-2</v>
      </c>
      <c r="C33" s="163">
        <f>VLOOKUP(DATE(YEAR(A33),MONTH(A33),1),'19. CPI'!$A$3:$D$906,3,)</f>
        <v>2.413037985344868E-3</v>
      </c>
      <c r="D33" s="165">
        <f>VLOOKUP(DATE(YEAR(A33),MONTH(A33),1),'18. US 10Y Yield'!$D$2:$I$456,6,)/100</f>
        <v>2.2000000000000002E-2</v>
      </c>
    </row>
    <row r="34" spans="1:4" x14ac:dyDescent="0.2">
      <c r="A34" s="164">
        <v>42248</v>
      </c>
      <c r="B34" s="96">
        <f>VLOOKUP(DATE(YEAR(A34),MONTH(A34),1),'20. CDS 10y'!$A$3:$B$180,2,)/10000</f>
        <v>4.9936000000000001E-2</v>
      </c>
      <c r="C34" s="163">
        <f>VLOOKUP(DATE(YEAR(A34),MONTH(A34),1),'19. CPI'!$A$3:$D$906,3,)</f>
        <v>8.8429616341700878E-5</v>
      </c>
      <c r="D34" s="165">
        <f>VLOOKUP(DATE(YEAR(A34),MONTH(A34),1),'18. US 10Y Yield'!$D$2:$I$456,6,)/100</f>
        <v>2.06E-2</v>
      </c>
    </row>
    <row r="35" spans="1:4" x14ac:dyDescent="0.2">
      <c r="A35" s="164">
        <v>42278</v>
      </c>
      <c r="B35" s="96">
        <f>VLOOKUP(DATE(YEAR(A35),MONTH(A35),1),'20. CDS 10y'!$A$3:$B$180,2,)/10000</f>
        <v>4.6882E-2</v>
      </c>
      <c r="C35" s="163">
        <f>VLOOKUP(DATE(YEAR(A35),MONTH(A35),1),'19. CPI'!$A$3:$D$906,3,)</f>
        <v>1.2761656067050708E-3</v>
      </c>
      <c r="D35" s="165">
        <f>VLOOKUP(DATE(YEAR(A35),MONTH(A35),1),'18. US 10Y Yield'!$D$2:$I$456,6,)/100</f>
        <v>2.1509999999999998E-2</v>
      </c>
    </row>
    <row r="36" spans="1:4" x14ac:dyDescent="0.2">
      <c r="A36" s="164">
        <v>42309</v>
      </c>
      <c r="B36" s="96">
        <f>VLOOKUP(DATE(YEAR(A36),MONTH(A36),1),'20. CDS 10y'!$A$3:$B$180,2,)/10000</f>
        <v>4.8422E-2</v>
      </c>
      <c r="C36" s="163">
        <f>VLOOKUP(DATE(YEAR(A36),MONTH(A36),1),'19. CPI'!$A$3:$D$906,3,)</f>
        <v>4.3631821691851869E-3</v>
      </c>
      <c r="D36" s="165">
        <f>VLOOKUP(DATE(YEAR(A36),MONTH(A36),1),'18. US 10Y Yield'!$D$2:$I$456,6,)/100</f>
        <v>2.2179999999999998E-2</v>
      </c>
    </row>
    <row r="37" spans="1:4" x14ac:dyDescent="0.2">
      <c r="A37" s="164">
        <v>42339</v>
      </c>
      <c r="B37" s="96">
        <f>VLOOKUP(DATE(YEAR(A37),MONTH(A37),1),'20. CDS 10y'!$A$3:$B$180,2,)/10000</f>
        <v>5.425E-2</v>
      </c>
      <c r="C37" s="163">
        <f>VLOOKUP(DATE(YEAR(A37),MONTH(A37),1),'19. CPI'!$A$3:$D$906,3,)</f>
        <v>6.3872475153647912E-3</v>
      </c>
      <c r="D37" s="165">
        <f>VLOOKUP(DATE(YEAR(A37),MONTH(A37),1),'18. US 10Y Yield'!$D$2:$I$456,6,)/100</f>
        <v>2.2690000000000002E-2</v>
      </c>
    </row>
    <row r="38" spans="1:4" x14ac:dyDescent="0.2">
      <c r="A38" s="164">
        <v>42370</v>
      </c>
      <c r="B38" s="96">
        <f>VLOOKUP(DATE(YEAR(A38),MONTH(A38),1),'20. CDS 10y'!$A$3:$B$180,2,)/10000</f>
        <v>5.2347000000000005E-2</v>
      </c>
      <c r="C38" s="163">
        <f>VLOOKUP(DATE(YEAR(A38),MONTH(A38),1),'19. CPI'!$A$3:$D$906,3,)</f>
        <v>1.2375025026943876E-2</v>
      </c>
      <c r="D38" s="165">
        <f>VLOOKUP(DATE(YEAR(A38),MONTH(A38),1),'18. US 10Y Yield'!$D$2:$I$456,6,)/100</f>
        <v>1.9310000000000001E-2</v>
      </c>
    </row>
    <row r="39" spans="1:4" x14ac:dyDescent="0.2">
      <c r="A39" s="164">
        <v>42401</v>
      </c>
      <c r="B39" s="96">
        <f>VLOOKUP(DATE(YEAR(A39),MONTH(A39),1),'20. CDS 10y'!$A$3:$B$180,2,)/10000</f>
        <v>5.1467999999999993E-2</v>
      </c>
      <c r="C39" s="163">
        <f>VLOOKUP(DATE(YEAR(A39),MONTH(A39),1),'19. CPI'!$A$3:$D$906,3,)</f>
        <v>8.4727757901266187E-3</v>
      </c>
      <c r="D39" s="165">
        <f>VLOOKUP(DATE(YEAR(A39),MONTH(A39),1),'18. US 10Y Yield'!$D$2:$I$456,6,)/100</f>
        <v>1.7399999999999999E-2</v>
      </c>
    </row>
    <row r="40" spans="1:4" x14ac:dyDescent="0.2">
      <c r="A40" s="164">
        <v>42430</v>
      </c>
      <c r="B40" s="96">
        <f>VLOOKUP(DATE(YEAR(A40),MONTH(A40),1),'20. CDS 10y'!$A$3:$B$180,2,)/10000</f>
        <v>4.2451999999999997E-2</v>
      </c>
      <c r="C40" s="163">
        <f>VLOOKUP(DATE(YEAR(A40),MONTH(A40),1),'19. CPI'!$A$3:$D$906,3,)</f>
        <v>8.9161609655219465E-3</v>
      </c>
      <c r="D40" s="165">
        <f>VLOOKUP(DATE(YEAR(A40),MONTH(A40),1),'18. US 10Y Yield'!$D$2:$I$456,6,)/100</f>
        <v>1.7860000000000001E-2</v>
      </c>
    </row>
    <row r="41" spans="1:4" x14ac:dyDescent="0.2">
      <c r="A41" s="164">
        <v>42461</v>
      </c>
      <c r="B41" s="96">
        <f>VLOOKUP(DATE(YEAR(A41),MONTH(A41),1),'20. CDS 10y'!$A$3:$B$180,2,)/10000</f>
        <v>3.9607999999999997E-2</v>
      </c>
      <c r="C41" s="163">
        <f>VLOOKUP(DATE(YEAR(A41),MONTH(A41),1),'19. CPI'!$A$3:$D$906,3,)</f>
        <v>1.1726257503534843E-2</v>
      </c>
      <c r="D41" s="165">
        <f>VLOOKUP(DATE(YEAR(A41),MONTH(A41),1),'18. US 10Y Yield'!$D$2:$I$456,6,)/100</f>
        <v>1.8189999999999998E-2</v>
      </c>
    </row>
    <row r="42" spans="1:4" x14ac:dyDescent="0.2">
      <c r="A42" s="164">
        <v>42491</v>
      </c>
      <c r="B42" s="96">
        <f>VLOOKUP(DATE(YEAR(A42),MONTH(A42),1),'20. CDS 10y'!$A$3:$B$180,2,)/10000</f>
        <v>4.2367000000000002E-2</v>
      </c>
      <c r="C42" s="163">
        <f>VLOOKUP(DATE(YEAR(A42),MONTH(A42),1),'19. CPI'!$A$3:$D$906,3,)</f>
        <v>1.0784764621246223E-2</v>
      </c>
      <c r="D42" s="165">
        <f>VLOOKUP(DATE(YEAR(A42),MONTH(A42),1),'18. US 10Y Yield'!$D$2:$I$456,6,)/100</f>
        <v>1.8340000000000002E-2</v>
      </c>
    </row>
    <row r="43" spans="1:4" x14ac:dyDescent="0.2">
      <c r="A43" s="164">
        <v>42522</v>
      </c>
      <c r="B43" s="96">
        <f>VLOOKUP(DATE(YEAR(A43),MONTH(A43),1),'20. CDS 10y'!$A$3:$B$180,2,)/10000</f>
        <v>3.7824000000000003E-2</v>
      </c>
      <c r="C43" s="163">
        <f>VLOOKUP(DATE(YEAR(A43),MONTH(A43),1),'19. CPI'!$A$3:$D$906,3,)</f>
        <v>1.0792865347959424E-2</v>
      </c>
      <c r="D43" s="165">
        <f>VLOOKUP(DATE(YEAR(A43),MONTH(A43),1),'18. US 10Y Yield'!$D$2:$I$456,6,)/100</f>
        <v>1.4879999999999999E-2</v>
      </c>
    </row>
    <row r="44" spans="1:4" x14ac:dyDescent="0.2">
      <c r="A44" s="164">
        <v>42552</v>
      </c>
      <c r="B44" s="96">
        <f>VLOOKUP(DATE(YEAR(A44),MONTH(A44),1),'20. CDS 10y'!$A$3:$B$180,2,)/10000</f>
        <v>3.5824000000000002E-2</v>
      </c>
      <c r="C44" s="163">
        <f>VLOOKUP(DATE(YEAR(A44),MONTH(A44),1),'19. CPI'!$A$3:$D$906,3,)</f>
        <v>8.6836334305182561E-3</v>
      </c>
      <c r="D44" s="165">
        <f>VLOOKUP(DATE(YEAR(A44),MONTH(A44),1),'18. US 10Y Yield'!$D$2:$I$456,6,)/100</f>
        <v>1.4579999999999999E-2</v>
      </c>
    </row>
    <row r="45" spans="1:4" x14ac:dyDescent="0.2">
      <c r="A45" s="164">
        <v>42583</v>
      </c>
      <c r="B45" s="96">
        <f>VLOOKUP(DATE(YEAR(A45),MONTH(A45),1),'20. CDS 10y'!$A$3:$B$180,2,)/10000</f>
        <v>3.3016000000000004E-2</v>
      </c>
      <c r="C45" s="163">
        <f>VLOOKUP(DATE(YEAR(A45),MONTH(A45),1),'19. CPI'!$A$3:$D$906,3,)</f>
        <v>1.0553158595656864E-2</v>
      </c>
      <c r="D45" s="165">
        <f>VLOOKUP(DATE(YEAR(A45),MONTH(A45),1),'18. US 10Y Yield'!$D$2:$I$456,6,)/100</f>
        <v>1.5679999999999999E-2</v>
      </c>
    </row>
    <row r="46" spans="1:4" x14ac:dyDescent="0.2">
      <c r="A46" s="164">
        <v>42614</v>
      </c>
      <c r="B46" s="96">
        <f>VLOOKUP(DATE(YEAR(A46),MONTH(A46),1),'20. CDS 10y'!$A$3:$B$180,2,)/10000</f>
        <v>3.3381000000000001E-2</v>
      </c>
      <c r="C46" s="163">
        <f>VLOOKUP(DATE(YEAR(A46),MONTH(A46),1),'19. CPI'!$A$3:$D$906,3,)</f>
        <v>1.5486446201652182E-2</v>
      </c>
      <c r="D46" s="165">
        <f>VLOOKUP(DATE(YEAR(A46),MONTH(A46),1),'18. US 10Y Yield'!$D$2:$I$456,6,)/100</f>
        <v>1.6080000000000001E-2</v>
      </c>
    </row>
    <row r="47" spans="1:4" x14ac:dyDescent="0.2">
      <c r="A47" s="164">
        <v>42644</v>
      </c>
      <c r="B47" s="96">
        <f>VLOOKUP(DATE(YEAR(A47),MONTH(A47),1),'20. CDS 10y'!$A$3:$B$180,2,)/10000</f>
        <v>3.3438000000000002E-2</v>
      </c>
      <c r="C47" s="163">
        <f>VLOOKUP(DATE(YEAR(A47),MONTH(A47),1),'19. CPI'!$A$3:$D$906,3,)</f>
        <v>1.685924966243646E-2</v>
      </c>
      <c r="D47" s="165">
        <f>VLOOKUP(DATE(YEAR(A47),MONTH(A47),1),'18. US 10Y Yield'!$D$2:$I$456,6,)/100</f>
        <v>1.8340000000000002E-2</v>
      </c>
    </row>
    <row r="48" spans="1:4" x14ac:dyDescent="0.2">
      <c r="A48" s="164">
        <v>42675</v>
      </c>
      <c r="B48" s="96">
        <f>VLOOKUP(DATE(YEAR(A48),MONTH(A48),1),'20. CDS 10y'!$A$3:$B$180,2,)/10000</f>
        <v>3.6267000000000001E-2</v>
      </c>
      <c r="C48" s="163">
        <f>VLOOKUP(DATE(YEAR(A48),MONTH(A48),1),'19. CPI'!$A$3:$D$906,3,)</f>
        <v>1.6843334719788938E-2</v>
      </c>
      <c r="D48" s="165">
        <f>VLOOKUP(DATE(YEAR(A48),MONTH(A48),1),'18. US 10Y Yield'!$D$2:$I$456,6,)/100</f>
        <v>2.368E-2</v>
      </c>
    </row>
    <row r="49" spans="1:4" x14ac:dyDescent="0.2">
      <c r="A49" s="164">
        <v>42705</v>
      </c>
      <c r="B49" s="96">
        <f>VLOOKUP(DATE(YEAR(A49),MONTH(A49),1),'20. CDS 10y'!$A$3:$B$180,2,)/10000</f>
        <v>3.4795E-2</v>
      </c>
      <c r="C49" s="163">
        <f>VLOOKUP(DATE(YEAR(A49),MONTH(A49),1),'19. CPI'!$A$3:$D$906,3,)</f>
        <v>2.0507989115119862E-2</v>
      </c>
      <c r="D49" s="165">
        <f>VLOOKUP(DATE(YEAR(A49),MONTH(A49),1),'18. US 10Y Yield'!$D$2:$I$456,6,)/100</f>
        <v>2.4460000000000003E-2</v>
      </c>
    </row>
    <row r="50" spans="1:4" x14ac:dyDescent="0.2">
      <c r="A50" s="164">
        <v>42736</v>
      </c>
      <c r="B50" s="96">
        <f>VLOOKUP(DATE(YEAR(A50),MONTH(A50),1),'20. CDS 10y'!$A$3:$B$180,2,)/10000</f>
        <v>3.3323999999999999E-2</v>
      </c>
      <c r="C50" s="163">
        <f>VLOOKUP(DATE(YEAR(A50),MONTH(A50),1),'19. CPI'!$A$3:$D$906,3,)</f>
        <v>2.5103933482571117E-2</v>
      </c>
      <c r="D50" s="165">
        <f>VLOOKUP(DATE(YEAR(A50),MONTH(A50),1),'18. US 10Y Yield'!$D$2:$I$456,6,)/100</f>
        <v>2.4510000000000001E-2</v>
      </c>
    </row>
    <row r="51" spans="1:4" x14ac:dyDescent="0.2">
      <c r="A51" s="164">
        <v>42767</v>
      </c>
      <c r="B51" s="96">
        <f>VLOOKUP(DATE(YEAR(A51),MONTH(A51),1),'20. CDS 10y'!$A$3:$B$180,2,)/10000</f>
        <v>3.0310000000000004E-2</v>
      </c>
      <c r="C51" s="163">
        <f>VLOOKUP(DATE(YEAR(A51),MONTH(A51),1),'19. CPI'!$A$3:$D$906,3,)</f>
        <v>2.8103616813294208E-2</v>
      </c>
      <c r="D51" s="165">
        <f>VLOOKUP(DATE(YEAR(A51),MONTH(A51),1),'18. US 10Y Yield'!$D$2:$I$456,6,)/100</f>
        <v>2.358E-2</v>
      </c>
    </row>
    <row r="52" spans="1:4" x14ac:dyDescent="0.2">
      <c r="A52" s="164">
        <v>42795</v>
      </c>
      <c r="B52" s="96">
        <f>VLOOKUP(DATE(YEAR(A52),MONTH(A52),1),'20. CDS 10y'!$A$3:$B$180,2,)/10000</f>
        <v>3.0369999999999998E-2</v>
      </c>
      <c r="C52" s="163">
        <f>VLOOKUP(DATE(YEAR(A52),MONTH(A52),1),'19. CPI'!$A$3:$D$906,3,)</f>
        <v>2.44119623655914E-2</v>
      </c>
      <c r="D52" s="165">
        <f>VLOOKUP(DATE(YEAR(A52),MONTH(A52),1),'18. US 10Y Yield'!$D$2:$I$456,6,)/100</f>
        <v>2.3959999999999999E-2</v>
      </c>
    </row>
    <row r="53" spans="1:4" x14ac:dyDescent="0.2">
      <c r="A53" s="164">
        <v>42826</v>
      </c>
      <c r="B53" s="96">
        <f>VLOOKUP(DATE(YEAR(A53),MONTH(A53),1),'20. CDS 10y'!$A$3:$B$180,2,)/10000</f>
        <v>2.9845999999999998E-2</v>
      </c>
      <c r="C53" s="163">
        <f>VLOOKUP(DATE(YEAR(A53),MONTH(A53),1),'19. CPI'!$A$3:$D$906,3,)</f>
        <v>2.176223471915395E-2</v>
      </c>
      <c r="D53" s="165">
        <f>VLOOKUP(DATE(YEAR(A53),MONTH(A53),1),'18. US 10Y Yield'!$D$2:$I$456,6,)/100</f>
        <v>2.282E-2</v>
      </c>
    </row>
    <row r="54" spans="1:4" x14ac:dyDescent="0.2">
      <c r="A54" s="164">
        <v>42856</v>
      </c>
      <c r="B54" s="96">
        <f>VLOOKUP(DATE(YEAR(A54),MONTH(A54),1),'20. CDS 10y'!$A$3:$B$180,2,)/10000</f>
        <v>3.2537999999999997E-2</v>
      </c>
      <c r="C54" s="163">
        <f>VLOOKUP(DATE(YEAR(A54),MONTH(A54),1),'19. CPI'!$A$3:$D$906,3,)</f>
        <v>1.8563431667619756E-2</v>
      </c>
      <c r="D54" s="165">
        <f>VLOOKUP(DATE(YEAR(A54),MONTH(A54),1),'18. US 10Y Yield'!$D$2:$I$456,6,)/100</f>
        <v>2.196E-2</v>
      </c>
    </row>
    <row r="55" spans="1:4" x14ac:dyDescent="0.2">
      <c r="A55" s="164">
        <v>42887</v>
      </c>
      <c r="B55" s="96">
        <f>VLOOKUP(DATE(YEAR(A55),MONTH(A55),1),'20. CDS 10y'!$A$3:$B$180,2,)/10000</f>
        <v>3.3371899999999996E-2</v>
      </c>
      <c r="C55" s="163">
        <f>VLOOKUP(DATE(YEAR(A55),MONTH(A55),1),'19. CPI'!$A$3:$D$906,3,)</f>
        <v>1.6405658099591269E-2</v>
      </c>
      <c r="D55" s="165">
        <f>VLOOKUP(DATE(YEAR(A55),MONTH(A55),1),'18. US 10Y Yield'!$D$2:$I$456,6,)/100</f>
        <v>2.3019999999999999E-2</v>
      </c>
    </row>
    <row r="56" spans="1:4" x14ac:dyDescent="0.2">
      <c r="A56" s="164">
        <v>42917</v>
      </c>
      <c r="B56" s="96">
        <f>VLOOKUP(DATE(YEAR(A56),MONTH(A56),1),'20. CDS 10y'!$A$3:$B$180,2,)/10000</f>
        <v>3.0876000000000001E-2</v>
      </c>
      <c r="C56" s="163">
        <f>VLOOKUP(DATE(YEAR(A56),MONTH(A56),1),'19. CPI'!$A$3:$D$906,3,)</f>
        <v>1.7251073506566073E-2</v>
      </c>
      <c r="D56" s="165">
        <f>VLOOKUP(DATE(YEAR(A56),MONTH(A56),1),'18. US 10Y Yield'!$D$2:$I$456,6,)/100</f>
        <v>2.2919999999999999E-2</v>
      </c>
    </row>
    <row r="57" spans="1:4" x14ac:dyDescent="0.2">
      <c r="A57" s="164">
        <v>42948</v>
      </c>
      <c r="B57" s="96">
        <f>VLOOKUP(DATE(YEAR(A57),MONTH(A57),1),'20. CDS 10y'!$A$3:$B$180,2,)/10000</f>
        <v>3.0120999999999998E-2</v>
      </c>
      <c r="C57" s="163">
        <f>VLOOKUP(DATE(YEAR(A57),MONTH(A57),1),'19. CPI'!$A$3:$D$906,3,)</f>
        <v>1.9281215572969801E-2</v>
      </c>
      <c r="D57" s="165">
        <f>VLOOKUP(DATE(YEAR(A57),MONTH(A57),1),'18. US 10Y Yield'!$D$2:$I$456,6,)/100</f>
        <v>2.121E-2</v>
      </c>
    </row>
    <row r="58" spans="1:4" x14ac:dyDescent="0.2">
      <c r="A58" s="164">
        <v>42979</v>
      </c>
      <c r="B58" s="96">
        <f>VLOOKUP(DATE(YEAR(A58),MONTH(A58),1),'20. CDS 10y'!$A$3:$B$180,2,)/10000</f>
        <v>2.9023E-2</v>
      </c>
      <c r="C58" s="163">
        <f>VLOOKUP(DATE(YEAR(A58),MONTH(A58),1),'19. CPI'!$A$3:$D$906,3,)</f>
        <v>2.1805652303711787E-2</v>
      </c>
      <c r="D58" s="165">
        <f>VLOOKUP(DATE(YEAR(A58),MONTH(A58),1),'18. US 10Y Yield'!$D$2:$I$456,6,)/100</f>
        <v>2.3259999999999999E-2</v>
      </c>
    </row>
    <row r="59" spans="1:4" x14ac:dyDescent="0.2">
      <c r="A59" s="164">
        <v>43009</v>
      </c>
      <c r="B59" s="96">
        <f>VLOOKUP(DATE(YEAR(A59),MONTH(A59),1),'20. CDS 10y'!$A$3:$B$180,2,)/10000</f>
        <v>2.6504000000000003E-2</v>
      </c>
      <c r="C59" s="163">
        <f>VLOOKUP(DATE(YEAR(A59),MONTH(A59),1),'19. CPI'!$A$3:$D$906,3,)</f>
        <v>2.020757753132485E-2</v>
      </c>
      <c r="D59" s="165">
        <f>VLOOKUP(DATE(YEAR(A59),MONTH(A59),1),'18. US 10Y Yield'!$D$2:$I$456,6,)/100</f>
        <v>2.376E-2</v>
      </c>
    </row>
    <row r="60" spans="1:4" x14ac:dyDescent="0.2">
      <c r="A60" s="164">
        <v>43040</v>
      </c>
      <c r="B60" s="96">
        <f>VLOOKUP(DATE(YEAR(A60),MONTH(A60),1),'20. CDS 10y'!$A$3:$B$180,2,)/10000</f>
        <v>2.6231000000000001E-2</v>
      </c>
      <c r="C60" s="163">
        <f>VLOOKUP(DATE(YEAR(A60),MONTH(A60),1),'19. CPI'!$A$3:$D$906,3,)</f>
        <v>2.172493864295566E-2</v>
      </c>
      <c r="D60" s="165">
        <f>VLOOKUP(DATE(YEAR(A60),MONTH(A60),1),'18. US 10Y Yield'!$D$2:$I$456,6,)/100</f>
        <v>2.4169999999999997E-2</v>
      </c>
    </row>
    <row r="61" spans="1:4" x14ac:dyDescent="0.2">
      <c r="A61" s="164">
        <v>43070</v>
      </c>
      <c r="B61" s="96">
        <f>VLOOKUP(DATE(YEAR(A61),MONTH(A61),1),'20. CDS 10y'!$A$3:$B$180,2,)/10000</f>
        <v>2.5020000000000001E-2</v>
      </c>
      <c r="C61" s="163">
        <f>VLOOKUP(DATE(YEAR(A61),MONTH(A61),1),'19. CPI'!$A$3:$D$906,3,)</f>
        <v>2.1299307195522532E-2</v>
      </c>
      <c r="D61" s="165">
        <f>VLOOKUP(DATE(YEAR(A61),MONTH(A61),1),'18. US 10Y Yield'!$D$2:$I$456,6,)/100</f>
        <v>2.4049999999999998E-2</v>
      </c>
    </row>
    <row r="62" spans="1:4" x14ac:dyDescent="0.2">
      <c r="A62" s="164">
        <v>43101</v>
      </c>
      <c r="B62" s="96">
        <f>VLOOKUP(DATE(YEAR(A62),MONTH(A62),1),'20. CDS 10y'!$A$3:$B$180,2,)/10000</f>
        <v>2.3231000000000002E-2</v>
      </c>
      <c r="C62" s="163">
        <f>VLOOKUP(DATE(YEAR(A62),MONTH(A62),1),'19. CPI'!$A$3:$D$906,3,)</f>
        <v>2.1037033388337401E-2</v>
      </c>
      <c r="D62" s="165">
        <f>VLOOKUP(DATE(YEAR(A62),MONTH(A62),1),'18. US 10Y Yield'!$D$2:$I$456,6,)/100</f>
        <v>2.7200000000000002E-2</v>
      </c>
    </row>
    <row r="63" spans="1:4" x14ac:dyDescent="0.2">
      <c r="A63" s="164">
        <v>43132</v>
      </c>
      <c r="B63" s="96">
        <f>VLOOKUP(DATE(YEAR(A63),MONTH(A63),1),'20. CDS 10y'!$A$3:$B$180,2,)/10000</f>
        <v>2.5315999999999998E-2</v>
      </c>
      <c r="C63" s="163">
        <f>VLOOKUP(DATE(YEAR(A63),MONTH(A63),1),'19. CPI'!$A$3:$D$906,3,)</f>
        <v>2.2265845921821459E-2</v>
      </c>
      <c r="D63" s="165">
        <f>VLOOKUP(DATE(YEAR(A63),MONTH(A63),1),'18. US 10Y Yield'!$D$2:$I$456,6,)/100</f>
        <v>2.8679999999999997E-2</v>
      </c>
    </row>
    <row r="64" spans="1:4" x14ac:dyDescent="0.2">
      <c r="A64" s="164">
        <v>43160</v>
      </c>
      <c r="B64" s="96">
        <f>VLOOKUP(DATE(YEAR(A64),MONTH(A64),1),'20. CDS 10y'!$A$3:$B$180,2,)/10000</f>
        <v>2.5277000000000001E-2</v>
      </c>
      <c r="C64" s="163">
        <f>VLOOKUP(DATE(YEAR(A64),MONTH(A64),1),'19. CPI'!$A$3:$D$906,3,)</f>
        <v>2.3325898348449225E-2</v>
      </c>
      <c r="D64" s="165">
        <f>VLOOKUP(DATE(YEAR(A64),MONTH(A64),1),'18. US 10Y Yield'!$D$2:$I$456,6,)/100</f>
        <v>2.741E-2</v>
      </c>
    </row>
    <row r="65" spans="1:4" x14ac:dyDescent="0.2">
      <c r="A65" s="164">
        <v>43191</v>
      </c>
      <c r="B65" s="96">
        <f>VLOOKUP(DATE(YEAR(A65),MONTH(A65),1),'20. CDS 10y'!$A$3:$B$180,2,)/10000</f>
        <v>2.5970999999999998E-2</v>
      </c>
      <c r="C65" s="163">
        <f>VLOOKUP(DATE(YEAR(A65),MONTH(A65),1),'19. CPI'!$A$3:$D$906,3,)</f>
        <v>2.4378258181028789E-2</v>
      </c>
      <c r="D65" s="165">
        <f>VLOOKUP(DATE(YEAR(A65),MONTH(A65),1),'18. US 10Y Yield'!$D$2:$I$456,6,)/100</f>
        <v>2.9360000000000001E-2</v>
      </c>
    </row>
    <row r="66" spans="1:4" x14ac:dyDescent="0.2">
      <c r="A66" s="164">
        <v>43221</v>
      </c>
      <c r="B66" s="96">
        <f>VLOOKUP(DATE(YEAR(A66),MONTH(A66),1),'20. CDS 10y'!$A$3:$B$180,2,)/10000</f>
        <v>3.193E-2</v>
      </c>
      <c r="C66" s="163">
        <f>VLOOKUP(DATE(YEAR(A66),MONTH(A66),1),'19. CPI'!$A$3:$D$906,3,)</f>
        <v>2.7765938263307088E-2</v>
      </c>
      <c r="D66" s="165">
        <f>VLOOKUP(DATE(YEAR(A66),MONTH(A66),1),'18. US 10Y Yield'!$D$2:$I$456,6,)/100</f>
        <v>2.8220000000000002E-2</v>
      </c>
    </row>
    <row r="67" spans="1:4" x14ac:dyDescent="0.2">
      <c r="A67" s="164">
        <v>43252</v>
      </c>
      <c r="B67" s="96">
        <f>VLOOKUP(DATE(YEAR(A67),MONTH(A67),1),'20. CDS 10y'!$A$3:$B$180,2,)/10000</f>
        <v>3.5744999999999999E-2</v>
      </c>
      <c r="C67" s="163">
        <f>VLOOKUP(DATE(YEAR(A67),MONTH(A67),1),'19. CPI'!$A$3:$D$906,3,)</f>
        <v>2.8485069400359553E-2</v>
      </c>
      <c r="D67" s="165">
        <f>VLOOKUP(DATE(YEAR(A67),MONTH(A67),1),'18. US 10Y Yield'!$D$2:$I$456,6,)/100</f>
        <v>2.8490000000000001E-2</v>
      </c>
    </row>
    <row r="68" spans="1:4" x14ac:dyDescent="0.2">
      <c r="A68" s="164">
        <v>43282</v>
      </c>
      <c r="B68" s="96">
        <f>VLOOKUP(DATE(YEAR(A68),MONTH(A68),1),'20. CDS 10y'!$A$3:$B$180,2,)/10000</f>
        <v>3.0093000000000002E-2</v>
      </c>
      <c r="C68" s="163">
        <f>VLOOKUP(DATE(YEAR(A68),MONTH(A68),1),'19. CPI'!$A$3:$D$906,3,)</f>
        <v>2.8987524719234603E-2</v>
      </c>
      <c r="D68" s="165">
        <f>VLOOKUP(DATE(YEAR(A68),MONTH(A68),1),'18. US 10Y Yield'!$D$2:$I$456,6,)/100</f>
        <v>2.964E-2</v>
      </c>
    </row>
    <row r="69" spans="1:4" x14ac:dyDescent="0.2">
      <c r="A69" s="164">
        <v>43313</v>
      </c>
      <c r="B69" s="96">
        <f>VLOOKUP(DATE(YEAR(A69),MONTH(A69),1),'20. CDS 10y'!$A$3:$B$180,2,)/10000</f>
        <v>3.8210000000000001E-2</v>
      </c>
      <c r="C69" s="163">
        <f>VLOOKUP(DATE(YEAR(A69),MONTH(A69),1),'19. CPI'!$A$3:$D$906,3,)</f>
        <v>2.6779996981846299E-2</v>
      </c>
      <c r="D69" s="165">
        <f>VLOOKUP(DATE(YEAR(A69),MONTH(A69),1),'18. US 10Y Yield'!$D$2:$I$456,6,)/100</f>
        <v>2.8530000000000003E-2</v>
      </c>
    </row>
    <row r="70" spans="1:4" x14ac:dyDescent="0.2">
      <c r="A70" s="164">
        <v>43344</v>
      </c>
      <c r="B70" s="96">
        <f>VLOOKUP(DATE(YEAR(A70),MONTH(A70),1),'20. CDS 10y'!$A$3:$B$180,2,)/10000</f>
        <v>3.3796E-2</v>
      </c>
      <c r="C70" s="163">
        <f>VLOOKUP(DATE(YEAR(A70),MONTH(A70),1),'19. CPI'!$A$3:$D$906,3,)</f>
        <v>2.3551849372045464E-2</v>
      </c>
      <c r="D70" s="165">
        <f>VLOOKUP(DATE(YEAR(A70),MONTH(A70),1),'18. US 10Y Yield'!$D$2:$I$456,6,)/100</f>
        <v>3.056E-2</v>
      </c>
    </row>
    <row r="71" spans="1:4" x14ac:dyDescent="0.2">
      <c r="A71" s="164">
        <v>43374</v>
      </c>
      <c r="B71" s="96">
        <f>VLOOKUP(DATE(YEAR(A71),MONTH(A71),1),'20. CDS 10y'!$A$3:$B$180,2,)/10000</f>
        <v>2.7833999999999998E-2</v>
      </c>
      <c r="C71" s="163">
        <f>VLOOKUP(DATE(YEAR(A71),MONTH(A71),1),'19. CPI'!$A$3:$D$906,3,)</f>
        <v>2.5285249730360837E-2</v>
      </c>
      <c r="D71" s="165">
        <f>VLOOKUP(DATE(YEAR(A71),MONTH(A71),1),'18. US 10Y Yield'!$D$2:$I$456,6,)/100</f>
        <v>3.159E-2</v>
      </c>
    </row>
    <row r="72" spans="1:4" x14ac:dyDescent="0.2">
      <c r="A72" s="164">
        <v>43405</v>
      </c>
      <c r="B72" s="96">
        <f>VLOOKUP(DATE(YEAR(A72),MONTH(A72),1),'20. CDS 10y'!$A$3:$B$180,2,)/10000</f>
        <v>2.7949999999999999E-2</v>
      </c>
      <c r="C72" s="163">
        <f>VLOOKUP(DATE(YEAR(A72),MONTH(A72),1),'19. CPI'!$A$3:$D$906,3,)</f>
        <v>2.1728053574028294E-2</v>
      </c>
      <c r="D72" s="165">
        <f>VLOOKUP(DATE(YEAR(A72),MONTH(A72),1),'18. US 10Y Yield'!$D$2:$I$456,6,)/100</f>
        <v>3.0130000000000001E-2</v>
      </c>
    </row>
    <row r="73" spans="1:4" x14ac:dyDescent="0.2">
      <c r="A73" s="164">
        <v>43435</v>
      </c>
      <c r="B73" s="96">
        <f>VLOOKUP(DATE(YEAR(A73),MONTH(A73),1),'20. CDS 10y'!$A$3:$B$180,2,)/10000</f>
        <v>2.7498000000000002E-2</v>
      </c>
      <c r="C73" s="163">
        <f>VLOOKUP(DATE(YEAR(A73),MONTH(A73),1),'19. CPI'!$A$3:$D$906,3,)</f>
        <v>1.9152155929057058E-2</v>
      </c>
      <c r="D73" s="165">
        <f>VLOOKUP(DATE(YEAR(A73),MONTH(A73),1),'18. US 10Y Yield'!$D$2:$I$456,6,)/100</f>
        <v>2.6859999999999998E-2</v>
      </c>
    </row>
    <row r="74" spans="1:4" x14ac:dyDescent="0.2">
      <c r="A74" s="164">
        <v>43466</v>
      </c>
      <c r="B74" s="96">
        <f>VLOOKUP(DATE(YEAR(A74),MONTH(A74),1),'20. CDS 10y'!$A$3:$B$180,2,)/10000</f>
        <v>2.3703000000000002E-2</v>
      </c>
      <c r="C74" s="163">
        <f>VLOOKUP(DATE(YEAR(A74),MONTH(A74),1),'19. CPI'!$A$3:$D$906,3,)</f>
        <v>1.4983336214486442E-2</v>
      </c>
      <c r="D74" s="165">
        <f>VLOOKUP(DATE(YEAR(A74),MONTH(A74),1),'18. US 10Y Yield'!$D$2:$I$456,6,)/100</f>
        <v>2.6349999999999998E-2</v>
      </c>
    </row>
    <row r="75" spans="1:4" x14ac:dyDescent="0.2">
      <c r="A75" s="164">
        <v>43497</v>
      </c>
      <c r="B75" s="96">
        <f>VLOOKUP(DATE(YEAR(A75),MONTH(A75),1),'20. CDS 10y'!$A$3:$B$180,2,)/10000</f>
        <v>2.3394999999999999E-2</v>
      </c>
      <c r="C75" s="163">
        <f>VLOOKUP(DATE(YEAR(A75),MONTH(A75),1),'19. CPI'!$A$3:$D$906,3,)</f>
        <v>1.4817249908795294E-2</v>
      </c>
      <c r="D75" s="165">
        <f>VLOOKUP(DATE(YEAR(A75),MONTH(A75),1),'18. US 10Y Yield'!$D$2:$I$456,6,)/100</f>
        <v>2.7109999999999999E-2</v>
      </c>
    </row>
    <row r="76" spans="1:4" x14ac:dyDescent="0.2">
      <c r="A76" s="164">
        <v>43525</v>
      </c>
      <c r="B76" s="96">
        <f>VLOOKUP(DATE(YEAR(A76),MONTH(A76),1),'20. CDS 10y'!$A$3:$B$180,2,)/10000</f>
        <v>2.5169999999999998E-2</v>
      </c>
      <c r="C76" s="163">
        <f>VLOOKUP(DATE(YEAR(A76),MONTH(A76),1),'19. CPI'!$A$3:$D$906,3,)</f>
        <v>1.8799507975366669E-2</v>
      </c>
      <c r="D76" s="165">
        <f>VLOOKUP(DATE(YEAR(A76),MONTH(A76),1),'18. US 10Y Yield'!$D$2:$I$456,6,)/100</f>
        <v>2.4140000000000002E-2</v>
      </c>
    </row>
    <row r="77" spans="1:4" x14ac:dyDescent="0.2">
      <c r="A77" s="164">
        <v>43556</v>
      </c>
      <c r="B77" s="96">
        <f>VLOOKUP(DATE(YEAR(A77),MONTH(A77),1),'20. CDS 10y'!$A$3:$B$180,2,)/10000</f>
        <v>2.5004999999999999E-2</v>
      </c>
      <c r="C77" s="163">
        <f>VLOOKUP(DATE(YEAR(A77),MONTH(A77),1),'19. CPI'!$A$3:$D$906,3,)</f>
        <v>2.0056287128317196E-2</v>
      </c>
      <c r="D77" s="165">
        <f>VLOOKUP(DATE(YEAR(A77),MONTH(A77),1),'18. US 10Y Yield'!$D$2:$I$456,6,)/100</f>
        <v>2.5089999999999998E-2</v>
      </c>
    </row>
    <row r="78" spans="1:4" x14ac:dyDescent="0.2">
      <c r="A78" s="164">
        <v>43586</v>
      </c>
      <c r="B78" s="96">
        <f>VLOOKUP(DATE(YEAR(A78),MONTH(A78),1),'20. CDS 10y'!$A$3:$B$180,2,)/10000</f>
        <v>2.5666000000000001E-2</v>
      </c>
      <c r="C78" s="163">
        <f>VLOOKUP(DATE(YEAR(A78),MONTH(A78),1),'19. CPI'!$A$3:$D$906,3,)</f>
        <v>1.8127514664306066E-2</v>
      </c>
      <c r="D78" s="165">
        <f>VLOOKUP(DATE(YEAR(A78),MONTH(A78),1),'18. US 10Y Yield'!$D$2:$I$456,6,)/100</f>
        <v>2.1419999999999998E-2</v>
      </c>
    </row>
    <row r="79" spans="1:4" x14ac:dyDescent="0.2">
      <c r="A79" s="164">
        <v>43617</v>
      </c>
      <c r="B79" s="96">
        <f>VLOOKUP(DATE(YEAR(A79),MONTH(A79),1),'20. CDS 10y'!$A$3:$B$180,2,)/10000</f>
        <v>2.2988999999999999E-2</v>
      </c>
      <c r="C79" s="163">
        <f>VLOOKUP(DATE(YEAR(A79),MONTH(A79),1),'19. CPI'!$A$3:$D$906,3,)</f>
        <v>1.6896439124236329E-2</v>
      </c>
      <c r="D79" s="165">
        <f>VLOOKUP(DATE(YEAR(A79),MONTH(A79),1),'18. US 10Y Yield'!$D$2:$I$456,6,)/100</f>
        <v>0.02</v>
      </c>
    </row>
    <row r="80" spans="1:4" x14ac:dyDescent="0.2">
      <c r="A80" s="164">
        <v>43647</v>
      </c>
      <c r="B80" s="96">
        <f>VLOOKUP(DATE(YEAR(A80),MONTH(A80),1),'20. CDS 10y'!$A$3:$B$180,2,)/10000</f>
        <v>2.0737000000000002E-2</v>
      </c>
      <c r="C80" s="163">
        <f>VLOOKUP(DATE(YEAR(A80),MONTH(A80),1),'19. CPI'!$A$3:$D$906,3,)</f>
        <v>1.8211624085340272E-2</v>
      </c>
      <c r="D80" s="165">
        <f>VLOOKUP(DATE(YEAR(A80),MONTH(A80),1),'18. US 10Y Yield'!$D$2:$I$456,6,)/100</f>
        <v>2.0209999999999999E-2</v>
      </c>
    </row>
    <row r="81" spans="1:4" x14ac:dyDescent="0.2">
      <c r="A81" s="164">
        <v>43678</v>
      </c>
      <c r="B81" s="96">
        <f>VLOOKUP(DATE(YEAR(A81),MONTH(A81),1),'20. CDS 10y'!$A$3:$B$180,2,)/10000</f>
        <v>2.1344999999999999E-2</v>
      </c>
      <c r="C81" s="163">
        <f>VLOOKUP(DATE(YEAR(A81),MONTH(A81),1),'19. CPI'!$A$3:$D$906,3,)</f>
        <v>1.7596892142570431E-2</v>
      </c>
      <c r="D81" s="165">
        <f>VLOOKUP(DATE(YEAR(A81),MONTH(A81),1),'18. US 10Y Yield'!$D$2:$I$456,6,)/100</f>
        <v>1.506E-2</v>
      </c>
    </row>
    <row r="82" spans="1:4" x14ac:dyDescent="0.2">
      <c r="A82" s="164">
        <v>43709</v>
      </c>
      <c r="B82" s="96">
        <f>VLOOKUP(DATE(YEAR(A82),MONTH(A82),1),'20. CDS 10y'!$A$3:$B$180,2,)/10000</f>
        <v>2.1337999999999999E-2</v>
      </c>
      <c r="C82" s="163">
        <f>VLOOKUP(DATE(YEAR(A82),MONTH(A82),1),'19. CPI'!$A$3:$D$906,3,)</f>
        <v>1.7273300322313334E-2</v>
      </c>
      <c r="D82" s="165">
        <f>VLOOKUP(DATE(YEAR(A82),MONTH(A82),1),'18. US 10Y Yield'!$D$2:$I$456,6,)/100</f>
        <v>1.6750000000000001E-2</v>
      </c>
    </row>
    <row r="83" spans="1:4" x14ac:dyDescent="0.2">
      <c r="A83" s="164">
        <v>43739</v>
      </c>
      <c r="B83" s="96">
        <f>VLOOKUP(DATE(YEAR(A83),MONTH(A83),1),'20. CDS 10y'!$A$3:$B$180,2,)/10000</f>
        <v>1.992E-2</v>
      </c>
      <c r="C83" s="163">
        <f>VLOOKUP(DATE(YEAR(A83),MONTH(A83),1),'19. CPI'!$A$3:$D$906,3,)</f>
        <v>1.7570848921546256E-2</v>
      </c>
      <c r="D83" s="165">
        <f>VLOOKUP(DATE(YEAR(A83),MONTH(A83),1),'18. US 10Y Yield'!$D$2:$I$456,6,)/100</f>
        <v>1.6910000000000001E-2</v>
      </c>
    </row>
    <row r="84" spans="1:4" x14ac:dyDescent="0.2">
      <c r="A84" s="164">
        <v>43770</v>
      </c>
      <c r="B84" s="96">
        <f>VLOOKUP(DATE(YEAR(A84),MONTH(A84),1),'20. CDS 10y'!$A$3:$B$180,2,)/10000</f>
        <v>2.0205000000000001E-2</v>
      </c>
      <c r="C84" s="163">
        <f>VLOOKUP(DATE(YEAR(A84),MONTH(A84),1),'19. CPI'!$A$3:$D$906,3,)</f>
        <v>2.0308164824247799E-2</v>
      </c>
      <c r="D84" s="165">
        <f>VLOOKUP(DATE(YEAR(A84),MONTH(A84),1),'18. US 10Y Yield'!$D$2:$I$456,6,)/100</f>
        <v>1.7760000000000001E-2</v>
      </c>
    </row>
    <row r="85" spans="1:4" x14ac:dyDescent="0.2">
      <c r="A85" s="164">
        <v>43800</v>
      </c>
      <c r="B85" s="96">
        <f>VLOOKUP(DATE(YEAR(A85),MONTH(A85),1),'20. CDS 10y'!$A$3:$B$180,2,)/10000</f>
        <v>1.7731999999999998E-2</v>
      </c>
      <c r="C85" s="163">
        <f>VLOOKUP(DATE(YEAR(A85),MONTH(A85),1),'19. CPI'!$A$3:$D$906,3,)</f>
        <v>2.2617213948865622E-2</v>
      </c>
      <c r="D85" s="165">
        <f>VLOOKUP(DATE(YEAR(A85),MONTH(A85),1),'18. US 10Y Yield'!$D$2:$I$456,6,)/100</f>
        <v>1.9189999999999999E-2</v>
      </c>
    </row>
    <row r="86" spans="1:4" x14ac:dyDescent="0.2">
      <c r="A86" s="164">
        <v>43831</v>
      </c>
      <c r="B86" s="96">
        <f>VLOOKUP(DATE(YEAR(A86),MONTH(A86),1),'20. CDS 10y'!$A$3:$B$180,2,)/10000</f>
        <v>1.8092E-2</v>
      </c>
      <c r="C86" s="163">
        <f>VLOOKUP(DATE(YEAR(A86),MONTH(A86),1),'19. CPI'!$A$3:$D$906,3,)</f>
        <v>2.4604903552897461E-2</v>
      </c>
      <c r="D86" s="165">
        <f>VLOOKUP(DATE(YEAR(A86),MONTH(A86),1),'18. US 10Y Yield'!$D$2:$I$456,6,)/100</f>
        <v>1.52E-2</v>
      </c>
    </row>
    <row r="87" spans="1:4" x14ac:dyDescent="0.2">
      <c r="A87" s="164">
        <v>43862</v>
      </c>
      <c r="B87" s="96">
        <f>VLOOKUP(DATE(YEAR(A87),MONTH(A87),1),'20. CDS 10y'!$A$3:$B$180,2,)/10000</f>
        <v>2.1340999999999999E-2</v>
      </c>
      <c r="C87" s="163">
        <f>VLOOKUP(DATE(YEAR(A87),MONTH(A87),1),'19. CPI'!$A$3:$D$906,3,)</f>
        <v>2.3197108262389632E-2</v>
      </c>
      <c r="D87" s="165">
        <f>VLOOKUP(DATE(YEAR(A87),MONTH(A87),1),'18. US 10Y Yield'!$D$2:$I$456,6,)/100</f>
        <v>1.1270000000000001E-2</v>
      </c>
    </row>
    <row r="88" spans="1:4" x14ac:dyDescent="0.2">
      <c r="A88" s="164">
        <v>43891</v>
      </c>
      <c r="B88" s="96">
        <f>VLOOKUP(DATE(YEAR(A88),MONTH(A88),1),'20. CDS 10y'!$A$3:$B$180,2,)/10000</f>
        <v>3.2814999999999997E-2</v>
      </c>
      <c r="C88" s="163">
        <f>VLOOKUP(DATE(YEAR(A88),MONTH(A88),1),'19. CPI'!$A$3:$D$906,3,)</f>
        <v>1.5306383296693093E-2</v>
      </c>
      <c r="D88" s="165">
        <f>VLOOKUP(DATE(YEAR(A88),MONTH(A88),1),'18. US 10Y Yield'!$D$2:$I$456,6,)/100</f>
        <v>6.9799999999999992E-3</v>
      </c>
    </row>
    <row r="89" spans="1:4" x14ac:dyDescent="0.2">
      <c r="A89" s="164">
        <v>43922</v>
      </c>
      <c r="B89" s="96">
        <f>VLOOKUP(DATE(YEAR(A89),MONTH(A89),1),'20. CDS 10y'!$A$3:$B$180,2,)/10000</f>
        <v>3.5900000000000001E-2</v>
      </c>
      <c r="C89" s="163">
        <f>VLOOKUP(DATE(YEAR(A89),MONTH(A89),1),'19. CPI'!$A$3:$D$906,3,)</f>
        <v>3.6486481190454167E-3</v>
      </c>
      <c r="D89" s="165">
        <f>VLOOKUP(DATE(YEAR(A89),MONTH(A89),1),'18. US 10Y Yield'!$D$2:$I$456,6,)/100</f>
        <v>6.2199999999999998E-3</v>
      </c>
    </row>
    <row r="90" spans="1:4" x14ac:dyDescent="0.2">
      <c r="A90" s="164">
        <v>43952</v>
      </c>
      <c r="B90" s="96">
        <f>VLOOKUP(DATE(YEAR(A90),MONTH(A90),1),'20. CDS 10y'!$A$3:$B$180,2,)/10000</f>
        <v>3.4476E-2</v>
      </c>
      <c r="C90" s="163">
        <f>VLOOKUP(DATE(YEAR(A90),MONTH(A90),1),'19. CPI'!$A$3:$D$906,3,)</f>
        <v>2.4243611083911709E-3</v>
      </c>
      <c r="D90" s="165">
        <f>VLOOKUP(DATE(YEAR(A90),MONTH(A90),1),'18. US 10Y Yield'!$D$2:$I$456,6,)/100</f>
        <v>6.4800000000000005E-3</v>
      </c>
    </row>
    <row r="91" spans="1:4" x14ac:dyDescent="0.2">
      <c r="A91" s="164">
        <v>43983</v>
      </c>
      <c r="B91" s="96">
        <f>VLOOKUP(DATE(YEAR(A91),MONTH(A91),1),'20. CDS 10y'!$A$3:$B$180,2,)/10000</f>
        <v>3.1243E-2</v>
      </c>
      <c r="C91" s="163">
        <f>VLOOKUP(DATE(YEAR(A91),MONTH(A91),1),'19. CPI'!$A$3:$D$906,3,)</f>
        <v>7.2681419637297129E-3</v>
      </c>
      <c r="D91" s="165">
        <f>VLOOKUP(DATE(YEAR(A91),MONTH(A91),1),'18. US 10Y Yield'!$D$2:$I$456,6,)/100</f>
        <v>6.5300000000000002E-3</v>
      </c>
    </row>
    <row r="92" spans="1:4" x14ac:dyDescent="0.2">
      <c r="A92" s="164">
        <v>44013</v>
      </c>
      <c r="B92" s="96">
        <f>VLOOKUP(DATE(YEAR(A92),MONTH(A92),1),'20. CDS 10y'!$A$3:$B$180,2,)/10000</f>
        <v>2.81952E-2</v>
      </c>
      <c r="C92" s="163">
        <f>VLOOKUP(DATE(YEAR(A92),MONTH(A92),1),'19. CPI'!$A$3:$D$906,3,)</f>
        <v>1.0328253223915507E-2</v>
      </c>
      <c r="D92" s="165">
        <f>VLOOKUP(DATE(YEAR(A92),MONTH(A92),1),'18. US 10Y Yield'!$D$2:$I$456,6,)/100</f>
        <v>5.3600000000000002E-3</v>
      </c>
    </row>
    <row r="93" spans="1:4" x14ac:dyDescent="0.2">
      <c r="A93" s="164">
        <v>44044</v>
      </c>
      <c r="B93" s="96">
        <f>VLOOKUP(DATE(YEAR(A93),MONTH(A93),1),'20. CDS 10y'!$A$3:$B$180,2,)/10000</f>
        <v>2.7897000000000002E-2</v>
      </c>
      <c r="C93" s="163">
        <f>VLOOKUP(DATE(YEAR(A93),MONTH(A93),1),'19. CPI'!$A$3:$D$906,3,)</f>
        <v>1.3275873510318892E-2</v>
      </c>
      <c r="D93" s="165">
        <f>VLOOKUP(DATE(YEAR(A93),MONTH(A93),1),'18. US 10Y Yield'!$D$2:$I$456,6,)/100</f>
        <v>6.9299999999999995E-3</v>
      </c>
    </row>
    <row r="94" spans="1:4" x14ac:dyDescent="0.2">
      <c r="A94" s="164">
        <v>44075</v>
      </c>
      <c r="B94" s="96">
        <f>VLOOKUP(DATE(YEAR(A94),MONTH(A94),1),'20. CDS 10y'!$A$3:$B$180,2,)/10000</f>
        <v>3.1112000000000001E-2</v>
      </c>
      <c r="C94" s="163">
        <f>VLOOKUP(DATE(YEAR(A94),MONTH(A94),1),'19. CPI'!$A$3:$D$906,3,)</f>
        <v>1.4006453724921597E-2</v>
      </c>
      <c r="D94" s="165">
        <f>VLOOKUP(DATE(YEAR(A94),MONTH(A94),1),'18. US 10Y Yield'!$D$2:$I$456,6,)/100</f>
        <v>6.7700000000000008E-3</v>
      </c>
    </row>
    <row r="95" spans="1:4" x14ac:dyDescent="0.2">
      <c r="A95" s="164">
        <v>44105</v>
      </c>
      <c r="B95" s="96">
        <f>VLOOKUP(DATE(YEAR(A95),MONTH(A95),1),'20. CDS 10y'!$A$3:$B$180,2,)/10000</f>
        <v>2.8035000000000001E-2</v>
      </c>
      <c r="C95" s="163">
        <f>VLOOKUP(DATE(YEAR(A95),MONTH(A95),1),'19. CPI'!$A$3:$D$906,3,)</f>
        <v>1.1841977419793537E-2</v>
      </c>
      <c r="D95" s="165">
        <f>VLOOKUP(DATE(YEAR(A95),MONTH(A95),1),'18. US 10Y Yield'!$D$2:$I$456,6,)/100</f>
        <v>8.6E-3</v>
      </c>
    </row>
    <row r="96" spans="1:4" x14ac:dyDescent="0.2">
      <c r="A96" s="164">
        <v>44136</v>
      </c>
      <c r="B96" s="96">
        <f>VLOOKUP(DATE(YEAR(A96),MONTH(A96),1),'20. CDS 10y'!$A$3:$B$180,2,)/10000</f>
        <v>2.3233E-2</v>
      </c>
      <c r="C96" s="163">
        <f>VLOOKUP(DATE(YEAR(A96),MONTH(A96),1),'19. CPI'!$A$3:$D$906,3,)</f>
        <v>1.1377566062035438E-2</v>
      </c>
      <c r="D96" s="165">
        <f>VLOOKUP(DATE(YEAR(A96),MONTH(A96),1),'18. US 10Y Yield'!$D$2:$I$456,6,)/100</f>
        <v>8.4399999999999996E-3</v>
      </c>
    </row>
    <row r="97" spans="1:10" x14ac:dyDescent="0.2">
      <c r="A97" s="164">
        <v>44166</v>
      </c>
      <c r="B97" s="96">
        <f>VLOOKUP(DATE(YEAR(A97),MONTH(A97),1),'20. CDS 10y'!$A$3:$B$180,2,)/10000</f>
        <v>2.0893999999999999E-2</v>
      </c>
      <c r="C97" s="163">
        <f>VLOOKUP(DATE(YEAR(A97),MONTH(A97),1),'19. CPI'!$A$3:$D$906,3,)</f>
        <v>1.2781544394667721E-2</v>
      </c>
      <c r="D97" s="165">
        <f>VLOOKUP(DATE(YEAR(A97),MONTH(A97),1),'18. US 10Y Yield'!$D$2:$I$456,6,)/100</f>
        <v>9.1700000000000011E-3</v>
      </c>
    </row>
    <row r="98" spans="1:10" x14ac:dyDescent="0.2">
      <c r="A98" s="164">
        <v>44197</v>
      </c>
      <c r="B98" s="96">
        <f>VLOOKUP(DATE(YEAR(A98),MONTH(A98),1),'20. CDS 10y'!$A$3:$B$180,2,)/10000</f>
        <v>2.4728999999999998E-2</v>
      </c>
      <c r="C98" s="163">
        <f>VLOOKUP(DATE(YEAR(A98),MONTH(A98),1),'19. CPI'!$A$3:$D$906,3,)</f>
        <v>1.3599709295582851E-2</v>
      </c>
      <c r="D98" s="165">
        <f>VLOOKUP(DATE(YEAR(A98),MONTH(A98),1),'18. US 10Y Yield'!$D$2:$I$456,6,)/100</f>
        <v>1.093E-2</v>
      </c>
    </row>
    <row r="99" spans="1:10" x14ac:dyDescent="0.2">
      <c r="A99" s="164">
        <v>44228</v>
      </c>
      <c r="B99" s="96">
        <f>VLOOKUP(DATE(YEAR(A99),MONTH(A99),1),'20. CDS 10y'!$A$3:$B$180,2,)/10000</f>
        <v>2.7177999999999997E-2</v>
      </c>
      <c r="C99" s="163">
        <f>VLOOKUP(DATE(YEAR(A99),MONTH(A99),1),'19. CPI'!$A$3:$D$906,3,)</f>
        <v>1.6752442984166338E-2</v>
      </c>
      <c r="D99" s="165">
        <f>VLOOKUP(DATE(YEAR(A99),MONTH(A99),1),'18. US 10Y Yield'!$D$2:$I$456,6,)/100</f>
        <v>1.46E-2</v>
      </c>
    </row>
    <row r="100" spans="1:10" x14ac:dyDescent="0.2">
      <c r="A100" s="164">
        <v>44256</v>
      </c>
      <c r="B100" s="96">
        <f>VLOOKUP(DATE(YEAR(A100),MONTH(A100),1),'20. CDS 10y'!$A$3:$B$180,2,)/10000</f>
        <v>2.9689999999999998E-2</v>
      </c>
      <c r="C100" s="163">
        <f>VLOOKUP(DATE(YEAR(A100),MONTH(A100),1),'19. CPI'!$A$3:$D$906,3,)</f>
        <v>2.6583773943021027E-2</v>
      </c>
      <c r="D100" s="165">
        <f>VLOOKUP(DATE(YEAR(A100),MONTH(A100),1),'18. US 10Y Yield'!$D$2:$I$456,6,)/100</f>
        <v>1.746E-2</v>
      </c>
    </row>
    <row r="101" spans="1:10" x14ac:dyDescent="0.2">
      <c r="A101" s="164">
        <v>44287</v>
      </c>
      <c r="B101" s="96">
        <f>VLOOKUP(DATE(YEAR(A101),MONTH(A101),1),'20. CDS 10y'!$A$3:$B$180,2,)/10000</f>
        <v>2.6654000000000001E-2</v>
      </c>
      <c r="C101" s="163">
        <f>VLOOKUP(DATE(YEAR(A101),MONTH(A101),1),'19. CPI'!$A$3:$D$906,3,)</f>
        <v>4.1519910657805248E-2</v>
      </c>
      <c r="D101" s="165">
        <f>VLOOKUP(DATE(YEAR(A101),MONTH(A101),1),'18. US 10Y Yield'!$D$2:$I$456,6,)/100</f>
        <v>1.6310000000000002E-2</v>
      </c>
    </row>
    <row r="102" spans="1:10" x14ac:dyDescent="0.2">
      <c r="A102" s="164">
        <v>44317</v>
      </c>
      <c r="B102" s="96">
        <f>VLOOKUP(DATE(YEAR(A102),MONTH(A102),1),'20. CDS 10y'!$A$3:$B$180,2,)/10000</f>
        <v>2.4909999999999998E-2</v>
      </c>
      <c r="C102" s="163">
        <f>VLOOKUP(DATE(YEAR(A102),MONTH(A102),1),'19. CPI'!$A$3:$D$906,3,)</f>
        <v>4.9444409714625159E-2</v>
      </c>
      <c r="D102" s="165">
        <f>VLOOKUP(DATE(YEAR(A102),MONTH(A102),1),'18. US 10Y Yield'!$D$2:$I$456,6,)/100</f>
        <v>1.5810000000000001E-2</v>
      </c>
    </row>
    <row r="103" spans="1:10" x14ac:dyDescent="0.2">
      <c r="A103" s="164">
        <v>44348</v>
      </c>
      <c r="B103" s="96">
        <f>VLOOKUP(DATE(YEAR(A103),MONTH(A103),1),'20. CDS 10y'!$A$3:$B$180,2,)/10000</f>
        <v>2.4569000000000001E-2</v>
      </c>
      <c r="C103" s="163">
        <f>VLOOKUP(DATE(YEAR(A103),MONTH(A103),1),'19. CPI'!$A$3:$D$906,3,)</f>
        <v>5.3410155627349631E-2</v>
      </c>
      <c r="D103" s="165">
        <f>VLOOKUP(DATE(YEAR(A103),MONTH(A103),1),'18. US 10Y Yield'!$D$2:$I$456,6,)/100</f>
        <v>1.443E-2</v>
      </c>
    </row>
    <row r="104" spans="1:10" x14ac:dyDescent="0.2">
      <c r="A104" s="164">
        <v>44378</v>
      </c>
      <c r="B104" s="96">
        <f>VLOOKUP(DATE(YEAR(A104),MONTH(A104),1),'20. CDS 10y'!$A$3:$B$180,2,)/10000</f>
        <v>2.5408E-2</v>
      </c>
      <c r="C104" s="163">
        <f>VLOOKUP(DATE(YEAR(A104),MONTH(A104),1),'19. CPI'!$A$3:$D$906,3,)</f>
        <v>5.2761049419245643E-2</v>
      </c>
      <c r="D104" s="165">
        <f>VLOOKUP(DATE(YEAR(A104),MONTH(A104),1),'18. US 10Y Yield'!$D$2:$I$456,6,)/100</f>
        <v>1.2390000000000002E-2</v>
      </c>
    </row>
    <row r="105" spans="1:10" x14ac:dyDescent="0.2">
      <c r="A105" s="164">
        <v>44409</v>
      </c>
      <c r="B105" s="96">
        <f>VLOOKUP(DATE(YEAR(A105),MONTH(A105),1),'20. CDS 10y'!$A$3:$B$180,2,)/10000</f>
        <v>2.5869E-2</v>
      </c>
      <c r="C105" s="163">
        <f>VLOOKUP(DATE(YEAR(A105),MONTH(A105),1),'19. CPI'!$A$3:$D$906,3,)</f>
        <v>5.2053316896525148E-2</v>
      </c>
      <c r="D105" s="165">
        <f>VLOOKUP(DATE(YEAR(A105),MONTH(A105),1),'18. US 10Y Yield'!$D$2:$I$456,6,)/100</f>
        <v>1.3040000000000001E-2</v>
      </c>
      <c r="H105" s="29">
        <v>100</v>
      </c>
      <c r="I105" s="29">
        <v>1</v>
      </c>
    </row>
    <row r="106" spans="1:10" x14ac:dyDescent="0.2">
      <c r="A106" s="164">
        <v>44440</v>
      </c>
      <c r="B106" s="96">
        <f>VLOOKUP(DATE(YEAR(A106),MONTH(A106),1),'20. CDS 10y'!$A$3:$B$180,2,)/10000</f>
        <v>2.8477999999999996E-2</v>
      </c>
      <c r="C106" s="163">
        <f>VLOOKUP(DATE(YEAR(A106),MONTH(A106),1),'19. CPI'!$A$3:$D$906,3,)</f>
        <v>5.3899073753795212E-2</v>
      </c>
      <c r="D106" s="165">
        <f>VLOOKUP(DATE(YEAR(A106),MONTH(A106),1),'18. US 10Y Yield'!$D$2:$I$456,6,)/100</f>
        <v>1.529E-2</v>
      </c>
      <c r="H106" s="29">
        <v>102</v>
      </c>
      <c r="I106" s="29">
        <f>((H106/H105)-1)</f>
        <v>2.0000000000000018E-2</v>
      </c>
      <c r="J106" s="29">
        <f>I106+1</f>
        <v>1.02</v>
      </c>
    </row>
    <row r="107" spans="1:10" x14ac:dyDescent="0.2">
      <c r="A107" s="164">
        <v>44470</v>
      </c>
      <c r="B107" s="96">
        <f>VLOOKUP(DATE(YEAR(A107),MONTH(A107),1),'20. CDS 10y'!$A$3:$B$180,2,)/10000</f>
        <v>3.2438999999999996E-2</v>
      </c>
      <c r="C107" s="163">
        <f>VLOOKUP(DATE(YEAR(A107),MONTH(A107),1),'19. CPI'!$A$3:$D$906,3,)</f>
        <v>6.2369407571288171E-2</v>
      </c>
      <c r="D107" s="165">
        <f>VLOOKUP(DATE(YEAR(A107),MONTH(A107),1),'18. US 10Y Yield'!$D$2:$I$456,6,)/100</f>
        <v>1.5569999999999999E-2</v>
      </c>
      <c r="H107" s="29">
        <v>101</v>
      </c>
      <c r="I107" s="29">
        <f t="shared" ref="I107:I109" si="0">((H107/H106)-1)</f>
        <v>-9.8039215686274161E-3</v>
      </c>
      <c r="J107" s="29">
        <f t="shared" ref="J107:J109" si="1">I107+1</f>
        <v>0.99019607843137258</v>
      </c>
    </row>
    <row r="108" spans="1:10" x14ac:dyDescent="0.2">
      <c r="A108" s="164">
        <v>44501</v>
      </c>
      <c r="B108" s="96">
        <f>VLOOKUP(DATE(YEAR(A108),MONTH(A108),1),'20. CDS 10y'!$A$3:$B$180,2,)/10000</f>
        <v>3.3286999999999997E-2</v>
      </c>
      <c r="C108" s="163">
        <f>VLOOKUP(DATE(YEAR(A108),MONTH(A108),1),'19. CPI'!$A$3:$D$906,3,)</f>
        <v>6.8283720912392987E-2</v>
      </c>
      <c r="D108" s="165">
        <f>VLOOKUP(DATE(YEAR(A108),MONTH(A108),1),'18. US 10Y Yield'!$D$2:$I$456,6,)/100</f>
        <v>1.443E-2</v>
      </c>
      <c r="H108" s="29">
        <v>100.5</v>
      </c>
      <c r="I108" s="29">
        <f t="shared" si="0"/>
        <v>-4.9504950495049549E-3</v>
      </c>
      <c r="J108" s="29">
        <f t="shared" si="1"/>
        <v>0.99504950495049505</v>
      </c>
    </row>
    <row r="109" spans="1:10" x14ac:dyDescent="0.2">
      <c r="A109" s="164">
        <v>44531</v>
      </c>
      <c r="B109" s="96">
        <f>VLOOKUP(DATE(YEAR(A109),MONTH(A109),1),'20. CDS 10y'!$A$3:$B$180,2,)/10000</f>
        <v>2.8230999999999999E-2</v>
      </c>
      <c r="C109" s="163">
        <f>VLOOKUP(DATE(YEAR(A109),MONTH(A109),1),'19. CPI'!$A$3:$D$906,3,)</f>
        <v>7.0965423376305514E-2</v>
      </c>
      <c r="D109" s="165">
        <f>VLOOKUP(DATE(YEAR(A109),MONTH(A109),1),'18. US 10Y Yield'!$D$2:$I$456,6,)/100</f>
        <v>1.512E-2</v>
      </c>
      <c r="H109" s="29">
        <v>101.5</v>
      </c>
      <c r="I109" s="29">
        <f t="shared" si="0"/>
        <v>9.9502487562188602E-3</v>
      </c>
      <c r="J109" s="29">
        <f t="shared" si="1"/>
        <v>1.0099502487562189</v>
      </c>
    </row>
    <row r="110" spans="1:10" x14ac:dyDescent="0.2">
      <c r="A110" s="164">
        <v>44562</v>
      </c>
      <c r="B110" s="96">
        <f>VLOOKUP(DATE(YEAR(A110),MONTH(A110),1),'20. CDS 10y'!$A$3:$B$180,2,)/10000</f>
        <v>3.073E-2</v>
      </c>
      <c r="C110" s="163">
        <f>VLOOKUP(DATE(YEAR(A110),MONTH(A110),1),'19. CPI'!$A$3:$D$906,3,)</f>
        <v>7.5259344012204465E-2</v>
      </c>
      <c r="D110" s="165">
        <f>VLOOKUP(DATE(YEAR(A110),MONTH(A110),1),'18. US 10Y Yield'!$D$2:$I$456,6,)/100</f>
        <v>1.7819999999999999E-2</v>
      </c>
    </row>
    <row r="111" spans="1:10" x14ac:dyDescent="0.2">
      <c r="A111" s="164">
        <v>44593</v>
      </c>
      <c r="B111" s="96">
        <f>VLOOKUP(DATE(YEAR(A111),MONTH(A111),1),'20. CDS 10y'!$A$3:$B$180,2,)/10000</f>
        <v>2.9918E-2</v>
      </c>
      <c r="C111" s="163">
        <f>VLOOKUP(DATE(YEAR(A111),MONTH(A111),1),'19. CPI'!$A$3:$D$906,3,)</f>
        <v>7.9120244848982058E-2</v>
      </c>
      <c r="D111" s="165">
        <f>VLOOKUP(DATE(YEAR(A111),MONTH(A111),1),'18. US 10Y Yield'!$D$2:$I$456,6,)/100</f>
        <v>1.839E-2</v>
      </c>
      <c r="J111" s="29">
        <f>PRODUCT(J106:J109)</f>
        <v>1.0149999999999999</v>
      </c>
    </row>
    <row r="112" spans="1:10" x14ac:dyDescent="0.2">
      <c r="A112" s="164">
        <v>44621</v>
      </c>
      <c r="B112" s="96">
        <f>VLOOKUP(DATE(YEAR(A112),MONTH(A112),1),'20. CDS 10y'!$A$3:$B$180,2,)/10000</f>
        <v>2.8172000000000003E-2</v>
      </c>
      <c r="C112" s="163">
        <f>VLOOKUP(DATE(YEAR(A112),MONTH(A112),1),'19. CPI'!$A$3:$D$906,3,)</f>
        <v>8.5575863682327835E-2</v>
      </c>
      <c r="D112" s="165">
        <f>VLOOKUP(DATE(YEAR(A112),MONTH(A112),1),'18. US 10Y Yield'!$D$2:$I$456,6,)/100</f>
        <v>2.3269999999999999E-2</v>
      </c>
    </row>
    <row r="113" spans="1:10" x14ac:dyDescent="0.2">
      <c r="A113" s="164">
        <v>44652</v>
      </c>
      <c r="B113" s="96">
        <f>VLOOKUP(DATE(YEAR(A113),MONTH(A113),1),'20. CDS 10y'!$A$3:$B$180,2,)/10000</f>
        <v>3.0105E-2</v>
      </c>
      <c r="C113" s="163">
        <f>VLOOKUP(DATE(YEAR(A113),MONTH(A113),1),'19. CPI'!$A$3:$D$906,3,)</f>
        <v>8.2241392884859987E-2</v>
      </c>
      <c r="D113" s="165">
        <f>VLOOKUP(DATE(YEAR(A113),MONTH(A113),1),'18. US 10Y Yield'!$D$2:$I$456,6,)/100</f>
        <v>2.887E-2</v>
      </c>
    </row>
    <row r="114" spans="1:10" x14ac:dyDescent="0.2">
      <c r="A114" s="164">
        <v>44682</v>
      </c>
      <c r="B114" s="96">
        <f>VLOOKUP(DATE(YEAR(A114),MONTH(A114),1),'20. CDS 10y'!$A$3:$B$180,2,)/10000</f>
        <v>3.0550000000000001E-2</v>
      </c>
      <c r="C114" s="163">
        <f>VLOOKUP(DATE(YEAR(A114),MONTH(A114),1),'19. CPI'!$A$3:$D$914,3,)</f>
        <v>8.43971868845379E-2</v>
      </c>
      <c r="D114" s="165">
        <f>VLOOKUP(DATE(YEAR(A114),MONTH(A114),1),'18. US 10Y Yield'!$D$2:$I$456,6,)/100</f>
        <v>2.844E-2</v>
      </c>
      <c r="I114" s="29">
        <f>H109/H105</f>
        <v>1.0149999999999999</v>
      </c>
      <c r="J114" s="29" t="b">
        <f>I114=J111</f>
        <v>1</v>
      </c>
    </row>
    <row r="115" spans="1:10" x14ac:dyDescent="0.2">
      <c r="A115" s="164">
        <v>44713</v>
      </c>
      <c r="B115" s="96">
        <f>VLOOKUP(DATE(YEAR(A115),MONTH(A115),1),'20. CDS 10y'!$A$3:$B$180,2,)/10000</f>
        <v>3.7583999999999999E-2</v>
      </c>
      <c r="C115" s="163">
        <f>VLOOKUP(DATE(YEAR(A115),MONTH(A115),1),'19. CPI'!$A$3:$D$914,3,)</f>
        <v>8.7737816242549505E-2</v>
      </c>
      <c r="D115" s="165">
        <f>VLOOKUP(DATE(YEAR(A115),MONTH(A115),1),'18. US 10Y Yield'!$D$2:$I$456,6,)/100</f>
        <v>2.972E-2</v>
      </c>
    </row>
    <row r="116" spans="1:10" x14ac:dyDescent="0.2">
      <c r="A116" s="164">
        <v>44743</v>
      </c>
      <c r="B116" s="96">
        <f>VLOOKUP(DATE(YEAR(A116),MONTH(A116),1),'20. CDS 10y'!$A$3:$B$180,2,)/10000</f>
        <v>3.5887999999999996E-2</v>
      </c>
      <c r="C116" s="163">
        <f>VLOOKUP(DATE(YEAR(A116),MONTH(A116),1),'19. CPI'!$A$3:$D$914,3,)</f>
        <v>8.2458924844957648E-2</v>
      </c>
      <c r="D116" s="165">
        <f>VLOOKUP(DATE(YEAR(A116),MONTH(A116),1),'18. US 10Y Yield'!$D$2:$I$456,6,)/100</f>
        <v>2.6419999999999999E-2</v>
      </c>
    </row>
    <row r="117" spans="1:10" x14ac:dyDescent="0.2">
      <c r="A117" s="164">
        <v>44774</v>
      </c>
      <c r="B117" s="96">
        <f>VLOOKUP(DATE(YEAR(A117),MONTH(A117),1),'20. CDS 10y'!$A$3:$B$180,2,)/10000</f>
        <v>3.4293999999999998E-2</v>
      </c>
      <c r="C117" s="163">
        <f>VLOOKUP(DATE(YEAR(A117),MONTH(A117),1),'19. CPI'!$A$3:$D$914,3,)</f>
        <v>8.1393816003398234E-2</v>
      </c>
      <c r="D117" s="165">
        <f>VLOOKUP(DATE(YEAR(A117),MONTH(A117),1),'18. US 10Y Yield'!$D$2:$I$456,6,)/100</f>
        <v>3.1329999999999997E-2</v>
      </c>
    </row>
    <row r="118" spans="1:10" x14ac:dyDescent="0.2">
      <c r="A118" s="164">
        <v>44805</v>
      </c>
      <c r="B118" s="96">
        <f>VLOOKUP(DATE(YEAR(A118),MONTH(A118),1),'20. CDS 10y'!$A$3:$B$180,2,)/10000</f>
        <v>3.4701999999999997E-2</v>
      </c>
      <c r="C118" s="163">
        <f>VLOOKUP(DATE(YEAR(A118),MONTH(A118),1),'19. CPI'!$A$3:$D$914,3,)</f>
        <v>8.1414515670242826E-2</v>
      </c>
      <c r="D118" s="165">
        <f>VLOOKUP(DATE(YEAR(A118),MONTH(A118),1),'18. US 10Y Yield'!$D$2:$I$456,6,)/100</f>
        <v>3.8039999999999997E-2</v>
      </c>
    </row>
    <row r="119" spans="1:10" x14ac:dyDescent="0.2">
      <c r="A119" s="164">
        <v>44835</v>
      </c>
      <c r="B119" s="96">
        <f>VLOOKUP(DATE(YEAR(A119),MONTH(A119),1),'20. CDS 10y'!$A$3:$B$180,2,)/10000</f>
        <v>3.7949000000000004E-2</v>
      </c>
      <c r="C119" s="163">
        <f>VLOOKUP(DATE(YEAR(A119),MONTH(A119),1),'19. CPI'!$A$3:$D$914,3,)</f>
        <v>7.7359991322896837E-2</v>
      </c>
      <c r="D119" s="165">
        <f>VLOOKUP(DATE(YEAR(A119),MONTH(A119),1),'18. US 10Y Yield'!$D$2:$I$458,6,)/100</f>
        <v>4.2259999999999999E-2</v>
      </c>
    </row>
    <row r="120" spans="1:10" x14ac:dyDescent="0.2">
      <c r="A120" s="164">
        <v>44866</v>
      </c>
      <c r="B120" s="96">
        <f>VLOOKUP(DATE(YEAR(A120),MONTH(A120),1),'20. CDS 10y'!$A$3:$B$182,2,)/10000</f>
        <v>3.3691000000000006E-2</v>
      </c>
      <c r="C120" s="163">
        <f>VLOOKUP(DATE(YEAR(A120),MONTH(A120),1),'19. CPI'!$A$3:$D$914,3,)</f>
        <v>7.2072783673938323E-2</v>
      </c>
      <c r="D120" s="499">
        <f>VLOOKUP(DATE(YEAR(A120),MONTH(A120),1),'18. US 10Y Yield'!$D$2:$I$458,6,)/100</f>
        <v>3.703E-2</v>
      </c>
    </row>
    <row r="121" spans="1:10" x14ac:dyDescent="0.2">
      <c r="A121" s="164">
        <v>44896</v>
      </c>
      <c r="B121" s="96">
        <f>VLOOKUP(DATE(YEAR(A121),MONTH(A121),1),'20. CDS 10y'!$A$3:$B$182,2,)/10000</f>
        <v>3.3335000000000004E-2</v>
      </c>
      <c r="C121" s="163">
        <f>VLOOKUP(DATE(YEAR(A121),MONTH(A121),1),'19. CPI'!$A$3:$D$914,3,)</f>
        <v>6.7341125065149443E-2</v>
      </c>
      <c r="D121" s="165">
        <f>VLOOKUP(DATE(YEAR(A121),MONTH(A121),1),'18. US 10Y Yield'!$D$2:$I$458,6,)/100</f>
        <v>3.8789999999999998E-2</v>
      </c>
    </row>
    <row r="122" spans="1:10" x14ac:dyDescent="0.2">
      <c r="A122" s="164"/>
      <c r="B122" s="96"/>
      <c r="C122" s="163"/>
      <c r="D122" s="165"/>
    </row>
    <row r="123" spans="1:10" x14ac:dyDescent="0.2">
      <c r="A123" s="164"/>
      <c r="B123" s="96"/>
      <c r="C123" s="163"/>
      <c r="D123" s="165"/>
    </row>
    <row r="124" spans="1:10" x14ac:dyDescent="0.2">
      <c r="A124" s="164"/>
      <c r="B124" s="96"/>
      <c r="C124" s="163"/>
      <c r="D124" s="165"/>
    </row>
    <row r="125" spans="1:10" x14ac:dyDescent="0.2">
      <c r="A125" s="164"/>
      <c r="B125" s="96"/>
      <c r="C125" s="163"/>
      <c r="D125" s="165"/>
    </row>
    <row r="126" spans="1:10" x14ac:dyDescent="0.2">
      <c r="A126" s="164"/>
      <c r="B126" s="96"/>
      <c r="C126" s="163"/>
      <c r="D126" s="165"/>
    </row>
    <row r="127" spans="1:10" x14ac:dyDescent="0.2">
      <c r="A127" s="164"/>
      <c r="B127" s="96"/>
      <c r="C127" s="163"/>
      <c r="D127" s="165"/>
    </row>
    <row r="128" spans="1:10" x14ac:dyDescent="0.2">
      <c r="A128" s="164"/>
      <c r="B128" s="96"/>
      <c r="C128" s="163"/>
      <c r="D128" s="165"/>
    </row>
    <row r="129" spans="1:4" x14ac:dyDescent="0.2">
      <c r="A129" s="164"/>
      <c r="B129" s="96"/>
      <c r="C129" s="163"/>
      <c r="D129" s="165"/>
    </row>
    <row r="130" spans="1:4" x14ac:dyDescent="0.2">
      <c r="A130" s="164"/>
      <c r="B130" s="96"/>
      <c r="C130" s="163"/>
      <c r="D130" s="165"/>
    </row>
    <row r="131" spans="1:4" x14ac:dyDescent="0.2">
      <c r="A131" s="164"/>
      <c r="B131" s="96"/>
      <c r="C131" s="163"/>
      <c r="D131" s="165"/>
    </row>
    <row r="132" spans="1:4" x14ac:dyDescent="0.2">
      <c r="A132" s="164"/>
      <c r="B132" s="96"/>
      <c r="C132" s="163"/>
      <c r="D132" s="165"/>
    </row>
    <row r="133" spans="1:4" x14ac:dyDescent="0.2">
      <c r="A133" s="164"/>
      <c r="B133" s="96"/>
      <c r="C133" s="163"/>
      <c r="D133" s="165"/>
    </row>
    <row r="134" spans="1:4" x14ac:dyDescent="0.2">
      <c r="A134" s="164"/>
      <c r="B134" s="96"/>
      <c r="C134" s="163"/>
      <c r="D134" s="165"/>
    </row>
    <row r="135" spans="1:4" x14ac:dyDescent="0.2">
      <c r="A135" s="164"/>
      <c r="B135" s="96"/>
      <c r="C135" s="163"/>
      <c r="D135" s="165"/>
    </row>
    <row r="136" spans="1:4" x14ac:dyDescent="0.2">
      <c r="A136" s="164"/>
      <c r="B136" s="96"/>
      <c r="C136" s="163"/>
      <c r="D136" s="165"/>
    </row>
    <row r="137" spans="1:4" x14ac:dyDescent="0.2">
      <c r="A137" s="164"/>
      <c r="B137" s="96"/>
      <c r="C137" s="163"/>
      <c r="D137" s="165"/>
    </row>
    <row r="138" spans="1:4" x14ac:dyDescent="0.2">
      <c r="A138" s="164"/>
      <c r="B138" s="96"/>
      <c r="C138" s="163"/>
      <c r="D138" s="165"/>
    </row>
    <row r="139" spans="1:4" x14ac:dyDescent="0.2">
      <c r="A139" s="164"/>
      <c r="B139" s="96"/>
      <c r="C139" s="163"/>
      <c r="D139" s="165"/>
    </row>
    <row r="140" spans="1:4" x14ac:dyDescent="0.2">
      <c r="A140" s="164"/>
      <c r="B140" s="96"/>
      <c r="C140" s="163"/>
      <c r="D140" s="165"/>
    </row>
    <row r="141" spans="1:4" x14ac:dyDescent="0.2">
      <c r="A141" s="164"/>
      <c r="B141" s="96"/>
      <c r="C141" s="163"/>
      <c r="D141" s="165"/>
    </row>
    <row r="142" spans="1:4" x14ac:dyDescent="0.2">
      <c r="A142" s="164"/>
      <c r="B142" s="96"/>
      <c r="C142" s="163"/>
      <c r="D142" s="165"/>
    </row>
    <row r="143" spans="1:4" x14ac:dyDescent="0.2">
      <c r="A143" s="164"/>
      <c r="B143" s="96"/>
      <c r="C143" s="163"/>
      <c r="D143" s="165"/>
    </row>
    <row r="144" spans="1:4" x14ac:dyDescent="0.2">
      <c r="A144" s="164"/>
      <c r="B144" s="96"/>
      <c r="C144" s="163"/>
      <c r="D144" s="165"/>
    </row>
    <row r="145" spans="1:4" x14ac:dyDescent="0.2">
      <c r="A145" s="164"/>
      <c r="B145" s="96"/>
      <c r="C145" s="163"/>
      <c r="D145" s="165"/>
    </row>
    <row r="146" spans="1:4" x14ac:dyDescent="0.2">
      <c r="A146" s="164"/>
      <c r="B146" s="96"/>
      <c r="C146" s="163"/>
      <c r="D146" s="165"/>
    </row>
    <row r="147" spans="1:4" x14ac:dyDescent="0.2">
      <c r="A147" s="164"/>
      <c r="B147" s="96"/>
      <c r="C147" s="163"/>
      <c r="D147" s="165"/>
    </row>
    <row r="148" spans="1:4" x14ac:dyDescent="0.2">
      <c r="A148" s="164"/>
      <c r="B148" s="96"/>
      <c r="C148" s="163"/>
      <c r="D148" s="165"/>
    </row>
    <row r="149" spans="1:4" x14ac:dyDescent="0.2">
      <c r="A149" s="164"/>
      <c r="B149" s="96"/>
      <c r="C149" s="163"/>
      <c r="D149" s="165"/>
    </row>
    <row r="150" spans="1:4" x14ac:dyDescent="0.2">
      <c r="A150" s="164"/>
      <c r="B150" s="96"/>
      <c r="C150" s="163"/>
      <c r="D150" s="165"/>
    </row>
    <row r="151" spans="1:4" x14ac:dyDescent="0.2">
      <c r="A151" s="164"/>
      <c r="B151" s="96"/>
      <c r="C151" s="163"/>
      <c r="D151" s="165"/>
    </row>
    <row r="152" spans="1:4" x14ac:dyDescent="0.2">
      <c r="A152" s="164"/>
      <c r="B152" s="96"/>
      <c r="C152" s="163"/>
      <c r="D152" s="165"/>
    </row>
    <row r="153" spans="1:4" x14ac:dyDescent="0.2">
      <c r="A153" s="164"/>
      <c r="B153" s="96"/>
      <c r="C153" s="163"/>
      <c r="D153" s="165"/>
    </row>
    <row r="154" spans="1:4" x14ac:dyDescent="0.2">
      <c r="A154" s="164"/>
      <c r="B154" s="96"/>
      <c r="C154" s="163"/>
      <c r="D154" s="165"/>
    </row>
    <row r="155" spans="1:4" x14ac:dyDescent="0.2">
      <c r="A155" s="164"/>
      <c r="B155" s="96"/>
      <c r="C155" s="163"/>
      <c r="D155" s="165"/>
    </row>
    <row r="156" spans="1:4" x14ac:dyDescent="0.2">
      <c r="A156" s="164"/>
      <c r="B156" s="96"/>
      <c r="C156" s="163"/>
      <c r="D156" s="165"/>
    </row>
    <row r="157" spans="1:4" x14ac:dyDescent="0.2">
      <c r="A157" s="164"/>
      <c r="B157" s="96"/>
      <c r="C157" s="163"/>
      <c r="D157" s="165"/>
    </row>
    <row r="158" spans="1:4" x14ac:dyDescent="0.2">
      <c r="A158" s="164"/>
      <c r="B158" s="96"/>
      <c r="C158" s="163"/>
      <c r="D158" s="165"/>
    </row>
    <row r="159" spans="1:4" x14ac:dyDescent="0.2">
      <c r="A159" s="164"/>
      <c r="B159" s="96"/>
      <c r="C159" s="163"/>
      <c r="D159" s="165"/>
    </row>
    <row r="160" spans="1:4" x14ac:dyDescent="0.2">
      <c r="A160" s="164"/>
      <c r="B160" s="96"/>
      <c r="C160" s="163"/>
      <c r="D160" s="165"/>
    </row>
    <row r="161" spans="1:4" x14ac:dyDescent="0.2">
      <c r="A161" s="164"/>
      <c r="B161" s="96"/>
      <c r="C161" s="163"/>
      <c r="D161" s="165"/>
    </row>
    <row r="162" spans="1:4" x14ac:dyDescent="0.2">
      <c r="A162" s="164"/>
      <c r="B162" s="96"/>
      <c r="C162" s="163"/>
      <c r="D162" s="165"/>
    </row>
    <row r="163" spans="1:4" x14ac:dyDescent="0.2">
      <c r="A163" s="164"/>
      <c r="B163" s="96"/>
      <c r="C163" s="163"/>
      <c r="D163" s="165"/>
    </row>
    <row r="164" spans="1:4" x14ac:dyDescent="0.2">
      <c r="A164" s="164"/>
      <c r="B164" s="96"/>
      <c r="C164" s="163"/>
      <c r="D164" s="165"/>
    </row>
    <row r="165" spans="1:4" x14ac:dyDescent="0.2">
      <c r="A165" s="164"/>
      <c r="B165" s="96"/>
      <c r="C165" s="163"/>
      <c r="D165" s="165"/>
    </row>
    <row r="166" spans="1:4" x14ac:dyDescent="0.2">
      <c r="A166" s="164"/>
      <c r="B166" s="96"/>
      <c r="C166" s="163"/>
      <c r="D166" s="165"/>
    </row>
    <row r="167" spans="1:4" x14ac:dyDescent="0.2">
      <c r="A167" s="164"/>
      <c r="B167" s="96"/>
      <c r="C167" s="163"/>
      <c r="D167" s="165"/>
    </row>
    <row r="168" spans="1:4" x14ac:dyDescent="0.2">
      <c r="A168" s="164"/>
      <c r="B168" s="96"/>
      <c r="C168" s="163"/>
      <c r="D168" s="165"/>
    </row>
    <row r="169" spans="1:4" x14ac:dyDescent="0.2">
      <c r="A169" s="164"/>
      <c r="B169" s="96"/>
      <c r="C169" s="163"/>
      <c r="D169" s="165"/>
    </row>
    <row r="170" spans="1:4" x14ac:dyDescent="0.2">
      <c r="A170" s="164"/>
      <c r="B170" s="96"/>
      <c r="C170" s="163"/>
      <c r="D170" s="165"/>
    </row>
    <row r="171" spans="1:4" x14ac:dyDescent="0.2">
      <c r="A171" s="164"/>
      <c r="B171" s="96"/>
      <c r="C171" s="163"/>
      <c r="D171" s="165"/>
    </row>
    <row r="172" spans="1:4" x14ac:dyDescent="0.2">
      <c r="A172" s="164"/>
      <c r="B172" s="96"/>
      <c r="C172" s="163"/>
      <c r="D172" s="165"/>
    </row>
    <row r="173" spans="1:4" x14ac:dyDescent="0.2">
      <c r="A173" s="164"/>
      <c r="B173" s="96"/>
      <c r="C173" s="163"/>
      <c r="D173" s="165"/>
    </row>
    <row r="174" spans="1:4" x14ac:dyDescent="0.2">
      <c r="A174" s="164"/>
      <c r="B174" s="96"/>
      <c r="C174" s="163"/>
      <c r="D174" s="165"/>
    </row>
    <row r="175" spans="1:4" x14ac:dyDescent="0.2">
      <c r="A175" s="164"/>
      <c r="B175" s="96"/>
      <c r="C175" s="163"/>
      <c r="D175" s="165"/>
    </row>
    <row r="176" spans="1:4" x14ac:dyDescent="0.2">
      <c r="A176" s="164"/>
      <c r="B176" s="96"/>
      <c r="C176" s="163"/>
      <c r="D176" s="165"/>
    </row>
    <row r="177" spans="1:4" x14ac:dyDescent="0.2">
      <c r="A177" s="164"/>
      <c r="B177" s="96"/>
      <c r="C177" s="163"/>
      <c r="D177" s="165"/>
    </row>
    <row r="178" spans="1:4" x14ac:dyDescent="0.2">
      <c r="A178" s="164"/>
      <c r="B178" s="96"/>
      <c r="C178" s="163"/>
      <c r="D178" s="165"/>
    </row>
    <row r="179" spans="1:4" x14ac:dyDescent="0.2">
      <c r="A179" s="164"/>
      <c r="B179" s="96"/>
      <c r="C179" s="163"/>
      <c r="D179" s="165"/>
    </row>
    <row r="180" spans="1:4" x14ac:dyDescent="0.2">
      <c r="A180" s="164"/>
      <c r="B180" s="96"/>
      <c r="C180" s="163"/>
      <c r="D180" s="165"/>
    </row>
    <row r="181" spans="1:4" x14ac:dyDescent="0.2">
      <c r="A181" s="164"/>
      <c r="B181" s="96"/>
      <c r="C181" s="163"/>
      <c r="D181" s="165"/>
    </row>
    <row r="182" spans="1:4" x14ac:dyDescent="0.2">
      <c r="A182" s="164"/>
      <c r="B182" s="96"/>
      <c r="C182" s="163"/>
      <c r="D182" s="165"/>
    </row>
    <row r="183" spans="1:4" x14ac:dyDescent="0.2">
      <c r="A183" s="164"/>
      <c r="B183" s="96"/>
      <c r="C183" s="163"/>
      <c r="D183" s="165"/>
    </row>
    <row r="184" spans="1:4" x14ac:dyDescent="0.2">
      <c r="A184" s="164"/>
      <c r="B184" s="96"/>
      <c r="C184" s="163"/>
      <c r="D184" s="165"/>
    </row>
    <row r="185" spans="1:4" x14ac:dyDescent="0.2">
      <c r="A185" s="164"/>
      <c r="B185" s="96"/>
      <c r="C185" s="163"/>
      <c r="D185" s="165"/>
    </row>
    <row r="186" spans="1:4" x14ac:dyDescent="0.2">
      <c r="A186" s="164"/>
      <c r="B186" s="96"/>
      <c r="C186" s="163"/>
      <c r="D186" s="165"/>
    </row>
    <row r="187" spans="1:4" x14ac:dyDescent="0.2">
      <c r="A187" s="164"/>
      <c r="B187" s="96"/>
      <c r="C187" s="163"/>
      <c r="D187" s="165"/>
    </row>
    <row r="188" spans="1:4" x14ac:dyDescent="0.2">
      <c r="A188" s="164"/>
      <c r="B188" s="96"/>
      <c r="C188" s="163"/>
      <c r="D188" s="165"/>
    </row>
    <row r="189" spans="1:4" x14ac:dyDescent="0.2">
      <c r="A189" s="164"/>
      <c r="B189" s="96"/>
      <c r="C189" s="163"/>
      <c r="D189" s="165"/>
    </row>
    <row r="190" spans="1:4" x14ac:dyDescent="0.2">
      <c r="A190" s="164"/>
      <c r="B190" s="96"/>
      <c r="C190" s="163"/>
      <c r="D190" s="165"/>
    </row>
    <row r="191" spans="1:4" x14ac:dyDescent="0.2">
      <c r="A191" s="164"/>
      <c r="B191" s="96"/>
      <c r="C191" s="163"/>
      <c r="D191" s="165"/>
    </row>
    <row r="192" spans="1:4" x14ac:dyDescent="0.2">
      <c r="A192" s="164"/>
      <c r="B192" s="96"/>
      <c r="C192" s="163"/>
      <c r="D192" s="165"/>
    </row>
    <row r="193" spans="1:4" x14ac:dyDescent="0.2">
      <c r="A193" s="164"/>
      <c r="B193" s="96"/>
      <c r="C193" s="163"/>
      <c r="D193" s="165"/>
    </row>
    <row r="194" spans="1:4" x14ac:dyDescent="0.2">
      <c r="A194" s="164"/>
      <c r="B194" s="96"/>
      <c r="C194" s="163"/>
      <c r="D194" s="165"/>
    </row>
    <row r="195" spans="1:4" x14ac:dyDescent="0.2">
      <c r="A195" s="164"/>
      <c r="B195" s="96"/>
      <c r="C195" s="163"/>
      <c r="D195" s="165"/>
    </row>
    <row r="196" spans="1:4" x14ac:dyDescent="0.2">
      <c r="A196" s="164"/>
      <c r="B196" s="96"/>
      <c r="C196" s="163"/>
      <c r="D196" s="165"/>
    </row>
    <row r="197" spans="1:4" x14ac:dyDescent="0.2">
      <c r="A197" s="164"/>
      <c r="B197" s="96"/>
      <c r="C197" s="163"/>
      <c r="D197" s="165"/>
    </row>
    <row r="198" spans="1:4" x14ac:dyDescent="0.2">
      <c r="A198" s="164"/>
      <c r="B198" s="96"/>
      <c r="C198" s="163"/>
      <c r="D198" s="165"/>
    </row>
    <row r="199" spans="1:4" x14ac:dyDescent="0.2">
      <c r="A199" s="164"/>
      <c r="B199" s="96"/>
      <c r="C199" s="163"/>
      <c r="D199" s="165"/>
    </row>
    <row r="200" spans="1:4" x14ac:dyDescent="0.2">
      <c r="A200" s="164"/>
      <c r="B200" s="96"/>
      <c r="C200" s="163"/>
      <c r="D200" s="165"/>
    </row>
    <row r="201" spans="1:4" x14ac:dyDescent="0.2">
      <c r="A201" s="164"/>
      <c r="B201" s="96"/>
      <c r="C201" s="163"/>
      <c r="D201" s="165"/>
    </row>
    <row r="202" spans="1:4" x14ac:dyDescent="0.2">
      <c r="A202" s="164"/>
      <c r="B202" s="96"/>
      <c r="C202" s="163"/>
      <c r="D202" s="165"/>
    </row>
    <row r="203" spans="1:4" x14ac:dyDescent="0.2">
      <c r="A203" s="164"/>
      <c r="B203" s="96"/>
      <c r="C203" s="163"/>
      <c r="D203" s="165"/>
    </row>
    <row r="204" spans="1:4" x14ac:dyDescent="0.2">
      <c r="A204" s="164"/>
      <c r="B204" s="96"/>
      <c r="C204" s="163"/>
      <c r="D204" s="165"/>
    </row>
    <row r="205" spans="1:4" x14ac:dyDescent="0.2">
      <c r="A205" s="164"/>
      <c r="B205" s="96"/>
      <c r="C205" s="163"/>
      <c r="D205" s="165"/>
    </row>
    <row r="206" spans="1:4" x14ac:dyDescent="0.2">
      <c r="A206" s="164"/>
      <c r="B206" s="96"/>
      <c r="C206" s="163"/>
      <c r="D206" s="165"/>
    </row>
    <row r="207" spans="1:4" x14ac:dyDescent="0.2">
      <c r="A207" s="164"/>
      <c r="B207" s="96"/>
      <c r="C207" s="163"/>
      <c r="D207" s="165"/>
    </row>
    <row r="208" spans="1:4" x14ac:dyDescent="0.2">
      <c r="A208" s="164"/>
      <c r="B208" s="96"/>
      <c r="C208" s="163"/>
      <c r="D208" s="165"/>
    </row>
    <row r="209" spans="1:4" x14ac:dyDescent="0.2">
      <c r="A209" s="164"/>
      <c r="B209" s="96"/>
      <c r="C209" s="163"/>
      <c r="D209" s="165"/>
    </row>
    <row r="210" spans="1:4" x14ac:dyDescent="0.2">
      <c r="A210" s="164"/>
      <c r="B210" s="96"/>
      <c r="C210" s="163"/>
      <c r="D210" s="165"/>
    </row>
    <row r="211" spans="1:4" x14ac:dyDescent="0.2">
      <c r="A211" s="164"/>
      <c r="B211" s="96"/>
      <c r="C211" s="163"/>
      <c r="D211" s="165"/>
    </row>
    <row r="212" spans="1:4" x14ac:dyDescent="0.2">
      <c r="A212" s="164"/>
      <c r="B212" s="96"/>
      <c r="C212" s="163"/>
      <c r="D212" s="165"/>
    </row>
    <row r="213" spans="1:4" x14ac:dyDescent="0.2">
      <c r="A213" s="164"/>
      <c r="B213" s="96"/>
      <c r="C213" s="163"/>
      <c r="D213" s="165"/>
    </row>
    <row r="214" spans="1:4" x14ac:dyDescent="0.2">
      <c r="A214" s="164"/>
      <c r="B214" s="96"/>
      <c r="C214" s="163"/>
      <c r="D214" s="165"/>
    </row>
    <row r="215" spans="1:4" x14ac:dyDescent="0.2">
      <c r="A215" s="164"/>
      <c r="B215" s="96"/>
      <c r="C215" s="163"/>
      <c r="D215" s="165"/>
    </row>
    <row r="216" spans="1:4" x14ac:dyDescent="0.2">
      <c r="A216" s="164"/>
      <c r="B216" s="96"/>
      <c r="C216" s="163"/>
      <c r="D216" s="165"/>
    </row>
    <row r="217" spans="1:4" x14ac:dyDescent="0.2">
      <c r="A217" s="164"/>
      <c r="B217" s="96"/>
      <c r="C217" s="163"/>
      <c r="D217" s="165"/>
    </row>
    <row r="218" spans="1:4" x14ac:dyDescent="0.2">
      <c r="A218" s="164"/>
      <c r="B218" s="96"/>
      <c r="C218" s="163"/>
      <c r="D218" s="165"/>
    </row>
    <row r="219" spans="1:4" x14ac:dyDescent="0.2">
      <c r="A219" s="164"/>
      <c r="B219" s="96"/>
      <c r="C219" s="163"/>
      <c r="D219" s="165"/>
    </row>
    <row r="220" spans="1:4" x14ac:dyDescent="0.2">
      <c r="A220" s="164"/>
      <c r="B220" s="96"/>
      <c r="C220" s="163"/>
      <c r="D220" s="165"/>
    </row>
    <row r="221" spans="1:4" x14ac:dyDescent="0.2">
      <c r="A221" s="164"/>
      <c r="B221" s="96"/>
      <c r="C221" s="163"/>
      <c r="D221" s="165"/>
    </row>
    <row r="222" spans="1:4" x14ac:dyDescent="0.2">
      <c r="A222" s="164"/>
      <c r="B222" s="96"/>
      <c r="C222" s="163"/>
      <c r="D222" s="165"/>
    </row>
    <row r="223" spans="1:4" x14ac:dyDescent="0.2">
      <c r="A223" s="164"/>
      <c r="B223" s="96"/>
      <c r="C223" s="163"/>
      <c r="D223" s="165"/>
    </row>
    <row r="224" spans="1:4" x14ac:dyDescent="0.2">
      <c r="A224" s="164"/>
      <c r="B224" s="96"/>
      <c r="C224" s="163"/>
      <c r="D224" s="165"/>
    </row>
    <row r="225" spans="1:4" x14ac:dyDescent="0.2">
      <c r="A225" s="164"/>
      <c r="B225" s="96"/>
      <c r="C225" s="163"/>
      <c r="D225" s="165"/>
    </row>
    <row r="226" spans="1:4" x14ac:dyDescent="0.2">
      <c r="A226" s="164"/>
      <c r="B226" s="96"/>
      <c r="C226" s="163"/>
      <c r="D226" s="165"/>
    </row>
    <row r="227" spans="1:4" x14ac:dyDescent="0.2">
      <c r="A227" s="164"/>
      <c r="B227" s="96"/>
      <c r="C227" s="163"/>
      <c r="D227" s="165"/>
    </row>
    <row r="228" spans="1:4" x14ac:dyDescent="0.2">
      <c r="A228" s="164"/>
      <c r="B228" s="96"/>
      <c r="C228" s="163"/>
      <c r="D228" s="165"/>
    </row>
    <row r="229" spans="1:4" x14ac:dyDescent="0.2">
      <c r="A229" s="164"/>
      <c r="B229" s="96"/>
      <c r="C229" s="163"/>
      <c r="D229" s="165"/>
    </row>
    <row r="230" spans="1:4" x14ac:dyDescent="0.2">
      <c r="A230" s="164"/>
      <c r="B230" s="96"/>
      <c r="C230" s="163"/>
      <c r="D230" s="165"/>
    </row>
    <row r="231" spans="1:4" x14ac:dyDescent="0.2">
      <c r="A231" s="164"/>
      <c r="B231" s="96"/>
      <c r="C231" s="163"/>
      <c r="D231" s="165"/>
    </row>
    <row r="232" spans="1:4" x14ac:dyDescent="0.2">
      <c r="A232" s="164"/>
      <c r="B232" s="96"/>
      <c r="C232" s="163"/>
      <c r="D232" s="165"/>
    </row>
    <row r="233" spans="1:4" x14ac:dyDescent="0.2">
      <c r="A233" s="164"/>
      <c r="B233" s="96"/>
      <c r="C233" s="163"/>
      <c r="D233" s="165"/>
    </row>
    <row r="234" spans="1:4" x14ac:dyDescent="0.2">
      <c r="A234" s="164"/>
      <c r="B234" s="96"/>
      <c r="C234" s="163"/>
      <c r="D234" s="165"/>
    </row>
    <row r="235" spans="1:4" x14ac:dyDescent="0.2">
      <c r="A235" s="164"/>
      <c r="B235" s="96"/>
      <c r="C235" s="163"/>
      <c r="D235" s="165"/>
    </row>
    <row r="236" spans="1:4" x14ac:dyDescent="0.2">
      <c r="A236" s="164"/>
      <c r="B236" s="96"/>
      <c r="C236" s="163"/>
      <c r="D236" s="165"/>
    </row>
    <row r="237" spans="1:4" x14ac:dyDescent="0.2">
      <c r="A237" s="164"/>
      <c r="B237" s="96"/>
      <c r="C237" s="163"/>
      <c r="D237" s="165"/>
    </row>
    <row r="238" spans="1:4" x14ac:dyDescent="0.2">
      <c r="A238" s="164"/>
      <c r="B238" s="96"/>
      <c r="C238" s="163"/>
      <c r="D238" s="165"/>
    </row>
    <row r="239" spans="1:4" x14ac:dyDescent="0.2">
      <c r="A239" s="164"/>
      <c r="B239" s="96"/>
      <c r="C239" s="163"/>
      <c r="D239" s="165"/>
    </row>
    <row r="240" spans="1:4" x14ac:dyDescent="0.2">
      <c r="A240" s="164"/>
      <c r="B240" s="96"/>
      <c r="C240" s="163"/>
      <c r="D240" s="165"/>
    </row>
    <row r="241" spans="1:4" x14ac:dyDescent="0.2">
      <c r="A241" s="164"/>
      <c r="B241" s="96"/>
      <c r="C241" s="163"/>
      <c r="D241" s="165"/>
    </row>
    <row r="242" spans="1:4" x14ac:dyDescent="0.2">
      <c r="A242" s="164"/>
      <c r="B242" s="96"/>
      <c r="C242" s="163"/>
      <c r="D242" s="165"/>
    </row>
    <row r="243" spans="1:4" x14ac:dyDescent="0.2">
      <c r="A243" s="164"/>
      <c r="B243" s="96"/>
      <c r="C243" s="163"/>
      <c r="D243" s="165"/>
    </row>
    <row r="244" spans="1:4" x14ac:dyDescent="0.2">
      <c r="A244" s="164"/>
      <c r="B244" s="96"/>
      <c r="C244" s="163"/>
      <c r="D244" s="165"/>
    </row>
    <row r="245" spans="1:4" x14ac:dyDescent="0.2">
      <c r="A245" s="164"/>
      <c r="B245" s="96"/>
      <c r="C245" s="163"/>
      <c r="D245" s="165"/>
    </row>
    <row r="246" spans="1:4" x14ac:dyDescent="0.2">
      <c r="A246" s="164"/>
      <c r="B246" s="96"/>
      <c r="C246" s="163"/>
      <c r="D246" s="165"/>
    </row>
    <row r="247" spans="1:4" x14ac:dyDescent="0.2">
      <c r="A247" s="164"/>
      <c r="B247" s="96"/>
      <c r="C247" s="163"/>
      <c r="D247" s="165"/>
    </row>
    <row r="248" spans="1:4" x14ac:dyDescent="0.2">
      <c r="A248" s="164"/>
      <c r="B248" s="96"/>
      <c r="C248" s="163"/>
      <c r="D248" s="165"/>
    </row>
    <row r="249" spans="1:4" x14ac:dyDescent="0.2">
      <c r="A249" s="164"/>
      <c r="B249" s="96"/>
      <c r="C249" s="163"/>
      <c r="D249" s="165"/>
    </row>
    <row r="250" spans="1:4" x14ac:dyDescent="0.2">
      <c r="A250" s="164"/>
      <c r="B250" s="96"/>
      <c r="C250" s="163"/>
      <c r="D250" s="165"/>
    </row>
    <row r="251" spans="1:4" x14ac:dyDescent="0.2">
      <c r="A251" s="164"/>
      <c r="B251" s="96"/>
      <c r="C251" s="163"/>
      <c r="D251" s="165"/>
    </row>
    <row r="252" spans="1:4" x14ac:dyDescent="0.2">
      <c r="A252" s="164"/>
      <c r="B252" s="96"/>
      <c r="C252" s="163"/>
      <c r="D252" s="165"/>
    </row>
    <row r="253" spans="1:4" x14ac:dyDescent="0.2">
      <c r="A253" s="164"/>
      <c r="B253" s="96"/>
      <c r="C253" s="163"/>
      <c r="D253" s="165"/>
    </row>
    <row r="254" spans="1:4" x14ac:dyDescent="0.2">
      <c r="A254" s="164"/>
      <c r="B254" s="96"/>
      <c r="C254" s="163"/>
      <c r="D254" s="165"/>
    </row>
    <row r="255" spans="1:4" x14ac:dyDescent="0.2">
      <c r="A255" s="164"/>
      <c r="B255" s="96"/>
      <c r="C255" s="163"/>
      <c r="D255" s="165"/>
    </row>
    <row r="256" spans="1:4" x14ac:dyDescent="0.2">
      <c r="A256" s="164"/>
      <c r="B256" s="96"/>
      <c r="C256" s="163"/>
      <c r="D256" s="165"/>
    </row>
    <row r="257" spans="1:4" x14ac:dyDescent="0.2">
      <c r="A257" s="164"/>
      <c r="B257" s="96"/>
      <c r="C257" s="163"/>
      <c r="D257" s="165"/>
    </row>
    <row r="258" spans="1:4" x14ac:dyDescent="0.2">
      <c r="A258" s="164"/>
      <c r="B258" s="96"/>
      <c r="C258" s="163"/>
      <c r="D258" s="165"/>
    </row>
    <row r="259" spans="1:4" x14ac:dyDescent="0.2">
      <c r="A259" s="164"/>
      <c r="B259" s="96"/>
      <c r="C259" s="163"/>
      <c r="D259" s="165"/>
    </row>
    <row r="260" spans="1:4" x14ac:dyDescent="0.2">
      <c r="A260" s="164"/>
      <c r="B260" s="96"/>
      <c r="C260" s="163"/>
      <c r="D260" s="165"/>
    </row>
    <row r="261" spans="1:4" x14ac:dyDescent="0.2">
      <c r="A261" s="164"/>
      <c r="B261" s="96"/>
      <c r="C261" s="163"/>
      <c r="D261" s="165"/>
    </row>
    <row r="262" spans="1:4" x14ac:dyDescent="0.2">
      <c r="A262" s="164"/>
      <c r="B262" s="96"/>
      <c r="C262" s="163"/>
      <c r="D262" s="165"/>
    </row>
    <row r="263" spans="1:4" x14ac:dyDescent="0.2">
      <c r="A263" s="164"/>
      <c r="B263" s="96"/>
      <c r="C263" s="163"/>
      <c r="D263" s="165"/>
    </row>
    <row r="264" spans="1:4" x14ac:dyDescent="0.2">
      <c r="A264" s="164"/>
      <c r="B264" s="275"/>
    </row>
    <row r="265" spans="1:4" x14ac:dyDescent="0.2">
      <c r="A265" s="164"/>
      <c r="B265" s="275"/>
    </row>
    <row r="266" spans="1:4" x14ac:dyDescent="0.2">
      <c r="A266" s="164"/>
      <c r="B266" s="275"/>
    </row>
    <row r="267" spans="1:4" x14ac:dyDescent="0.2">
      <c r="A267" s="164"/>
      <c r="B267" s="275"/>
    </row>
    <row r="268" spans="1:4" x14ac:dyDescent="0.2">
      <c r="A268" s="164"/>
      <c r="B268" s="275"/>
    </row>
    <row r="269" spans="1:4" x14ac:dyDescent="0.2">
      <c r="A269" s="164"/>
      <c r="B269" s="275"/>
    </row>
    <row r="270" spans="1:4" x14ac:dyDescent="0.2">
      <c r="A270" s="164"/>
      <c r="B270" s="275"/>
    </row>
    <row r="271" spans="1:4" x14ac:dyDescent="0.2">
      <c r="A271" s="164"/>
      <c r="B271" s="275"/>
    </row>
    <row r="272" spans="1:4" x14ac:dyDescent="0.2">
      <c r="A272" s="164"/>
      <c r="B272" s="275"/>
    </row>
    <row r="273" spans="1:2" x14ac:dyDescent="0.2">
      <c r="A273" s="164"/>
      <c r="B273" s="275"/>
    </row>
    <row r="274" spans="1:2" x14ac:dyDescent="0.2">
      <c r="A274" s="164"/>
      <c r="B274" s="275"/>
    </row>
    <row r="275" spans="1:2" x14ac:dyDescent="0.2">
      <c r="A275" s="164"/>
      <c r="B275" s="275"/>
    </row>
    <row r="276" spans="1:2" x14ac:dyDescent="0.2">
      <c r="A276" s="164"/>
      <c r="B276" s="275"/>
    </row>
    <row r="277" spans="1:2" x14ac:dyDescent="0.2">
      <c r="A277" s="164"/>
      <c r="B277" s="275"/>
    </row>
    <row r="278" spans="1:2" x14ac:dyDescent="0.2">
      <c r="A278" s="164"/>
      <c r="B278" s="275"/>
    </row>
    <row r="279" spans="1:2" x14ac:dyDescent="0.2">
      <c r="A279" s="164"/>
      <c r="B279" s="275"/>
    </row>
    <row r="280" spans="1:2" x14ac:dyDescent="0.2">
      <c r="A280" s="164"/>
      <c r="B280" s="275"/>
    </row>
    <row r="281" spans="1:2" x14ac:dyDescent="0.2">
      <c r="A281" s="164"/>
      <c r="B281" s="275"/>
    </row>
    <row r="282" spans="1:2" x14ac:dyDescent="0.2">
      <c r="A282" s="164"/>
      <c r="B282" s="275"/>
    </row>
    <row r="283" spans="1:2" x14ac:dyDescent="0.2">
      <c r="A283" s="164"/>
      <c r="B283" s="275"/>
    </row>
    <row r="284" spans="1:2" x14ac:dyDescent="0.2">
      <c r="A284" s="164"/>
      <c r="B284" s="275"/>
    </row>
    <row r="285" spans="1:2" x14ac:dyDescent="0.2">
      <c r="A285" s="164"/>
      <c r="B285" s="275"/>
    </row>
    <row r="286" spans="1:2" x14ac:dyDescent="0.2">
      <c r="A286" s="164"/>
      <c r="B286" s="275"/>
    </row>
    <row r="287" spans="1:2" x14ac:dyDescent="0.2">
      <c r="A287" s="164"/>
      <c r="B287" s="275"/>
    </row>
    <row r="288" spans="1:2" x14ac:dyDescent="0.2">
      <c r="A288" s="164"/>
      <c r="B288" s="275"/>
    </row>
    <row r="289" spans="1:2" x14ac:dyDescent="0.2">
      <c r="A289" s="164"/>
      <c r="B289" s="275"/>
    </row>
    <row r="290" spans="1:2" x14ac:dyDescent="0.2">
      <c r="A290" s="164"/>
      <c r="B290" s="275"/>
    </row>
    <row r="291" spans="1:2" x14ac:dyDescent="0.2">
      <c r="A291" s="164"/>
      <c r="B291" s="275"/>
    </row>
    <row r="292" spans="1:2" x14ac:dyDescent="0.2">
      <c r="A292" s="164"/>
      <c r="B292" s="275"/>
    </row>
    <row r="293" spans="1:2" x14ac:dyDescent="0.2">
      <c r="A293" s="164"/>
      <c r="B293" s="275"/>
    </row>
    <row r="294" spans="1:2" x14ac:dyDescent="0.2">
      <c r="A294" s="164"/>
      <c r="B294" s="275"/>
    </row>
    <row r="295" spans="1:2" x14ac:dyDescent="0.2">
      <c r="A295" s="164"/>
      <c r="B295" s="275"/>
    </row>
    <row r="296" spans="1:2" x14ac:dyDescent="0.2">
      <c r="A296" s="164"/>
      <c r="B296" s="275"/>
    </row>
    <row r="297" spans="1:2" x14ac:dyDescent="0.2">
      <c r="A297" s="164"/>
      <c r="B297" s="275"/>
    </row>
    <row r="298" spans="1:2" x14ac:dyDescent="0.2">
      <c r="A298" s="164"/>
      <c r="B298" s="275"/>
    </row>
    <row r="299" spans="1:2" x14ac:dyDescent="0.2">
      <c r="A299" s="164"/>
      <c r="B299" s="275"/>
    </row>
    <row r="300" spans="1:2" x14ac:dyDescent="0.2">
      <c r="A300" s="164"/>
      <c r="B300" s="275"/>
    </row>
    <row r="301" spans="1:2" x14ac:dyDescent="0.2">
      <c r="A301" s="164"/>
      <c r="B301" s="275"/>
    </row>
    <row r="302" spans="1:2" x14ac:dyDescent="0.2">
      <c r="A302" s="164"/>
      <c r="B302" s="275"/>
    </row>
    <row r="303" spans="1:2" x14ac:dyDescent="0.2">
      <c r="A303" s="164"/>
      <c r="B303" s="275"/>
    </row>
    <row r="304" spans="1:2" x14ac:dyDescent="0.2">
      <c r="A304" s="164"/>
      <c r="B304" s="275"/>
    </row>
    <row r="305" spans="1:2" x14ac:dyDescent="0.2">
      <c r="A305" s="164"/>
      <c r="B305" s="275"/>
    </row>
    <row r="306" spans="1:2" x14ac:dyDescent="0.2">
      <c r="A306" s="164"/>
      <c r="B306" s="275"/>
    </row>
    <row r="307" spans="1:2" x14ac:dyDescent="0.2">
      <c r="A307" s="164"/>
      <c r="B307" s="275"/>
    </row>
    <row r="308" spans="1:2" x14ac:dyDescent="0.2">
      <c r="A308" s="164"/>
      <c r="B308" s="275"/>
    </row>
    <row r="309" spans="1:2" x14ac:dyDescent="0.2">
      <c r="A309" s="164"/>
      <c r="B309" s="275"/>
    </row>
    <row r="310" spans="1:2" x14ac:dyDescent="0.2">
      <c r="B310" s="275"/>
    </row>
    <row r="311" spans="1:2" x14ac:dyDescent="0.2">
      <c r="B311" s="167"/>
    </row>
    <row r="312" spans="1:2" x14ac:dyDescent="0.2">
      <c r="B312" s="167"/>
    </row>
    <row r="313" spans="1:2" x14ac:dyDescent="0.2">
      <c r="B313" s="167"/>
    </row>
    <row r="314" spans="1:2" x14ac:dyDescent="0.2">
      <c r="B314" s="167"/>
    </row>
    <row r="315" spans="1:2" x14ac:dyDescent="0.2">
      <c r="B315" s="167"/>
    </row>
    <row r="316" spans="1:2" x14ac:dyDescent="0.2">
      <c r="B316" s="167"/>
    </row>
    <row r="317" spans="1:2" x14ac:dyDescent="0.2">
      <c r="B317" s="167"/>
    </row>
    <row r="318" spans="1:2" x14ac:dyDescent="0.2">
      <c r="B318" s="167"/>
    </row>
    <row r="319" spans="1:2" x14ac:dyDescent="0.2">
      <c r="B319" s="167"/>
    </row>
    <row r="320" spans="1:2" x14ac:dyDescent="0.2">
      <c r="B320" s="167"/>
    </row>
    <row r="321" spans="2:2" x14ac:dyDescent="0.2">
      <c r="B321" s="167"/>
    </row>
    <row r="322" spans="2:2" x14ac:dyDescent="0.2">
      <c r="B322" s="167"/>
    </row>
    <row r="323" spans="2:2" x14ac:dyDescent="0.2">
      <c r="B323" s="167"/>
    </row>
    <row r="324" spans="2:2" x14ac:dyDescent="0.2">
      <c r="B324" s="167"/>
    </row>
    <row r="325" spans="2:2" x14ac:dyDescent="0.2">
      <c r="B325" s="167"/>
    </row>
    <row r="326" spans="2:2" x14ac:dyDescent="0.2">
      <c r="B326" s="167"/>
    </row>
    <row r="327" spans="2:2" x14ac:dyDescent="0.2">
      <c r="B327" s="167"/>
    </row>
    <row r="328" spans="2:2" x14ac:dyDescent="0.2">
      <c r="B328" s="167"/>
    </row>
    <row r="329" spans="2:2" x14ac:dyDescent="0.2">
      <c r="B329" s="167"/>
    </row>
    <row r="330" spans="2:2" x14ac:dyDescent="0.2">
      <c r="B330" s="167"/>
    </row>
    <row r="331" spans="2:2" x14ac:dyDescent="0.2">
      <c r="B331" s="167"/>
    </row>
    <row r="332" spans="2:2" x14ac:dyDescent="0.2">
      <c r="B332" s="167"/>
    </row>
    <row r="333" spans="2:2" x14ac:dyDescent="0.2">
      <c r="B333" s="167"/>
    </row>
    <row r="334" spans="2:2" x14ac:dyDescent="0.2">
      <c r="B334" s="167"/>
    </row>
    <row r="335" spans="2:2" x14ac:dyDescent="0.2">
      <c r="B335" s="167"/>
    </row>
    <row r="336" spans="2:2" x14ac:dyDescent="0.2">
      <c r="B336" s="167"/>
    </row>
    <row r="337" spans="2:2" x14ac:dyDescent="0.2">
      <c r="B337" s="167"/>
    </row>
    <row r="338" spans="2:2" x14ac:dyDescent="0.2">
      <c r="B338" s="167"/>
    </row>
    <row r="339" spans="2:2" x14ac:dyDescent="0.2">
      <c r="B339" s="167"/>
    </row>
    <row r="340" spans="2:2" x14ac:dyDescent="0.2">
      <c r="B340" s="167"/>
    </row>
    <row r="341" spans="2:2" x14ac:dyDescent="0.2">
      <c r="B341" s="167"/>
    </row>
    <row r="342" spans="2:2" x14ac:dyDescent="0.2">
      <c r="B342" s="167"/>
    </row>
    <row r="343" spans="2:2" x14ac:dyDescent="0.2">
      <c r="B343" s="167"/>
    </row>
    <row r="344" spans="2:2" x14ac:dyDescent="0.2">
      <c r="B344" s="167"/>
    </row>
    <row r="345" spans="2:2" x14ac:dyDescent="0.2">
      <c r="B345" s="167"/>
    </row>
    <row r="346" spans="2:2" x14ac:dyDescent="0.2">
      <c r="B346" s="167"/>
    </row>
    <row r="347" spans="2:2" x14ac:dyDescent="0.2">
      <c r="B347" s="167"/>
    </row>
    <row r="348" spans="2:2" x14ac:dyDescent="0.2">
      <c r="B348" s="167"/>
    </row>
    <row r="349" spans="2:2" x14ac:dyDescent="0.2">
      <c r="B349" s="167"/>
    </row>
    <row r="350" spans="2:2" x14ac:dyDescent="0.2">
      <c r="B350" s="167"/>
    </row>
    <row r="351" spans="2:2" x14ac:dyDescent="0.2">
      <c r="B351" s="167"/>
    </row>
    <row r="352" spans="2:2" x14ac:dyDescent="0.2">
      <c r="B352" s="167"/>
    </row>
    <row r="353" spans="2:2" x14ac:dyDescent="0.2">
      <c r="B353" s="167"/>
    </row>
    <row r="354" spans="2:2" x14ac:dyDescent="0.2">
      <c r="B354" s="167"/>
    </row>
    <row r="355" spans="2:2" x14ac:dyDescent="0.2">
      <c r="B355" s="167"/>
    </row>
    <row r="356" spans="2:2" x14ac:dyDescent="0.2">
      <c r="B356" s="167"/>
    </row>
    <row r="357" spans="2:2" x14ac:dyDescent="0.2">
      <c r="B357" s="167"/>
    </row>
    <row r="358" spans="2:2" x14ac:dyDescent="0.2">
      <c r="B358" s="167"/>
    </row>
    <row r="359" spans="2:2" x14ac:dyDescent="0.2">
      <c r="B359" s="167"/>
    </row>
    <row r="360" spans="2:2" x14ac:dyDescent="0.2">
      <c r="B360" s="167"/>
    </row>
    <row r="361" spans="2:2" x14ac:dyDescent="0.2">
      <c r="B361" s="167"/>
    </row>
    <row r="362" spans="2:2" x14ac:dyDescent="0.2">
      <c r="B362" s="167"/>
    </row>
    <row r="363" spans="2:2" x14ac:dyDescent="0.2">
      <c r="B363" s="167"/>
    </row>
    <row r="364" spans="2:2" x14ac:dyDescent="0.2">
      <c r="B364" s="167"/>
    </row>
    <row r="365" spans="2:2" x14ac:dyDescent="0.2">
      <c r="B365" s="167"/>
    </row>
    <row r="366" spans="2:2" x14ac:dyDescent="0.2">
      <c r="B366" s="167"/>
    </row>
    <row r="367" spans="2:2" x14ac:dyDescent="0.2">
      <c r="B367" s="167"/>
    </row>
    <row r="368" spans="2:2" x14ac:dyDescent="0.2">
      <c r="B368" s="167"/>
    </row>
    <row r="369" spans="2:2" x14ac:dyDescent="0.2">
      <c r="B369" s="167"/>
    </row>
    <row r="370" spans="2:2" x14ac:dyDescent="0.2">
      <c r="B370" s="167"/>
    </row>
    <row r="371" spans="2:2" x14ac:dyDescent="0.2">
      <c r="B371" s="167"/>
    </row>
    <row r="372" spans="2:2" x14ac:dyDescent="0.2">
      <c r="B372" s="167"/>
    </row>
    <row r="373" spans="2:2" x14ac:dyDescent="0.2">
      <c r="B373" s="167"/>
    </row>
    <row r="374" spans="2:2" x14ac:dyDescent="0.2">
      <c r="B374" s="167"/>
    </row>
    <row r="375" spans="2:2" x14ac:dyDescent="0.2">
      <c r="B375" s="167"/>
    </row>
    <row r="376" spans="2:2" x14ac:dyDescent="0.2">
      <c r="B376" s="167"/>
    </row>
    <row r="377" spans="2:2" x14ac:dyDescent="0.2">
      <c r="B377" s="167"/>
    </row>
    <row r="378" spans="2:2" x14ac:dyDescent="0.2">
      <c r="B378" s="167"/>
    </row>
    <row r="379" spans="2:2" x14ac:dyDescent="0.2">
      <c r="B379" s="167"/>
    </row>
    <row r="380" spans="2:2" x14ac:dyDescent="0.2">
      <c r="B380" s="167"/>
    </row>
    <row r="381" spans="2:2" x14ac:dyDescent="0.2">
      <c r="B381" s="167"/>
    </row>
    <row r="382" spans="2:2" x14ac:dyDescent="0.2">
      <c r="B382" s="167"/>
    </row>
    <row r="383" spans="2:2" x14ac:dyDescent="0.2">
      <c r="B383" s="167"/>
    </row>
    <row r="384" spans="2:2" x14ac:dyDescent="0.2">
      <c r="B384" s="167"/>
    </row>
    <row r="385" spans="2:2" x14ac:dyDescent="0.2">
      <c r="B385" s="167"/>
    </row>
    <row r="386" spans="2:2" x14ac:dyDescent="0.2">
      <c r="B386" s="167"/>
    </row>
    <row r="387" spans="2:2" x14ac:dyDescent="0.2">
      <c r="B387" s="167"/>
    </row>
    <row r="388" spans="2:2" x14ac:dyDescent="0.2">
      <c r="B388" s="167"/>
    </row>
    <row r="389" spans="2:2" x14ac:dyDescent="0.2">
      <c r="B389" s="167"/>
    </row>
    <row r="390" spans="2:2" x14ac:dyDescent="0.2">
      <c r="B390" s="167"/>
    </row>
    <row r="391" spans="2:2" x14ac:dyDescent="0.2">
      <c r="B391" s="167"/>
    </row>
    <row r="392" spans="2:2" x14ac:dyDescent="0.2">
      <c r="B392" s="167"/>
    </row>
    <row r="393" spans="2:2" x14ac:dyDescent="0.2">
      <c r="B393" s="167"/>
    </row>
    <row r="394" spans="2:2" x14ac:dyDescent="0.2">
      <c r="B394" s="167"/>
    </row>
    <row r="395" spans="2:2" x14ac:dyDescent="0.2">
      <c r="B395" s="167"/>
    </row>
    <row r="396" spans="2:2" x14ac:dyDescent="0.2">
      <c r="B396" s="167"/>
    </row>
    <row r="397" spans="2:2" x14ac:dyDescent="0.2">
      <c r="B397" s="167"/>
    </row>
    <row r="398" spans="2:2" x14ac:dyDescent="0.2">
      <c r="B398" s="167"/>
    </row>
    <row r="399" spans="2:2" x14ac:dyDescent="0.2">
      <c r="B399" s="167"/>
    </row>
    <row r="400" spans="2:2" x14ac:dyDescent="0.2">
      <c r="B400" s="167"/>
    </row>
    <row r="401" spans="2:2" x14ac:dyDescent="0.2">
      <c r="B401" s="167"/>
    </row>
    <row r="402" spans="2:2" x14ac:dyDescent="0.2">
      <c r="B402" s="167"/>
    </row>
    <row r="403" spans="2:2" x14ac:dyDescent="0.2">
      <c r="B403" s="167"/>
    </row>
    <row r="404" spans="2:2" x14ac:dyDescent="0.2">
      <c r="B404" s="167"/>
    </row>
    <row r="405" spans="2:2" x14ac:dyDescent="0.2">
      <c r="B405" s="167"/>
    </row>
    <row r="406" spans="2:2" x14ac:dyDescent="0.2">
      <c r="B406" s="167"/>
    </row>
    <row r="407" spans="2:2" x14ac:dyDescent="0.2">
      <c r="B407" s="167"/>
    </row>
    <row r="408" spans="2:2" x14ac:dyDescent="0.2">
      <c r="B408" s="167"/>
    </row>
    <row r="409" spans="2:2" x14ac:dyDescent="0.2">
      <c r="B409" s="167"/>
    </row>
    <row r="410" spans="2:2" x14ac:dyDescent="0.2">
      <c r="B410" s="167"/>
    </row>
    <row r="411" spans="2:2" x14ac:dyDescent="0.2">
      <c r="B411" s="167"/>
    </row>
    <row r="412" spans="2:2" x14ac:dyDescent="0.2">
      <c r="B412" s="167"/>
    </row>
    <row r="413" spans="2:2" x14ac:dyDescent="0.2">
      <c r="B413" s="167"/>
    </row>
    <row r="414" spans="2:2" x14ac:dyDescent="0.2">
      <c r="B414" s="167"/>
    </row>
    <row r="415" spans="2:2" x14ac:dyDescent="0.2">
      <c r="B415" s="167"/>
    </row>
    <row r="416" spans="2:2" x14ac:dyDescent="0.2">
      <c r="B416" s="167"/>
    </row>
    <row r="417" spans="2:2" x14ac:dyDescent="0.2">
      <c r="B417" s="167"/>
    </row>
    <row r="418" spans="2:2" x14ac:dyDescent="0.2">
      <c r="B418" s="167"/>
    </row>
    <row r="419" spans="2:2" x14ac:dyDescent="0.2">
      <c r="B419" s="167"/>
    </row>
    <row r="420" spans="2:2" x14ac:dyDescent="0.2">
      <c r="B420" s="167"/>
    </row>
    <row r="421" spans="2:2" x14ac:dyDescent="0.2">
      <c r="B421" s="167"/>
    </row>
    <row r="422" spans="2:2" x14ac:dyDescent="0.2">
      <c r="B422" s="167"/>
    </row>
    <row r="423" spans="2:2" x14ac:dyDescent="0.2">
      <c r="B423" s="167"/>
    </row>
    <row r="424" spans="2:2" x14ac:dyDescent="0.2">
      <c r="B424" s="167"/>
    </row>
    <row r="425" spans="2:2" x14ac:dyDescent="0.2">
      <c r="B425" s="167"/>
    </row>
    <row r="426" spans="2:2" x14ac:dyDescent="0.2">
      <c r="B426" s="167"/>
    </row>
    <row r="427" spans="2:2" x14ac:dyDescent="0.2">
      <c r="B427" s="167"/>
    </row>
    <row r="428" spans="2:2" x14ac:dyDescent="0.2">
      <c r="B428" s="167"/>
    </row>
    <row r="429" spans="2:2" x14ac:dyDescent="0.2">
      <c r="B429" s="167"/>
    </row>
    <row r="430" spans="2:2" x14ac:dyDescent="0.2">
      <c r="B430" s="167"/>
    </row>
    <row r="431" spans="2:2" x14ac:dyDescent="0.2">
      <c r="B431" s="167"/>
    </row>
    <row r="432" spans="2:2" x14ac:dyDescent="0.2">
      <c r="B432" s="167"/>
    </row>
    <row r="433" spans="2:2" x14ac:dyDescent="0.2">
      <c r="B433" s="167"/>
    </row>
    <row r="434" spans="2:2" x14ac:dyDescent="0.2">
      <c r="B434" s="167"/>
    </row>
    <row r="435" spans="2:2" x14ac:dyDescent="0.2">
      <c r="B435" s="167"/>
    </row>
    <row r="436" spans="2:2" x14ac:dyDescent="0.2">
      <c r="B436" s="167"/>
    </row>
    <row r="437" spans="2:2" x14ac:dyDescent="0.2">
      <c r="B437" s="167"/>
    </row>
    <row r="438" spans="2:2" x14ac:dyDescent="0.2">
      <c r="B438" s="167"/>
    </row>
    <row r="439" spans="2:2" x14ac:dyDescent="0.2">
      <c r="B439" s="167"/>
    </row>
    <row r="440" spans="2:2" x14ac:dyDescent="0.2">
      <c r="B440" s="167"/>
    </row>
    <row r="441" spans="2:2" x14ac:dyDescent="0.2">
      <c r="B441" s="167"/>
    </row>
    <row r="442" spans="2:2" x14ac:dyDescent="0.2">
      <c r="B442" s="167"/>
    </row>
    <row r="443" spans="2:2" x14ac:dyDescent="0.2">
      <c r="B443" s="167"/>
    </row>
    <row r="444" spans="2:2" x14ac:dyDescent="0.2">
      <c r="B444" s="167"/>
    </row>
    <row r="445" spans="2:2" x14ac:dyDescent="0.2">
      <c r="B445" s="167"/>
    </row>
    <row r="446" spans="2:2" x14ac:dyDescent="0.2">
      <c r="B446" s="167"/>
    </row>
    <row r="447" spans="2:2" x14ac:dyDescent="0.2">
      <c r="B447" s="167"/>
    </row>
    <row r="448" spans="2:2" x14ac:dyDescent="0.2">
      <c r="B448" s="167"/>
    </row>
    <row r="449" spans="2:2" x14ac:dyDescent="0.2">
      <c r="B449" s="167"/>
    </row>
    <row r="450" spans="2:2" x14ac:dyDescent="0.2">
      <c r="B450" s="167"/>
    </row>
    <row r="451" spans="2:2" x14ac:dyDescent="0.2">
      <c r="B451" s="167"/>
    </row>
    <row r="452" spans="2:2" x14ac:dyDescent="0.2">
      <c r="B452" s="167"/>
    </row>
    <row r="453" spans="2:2" x14ac:dyDescent="0.2">
      <c r="B453" s="167"/>
    </row>
    <row r="454" spans="2:2" x14ac:dyDescent="0.2">
      <c r="B454" s="167"/>
    </row>
    <row r="455" spans="2:2" x14ac:dyDescent="0.2">
      <c r="B455" s="167"/>
    </row>
    <row r="456" spans="2:2" x14ac:dyDescent="0.2">
      <c r="B456" s="167"/>
    </row>
    <row r="457" spans="2:2" x14ac:dyDescent="0.2">
      <c r="B457" s="167"/>
    </row>
    <row r="458" spans="2:2" x14ac:dyDescent="0.2">
      <c r="B458" s="167"/>
    </row>
    <row r="459" spans="2:2" x14ac:dyDescent="0.2">
      <c r="B459" s="167"/>
    </row>
    <row r="460" spans="2:2" x14ac:dyDescent="0.2">
      <c r="B460" s="167"/>
    </row>
    <row r="461" spans="2:2" x14ac:dyDescent="0.2">
      <c r="B461" s="167"/>
    </row>
    <row r="462" spans="2:2" x14ac:dyDescent="0.2">
      <c r="B462" s="167"/>
    </row>
    <row r="463" spans="2:2" x14ac:dyDescent="0.2">
      <c r="B463" s="167"/>
    </row>
    <row r="464" spans="2:2" x14ac:dyDescent="0.2">
      <c r="B464" s="167"/>
    </row>
    <row r="465" spans="2:2" x14ac:dyDescent="0.2">
      <c r="B465" s="167"/>
    </row>
    <row r="466" spans="2:2" x14ac:dyDescent="0.2">
      <c r="B466" s="167"/>
    </row>
    <row r="467" spans="2:2" x14ac:dyDescent="0.2">
      <c r="B467" s="167"/>
    </row>
    <row r="468" spans="2:2" x14ac:dyDescent="0.2">
      <c r="B468" s="167"/>
    </row>
    <row r="469" spans="2:2" x14ac:dyDescent="0.2">
      <c r="B469" s="167"/>
    </row>
    <row r="470" spans="2:2" x14ac:dyDescent="0.2">
      <c r="B470" s="167"/>
    </row>
    <row r="471" spans="2:2" x14ac:dyDescent="0.2">
      <c r="B471" s="167"/>
    </row>
    <row r="472" spans="2:2" x14ac:dyDescent="0.2">
      <c r="B472" s="167"/>
    </row>
    <row r="473" spans="2:2" x14ac:dyDescent="0.2">
      <c r="B473" s="167"/>
    </row>
    <row r="474" spans="2:2" x14ac:dyDescent="0.2">
      <c r="B474" s="167"/>
    </row>
    <row r="475" spans="2:2" x14ac:dyDescent="0.2">
      <c r="B475" s="167"/>
    </row>
    <row r="476" spans="2:2" x14ac:dyDescent="0.2">
      <c r="B476" s="167"/>
    </row>
    <row r="477" spans="2:2" x14ac:dyDescent="0.2">
      <c r="B477" s="167"/>
    </row>
    <row r="478" spans="2:2" x14ac:dyDescent="0.2">
      <c r="B478" s="167"/>
    </row>
    <row r="479" spans="2:2" x14ac:dyDescent="0.2">
      <c r="B479" s="167"/>
    </row>
    <row r="480" spans="2:2" x14ac:dyDescent="0.2">
      <c r="B480" s="167"/>
    </row>
    <row r="481" spans="2:2" x14ac:dyDescent="0.2">
      <c r="B481" s="167"/>
    </row>
    <row r="482" spans="2:2" x14ac:dyDescent="0.2">
      <c r="B482" s="167"/>
    </row>
    <row r="483" spans="2:2" x14ac:dyDescent="0.2">
      <c r="B483" s="167"/>
    </row>
    <row r="484" spans="2:2" x14ac:dyDescent="0.2">
      <c r="B484" s="167"/>
    </row>
    <row r="485" spans="2:2" x14ac:dyDescent="0.2">
      <c r="B485" s="167"/>
    </row>
    <row r="486" spans="2:2" x14ac:dyDescent="0.2">
      <c r="B486" s="167"/>
    </row>
    <row r="487" spans="2:2" x14ac:dyDescent="0.2">
      <c r="B487" s="167"/>
    </row>
    <row r="488" spans="2:2" x14ac:dyDescent="0.2">
      <c r="B488" s="167"/>
    </row>
    <row r="489" spans="2:2" x14ac:dyDescent="0.2">
      <c r="B489" s="167"/>
    </row>
    <row r="490" spans="2:2" x14ac:dyDescent="0.2">
      <c r="B490" s="167"/>
    </row>
    <row r="491" spans="2:2" x14ac:dyDescent="0.2">
      <c r="B491" s="167"/>
    </row>
    <row r="492" spans="2:2" x14ac:dyDescent="0.2">
      <c r="B492" s="167"/>
    </row>
    <row r="493" spans="2:2" x14ac:dyDescent="0.2">
      <c r="B493" s="167"/>
    </row>
    <row r="494" spans="2:2" x14ac:dyDescent="0.2">
      <c r="B494" s="167"/>
    </row>
    <row r="495" spans="2:2" x14ac:dyDescent="0.2">
      <c r="B495" s="167"/>
    </row>
    <row r="496" spans="2:2" x14ac:dyDescent="0.2">
      <c r="B496" s="167"/>
    </row>
    <row r="497" spans="2:2" x14ac:dyDescent="0.2">
      <c r="B497" s="167"/>
    </row>
    <row r="498" spans="2:2" x14ac:dyDescent="0.2">
      <c r="B498" s="167"/>
    </row>
    <row r="499" spans="2:2" x14ac:dyDescent="0.2">
      <c r="B499" s="167"/>
    </row>
    <row r="500" spans="2:2" x14ac:dyDescent="0.2">
      <c r="B500" s="167"/>
    </row>
    <row r="501" spans="2:2" x14ac:dyDescent="0.2">
      <c r="B501" s="167"/>
    </row>
    <row r="502" spans="2:2" x14ac:dyDescent="0.2">
      <c r="B502" s="167"/>
    </row>
    <row r="503" spans="2:2" x14ac:dyDescent="0.2">
      <c r="B503" s="167"/>
    </row>
    <row r="504" spans="2:2" x14ac:dyDescent="0.2">
      <c r="B504" s="167"/>
    </row>
    <row r="505" spans="2:2" x14ac:dyDescent="0.2">
      <c r="B505" s="167"/>
    </row>
    <row r="506" spans="2:2" x14ac:dyDescent="0.2">
      <c r="B506" s="167"/>
    </row>
    <row r="507" spans="2:2" x14ac:dyDescent="0.2">
      <c r="B507" s="167"/>
    </row>
    <row r="508" spans="2:2" x14ac:dyDescent="0.2">
      <c r="B508" s="167"/>
    </row>
    <row r="509" spans="2:2" x14ac:dyDescent="0.2">
      <c r="B509" s="167"/>
    </row>
    <row r="510" spans="2:2" x14ac:dyDescent="0.2">
      <c r="B510" s="167"/>
    </row>
    <row r="511" spans="2:2" x14ac:dyDescent="0.2">
      <c r="B511" s="167"/>
    </row>
    <row r="512" spans="2:2" x14ac:dyDescent="0.2">
      <c r="B512" s="167"/>
    </row>
    <row r="513" spans="2:2" x14ac:dyDescent="0.2">
      <c r="B513" s="167"/>
    </row>
    <row r="514" spans="2:2" x14ac:dyDescent="0.2">
      <c r="B514" s="167"/>
    </row>
    <row r="515" spans="2:2" x14ac:dyDescent="0.2">
      <c r="B515" s="167"/>
    </row>
    <row r="516" spans="2:2" x14ac:dyDescent="0.2">
      <c r="B516" s="167"/>
    </row>
    <row r="517" spans="2:2" x14ac:dyDescent="0.2">
      <c r="B517" s="167"/>
    </row>
    <row r="518" spans="2:2" x14ac:dyDescent="0.2">
      <c r="B518" s="167"/>
    </row>
    <row r="519" spans="2:2" x14ac:dyDescent="0.2">
      <c r="B519" s="167"/>
    </row>
    <row r="520" spans="2:2" x14ac:dyDescent="0.2">
      <c r="B520" s="167"/>
    </row>
    <row r="521" spans="2:2" x14ac:dyDescent="0.2">
      <c r="B521" s="167"/>
    </row>
    <row r="522" spans="2:2" x14ac:dyDescent="0.2">
      <c r="B522" s="167"/>
    </row>
    <row r="523" spans="2:2" x14ac:dyDescent="0.2">
      <c r="B523" s="167"/>
    </row>
    <row r="524" spans="2:2" x14ac:dyDescent="0.2">
      <c r="B524" s="167"/>
    </row>
    <row r="525" spans="2:2" x14ac:dyDescent="0.2">
      <c r="B525" s="167"/>
    </row>
    <row r="526" spans="2:2" x14ac:dyDescent="0.2">
      <c r="B526" s="167"/>
    </row>
    <row r="527" spans="2:2" x14ac:dyDescent="0.2">
      <c r="B527" s="167"/>
    </row>
    <row r="528" spans="2:2" x14ac:dyDescent="0.2">
      <c r="B528" s="167"/>
    </row>
    <row r="529" spans="2:2" x14ac:dyDescent="0.2">
      <c r="B529" s="167"/>
    </row>
    <row r="530" spans="2:2" x14ac:dyDescent="0.2">
      <c r="B530" s="167"/>
    </row>
    <row r="531" spans="2:2" x14ac:dyDescent="0.2">
      <c r="B531" s="167"/>
    </row>
    <row r="532" spans="2:2" x14ac:dyDescent="0.2">
      <c r="B532" s="167"/>
    </row>
    <row r="533" spans="2:2" x14ac:dyDescent="0.2">
      <c r="B533" s="167"/>
    </row>
    <row r="534" spans="2:2" x14ac:dyDescent="0.2">
      <c r="B534" s="167"/>
    </row>
    <row r="535" spans="2:2" x14ac:dyDescent="0.2">
      <c r="B535" s="167"/>
    </row>
    <row r="536" spans="2:2" x14ac:dyDescent="0.2">
      <c r="B536" s="167"/>
    </row>
    <row r="537" spans="2:2" x14ac:dyDescent="0.2">
      <c r="B537" s="167"/>
    </row>
    <row r="538" spans="2:2" x14ac:dyDescent="0.2">
      <c r="B538" s="167"/>
    </row>
    <row r="539" spans="2:2" x14ac:dyDescent="0.2">
      <c r="B539" s="167"/>
    </row>
    <row r="540" spans="2:2" x14ac:dyDescent="0.2">
      <c r="B540" s="167"/>
    </row>
    <row r="541" spans="2:2" x14ac:dyDescent="0.2">
      <c r="B541" s="167"/>
    </row>
    <row r="542" spans="2:2" x14ac:dyDescent="0.2">
      <c r="B542" s="167"/>
    </row>
    <row r="543" spans="2:2" x14ac:dyDescent="0.2">
      <c r="B543" s="167"/>
    </row>
    <row r="544" spans="2:2" x14ac:dyDescent="0.2">
      <c r="B544" s="167"/>
    </row>
    <row r="545" spans="2:2" x14ac:dyDescent="0.2">
      <c r="B545" s="167"/>
    </row>
    <row r="546" spans="2:2" x14ac:dyDescent="0.2">
      <c r="B546" s="167"/>
    </row>
    <row r="547" spans="2:2" x14ac:dyDescent="0.2">
      <c r="B547" s="167"/>
    </row>
    <row r="548" spans="2:2" x14ac:dyDescent="0.2">
      <c r="B548" s="167"/>
    </row>
    <row r="549" spans="2:2" x14ac:dyDescent="0.2">
      <c r="B549" s="167"/>
    </row>
    <row r="550" spans="2:2" x14ac:dyDescent="0.2">
      <c r="B550" s="167"/>
    </row>
    <row r="551" spans="2:2" x14ac:dyDescent="0.2">
      <c r="B551" s="167"/>
    </row>
    <row r="552" spans="2:2" x14ac:dyDescent="0.2">
      <c r="B552" s="167"/>
    </row>
    <row r="553" spans="2:2" x14ac:dyDescent="0.2">
      <c r="B553" s="167"/>
    </row>
    <row r="554" spans="2:2" x14ac:dyDescent="0.2">
      <c r="B554" s="167"/>
    </row>
    <row r="555" spans="2:2" x14ac:dyDescent="0.2">
      <c r="B555" s="167"/>
    </row>
    <row r="556" spans="2:2" x14ac:dyDescent="0.2">
      <c r="B556" s="167"/>
    </row>
    <row r="557" spans="2:2" x14ac:dyDescent="0.2">
      <c r="B557" s="167"/>
    </row>
    <row r="558" spans="2:2" x14ac:dyDescent="0.2">
      <c r="B558" s="167"/>
    </row>
    <row r="559" spans="2:2" x14ac:dyDescent="0.2">
      <c r="B559" s="167"/>
    </row>
    <row r="560" spans="2:2" x14ac:dyDescent="0.2">
      <c r="B560" s="167"/>
    </row>
    <row r="561" spans="2:2" x14ac:dyDescent="0.2">
      <c r="B561" s="167"/>
    </row>
    <row r="562" spans="2:2" x14ac:dyDescent="0.2">
      <c r="B562" s="167"/>
    </row>
    <row r="563" spans="2:2" x14ac:dyDescent="0.2">
      <c r="B563" s="167"/>
    </row>
    <row r="564" spans="2:2" x14ac:dyDescent="0.2">
      <c r="B564" s="167"/>
    </row>
    <row r="565" spans="2:2" x14ac:dyDescent="0.2">
      <c r="B565" s="167"/>
    </row>
    <row r="566" spans="2:2" x14ac:dyDescent="0.2">
      <c r="B566" s="167"/>
    </row>
    <row r="567" spans="2:2" x14ac:dyDescent="0.2">
      <c r="B567" s="167"/>
    </row>
    <row r="568" spans="2:2" x14ac:dyDescent="0.2">
      <c r="B568" s="167"/>
    </row>
    <row r="569" spans="2:2" x14ac:dyDescent="0.2">
      <c r="B569" s="167"/>
    </row>
    <row r="570" spans="2:2" x14ac:dyDescent="0.2">
      <c r="B570" s="167"/>
    </row>
    <row r="571" spans="2:2" x14ac:dyDescent="0.2">
      <c r="B571" s="167"/>
    </row>
    <row r="572" spans="2:2" x14ac:dyDescent="0.2">
      <c r="B572" s="167"/>
    </row>
    <row r="573" spans="2:2" x14ac:dyDescent="0.2">
      <c r="B573" s="167"/>
    </row>
    <row r="574" spans="2:2" x14ac:dyDescent="0.2">
      <c r="B574" s="167"/>
    </row>
    <row r="575" spans="2:2" x14ac:dyDescent="0.2">
      <c r="B575" s="167"/>
    </row>
    <row r="576" spans="2:2" x14ac:dyDescent="0.2">
      <c r="B576" s="167"/>
    </row>
    <row r="577" spans="2:2" x14ac:dyDescent="0.2">
      <c r="B577" s="167"/>
    </row>
    <row r="578" spans="2:2" x14ac:dyDescent="0.2">
      <c r="B578" s="167"/>
    </row>
    <row r="579" spans="2:2" x14ac:dyDescent="0.2">
      <c r="B579" s="167"/>
    </row>
    <row r="580" spans="2:2" x14ac:dyDescent="0.2">
      <c r="B580" s="167"/>
    </row>
    <row r="581" spans="2:2" x14ac:dyDescent="0.2">
      <c r="B581" s="167"/>
    </row>
    <row r="582" spans="2:2" x14ac:dyDescent="0.2">
      <c r="B582" s="167"/>
    </row>
    <row r="583" spans="2:2" x14ac:dyDescent="0.2">
      <c r="B583" s="167"/>
    </row>
    <row r="584" spans="2:2" x14ac:dyDescent="0.2">
      <c r="B584" s="167"/>
    </row>
    <row r="585" spans="2:2" x14ac:dyDescent="0.2">
      <c r="B585" s="167"/>
    </row>
    <row r="586" spans="2:2" x14ac:dyDescent="0.2">
      <c r="B586" s="167"/>
    </row>
    <row r="587" spans="2:2" x14ac:dyDescent="0.2">
      <c r="B587" s="167"/>
    </row>
    <row r="588" spans="2:2" x14ac:dyDescent="0.2">
      <c r="B588" s="167"/>
    </row>
    <row r="589" spans="2:2" x14ac:dyDescent="0.2">
      <c r="B589" s="167"/>
    </row>
    <row r="590" spans="2:2" x14ac:dyDescent="0.2">
      <c r="B590" s="167"/>
    </row>
    <row r="591" spans="2:2" x14ac:dyDescent="0.2">
      <c r="B591" s="167"/>
    </row>
    <row r="592" spans="2:2" x14ac:dyDescent="0.2">
      <c r="B592" s="167"/>
    </row>
    <row r="593" spans="2:2" x14ac:dyDescent="0.2">
      <c r="B593" s="167"/>
    </row>
    <row r="594" spans="2:2" x14ac:dyDescent="0.2">
      <c r="B594" s="167"/>
    </row>
    <row r="595" spans="2:2" x14ac:dyDescent="0.2">
      <c r="B595" s="167"/>
    </row>
    <row r="596" spans="2:2" x14ac:dyDescent="0.2">
      <c r="B596" s="167"/>
    </row>
    <row r="597" spans="2:2" x14ac:dyDescent="0.2">
      <c r="B597" s="167"/>
    </row>
    <row r="598" spans="2:2" x14ac:dyDescent="0.2">
      <c r="B598" s="167"/>
    </row>
    <row r="599" spans="2:2" x14ac:dyDescent="0.2">
      <c r="B599" s="167"/>
    </row>
    <row r="600" spans="2:2" x14ac:dyDescent="0.2">
      <c r="B600" s="167"/>
    </row>
    <row r="601" spans="2:2" x14ac:dyDescent="0.2">
      <c r="B601" s="167"/>
    </row>
    <row r="602" spans="2:2" x14ac:dyDescent="0.2">
      <c r="B602" s="167"/>
    </row>
    <row r="603" spans="2:2" x14ac:dyDescent="0.2">
      <c r="B603" s="167"/>
    </row>
    <row r="604" spans="2:2" x14ac:dyDescent="0.2">
      <c r="B604" s="167"/>
    </row>
    <row r="605" spans="2:2" x14ac:dyDescent="0.2">
      <c r="B605" s="167"/>
    </row>
    <row r="606" spans="2:2" x14ac:dyDescent="0.2">
      <c r="B606" s="167"/>
    </row>
    <row r="607" spans="2:2" x14ac:dyDescent="0.2">
      <c r="B607" s="167"/>
    </row>
    <row r="608" spans="2:2" x14ac:dyDescent="0.2">
      <c r="B608" s="167"/>
    </row>
    <row r="609" spans="2:2" x14ac:dyDescent="0.2">
      <c r="B609" s="167"/>
    </row>
    <row r="610" spans="2:2" x14ac:dyDescent="0.2">
      <c r="B610" s="167"/>
    </row>
    <row r="611" spans="2:2" x14ac:dyDescent="0.2">
      <c r="B611" s="167"/>
    </row>
    <row r="612" spans="2:2" x14ac:dyDescent="0.2">
      <c r="B612" s="167"/>
    </row>
    <row r="613" spans="2:2" x14ac:dyDescent="0.2">
      <c r="B613" s="167"/>
    </row>
    <row r="614" spans="2:2" x14ac:dyDescent="0.2">
      <c r="B614" s="167"/>
    </row>
    <row r="615" spans="2:2" x14ac:dyDescent="0.2">
      <c r="B615" s="167"/>
    </row>
    <row r="616" spans="2:2" x14ac:dyDescent="0.2">
      <c r="B616" s="167"/>
    </row>
    <row r="617" spans="2:2" x14ac:dyDescent="0.2">
      <c r="B617" s="167"/>
    </row>
    <row r="618" spans="2:2" x14ac:dyDescent="0.2">
      <c r="B618" s="167"/>
    </row>
    <row r="619" spans="2:2" x14ac:dyDescent="0.2">
      <c r="B619" s="167"/>
    </row>
    <row r="620" spans="2:2" x14ac:dyDescent="0.2">
      <c r="B620" s="167"/>
    </row>
    <row r="621" spans="2:2" x14ac:dyDescent="0.2">
      <c r="B621" s="167"/>
    </row>
    <row r="622" spans="2:2" x14ac:dyDescent="0.2">
      <c r="B622" s="167"/>
    </row>
    <row r="623" spans="2:2" x14ac:dyDescent="0.2">
      <c r="B623" s="167"/>
    </row>
    <row r="624" spans="2:2" x14ac:dyDescent="0.2">
      <c r="B624" s="167"/>
    </row>
    <row r="625" spans="2:2" x14ac:dyDescent="0.2">
      <c r="B625" s="167"/>
    </row>
    <row r="626" spans="2:2" x14ac:dyDescent="0.2">
      <c r="B626" s="167"/>
    </row>
    <row r="627" spans="2:2" x14ac:dyDescent="0.2">
      <c r="B627" s="167"/>
    </row>
    <row r="628" spans="2:2" x14ac:dyDescent="0.2">
      <c r="B628" s="167"/>
    </row>
    <row r="629" spans="2:2" x14ac:dyDescent="0.2">
      <c r="B629" s="167"/>
    </row>
    <row r="630" spans="2:2" x14ac:dyDescent="0.2">
      <c r="B630" s="167"/>
    </row>
    <row r="631" spans="2:2" x14ac:dyDescent="0.2">
      <c r="B631" s="167"/>
    </row>
    <row r="632" spans="2:2" x14ac:dyDescent="0.2">
      <c r="B632" s="167"/>
    </row>
    <row r="633" spans="2:2" x14ac:dyDescent="0.2">
      <c r="B633" s="167"/>
    </row>
    <row r="634" spans="2:2" x14ac:dyDescent="0.2">
      <c r="B634" s="167"/>
    </row>
    <row r="635" spans="2:2" x14ac:dyDescent="0.2">
      <c r="B635" s="167"/>
    </row>
    <row r="636" spans="2:2" x14ac:dyDescent="0.2">
      <c r="B636" s="167"/>
    </row>
    <row r="637" spans="2:2" x14ac:dyDescent="0.2">
      <c r="B637" s="167"/>
    </row>
    <row r="638" spans="2:2" x14ac:dyDescent="0.2">
      <c r="B638" s="167"/>
    </row>
    <row r="639" spans="2:2" x14ac:dyDescent="0.2">
      <c r="B639" s="167"/>
    </row>
    <row r="640" spans="2:2" x14ac:dyDescent="0.2">
      <c r="B640" s="167"/>
    </row>
    <row r="641" spans="2:2" x14ac:dyDescent="0.2">
      <c r="B641" s="167"/>
    </row>
    <row r="642" spans="2:2" x14ac:dyDescent="0.2">
      <c r="B642" s="167"/>
    </row>
    <row r="643" spans="2:2" x14ac:dyDescent="0.2">
      <c r="B643" s="167"/>
    </row>
    <row r="644" spans="2:2" x14ac:dyDescent="0.2">
      <c r="B644" s="167"/>
    </row>
    <row r="645" spans="2:2" x14ac:dyDescent="0.2">
      <c r="B645" s="167"/>
    </row>
    <row r="646" spans="2:2" x14ac:dyDescent="0.2">
      <c r="B646" s="167"/>
    </row>
    <row r="647" spans="2:2" x14ac:dyDescent="0.2">
      <c r="B647" s="167"/>
    </row>
    <row r="648" spans="2:2" x14ac:dyDescent="0.2">
      <c r="B648" s="167"/>
    </row>
    <row r="649" spans="2:2" x14ac:dyDescent="0.2">
      <c r="B649" s="167"/>
    </row>
    <row r="650" spans="2:2" x14ac:dyDescent="0.2">
      <c r="B650" s="167"/>
    </row>
    <row r="651" spans="2:2" x14ac:dyDescent="0.2">
      <c r="B651" s="167"/>
    </row>
    <row r="652" spans="2:2" x14ac:dyDescent="0.2">
      <c r="B652" s="167"/>
    </row>
    <row r="653" spans="2:2" x14ac:dyDescent="0.2">
      <c r="B653" s="167"/>
    </row>
    <row r="654" spans="2:2" x14ac:dyDescent="0.2">
      <c r="B654" s="167"/>
    </row>
    <row r="655" spans="2:2" x14ac:dyDescent="0.2">
      <c r="B655" s="167"/>
    </row>
    <row r="656" spans="2:2" x14ac:dyDescent="0.2">
      <c r="B656" s="167"/>
    </row>
    <row r="657" spans="2:2" x14ac:dyDescent="0.2">
      <c r="B657" s="167"/>
    </row>
    <row r="658" spans="2:2" x14ac:dyDescent="0.2">
      <c r="B658" s="167"/>
    </row>
    <row r="659" spans="2:2" x14ac:dyDescent="0.2">
      <c r="B659" s="167"/>
    </row>
    <row r="660" spans="2:2" x14ac:dyDescent="0.2">
      <c r="B660" s="167"/>
    </row>
    <row r="661" spans="2:2" x14ac:dyDescent="0.2">
      <c r="B661" s="167"/>
    </row>
    <row r="662" spans="2:2" x14ac:dyDescent="0.2">
      <c r="B662" s="167"/>
    </row>
    <row r="663" spans="2:2" x14ac:dyDescent="0.2">
      <c r="B663" s="167"/>
    </row>
    <row r="664" spans="2:2" x14ac:dyDescent="0.2">
      <c r="B664" s="167"/>
    </row>
    <row r="665" spans="2:2" x14ac:dyDescent="0.2">
      <c r="B665" s="167"/>
    </row>
    <row r="666" spans="2:2" x14ac:dyDescent="0.2">
      <c r="B666" s="167"/>
    </row>
    <row r="667" spans="2:2" x14ac:dyDescent="0.2">
      <c r="B667" s="167"/>
    </row>
    <row r="668" spans="2:2" x14ac:dyDescent="0.2">
      <c r="B668" s="167"/>
    </row>
    <row r="669" spans="2:2" x14ac:dyDescent="0.2">
      <c r="B669" s="167"/>
    </row>
    <row r="670" spans="2:2" x14ac:dyDescent="0.2">
      <c r="B670" s="167"/>
    </row>
    <row r="671" spans="2:2" x14ac:dyDescent="0.2">
      <c r="B671" s="167"/>
    </row>
    <row r="672" spans="2:2" x14ac:dyDescent="0.2">
      <c r="B672" s="167"/>
    </row>
    <row r="673" spans="2:2" x14ac:dyDescent="0.2">
      <c r="B673" s="167"/>
    </row>
    <row r="674" spans="2:2" x14ac:dyDescent="0.2">
      <c r="B674" s="167"/>
    </row>
    <row r="675" spans="2:2" x14ac:dyDescent="0.2">
      <c r="B675" s="167"/>
    </row>
    <row r="676" spans="2:2" x14ac:dyDescent="0.2">
      <c r="B676" s="167"/>
    </row>
    <row r="677" spans="2:2" x14ac:dyDescent="0.2">
      <c r="B677" s="167"/>
    </row>
    <row r="678" spans="2:2" x14ac:dyDescent="0.2">
      <c r="B678" s="167"/>
    </row>
    <row r="679" spans="2:2" x14ac:dyDescent="0.2">
      <c r="B679" s="167"/>
    </row>
    <row r="680" spans="2:2" x14ac:dyDescent="0.2">
      <c r="B680" s="167"/>
    </row>
    <row r="681" spans="2:2" x14ac:dyDescent="0.2">
      <c r="B681" s="167"/>
    </row>
    <row r="682" spans="2:2" x14ac:dyDescent="0.2">
      <c r="B682" s="167"/>
    </row>
    <row r="683" spans="2:2" x14ac:dyDescent="0.2">
      <c r="B683" s="167"/>
    </row>
    <row r="684" spans="2:2" x14ac:dyDescent="0.2">
      <c r="B684" s="167"/>
    </row>
    <row r="685" spans="2:2" x14ac:dyDescent="0.2">
      <c r="B685" s="167"/>
    </row>
    <row r="686" spans="2:2" x14ac:dyDescent="0.2">
      <c r="B686" s="167"/>
    </row>
    <row r="687" spans="2:2" x14ac:dyDescent="0.2">
      <c r="B687" s="167"/>
    </row>
    <row r="688" spans="2:2" x14ac:dyDescent="0.2">
      <c r="B688" s="167"/>
    </row>
    <row r="689" spans="2:2" x14ac:dyDescent="0.2">
      <c r="B689" s="167"/>
    </row>
    <row r="690" spans="2:2" x14ac:dyDescent="0.2">
      <c r="B690" s="167"/>
    </row>
    <row r="691" spans="2:2" x14ac:dyDescent="0.2">
      <c r="B691" s="167"/>
    </row>
    <row r="692" spans="2:2" x14ac:dyDescent="0.2">
      <c r="B692" s="167"/>
    </row>
    <row r="693" spans="2:2" x14ac:dyDescent="0.2">
      <c r="B693" s="167"/>
    </row>
    <row r="694" spans="2:2" x14ac:dyDescent="0.2">
      <c r="B694" s="167"/>
    </row>
    <row r="695" spans="2:2" x14ac:dyDescent="0.2">
      <c r="B695" s="167"/>
    </row>
    <row r="696" spans="2:2" x14ac:dyDescent="0.2">
      <c r="B696" s="167"/>
    </row>
    <row r="697" spans="2:2" x14ac:dyDescent="0.2">
      <c r="B697" s="167"/>
    </row>
    <row r="698" spans="2:2" x14ac:dyDescent="0.2">
      <c r="B698" s="167"/>
    </row>
    <row r="699" spans="2:2" x14ac:dyDescent="0.2">
      <c r="B699" s="167"/>
    </row>
    <row r="700" spans="2:2" x14ac:dyDescent="0.2">
      <c r="B700" s="167"/>
    </row>
    <row r="701" spans="2:2" x14ac:dyDescent="0.2">
      <c r="B701" s="167"/>
    </row>
    <row r="702" spans="2:2" x14ac:dyDescent="0.2">
      <c r="B702" s="167"/>
    </row>
    <row r="703" spans="2:2" x14ac:dyDescent="0.2">
      <c r="B703" s="167"/>
    </row>
    <row r="704" spans="2:2" x14ac:dyDescent="0.2">
      <c r="B704" s="167"/>
    </row>
    <row r="705" spans="2:2" x14ac:dyDescent="0.2">
      <c r="B705" s="167"/>
    </row>
    <row r="706" spans="2:2" x14ac:dyDescent="0.2">
      <c r="B706" s="167"/>
    </row>
    <row r="707" spans="2:2" x14ac:dyDescent="0.2">
      <c r="B707" s="167"/>
    </row>
    <row r="708" spans="2:2" x14ac:dyDescent="0.2">
      <c r="B708" s="167"/>
    </row>
    <row r="709" spans="2:2" x14ac:dyDescent="0.2">
      <c r="B709" s="167"/>
    </row>
    <row r="710" spans="2:2" x14ac:dyDescent="0.2">
      <c r="B710" s="167"/>
    </row>
    <row r="711" spans="2:2" x14ac:dyDescent="0.2">
      <c r="B711" s="167"/>
    </row>
    <row r="712" spans="2:2" x14ac:dyDescent="0.2">
      <c r="B712" s="167"/>
    </row>
    <row r="713" spans="2:2" x14ac:dyDescent="0.2">
      <c r="B713" s="167"/>
    </row>
    <row r="714" spans="2:2" x14ac:dyDescent="0.2">
      <c r="B714" s="167"/>
    </row>
    <row r="715" spans="2:2" x14ac:dyDescent="0.2">
      <c r="B715" s="167"/>
    </row>
    <row r="716" spans="2:2" x14ac:dyDescent="0.2">
      <c r="B716" s="167"/>
    </row>
    <row r="717" spans="2:2" x14ac:dyDescent="0.2">
      <c r="B717" s="167"/>
    </row>
    <row r="718" spans="2:2" x14ac:dyDescent="0.2">
      <c r="B718" s="167"/>
    </row>
    <row r="719" spans="2:2" x14ac:dyDescent="0.2">
      <c r="B719" s="167"/>
    </row>
    <row r="720" spans="2:2" x14ac:dyDescent="0.2">
      <c r="B720" s="167"/>
    </row>
    <row r="721" spans="2:2" x14ac:dyDescent="0.2">
      <c r="B721" s="167"/>
    </row>
    <row r="722" spans="2:2" x14ac:dyDescent="0.2">
      <c r="B722" s="167"/>
    </row>
    <row r="723" spans="2:2" x14ac:dyDescent="0.2">
      <c r="B723" s="167"/>
    </row>
    <row r="724" spans="2:2" x14ac:dyDescent="0.2">
      <c r="B724" s="167"/>
    </row>
    <row r="725" spans="2:2" x14ac:dyDescent="0.2">
      <c r="B725" s="167"/>
    </row>
    <row r="726" spans="2:2" x14ac:dyDescent="0.2">
      <c r="B726" s="167"/>
    </row>
    <row r="727" spans="2:2" x14ac:dyDescent="0.2">
      <c r="B727" s="167"/>
    </row>
    <row r="728" spans="2:2" x14ac:dyDescent="0.2">
      <c r="B728" s="167"/>
    </row>
    <row r="729" spans="2:2" x14ac:dyDescent="0.2">
      <c r="B729" s="167"/>
    </row>
    <row r="730" spans="2:2" x14ac:dyDescent="0.2">
      <c r="B730" s="167"/>
    </row>
    <row r="731" spans="2:2" x14ac:dyDescent="0.2">
      <c r="B731" s="167"/>
    </row>
    <row r="732" spans="2:2" x14ac:dyDescent="0.2">
      <c r="B732" s="167"/>
    </row>
    <row r="733" spans="2:2" x14ac:dyDescent="0.2">
      <c r="B733" s="167"/>
    </row>
    <row r="734" spans="2:2" x14ac:dyDescent="0.2">
      <c r="B734" s="167"/>
    </row>
    <row r="735" spans="2:2" x14ac:dyDescent="0.2">
      <c r="B735" s="167"/>
    </row>
    <row r="736" spans="2:2" x14ac:dyDescent="0.2">
      <c r="B736" s="167"/>
    </row>
    <row r="737" spans="2:2" x14ac:dyDescent="0.2">
      <c r="B737" s="167"/>
    </row>
    <row r="738" spans="2:2" x14ac:dyDescent="0.2">
      <c r="B738" s="167"/>
    </row>
    <row r="739" spans="2:2" x14ac:dyDescent="0.2">
      <c r="B739" s="167"/>
    </row>
    <row r="740" spans="2:2" x14ac:dyDescent="0.2">
      <c r="B740" s="167"/>
    </row>
    <row r="741" spans="2:2" x14ac:dyDescent="0.2">
      <c r="B741" s="167"/>
    </row>
    <row r="742" spans="2:2" x14ac:dyDescent="0.2">
      <c r="B742" s="167"/>
    </row>
    <row r="743" spans="2:2" x14ac:dyDescent="0.2">
      <c r="B743" s="167"/>
    </row>
    <row r="744" spans="2:2" x14ac:dyDescent="0.2">
      <c r="B744" s="167"/>
    </row>
    <row r="745" spans="2:2" x14ac:dyDescent="0.2">
      <c r="B745" s="167"/>
    </row>
    <row r="746" spans="2:2" x14ac:dyDescent="0.2">
      <c r="B746" s="167"/>
    </row>
    <row r="747" spans="2:2" x14ac:dyDescent="0.2">
      <c r="B747" s="167"/>
    </row>
    <row r="748" spans="2:2" x14ac:dyDescent="0.2">
      <c r="B748" s="167"/>
    </row>
    <row r="749" spans="2:2" x14ac:dyDescent="0.2">
      <c r="B749" s="167"/>
    </row>
    <row r="750" spans="2:2" x14ac:dyDescent="0.2">
      <c r="B750" s="167"/>
    </row>
    <row r="751" spans="2:2" x14ac:dyDescent="0.2">
      <c r="B751" s="167"/>
    </row>
    <row r="752" spans="2:2" x14ac:dyDescent="0.2">
      <c r="B752" s="167"/>
    </row>
    <row r="753" spans="2:2" x14ac:dyDescent="0.2">
      <c r="B753" s="167"/>
    </row>
    <row r="754" spans="2:2" x14ac:dyDescent="0.2">
      <c r="B754" s="167"/>
    </row>
    <row r="755" spans="2:2" x14ac:dyDescent="0.2">
      <c r="B755" s="167"/>
    </row>
    <row r="756" spans="2:2" x14ac:dyDescent="0.2">
      <c r="B756" s="167"/>
    </row>
    <row r="757" spans="2:2" x14ac:dyDescent="0.2">
      <c r="B757" s="167"/>
    </row>
    <row r="758" spans="2:2" x14ac:dyDescent="0.2">
      <c r="B758" s="167"/>
    </row>
    <row r="759" spans="2:2" x14ac:dyDescent="0.2">
      <c r="B759" s="167"/>
    </row>
    <row r="760" spans="2:2" x14ac:dyDescent="0.2">
      <c r="B760" s="167"/>
    </row>
    <row r="761" spans="2:2" x14ac:dyDescent="0.2">
      <c r="B761" s="167"/>
    </row>
    <row r="762" spans="2:2" x14ac:dyDescent="0.2">
      <c r="B762" s="167"/>
    </row>
    <row r="763" spans="2:2" x14ac:dyDescent="0.2">
      <c r="B763" s="167"/>
    </row>
    <row r="764" spans="2:2" x14ac:dyDescent="0.2">
      <c r="B764" s="167"/>
    </row>
    <row r="765" spans="2:2" x14ac:dyDescent="0.2">
      <c r="B765" s="167"/>
    </row>
    <row r="766" spans="2:2" x14ac:dyDescent="0.2">
      <c r="B766" s="167"/>
    </row>
    <row r="767" spans="2:2" x14ac:dyDescent="0.2">
      <c r="B767" s="167"/>
    </row>
    <row r="768" spans="2:2" x14ac:dyDescent="0.2">
      <c r="B768" s="167"/>
    </row>
    <row r="769" spans="2:2" x14ac:dyDescent="0.2">
      <c r="B769" s="167"/>
    </row>
    <row r="770" spans="2:2" x14ac:dyDescent="0.2">
      <c r="B770" s="167"/>
    </row>
    <row r="771" spans="2:2" x14ac:dyDescent="0.2">
      <c r="B771" s="167"/>
    </row>
    <row r="772" spans="2:2" x14ac:dyDescent="0.2">
      <c r="B772" s="167"/>
    </row>
    <row r="773" spans="2:2" x14ac:dyDescent="0.2">
      <c r="B773" s="167"/>
    </row>
    <row r="774" spans="2:2" x14ac:dyDescent="0.2">
      <c r="B774" s="167"/>
    </row>
    <row r="775" spans="2:2" x14ac:dyDescent="0.2">
      <c r="B775" s="167"/>
    </row>
    <row r="776" spans="2:2" x14ac:dyDescent="0.2">
      <c r="B776" s="167"/>
    </row>
    <row r="777" spans="2:2" x14ac:dyDescent="0.2">
      <c r="B777" s="167"/>
    </row>
    <row r="778" spans="2:2" x14ac:dyDescent="0.2">
      <c r="B778" s="167"/>
    </row>
    <row r="779" spans="2:2" x14ac:dyDescent="0.2">
      <c r="B779" s="167"/>
    </row>
    <row r="780" spans="2:2" x14ac:dyDescent="0.2">
      <c r="B780" s="167"/>
    </row>
    <row r="781" spans="2:2" x14ac:dyDescent="0.2">
      <c r="B781" s="167"/>
    </row>
    <row r="782" spans="2:2" x14ac:dyDescent="0.2">
      <c r="B782" s="167"/>
    </row>
    <row r="783" spans="2:2" x14ac:dyDescent="0.2">
      <c r="B783" s="167"/>
    </row>
    <row r="784" spans="2:2" x14ac:dyDescent="0.2">
      <c r="B784" s="167"/>
    </row>
    <row r="785" spans="2:2" x14ac:dyDescent="0.2">
      <c r="B785" s="167"/>
    </row>
    <row r="786" spans="2:2" x14ac:dyDescent="0.2">
      <c r="B786" s="167"/>
    </row>
    <row r="787" spans="2:2" x14ac:dyDescent="0.2">
      <c r="B787" s="167"/>
    </row>
    <row r="788" spans="2:2" x14ac:dyDescent="0.2">
      <c r="B788" s="167"/>
    </row>
    <row r="789" spans="2:2" x14ac:dyDescent="0.2">
      <c r="B789" s="167"/>
    </row>
    <row r="790" spans="2:2" x14ac:dyDescent="0.2">
      <c r="B790" s="167"/>
    </row>
    <row r="791" spans="2:2" x14ac:dyDescent="0.2">
      <c r="B791" s="167"/>
    </row>
    <row r="792" spans="2:2" x14ac:dyDescent="0.2">
      <c r="B792" s="167"/>
    </row>
    <row r="793" spans="2:2" x14ac:dyDescent="0.2">
      <c r="B793" s="167"/>
    </row>
    <row r="794" spans="2:2" x14ac:dyDescent="0.2">
      <c r="B794" s="167"/>
    </row>
    <row r="795" spans="2:2" x14ac:dyDescent="0.2">
      <c r="B795" s="167"/>
    </row>
    <row r="796" spans="2:2" x14ac:dyDescent="0.2">
      <c r="B796" s="167"/>
    </row>
    <row r="797" spans="2:2" x14ac:dyDescent="0.2">
      <c r="B797" s="167"/>
    </row>
    <row r="798" spans="2:2" x14ac:dyDescent="0.2">
      <c r="B798" s="167"/>
    </row>
    <row r="799" spans="2:2" x14ac:dyDescent="0.2">
      <c r="B799" s="167"/>
    </row>
    <row r="800" spans="2:2" x14ac:dyDescent="0.2">
      <c r="B800" s="167"/>
    </row>
    <row r="801" spans="2:2" x14ac:dyDescent="0.2">
      <c r="B801" s="167"/>
    </row>
    <row r="802" spans="2:2" x14ac:dyDescent="0.2">
      <c r="B802" s="167"/>
    </row>
    <row r="803" spans="2:2" x14ac:dyDescent="0.2">
      <c r="B803" s="167"/>
    </row>
    <row r="804" spans="2:2" x14ac:dyDescent="0.2">
      <c r="B804" s="167"/>
    </row>
    <row r="805" spans="2:2" x14ac:dyDescent="0.2">
      <c r="B805" s="167"/>
    </row>
    <row r="806" spans="2:2" x14ac:dyDescent="0.2">
      <c r="B806" s="167"/>
    </row>
    <row r="807" spans="2:2" x14ac:dyDescent="0.2">
      <c r="B807" s="167"/>
    </row>
    <row r="808" spans="2:2" x14ac:dyDescent="0.2">
      <c r="B808" s="167"/>
    </row>
    <row r="809" spans="2:2" x14ac:dyDescent="0.2">
      <c r="B809" s="167"/>
    </row>
    <row r="810" spans="2:2" x14ac:dyDescent="0.2">
      <c r="B810" s="167"/>
    </row>
    <row r="811" spans="2:2" x14ac:dyDescent="0.2">
      <c r="B811" s="167"/>
    </row>
    <row r="812" spans="2:2" x14ac:dyDescent="0.2">
      <c r="B812" s="167"/>
    </row>
    <row r="813" spans="2:2" x14ac:dyDescent="0.2">
      <c r="B813" s="167"/>
    </row>
    <row r="814" spans="2:2" x14ac:dyDescent="0.2">
      <c r="B814" s="167"/>
    </row>
    <row r="815" spans="2:2" x14ac:dyDescent="0.2">
      <c r="B815" s="167"/>
    </row>
    <row r="816" spans="2:2" x14ac:dyDescent="0.2">
      <c r="B816" s="167"/>
    </row>
    <row r="817" spans="2:2" x14ac:dyDescent="0.2">
      <c r="B817" s="167"/>
    </row>
    <row r="818" spans="2:2" x14ac:dyDescent="0.2">
      <c r="B818" s="167"/>
    </row>
    <row r="819" spans="2:2" x14ac:dyDescent="0.2">
      <c r="B819" s="167"/>
    </row>
    <row r="820" spans="2:2" x14ac:dyDescent="0.2">
      <c r="B820" s="167"/>
    </row>
    <row r="821" spans="2:2" x14ac:dyDescent="0.2">
      <c r="B821" s="167"/>
    </row>
    <row r="822" spans="2:2" x14ac:dyDescent="0.2">
      <c r="B822" s="167"/>
    </row>
    <row r="823" spans="2:2" x14ac:dyDescent="0.2">
      <c r="B823" s="167"/>
    </row>
    <row r="824" spans="2:2" x14ac:dyDescent="0.2">
      <c r="B824" s="167"/>
    </row>
    <row r="825" spans="2:2" x14ac:dyDescent="0.2">
      <c r="B825" s="167"/>
    </row>
    <row r="826" spans="2:2" x14ac:dyDescent="0.2">
      <c r="B826" s="167"/>
    </row>
    <row r="827" spans="2:2" x14ac:dyDescent="0.2">
      <c r="B827" s="167"/>
    </row>
    <row r="828" spans="2:2" x14ac:dyDescent="0.2">
      <c r="B828" s="167"/>
    </row>
    <row r="829" spans="2:2" x14ac:dyDescent="0.2">
      <c r="B829" s="167"/>
    </row>
    <row r="830" spans="2:2" x14ac:dyDescent="0.2">
      <c r="B830" s="167"/>
    </row>
    <row r="831" spans="2:2" x14ac:dyDescent="0.2">
      <c r="B831" s="167"/>
    </row>
    <row r="832" spans="2:2" x14ac:dyDescent="0.2">
      <c r="B832" s="167"/>
    </row>
    <row r="833" spans="2:2" x14ac:dyDescent="0.2">
      <c r="B833" s="167"/>
    </row>
    <row r="834" spans="2:2" x14ac:dyDescent="0.2">
      <c r="B834" s="167"/>
    </row>
    <row r="835" spans="2:2" x14ac:dyDescent="0.2">
      <c r="B835" s="167"/>
    </row>
    <row r="836" spans="2:2" x14ac:dyDescent="0.2">
      <c r="B836" s="167"/>
    </row>
    <row r="837" spans="2:2" x14ac:dyDescent="0.2">
      <c r="B837" s="167"/>
    </row>
    <row r="838" spans="2:2" x14ac:dyDescent="0.2">
      <c r="B838" s="167"/>
    </row>
    <row r="839" spans="2:2" x14ac:dyDescent="0.2">
      <c r="B839" s="167"/>
    </row>
    <row r="840" spans="2:2" x14ac:dyDescent="0.2">
      <c r="B840" s="167"/>
    </row>
    <row r="841" spans="2:2" x14ac:dyDescent="0.2">
      <c r="B841" s="167"/>
    </row>
    <row r="842" spans="2:2" x14ac:dyDescent="0.2">
      <c r="B842" s="167"/>
    </row>
    <row r="843" spans="2:2" x14ac:dyDescent="0.2">
      <c r="B843" s="167"/>
    </row>
    <row r="844" spans="2:2" x14ac:dyDescent="0.2">
      <c r="B844" s="167"/>
    </row>
    <row r="845" spans="2:2" x14ac:dyDescent="0.2">
      <c r="B845" s="167"/>
    </row>
    <row r="846" spans="2:2" x14ac:dyDescent="0.2">
      <c r="B846" s="167"/>
    </row>
    <row r="847" spans="2:2" x14ac:dyDescent="0.2">
      <c r="B847" s="167"/>
    </row>
    <row r="848" spans="2:2" x14ac:dyDescent="0.2">
      <c r="B848" s="167"/>
    </row>
    <row r="849" spans="2:2" x14ac:dyDescent="0.2">
      <c r="B849" s="167"/>
    </row>
    <row r="850" spans="2:2" x14ac:dyDescent="0.2">
      <c r="B850" s="167"/>
    </row>
    <row r="851" spans="2:2" x14ac:dyDescent="0.2">
      <c r="B851" s="167"/>
    </row>
    <row r="852" spans="2:2" x14ac:dyDescent="0.2">
      <c r="B852" s="167"/>
    </row>
    <row r="853" spans="2:2" x14ac:dyDescent="0.2">
      <c r="B853" s="167"/>
    </row>
    <row r="854" spans="2:2" x14ac:dyDescent="0.2">
      <c r="B854" s="167"/>
    </row>
    <row r="855" spans="2:2" x14ac:dyDescent="0.2">
      <c r="B855" s="167"/>
    </row>
    <row r="856" spans="2:2" x14ac:dyDescent="0.2">
      <c r="B856" s="167"/>
    </row>
    <row r="857" spans="2:2" x14ac:dyDescent="0.2">
      <c r="B857" s="167"/>
    </row>
    <row r="858" spans="2:2" x14ac:dyDescent="0.2">
      <c r="B858" s="167"/>
    </row>
    <row r="859" spans="2:2" x14ac:dyDescent="0.2">
      <c r="B859" s="167"/>
    </row>
    <row r="860" spans="2:2" x14ac:dyDescent="0.2">
      <c r="B860" s="167"/>
    </row>
    <row r="861" spans="2:2" x14ac:dyDescent="0.2">
      <c r="B861" s="167"/>
    </row>
    <row r="862" spans="2:2" x14ac:dyDescent="0.2">
      <c r="B862" s="167"/>
    </row>
    <row r="863" spans="2:2" x14ac:dyDescent="0.2">
      <c r="B863" s="167"/>
    </row>
    <row r="864" spans="2:2" x14ac:dyDescent="0.2">
      <c r="B864" s="167"/>
    </row>
    <row r="865" spans="2:2" x14ac:dyDescent="0.2">
      <c r="B865" s="167"/>
    </row>
    <row r="866" spans="2:2" x14ac:dyDescent="0.2">
      <c r="B866" s="167"/>
    </row>
    <row r="867" spans="2:2" x14ac:dyDescent="0.2">
      <c r="B867" s="167"/>
    </row>
    <row r="868" spans="2:2" x14ac:dyDescent="0.2">
      <c r="B868" s="167"/>
    </row>
    <row r="869" spans="2:2" x14ac:dyDescent="0.2">
      <c r="B869" s="167"/>
    </row>
    <row r="870" spans="2:2" x14ac:dyDescent="0.2">
      <c r="B870" s="167"/>
    </row>
    <row r="871" spans="2:2" x14ac:dyDescent="0.2">
      <c r="B871" s="167"/>
    </row>
    <row r="872" spans="2:2" x14ac:dyDescent="0.2">
      <c r="B872" s="167"/>
    </row>
    <row r="873" spans="2:2" x14ac:dyDescent="0.2">
      <c r="B873" s="167"/>
    </row>
    <row r="874" spans="2:2" x14ac:dyDescent="0.2">
      <c r="B874" s="167"/>
    </row>
    <row r="875" spans="2:2" x14ac:dyDescent="0.2">
      <c r="B875" s="167"/>
    </row>
    <row r="876" spans="2:2" x14ac:dyDescent="0.2">
      <c r="B876" s="167"/>
    </row>
    <row r="877" spans="2:2" x14ac:dyDescent="0.2">
      <c r="B877" s="167"/>
    </row>
    <row r="878" spans="2:2" x14ac:dyDescent="0.2">
      <c r="B878" s="167"/>
    </row>
    <row r="879" spans="2:2" x14ac:dyDescent="0.2">
      <c r="B879" s="167"/>
    </row>
    <row r="880" spans="2:2" x14ac:dyDescent="0.2">
      <c r="B880" s="167"/>
    </row>
    <row r="881" spans="2:2" x14ac:dyDescent="0.2">
      <c r="B881" s="167"/>
    </row>
    <row r="882" spans="2:2" x14ac:dyDescent="0.2">
      <c r="B882" s="167"/>
    </row>
    <row r="883" spans="2:2" x14ac:dyDescent="0.2">
      <c r="B883" s="167"/>
    </row>
    <row r="884" spans="2:2" x14ac:dyDescent="0.2">
      <c r="B884" s="167"/>
    </row>
    <row r="885" spans="2:2" x14ac:dyDescent="0.2">
      <c r="B885" s="167"/>
    </row>
    <row r="886" spans="2:2" x14ac:dyDescent="0.2">
      <c r="B886" s="167"/>
    </row>
    <row r="887" spans="2:2" x14ac:dyDescent="0.2">
      <c r="B887" s="167"/>
    </row>
    <row r="888" spans="2:2" x14ac:dyDescent="0.2">
      <c r="B888" s="167"/>
    </row>
    <row r="889" spans="2:2" x14ac:dyDescent="0.2">
      <c r="B889" s="167"/>
    </row>
    <row r="890" spans="2:2" x14ac:dyDescent="0.2">
      <c r="B890" s="167"/>
    </row>
    <row r="891" spans="2:2" x14ac:dyDescent="0.2">
      <c r="B891" s="167"/>
    </row>
    <row r="892" spans="2:2" x14ac:dyDescent="0.2">
      <c r="B892" s="167"/>
    </row>
    <row r="893" spans="2:2" x14ac:dyDescent="0.2">
      <c r="B893" s="167"/>
    </row>
    <row r="894" spans="2:2" x14ac:dyDescent="0.2">
      <c r="B894" s="167"/>
    </row>
    <row r="895" spans="2:2" x14ac:dyDescent="0.2">
      <c r="B895" s="167"/>
    </row>
    <row r="896" spans="2:2" x14ac:dyDescent="0.2">
      <c r="B896" s="167"/>
    </row>
    <row r="897" spans="2:2" x14ac:dyDescent="0.2">
      <c r="B897" s="167"/>
    </row>
    <row r="898" spans="2:2" x14ac:dyDescent="0.2">
      <c r="B898" s="167"/>
    </row>
    <row r="899" spans="2:2" x14ac:dyDescent="0.2">
      <c r="B899" s="167"/>
    </row>
    <row r="900" spans="2:2" x14ac:dyDescent="0.2">
      <c r="B900" s="167"/>
    </row>
    <row r="901" spans="2:2" x14ac:dyDescent="0.2">
      <c r="B901" s="167"/>
    </row>
    <row r="902" spans="2:2" x14ac:dyDescent="0.2">
      <c r="B902" s="167"/>
    </row>
    <row r="903" spans="2:2" x14ac:dyDescent="0.2">
      <c r="B903" s="167"/>
    </row>
    <row r="904" spans="2:2" x14ac:dyDescent="0.2">
      <c r="B904" s="167"/>
    </row>
    <row r="905" spans="2:2" x14ac:dyDescent="0.2">
      <c r="B905" s="167"/>
    </row>
    <row r="906" spans="2:2" x14ac:dyDescent="0.2">
      <c r="B906" s="167"/>
    </row>
    <row r="907" spans="2:2" x14ac:dyDescent="0.2">
      <c r="B907" s="167"/>
    </row>
    <row r="908" spans="2:2" x14ac:dyDescent="0.2">
      <c r="B908" s="167"/>
    </row>
    <row r="909" spans="2:2" x14ac:dyDescent="0.2">
      <c r="B909" s="167"/>
    </row>
    <row r="910" spans="2:2" x14ac:dyDescent="0.2">
      <c r="B910" s="167"/>
    </row>
    <row r="911" spans="2:2" x14ac:dyDescent="0.2">
      <c r="B911" s="167"/>
    </row>
    <row r="912" spans="2:2" x14ac:dyDescent="0.2">
      <c r="B912" s="167"/>
    </row>
    <row r="913" spans="2:2" x14ac:dyDescent="0.2">
      <c r="B913" s="167"/>
    </row>
    <row r="914" spans="2:2" x14ac:dyDescent="0.2">
      <c r="B914" s="167"/>
    </row>
    <row r="915" spans="2:2" x14ac:dyDescent="0.2">
      <c r="B915" s="167"/>
    </row>
    <row r="916" spans="2:2" x14ac:dyDescent="0.2">
      <c r="B916" s="167"/>
    </row>
    <row r="917" spans="2:2" x14ac:dyDescent="0.2">
      <c r="B917" s="167"/>
    </row>
    <row r="918" spans="2:2" x14ac:dyDescent="0.2">
      <c r="B918" s="167"/>
    </row>
    <row r="919" spans="2:2" x14ac:dyDescent="0.2">
      <c r="B919" s="167"/>
    </row>
    <row r="920" spans="2:2" x14ac:dyDescent="0.2">
      <c r="B920" s="167"/>
    </row>
    <row r="921" spans="2:2" x14ac:dyDescent="0.2">
      <c r="B921" s="167"/>
    </row>
    <row r="922" spans="2:2" x14ac:dyDescent="0.2">
      <c r="B922" s="167"/>
    </row>
    <row r="923" spans="2:2" x14ac:dyDescent="0.2">
      <c r="B923" s="167"/>
    </row>
    <row r="924" spans="2:2" x14ac:dyDescent="0.2">
      <c r="B924" s="167"/>
    </row>
    <row r="925" spans="2:2" x14ac:dyDescent="0.2">
      <c r="B925" s="167"/>
    </row>
    <row r="926" spans="2:2" x14ac:dyDescent="0.2">
      <c r="B926" s="167"/>
    </row>
    <row r="927" spans="2:2" x14ac:dyDescent="0.2">
      <c r="B927" s="167"/>
    </row>
    <row r="928" spans="2:2" x14ac:dyDescent="0.2">
      <c r="B928" s="167"/>
    </row>
    <row r="929" spans="2:2" x14ac:dyDescent="0.2">
      <c r="B929" s="167"/>
    </row>
    <row r="930" spans="2:2" x14ac:dyDescent="0.2">
      <c r="B930" s="167"/>
    </row>
    <row r="931" spans="2:2" x14ac:dyDescent="0.2">
      <c r="B931" s="167"/>
    </row>
    <row r="932" spans="2:2" x14ac:dyDescent="0.2">
      <c r="B932" s="167"/>
    </row>
    <row r="933" spans="2:2" x14ac:dyDescent="0.2">
      <c r="B933" s="167"/>
    </row>
    <row r="934" spans="2:2" x14ac:dyDescent="0.2">
      <c r="B934" s="167"/>
    </row>
    <row r="935" spans="2:2" x14ac:dyDescent="0.2">
      <c r="B935" s="167"/>
    </row>
    <row r="936" spans="2:2" x14ac:dyDescent="0.2">
      <c r="B936" s="167"/>
    </row>
    <row r="937" spans="2:2" x14ac:dyDescent="0.2">
      <c r="B937" s="167"/>
    </row>
    <row r="938" spans="2:2" x14ac:dyDescent="0.2">
      <c r="B938" s="167"/>
    </row>
    <row r="939" spans="2:2" x14ac:dyDescent="0.2">
      <c r="B939" s="167"/>
    </row>
    <row r="940" spans="2:2" x14ac:dyDescent="0.2">
      <c r="B940" s="167"/>
    </row>
  </sheetData>
  <sortState xmlns:xlrd2="http://schemas.microsoft.com/office/spreadsheetml/2017/richdata2" ref="A2:D121">
    <sortCondition ref="A2:A121"/>
  </sortState>
  <pageMargins left="0.511811024" right="0.511811024" top="0.78740157499999996" bottom="0.78740157499999996" header="0" footer="0"/>
  <pageSetup orientation="landscape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B50A-34A9-47AF-86A5-FA653415496E}">
  <sheetPr>
    <tabColor rgb="FFC00000"/>
    <outlinePr summaryBelow="0" summaryRight="0"/>
  </sheetPr>
  <dimension ref="A1:D361"/>
  <sheetViews>
    <sheetView topLeftCell="A320" workbookViewId="0">
      <selection activeCell="C361" sqref="C361"/>
    </sheetView>
  </sheetViews>
  <sheetFormatPr baseColWidth="10" defaultColWidth="14.5" defaultRowHeight="15" customHeight="1" x14ac:dyDescent="0.2"/>
  <cols>
    <col min="1" max="1" width="12.1640625" style="166" bestFit="1" customWidth="1"/>
    <col min="2" max="2" width="9.83203125" style="166" customWidth="1"/>
    <col min="3" max="16384" width="14.5" style="29"/>
  </cols>
  <sheetData>
    <row r="1" spans="1:4" ht="15" customHeight="1" x14ac:dyDescent="0.2">
      <c r="A1" s="156" t="s">
        <v>639</v>
      </c>
      <c r="B1" s="156" t="s">
        <v>572</v>
      </c>
      <c r="C1" s="538" t="s">
        <v>597</v>
      </c>
      <c r="D1" s="500" t="s">
        <v>524</v>
      </c>
    </row>
    <row r="2" spans="1:4" ht="15" customHeight="1" x14ac:dyDescent="0.2">
      <c r="A2" s="299">
        <f>'14. PRM'!A2</f>
        <v>33970</v>
      </c>
      <c r="B2" s="165">
        <f>'14. PRM'!D2</f>
        <v>3.8557757228826484E-3</v>
      </c>
      <c r="C2" s="539">
        <f>'14. PRM'!C2</f>
        <v>6.9533333333333336E-2</v>
      </c>
    </row>
    <row r="3" spans="1:4" ht="15" customHeight="1" x14ac:dyDescent="0.2">
      <c r="A3" s="299">
        <f>'14. PRM'!A3</f>
        <v>34001</v>
      </c>
      <c r="B3" s="165">
        <f>'14. PRM'!D3</f>
        <v>5.8397140780228618E-3</v>
      </c>
      <c r="C3" s="539">
        <f>'14. PRM'!C3</f>
        <v>6.8500000000000005E-2</v>
      </c>
    </row>
    <row r="4" spans="1:4" ht="15" customHeight="1" x14ac:dyDescent="0.2">
      <c r="A4" s="299">
        <f>'14. PRM'!A4</f>
        <v>34029</v>
      </c>
      <c r="B4" s="165">
        <f>'14. PRM'!D4</f>
        <v>5.1611909096914252E-2</v>
      </c>
      <c r="C4" s="539">
        <f>'14. PRM'!C4</f>
        <v>6.7241666666666658E-2</v>
      </c>
    </row>
    <row r="5" spans="1:4" ht="15" customHeight="1" x14ac:dyDescent="0.2">
      <c r="A5" s="299">
        <f>'14. PRM'!A5</f>
        <v>34060</v>
      </c>
      <c r="B5" s="165">
        <f>'14. PRM'!D5</f>
        <v>-5.1150610515323519E-3</v>
      </c>
      <c r="C5" s="539">
        <f>'14. PRM'!C5</f>
        <v>6.5941666666666662E-2</v>
      </c>
    </row>
    <row r="6" spans="1:4" ht="15" customHeight="1" x14ac:dyDescent="0.2">
      <c r="A6" s="299">
        <f>'14. PRM'!A6</f>
        <v>34090</v>
      </c>
      <c r="B6" s="165">
        <f>'14. PRM'!D6</f>
        <v>1.8914397496087657E-2</v>
      </c>
      <c r="C6" s="539">
        <f>'14. PRM'!C6</f>
        <v>6.4966666666666659E-2</v>
      </c>
    </row>
    <row r="7" spans="1:4" ht="15" customHeight="1" x14ac:dyDescent="0.2">
      <c r="A7" s="299">
        <f>'14. PRM'!A7</f>
        <v>34121</v>
      </c>
      <c r="B7" s="165">
        <f>'14. PRM'!D7</f>
        <v>4.0011420100945785E-2</v>
      </c>
      <c r="C7" s="539">
        <f>'14. PRM'!C7</f>
        <v>6.3850000000000004E-2</v>
      </c>
    </row>
    <row r="8" spans="1:4" ht="15" customHeight="1" x14ac:dyDescent="0.2">
      <c r="A8" s="299">
        <f>'14. PRM'!A8</f>
        <v>34151</v>
      </c>
      <c r="B8" s="165">
        <f>'14. PRM'!D8</f>
        <v>-6.7211665998758718E-3</v>
      </c>
      <c r="C8" s="539">
        <f>'14. PRM'!C8</f>
        <v>6.3108333333333322E-2</v>
      </c>
    </row>
    <row r="9" spans="1:4" ht="15" customHeight="1" x14ac:dyDescent="0.2">
      <c r="A9" s="299">
        <f>'14. PRM'!A9</f>
        <v>34182</v>
      </c>
      <c r="B9" s="165">
        <f>'14. PRM'!D9</f>
        <v>5.7495679057073125E-2</v>
      </c>
      <c r="C9" s="539">
        <f>'14. PRM'!C9</f>
        <v>6.2133333333333339E-2</v>
      </c>
    </row>
    <row r="10" spans="1:4" ht="15" customHeight="1" x14ac:dyDescent="0.2">
      <c r="A10" s="299">
        <f>'14. PRM'!A10</f>
        <v>34213</v>
      </c>
      <c r="B10" s="165">
        <f>'14. PRM'!D10</f>
        <v>3.7119231689803758E-2</v>
      </c>
      <c r="C10" s="539">
        <f>'14. PRM'!C10</f>
        <v>6.1325000000000005E-2</v>
      </c>
    </row>
    <row r="11" spans="1:4" ht="15" customHeight="1" x14ac:dyDescent="0.2">
      <c r="A11" s="299">
        <f>'14. PRM'!A11</f>
        <v>34243</v>
      </c>
      <c r="B11" s="165">
        <f>'14. PRM'!D11</f>
        <v>5.7244424859080781E-2</v>
      </c>
      <c r="C11" s="539">
        <f>'14. PRM'!C11</f>
        <v>6.0148333333333345E-2</v>
      </c>
    </row>
    <row r="12" spans="1:4" ht="15" customHeight="1" x14ac:dyDescent="0.2">
      <c r="A12" s="299">
        <f>'14. PRM'!A12</f>
        <v>34274</v>
      </c>
      <c r="B12" s="165">
        <f>'14. PRM'!D12</f>
        <v>1.1383310053707234E-2</v>
      </c>
      <c r="C12" s="539">
        <f>'14. PRM'!C12</f>
        <v>5.9185833333333333E-2</v>
      </c>
    </row>
    <row r="13" spans="1:4" ht="15" customHeight="1" x14ac:dyDescent="0.2">
      <c r="A13" s="299">
        <f>'14. PRM'!A13</f>
        <v>34304</v>
      </c>
      <c r="B13" s="165">
        <f>'14. PRM'!D13</f>
        <v>1.2129846954778742E-2</v>
      </c>
      <c r="C13" s="539">
        <f>'14. PRM'!C13</f>
        <v>5.8421666666666663E-2</v>
      </c>
    </row>
    <row r="14" spans="1:4" ht="15" customHeight="1" x14ac:dyDescent="0.2">
      <c r="A14" s="299">
        <f>'14. PRM'!A14</f>
        <v>34335</v>
      </c>
      <c r="B14" s="165">
        <f>'14. PRM'!D14</f>
        <v>3.9816559323579123E-2</v>
      </c>
      <c r="C14" s="539">
        <f>'14. PRM'!C14</f>
        <v>5.7794999999999999E-2</v>
      </c>
    </row>
    <row r="15" spans="1:4" ht="15" customHeight="1" x14ac:dyDescent="0.2">
      <c r="A15" s="299">
        <f>'14. PRM'!A15</f>
        <v>34366</v>
      </c>
      <c r="B15" s="165">
        <f>'14. PRM'!D15</f>
        <v>-4.3066559159185835E-3</v>
      </c>
      <c r="C15" s="539">
        <f>'14. PRM'!C15</f>
        <v>5.7895000000000002E-2</v>
      </c>
    </row>
    <row r="16" spans="1:4" ht="15" customHeight="1" x14ac:dyDescent="0.2">
      <c r="A16" s="299">
        <f>'14. PRM'!A16</f>
        <v>34394</v>
      </c>
      <c r="B16" s="165">
        <f>'14. PRM'!D16</f>
        <v>-7.1577634224101711E-2</v>
      </c>
      <c r="C16" s="539">
        <f>'14. PRM'!C16</f>
        <v>5.8515000000000005E-2</v>
      </c>
    </row>
    <row r="17" spans="1:3" ht="15" customHeight="1" x14ac:dyDescent="0.2">
      <c r="A17" s="299">
        <f>'14. PRM'!A17</f>
        <v>34425</v>
      </c>
      <c r="B17" s="165">
        <f>'14. PRM'!D17</f>
        <v>-3.4982713089802123E-2</v>
      </c>
      <c r="C17" s="539">
        <f>'14. PRM'!C17</f>
        <v>5.9335833333333324E-2</v>
      </c>
    </row>
    <row r="18" spans="1:3" ht="15" customHeight="1" x14ac:dyDescent="0.2">
      <c r="A18" s="299">
        <f>'14. PRM'!A18</f>
        <v>34455</v>
      </c>
      <c r="B18" s="165">
        <f>'14. PRM'!D18</f>
        <v>-4.614619577289579E-2</v>
      </c>
      <c r="C18" s="539">
        <f>'14. PRM'!C18</f>
        <v>6.0162499999999994E-2</v>
      </c>
    </row>
    <row r="19" spans="1:3" ht="15" customHeight="1" x14ac:dyDescent="0.2">
      <c r="A19" s="299">
        <f>'14. PRM'!A19</f>
        <v>34486</v>
      </c>
      <c r="B19" s="165">
        <f>'14. PRM'!D19</f>
        <v>-7.5331412854489813E-2</v>
      </c>
      <c r="C19" s="539">
        <f>'14. PRM'!C19</f>
        <v>6.1436666666666653E-2</v>
      </c>
    </row>
    <row r="20" spans="1:3" ht="15" customHeight="1" x14ac:dyDescent="0.2">
      <c r="A20" s="299">
        <f>'14. PRM'!A20</f>
        <v>34516</v>
      </c>
      <c r="B20" s="165">
        <f>'14. PRM'!D20</f>
        <v>-3.988578569090822E-2</v>
      </c>
      <c r="C20" s="539">
        <f>'14. PRM'!C20</f>
        <v>6.2490833333333322E-2</v>
      </c>
    </row>
    <row r="21" spans="1:3" ht="15" customHeight="1" x14ac:dyDescent="0.2">
      <c r="A21" s="299">
        <f>'14. PRM'!A21</f>
        <v>34547</v>
      </c>
      <c r="B21" s="165">
        <f>'14. PRM'!D21</f>
        <v>-3.8184388644404238E-2</v>
      </c>
      <c r="C21" s="539">
        <f>'14. PRM'!C21</f>
        <v>6.3920000000000005E-2</v>
      </c>
    </row>
    <row r="22" spans="1:3" ht="15" customHeight="1" x14ac:dyDescent="0.2">
      <c r="A22" s="299">
        <f>'14. PRM'!A22</f>
        <v>34578</v>
      </c>
      <c r="B22" s="165">
        <f>'14. PRM'!D22</f>
        <v>-5.7515949763580571E-2</v>
      </c>
      <c r="C22" s="539">
        <f>'14. PRM'!C22</f>
        <v>6.5752500000000019E-2</v>
      </c>
    </row>
    <row r="23" spans="1:3" ht="15" customHeight="1" x14ac:dyDescent="0.2">
      <c r="A23" s="299">
        <f>'14. PRM'!A23</f>
        <v>34608</v>
      </c>
      <c r="B23" s="165">
        <f>'14. PRM'!D23</f>
        <v>-5.8095037442375638E-2</v>
      </c>
      <c r="C23" s="539">
        <f>'14. PRM'!C23</f>
        <v>6.7756666666666673E-2</v>
      </c>
    </row>
    <row r="24" spans="1:3" ht="15" customHeight="1" x14ac:dyDescent="0.2">
      <c r="A24" s="299">
        <f>'14. PRM'!A24</f>
        <v>34639</v>
      </c>
      <c r="B24" s="165">
        <f>'14. PRM'!D24</f>
        <v>-8.7041273793282747E-2</v>
      </c>
      <c r="C24" s="539">
        <f>'14. PRM'!C24</f>
        <v>6.9500833333333345E-2</v>
      </c>
    </row>
    <row r="25" spans="1:3" ht="15" customHeight="1" x14ac:dyDescent="0.2">
      <c r="A25" s="299">
        <f>'14. PRM'!A25</f>
        <v>34669</v>
      </c>
      <c r="B25" s="165">
        <f>'14. PRM'!D25</f>
        <v>-8.6597027637831892E-2</v>
      </c>
      <c r="C25" s="539">
        <f>'14. PRM'!C25</f>
        <v>7.1204166666666679E-2</v>
      </c>
    </row>
    <row r="26" spans="1:3" ht="15" customHeight="1" x14ac:dyDescent="0.2">
      <c r="A26" s="299">
        <f>'14. PRM'!A26</f>
        <v>34700</v>
      </c>
      <c r="B26" s="165">
        <f>'14. PRM'!D26</f>
        <v>-9.6067900721884245E-2</v>
      </c>
      <c r="C26" s="539">
        <f>'14. PRM'!C26</f>
        <v>7.2833333333333347E-2</v>
      </c>
    </row>
    <row r="27" spans="1:3" ht="15" customHeight="1" x14ac:dyDescent="0.2">
      <c r="A27" s="299">
        <f>'14. PRM'!A27</f>
        <v>34731</v>
      </c>
      <c r="B27" s="165">
        <f>'14. PRM'!D27</f>
        <v>-3.0367777682636113E-2</v>
      </c>
      <c r="C27" s="539">
        <f>'14. PRM'!C27</f>
        <v>7.3716666666666666E-2</v>
      </c>
    </row>
    <row r="28" spans="1:3" ht="15" customHeight="1" x14ac:dyDescent="0.2">
      <c r="A28" s="299">
        <f>'14. PRM'!A28</f>
        <v>34759</v>
      </c>
      <c r="B28" s="165">
        <f>'14. PRM'!D28</f>
        <v>4.9184914585997191E-2</v>
      </c>
      <c r="C28" s="539">
        <f>'14. PRM'!C28</f>
        <v>7.4062500000000003E-2</v>
      </c>
    </row>
    <row r="29" spans="1:3" ht="15" customHeight="1" x14ac:dyDescent="0.2">
      <c r="A29" s="299">
        <f>'14. PRM'!A29</f>
        <v>34790</v>
      </c>
      <c r="B29" s="165">
        <f>'14. PRM'!D29</f>
        <v>6.7419983551780444E-2</v>
      </c>
      <c r="C29" s="539">
        <f>'14. PRM'!C29</f>
        <v>7.4071666666666675E-2</v>
      </c>
    </row>
    <row r="30" spans="1:3" ht="15" customHeight="1" x14ac:dyDescent="0.2">
      <c r="A30" s="299">
        <f>'14. PRM'!A30</f>
        <v>34820</v>
      </c>
      <c r="B30" s="165">
        <f>'14. PRM'!D30</f>
        <v>9.5105640744797243E-2</v>
      </c>
      <c r="C30" s="539">
        <f>'14. PRM'!C30</f>
        <v>7.3349999999999999E-2</v>
      </c>
    </row>
    <row r="31" spans="1:3" ht="15" customHeight="1" x14ac:dyDescent="0.2">
      <c r="A31" s="299">
        <f>'14. PRM'!A31</f>
        <v>34851</v>
      </c>
      <c r="B31" s="165">
        <f>'14. PRM'!D31</f>
        <v>0.15375710457604605</v>
      </c>
      <c r="C31" s="539">
        <f>'14. PRM'!C31</f>
        <v>7.241166666666668E-2</v>
      </c>
    </row>
    <row r="32" spans="1:3" ht="15" customHeight="1" x14ac:dyDescent="0.2">
      <c r="A32" s="299">
        <f>'14. PRM'!A32</f>
        <v>34881</v>
      </c>
      <c r="B32" s="165">
        <f>'14. PRM'!D32</f>
        <v>0.15465230204105374</v>
      </c>
      <c r="C32" s="539">
        <f>'14. PRM'!C32</f>
        <v>7.1856666666666666E-2</v>
      </c>
    </row>
    <row r="33" spans="1:3" ht="15" customHeight="1" x14ac:dyDescent="0.2">
      <c r="A33" s="299">
        <f>'14. PRM'!A33</f>
        <v>34912</v>
      </c>
      <c r="B33" s="165">
        <f>'14. PRM'!D33</f>
        <v>0.11057292715584624</v>
      </c>
      <c r="C33" s="539">
        <f>'14. PRM'!C33</f>
        <v>7.1113333333333334E-2</v>
      </c>
    </row>
    <row r="34" spans="1:3" ht="15" customHeight="1" x14ac:dyDescent="0.2">
      <c r="A34" s="299">
        <f>'14. PRM'!A34</f>
        <v>34943</v>
      </c>
      <c r="B34" s="165">
        <f>'14. PRM'!D34</f>
        <v>0.19310404511825258</v>
      </c>
      <c r="C34" s="539">
        <f>'14. PRM'!C34</f>
        <v>6.991166666666665E-2</v>
      </c>
    </row>
    <row r="35" spans="1:3" ht="15" customHeight="1" x14ac:dyDescent="0.2">
      <c r="A35" s="299">
        <f>'14. PRM'!A35</f>
        <v>34973</v>
      </c>
      <c r="B35" s="165">
        <f>'14. PRM'!D35</f>
        <v>0.16265864930665813</v>
      </c>
      <c r="C35" s="539">
        <f>'14. PRM'!C35</f>
        <v>6.8419999999999995E-2</v>
      </c>
    </row>
    <row r="36" spans="1:3" ht="15" customHeight="1" x14ac:dyDescent="0.2">
      <c r="A36" s="299">
        <f>'14. PRM'!A36</f>
        <v>35004</v>
      </c>
      <c r="B36" s="165">
        <f>'14. PRM'!D36</f>
        <v>0.26769103335978317</v>
      </c>
      <c r="C36" s="539">
        <f>'14. PRM'!C36</f>
        <v>6.6634166666666675E-2</v>
      </c>
    </row>
    <row r="37" spans="1:3" ht="15" customHeight="1" x14ac:dyDescent="0.2">
      <c r="A37" s="299">
        <f>'14. PRM'!A37</f>
        <v>35034</v>
      </c>
      <c r="B37" s="165">
        <f>'14. PRM'!D37</f>
        <v>0.27634903863740279</v>
      </c>
      <c r="C37" s="539">
        <f>'14. PRM'!C37</f>
        <v>6.4757500000000009E-2</v>
      </c>
    </row>
    <row r="38" spans="1:3" ht="15" customHeight="1" x14ac:dyDescent="0.2">
      <c r="A38" s="299">
        <f>'14. PRM'!A38</f>
        <v>35065</v>
      </c>
      <c r="B38" s="165">
        <f>'14. PRM'!D38</f>
        <v>0.28894501590777033</v>
      </c>
      <c r="C38" s="539">
        <f>'14. PRM'!C38</f>
        <v>6.308083333333335E-2</v>
      </c>
    </row>
    <row r="39" spans="1:3" ht="15" customHeight="1" x14ac:dyDescent="0.2">
      <c r="A39" s="299">
        <f>'14. PRM'!A39</f>
        <v>35096</v>
      </c>
      <c r="B39" s="165">
        <f>'14. PRM'!D39</f>
        <v>0.25183322286396254</v>
      </c>
      <c r="C39" s="539">
        <f>'14. PRM'!C39</f>
        <v>6.2165833333333323E-2</v>
      </c>
    </row>
    <row r="40" spans="1:3" ht="15" customHeight="1" x14ac:dyDescent="0.2">
      <c r="A40" s="299">
        <f>'14. PRM'!A40</f>
        <v>35125</v>
      </c>
      <c r="B40" s="165">
        <f>'14. PRM'!D40</f>
        <v>0.22771604614780341</v>
      </c>
      <c r="C40" s="539">
        <f>'14. PRM'!C40</f>
        <v>6.1453333333333332E-2</v>
      </c>
    </row>
    <row r="41" spans="1:3" ht="15" customHeight="1" x14ac:dyDescent="0.2">
      <c r="A41" s="299">
        <f>'14. PRM'!A41</f>
        <v>35156</v>
      </c>
      <c r="B41" s="165">
        <f>'14. PRM'!D41</f>
        <v>0.20983952288667396</v>
      </c>
      <c r="C41" s="539">
        <f>'14. PRM'!C41</f>
        <v>6.1109166666666673E-2</v>
      </c>
    </row>
    <row r="42" spans="1:3" ht="15" customHeight="1" x14ac:dyDescent="0.2">
      <c r="A42" s="299">
        <f>'14. PRM'!A42</f>
        <v>35186</v>
      </c>
      <c r="B42" s="165">
        <f>'14. PRM'!D42</f>
        <v>0.19286902793400823</v>
      </c>
      <c r="C42" s="539">
        <f>'14. PRM'!C42</f>
        <v>6.1574166666666666E-2</v>
      </c>
    </row>
    <row r="43" spans="1:3" ht="15" customHeight="1" x14ac:dyDescent="0.2">
      <c r="A43" s="299">
        <f>'14. PRM'!A43</f>
        <v>35217</v>
      </c>
      <c r="B43" s="165">
        <f>'14. PRM'!D43</f>
        <v>0.16908097636530509</v>
      </c>
      <c r="C43" s="539">
        <f>'14. PRM'!C43</f>
        <v>6.1997500000000011E-2</v>
      </c>
    </row>
    <row r="44" spans="1:3" ht="15" customHeight="1" x14ac:dyDescent="0.2">
      <c r="A44" s="299">
        <f>'14. PRM'!A44</f>
        <v>35247</v>
      </c>
      <c r="B44" s="165">
        <f>'14. PRM'!D44</f>
        <v>7.6281177750892715E-2</v>
      </c>
      <c r="C44" s="539">
        <f>'14. PRM'!C44</f>
        <v>6.2298333333333344E-2</v>
      </c>
    </row>
    <row r="45" spans="1:3" ht="15" customHeight="1" x14ac:dyDescent="0.2">
      <c r="A45" s="299">
        <f>'14. PRM'!A45</f>
        <v>35278</v>
      </c>
      <c r="B45" s="165">
        <f>'14. PRM'!D45</f>
        <v>9.7521488158800185E-2</v>
      </c>
      <c r="C45" s="539">
        <f>'14. PRM'!C45</f>
        <v>6.2850833333333356E-2</v>
      </c>
    </row>
    <row r="46" spans="1:3" ht="15" customHeight="1" x14ac:dyDescent="0.2">
      <c r="A46" s="299">
        <f>'14. PRM'!A46</f>
        <v>35309</v>
      </c>
      <c r="B46" s="165">
        <f>'14. PRM'!D46</f>
        <v>0.11280673837716675</v>
      </c>
      <c r="C46" s="539">
        <f>'14. PRM'!C46</f>
        <v>6.3302499999999998E-2</v>
      </c>
    </row>
    <row r="47" spans="1:3" ht="15" customHeight="1" x14ac:dyDescent="0.2">
      <c r="A47" s="299">
        <f>'14. PRM'!A47</f>
        <v>35339</v>
      </c>
      <c r="B47" s="165">
        <f>'14. PRM'!D47</f>
        <v>0.14925525437088</v>
      </c>
      <c r="C47" s="539">
        <f>'14. PRM'!C47</f>
        <v>6.3590833333333333E-2</v>
      </c>
    </row>
    <row r="48" spans="1:3" ht="15" customHeight="1" x14ac:dyDescent="0.2">
      <c r="A48" s="299">
        <f>'14. PRM'!A48</f>
        <v>35370</v>
      </c>
      <c r="B48" s="165">
        <f>'14. PRM'!D48</f>
        <v>0.18667128714670364</v>
      </c>
      <c r="C48" s="539">
        <f>'14. PRM'!C48</f>
        <v>6.383666666666668E-2</v>
      </c>
    </row>
    <row r="49" spans="1:3" ht="15" customHeight="1" x14ac:dyDescent="0.2">
      <c r="A49" s="299">
        <f>'14. PRM'!A49</f>
        <v>35400</v>
      </c>
      <c r="B49" s="165">
        <f>'14. PRM'!D49</f>
        <v>0.13810666325718832</v>
      </c>
      <c r="C49" s="539">
        <f>'14. PRM'!C49</f>
        <v>6.4530000000000004E-2</v>
      </c>
    </row>
    <row r="50" spans="1:3" ht="15" customHeight="1" x14ac:dyDescent="0.2">
      <c r="A50" s="299">
        <f>'14. PRM'!A50</f>
        <v>35431</v>
      </c>
      <c r="B50" s="165">
        <f>'14. PRM'!D50</f>
        <v>0.17076342573084691</v>
      </c>
      <c r="C50" s="539">
        <f>'14. PRM'!C50</f>
        <v>6.5298333333333333E-2</v>
      </c>
    </row>
    <row r="51" spans="1:3" ht="15" customHeight="1" x14ac:dyDescent="0.2">
      <c r="A51" s="299">
        <f>'14. PRM'!A51</f>
        <v>35462</v>
      </c>
      <c r="B51" s="165">
        <f>'14. PRM'!D51</f>
        <v>0.16917576754420216</v>
      </c>
      <c r="C51" s="539">
        <f>'14. PRM'!C51</f>
        <v>6.5650833333333325E-2</v>
      </c>
    </row>
    <row r="52" spans="1:3" ht="15" customHeight="1" x14ac:dyDescent="0.2">
      <c r="A52" s="299">
        <f>'14. PRM'!A52</f>
        <v>35490</v>
      </c>
      <c r="B52" s="165">
        <f>'14. PRM'!D52</f>
        <v>0.10679188355280146</v>
      </c>
      <c r="C52" s="539">
        <f>'14. PRM'!C52</f>
        <v>6.6128333333333331E-2</v>
      </c>
    </row>
    <row r="53" spans="1:3" ht="15" customHeight="1" x14ac:dyDescent="0.2">
      <c r="A53" s="299">
        <f>'14. PRM'!A53</f>
        <v>35521</v>
      </c>
      <c r="B53" s="165">
        <f>'14. PRM'!D53</f>
        <v>0.15878626871965001</v>
      </c>
      <c r="C53" s="539">
        <f>'14. PRM'!C53</f>
        <v>6.6185833333333333E-2</v>
      </c>
    </row>
    <row r="54" spans="1:3" ht="15" customHeight="1" x14ac:dyDescent="0.2">
      <c r="A54" s="299">
        <f>'14. PRM'!A54</f>
        <v>35551</v>
      </c>
      <c r="B54" s="165">
        <f>'14. PRM'!D54</f>
        <v>0.20171966284074611</v>
      </c>
      <c r="C54" s="539">
        <f>'14. PRM'!C54</f>
        <v>6.6034999999999996E-2</v>
      </c>
    </row>
    <row r="55" spans="1:3" ht="15" customHeight="1" x14ac:dyDescent="0.2">
      <c r="A55" s="299">
        <f>'14. PRM'!A55</f>
        <v>35582</v>
      </c>
      <c r="B55" s="165">
        <f>'14. PRM'!D55</f>
        <v>0.25400257868223414</v>
      </c>
      <c r="C55" s="539">
        <f>'14. PRM'!C55</f>
        <v>6.5860833333333313E-2</v>
      </c>
    </row>
    <row r="56" spans="1:3" ht="15" customHeight="1" x14ac:dyDescent="0.2">
      <c r="A56" s="299">
        <f>'14. PRM'!A56</f>
        <v>35612</v>
      </c>
      <c r="B56" s="165">
        <f>'14. PRM'!D56</f>
        <v>0.42602004368830892</v>
      </c>
      <c r="C56" s="539">
        <f>'14. PRM'!C56</f>
        <v>6.5205833333333324E-2</v>
      </c>
    </row>
    <row r="57" spans="1:3" ht="15" customHeight="1" x14ac:dyDescent="0.2">
      <c r="A57" s="299">
        <f>'14. PRM'!A57</f>
        <v>35643</v>
      </c>
      <c r="B57" s="165">
        <f>'14. PRM'!D57</f>
        <v>0.31487554053743161</v>
      </c>
      <c r="C57" s="539">
        <f>'14. PRM'!C57</f>
        <v>6.4700833333333319E-2</v>
      </c>
    </row>
    <row r="58" spans="1:3" ht="15" customHeight="1" x14ac:dyDescent="0.2">
      <c r="A58" s="299">
        <f>'14. PRM'!A58</f>
        <v>35674</v>
      </c>
      <c r="B58" s="165">
        <f>'14. PRM'!D58</f>
        <v>0.31399511009995185</v>
      </c>
      <c r="C58" s="539">
        <f>'14. PRM'!C58</f>
        <v>6.4207499999999987E-2</v>
      </c>
    </row>
    <row r="59" spans="1:3" ht="15" customHeight="1" x14ac:dyDescent="0.2">
      <c r="A59" s="299">
        <f>'14. PRM'!A59</f>
        <v>35704</v>
      </c>
      <c r="B59" s="165">
        <f>'14. PRM'!D59</f>
        <v>0.23307083914670976</v>
      </c>
      <c r="C59" s="539">
        <f>'14. PRM'!C59</f>
        <v>6.3765833333333327E-2</v>
      </c>
    </row>
    <row r="60" spans="1:3" ht="15" customHeight="1" x14ac:dyDescent="0.2">
      <c r="A60" s="299">
        <f>'14. PRM'!A60</f>
        <v>35735</v>
      </c>
      <c r="B60" s="165">
        <f>'14. PRM'!D60</f>
        <v>0.19844550936567068</v>
      </c>
      <c r="C60" s="539">
        <f>'14. PRM'!C60</f>
        <v>6.3608333333333322E-2</v>
      </c>
    </row>
    <row r="61" spans="1:3" ht="15" customHeight="1" x14ac:dyDescent="0.2">
      <c r="A61" s="299">
        <f>'14. PRM'!A61</f>
        <v>35765</v>
      </c>
      <c r="B61" s="165">
        <f>'14. PRM'!D61</f>
        <v>0.24703014341514323</v>
      </c>
      <c r="C61" s="539">
        <f>'14. PRM'!C61</f>
        <v>6.3051666666666673E-2</v>
      </c>
    </row>
    <row r="62" spans="1:3" ht="15" customHeight="1" x14ac:dyDescent="0.2">
      <c r="A62" s="299">
        <f>'14. PRM'!A62</f>
        <v>35796</v>
      </c>
      <c r="B62" s="165">
        <f>'14. PRM'!D62</f>
        <v>0.18469591287608977</v>
      </c>
      <c r="C62" s="539">
        <f>'14. PRM'!C62</f>
        <v>6.2225833333333327E-2</v>
      </c>
    </row>
    <row r="63" spans="1:3" ht="15" customHeight="1" x14ac:dyDescent="0.2">
      <c r="A63" s="299">
        <f>'14. PRM'!A63</f>
        <v>35827</v>
      </c>
      <c r="B63" s="165">
        <f>'14. PRM'!D63</f>
        <v>0.26544119116866011</v>
      </c>
      <c r="C63" s="539">
        <f>'14. PRM'!C63</f>
        <v>6.1460000000000001E-2</v>
      </c>
    </row>
    <row r="64" spans="1:3" ht="15" customHeight="1" x14ac:dyDescent="0.2">
      <c r="A64" s="299">
        <f>'14. PRM'!A64</f>
        <v>35855</v>
      </c>
      <c r="B64" s="165">
        <f>'14. PRM'!D64</f>
        <v>0.39476293956043956</v>
      </c>
      <c r="C64" s="539">
        <f>'14. PRM'!C64</f>
        <v>6.0422500000000004E-2</v>
      </c>
    </row>
    <row r="65" spans="1:3" ht="15" customHeight="1" x14ac:dyDescent="0.2">
      <c r="A65" s="299">
        <f>'14. PRM'!A65</f>
        <v>35886</v>
      </c>
      <c r="B65" s="165">
        <f>'14. PRM'!D65</f>
        <v>0.32780366585968507</v>
      </c>
      <c r="C65" s="539">
        <f>'14. PRM'!C65</f>
        <v>5.9559999999999995E-2</v>
      </c>
    </row>
    <row r="66" spans="1:3" ht="15" customHeight="1" x14ac:dyDescent="0.2">
      <c r="A66" s="299">
        <f>'14. PRM'!A66</f>
        <v>35916</v>
      </c>
      <c r="B66" s="165">
        <f>'14. PRM'!D66</f>
        <v>0.22729057681425929</v>
      </c>
      <c r="C66" s="539">
        <f>'14. PRM'!C66</f>
        <v>5.862916666666667E-2</v>
      </c>
    </row>
    <row r="67" spans="1:3" ht="15" customHeight="1" x14ac:dyDescent="0.2">
      <c r="A67" s="299">
        <f>'14. PRM'!A67</f>
        <v>35947</v>
      </c>
      <c r="B67" s="165">
        <f>'14. PRM'!D67</f>
        <v>0.22323333485851585</v>
      </c>
      <c r="C67" s="539">
        <f>'14. PRM'!C67</f>
        <v>5.7739166666666654E-2</v>
      </c>
    </row>
    <row r="68" spans="1:3" ht="15" customHeight="1" x14ac:dyDescent="0.2">
      <c r="A68" s="299">
        <f>'14. PRM'!A68</f>
        <v>35977</v>
      </c>
      <c r="B68" s="165">
        <f>'14. PRM'!D68</f>
        <v>0.11701073823844811</v>
      </c>
      <c r="C68" s="539">
        <f>'14. PRM'!C68</f>
        <v>5.7314166666666652E-2</v>
      </c>
    </row>
    <row r="69" spans="1:3" ht="15" customHeight="1" x14ac:dyDescent="0.2">
      <c r="A69" s="299">
        <f>'14. PRM'!A69</f>
        <v>36008</v>
      </c>
      <c r="B69" s="165">
        <f>'14. PRM'!D69</f>
        <v>8.038681918240663E-3</v>
      </c>
      <c r="C69" s="539">
        <f>'14. PRM'!C69</f>
        <v>5.6232499999999998E-2</v>
      </c>
    </row>
    <row r="70" spans="1:3" ht="15" customHeight="1" x14ac:dyDescent="0.2">
      <c r="A70" s="299">
        <f>'14. PRM'!A70</f>
        <v>36039</v>
      </c>
      <c r="B70" s="165">
        <f>'14. PRM'!D70</f>
        <v>1.879242589308347E-2</v>
      </c>
      <c r="C70" s="539">
        <f>'14. PRM'!C70</f>
        <v>5.481833333333333E-2</v>
      </c>
    </row>
    <row r="71" spans="1:3" ht="15" customHeight="1" x14ac:dyDescent="0.2">
      <c r="A71" s="299">
        <f>'14. PRM'!A71</f>
        <v>36069</v>
      </c>
      <c r="B71" s="165">
        <f>'14. PRM'!D71</f>
        <v>0.14742611237453807</v>
      </c>
      <c r="C71" s="539">
        <f>'14. PRM'!C71</f>
        <v>5.3804999999999985E-2</v>
      </c>
    </row>
    <row r="72" spans="1:3" ht="15" customHeight="1" x14ac:dyDescent="0.2">
      <c r="A72" s="299">
        <f>'14. PRM'!A72</f>
        <v>36100</v>
      </c>
      <c r="B72" s="165">
        <f>'14. PRM'!D72</f>
        <v>0.16508309660875048</v>
      </c>
      <c r="C72" s="539">
        <f>'14. PRM'!C72</f>
        <v>5.2867499999999998E-2</v>
      </c>
    </row>
    <row r="73" spans="1:3" ht="15" customHeight="1" x14ac:dyDescent="0.2">
      <c r="A73" s="299">
        <f>'14. PRM'!A73</f>
        <v>36130</v>
      </c>
      <c r="B73" s="165">
        <f>'14. PRM'!D73</f>
        <v>0.21473590212586185</v>
      </c>
      <c r="C73" s="539">
        <f>'14. PRM'!C73</f>
        <v>5.1949999999999996E-2</v>
      </c>
    </row>
    <row r="74" spans="1:3" ht="15" customHeight="1" x14ac:dyDescent="0.2">
      <c r="A74" s="299">
        <f>'14. PRM'!A74</f>
        <v>36161</v>
      </c>
      <c r="B74" s="165">
        <f>'14. PRM'!D74</f>
        <v>0.25414796904965936</v>
      </c>
      <c r="C74" s="539">
        <f>'14. PRM'!C74</f>
        <v>5.1234166666666657E-2</v>
      </c>
    </row>
    <row r="75" spans="1:3" ht="15" customHeight="1" x14ac:dyDescent="0.2">
      <c r="A75" s="299">
        <f>'14. PRM'!A75</f>
        <v>36192</v>
      </c>
      <c r="B75" s="165">
        <f>'14. PRM'!D75</f>
        <v>0.12915618422055766</v>
      </c>
      <c r="C75" s="539">
        <f>'14. PRM'!C75</f>
        <v>5.0947500000000007E-2</v>
      </c>
    </row>
    <row r="76" spans="1:3" ht="15" customHeight="1" x14ac:dyDescent="0.2">
      <c r="A76" s="299">
        <f>'14. PRM'!A76</f>
        <v>36220</v>
      </c>
      <c r="B76" s="165">
        <f>'14. PRM'!D76</f>
        <v>0.1169789420240526</v>
      </c>
      <c r="C76" s="539">
        <f>'14. PRM'!C76</f>
        <v>5.0590833333333328E-2</v>
      </c>
    </row>
    <row r="77" spans="1:3" ht="15" customHeight="1" x14ac:dyDescent="0.2">
      <c r="A77" s="299">
        <f>'14. PRM'!A77</f>
        <v>36251</v>
      </c>
      <c r="B77" s="165">
        <f>'14. PRM'!D77</f>
        <v>0.15064477475451629</v>
      </c>
      <c r="C77" s="539">
        <f>'14. PRM'!C77</f>
        <v>5.0326666666666665E-2</v>
      </c>
    </row>
    <row r="78" spans="1:3" ht="15" customHeight="1" x14ac:dyDescent="0.2">
      <c r="A78" s="299">
        <f>'14. PRM'!A78</f>
        <v>36281</v>
      </c>
      <c r="B78" s="165">
        <f>'14. PRM'!D78</f>
        <v>0.14306996514854275</v>
      </c>
      <c r="C78" s="539">
        <f>'14. PRM'!C78</f>
        <v>5.0380833333333326E-2</v>
      </c>
    </row>
    <row r="79" spans="1:3" ht="15" customHeight="1" x14ac:dyDescent="0.2">
      <c r="A79" s="299">
        <f>'14. PRM'!A79</f>
        <v>36312</v>
      </c>
      <c r="B79" s="165">
        <f>'14. PRM'!D79</f>
        <v>0.15997929696135854</v>
      </c>
      <c r="C79" s="539">
        <f>'14. PRM'!C79</f>
        <v>5.0694166666666665E-2</v>
      </c>
    </row>
    <row r="80" spans="1:3" ht="15" customHeight="1" x14ac:dyDescent="0.2">
      <c r="A80" s="299">
        <f>'14. PRM'!A80</f>
        <v>36342</v>
      </c>
      <c r="B80" s="165">
        <f>'14. PRM'!D80</f>
        <v>0.1346095380293337</v>
      </c>
      <c r="C80" s="539">
        <f>'14. PRM'!C80</f>
        <v>5.1038333333333331E-2</v>
      </c>
    </row>
    <row r="81" spans="1:3" ht="15" customHeight="1" x14ac:dyDescent="0.2">
      <c r="A81" s="299">
        <f>'14. PRM'!A81</f>
        <v>36373</v>
      </c>
      <c r="B81" s="165">
        <f>'14. PRM'!D81</f>
        <v>0.32750769973257576</v>
      </c>
      <c r="C81" s="539">
        <f>'14. PRM'!C81</f>
        <v>5.1827499999999999E-2</v>
      </c>
    </row>
    <row r="82" spans="1:3" ht="15" customHeight="1" x14ac:dyDescent="0.2">
      <c r="A82" s="299">
        <f>'14. PRM'!A82</f>
        <v>36404</v>
      </c>
      <c r="B82" s="165">
        <f>'14. PRM'!D82</f>
        <v>0.20819936818058168</v>
      </c>
      <c r="C82" s="539">
        <f>'14. PRM'!C82</f>
        <v>5.3056666666666662E-2</v>
      </c>
    </row>
    <row r="83" spans="1:3" ht="15" customHeight="1" x14ac:dyDescent="0.2">
      <c r="A83" s="299">
        <f>'14. PRM'!A83</f>
        <v>36434</v>
      </c>
      <c r="B83" s="165">
        <f>'14. PRM'!D83</f>
        <v>0.18630384953322338</v>
      </c>
      <c r="C83" s="539">
        <f>'14. PRM'!C83</f>
        <v>5.4223333333333346E-2</v>
      </c>
    </row>
    <row r="84" spans="1:3" ht="15" customHeight="1" x14ac:dyDescent="0.2">
      <c r="A84" s="299">
        <f>'14. PRM'!A84</f>
        <v>36465</v>
      </c>
      <c r="B84" s="165">
        <f>'14. PRM'!D84</f>
        <v>0.13818022542245659</v>
      </c>
      <c r="C84" s="539">
        <f>'14. PRM'!C84</f>
        <v>5.5420833333333336E-2</v>
      </c>
    </row>
    <row r="85" spans="1:3" ht="15" customHeight="1" x14ac:dyDescent="0.2">
      <c r="A85" s="299">
        <f>'14. PRM'!A85</f>
        <v>36495</v>
      </c>
      <c r="B85" s="165">
        <f>'14. PRM'!D85</f>
        <v>0.13834211426394299</v>
      </c>
      <c r="C85" s="539">
        <f>'14. PRM'!C85</f>
        <v>5.6918333333333342E-2</v>
      </c>
    </row>
    <row r="86" spans="1:3" ht="15" customHeight="1" x14ac:dyDescent="0.2">
      <c r="A86" s="299">
        <f>'14. PRM'!A86</f>
        <v>36526</v>
      </c>
      <c r="B86" s="165">
        <f>'14. PRM'!D86</f>
        <v>3.113169443489313E-2</v>
      </c>
      <c r="C86" s="539">
        <f>'14. PRM'!C86</f>
        <v>5.8596666666666665E-2</v>
      </c>
    </row>
    <row r="87" spans="1:3" ht="15" customHeight="1" x14ac:dyDescent="0.2">
      <c r="A87" s="299">
        <f>'14. PRM'!A87</f>
        <v>36557</v>
      </c>
      <c r="B87" s="165">
        <f>'14. PRM'!D87</f>
        <v>4.3893527647449977E-2</v>
      </c>
      <c r="C87" s="539">
        <f>'14. PRM'!C87</f>
        <v>5.9544166666666669E-2</v>
      </c>
    </row>
    <row r="88" spans="1:3" ht="15" customHeight="1" x14ac:dyDescent="0.2">
      <c r="A88" s="299">
        <f>'14. PRM'!A88</f>
        <v>36586</v>
      </c>
      <c r="B88" s="165">
        <f>'14. PRM'!D88</f>
        <v>0.10476642183042209</v>
      </c>
      <c r="C88" s="539">
        <f>'14. PRM'!C88</f>
        <v>6.0201666666666674E-2</v>
      </c>
    </row>
    <row r="89" spans="1:3" ht="15" customHeight="1" x14ac:dyDescent="0.2">
      <c r="A89" s="299">
        <f>'14. PRM'!A89</f>
        <v>36617</v>
      </c>
      <c r="B89" s="165">
        <f>'14. PRM'!D89</f>
        <v>2.6894208346440164E-2</v>
      </c>
      <c r="C89" s="539">
        <f>'14. PRM'!C89</f>
        <v>6.0921666666666673E-2</v>
      </c>
    </row>
    <row r="90" spans="1:3" ht="15" customHeight="1" x14ac:dyDescent="0.2">
      <c r="A90" s="299">
        <f>'14. PRM'!A90</f>
        <v>36647</v>
      </c>
      <c r="B90" s="165">
        <f>'14. PRM'!D90</f>
        <v>2.9741394743849625E-2</v>
      </c>
      <c r="C90" s="539">
        <f>'14. PRM'!C90</f>
        <v>6.1483333333333334E-2</v>
      </c>
    </row>
    <row r="91" spans="1:3" ht="15" customHeight="1" x14ac:dyDescent="0.2">
      <c r="A91" s="299">
        <f>'14. PRM'!A91</f>
        <v>36678</v>
      </c>
      <c r="B91" s="165">
        <f>'14. PRM'!D91</f>
        <v>-2.000949144393277E-3</v>
      </c>
      <c r="C91" s="539">
        <f>'14. PRM'!C91</f>
        <v>6.1656666666666665E-2</v>
      </c>
    </row>
    <row r="92" spans="1:3" ht="15" customHeight="1" x14ac:dyDescent="0.2">
      <c r="A92" s="299">
        <f>'14. PRM'!A92</f>
        <v>36708</v>
      </c>
      <c r="B92" s="165">
        <f>'14. PRM'!D92</f>
        <v>1.5090062114917514E-2</v>
      </c>
      <c r="C92" s="539">
        <f>'14. PRM'!C92</f>
        <v>6.1758333333333325E-2</v>
      </c>
    </row>
    <row r="93" spans="1:3" ht="15" customHeight="1" x14ac:dyDescent="0.2">
      <c r="A93" s="299">
        <f>'14. PRM'!A93</f>
        <v>36739</v>
      </c>
      <c r="B93" s="165">
        <f>'14. PRM'!D93</f>
        <v>8.7850564976030165E-2</v>
      </c>
      <c r="C93" s="539">
        <f>'14. PRM'!C93</f>
        <v>6.1549999999999987E-2</v>
      </c>
    </row>
    <row r="94" spans="1:3" ht="15" customHeight="1" x14ac:dyDescent="0.2">
      <c r="A94" s="299">
        <f>'14. PRM'!A94</f>
        <v>36770</v>
      </c>
      <c r="B94" s="165">
        <f>'14. PRM'!D94</f>
        <v>5.8441560816552461E-2</v>
      </c>
      <c r="C94" s="539">
        <f>'14. PRM'!C94</f>
        <v>6.1460833333333333E-2</v>
      </c>
    </row>
    <row r="95" spans="1:3" ht="15" customHeight="1" x14ac:dyDescent="0.2">
      <c r="A95" s="299">
        <f>'14. PRM'!A95</f>
        <v>36800</v>
      </c>
      <c r="B95" s="165">
        <f>'14. PRM'!D95</f>
        <v>-1.2485903843190871E-2</v>
      </c>
      <c r="C95" s="539">
        <f>'14. PRM'!C95</f>
        <v>6.1255833333333343E-2</v>
      </c>
    </row>
    <row r="96" spans="1:3" ht="15" customHeight="1" x14ac:dyDescent="0.2">
      <c r="A96" s="299">
        <f>'14. PRM'!A96</f>
        <v>36831</v>
      </c>
      <c r="B96" s="165">
        <f>'14. PRM'!D96</f>
        <v>-0.113902890594063</v>
      </c>
      <c r="C96" s="539">
        <f>'14. PRM'!C96</f>
        <v>6.0652499999999991E-2</v>
      </c>
    </row>
    <row r="97" spans="1:3" ht="15" customHeight="1" x14ac:dyDescent="0.2">
      <c r="A97" s="299">
        <f>'14. PRM'!A97</f>
        <v>36861</v>
      </c>
      <c r="B97" s="165">
        <f>'14. PRM'!D97</f>
        <v>-0.16094019993193809</v>
      </c>
      <c r="C97" s="539">
        <f>'14. PRM'!C97</f>
        <v>5.9548333333333321E-2</v>
      </c>
    </row>
    <row r="98" spans="1:3" ht="15" customHeight="1" x14ac:dyDescent="0.2">
      <c r="A98" s="299">
        <f>'14. PRM'!A98</f>
        <v>36892</v>
      </c>
      <c r="B98" s="165">
        <f>'14. PRM'!D98</f>
        <v>-7.871049617773189E-2</v>
      </c>
      <c r="C98" s="539">
        <f>'14. PRM'!C98</f>
        <v>5.8308333333333337E-2</v>
      </c>
    </row>
    <row r="99" spans="1:3" ht="15" customHeight="1" x14ac:dyDescent="0.2">
      <c r="A99" s="299">
        <f>'14. PRM'!A99</f>
        <v>36923</v>
      </c>
      <c r="B99" s="165">
        <f>'14. PRM'!D99</f>
        <v>-0.14962054796475466</v>
      </c>
      <c r="C99" s="539">
        <f>'14. PRM'!C99</f>
        <v>5.705749999999999E-2</v>
      </c>
    </row>
    <row r="100" spans="1:3" ht="15" customHeight="1" x14ac:dyDescent="0.2">
      <c r="A100" s="299">
        <f>'14. PRM'!A100</f>
        <v>36951</v>
      </c>
      <c r="B100" s="165">
        <f>'14. PRM'!D100</f>
        <v>-0.28184784227958021</v>
      </c>
      <c r="C100" s="539">
        <f>'14. PRM'!C100</f>
        <v>5.6134166666666666E-2</v>
      </c>
    </row>
    <row r="101" spans="1:3" ht="15" customHeight="1" x14ac:dyDescent="0.2">
      <c r="A101" s="299">
        <f>'14. PRM'!A101</f>
        <v>36982</v>
      </c>
      <c r="B101" s="165">
        <f>'14. PRM'!D101</f>
        <v>-0.19514928347091884</v>
      </c>
      <c r="C101" s="539">
        <f>'14. PRM'!C101</f>
        <v>5.5404166666666664E-2</v>
      </c>
    </row>
    <row r="102" spans="1:3" ht="15" customHeight="1" x14ac:dyDescent="0.2">
      <c r="A102" s="299">
        <f>'14. PRM'!A102</f>
        <v>37012</v>
      </c>
      <c r="B102" s="165">
        <f>'14. PRM'!D102</f>
        <v>-0.17067074229198925</v>
      </c>
      <c r="C102" s="539">
        <f>'14. PRM'!C102</f>
        <v>5.4677499999999997E-2</v>
      </c>
    </row>
    <row r="103" spans="1:3" ht="15" customHeight="1" x14ac:dyDescent="0.2">
      <c r="A103" s="299">
        <f>'14. PRM'!A103</f>
        <v>37043</v>
      </c>
      <c r="B103" s="165">
        <f>'14. PRM'!D103</f>
        <v>-0.21242448152985921</v>
      </c>
      <c r="C103" s="539">
        <f>'14. PRM'!C103</f>
        <v>5.4154166666666663E-2</v>
      </c>
    </row>
    <row r="104" spans="1:3" ht="15" customHeight="1" x14ac:dyDescent="0.2">
      <c r="A104" s="299">
        <f>'14. PRM'!A104</f>
        <v>37073</v>
      </c>
      <c r="B104" s="165">
        <f>'14. PRM'!D104</f>
        <v>-0.20680485230600412</v>
      </c>
      <c r="C104" s="539">
        <f>'14. PRM'!C104</f>
        <v>5.33275E-2</v>
      </c>
    </row>
    <row r="105" spans="1:3" ht="15" customHeight="1" x14ac:dyDescent="0.2">
      <c r="A105" s="299">
        <f>'14. PRM'!A105</f>
        <v>37104</v>
      </c>
      <c r="B105" s="165">
        <f>'14. PRM'!D105</f>
        <v>-0.30565032066487452</v>
      </c>
      <c r="C105" s="539">
        <f>'14. PRM'!C105</f>
        <v>5.2566666666666671E-2</v>
      </c>
    </row>
    <row r="106" spans="1:3" ht="15" customHeight="1" x14ac:dyDescent="0.2">
      <c r="A106" s="299">
        <f>'14. PRM'!A106</f>
        <v>37135</v>
      </c>
      <c r="B106" s="165">
        <f>'14. PRM'!D106</f>
        <v>-0.32693294238002751</v>
      </c>
      <c r="C106" s="539">
        <f>'14. PRM'!C106</f>
        <v>5.1564166666666668E-2</v>
      </c>
    </row>
    <row r="107" spans="1:3" ht="15" customHeight="1" x14ac:dyDescent="0.2">
      <c r="A107" s="299">
        <f>'14. PRM'!A107</f>
        <v>37165</v>
      </c>
      <c r="B107" s="165">
        <f>'14. PRM'!D107</f>
        <v>-0.30890318793433147</v>
      </c>
      <c r="C107" s="539">
        <f>'14. PRM'!C107</f>
        <v>5.0319166666666665E-2</v>
      </c>
    </row>
    <row r="108" spans="1:3" ht="15" customHeight="1" x14ac:dyDescent="0.2">
      <c r="A108" s="299">
        <f>'14. PRM'!A108</f>
        <v>37196</v>
      </c>
      <c r="B108" s="165">
        <f>'14. PRM'!D108</f>
        <v>-0.18320515076618882</v>
      </c>
      <c r="C108" s="539">
        <f>'14. PRM'!C108</f>
        <v>4.9739999999999999E-2</v>
      </c>
    </row>
    <row r="109" spans="1:3" ht="15" customHeight="1" x14ac:dyDescent="0.2">
      <c r="A109" s="299">
        <f>'14. PRM'!A109</f>
        <v>37226</v>
      </c>
      <c r="B109" s="165">
        <f>'14. PRM'!D109</f>
        <v>-0.18010187914684769</v>
      </c>
      <c r="C109" s="539">
        <f>'14. PRM'!C109</f>
        <v>4.9675000000000004E-2</v>
      </c>
    </row>
    <row r="110" spans="1:3" ht="15" customHeight="1" x14ac:dyDescent="0.2">
      <c r="A110" s="299">
        <f>'14. PRM'!A110</f>
        <v>37257</v>
      </c>
      <c r="B110" s="165">
        <f>'14. PRM'!D110</f>
        <v>-0.22217351420072565</v>
      </c>
      <c r="C110" s="539">
        <f>'14. PRM'!C110</f>
        <v>4.9546666666666662E-2</v>
      </c>
    </row>
    <row r="111" spans="1:3" ht="15" customHeight="1" x14ac:dyDescent="0.2">
      <c r="A111" s="299">
        <f>'14. PRM'!A111</f>
        <v>37288</v>
      </c>
      <c r="B111" s="165">
        <f>'14. PRM'!D111</f>
        <v>-0.15693845104064183</v>
      </c>
      <c r="C111" s="539">
        <f>'14. PRM'!C111</f>
        <v>4.9505833333333332E-2</v>
      </c>
    </row>
    <row r="112" spans="1:3" ht="15" customHeight="1" x14ac:dyDescent="0.2">
      <c r="A112" s="299">
        <f>'14. PRM'!A112</f>
        <v>37316</v>
      </c>
      <c r="B112" s="165">
        <f>'14. PRM'!D112</f>
        <v>-6.1066999862108021E-2</v>
      </c>
      <c r="C112" s="539">
        <f>'14. PRM'!C112</f>
        <v>4.9915000000000001E-2</v>
      </c>
    </row>
    <row r="113" spans="1:3" ht="15" customHeight="1" x14ac:dyDescent="0.2">
      <c r="A113" s="299">
        <f>'14. PRM'!A113</f>
        <v>37347</v>
      </c>
      <c r="B113" s="165">
        <f>'14. PRM'!D113</f>
        <v>-0.18780082226188374</v>
      </c>
      <c r="C113" s="539">
        <f>'14. PRM'!C113</f>
        <v>4.9709166666666665E-2</v>
      </c>
    </row>
    <row r="114" spans="1:3" ht="15" customHeight="1" x14ac:dyDescent="0.2">
      <c r="A114" s="299">
        <f>'14. PRM'!A114</f>
        <v>37377</v>
      </c>
      <c r="B114" s="165">
        <f>'14. PRM'!D114</f>
        <v>-0.19964529511925799</v>
      </c>
      <c r="C114" s="539">
        <f>'14. PRM'!C114</f>
        <v>4.9400833333333331E-2</v>
      </c>
    </row>
    <row r="115" spans="1:3" ht="15" customHeight="1" x14ac:dyDescent="0.2">
      <c r="A115" s="299">
        <f>'14. PRM'!A115</f>
        <v>37408</v>
      </c>
      <c r="B115" s="165">
        <f>'14. PRM'!D115</f>
        <v>-0.24050367784783597</v>
      </c>
      <c r="C115" s="539">
        <f>'14. PRM'!C115</f>
        <v>4.8929166666666669E-2</v>
      </c>
    </row>
    <row r="116" spans="1:3" ht="15" customHeight="1" x14ac:dyDescent="0.2">
      <c r="A116" s="299">
        <f>'14. PRM'!A116</f>
        <v>37438</v>
      </c>
      <c r="B116" s="165">
        <f>'14. PRM'!D116</f>
        <v>-0.2958126215293545</v>
      </c>
      <c r="C116" s="539">
        <f>'14. PRM'!C116</f>
        <v>4.8452500000000003E-2</v>
      </c>
    </row>
    <row r="117" spans="1:3" ht="15" customHeight="1" x14ac:dyDescent="0.2">
      <c r="A117" s="299">
        <f>'14. PRM'!A117</f>
        <v>37469</v>
      </c>
      <c r="B117" s="165">
        <f>'14. PRM'!D117</f>
        <v>-0.23976549303975006</v>
      </c>
      <c r="C117" s="539">
        <f>'14. PRM'!C117</f>
        <v>4.7886666666666668E-2</v>
      </c>
    </row>
    <row r="118" spans="1:3" ht="15" customHeight="1" x14ac:dyDescent="0.2">
      <c r="A118" s="299">
        <f>'14. PRM'!A118</f>
        <v>37500</v>
      </c>
      <c r="B118" s="165">
        <f>'14. PRM'!D118</f>
        <v>-0.263864829096778</v>
      </c>
      <c r="C118" s="539">
        <f>'14. PRM'!C118</f>
        <v>4.707999999999999E-2</v>
      </c>
    </row>
    <row r="119" spans="1:3" ht="15" customHeight="1" x14ac:dyDescent="0.2">
      <c r="A119" s="299">
        <f>'14. PRM'!A119</f>
        <v>37530</v>
      </c>
      <c r="B119" s="165">
        <f>'14. PRM'!D119</f>
        <v>-0.21099055804034797</v>
      </c>
      <c r="C119" s="539">
        <f>'14. PRM'!C119</f>
        <v>4.6786666666666671E-2</v>
      </c>
    </row>
    <row r="120" spans="1:3" ht="15" customHeight="1" x14ac:dyDescent="0.2">
      <c r="A120" s="299">
        <f>'14. PRM'!A120</f>
        <v>37561</v>
      </c>
      <c r="B120" s="165">
        <f>'14. PRM'!D120</f>
        <v>-0.22462316091827944</v>
      </c>
      <c r="C120" s="539">
        <f>'14. PRM'!C120</f>
        <v>4.6344166666666672E-2</v>
      </c>
    </row>
    <row r="121" spans="1:3" ht="15" customHeight="1" x14ac:dyDescent="0.2">
      <c r="A121" s="299">
        <f>'14. PRM'!A121</f>
        <v>37591</v>
      </c>
      <c r="B121" s="165">
        <f>'14. PRM'!D121</f>
        <v>-0.27899217528395226</v>
      </c>
      <c r="C121" s="539">
        <f>'14. PRM'!C121</f>
        <v>4.5332499999999998E-2</v>
      </c>
    </row>
    <row r="122" spans="1:3" ht="15" customHeight="1" x14ac:dyDescent="0.2">
      <c r="A122" s="299">
        <f>'14. PRM'!A122</f>
        <v>37622</v>
      </c>
      <c r="B122" s="165">
        <f>'14. PRM'!D122</f>
        <v>-0.28733486683772785</v>
      </c>
      <c r="C122" s="539">
        <f>'14. PRM'!C122</f>
        <v>4.4457499999999997E-2</v>
      </c>
    </row>
    <row r="123" spans="1:3" ht="15" customHeight="1" x14ac:dyDescent="0.2">
      <c r="A123" s="299">
        <f>'14. PRM'!A123</f>
        <v>37653</v>
      </c>
      <c r="B123" s="165">
        <f>'14. PRM'!D123</f>
        <v>-0.28345652792460674</v>
      </c>
      <c r="C123" s="539">
        <f>'14. PRM'!C123</f>
        <v>4.348833333333333E-2</v>
      </c>
    </row>
    <row r="124" spans="1:3" ht="15" customHeight="1" x14ac:dyDescent="0.2">
      <c r="A124" s="299">
        <f>'14. PRM'!A124</f>
        <v>37681</v>
      </c>
      <c r="B124" s="165">
        <f>'14. PRM'!D124</f>
        <v>-0.30294361999116848</v>
      </c>
      <c r="C124" s="539">
        <f>'14. PRM'!C124</f>
        <v>4.2169166666666674E-2</v>
      </c>
    </row>
    <row r="125" spans="1:3" ht="15" customHeight="1" x14ac:dyDescent="0.2">
      <c r="A125" s="299">
        <f>'14. PRM'!A125</f>
        <v>37712</v>
      </c>
      <c r="B125" s="165">
        <f>'14. PRM'!D125</f>
        <v>-0.18971268639577071</v>
      </c>
      <c r="C125" s="539">
        <f>'14. PRM'!C125</f>
        <v>4.1140833333333335E-2</v>
      </c>
    </row>
    <row r="126" spans="1:3" ht="15" customHeight="1" x14ac:dyDescent="0.2">
      <c r="A126" s="299">
        <f>'14. PRM'!A126</f>
        <v>37742</v>
      </c>
      <c r="B126" s="165">
        <f>'14. PRM'!D126</f>
        <v>-0.13676506568960028</v>
      </c>
      <c r="C126" s="539">
        <f>'14. PRM'!C126</f>
        <v>3.9730000000000001E-2</v>
      </c>
    </row>
    <row r="127" spans="1:3" ht="15" customHeight="1" x14ac:dyDescent="0.2">
      <c r="A127" s="299">
        <f>'14. PRM'!A127</f>
        <v>37773</v>
      </c>
      <c r="B127" s="165">
        <f>'14. PRM'!D127</f>
        <v>-5.4127561576852432E-2</v>
      </c>
      <c r="C127" s="539">
        <f>'14. PRM'!C127</f>
        <v>3.8650000000000004E-2</v>
      </c>
    </row>
    <row r="128" spans="1:3" ht="15" customHeight="1" x14ac:dyDescent="0.2">
      <c r="A128" s="299">
        <f>'14. PRM'!A128</f>
        <v>37803</v>
      </c>
      <c r="B128" s="165">
        <f>'14. PRM'!D128</f>
        <v>5.0963175281367297E-2</v>
      </c>
      <c r="C128" s="539">
        <f>'14. PRM'!C128</f>
        <v>3.8657500000000004E-2</v>
      </c>
    </row>
    <row r="129" spans="1:3" ht="15" customHeight="1" x14ac:dyDescent="0.2">
      <c r="A129" s="299">
        <f>'14. PRM'!A129</f>
        <v>37834</v>
      </c>
      <c r="B129" s="165">
        <f>'14. PRM'!D129</f>
        <v>6.1441842672139341E-2</v>
      </c>
      <c r="C129" s="539">
        <f>'14. PRM'!C129</f>
        <v>3.892166666666666E-2</v>
      </c>
    </row>
    <row r="130" spans="1:3" ht="15" customHeight="1" x14ac:dyDescent="0.2">
      <c r="A130" s="299">
        <f>'14. PRM'!A130</f>
        <v>37865</v>
      </c>
      <c r="B130" s="165">
        <f>'14. PRM'!D130</f>
        <v>0.18243271219703672</v>
      </c>
      <c r="C130" s="539">
        <f>'14. PRM'!C130</f>
        <v>3.9196666666666664E-2</v>
      </c>
    </row>
    <row r="131" spans="1:3" ht="15" customHeight="1" x14ac:dyDescent="0.2">
      <c r="A131" s="299">
        <f>'14. PRM'!A131</f>
        <v>37895</v>
      </c>
      <c r="B131" s="165">
        <f>'14. PRM'!D131</f>
        <v>0.14670259272639696</v>
      </c>
      <c r="C131" s="539">
        <f>'14. PRM'!C131</f>
        <v>3.9521666666666663E-2</v>
      </c>
    </row>
    <row r="132" spans="1:3" ht="15" customHeight="1" x14ac:dyDescent="0.2">
      <c r="A132" s="299">
        <f>'14. PRM'!A132</f>
        <v>37926</v>
      </c>
      <c r="B132" s="165">
        <f>'14. PRM'!D132</f>
        <v>9.0570410058278525E-2</v>
      </c>
      <c r="C132" s="539">
        <f>'14. PRM'!C132</f>
        <v>3.9610833333333331E-2</v>
      </c>
    </row>
    <row r="133" spans="1:3" ht="15" customHeight="1" x14ac:dyDescent="0.2">
      <c r="A133" s="299">
        <f>'14. PRM'!A133</f>
        <v>37956</v>
      </c>
      <c r="B133" s="165">
        <f>'14. PRM'!D133</f>
        <v>0.22382729323422212</v>
      </c>
      <c r="C133" s="539">
        <f>'14. PRM'!C133</f>
        <v>3.9976666666666667E-2</v>
      </c>
    </row>
    <row r="134" spans="1:3" ht="15" customHeight="1" x14ac:dyDescent="0.2">
      <c r="A134" s="299">
        <f>'14. PRM'!A134</f>
        <v>37987</v>
      </c>
      <c r="B134" s="165">
        <f>'14. PRM'!D134</f>
        <v>0.28176432599041723</v>
      </c>
      <c r="C134" s="539">
        <f>'14. PRM'!C134</f>
        <v>4.0112499999999995E-2</v>
      </c>
    </row>
    <row r="135" spans="1:3" ht="15" customHeight="1" x14ac:dyDescent="0.2">
      <c r="A135" s="299">
        <f>'14. PRM'!A135</f>
        <v>38018</v>
      </c>
      <c r="B135" s="165">
        <f>'14. PRM'!D135</f>
        <v>0.32080781623372778</v>
      </c>
      <c r="C135" s="539">
        <f>'14. PRM'!C135</f>
        <v>4.0352500000000006E-2</v>
      </c>
    </row>
    <row r="136" spans="1:3" ht="15" customHeight="1" x14ac:dyDescent="0.2">
      <c r="A136" s="299">
        <f>'14. PRM'!A136</f>
        <v>38047</v>
      </c>
      <c r="B136" s="165">
        <f>'14. PRM'!D136</f>
        <v>0.2874318200342697</v>
      </c>
      <c r="C136" s="539">
        <f>'14. PRM'!C136</f>
        <v>4.0364166666666666E-2</v>
      </c>
    </row>
    <row r="137" spans="1:3" ht="15" customHeight="1" x14ac:dyDescent="0.2">
      <c r="A137" s="299">
        <f>'14. PRM'!A137</f>
        <v>38078</v>
      </c>
      <c r="B137" s="165">
        <f>'14. PRM'!D137</f>
        <v>0.16672905804214105</v>
      </c>
      <c r="C137" s="539">
        <f>'14. PRM'!C137</f>
        <v>4.0900833333333331E-2</v>
      </c>
    </row>
    <row r="138" spans="1:3" ht="15" customHeight="1" x14ac:dyDescent="0.2">
      <c r="A138" s="299">
        <f>'14. PRM'!A138</f>
        <v>38108</v>
      </c>
      <c r="B138" s="165">
        <f>'14. PRM'!D138</f>
        <v>0.12103743488759063</v>
      </c>
      <c r="C138" s="539">
        <f>'14. PRM'!C138</f>
        <v>4.1988333333333336E-2</v>
      </c>
    </row>
    <row r="139" spans="1:3" ht="15" customHeight="1" x14ac:dyDescent="0.2">
      <c r="A139" s="299">
        <f>'14. PRM'!A139</f>
        <v>38139</v>
      </c>
      <c r="B139" s="165">
        <f>'14. PRM'!D139</f>
        <v>0.12779682957071994</v>
      </c>
      <c r="C139" s="539">
        <f>'14. PRM'!C139</f>
        <v>4.2895833333333334E-2</v>
      </c>
    </row>
    <row r="140" spans="1:3" ht="15" customHeight="1" x14ac:dyDescent="0.2">
      <c r="A140" s="299">
        <f>'14. PRM'!A140</f>
        <v>38169</v>
      </c>
      <c r="B140" s="165">
        <f>'14. PRM'!D140</f>
        <v>6.6232314930401742E-2</v>
      </c>
      <c r="C140" s="539">
        <f>'14. PRM'!C140</f>
        <v>4.2896666666666666E-2</v>
      </c>
    </row>
    <row r="141" spans="1:3" ht="15" customHeight="1" x14ac:dyDescent="0.2">
      <c r="A141" s="299">
        <f>'14. PRM'!A141</f>
        <v>38200</v>
      </c>
      <c r="B141" s="165">
        <f>'14. PRM'!D141</f>
        <v>5.2836989431321806E-2</v>
      </c>
      <c r="C141" s="539">
        <f>'14. PRM'!C141</f>
        <v>4.2628333333333331E-2</v>
      </c>
    </row>
    <row r="142" spans="1:3" ht="15" customHeight="1" x14ac:dyDescent="0.2">
      <c r="A142" s="299">
        <f>'14. PRM'!A142</f>
        <v>38231</v>
      </c>
      <c r="B142" s="165">
        <f>'14. PRM'!D142</f>
        <v>7.6309932427683511E-2</v>
      </c>
      <c r="C142" s="539">
        <f>'14. PRM'!C142</f>
        <v>4.2779999999999999E-2</v>
      </c>
    </row>
    <row r="143" spans="1:3" ht="15" customHeight="1" x14ac:dyDescent="0.2">
      <c r="A143" s="299">
        <f>'14. PRM'!A143</f>
        <v>38261</v>
      </c>
      <c r="B143" s="165">
        <f>'14. PRM'!D143</f>
        <v>3.3100272323793763E-2</v>
      </c>
      <c r="C143" s="539">
        <f>'14. PRM'!C143</f>
        <v>4.2553333333333325E-2</v>
      </c>
    </row>
    <row r="144" spans="1:3" ht="15" customHeight="1" x14ac:dyDescent="0.2">
      <c r="A144" s="299">
        <f>'14. PRM'!A144</f>
        <v>38292</v>
      </c>
      <c r="B144" s="165">
        <f>'14. PRM'!D144</f>
        <v>6.6676009261009125E-2</v>
      </c>
      <c r="C144" s="539">
        <f>'14. PRM'!C144</f>
        <v>4.2584999999999998E-2</v>
      </c>
    </row>
    <row r="145" spans="1:3" ht="15" customHeight="1" x14ac:dyDescent="0.2">
      <c r="A145" s="299">
        <f>'14. PRM'!A145</f>
        <v>38322</v>
      </c>
      <c r="B145" s="165">
        <f>'14. PRM'!D145</f>
        <v>4.7383694330527464E-2</v>
      </c>
      <c r="C145" s="539">
        <f>'14. PRM'!C145</f>
        <v>4.2550833333333322E-2</v>
      </c>
    </row>
    <row r="146" spans="1:3" ht="15" customHeight="1" x14ac:dyDescent="0.2">
      <c r="A146" s="299">
        <f>'14. PRM'!A146</f>
        <v>38353</v>
      </c>
      <c r="B146" s="165">
        <f>'14. PRM'!D146</f>
        <v>1.7806873952004934E-3</v>
      </c>
      <c r="C146" s="539">
        <f>'14. PRM'!C146</f>
        <v>4.254666666666667E-2</v>
      </c>
    </row>
    <row r="147" spans="1:3" ht="15" customHeight="1" x14ac:dyDescent="0.2">
      <c r="A147" s="299">
        <f>'14. PRM'!A147</f>
        <v>38384</v>
      </c>
      <c r="B147" s="165">
        <f>'14. PRM'!D147</f>
        <v>8.3749591390522918E-3</v>
      </c>
      <c r="C147" s="539">
        <f>'14. PRM'!C147</f>
        <v>4.2859166666666663E-2</v>
      </c>
    </row>
    <row r="148" spans="1:3" ht="15" customHeight="1" x14ac:dyDescent="0.2">
      <c r="A148" s="299">
        <f>'14. PRM'!A148</f>
        <v>38412</v>
      </c>
      <c r="B148" s="165">
        <f>'14. PRM'!D148</f>
        <v>4.8775103370299264E-3</v>
      </c>
      <c r="C148" s="539">
        <f>'14. PRM'!C148</f>
        <v>4.3408333333333333E-2</v>
      </c>
    </row>
    <row r="149" spans="1:3" ht="15" customHeight="1" x14ac:dyDescent="0.2">
      <c r="A149" s="299">
        <f>'14. PRM'!A149</f>
        <v>38443</v>
      </c>
      <c r="B149" s="165">
        <f>'14. PRM'!D149</f>
        <v>1.5901539781449509E-3</v>
      </c>
      <c r="C149" s="539">
        <f>'14. PRM'!C149</f>
        <v>4.315833333333334E-2</v>
      </c>
    </row>
    <row r="150" spans="1:3" ht="15" customHeight="1" x14ac:dyDescent="0.2">
      <c r="A150" s="299">
        <f>'14. PRM'!A150</f>
        <v>38473</v>
      </c>
      <c r="B150" s="165">
        <f>'14. PRM'!D150</f>
        <v>2.0576275207909472E-2</v>
      </c>
      <c r="C150" s="539">
        <f>'14. PRM'!C150</f>
        <v>4.2617500000000003E-2</v>
      </c>
    </row>
    <row r="151" spans="1:3" ht="15" customHeight="1" x14ac:dyDescent="0.2">
      <c r="A151" s="299">
        <f>'14. PRM'!A151</f>
        <v>38504</v>
      </c>
      <c r="B151" s="165">
        <f>'14. PRM'!D151</f>
        <v>2.1993633638371646E-3</v>
      </c>
      <c r="C151" s="539">
        <f>'14. PRM'!C151</f>
        <v>4.2057499999999998E-2</v>
      </c>
    </row>
    <row r="152" spans="1:3" ht="15" customHeight="1" x14ac:dyDescent="0.2">
      <c r="A152" s="299">
        <f>'14. PRM'!A152</f>
        <v>38534</v>
      </c>
      <c r="B152" s="165">
        <f>'14. PRM'!D152</f>
        <v>7.8330185528083393E-2</v>
      </c>
      <c r="C152" s="539">
        <f>'14. PRM'!C152</f>
        <v>4.1900000000000007E-2</v>
      </c>
    </row>
    <row r="153" spans="1:3" ht="15" customHeight="1" x14ac:dyDescent="0.2">
      <c r="A153" s="299">
        <f>'14. PRM'!A153</f>
        <v>38565</v>
      </c>
      <c r="B153" s="165">
        <f>'14. PRM'!D153</f>
        <v>6.3324464246902731E-2</v>
      </c>
      <c r="C153" s="539">
        <f>'14. PRM'!C153</f>
        <v>4.1806666666666673E-2</v>
      </c>
    </row>
    <row r="154" spans="1:3" ht="15" customHeight="1" x14ac:dyDescent="0.2">
      <c r="A154" s="299">
        <f>'14. PRM'!A154</f>
        <v>38596</v>
      </c>
      <c r="B154" s="165">
        <f>'14. PRM'!D154</f>
        <v>6.0506202141912956E-2</v>
      </c>
      <c r="C154" s="539">
        <f>'14. PRM'!C154</f>
        <v>4.1980833333333335E-2</v>
      </c>
    </row>
    <row r="155" spans="1:3" ht="15" customHeight="1" x14ac:dyDescent="0.2">
      <c r="A155" s="299">
        <f>'14. PRM'!A155</f>
        <v>38626</v>
      </c>
      <c r="B155" s="165">
        <f>'14. PRM'!D155</f>
        <v>2.5538922757034198E-2</v>
      </c>
      <c r="C155" s="539">
        <f>'14. PRM'!C155</f>
        <v>4.2422500000000009E-2</v>
      </c>
    </row>
    <row r="156" spans="1:3" ht="15" customHeight="1" x14ac:dyDescent="0.2">
      <c r="A156" s="299">
        <f>'14. PRM'!A156</f>
        <v>38657</v>
      </c>
      <c r="B156" s="165">
        <f>'14. PRM'!D156</f>
        <v>2.191538653001892E-2</v>
      </c>
      <c r="C156" s="539">
        <f>'14. PRM'!C156</f>
        <v>4.254083333333334E-2</v>
      </c>
    </row>
    <row r="157" spans="1:3" ht="15" customHeight="1" x14ac:dyDescent="0.2">
      <c r="A157" s="299">
        <f>'14. PRM'!A157</f>
        <v>38687</v>
      </c>
      <c r="B157" s="165">
        <f>'14. PRM'!D157</f>
        <v>-1.267976830153815E-2</v>
      </c>
      <c r="C157" s="539">
        <f>'14. PRM'!C157</f>
        <v>4.2689999999999992E-2</v>
      </c>
    </row>
    <row r="158" spans="1:3" ht="15" customHeight="1" x14ac:dyDescent="0.2">
      <c r="A158" s="299">
        <f>'14. PRM'!A158</f>
        <v>38718</v>
      </c>
      <c r="B158" s="165">
        <f>'14. PRM'!D158</f>
        <v>4.0628927665422185E-2</v>
      </c>
      <c r="C158" s="539">
        <f>'14. PRM'!C158</f>
        <v>4.3018333333333339E-2</v>
      </c>
    </row>
    <row r="159" spans="1:3" ht="15" customHeight="1" x14ac:dyDescent="0.2">
      <c r="A159" s="299">
        <f>'14. PRM'!A159</f>
        <v>38749</v>
      </c>
      <c r="B159" s="165">
        <f>'14. PRM'!D159</f>
        <v>2.0849592888002783E-2</v>
      </c>
      <c r="C159" s="539">
        <f>'14. PRM'!C159</f>
        <v>4.3174999999999991E-2</v>
      </c>
    </row>
    <row r="160" spans="1:3" ht="15" customHeight="1" x14ac:dyDescent="0.2">
      <c r="A160" s="299">
        <f>'14. PRM'!A160</f>
        <v>38777</v>
      </c>
      <c r="B160" s="165">
        <f>'14. PRM'!D160</f>
        <v>5.3292676733667027E-2</v>
      </c>
      <c r="C160" s="539">
        <f>'14. PRM'!C160</f>
        <v>4.3472499999999997E-2</v>
      </c>
    </row>
    <row r="161" spans="1:3" ht="15" customHeight="1" x14ac:dyDescent="0.2">
      <c r="A161" s="299">
        <f>'14. PRM'!A161</f>
        <v>38808</v>
      </c>
      <c r="B161" s="165">
        <f>'14. PRM'!D161</f>
        <v>8.8716817399259504E-2</v>
      </c>
      <c r="C161" s="539">
        <f>'14. PRM'!C161</f>
        <v>4.4195833333333337E-2</v>
      </c>
    </row>
    <row r="162" spans="1:3" ht="15" customHeight="1" x14ac:dyDescent="0.2">
      <c r="A162" s="299">
        <f>'14. PRM'!A162</f>
        <v>38838</v>
      </c>
      <c r="B162" s="165">
        <f>'14. PRM'!D162</f>
        <v>2.0840542033850919E-2</v>
      </c>
      <c r="C162" s="539">
        <f>'14. PRM'!C162</f>
        <v>4.5118333333333337E-2</v>
      </c>
    </row>
    <row r="163" spans="1:3" ht="15" customHeight="1" x14ac:dyDescent="0.2">
      <c r="A163" s="299">
        <f>'14. PRM'!A163</f>
        <v>38869</v>
      </c>
      <c r="B163" s="165">
        <f>'14. PRM'!D163</f>
        <v>2.0090818979627834E-2</v>
      </c>
      <c r="C163" s="539">
        <f>'14. PRM'!C163</f>
        <v>4.6112500000000001E-2</v>
      </c>
    </row>
    <row r="164" spans="1:3" ht="15" customHeight="1" x14ac:dyDescent="0.2">
      <c r="A164" s="299">
        <f>'14. PRM'!A164</f>
        <v>38899</v>
      </c>
      <c r="B164" s="165">
        <f>'14. PRM'!D164</f>
        <v>-1.2277885357079237E-2</v>
      </c>
      <c r="C164" s="539">
        <f>'14. PRM'!C164</f>
        <v>4.6697499999999996E-2</v>
      </c>
    </row>
    <row r="165" spans="1:3" ht="15" customHeight="1" x14ac:dyDescent="0.2">
      <c r="A165" s="299">
        <f>'14. PRM'!A165</f>
        <v>38930</v>
      </c>
      <c r="B165" s="165">
        <f>'14. PRM'!D165</f>
        <v>2.1125086950524341E-2</v>
      </c>
      <c r="C165" s="539">
        <f>'14. PRM'!C165</f>
        <v>4.7290833333333337E-2</v>
      </c>
    </row>
    <row r="166" spans="1:3" ht="15" customHeight="1" x14ac:dyDescent="0.2">
      <c r="A166" s="299">
        <f>'14. PRM'!A166</f>
        <v>38961</v>
      </c>
      <c r="B166" s="165">
        <f>'14. PRM'!D166</f>
        <v>3.9563666107860385E-2</v>
      </c>
      <c r="C166" s="539">
        <f>'14. PRM'!C166</f>
        <v>4.7545000000000004E-2</v>
      </c>
    </row>
    <row r="167" spans="1:3" ht="15" customHeight="1" x14ac:dyDescent="0.2">
      <c r="A167" s="299">
        <f>'14. PRM'!A167</f>
        <v>38991</v>
      </c>
      <c r="B167" s="165">
        <f>'14. PRM'!D167</f>
        <v>9.4030235865209727E-2</v>
      </c>
      <c r="C167" s="539">
        <f>'14. PRM'!C167</f>
        <v>4.758416666666667E-2</v>
      </c>
    </row>
    <row r="168" spans="1:3" ht="15" customHeight="1" x14ac:dyDescent="0.2">
      <c r="A168" s="299">
        <f>'14. PRM'!A168</f>
        <v>39022</v>
      </c>
      <c r="B168" s="165">
        <f>'14. PRM'!D168</f>
        <v>7.3421156987973774E-2</v>
      </c>
      <c r="C168" s="539">
        <f>'14. PRM'!C168</f>
        <v>4.754916666666667E-2</v>
      </c>
    </row>
    <row r="169" spans="1:3" ht="15" customHeight="1" x14ac:dyDescent="0.2">
      <c r="A169" s="299">
        <f>'14. PRM'!A169</f>
        <v>39052</v>
      </c>
      <c r="B169" s="165">
        <f>'14. PRM'!D169</f>
        <v>8.8382647154640864E-2</v>
      </c>
      <c r="C169" s="539">
        <f>'14. PRM'!C169</f>
        <v>4.7811666666666669E-2</v>
      </c>
    </row>
    <row r="170" spans="1:3" ht="15" customHeight="1" x14ac:dyDescent="0.2">
      <c r="A170" s="299">
        <f>'14. PRM'!A170</f>
        <v>39083</v>
      </c>
      <c r="B170" s="165">
        <f>'14. PRM'!D170</f>
        <v>7.5493944493052578E-2</v>
      </c>
      <c r="C170" s="539">
        <f>'14. PRM'!C170</f>
        <v>4.8060833333333337E-2</v>
      </c>
    </row>
    <row r="171" spans="1:3" ht="15" customHeight="1" x14ac:dyDescent="0.2">
      <c r="A171" s="299">
        <f>'14. PRM'!A171</f>
        <v>39114</v>
      </c>
      <c r="B171" s="165">
        <f>'14. PRM'!D171</f>
        <v>5.0448371568826429E-2</v>
      </c>
      <c r="C171" s="539">
        <f>'14. PRM'!C171</f>
        <v>4.806333333333334E-2</v>
      </c>
    </row>
    <row r="172" spans="1:3" ht="15" customHeight="1" x14ac:dyDescent="0.2">
      <c r="A172" s="299">
        <f>'14. PRM'!A172</f>
        <v>39142</v>
      </c>
      <c r="B172" s="165">
        <f>'14. PRM'!D172</f>
        <v>4.9440740657074614E-2</v>
      </c>
      <c r="C172" s="539">
        <f>'14. PRM'!C172</f>
        <v>4.7892499999999991E-2</v>
      </c>
    </row>
    <row r="173" spans="1:3" ht="15" customHeight="1" x14ac:dyDescent="0.2">
      <c r="A173" s="299">
        <f>'14. PRM'!A173</f>
        <v>39173</v>
      </c>
      <c r="B173" s="165">
        <f>'14. PRM'!D173</f>
        <v>8.3526812247731994E-2</v>
      </c>
      <c r="C173" s="539">
        <f>'14. PRM'!C173</f>
        <v>4.7526666666666675E-2</v>
      </c>
    </row>
    <row r="174" spans="1:3" ht="15" customHeight="1" x14ac:dyDescent="0.2">
      <c r="A174" s="299">
        <f>'14. PRM'!A174</f>
        <v>39203</v>
      </c>
      <c r="B174" s="165">
        <f>'14. PRM'!D174</f>
        <v>0.15778636237720695</v>
      </c>
      <c r="C174" s="539">
        <f>'14. PRM'!C174</f>
        <v>4.7340833333333332E-2</v>
      </c>
    </row>
    <row r="175" spans="1:3" ht="15" customHeight="1" x14ac:dyDescent="0.2">
      <c r="A175" s="299">
        <f>'14. PRM'!A175</f>
        <v>39234</v>
      </c>
      <c r="B175" s="165">
        <f>'14. PRM'!D175</f>
        <v>0.13630043772634218</v>
      </c>
      <c r="C175" s="539">
        <f>'14. PRM'!C175</f>
        <v>4.7253333333333335E-2</v>
      </c>
    </row>
    <row r="176" spans="1:3" ht="15" customHeight="1" x14ac:dyDescent="0.2">
      <c r="A176" s="299">
        <f>'14. PRM'!A176</f>
        <v>39264</v>
      </c>
      <c r="B176" s="165">
        <f>'14. PRM'!D176</f>
        <v>9.2831624825717121E-2</v>
      </c>
      <c r="C176" s="539">
        <f>'14. PRM'!C176</f>
        <v>4.7072500000000003E-2</v>
      </c>
    </row>
    <row r="177" spans="1:3" ht="15" customHeight="1" x14ac:dyDescent="0.2">
      <c r="A177" s="299">
        <f>'14. PRM'!A177</f>
        <v>39295</v>
      </c>
      <c r="B177" s="165">
        <f>'14. PRM'!D177</f>
        <v>8.3606482336518795E-2</v>
      </c>
      <c r="C177" s="539">
        <f>'14. PRM'!C177</f>
        <v>4.691E-2</v>
      </c>
    </row>
    <row r="178" spans="1:3" ht="15" customHeight="1" x14ac:dyDescent="0.2">
      <c r="A178" s="299">
        <f>'14. PRM'!A178</f>
        <v>39326</v>
      </c>
      <c r="B178" s="165">
        <f>'14. PRM'!D178</f>
        <v>9.6040266309840236E-2</v>
      </c>
      <c r="C178" s="539">
        <f>'14. PRM'!C178</f>
        <v>4.6865000000000004E-2</v>
      </c>
    </row>
    <row r="179" spans="1:3" ht="15" customHeight="1" x14ac:dyDescent="0.2">
      <c r="A179" s="299">
        <f>'14. PRM'!A179</f>
        <v>39356</v>
      </c>
      <c r="B179" s="165">
        <f>'14. PRM'!D179</f>
        <v>7.7661775561103319E-2</v>
      </c>
      <c r="C179" s="539">
        <f>'14. PRM'!C179</f>
        <v>4.675583333333333E-2</v>
      </c>
    </row>
    <row r="180" spans="1:3" ht="15" customHeight="1" x14ac:dyDescent="0.2">
      <c r="A180" s="299">
        <f>'14. PRM'!A180</f>
        <v>39387</v>
      </c>
      <c r="B180" s="165">
        <f>'14. PRM'!D180</f>
        <v>1.1130442949482296E-2</v>
      </c>
      <c r="C180" s="539">
        <f>'14. PRM'!C180</f>
        <v>4.6350833333333334E-2</v>
      </c>
    </row>
    <row r="181" spans="1:3" ht="15" customHeight="1" x14ac:dyDescent="0.2">
      <c r="A181" s="299">
        <f>'14. PRM'!A181</f>
        <v>39417</v>
      </c>
      <c r="B181" s="165">
        <f>'14. PRM'!D181</f>
        <v>-1.0492556699334805E-2</v>
      </c>
      <c r="C181" s="539">
        <f>'14. PRM'!C181</f>
        <v>4.5788333333333327E-2</v>
      </c>
    </row>
    <row r="182" spans="1:3" ht="15" customHeight="1" x14ac:dyDescent="0.2">
      <c r="A182" s="299">
        <f>'14. PRM'!A182</f>
        <v>39448</v>
      </c>
      <c r="B182" s="165">
        <f>'14. PRM'!D182</f>
        <v>-8.6301280361182175E-2</v>
      </c>
      <c r="C182" s="539">
        <f>'14. PRM'!C182</f>
        <v>4.4799166666666668E-2</v>
      </c>
    </row>
    <row r="183" spans="1:3" ht="15" customHeight="1" x14ac:dyDescent="0.2">
      <c r="A183" s="299">
        <f>'14. PRM'!A183</f>
        <v>39479</v>
      </c>
      <c r="B183" s="165">
        <f>'14. PRM'!D183</f>
        <v>-9.8110103673533067E-2</v>
      </c>
      <c r="C183" s="539">
        <f>'14. PRM'!C183</f>
        <v>4.3952500000000005E-2</v>
      </c>
    </row>
    <row r="184" spans="1:3" ht="15" customHeight="1" x14ac:dyDescent="0.2">
      <c r="A184" s="299">
        <f>'14. PRM'!A184</f>
        <v>39508</v>
      </c>
      <c r="B184" s="165">
        <f>'14. PRM'!D184</f>
        <v>-0.11202408706698755</v>
      </c>
      <c r="C184" s="539">
        <f>'14. PRM'!C184</f>
        <v>4.2939166666666667E-2</v>
      </c>
    </row>
    <row r="185" spans="1:3" ht="15" customHeight="1" x14ac:dyDescent="0.2">
      <c r="A185" s="299">
        <f>'14. PRM'!A185</f>
        <v>39539</v>
      </c>
      <c r="B185" s="165">
        <f>'14. PRM'!D185</f>
        <v>-0.10750067724881997</v>
      </c>
      <c r="C185" s="539">
        <f>'14. PRM'!C185</f>
        <v>4.2213333333333339E-2</v>
      </c>
    </row>
    <row r="186" spans="1:3" ht="15" customHeight="1" x14ac:dyDescent="0.2">
      <c r="A186" s="299">
        <f>'14. PRM'!A186</f>
        <v>39569</v>
      </c>
      <c r="B186" s="165">
        <f>'14. PRM'!D186</f>
        <v>-0.12659970221217526</v>
      </c>
      <c r="C186" s="539">
        <f>'14. PRM'!C186</f>
        <v>4.1510000000000005E-2</v>
      </c>
    </row>
    <row r="187" spans="1:3" ht="15" customHeight="1" x14ac:dyDescent="0.2">
      <c r="A187" s="299">
        <f>'14. PRM'!A187</f>
        <v>39600</v>
      </c>
      <c r="B187" s="165">
        <f>'14. PRM'!D187</f>
        <v>-0.18919986435848818</v>
      </c>
      <c r="C187" s="539">
        <f>'14. PRM'!C187</f>
        <v>4.0631666666666663E-2</v>
      </c>
    </row>
    <row r="188" spans="1:3" ht="15" customHeight="1" x14ac:dyDescent="0.2">
      <c r="A188" s="299">
        <f>'14. PRM'!A188</f>
        <v>39630</v>
      </c>
      <c r="B188" s="165">
        <f>'14. PRM'!D188</f>
        <v>-0.16908172871700769</v>
      </c>
      <c r="C188" s="539">
        <f>'14. PRM'!C188</f>
        <v>3.9971666666666662E-2</v>
      </c>
    </row>
    <row r="189" spans="1:3" ht="15" customHeight="1" x14ac:dyDescent="0.2">
      <c r="A189" s="299">
        <f>'14. PRM'!A189</f>
        <v>39661</v>
      </c>
      <c r="B189" s="165">
        <f>'14. PRM'!D189</f>
        <v>-0.16905713719224691</v>
      </c>
      <c r="C189" s="539">
        <f>'14. PRM'!C189</f>
        <v>3.9368333333333332E-2</v>
      </c>
    </row>
    <row r="190" spans="1:3" ht="15" customHeight="1" x14ac:dyDescent="0.2">
      <c r="A190" s="299">
        <f>'14. PRM'!A190</f>
        <v>39692</v>
      </c>
      <c r="B190" s="165">
        <f>'14. PRM'!D190</f>
        <v>-0.27479210059494574</v>
      </c>
      <c r="C190" s="539">
        <f>'14. PRM'!C190</f>
        <v>3.874166666666666E-2</v>
      </c>
    </row>
    <row r="191" spans="1:3" ht="15" customHeight="1" x14ac:dyDescent="0.2">
      <c r="A191" s="299">
        <f>'14. PRM'!A191</f>
        <v>39722</v>
      </c>
      <c r="B191" s="165">
        <f>'14. PRM'!D191</f>
        <v>-0.41307073329331745</v>
      </c>
      <c r="C191" s="539">
        <f>'14. PRM'!C191</f>
        <v>3.8320833333333332E-2</v>
      </c>
    </row>
    <row r="192" spans="1:3" ht="15" customHeight="1" x14ac:dyDescent="0.2">
      <c r="A192" s="299">
        <f>'14. PRM'!A192</f>
        <v>39753</v>
      </c>
      <c r="B192" s="165">
        <f>'14. PRM'!D192</f>
        <v>-0.43237352410980728</v>
      </c>
      <c r="C192" s="539">
        <f>'14. PRM'!C192</f>
        <v>3.7474999999999994E-2</v>
      </c>
    </row>
    <row r="193" spans="1:3" ht="15" customHeight="1" x14ac:dyDescent="0.2">
      <c r="A193" s="299">
        <f>'14. PRM'!A193</f>
        <v>39783</v>
      </c>
      <c r="B193" s="165">
        <f>'14. PRM'!D193</f>
        <v>-0.42084043674575711</v>
      </c>
      <c r="C193" s="539">
        <f>'14. PRM'!C193</f>
        <v>3.5982500000000001E-2</v>
      </c>
    </row>
    <row r="194" spans="1:3" ht="15" customHeight="1" x14ac:dyDescent="0.2">
      <c r="A194" s="299">
        <f>'14. PRM'!A194</f>
        <v>39814</v>
      </c>
      <c r="B194" s="165">
        <f>'14. PRM'!D194</f>
        <v>-0.43622674984585252</v>
      </c>
      <c r="C194" s="539">
        <f>'14. PRM'!C194</f>
        <v>3.5319999999999997E-2</v>
      </c>
    </row>
    <row r="195" spans="1:3" ht="15" customHeight="1" x14ac:dyDescent="0.2">
      <c r="A195" s="299">
        <f>'14. PRM'!A195</f>
        <v>39845</v>
      </c>
      <c r="B195" s="165">
        <f>'14. PRM'!D195</f>
        <v>-0.48247159949923468</v>
      </c>
      <c r="C195" s="539">
        <f>'14. PRM'!C195</f>
        <v>3.4909166666666665E-2</v>
      </c>
    </row>
    <row r="196" spans="1:3" ht="15" customHeight="1" x14ac:dyDescent="0.2">
      <c r="A196" s="299">
        <f>'14. PRM'!A196</f>
        <v>39873</v>
      </c>
      <c r="B196" s="165">
        <f>'14. PRM'!D196</f>
        <v>-0.43107354199742953</v>
      </c>
      <c r="C196" s="539">
        <f>'14. PRM'!C196</f>
        <v>3.4286666666666667E-2</v>
      </c>
    </row>
    <row r="197" spans="1:3" ht="15" customHeight="1" x14ac:dyDescent="0.2">
      <c r="A197" s="299">
        <f>'14. PRM'!A197</f>
        <v>39904</v>
      </c>
      <c r="B197" s="165">
        <f>'14. PRM'!D197</f>
        <v>-0.40383811547788306</v>
      </c>
      <c r="C197" s="539">
        <f>'14. PRM'!C197</f>
        <v>3.3757500000000003E-2</v>
      </c>
    </row>
    <row r="198" spans="1:3" ht="15" customHeight="1" x14ac:dyDescent="0.2">
      <c r="A198" s="299">
        <f>'14. PRM'!A198</f>
        <v>39934</v>
      </c>
      <c r="B198" s="165">
        <f>'14. PRM'!D198</f>
        <v>-0.37692291416139428</v>
      </c>
      <c r="C198" s="539">
        <f>'14. PRM'!C198</f>
        <v>3.3273333333333342E-2</v>
      </c>
    </row>
    <row r="199" spans="1:3" ht="15" customHeight="1" x14ac:dyDescent="0.2">
      <c r="A199" s="299">
        <f>'14. PRM'!A199</f>
        <v>39965</v>
      </c>
      <c r="B199" s="165">
        <f>'14. PRM'!D199</f>
        <v>-0.31467458333333331</v>
      </c>
      <c r="C199" s="539">
        <f>'14. PRM'!C199</f>
        <v>3.2893333333333337E-2</v>
      </c>
    </row>
    <row r="200" spans="1:3" ht="15" customHeight="1" x14ac:dyDescent="0.2">
      <c r="A200" s="299">
        <f>'14. PRM'!A200</f>
        <v>39995</v>
      </c>
      <c r="B200" s="165">
        <f>'14. PRM'!D200</f>
        <v>-0.25334431117738959</v>
      </c>
      <c r="C200" s="539">
        <f>'14. PRM'!C200</f>
        <v>3.2494999999999996E-2</v>
      </c>
    </row>
    <row r="201" spans="1:3" ht="15" customHeight="1" x14ac:dyDescent="0.2">
      <c r="A201" s="299">
        <f>'14. PRM'!A201</f>
        <v>40026</v>
      </c>
      <c r="B201" s="165">
        <f>'14. PRM'!D201</f>
        <v>-0.23655131432068152</v>
      </c>
      <c r="C201" s="539">
        <f>'14. PRM'!C201</f>
        <v>3.2151666666666662E-2</v>
      </c>
    </row>
    <row r="202" spans="1:3" ht="15" customHeight="1" x14ac:dyDescent="0.2">
      <c r="A202" s="299">
        <f>'14. PRM'!A202</f>
        <v>40057</v>
      </c>
      <c r="B202" s="165">
        <f>'14. PRM'!D202</f>
        <v>-0.12541153268859245</v>
      </c>
      <c r="C202" s="539">
        <f>'14. PRM'!C202</f>
        <v>3.1718333333333334E-2</v>
      </c>
    </row>
    <row r="203" spans="1:3" ht="15" customHeight="1" x14ac:dyDescent="0.2">
      <c r="A203" s="299">
        <f>'14. PRM'!A203</f>
        <v>40087</v>
      </c>
      <c r="B203" s="165">
        <f>'14. PRM'!D203</f>
        <v>3.8378817204301051E-2</v>
      </c>
      <c r="C203" s="539">
        <f>'14. PRM'!C203</f>
        <v>3.123666666666667E-2</v>
      </c>
    </row>
    <row r="204" spans="1:3" ht="15" customHeight="1" x14ac:dyDescent="0.2">
      <c r="A204" s="299">
        <f>'14. PRM'!A204</f>
        <v>40118</v>
      </c>
      <c r="B204" s="165">
        <f>'14. PRM'!D204</f>
        <v>0.19103389092207448</v>
      </c>
      <c r="C204" s="539">
        <f>'14. PRM'!C204</f>
        <v>3.1440000000000003E-2</v>
      </c>
    </row>
    <row r="205" spans="1:3" ht="15" customHeight="1" x14ac:dyDescent="0.2">
      <c r="A205" s="299">
        <f>'14. PRM'!A205</f>
        <v>40148</v>
      </c>
      <c r="B205" s="165">
        <f>'14. PRM'!D205</f>
        <v>0.20176943191253791</v>
      </c>
      <c r="C205" s="539">
        <f>'14. PRM'!C205</f>
        <v>3.2772500000000003E-2</v>
      </c>
    </row>
    <row r="206" spans="1:3" ht="15" customHeight="1" x14ac:dyDescent="0.2">
      <c r="A206" s="299">
        <f>'14. PRM'!A206</f>
        <v>40179</v>
      </c>
      <c r="B206" s="165">
        <f>'14. PRM'!D206</f>
        <v>0.26686364750326902</v>
      </c>
      <c r="C206" s="539">
        <f>'14. PRM'!C206</f>
        <v>3.3409999999999995E-2</v>
      </c>
    </row>
    <row r="207" spans="1:3" ht="15" customHeight="1" x14ac:dyDescent="0.2">
      <c r="A207" s="299">
        <f>'14. PRM'!A207</f>
        <v>40210</v>
      </c>
      <c r="B207" s="165">
        <f>'14. PRM'!D207</f>
        <v>0.4686518338570787</v>
      </c>
      <c r="C207" s="539">
        <f>'14. PRM'!C207</f>
        <v>3.3871666666666668E-2</v>
      </c>
    </row>
    <row r="208" spans="1:3" ht="15" customHeight="1" x14ac:dyDescent="0.2">
      <c r="A208" s="299">
        <f>'14. PRM'!A208</f>
        <v>40238</v>
      </c>
      <c r="B208" s="165">
        <f>'14. PRM'!D208</f>
        <v>0.43086156602370485</v>
      </c>
      <c r="C208" s="539">
        <f>'14. PRM'!C208</f>
        <v>3.4828333333333329E-2</v>
      </c>
    </row>
    <row r="209" spans="1:3" ht="15" customHeight="1" x14ac:dyDescent="0.2">
      <c r="A209" s="299">
        <f>'14. PRM'!A209</f>
        <v>40269</v>
      </c>
      <c r="B209" s="165">
        <f>'14. PRM'!D209</f>
        <v>0.32434257768013686</v>
      </c>
      <c r="C209" s="539">
        <f>'14. PRM'!C209</f>
        <v>3.5277499999999989E-2</v>
      </c>
    </row>
    <row r="210" spans="1:3" ht="15" customHeight="1" x14ac:dyDescent="0.2">
      <c r="A210" s="299">
        <f>'14. PRM'!A210</f>
        <v>40299</v>
      </c>
      <c r="B210" s="165">
        <f>'14. PRM'!D210</f>
        <v>0.15010842140479147</v>
      </c>
      <c r="C210" s="539">
        <f>'14. PRM'!C210</f>
        <v>3.5140833333333329E-2</v>
      </c>
    </row>
    <row r="211" spans="1:3" ht="15" customHeight="1" x14ac:dyDescent="0.2">
      <c r="A211" s="299">
        <f>'14. PRM'!A211</f>
        <v>40330</v>
      </c>
      <c r="B211" s="165">
        <f>'14. PRM'!D211</f>
        <v>8.6501477505112556E-2</v>
      </c>
      <c r="C211" s="539">
        <f>'14. PRM'!C211</f>
        <v>3.4664166666666663E-2</v>
      </c>
    </row>
    <row r="212" spans="1:3" ht="15" customHeight="1" x14ac:dyDescent="0.2">
      <c r="A212" s="299">
        <f>'14. PRM'!A212</f>
        <v>40360</v>
      </c>
      <c r="B212" s="165">
        <f>'14. PRM'!D212</f>
        <v>8.1397730890752001E-2</v>
      </c>
      <c r="C212" s="539">
        <f>'14. PRM'!C212</f>
        <v>3.4169166666666667E-2</v>
      </c>
    </row>
    <row r="213" spans="1:3" ht="15" customHeight="1" x14ac:dyDescent="0.2">
      <c r="A213" s="299">
        <f>'14. PRM'!A213</f>
        <v>40391</v>
      </c>
      <c r="B213" s="165">
        <f>'14. PRM'!D213</f>
        <v>-5.2692064464084018E-3</v>
      </c>
      <c r="C213" s="539">
        <f>'14. PRM'!C213</f>
        <v>3.3399166666666667E-2</v>
      </c>
    </row>
    <row r="214" spans="1:3" ht="15" customHeight="1" x14ac:dyDescent="0.2">
      <c r="A214" s="299">
        <f>'14. PRM'!A214</f>
        <v>40422</v>
      </c>
      <c r="B214" s="165">
        <f>'14. PRM'!D214</f>
        <v>4.6836871286941466E-2</v>
      </c>
      <c r="C214" s="539">
        <f>'14. PRM'!C214</f>
        <v>3.2740833333333337E-2</v>
      </c>
    </row>
    <row r="215" spans="1:3" ht="15" customHeight="1" x14ac:dyDescent="0.2">
      <c r="A215" s="299">
        <f>'14. PRM'!A215</f>
        <v>40452</v>
      </c>
      <c r="B215" s="165">
        <f>'14. PRM'!D215</f>
        <v>0.10984259586401462</v>
      </c>
      <c r="C215" s="539">
        <f>'14. PRM'!C215</f>
        <v>3.2090833333333339E-2</v>
      </c>
    </row>
    <row r="216" spans="1:3" ht="15" customHeight="1" x14ac:dyDescent="0.2">
      <c r="A216" s="299">
        <f>'14. PRM'!A216</f>
        <v>40483</v>
      </c>
      <c r="B216" s="165">
        <f>'14. PRM'!D216</f>
        <v>4.5753751152304817E-2</v>
      </c>
      <c r="C216" s="539">
        <f>'14. PRM'!C216</f>
        <v>3.1754166666666667E-2</v>
      </c>
    </row>
    <row r="217" spans="1:3" ht="15" customHeight="1" x14ac:dyDescent="0.2">
      <c r="A217" s="299">
        <f>'14. PRM'!A217</f>
        <v>40513</v>
      </c>
      <c r="B217" s="165">
        <f>'14. PRM'!D217</f>
        <v>9.6521267375123482E-2</v>
      </c>
      <c r="C217" s="539">
        <f>'14. PRM'!C217</f>
        <v>3.1305833333333338E-2</v>
      </c>
    </row>
    <row r="218" spans="1:3" ht="15" customHeight="1" x14ac:dyDescent="0.2">
      <c r="A218" s="299">
        <f>'14. PRM'!A218</f>
        <v>40544</v>
      </c>
      <c r="B218" s="165">
        <f>'14. PRM'!D218</f>
        <v>0.16653628906043871</v>
      </c>
      <c r="C218" s="539">
        <f>'14. PRM'!C218</f>
        <v>3.111333333333334E-2</v>
      </c>
    </row>
    <row r="219" spans="1:3" ht="15" customHeight="1" x14ac:dyDescent="0.2">
      <c r="A219" s="299">
        <f>'14. PRM'!A219</f>
        <v>40575</v>
      </c>
      <c r="B219" s="165">
        <f>'14. PRM'!D219</f>
        <v>0.17069618409854326</v>
      </c>
      <c r="C219" s="539">
        <f>'14. PRM'!C219</f>
        <v>3.09625E-2</v>
      </c>
    </row>
    <row r="220" spans="1:3" ht="15" customHeight="1" x14ac:dyDescent="0.2">
      <c r="A220" s="299">
        <f>'14. PRM'!A220</f>
        <v>40603</v>
      </c>
      <c r="B220" s="165">
        <f>'14. PRM'!D220</f>
        <v>0.10309370257304833</v>
      </c>
      <c r="C220" s="539">
        <f>'14. PRM'!C220</f>
        <v>3.0646666666666669E-2</v>
      </c>
    </row>
    <row r="221" spans="1:3" ht="15" customHeight="1" x14ac:dyDescent="0.2">
      <c r="A221" s="299">
        <f>'14. PRM'!A221</f>
        <v>40634</v>
      </c>
      <c r="B221" s="165">
        <f>'14. PRM'!D221</f>
        <v>0.11874612282202295</v>
      </c>
      <c r="C221" s="539">
        <f>'14. PRM'!C221</f>
        <v>3.0340833333333331E-2</v>
      </c>
    </row>
    <row r="222" spans="1:3" ht="15" customHeight="1" x14ac:dyDescent="0.2">
      <c r="A222" s="299">
        <f>'14. PRM'!A222</f>
        <v>40664</v>
      </c>
      <c r="B222" s="165">
        <f>'14. PRM'!D222</f>
        <v>0.2046651499588461</v>
      </c>
      <c r="C222" s="539">
        <f>'14. PRM'!C222</f>
        <v>3.0131666666666668E-2</v>
      </c>
    </row>
    <row r="223" spans="1:3" ht="15" customHeight="1" x14ac:dyDescent="0.2">
      <c r="A223" s="299">
        <f>'14. PRM'!A223</f>
        <v>40695</v>
      </c>
      <c r="B223" s="165">
        <f>'14. PRM'!D223</f>
        <v>0.25098737023508078</v>
      </c>
      <c r="C223" s="539">
        <f>'14. PRM'!C223</f>
        <v>3.030416666666667E-2</v>
      </c>
    </row>
    <row r="224" spans="1:3" ht="15" customHeight="1" x14ac:dyDescent="0.2">
      <c r="A224" s="299">
        <f>'14. PRM'!A224</f>
        <v>40725</v>
      </c>
      <c r="B224" s="165">
        <f>'14. PRM'!D224</f>
        <v>0.14287451525054465</v>
      </c>
      <c r="C224" s="539">
        <f>'14. PRM'!C224</f>
        <v>3.0219166666666665E-2</v>
      </c>
    </row>
    <row r="225" spans="1:3" ht="15" customHeight="1" x14ac:dyDescent="0.2">
      <c r="A225" s="299">
        <f>'14. PRM'!A225</f>
        <v>40756</v>
      </c>
      <c r="B225" s="165">
        <f>'14. PRM'!D225</f>
        <v>0.13158549001108671</v>
      </c>
      <c r="C225" s="539">
        <f>'14. PRM'!C225</f>
        <v>3.0003333333333337E-2</v>
      </c>
    </row>
    <row r="226" spans="1:3" ht="15" customHeight="1" x14ac:dyDescent="0.2">
      <c r="A226" s="299">
        <f>'14. PRM'!A226</f>
        <v>40787</v>
      </c>
      <c r="B226" s="165">
        <f>'14. PRM'!D226</f>
        <v>-3.8079093059936925E-2</v>
      </c>
      <c r="C226" s="539">
        <f>'14. PRM'!C226</f>
        <v>2.9509166666666666E-2</v>
      </c>
    </row>
    <row r="227" spans="1:3" ht="15" customHeight="1" x14ac:dyDescent="0.2">
      <c r="A227" s="299">
        <f>'14. PRM'!A227</f>
        <v>40817</v>
      </c>
      <c r="B227" s="165">
        <f>'14. PRM'!D227</f>
        <v>3.0047400655815328E-2</v>
      </c>
      <c r="C227" s="539">
        <f>'14. PRM'!C227</f>
        <v>2.9144999999999997E-2</v>
      </c>
    </row>
    <row r="228" spans="1:3" ht="15" customHeight="1" x14ac:dyDescent="0.2">
      <c r="A228" s="299">
        <f>'14. PRM'!A228</f>
        <v>40848</v>
      </c>
      <c r="B228" s="165">
        <f>'14. PRM'!D228</f>
        <v>2.7715941192664514E-2</v>
      </c>
      <c r="C228" s="539">
        <f>'14. PRM'!C228</f>
        <v>2.8537499999999997E-2</v>
      </c>
    </row>
    <row r="229" spans="1:3" ht="15" customHeight="1" x14ac:dyDescent="0.2">
      <c r="A229" s="299">
        <f>'14. PRM'!A229</f>
        <v>40878</v>
      </c>
      <c r="B229" s="165">
        <f>'14. PRM'!D229</f>
        <v>-2.7374305604147615E-2</v>
      </c>
      <c r="C229" s="539">
        <f>'14. PRM'!C229</f>
        <v>2.7342499999999999E-2</v>
      </c>
    </row>
    <row r="230" spans="1:3" ht="15" customHeight="1" x14ac:dyDescent="0.2">
      <c r="A230" s="299">
        <f>'14. PRM'!A230</f>
        <v>40909</v>
      </c>
      <c r="B230" s="165">
        <f>'14. PRM'!D230</f>
        <v>-5.5853392633138585E-3</v>
      </c>
      <c r="C230" s="539">
        <f>'14. PRM'!C230</f>
        <v>2.6026666666666663E-2</v>
      </c>
    </row>
    <row r="231" spans="1:3" ht="15" customHeight="1" x14ac:dyDescent="0.2">
      <c r="A231" s="299">
        <f>'14. PRM'!A231</f>
        <v>40940</v>
      </c>
      <c r="B231" s="165">
        <f>'14. PRM'!D231</f>
        <v>4.1486968374999794E-3</v>
      </c>
      <c r="C231" s="539">
        <f>'14. PRM'!C231</f>
        <v>2.4829166666666666E-2</v>
      </c>
    </row>
    <row r="232" spans="1:3" ht="15" customHeight="1" x14ac:dyDescent="0.2">
      <c r="A232" s="299">
        <f>'14. PRM'!A232</f>
        <v>40969</v>
      </c>
      <c r="B232" s="165">
        <f>'14. PRM'!D232</f>
        <v>3.8533266387847626E-2</v>
      </c>
      <c r="C232" s="539">
        <f>'14. PRM'!C232</f>
        <v>2.3797499999999999E-2</v>
      </c>
    </row>
    <row r="233" spans="1:3" ht="15" customHeight="1" x14ac:dyDescent="0.2">
      <c r="A233" s="299">
        <f>'14. PRM'!A233</f>
        <v>41000</v>
      </c>
      <c r="B233" s="165">
        <f>'14. PRM'!D233</f>
        <v>2.5071529738465576E-3</v>
      </c>
      <c r="C233" s="539">
        <f>'14. PRM'!C233</f>
        <v>2.2646666666666662E-2</v>
      </c>
    </row>
    <row r="234" spans="1:3" ht="15" customHeight="1" x14ac:dyDescent="0.2">
      <c r="A234" s="299">
        <f>'14. PRM'!A234</f>
        <v>41030</v>
      </c>
      <c r="B234" s="165">
        <f>'14. PRM'!D234</f>
        <v>-4.7344296015462514E-2</v>
      </c>
      <c r="C234" s="539">
        <f>'14. PRM'!C234</f>
        <v>2.1422500000000001E-2</v>
      </c>
    </row>
    <row r="235" spans="1:3" ht="15" customHeight="1" x14ac:dyDescent="0.2">
      <c r="A235" s="299">
        <f>'14. PRM'!A235</f>
        <v>41061</v>
      </c>
      <c r="B235" s="165">
        <f>'14. PRM'!D235</f>
        <v>1.1265968823196904E-2</v>
      </c>
      <c r="C235" s="539">
        <f>'14. PRM'!C235</f>
        <v>2.0173333333333331E-2</v>
      </c>
    </row>
    <row r="236" spans="1:3" ht="15" customHeight="1" x14ac:dyDescent="0.2">
      <c r="A236" s="299">
        <f>'14. PRM'!A236</f>
        <v>41091</v>
      </c>
      <c r="B236" s="165">
        <f>'14. PRM'!D236</f>
        <v>4.8274657581948245E-2</v>
      </c>
      <c r="C236" s="539">
        <f>'14. PRM'!C236</f>
        <v>1.9079166666666668E-2</v>
      </c>
    </row>
    <row r="237" spans="1:3" ht="15" customHeight="1" x14ac:dyDescent="0.2">
      <c r="A237" s="299">
        <f>'14. PRM'!A237</f>
        <v>41122</v>
      </c>
      <c r="B237" s="165">
        <f>'14. PRM'!D237</f>
        <v>0.13545186282191152</v>
      </c>
      <c r="C237" s="539">
        <f>'14. PRM'!C237</f>
        <v>1.85325E-2</v>
      </c>
    </row>
    <row r="238" spans="1:3" ht="15" customHeight="1" x14ac:dyDescent="0.2">
      <c r="A238" s="299">
        <f>'14. PRM'!A238</f>
        <v>41153</v>
      </c>
      <c r="B238" s="165">
        <f>'14. PRM'!D238</f>
        <v>0.25503575754361768</v>
      </c>
      <c r="C238" s="539">
        <f>'14. PRM'!C238</f>
        <v>1.8293333333333335E-2</v>
      </c>
    </row>
    <row r="239" spans="1:3" ht="15" customHeight="1" x14ac:dyDescent="0.2">
      <c r="A239" s="299">
        <f>'14. PRM'!A239</f>
        <v>41183</v>
      </c>
      <c r="B239" s="165">
        <f>'14. PRM'!D239</f>
        <v>0.10886753776696194</v>
      </c>
      <c r="C239" s="539">
        <f>'14. PRM'!C239</f>
        <v>1.7885833333333333E-2</v>
      </c>
    </row>
    <row r="240" spans="1:3" ht="15" customHeight="1" x14ac:dyDescent="0.2">
      <c r="A240" s="299">
        <f>'14. PRM'!A240</f>
        <v>41214</v>
      </c>
      <c r="B240" s="165">
        <f>'14. PRM'!D240</f>
        <v>0.11820520374885053</v>
      </c>
      <c r="C240" s="539">
        <f>'14. PRM'!C240</f>
        <v>1.7500833333333337E-2</v>
      </c>
    </row>
    <row r="241" spans="1:3" ht="15" customHeight="1" x14ac:dyDescent="0.2">
      <c r="A241" s="299">
        <f>'14. PRM'!A241</f>
        <v>41244</v>
      </c>
      <c r="B241" s="165">
        <f>'14. PRM'!D241</f>
        <v>0.11665193384223926</v>
      </c>
      <c r="C241" s="539">
        <f>'14. PRM'!C241</f>
        <v>1.7405E-2</v>
      </c>
    </row>
    <row r="242" spans="1:3" ht="15" customHeight="1" x14ac:dyDescent="0.2">
      <c r="A242" s="299">
        <f>'14. PRM'!A242</f>
        <v>41275</v>
      </c>
      <c r="B242" s="165">
        <f>'14. PRM'!D242</f>
        <v>0.12393541682858247</v>
      </c>
      <c r="C242" s="539">
        <f>'14. PRM'!C242</f>
        <v>1.7559999999999999E-2</v>
      </c>
    </row>
    <row r="243" spans="1:3" ht="15" customHeight="1" x14ac:dyDescent="0.2">
      <c r="A243" s="299">
        <f>'14. PRM'!A243</f>
        <v>41306</v>
      </c>
      <c r="B243" s="165">
        <f>'14. PRM'!D243</f>
        <v>9.1617324068107603E-2</v>
      </c>
      <c r="C243" s="539">
        <f>'14. PRM'!C243</f>
        <v>1.7485833333333332E-2</v>
      </c>
    </row>
    <row r="244" spans="1:3" ht="15" customHeight="1" x14ac:dyDescent="0.2">
      <c r="A244" s="299">
        <f>'14. PRM'!A244</f>
        <v>41334</v>
      </c>
      <c r="B244" s="165">
        <f>'14. PRM'!D244</f>
        <v>9.6927136697977243E-2</v>
      </c>
      <c r="C244" s="539">
        <f>'14. PRM'!C244</f>
        <v>1.7182500000000003E-2</v>
      </c>
    </row>
    <row r="245" spans="1:3" ht="15" customHeight="1" x14ac:dyDescent="0.2">
      <c r="A245" s="299">
        <f>'14. PRM'!A245</f>
        <v>41365</v>
      </c>
      <c r="B245" s="165">
        <f>'14. PRM'!D245</f>
        <v>0.12584500677797561</v>
      </c>
      <c r="C245" s="539">
        <f>'14. PRM'!C245</f>
        <v>1.6982500000000001E-2</v>
      </c>
    </row>
    <row r="246" spans="1:3" ht="15" customHeight="1" x14ac:dyDescent="0.2">
      <c r="A246" s="299">
        <f>'14. PRM'!A246</f>
        <v>41395</v>
      </c>
      <c r="B246" s="165">
        <f>'14. PRM'!D246</f>
        <v>0.22705785472616311</v>
      </c>
      <c r="C246" s="539">
        <f>'14. PRM'!C246</f>
        <v>1.7468333333333332E-2</v>
      </c>
    </row>
    <row r="247" spans="1:3" ht="15" customHeight="1" x14ac:dyDescent="0.2">
      <c r="A247" s="299">
        <f>'14. PRM'!A247</f>
        <v>41426</v>
      </c>
      <c r="B247" s="165">
        <f>'14. PRM'!D247</f>
        <v>0.16106453050057734</v>
      </c>
      <c r="C247" s="539">
        <f>'14. PRM'!C247</f>
        <v>1.8150833333333335E-2</v>
      </c>
    </row>
    <row r="248" spans="1:3" ht="15" customHeight="1" x14ac:dyDescent="0.2">
      <c r="A248" s="299">
        <f>'14. PRM'!A248</f>
        <v>41456</v>
      </c>
      <c r="B248" s="165">
        <f>'14. PRM'!D248</f>
        <v>0.20307736164680193</v>
      </c>
      <c r="C248" s="539">
        <f>'14. PRM'!C248</f>
        <v>1.9068333333333333E-2</v>
      </c>
    </row>
    <row r="249" spans="1:3" ht="15" customHeight="1" x14ac:dyDescent="0.2">
      <c r="A249" s="299">
        <f>'14. PRM'!A249</f>
        <v>41487</v>
      </c>
      <c r="B249" s="165">
        <f>'14. PRM'!D249</f>
        <v>0.14089317468611823</v>
      </c>
      <c r="C249" s="539">
        <f>'14. PRM'!C249</f>
        <v>2.0057500000000002E-2</v>
      </c>
    </row>
    <row r="250" spans="1:3" ht="15" customHeight="1" x14ac:dyDescent="0.2">
      <c r="A250" s="299">
        <f>'14. PRM'!A250</f>
        <v>41518</v>
      </c>
      <c r="B250" s="165">
        <f>'14. PRM'!D250</f>
        <v>0.14632748334108422</v>
      </c>
      <c r="C250" s="539">
        <f>'14. PRM'!C250</f>
        <v>2.0872499999999995E-2</v>
      </c>
    </row>
    <row r="251" spans="1:3" ht="15" customHeight="1" x14ac:dyDescent="0.2">
      <c r="A251" s="299">
        <f>'14. PRM'!A251</f>
        <v>41548</v>
      </c>
      <c r="B251" s="165">
        <f>'14. PRM'!D251</f>
        <v>0.22228171708588249</v>
      </c>
      <c r="C251" s="539">
        <f>'14. PRM'!C251</f>
        <v>2.1585833333333332E-2</v>
      </c>
    </row>
    <row r="252" spans="1:3" ht="15" customHeight="1" x14ac:dyDescent="0.2">
      <c r="A252" s="299">
        <f>'14. PRM'!A252</f>
        <v>41579</v>
      </c>
      <c r="B252" s="165">
        <f>'14. PRM'!D252</f>
        <v>0.25259578888276896</v>
      </c>
      <c r="C252" s="539">
        <f>'14. PRM'!C252</f>
        <v>2.2531666666666665E-2</v>
      </c>
    </row>
    <row r="253" spans="1:3" ht="15" customHeight="1" x14ac:dyDescent="0.2">
      <c r="A253" s="299">
        <f>'14. PRM'!A253</f>
        <v>41609</v>
      </c>
      <c r="B253" s="165">
        <f>'14. PRM'!D253</f>
        <v>0.27242245275874866</v>
      </c>
      <c r="C253" s="539">
        <f>'14. PRM'!C253</f>
        <v>2.3590000000000003E-2</v>
      </c>
    </row>
    <row r="254" spans="1:3" ht="15" customHeight="1" x14ac:dyDescent="0.2">
      <c r="A254" s="299">
        <f>'14. PRM'!A254</f>
        <v>41640</v>
      </c>
      <c r="B254" s="165">
        <f>'14. PRM'!D254</f>
        <v>0.16573343134015533</v>
      </c>
      <c r="C254" s="539">
        <f>'14. PRM'!C254</f>
        <v>2.4159166666666669E-2</v>
      </c>
    </row>
    <row r="255" spans="1:3" ht="15" customHeight="1" x14ac:dyDescent="0.2">
      <c r="A255" s="299">
        <f>'14. PRM'!A255</f>
        <v>41671</v>
      </c>
      <c r="B255" s="165">
        <f>'14. PRM'!D255</f>
        <v>0.20281820171037218</v>
      </c>
      <c r="C255" s="539">
        <f>'14. PRM'!C255</f>
        <v>2.4800833333333334E-2</v>
      </c>
    </row>
    <row r="256" spans="1:3" ht="15" customHeight="1" x14ac:dyDescent="0.2">
      <c r="A256" s="299">
        <f>'14. PRM'!A256</f>
        <v>41699</v>
      </c>
      <c r="B256" s="165">
        <f>'14. PRM'!D256</f>
        <v>0.16766217598463731</v>
      </c>
      <c r="C256" s="539">
        <f>'14. PRM'!C256</f>
        <v>2.5526666666666666E-2</v>
      </c>
    </row>
    <row r="257" spans="1:3" ht="15" customHeight="1" x14ac:dyDescent="0.2">
      <c r="A257" s="299">
        <f>'14. PRM'!A257</f>
        <v>41730</v>
      </c>
      <c r="B257" s="165">
        <f>'14. PRM'!D257</f>
        <v>0.15292225074644616</v>
      </c>
      <c r="C257" s="539">
        <f>'14. PRM'!C257</f>
        <v>2.63375E-2</v>
      </c>
    </row>
    <row r="258" spans="1:3" ht="15" customHeight="1" x14ac:dyDescent="0.2">
      <c r="A258" s="299">
        <f>'14. PRM'!A258</f>
        <v>41760</v>
      </c>
      <c r="B258" s="165">
        <f>'14. PRM'!D258</f>
        <v>0.15298711805683302</v>
      </c>
      <c r="C258" s="539">
        <f>'14. PRM'!C258</f>
        <v>2.6581666666666667E-2</v>
      </c>
    </row>
    <row r="259" spans="1:3" ht="15" customHeight="1" x14ac:dyDescent="0.2">
      <c r="A259" s="299">
        <f>'14. PRM'!A259</f>
        <v>41791</v>
      </c>
      <c r="B259" s="165">
        <f>'14. PRM'!D259</f>
        <v>0.19374052776186806</v>
      </c>
      <c r="C259" s="539">
        <f>'14. PRM'!C259</f>
        <v>2.6613333333333333E-2</v>
      </c>
    </row>
    <row r="260" spans="1:3" ht="15" customHeight="1" x14ac:dyDescent="0.2">
      <c r="A260" s="299">
        <f>'14. PRM'!A260</f>
        <v>41821</v>
      </c>
      <c r="B260" s="165">
        <f>'14. PRM'!D260</f>
        <v>0.11871953532000984</v>
      </c>
      <c r="C260" s="539">
        <f>'14. PRM'!C260</f>
        <v>2.6582500000000002E-2</v>
      </c>
    </row>
    <row r="261" spans="1:3" ht="15" customHeight="1" x14ac:dyDescent="0.2">
      <c r="A261" s="299">
        <f>'14. PRM'!A261</f>
        <v>41852</v>
      </c>
      <c r="B261" s="165">
        <f>'14. PRM'!D261</f>
        <v>0.20058180074241</v>
      </c>
      <c r="C261" s="539">
        <f>'14. PRM'!C261</f>
        <v>2.6244166666666669E-2</v>
      </c>
    </row>
    <row r="262" spans="1:3" ht="15" customHeight="1" x14ac:dyDescent="0.2">
      <c r="A262" s="299">
        <f>'14. PRM'!A262</f>
        <v>41883</v>
      </c>
      <c r="B262" s="165">
        <f>'14. PRM'!D262</f>
        <v>0.14674500297344711</v>
      </c>
      <c r="C262" s="539">
        <f>'14. PRM'!C262</f>
        <v>2.6154999999999998E-2</v>
      </c>
    </row>
    <row r="263" spans="1:3" ht="15" customHeight="1" x14ac:dyDescent="0.2">
      <c r="A263" s="299">
        <f>'14. PRM'!A263</f>
        <v>41913</v>
      </c>
      <c r="B263" s="165">
        <f>'14. PRM'!D263</f>
        <v>0.12289540770491983</v>
      </c>
      <c r="C263" s="539">
        <f>'14. PRM'!C263</f>
        <v>2.5982499999999999E-2</v>
      </c>
    </row>
    <row r="264" spans="1:3" ht="15" customHeight="1" x14ac:dyDescent="0.2">
      <c r="A264" s="299">
        <f>'14. PRM'!A264</f>
        <v>41944</v>
      </c>
      <c r="B264" s="165">
        <f>'14. PRM'!D264</f>
        <v>0.11942213747108868</v>
      </c>
      <c r="C264" s="539">
        <f>'14. PRM'!C264</f>
        <v>2.5526666666666666E-2</v>
      </c>
    </row>
    <row r="265" spans="1:3" ht="15" customHeight="1" x14ac:dyDescent="0.2">
      <c r="A265" s="299">
        <f>'14. PRM'!A265</f>
        <v>41974</v>
      </c>
      <c r="B265" s="165">
        <f>'14. PRM'!D265</f>
        <v>8.9093048540327652E-2</v>
      </c>
      <c r="C265" s="539">
        <f>'14. PRM'!C265</f>
        <v>2.4813333333333333E-2</v>
      </c>
    </row>
    <row r="266" spans="1:3" ht="15" customHeight="1" x14ac:dyDescent="0.2">
      <c r="A266" s="299">
        <f>'14. PRM'!A266</f>
        <v>42005</v>
      </c>
      <c r="B266" s="165">
        <f>'14. PRM'!D266</f>
        <v>9.5166635826709187E-2</v>
      </c>
      <c r="C266" s="539">
        <f>'14. PRM'!C266</f>
        <v>2.3985833333333331E-2</v>
      </c>
    </row>
    <row r="267" spans="1:3" ht="15" customHeight="1" x14ac:dyDescent="0.2">
      <c r="A267" s="299">
        <f>'14. PRM'!A267</f>
        <v>42036</v>
      </c>
      <c r="B267" s="165">
        <f>'14. PRM'!D267</f>
        <v>0.10834711422284361</v>
      </c>
      <c r="C267" s="539">
        <f>'14. PRM'!C267</f>
        <v>2.3439166666666667E-2</v>
      </c>
    </row>
    <row r="268" spans="1:3" ht="15" customHeight="1" x14ac:dyDescent="0.2">
      <c r="A268" s="299">
        <f>'14. PRM'!A268</f>
        <v>42064</v>
      </c>
      <c r="B268" s="165">
        <f>'14. PRM'!D268</f>
        <v>8.1659834342765275E-2</v>
      </c>
      <c r="C268" s="539">
        <f>'14. PRM'!C268</f>
        <v>2.2781666666666665E-2</v>
      </c>
    </row>
    <row r="269" spans="1:3" ht="15" customHeight="1" x14ac:dyDescent="0.2">
      <c r="A269" s="299">
        <f>'14. PRM'!A269</f>
        <v>42095</v>
      </c>
      <c r="B269" s="165">
        <f>'14. PRM'!D269</f>
        <v>8.470797738793498E-2</v>
      </c>
      <c r="C269" s="539">
        <f>'14. PRM'!C269</f>
        <v>2.2280000000000001E-2</v>
      </c>
    </row>
    <row r="270" spans="1:3" ht="15" customHeight="1" x14ac:dyDescent="0.2">
      <c r="A270" s="299">
        <f>'14. PRM'!A270</f>
        <v>42125</v>
      </c>
      <c r="B270" s="165">
        <f>'14. PRM'!D270</f>
        <v>7.3583564596037529E-2</v>
      </c>
      <c r="C270" s="539">
        <f>'14. PRM'!C270</f>
        <v>2.1978333333333332E-2</v>
      </c>
    </row>
    <row r="271" spans="1:3" ht="15" customHeight="1" x14ac:dyDescent="0.2">
      <c r="A271" s="299">
        <f>'14. PRM'!A271</f>
        <v>42156</v>
      </c>
      <c r="B271" s="165">
        <f>'14. PRM'!D271</f>
        <v>3.0656137124214999E-2</v>
      </c>
      <c r="C271" s="539">
        <f>'14. PRM'!C271</f>
        <v>2.18275E-2</v>
      </c>
    </row>
    <row r="272" spans="1:3" ht="15" customHeight="1" x14ac:dyDescent="0.2">
      <c r="A272" s="299">
        <f>'14. PRM'!A272</f>
        <v>42186</v>
      </c>
      <c r="B272" s="165">
        <f>'14. PRM'!D272</f>
        <v>6.8159251218489064E-2</v>
      </c>
      <c r="C272" s="539">
        <f>'14. PRM'!C272</f>
        <v>2.1534999999999999E-2</v>
      </c>
    </row>
    <row r="273" spans="1:3" ht="15" customHeight="1" x14ac:dyDescent="0.2">
      <c r="A273" s="299">
        <f>'14. PRM'!A273</f>
        <v>42217</v>
      </c>
      <c r="B273" s="165">
        <f>'14. PRM'!D273</f>
        <v>-3.6984599961564703E-2</v>
      </c>
      <c r="C273" s="539">
        <f>'14. PRM'!C273</f>
        <v>2.1415833333333335E-2</v>
      </c>
    </row>
    <row r="274" spans="1:3" ht="15" customHeight="1" x14ac:dyDescent="0.2">
      <c r="A274" s="299">
        <f>'14. PRM'!A274</f>
        <v>42248</v>
      </c>
      <c r="B274" s="165">
        <f>'14. PRM'!D274</f>
        <v>-4.7539617563847093E-2</v>
      </c>
      <c r="C274" s="539">
        <f>'14. PRM'!C274</f>
        <v>2.1042499999999999E-2</v>
      </c>
    </row>
    <row r="275" spans="1:3" ht="15" customHeight="1" x14ac:dyDescent="0.2">
      <c r="A275" s="299">
        <f>'14. PRM'!A275</f>
        <v>42278</v>
      </c>
      <c r="B275" s="165">
        <f>'14. PRM'!D275</f>
        <v>9.4916464945533213E-3</v>
      </c>
      <c r="C275" s="539">
        <f>'14. PRM'!C275</f>
        <v>2.0889166666666667E-2</v>
      </c>
    </row>
    <row r="276" spans="1:3" ht="15" customHeight="1" x14ac:dyDescent="0.2">
      <c r="A276" s="299">
        <f>'14. PRM'!A276</f>
        <v>42309</v>
      </c>
      <c r="B276" s="165">
        <f>'14. PRM'!D276</f>
        <v>-1.4694111239012785E-2</v>
      </c>
      <c r="C276" s="539">
        <f>'14. PRM'!C276</f>
        <v>2.0909166666666666E-2</v>
      </c>
    </row>
    <row r="277" spans="1:3" ht="15" customHeight="1" x14ac:dyDescent="0.2">
      <c r="A277" s="299">
        <f>'14. PRM'!A277</f>
        <v>42339</v>
      </c>
      <c r="B277" s="165">
        <f>'14. PRM'!D277</f>
        <v>-2.8257682500364235E-2</v>
      </c>
      <c r="C277" s="539">
        <f>'14. PRM'!C277</f>
        <v>2.0991666666666665E-2</v>
      </c>
    </row>
    <row r="278" spans="1:3" ht="15" customHeight="1" x14ac:dyDescent="0.2">
      <c r="A278" s="299">
        <f>'14. PRM'!A278</f>
        <v>42370</v>
      </c>
      <c r="B278" s="165">
        <f>'14. PRM'!D278</f>
        <v>-4.8648746585195884E-2</v>
      </c>
      <c r="C278" s="539">
        <f>'14. PRM'!C278</f>
        <v>2.1205000000000002E-2</v>
      </c>
    </row>
    <row r="279" spans="1:3" ht="15" customHeight="1" x14ac:dyDescent="0.2">
      <c r="A279" s="299">
        <f>'14. PRM'!A279</f>
        <v>42401</v>
      </c>
      <c r="B279" s="165">
        <f>'14. PRM'!D279</f>
        <v>-0.10284459016393439</v>
      </c>
      <c r="C279" s="539">
        <f>'14. PRM'!C279</f>
        <v>2.0986666666666667E-2</v>
      </c>
    </row>
    <row r="280" spans="1:3" ht="15" customHeight="1" x14ac:dyDescent="0.2">
      <c r="A280" s="299">
        <f>'14. PRM'!A280</f>
        <v>42430</v>
      </c>
      <c r="B280" s="165">
        <f>'14. PRM'!D280</f>
        <v>-2.4804548775160574E-2</v>
      </c>
      <c r="C280" s="539">
        <f>'14. PRM'!C280</f>
        <v>2.0863333333333334E-2</v>
      </c>
    </row>
    <row r="281" spans="1:3" ht="15" customHeight="1" x14ac:dyDescent="0.2">
      <c r="A281" s="299">
        <f>'14. PRM'!A281</f>
        <v>42461</v>
      </c>
      <c r="B281" s="165">
        <f>'14. PRM'!D281</f>
        <v>-3.0364841849235946E-2</v>
      </c>
      <c r="C281" s="539">
        <f>'14. PRM'!C281</f>
        <v>2.0674166666666671E-2</v>
      </c>
    </row>
    <row r="282" spans="1:3" ht="15" customHeight="1" x14ac:dyDescent="0.2">
      <c r="A282" s="299">
        <f>'14. PRM'!A282</f>
        <v>42491</v>
      </c>
      <c r="B282" s="165">
        <f>'14. PRM'!D282</f>
        <v>-2.540591668683366E-2</v>
      </c>
      <c r="C282" s="539">
        <f>'14. PRM'!C282</f>
        <v>2.0456666666666665E-2</v>
      </c>
    </row>
    <row r="283" spans="1:3" ht="15" customHeight="1" x14ac:dyDescent="0.2">
      <c r="A283" s="299">
        <f>'14. PRM'!A283</f>
        <v>42522</v>
      </c>
      <c r="B283" s="165">
        <f>'14. PRM'!D283</f>
        <v>-2.4226249489040542E-3</v>
      </c>
      <c r="C283" s="539">
        <f>'14. PRM'!C283</f>
        <v>1.9750833333333332E-2</v>
      </c>
    </row>
    <row r="284" spans="1:3" ht="15" customHeight="1" x14ac:dyDescent="0.2">
      <c r="A284" s="299">
        <f>'14. PRM'!A284</f>
        <v>42552</v>
      </c>
      <c r="B284" s="165">
        <f>'14. PRM'!D284</f>
        <v>1.4030081755266405E-2</v>
      </c>
      <c r="C284" s="539">
        <f>'14. PRM'!C284</f>
        <v>1.9128333333333331E-2</v>
      </c>
    </row>
    <row r="285" spans="1:3" ht="15" customHeight="1" x14ac:dyDescent="0.2">
      <c r="A285" s="299">
        <f>'14. PRM'!A285</f>
        <v>42583</v>
      </c>
      <c r="B285" s="165">
        <f>'14. PRM'!D285</f>
        <v>8.2185279758101706E-2</v>
      </c>
      <c r="C285" s="539">
        <f>'14. PRM'!C285</f>
        <v>1.8601666666666666E-2</v>
      </c>
    </row>
    <row r="286" spans="1:3" ht="15" customHeight="1" x14ac:dyDescent="0.2">
      <c r="A286" s="299">
        <f>'14. PRM'!A286</f>
        <v>42614</v>
      </c>
      <c r="B286" s="165">
        <f>'14. PRM'!D286</f>
        <v>0.11106464651593989</v>
      </c>
      <c r="C286" s="539">
        <f>'14. PRM'!C286</f>
        <v>1.8224999999999998E-2</v>
      </c>
    </row>
    <row r="287" spans="1:3" ht="15" customHeight="1" x14ac:dyDescent="0.2">
      <c r="A287" s="299">
        <f>'14. PRM'!A287</f>
        <v>42644</v>
      </c>
      <c r="B287" s="165">
        <f>'14. PRM'!D287</f>
        <v>4.5412827023699615E-3</v>
      </c>
      <c r="C287" s="539">
        <f>'14. PRM'!C287</f>
        <v>1.7960833333333329E-2</v>
      </c>
    </row>
    <row r="288" spans="1:3" ht="15" customHeight="1" x14ac:dyDescent="0.2">
      <c r="A288" s="299">
        <f>'14. PRM'!A288</f>
        <v>42675</v>
      </c>
      <c r="B288" s="165">
        <f>'14. PRM'!D288</f>
        <v>3.8826025386822921E-2</v>
      </c>
      <c r="C288" s="539">
        <f>'14. PRM'!C288</f>
        <v>1.8085833333333332E-2</v>
      </c>
    </row>
    <row r="289" spans="1:3" ht="15" customHeight="1" x14ac:dyDescent="0.2">
      <c r="A289" s="299">
        <f>'14. PRM'!A289</f>
        <v>42705</v>
      </c>
      <c r="B289" s="165">
        <f>'14. PRM'!D289</f>
        <v>7.7116823716286462E-2</v>
      </c>
      <c r="C289" s="539">
        <f>'14. PRM'!C289</f>
        <v>1.8233333333333334E-2</v>
      </c>
    </row>
    <row r="290" spans="1:3" ht="15" customHeight="1" x14ac:dyDescent="0.2">
      <c r="A290" s="299">
        <f>'14. PRM'!A290</f>
        <v>42736</v>
      </c>
      <c r="B290" s="165">
        <f>'14. PRM'!D290</f>
        <v>0.15586328839043956</v>
      </c>
      <c r="C290" s="539">
        <f>'14. PRM'!C290</f>
        <v>1.8666666666666668E-2</v>
      </c>
    </row>
    <row r="291" spans="1:3" ht="15" customHeight="1" x14ac:dyDescent="0.2">
      <c r="A291" s="299">
        <f>'14. PRM'!A291</f>
        <v>42767</v>
      </c>
      <c r="B291" s="165">
        <f>'14. PRM'!D291</f>
        <v>0.20408885495860551</v>
      </c>
      <c r="C291" s="539">
        <f>'14. PRM'!C291</f>
        <v>1.9181666666666666E-2</v>
      </c>
    </row>
    <row r="292" spans="1:3" ht="15" customHeight="1" x14ac:dyDescent="0.2">
      <c r="A292" s="299">
        <f>'14. PRM'!A292</f>
        <v>42795</v>
      </c>
      <c r="B292" s="165">
        <f>'14. PRM'!D292</f>
        <v>0.12740623544719229</v>
      </c>
      <c r="C292" s="539">
        <f>'14. PRM'!C292</f>
        <v>1.9690000000000003E-2</v>
      </c>
    </row>
    <row r="293" spans="1:3" ht="15" customHeight="1" x14ac:dyDescent="0.2">
      <c r="A293" s="299">
        <f>'14. PRM'!A293</f>
        <v>42826</v>
      </c>
      <c r="B293" s="165">
        <f>'14. PRM'!D293</f>
        <v>0.13433272716635164</v>
      </c>
      <c r="C293" s="539">
        <f>'14. PRM'!C293</f>
        <v>2.0075833333333334E-2</v>
      </c>
    </row>
    <row r="294" spans="1:3" ht="15" customHeight="1" x14ac:dyDescent="0.2">
      <c r="A294" s="299">
        <f>'14. PRM'!A294</f>
        <v>42856</v>
      </c>
      <c r="B294" s="165">
        <f>'14. PRM'!D294</f>
        <v>0.12976365672211204</v>
      </c>
      <c r="C294" s="539">
        <f>'14. PRM'!C294</f>
        <v>2.0377500000000003E-2</v>
      </c>
    </row>
    <row r="295" spans="1:3" ht="15" customHeight="1" x14ac:dyDescent="0.2">
      <c r="A295" s="299">
        <f>'14. PRM'!A295</f>
        <v>42887</v>
      </c>
      <c r="B295" s="165">
        <f>'14. PRM'!D295</f>
        <v>0.13357572856217165</v>
      </c>
      <c r="C295" s="539">
        <f>'14. PRM'!C295</f>
        <v>2.1055833333333336E-2</v>
      </c>
    </row>
    <row r="296" spans="1:3" ht="15" customHeight="1" x14ac:dyDescent="0.2">
      <c r="A296" s="299">
        <f>'14. PRM'!A296</f>
        <v>42917</v>
      </c>
      <c r="B296" s="165">
        <f>'14. PRM'!D296</f>
        <v>0.11475082290516508</v>
      </c>
      <c r="C296" s="539">
        <f>'14. PRM'!C296</f>
        <v>2.1750833333333334E-2</v>
      </c>
    </row>
    <row r="297" spans="1:3" ht="15" customHeight="1" x14ac:dyDescent="0.2">
      <c r="A297" s="299">
        <f>'14. PRM'!A297</f>
        <v>42948</v>
      </c>
      <c r="B297" s="165">
        <f>'14. PRM'!D297</f>
        <v>0.11629912354038571</v>
      </c>
      <c r="C297" s="539">
        <f>'14. PRM'!C297</f>
        <v>2.2211666666666664E-2</v>
      </c>
    </row>
    <row r="298" spans="1:3" ht="15" customHeight="1" x14ac:dyDescent="0.2">
      <c r="A298" s="299">
        <f>'14. PRM'!A298</f>
        <v>42979</v>
      </c>
      <c r="B298" s="165">
        <f>'14. PRM'!D298</f>
        <v>0.13911171639140885</v>
      </c>
      <c r="C298" s="539">
        <f>'14. PRM'!C298</f>
        <v>2.281E-2</v>
      </c>
    </row>
    <row r="299" spans="1:3" ht="15" customHeight="1" x14ac:dyDescent="0.2">
      <c r="A299" s="299">
        <f>'14. PRM'!A299</f>
        <v>43009</v>
      </c>
      <c r="B299" s="165">
        <f>'14. PRM'!D299</f>
        <v>0.18796990213139569</v>
      </c>
      <c r="C299" s="539">
        <f>'14. PRM'!C299</f>
        <v>2.326166666666667E-2</v>
      </c>
    </row>
    <row r="300" spans="1:3" ht="15" customHeight="1" x14ac:dyDescent="0.2">
      <c r="A300" s="299">
        <f>'14. PRM'!A300</f>
        <v>43040</v>
      </c>
      <c r="B300" s="165">
        <f>'14. PRM'!D300</f>
        <v>0.18079426143004618</v>
      </c>
      <c r="C300" s="539">
        <f>'14. PRM'!C300</f>
        <v>2.33025E-2</v>
      </c>
    </row>
    <row r="301" spans="1:3" ht="15" customHeight="1" x14ac:dyDescent="0.2">
      <c r="A301" s="299">
        <f>'14. PRM'!A301</f>
        <v>43070</v>
      </c>
      <c r="B301" s="165">
        <f>'14. PRM'!D301</f>
        <v>0.17093131559043495</v>
      </c>
      <c r="C301" s="539">
        <f>'14. PRM'!C301</f>
        <v>2.3268333333333335E-2</v>
      </c>
    </row>
    <row r="302" spans="1:3" ht="15" customHeight="1" x14ac:dyDescent="0.2">
      <c r="A302" s="299">
        <f>'14. PRM'!A302</f>
        <v>43101</v>
      </c>
      <c r="B302" s="165">
        <f>'14. PRM'!D302</f>
        <v>0.21563478676931994</v>
      </c>
      <c r="C302" s="539">
        <f>'14. PRM'!C302</f>
        <v>2.3492499999999999E-2</v>
      </c>
    </row>
    <row r="303" spans="1:3" ht="15" customHeight="1" x14ac:dyDescent="0.2">
      <c r="A303" s="299">
        <f>'14. PRM'!A303</f>
        <v>43132</v>
      </c>
      <c r="B303" s="165">
        <f>'14. PRM'!D303</f>
        <v>0.12423957975833892</v>
      </c>
      <c r="C303" s="539">
        <f>'14. PRM'!C303</f>
        <v>2.3917499999999994E-2</v>
      </c>
    </row>
    <row r="304" spans="1:3" ht="15" customHeight="1" x14ac:dyDescent="0.2">
      <c r="A304" s="299">
        <f>'14. PRM'!A304</f>
        <v>43160</v>
      </c>
      <c r="B304" s="165">
        <f>'14. PRM'!D304</f>
        <v>9.3519487031895415E-2</v>
      </c>
      <c r="C304" s="539">
        <f>'14. PRM'!C304</f>
        <v>2.4204999999999997E-2</v>
      </c>
    </row>
    <row r="305" spans="1:3" ht="15" customHeight="1" x14ac:dyDescent="0.2">
      <c r="A305" s="299">
        <f>'14. PRM'!A305</f>
        <v>43191</v>
      </c>
      <c r="B305" s="165">
        <f>'14. PRM'!D305</f>
        <v>8.5916051505746271E-2</v>
      </c>
      <c r="C305" s="539">
        <f>'14. PRM'!C305</f>
        <v>2.4750000000000001E-2</v>
      </c>
    </row>
    <row r="306" spans="1:3" ht="15" customHeight="1" x14ac:dyDescent="0.2">
      <c r="A306" s="299">
        <f>'14. PRM'!A306</f>
        <v>43221</v>
      </c>
      <c r="B306" s="165">
        <f>'14. PRM'!D306</f>
        <v>9.6409235564032386E-2</v>
      </c>
      <c r="C306" s="539">
        <f>'14. PRM'!C306</f>
        <v>2.5271666666666665E-2</v>
      </c>
    </row>
    <row r="307" spans="1:3" ht="15" customHeight="1" x14ac:dyDescent="0.2">
      <c r="A307" s="299">
        <f>'14. PRM'!A307</f>
        <v>43252</v>
      </c>
      <c r="B307" s="165">
        <f>'14. PRM'!D307</f>
        <v>9.5985293130341223E-2</v>
      </c>
      <c r="C307" s="539">
        <f>'14. PRM'!C307</f>
        <v>2.5727499999999997E-2</v>
      </c>
    </row>
    <row r="308" spans="1:3" ht="15" customHeight="1" x14ac:dyDescent="0.2">
      <c r="A308" s="299">
        <f>'14. PRM'!A308</f>
        <v>43282</v>
      </c>
      <c r="B308" s="165">
        <f>'14. PRM'!D308</f>
        <v>0.11377241175160904</v>
      </c>
      <c r="C308" s="539">
        <f>'14. PRM'!C308</f>
        <v>2.6287499999999998E-2</v>
      </c>
    </row>
    <row r="309" spans="1:3" ht="15" customHeight="1" x14ac:dyDescent="0.2">
      <c r="A309" s="299">
        <f>'14. PRM'!A309</f>
        <v>43313</v>
      </c>
      <c r="B309" s="165">
        <f>'14. PRM'!D309</f>
        <v>0.14702275569963377</v>
      </c>
      <c r="C309" s="539">
        <f>'14. PRM'!C309</f>
        <v>2.6897500000000001E-2</v>
      </c>
    </row>
    <row r="310" spans="1:3" ht="15" customHeight="1" x14ac:dyDescent="0.2">
      <c r="A310" s="299">
        <f>'14. PRM'!A310</f>
        <v>43344</v>
      </c>
      <c r="B310" s="165">
        <f>'14. PRM'!D310</f>
        <v>0.12912918508404236</v>
      </c>
      <c r="C310" s="539">
        <f>'14. PRM'!C310</f>
        <v>2.750583333333333E-2</v>
      </c>
    </row>
    <row r="311" spans="1:3" ht="15" customHeight="1" x14ac:dyDescent="0.2">
      <c r="A311" s="299">
        <f>'14. PRM'!A311</f>
        <v>43374</v>
      </c>
      <c r="B311" s="165">
        <f>'14. PRM'!D311</f>
        <v>2.4838257302175211E-2</v>
      </c>
      <c r="C311" s="539">
        <f>'14. PRM'!C311</f>
        <v>2.8158333333333334E-2</v>
      </c>
    </row>
    <row r="312" spans="1:3" ht="15" customHeight="1" x14ac:dyDescent="0.2">
      <c r="A312" s="299">
        <f>'14. PRM'!A312</f>
        <v>43405</v>
      </c>
      <c r="B312" s="165">
        <f>'14. PRM'!D312</f>
        <v>1.3870627176515975E-2</v>
      </c>
      <c r="C312" s="539">
        <f>'14. PRM'!C312</f>
        <v>2.8655000000000003E-2</v>
      </c>
    </row>
    <row r="313" spans="1:3" ht="15" customHeight="1" x14ac:dyDescent="0.2">
      <c r="A313" s="299">
        <f>'14. PRM'!A313</f>
        <v>43435</v>
      </c>
      <c r="B313" s="165">
        <f>'14. PRM'!D313</f>
        <v>-9.1261764016317609E-2</v>
      </c>
      <c r="C313" s="539">
        <f>'14. PRM'!C313</f>
        <v>2.8889166666666667E-2</v>
      </c>
    </row>
    <row r="314" spans="1:3" ht="15" customHeight="1" x14ac:dyDescent="0.2">
      <c r="A314" s="299">
        <f>'14. PRM'!A314</f>
        <v>43466</v>
      </c>
      <c r="B314" s="165">
        <f>'14. PRM'!D314</f>
        <v>-7.1211412187788869E-2</v>
      </c>
      <c r="C314" s="539">
        <f>'14. PRM'!C314</f>
        <v>2.8818333333333331E-2</v>
      </c>
    </row>
    <row r="315" spans="1:3" ht="15" customHeight="1" x14ac:dyDescent="0.2">
      <c r="A315" s="299">
        <f>'14. PRM'!A315</f>
        <v>43497</v>
      </c>
      <c r="B315" s="165">
        <f>'14. PRM'!D315</f>
        <v>-2.6504969452765467E-3</v>
      </c>
      <c r="C315" s="539">
        <f>'14. PRM'!C315</f>
        <v>2.8687499999999998E-2</v>
      </c>
    </row>
    <row r="316" spans="1:3" ht="15" customHeight="1" x14ac:dyDescent="0.2">
      <c r="A316" s="299">
        <f>'14. PRM'!A316</f>
        <v>43525</v>
      </c>
      <c r="B316" s="165">
        <f>'14. PRM'!D316</f>
        <v>4.4867668211612116E-2</v>
      </c>
      <c r="C316" s="539">
        <f>'14. PRM'!C316</f>
        <v>2.8414999999999999E-2</v>
      </c>
    </row>
    <row r="317" spans="1:3" ht="15" customHeight="1" x14ac:dyDescent="0.2">
      <c r="A317" s="299">
        <f>'14. PRM'!A317</f>
        <v>43556</v>
      </c>
      <c r="B317" s="165">
        <f>'14. PRM'!D317</f>
        <v>8.4393392763857683E-2</v>
      </c>
      <c r="C317" s="539">
        <f>'14. PRM'!C317</f>
        <v>2.8059166666666666E-2</v>
      </c>
    </row>
    <row r="318" spans="1:3" ht="15" customHeight="1" x14ac:dyDescent="0.2">
      <c r="A318" s="299">
        <f>'14. PRM'!A318</f>
        <v>43586</v>
      </c>
      <c r="B318" s="165">
        <f>'14. PRM'!D318</f>
        <v>-1.0196629347532706E-2</v>
      </c>
      <c r="C318" s="539">
        <f>'14. PRM'!C318</f>
        <v>2.74925E-2</v>
      </c>
    </row>
    <row r="319" spans="1:3" ht="15" customHeight="1" x14ac:dyDescent="0.2">
      <c r="A319" s="299">
        <f>'14. PRM'!A319</f>
        <v>43617</v>
      </c>
      <c r="B319" s="165">
        <f>'14. PRM'!D319</f>
        <v>5.539292279932468E-2</v>
      </c>
      <c r="C319" s="539">
        <f>'14. PRM'!C319</f>
        <v>2.6784999999999996E-2</v>
      </c>
    </row>
    <row r="320" spans="1:3" ht="15" customHeight="1" x14ac:dyDescent="0.2">
      <c r="A320" s="299">
        <f>'14. PRM'!A320</f>
        <v>43647</v>
      </c>
      <c r="B320" s="165">
        <f>'14. PRM'!D320</f>
        <v>3.2265429663966963E-2</v>
      </c>
      <c r="C320" s="539">
        <f>'14. PRM'!C320</f>
        <v>2.5999166666666667E-2</v>
      </c>
    </row>
    <row r="321" spans="1:3" ht="15" customHeight="1" x14ac:dyDescent="0.2">
      <c r="A321" s="299">
        <f>'14. PRM'!A321</f>
        <v>43678</v>
      </c>
      <c r="B321" s="165">
        <f>'14. PRM'!D321</f>
        <v>-1.6281171891514356E-2</v>
      </c>
      <c r="C321" s="539">
        <f>'14. PRM'!C321</f>
        <v>2.4876666666666668E-2</v>
      </c>
    </row>
    <row r="322" spans="1:3" ht="15" customHeight="1" x14ac:dyDescent="0.2">
      <c r="A322" s="299">
        <f>'14. PRM'!A322</f>
        <v>43709</v>
      </c>
      <c r="B322" s="165">
        <f>'14. PRM'!D322</f>
        <v>-2.1882798840989759E-3</v>
      </c>
      <c r="C322" s="539">
        <f>'14. PRM'!C322</f>
        <v>2.3725833333333335E-2</v>
      </c>
    </row>
    <row r="323" spans="1:3" ht="15" customHeight="1" x14ac:dyDescent="0.2">
      <c r="A323" s="299">
        <f>'14. PRM'!A323</f>
        <v>43739</v>
      </c>
      <c r="B323" s="165">
        <f>'14. PRM'!D323</f>
        <v>9.7649136956345348E-2</v>
      </c>
      <c r="C323" s="539">
        <f>'14. PRM'!C323</f>
        <v>2.2502499999999998E-2</v>
      </c>
    </row>
    <row r="324" spans="1:3" ht="15" customHeight="1" x14ac:dyDescent="0.2">
      <c r="A324" s="299">
        <f>'14. PRM'!A324</f>
        <v>43770</v>
      </c>
      <c r="B324" s="165">
        <f>'14. PRM'!D324</f>
        <v>0.11649447310008687</v>
      </c>
      <c r="C324" s="539">
        <f>'14. PRM'!C324</f>
        <v>2.1471666666666667E-2</v>
      </c>
    </row>
    <row r="325" spans="1:3" ht="15" customHeight="1" x14ac:dyDescent="0.2">
      <c r="A325" s="299">
        <f>'14. PRM'!A325</f>
        <v>43800</v>
      </c>
      <c r="B325" s="165">
        <f>'14. PRM'!D325</f>
        <v>0.26794824077028961</v>
      </c>
      <c r="C325" s="539">
        <f>'14. PRM'!C325</f>
        <v>2.08325E-2</v>
      </c>
    </row>
    <row r="326" spans="1:3" ht="15" customHeight="1" x14ac:dyDescent="0.2">
      <c r="A326" s="299">
        <f>'14. PRM'!A326</f>
        <v>43831</v>
      </c>
      <c r="B326" s="165">
        <f>'14. PRM'!D326</f>
        <v>0.17292237577505759</v>
      </c>
      <c r="C326" s="539">
        <f>'14. PRM'!C326</f>
        <v>1.9903333333333332E-2</v>
      </c>
    </row>
    <row r="327" spans="1:3" ht="15" customHeight="1" x14ac:dyDescent="0.2">
      <c r="A327" s="299">
        <f>'14. PRM'!A327</f>
        <v>43862</v>
      </c>
      <c r="B327" s="165">
        <f>'14. PRM'!D327</f>
        <v>4.2372173779279772E-2</v>
      </c>
      <c r="C327" s="539">
        <f>'14. PRM'!C327</f>
        <v>1.8583333333333334E-2</v>
      </c>
    </row>
    <row r="328" spans="1:3" ht="15" customHeight="1" x14ac:dyDescent="0.2">
      <c r="A328" s="299">
        <f>'14. PRM'!A328</f>
        <v>43891</v>
      </c>
      <c r="B328" s="165">
        <f>'14. PRM'!D328</f>
        <v>-0.10528838837143659</v>
      </c>
      <c r="C328" s="539">
        <f>'14. PRM'!C328</f>
        <v>1.7153333333333333E-2</v>
      </c>
    </row>
    <row r="329" spans="1:3" ht="15" customHeight="1" x14ac:dyDescent="0.2">
      <c r="A329" s="299">
        <f>'14. PRM'!A329</f>
        <v>43922</v>
      </c>
      <c r="B329" s="165">
        <f>'14. PRM'!D329</f>
        <v>-2.691889425334577E-2</v>
      </c>
      <c r="C329" s="539">
        <f>'14. PRM'!C329</f>
        <v>1.5580833333333332E-2</v>
      </c>
    </row>
    <row r="330" spans="1:3" ht="15" customHeight="1" x14ac:dyDescent="0.2">
      <c r="A330" s="299">
        <f>'14. PRM'!A330</f>
        <v>43952</v>
      </c>
      <c r="B330" s="165">
        <f>'14. PRM'!D330</f>
        <v>9.1857345594451675E-2</v>
      </c>
      <c r="C330" s="539">
        <f>'14. PRM'!C330</f>
        <v>1.4335833333333336E-2</v>
      </c>
    </row>
    <row r="331" spans="1:3" ht="15" customHeight="1" x14ac:dyDescent="0.2">
      <c r="A331" s="299">
        <f>'14. PRM'!A331</f>
        <v>43983</v>
      </c>
      <c r="B331" s="165">
        <f>'14. PRM'!D331</f>
        <v>4.0676174988215595E-2</v>
      </c>
      <c r="C331" s="539">
        <f>'14. PRM'!C331</f>
        <v>1.3213333333333334E-2</v>
      </c>
    </row>
    <row r="332" spans="1:3" ht="15" customHeight="1" x14ac:dyDescent="0.2">
      <c r="A332" s="299">
        <f>'14. PRM'!A332</f>
        <v>44013</v>
      </c>
      <c r="B332" s="165">
        <f>'14. PRM'!D332</f>
        <v>8.5575485625993999E-2</v>
      </c>
      <c r="C332" s="539">
        <f>'14. PRM'!C332</f>
        <v>1.1975833333333335E-2</v>
      </c>
    </row>
    <row r="333" spans="1:3" ht="15" customHeight="1" x14ac:dyDescent="0.2">
      <c r="A333" s="299">
        <f>'14. PRM'!A333</f>
        <v>44044</v>
      </c>
      <c r="B333" s="165">
        <f>'14. PRM'!D333</f>
        <v>0.18479182337477126</v>
      </c>
      <c r="C333" s="539">
        <f>'14. PRM'!C333</f>
        <v>1.1298333333333332E-2</v>
      </c>
    </row>
    <row r="334" spans="1:3" ht="15" customHeight="1" x14ac:dyDescent="0.2">
      <c r="A334" s="299">
        <f>'14. PRM'!A334</f>
        <v>44075</v>
      </c>
      <c r="B334" s="165">
        <f>'14. PRM'!D334</f>
        <v>0.11929273455749141</v>
      </c>
      <c r="C334" s="539">
        <f>'14. PRM'!C334</f>
        <v>1.0466666666666666E-2</v>
      </c>
    </row>
    <row r="335" spans="1:3" ht="15" customHeight="1" x14ac:dyDescent="0.2">
      <c r="A335" s="299">
        <f>'14. PRM'!A335</f>
        <v>44105</v>
      </c>
      <c r="B335" s="165">
        <f>'14. PRM'!D335</f>
        <v>6.6734610114697251E-2</v>
      </c>
      <c r="C335" s="539">
        <f>'14. PRM'!C335</f>
        <v>9.7741666666666654E-3</v>
      </c>
    </row>
    <row r="336" spans="1:3" ht="15" customHeight="1" x14ac:dyDescent="0.2">
      <c r="A336" s="299">
        <f>'14. PRM'!A336</f>
        <v>44136</v>
      </c>
      <c r="B336" s="165">
        <f>'14. PRM'!D336</f>
        <v>0.14402798886016477</v>
      </c>
      <c r="C336" s="539">
        <f>'14. PRM'!C336</f>
        <v>8.9974999999999968E-3</v>
      </c>
    </row>
    <row r="337" spans="1:3" ht="15" customHeight="1" x14ac:dyDescent="0.2">
      <c r="A337" s="299">
        <f>'14. PRM'!A337</f>
        <v>44166</v>
      </c>
      <c r="B337" s="165">
        <f>'14. PRM'!D337</f>
        <v>0.15442671994069532</v>
      </c>
      <c r="C337" s="539">
        <f>'14. PRM'!C337</f>
        <v>8.1624999999999979E-3</v>
      </c>
    </row>
    <row r="338" spans="1:3" ht="15" customHeight="1" x14ac:dyDescent="0.2">
      <c r="A338" s="299">
        <f>'14. PRM'!A338</f>
        <v>44197</v>
      </c>
      <c r="B338" s="165">
        <f>'14. PRM'!D338</f>
        <v>0.14370998801226884</v>
      </c>
      <c r="C338" s="539">
        <f>'14. PRM'!C338</f>
        <v>7.8066666666666675E-3</v>
      </c>
    </row>
    <row r="339" spans="1:3" ht="15" customHeight="1" x14ac:dyDescent="0.2">
      <c r="A339" s="299">
        <f>'14. PRM'!A339</f>
        <v>44228</v>
      </c>
      <c r="B339" s="165">
        <f>'14. PRM'!D339</f>
        <v>0.2819856317911329</v>
      </c>
      <c r="C339" s="539">
        <f>'14. PRM'!C339</f>
        <v>8.0841666666666666E-3</v>
      </c>
    </row>
    <row r="340" spans="1:3" ht="15" customHeight="1" x14ac:dyDescent="0.2">
      <c r="A340" s="299">
        <f>'14. PRM'!A340</f>
        <v>44256</v>
      </c>
      <c r="B340" s="165">
        <f>'14. PRM'!D340</f>
        <v>0.52818765648516774</v>
      </c>
      <c r="C340" s="539">
        <f>'14. PRM'!C340</f>
        <v>8.9575000000000002E-3</v>
      </c>
    </row>
    <row r="341" spans="1:3" ht="15" customHeight="1" x14ac:dyDescent="0.2">
      <c r="A341" s="299">
        <f>'14. PRM'!A341</f>
        <v>44287</v>
      </c>
      <c r="B341" s="165">
        <f>'14. PRM'!D341</f>
        <v>0.42583102084856983</v>
      </c>
      <c r="C341" s="539">
        <f>'14. PRM'!C341</f>
        <v>9.7983333333333342E-3</v>
      </c>
    </row>
    <row r="342" spans="1:3" ht="15" customHeight="1" x14ac:dyDescent="0.2">
      <c r="A342" s="299">
        <f>'14. PRM'!A342</f>
        <v>44317</v>
      </c>
      <c r="B342" s="165">
        <f>'14. PRM'!D342</f>
        <v>0.37039719503762758</v>
      </c>
      <c r="C342" s="539">
        <f>'14. PRM'!C342</f>
        <v>1.0575833333333333E-2</v>
      </c>
    </row>
    <row r="343" spans="1:3" ht="15" customHeight="1" x14ac:dyDescent="0.2">
      <c r="A343" s="299">
        <f>'14. PRM'!A343</f>
        <v>44348</v>
      </c>
      <c r="B343" s="165">
        <f>'14. PRM'!D343</f>
        <v>0.37492648282096197</v>
      </c>
      <c r="C343" s="539">
        <f>'14. PRM'!C343</f>
        <v>1.1234166666666667E-2</v>
      </c>
    </row>
    <row r="344" spans="1:3" ht="15" customHeight="1" x14ac:dyDescent="0.2">
      <c r="A344" s="299">
        <f>'14. PRM'!A344</f>
        <v>44378</v>
      </c>
      <c r="B344" s="165">
        <f>'14. PRM'!D344</f>
        <v>0.33183599550001225</v>
      </c>
      <c r="C344" s="539">
        <f>'14. PRM'!C344</f>
        <v>1.1819999999999999E-2</v>
      </c>
    </row>
    <row r="345" spans="1:3" ht="15" customHeight="1" x14ac:dyDescent="0.2">
      <c r="A345" s="299">
        <f>'14. PRM'!A345</f>
        <v>44409</v>
      </c>
      <c r="B345" s="165">
        <f>'14. PRM'!D345</f>
        <v>0.27975067768997613</v>
      </c>
      <c r="C345" s="539">
        <f>'14. PRM'!C345</f>
        <v>1.2329166666666667E-2</v>
      </c>
    </row>
    <row r="346" spans="1:3" ht="15" customHeight="1" x14ac:dyDescent="0.2">
      <c r="A346" s="299">
        <f>'14. PRM'!A346</f>
        <v>44440</v>
      </c>
      <c r="B346" s="165">
        <f>'14. PRM'!D346</f>
        <v>0.26782315863812062</v>
      </c>
      <c r="C346" s="539">
        <f>'14. PRM'!C346</f>
        <v>1.3039166666666666E-2</v>
      </c>
    </row>
    <row r="347" spans="1:3" ht="15" customHeight="1" x14ac:dyDescent="0.2">
      <c r="A347" s="299">
        <f>'14. PRM'!A347</f>
        <v>44470</v>
      </c>
      <c r="B347" s="165">
        <f>'14. PRM'!D347</f>
        <v>0.39477031670112178</v>
      </c>
      <c r="C347" s="539">
        <f>'14. PRM'!C347</f>
        <v>1.362E-2</v>
      </c>
    </row>
    <row r="348" spans="1:3" ht="15" customHeight="1" x14ac:dyDescent="0.2">
      <c r="A348" s="299">
        <f>'14. PRM'!A348</f>
        <v>44501</v>
      </c>
      <c r="B348" s="165">
        <f>'14. PRM'!D348</f>
        <v>0.24691522944779012</v>
      </c>
      <c r="C348" s="539">
        <f>'14. PRM'!C348</f>
        <v>1.4119166666666667E-2</v>
      </c>
    </row>
    <row r="349" spans="1:3" ht="15" customHeight="1" x14ac:dyDescent="0.2">
      <c r="A349" s="299">
        <f>'14. PRM'!A349</f>
        <v>44531</v>
      </c>
      <c r="B349" s="165">
        <f>'14. PRM'!D349</f>
        <v>0.25431236290857201</v>
      </c>
      <c r="C349" s="539">
        <f>'14. PRM'!C349</f>
        <v>1.4615E-2</v>
      </c>
    </row>
    <row r="350" spans="1:3" ht="15" customHeight="1" x14ac:dyDescent="0.2">
      <c r="A350" s="299">
        <f>'14. PRM'!A350</f>
        <v>44562</v>
      </c>
      <c r="B350" s="165">
        <f>'14. PRM'!D350</f>
        <v>0.20055079628672359</v>
      </c>
      <c r="C350" s="539">
        <f>'14. PRM'!C350</f>
        <v>1.5189166666666667E-2</v>
      </c>
    </row>
    <row r="351" spans="1:3" ht="15" customHeight="1" x14ac:dyDescent="0.2">
      <c r="A351" s="299">
        <f>'14. PRM'!A351</f>
        <v>44593</v>
      </c>
      <c r="B351" s="165">
        <f>'14. PRM'!D351</f>
        <v>0.13212498045209442</v>
      </c>
      <c r="C351" s="539">
        <f>'14. PRM'!C351</f>
        <v>1.5504999999999998E-2</v>
      </c>
    </row>
    <row r="352" spans="1:3" ht="15" customHeight="1" x14ac:dyDescent="0.2">
      <c r="A352" s="299">
        <f>'14. PRM'!A352</f>
        <v>44621</v>
      </c>
      <c r="B352" s="165">
        <f>'14. PRM'!D352</f>
        <v>0.12434192732284727</v>
      </c>
      <c r="C352" s="539">
        <f>'14. PRM'!C352</f>
        <v>1.5989166666666665E-2</v>
      </c>
    </row>
    <row r="353" spans="1:3" ht="15" customHeight="1" x14ac:dyDescent="0.2">
      <c r="A353" s="299">
        <f>'14. PRM'!A353</f>
        <v>44652</v>
      </c>
      <c r="B353" s="165">
        <f>'14. PRM'!D353</f>
        <v>-2.8812441316266341E-2</v>
      </c>
      <c r="C353" s="539">
        <f>'14. PRM'!C353</f>
        <v>1.7035833333333333E-2</v>
      </c>
    </row>
    <row r="354" spans="1:3" ht="15" customHeight="1" x14ac:dyDescent="0.2">
      <c r="A354" s="299">
        <f>'14. PRM'!A354</f>
        <v>44682</v>
      </c>
      <c r="B354" s="165">
        <f>'14. PRM'!D354</f>
        <v>-3.5204916867065797E-2</v>
      </c>
      <c r="C354" s="539">
        <f>'14. PRM'!C354</f>
        <v>1.8088333333333335E-2</v>
      </c>
    </row>
    <row r="355" spans="1:3" ht="15" customHeight="1" x14ac:dyDescent="0.2">
      <c r="A355" s="299">
        <f>'14. PRM'!A355</f>
        <v>44713</v>
      </c>
      <c r="B355" s="165">
        <f>'14. PRM'!D355</f>
        <v>-0.13852945753344964</v>
      </c>
      <c r="C355" s="539">
        <f>'14. PRM'!C355</f>
        <v>1.9362500000000001E-2</v>
      </c>
    </row>
    <row r="356" spans="1:3" ht="15" customHeight="1" x14ac:dyDescent="0.2">
      <c r="A356" s="299">
        <f>'14. PRM'!A356</f>
        <v>44743</v>
      </c>
      <c r="B356" s="165">
        <f>'14. PRM'!D356</f>
        <v>-8.0817065027628254E-2</v>
      </c>
      <c r="C356" s="539">
        <f>'14. PRM'!C356</f>
        <v>2.0531666666666667E-2</v>
      </c>
    </row>
    <row r="357" spans="1:3" ht="15" customHeight="1" x14ac:dyDescent="0.2">
      <c r="A357" s="299">
        <f>'14. PRM'!A357</f>
        <v>44774</v>
      </c>
      <c r="B357" s="165">
        <f>'14. PRM'!D357</f>
        <v>-0.14757433121512026</v>
      </c>
      <c r="C357" s="539">
        <f>'14. PRM'!C357</f>
        <v>2.2055833333333337E-2</v>
      </c>
    </row>
    <row r="358" spans="1:3" ht="15" customHeight="1" x14ac:dyDescent="0.2">
      <c r="A358" s="299">
        <f>'14. PRM'!A358</f>
        <v>44805</v>
      </c>
      <c r="B358" s="165">
        <f>'14. PRM'!D358</f>
        <v>-0.19154616375781383</v>
      </c>
      <c r="C358" s="539">
        <f>'14. PRM'!C358</f>
        <v>2.395166666666667E-2</v>
      </c>
    </row>
    <row r="359" spans="1:3" ht="15" customHeight="1" x14ac:dyDescent="0.2">
      <c r="A359" s="299">
        <f>'14. PRM'!A359</f>
        <v>44835</v>
      </c>
      <c r="B359" s="165">
        <f>'14. PRM'!D359</f>
        <v>-0.22644595219431768</v>
      </c>
      <c r="C359" s="539">
        <f>'14. PRM'!C359</f>
        <v>2.6175833333333332E-2</v>
      </c>
    </row>
    <row r="360" spans="1:3" ht="15" customHeight="1" x14ac:dyDescent="0.2">
      <c r="A360" s="299">
        <f>'14. PRM'!A360</f>
        <v>44866</v>
      </c>
      <c r="B360" s="165">
        <f>'14. PRM'!D360</f>
        <v>-0.13466963305598126</v>
      </c>
      <c r="C360" s="539">
        <f>'14. PRM'!C360</f>
        <v>2.8059166666666666E-2</v>
      </c>
    </row>
    <row r="361" spans="1:3" ht="15" customHeight="1" x14ac:dyDescent="0.2">
      <c r="A361" s="299">
        <f>'14. PRM'!A361</f>
        <v>44896</v>
      </c>
      <c r="B361" s="165">
        <f>'14. PRM'!D361</f>
        <v>-0.22445990899070822</v>
      </c>
      <c r="C361" s="539">
        <f>'14. PRM'!C361</f>
        <v>3.0031666666666665E-2</v>
      </c>
    </row>
  </sheetData>
  <pageMargins left="0.511811024" right="0.511811024" top="0.78740157499999996" bottom="0.78740157499999996" header="0" footer="0"/>
  <pageSetup orientation="landscape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B2C6-1E31-4F03-99CA-5E36B2A58B60}">
  <sheetPr>
    <tabColor theme="1"/>
  </sheetPr>
  <dimension ref="A1:C205"/>
  <sheetViews>
    <sheetView topLeftCell="A175" workbookViewId="0">
      <selection activeCell="C193" sqref="C193"/>
    </sheetView>
  </sheetViews>
  <sheetFormatPr baseColWidth="10" defaultColWidth="9.1640625" defaultRowHeight="15" x14ac:dyDescent="0.2"/>
  <cols>
    <col min="1" max="2" width="15.1640625" style="50" customWidth="1"/>
    <col min="3" max="3" width="11.1640625" style="50" bestFit="1" customWidth="1"/>
    <col min="4" max="16384" width="9.1640625" style="50"/>
  </cols>
  <sheetData>
    <row r="1" spans="1:3" x14ac:dyDescent="0.2">
      <c r="A1" s="60" t="s">
        <v>520</v>
      </c>
      <c r="B1" s="60" t="s">
        <v>525</v>
      </c>
      <c r="C1" s="60" t="s">
        <v>526</v>
      </c>
    </row>
    <row r="2" spans="1:3" x14ac:dyDescent="0.2">
      <c r="A2" s="91">
        <v>38808</v>
      </c>
      <c r="B2" s="53">
        <f>VLOOKUP(WORKDAY(A2,-1,),'22. IDKA 5 anos'!$A$4:$G$4075,7,)/100</f>
        <v>9.1812904761904762E-2</v>
      </c>
      <c r="C2" s="53">
        <f>VLOOKUP(WORKDAY(A2,-1,),'22. IDKA 5 anos'!$A$4:$G$4075,6,)/100</f>
        <v>9.2078000000000007E-2</v>
      </c>
    </row>
    <row r="3" spans="1:3" x14ac:dyDescent="0.2">
      <c r="A3" s="91">
        <v>38838</v>
      </c>
      <c r="B3" s="53">
        <f>VLOOKUP(WORKDAY(A3,-1,),'22. IDKA 5 anos'!$A$4:$G$4075,7,)/100</f>
        <v>9.1047031746031765E-2</v>
      </c>
      <c r="C3" s="53">
        <f>VLOOKUP(WORKDAY(A3,-1,),'22. IDKA 5 anos'!$A$4:$G$4075,6,)/100</f>
        <v>9.4617000000000007E-2</v>
      </c>
    </row>
    <row r="4" spans="1:3" x14ac:dyDescent="0.2">
      <c r="A4" s="91">
        <v>38869</v>
      </c>
      <c r="B4" s="53">
        <f>VLOOKUP(WORKDAY(A4,-1,),'22. IDKA 5 anos'!$A$4:$G$4075,7,)/100</f>
        <v>9.3752285714285719E-2</v>
      </c>
      <c r="C4" s="53">
        <f>VLOOKUP(WORKDAY(A4,-1,),'22. IDKA 5 anos'!$A$4:$G$4075,6,)/100</f>
        <v>0.10718</v>
      </c>
    </row>
    <row r="5" spans="1:3" x14ac:dyDescent="0.2">
      <c r="A5" s="91">
        <v>38899</v>
      </c>
      <c r="B5" s="53">
        <f>VLOOKUP(WORKDAY(A5,-1,),'22. IDKA 5 anos'!$A$4:$G$4075,7,)/100</f>
        <v>0.1003979841269841</v>
      </c>
      <c r="C5" s="53">
        <f>VLOOKUP(WORKDAY(A5,-1,),'22. IDKA 5 anos'!$A$4:$G$4075,6,)/100</f>
        <v>0.104909</v>
      </c>
    </row>
    <row r="6" spans="1:3" x14ac:dyDescent="0.2">
      <c r="A6" s="91">
        <v>38930</v>
      </c>
      <c r="B6" s="53">
        <f>VLOOKUP(WORKDAY(A6,-1,),'22. IDKA 5 anos'!$A$4:$G$4075,7,)/100</f>
        <v>0.10330934920634918</v>
      </c>
      <c r="C6" s="53">
        <f>VLOOKUP(WORKDAY(A6,-1,),'22. IDKA 5 anos'!$A$4:$G$4075,6,)/100</f>
        <v>9.9183999999999994E-2</v>
      </c>
    </row>
    <row r="7" spans="1:3" x14ac:dyDescent="0.2">
      <c r="A7" s="91">
        <v>38961</v>
      </c>
      <c r="B7" s="53">
        <f>VLOOKUP(WORKDAY(A7,-1,),'22. IDKA 5 anos'!$A$4:$G$4075,7,)/100</f>
        <v>0.10174085714285719</v>
      </c>
      <c r="C7" s="53">
        <f>VLOOKUP(WORKDAY(A7,-1,),'22. IDKA 5 anos'!$A$4:$G$4075,6,)/100</f>
        <v>9.4636999999999999E-2</v>
      </c>
    </row>
    <row r="8" spans="1:3" x14ac:dyDescent="0.2">
      <c r="A8" s="91">
        <v>38991</v>
      </c>
      <c r="B8" s="53">
        <f>VLOOKUP(WORKDAY(A8,-1,),'22. IDKA 5 anos'!$A$4:$G$4075,7,)/100</f>
        <v>9.7578380952380944E-2</v>
      </c>
      <c r="C8" s="53">
        <f>VLOOKUP(WORKDAY(A8,-1,),'22. IDKA 5 anos'!$A$4:$G$4075,6,)/100</f>
        <v>9.4789999999999985E-2</v>
      </c>
    </row>
    <row r="9" spans="1:3" x14ac:dyDescent="0.2">
      <c r="A9" s="91">
        <v>39022</v>
      </c>
      <c r="B9" s="53">
        <f>VLOOKUP(WORKDAY(A9,-1,),'22. IDKA 5 anos'!$A$4:$G$4075,7,)/100</f>
        <v>9.4068888888888896E-2</v>
      </c>
      <c r="C9" s="53">
        <f>VLOOKUP(WORKDAY(A9,-1,),'22. IDKA 5 anos'!$A$4:$G$4075,6,)/100</f>
        <v>8.8567000000000007E-2</v>
      </c>
    </row>
    <row r="10" spans="1:3" x14ac:dyDescent="0.2">
      <c r="A10" s="91">
        <v>39052</v>
      </c>
      <c r="B10" s="53">
        <f>VLOOKUP(WORKDAY(A10,-1,),'22. IDKA 5 anos'!$A$4:$G$4075,7,)/100</f>
        <v>9.1074761904761908E-2</v>
      </c>
      <c r="C10" s="53">
        <f>VLOOKUP(WORKDAY(A10,-1,),'22. IDKA 5 anos'!$A$4:$G$4075,6,)/100</f>
        <v>8.5993E-2</v>
      </c>
    </row>
    <row r="11" spans="1:3" x14ac:dyDescent="0.2">
      <c r="A11" s="91">
        <v>39083</v>
      </c>
      <c r="B11" s="53">
        <f>VLOOKUP(WORKDAY(A11,-1,),'22. IDKA 5 anos'!$A$4:$G$4075,7,)/100</f>
        <v>8.7359587301587285E-2</v>
      </c>
      <c r="C11" s="53">
        <f>VLOOKUP(WORKDAY(A11,-1,),'22. IDKA 5 anos'!$A$4:$G$4075,6,)/100</f>
        <v>7.9764000000000002E-2</v>
      </c>
    </row>
    <row r="12" spans="1:3" x14ac:dyDescent="0.2">
      <c r="A12" s="91">
        <v>39114</v>
      </c>
      <c r="B12" s="53">
        <f>VLOOKUP(WORKDAY(A12,-1,),'22. IDKA 5 anos'!$A$4:$G$4075,7,)/100</f>
        <v>8.2911222222222219E-2</v>
      </c>
      <c r="C12" s="53">
        <f>VLOOKUP(WORKDAY(A12,-1,),'22. IDKA 5 anos'!$A$4:$G$4075,6,)/100</f>
        <v>7.8464999999999993E-2</v>
      </c>
    </row>
    <row r="13" spans="1:3" x14ac:dyDescent="0.2">
      <c r="A13" s="91">
        <v>39142</v>
      </c>
      <c r="B13" s="53">
        <f>VLOOKUP(WORKDAY(A13,-1,),'22. IDKA 5 anos'!$A$4:$G$4075,7,)/100</f>
        <v>8.0067777777777766E-2</v>
      </c>
      <c r="C13" s="53">
        <f>VLOOKUP(WORKDAY(A13,-1,),'22. IDKA 5 anos'!$A$4:$G$4075,6,)/100</f>
        <v>7.7054999999999998E-2</v>
      </c>
    </row>
    <row r="14" spans="1:3" x14ac:dyDescent="0.2">
      <c r="A14" s="91">
        <v>39173</v>
      </c>
      <c r="B14" s="53">
        <f>VLOOKUP(WORKDAY(A14,-1,),'22. IDKA 5 anos'!$A$4:$G$4075,7,)/100</f>
        <v>7.7627888888888885E-2</v>
      </c>
      <c r="C14" s="53">
        <f>VLOOKUP(WORKDAY(A14,-1,),'22. IDKA 5 anos'!$A$4:$G$4075,6,)/100</f>
        <v>7.4705999999999995E-2</v>
      </c>
    </row>
    <row r="15" spans="1:3" x14ac:dyDescent="0.2">
      <c r="A15" s="91">
        <v>39203</v>
      </c>
      <c r="B15" s="53">
        <f>VLOOKUP(WORKDAY(A15,-1,),'22. IDKA 5 anos'!$A$4:$G$4075,7,)/100</f>
        <v>7.4895777777777756E-2</v>
      </c>
      <c r="C15" s="53">
        <f>VLOOKUP(WORKDAY(A15,-1,),'22. IDKA 5 anos'!$A$4:$G$4075,6,)/100</f>
        <v>6.6609000000000002E-2</v>
      </c>
    </row>
    <row r="16" spans="1:3" x14ac:dyDescent="0.2">
      <c r="A16" s="91">
        <v>39234</v>
      </c>
      <c r="B16" s="53">
        <f>VLOOKUP(WORKDAY(A16,-1,),'22. IDKA 5 anos'!$A$4:$G$4075,7,)/100</f>
        <v>7.0167492063492071E-2</v>
      </c>
      <c r="C16" s="53">
        <f>VLOOKUP(WORKDAY(A16,-1,),'22. IDKA 5 anos'!$A$4:$G$4075,6,)/100</f>
        <v>6.2959000000000001E-2</v>
      </c>
    </row>
    <row r="17" spans="1:3" x14ac:dyDescent="0.2">
      <c r="A17" s="91">
        <v>39264</v>
      </c>
      <c r="B17" s="53">
        <f>VLOOKUP(WORKDAY(A17,-1,),'22. IDKA 5 anos'!$A$4:$G$4075,7,)/100</f>
        <v>6.6024460317460315E-2</v>
      </c>
      <c r="C17" s="53">
        <f>VLOOKUP(WORKDAY(A17,-1,),'22. IDKA 5 anos'!$A$4:$G$4075,6,)/100</f>
        <v>6.5019999999999994E-2</v>
      </c>
    </row>
    <row r="18" spans="1:3" x14ac:dyDescent="0.2">
      <c r="A18" s="91">
        <v>39295</v>
      </c>
      <c r="B18" s="53">
        <f>VLOOKUP(WORKDAY(A18,-1,),'22. IDKA 5 anos'!$A$4:$G$4075,7,)/100</f>
        <v>6.454531746031747E-2</v>
      </c>
      <c r="C18" s="53">
        <f>VLOOKUP(WORKDAY(A18,-1,),'22. IDKA 5 anos'!$A$4:$G$4075,6,)/100</f>
        <v>6.9348000000000007E-2</v>
      </c>
    </row>
    <row r="19" spans="1:3" x14ac:dyDescent="0.2">
      <c r="A19" s="91">
        <v>39326</v>
      </c>
      <c r="B19" s="53">
        <f>VLOOKUP(WORKDAY(A19,-1,),'22. IDKA 5 anos'!$A$4:$G$4075,7,)/100</f>
        <v>6.8171492063492073E-2</v>
      </c>
      <c r="C19" s="53">
        <f>VLOOKUP(WORKDAY(A19,-1,),'22. IDKA 5 anos'!$A$4:$G$4075,6,)/100</f>
        <v>7.2533E-2</v>
      </c>
    </row>
    <row r="20" spans="1:3" x14ac:dyDescent="0.2">
      <c r="A20" s="91">
        <v>39356</v>
      </c>
      <c r="B20" s="53">
        <f>VLOOKUP(WORKDAY(A20,-1,),'22. IDKA 5 anos'!$A$4:$G$4075,7,)/100</f>
        <v>7.049153968253967E-2</v>
      </c>
      <c r="C20" s="53">
        <f>VLOOKUP(WORKDAY(A20,-1,),'22. IDKA 5 anos'!$A$4:$G$4075,6,)/100</f>
        <v>6.9220000000000004E-2</v>
      </c>
    </row>
    <row r="21" spans="1:3" x14ac:dyDescent="0.2">
      <c r="A21" s="91">
        <v>39387</v>
      </c>
      <c r="B21" s="53">
        <f>VLOOKUP(WORKDAY(A21,-1,),'22. IDKA 5 anos'!$A$4:$G$4075,7,)/100</f>
        <v>7.1739873015873035E-2</v>
      </c>
      <c r="C21" s="53">
        <f>VLOOKUP(WORKDAY(A21,-1,),'22. IDKA 5 anos'!$A$4:$G$4075,6,)/100</f>
        <v>7.2307999999999997E-2</v>
      </c>
    </row>
    <row r="22" spans="1:3" x14ac:dyDescent="0.2">
      <c r="A22" s="91">
        <v>39417</v>
      </c>
      <c r="B22" s="53">
        <f>VLOOKUP(WORKDAY(A22,-1,),'22. IDKA 5 anos'!$A$4:$G$4075,7,)/100</f>
        <v>7.1922793650793654E-2</v>
      </c>
      <c r="C22" s="53">
        <f>VLOOKUP(WORKDAY(A22,-1,),'22. IDKA 5 anos'!$A$4:$G$4075,6,)/100</f>
        <v>7.4718000000000007E-2</v>
      </c>
    </row>
    <row r="23" spans="1:3" x14ac:dyDescent="0.2">
      <c r="A23" s="91">
        <v>39448</v>
      </c>
      <c r="B23" s="53">
        <f>VLOOKUP(WORKDAY(A23,-1,),'22. IDKA 5 anos'!$A$4:$G$4075,7,)/100</f>
        <v>7.3321634920634912E-2</v>
      </c>
      <c r="C23" s="53">
        <f>VLOOKUP(WORKDAY(A23,-1,),'22. IDKA 5 anos'!$A$4:$G$4075,6,)/100</f>
        <v>7.7488000000000001E-2</v>
      </c>
    </row>
    <row r="24" spans="1:3" x14ac:dyDescent="0.2">
      <c r="A24" s="91">
        <v>39479</v>
      </c>
      <c r="B24" s="53">
        <f>VLOOKUP(WORKDAY(A24,-1,),'22. IDKA 5 anos'!$A$4:$G$4075,7,)/100</f>
        <v>7.557568253968254E-2</v>
      </c>
      <c r="C24" s="53">
        <f>VLOOKUP(WORKDAY(A24,-1,),'22. IDKA 5 anos'!$A$4:$G$4075,6,)/100</f>
        <v>7.7149999999999996E-2</v>
      </c>
    </row>
    <row r="25" spans="1:3" x14ac:dyDescent="0.2">
      <c r="A25" s="91">
        <v>39508</v>
      </c>
      <c r="B25" s="53">
        <f>VLOOKUP(WORKDAY(A25,-1,),'22. IDKA 5 anos'!$A$4:$G$4075,7,)/100</f>
        <v>7.5968984126984121E-2</v>
      </c>
      <c r="C25" s="53">
        <f>VLOOKUP(WORKDAY(A25,-1,),'22. IDKA 5 anos'!$A$4:$G$4075,6,)/100</f>
        <v>7.3195999999999997E-2</v>
      </c>
    </row>
    <row r="26" spans="1:3" x14ac:dyDescent="0.2">
      <c r="A26" s="91">
        <v>39539</v>
      </c>
      <c r="B26" s="53">
        <f>VLOOKUP(WORKDAY(A26,-1,),'22. IDKA 5 anos'!$A$4:$G$4075,7,)/100</f>
        <v>7.6470253968253979E-2</v>
      </c>
      <c r="C26" s="53">
        <f>VLOOKUP(WORKDAY(A26,-1,),'22. IDKA 5 anos'!$A$4:$G$4075,6,)/100</f>
        <v>8.0534999999999995E-2</v>
      </c>
    </row>
    <row r="27" spans="1:3" x14ac:dyDescent="0.2">
      <c r="A27" s="91">
        <v>39569</v>
      </c>
      <c r="B27" s="53">
        <f>VLOOKUP(WORKDAY(A27,-1,),'22. IDKA 5 anos'!$A$4:$G$4075,7,)/100</f>
        <v>7.7557555555555546E-2</v>
      </c>
      <c r="C27" s="53">
        <f>VLOOKUP(WORKDAY(A27,-1,),'22. IDKA 5 anos'!$A$4:$G$4075,6,)/100</f>
        <v>7.7369999999999994E-2</v>
      </c>
    </row>
    <row r="28" spans="1:3" x14ac:dyDescent="0.2">
      <c r="A28" s="91">
        <v>39600</v>
      </c>
      <c r="B28" s="53">
        <f>VLOOKUP(WORKDAY(A28,-1,),'22. IDKA 5 anos'!$A$4:$G$4075,7,)/100</f>
        <v>7.8314031746031743E-2</v>
      </c>
      <c r="C28" s="53">
        <f>VLOOKUP(WORKDAY(A28,-1,),'22. IDKA 5 anos'!$A$4:$G$4075,6,)/100</f>
        <v>7.7808000000000002E-2</v>
      </c>
    </row>
    <row r="29" spans="1:3" x14ac:dyDescent="0.2">
      <c r="A29" s="91">
        <v>39630</v>
      </c>
      <c r="B29" s="53">
        <f>VLOOKUP(WORKDAY(A29,-1,),'22. IDKA 5 anos'!$A$4:$G$4075,7,)/100</f>
        <v>7.9603285714285724E-2</v>
      </c>
      <c r="C29" s="53">
        <f>VLOOKUP(WORKDAY(A29,-1,),'22. IDKA 5 anos'!$A$4:$G$4075,6,)/100</f>
        <v>8.2261000000000001E-2</v>
      </c>
    </row>
    <row r="30" spans="1:3" x14ac:dyDescent="0.2">
      <c r="A30" s="91">
        <v>39661</v>
      </c>
      <c r="B30" s="53">
        <f>VLOOKUP(WORKDAY(A30,-1,),'22. IDKA 5 anos'!$A$4:$G$4075,7,)/100</f>
        <v>8.0972730158730161E-2</v>
      </c>
      <c r="C30" s="53">
        <f>VLOOKUP(WORKDAY(A30,-1,),'22. IDKA 5 anos'!$A$4:$G$4075,6,)/100</f>
        <v>8.2072000000000006E-2</v>
      </c>
    </row>
    <row r="31" spans="1:3" x14ac:dyDescent="0.2">
      <c r="A31" s="91">
        <v>39692</v>
      </c>
      <c r="B31" s="53">
        <f>VLOOKUP(WORKDAY(A31,-1,),'22. IDKA 5 anos'!$A$4:$G$4075,7,)/100</f>
        <v>8.2239396825396827E-2</v>
      </c>
      <c r="C31" s="53">
        <f>VLOOKUP(WORKDAY(A31,-1,),'22. IDKA 5 anos'!$A$4:$G$4075,6,)/100</f>
        <v>8.2277000000000003E-2</v>
      </c>
    </row>
    <row r="32" spans="1:3" x14ac:dyDescent="0.2">
      <c r="A32" s="91">
        <v>39722</v>
      </c>
      <c r="B32" s="53">
        <f>VLOOKUP(WORKDAY(A32,-1,),'22. IDKA 5 anos'!$A$4:$G$4075,7,)/100</f>
        <v>8.4181555555555565E-2</v>
      </c>
      <c r="C32" s="53">
        <f>VLOOKUP(WORKDAY(A32,-1,),'22. IDKA 5 anos'!$A$4:$G$4075,6,)/100</f>
        <v>9.0714000000000003E-2</v>
      </c>
    </row>
    <row r="33" spans="1:3" x14ac:dyDescent="0.2">
      <c r="A33" s="91">
        <v>39753</v>
      </c>
      <c r="B33" s="53">
        <f>VLOOKUP(WORKDAY(A33,-1,),'22. IDKA 5 anos'!$A$4:$G$4075,7,)/100</f>
        <v>9.0080825396825381E-2</v>
      </c>
      <c r="C33" s="53">
        <f>VLOOKUP(WORKDAY(A33,-1,),'22. IDKA 5 anos'!$A$4:$G$4075,6,)/100</f>
        <v>0.10261799999999999</v>
      </c>
    </row>
    <row r="34" spans="1:3" x14ac:dyDescent="0.2">
      <c r="A34" s="91">
        <v>39783</v>
      </c>
      <c r="B34" s="53">
        <f>VLOOKUP(WORKDAY(A34,-1,),'22. IDKA 5 anos'!$A$4:$G$4075,7,)/100</f>
        <v>9.5777571428571406E-2</v>
      </c>
      <c r="C34" s="53">
        <f>VLOOKUP(WORKDAY(A34,-1,),'22. IDKA 5 anos'!$A$4:$G$4075,6,)/100</f>
        <v>9.7444000000000003E-2</v>
      </c>
    </row>
    <row r="35" spans="1:3" x14ac:dyDescent="0.2">
      <c r="A35" s="91">
        <v>39814</v>
      </c>
      <c r="B35" s="53">
        <f>VLOOKUP(WORKDAY(A35,-1,),'22. IDKA 5 anos'!$A$4:$G$4075,7,)/100</f>
        <v>9.5985349206349199E-2</v>
      </c>
      <c r="C35" s="53">
        <f>VLOOKUP(WORKDAY(A35,-1,),'22. IDKA 5 anos'!$A$4:$G$4075,6,)/100</f>
        <v>8.2470000000000002E-2</v>
      </c>
    </row>
    <row r="36" spans="1:3" x14ac:dyDescent="0.2">
      <c r="A36" s="91">
        <v>39845</v>
      </c>
      <c r="B36" s="53">
        <f>VLOOKUP(WORKDAY(A36,-1,),'22. IDKA 5 anos'!$A$4:$G$4075,7,)/100</f>
        <v>8.8220349206349191E-2</v>
      </c>
      <c r="C36" s="53">
        <f>VLOOKUP(WORKDAY(A36,-1,),'22. IDKA 5 anos'!$A$4:$G$4075,6,)/100</f>
        <v>7.4427999999999994E-2</v>
      </c>
    </row>
    <row r="37" spans="1:3" x14ac:dyDescent="0.2">
      <c r="A37" s="91">
        <v>39873</v>
      </c>
      <c r="B37" s="53">
        <f>VLOOKUP(WORKDAY(A37,-1,),'22. IDKA 5 anos'!$A$4:$G$4075,7,)/100</f>
        <v>8.0841238095238077E-2</v>
      </c>
      <c r="C37" s="53">
        <f>VLOOKUP(WORKDAY(A37,-1,),'22. IDKA 5 anos'!$A$4:$G$4075,6,)/100</f>
        <v>7.199499999999999E-2</v>
      </c>
    </row>
    <row r="38" spans="1:3" x14ac:dyDescent="0.2">
      <c r="A38" s="91">
        <v>39904</v>
      </c>
      <c r="B38" s="53">
        <f>VLOOKUP(WORKDAY(A38,-1,),'22. IDKA 5 anos'!$A$4:$G$4075,7,)/100</f>
        <v>7.3928587301587301E-2</v>
      </c>
      <c r="C38" s="53">
        <f>VLOOKUP(WORKDAY(A38,-1,),'22. IDKA 5 anos'!$A$4:$G$4075,6,)/100</f>
        <v>6.8803000000000003E-2</v>
      </c>
    </row>
    <row r="39" spans="1:3" x14ac:dyDescent="0.2">
      <c r="A39" s="91">
        <v>39934</v>
      </c>
      <c r="B39" s="53">
        <f>VLOOKUP(WORKDAY(A39,-1,),'22. IDKA 5 anos'!$A$4:$G$4075,7,)/100</f>
        <v>7.1661507936507926E-2</v>
      </c>
      <c r="C39" s="53">
        <f>VLOOKUP(WORKDAY(A39,-1,),'22. IDKA 5 anos'!$A$4:$G$4075,6,)/100</f>
        <v>7.2008000000000003E-2</v>
      </c>
    </row>
    <row r="40" spans="1:3" x14ac:dyDescent="0.2">
      <c r="A40" s="91">
        <v>39965</v>
      </c>
      <c r="B40" s="53">
        <f>VLOOKUP(WORKDAY(A40,-1,),'22. IDKA 5 anos'!$A$4:$G$4075,7,)/100</f>
        <v>6.9949111111111087E-2</v>
      </c>
      <c r="C40" s="53">
        <f>VLOOKUP(WORKDAY(A40,-1,),'22. IDKA 5 anos'!$A$4:$G$4075,6,)/100</f>
        <v>6.5763000000000002E-2</v>
      </c>
    </row>
    <row r="41" spans="1:3" x14ac:dyDescent="0.2">
      <c r="A41" s="91">
        <v>39995</v>
      </c>
      <c r="B41" s="53">
        <f>VLOOKUP(WORKDAY(A41,-1,),'22. IDKA 5 anos'!$A$4:$G$4075,7,)/100</f>
        <v>6.8928809523809503E-2</v>
      </c>
      <c r="C41" s="53">
        <f>VLOOKUP(WORKDAY(A41,-1,),'22. IDKA 5 anos'!$A$4:$G$4075,6,)/100</f>
        <v>6.7616999999999997E-2</v>
      </c>
    </row>
    <row r="42" spans="1:3" x14ac:dyDescent="0.2">
      <c r="A42" s="91">
        <v>40026</v>
      </c>
      <c r="B42" s="53">
        <f>VLOOKUP(WORKDAY(A42,-1,),'22. IDKA 5 anos'!$A$4:$G$4075,7,)/100</f>
        <v>6.7118634920634926E-2</v>
      </c>
      <c r="C42" s="53">
        <f>VLOOKUP(WORKDAY(A42,-1,),'22. IDKA 5 anos'!$A$4:$G$4075,6,)/100</f>
        <v>6.6234000000000001E-2</v>
      </c>
    </row>
    <row r="43" spans="1:3" x14ac:dyDescent="0.2">
      <c r="A43" s="91">
        <v>40057</v>
      </c>
      <c r="B43" s="53">
        <f>VLOOKUP(WORKDAY(A43,-1,),'22. IDKA 5 anos'!$A$4:$G$4075,7,)/100</f>
        <v>6.6060460317460296E-2</v>
      </c>
      <c r="C43" s="53">
        <f>VLOOKUP(WORKDAY(A43,-1,),'22. IDKA 5 anos'!$A$4:$G$4075,6,)/100</f>
        <v>6.4689999999999998E-2</v>
      </c>
    </row>
    <row r="44" spans="1:3" x14ac:dyDescent="0.2">
      <c r="A44" s="91">
        <v>40087</v>
      </c>
      <c r="B44" s="53">
        <f>VLOOKUP(WORKDAY(A44,-1,),'22. IDKA 5 anos'!$A$4:$G$4075,7,)/100</f>
        <v>6.5036444444444438E-2</v>
      </c>
      <c r="C44" s="53">
        <f>VLOOKUP(WORKDAY(A44,-1,),'22. IDKA 5 anos'!$A$4:$G$4075,6,)/100</f>
        <v>6.4042000000000002E-2</v>
      </c>
    </row>
    <row r="45" spans="1:3" x14ac:dyDescent="0.2">
      <c r="A45" s="91">
        <v>40118</v>
      </c>
      <c r="B45" s="53">
        <f>VLOOKUP(WORKDAY(A45,-1,),'22. IDKA 5 anos'!$A$4:$G$4075,7,)/100</f>
        <v>6.5059841269841268E-2</v>
      </c>
      <c r="C45" s="53">
        <f>VLOOKUP(WORKDAY(A45,-1,),'22. IDKA 5 anos'!$A$4:$G$4075,6,)/100</f>
        <v>6.7367999999999997E-2</v>
      </c>
    </row>
    <row r="46" spans="1:3" x14ac:dyDescent="0.2">
      <c r="A46" s="91">
        <v>40148</v>
      </c>
      <c r="B46" s="53">
        <f>VLOOKUP(WORKDAY(A46,-1,),'22. IDKA 5 anos'!$A$4:$G$4075,7,)/100</f>
        <v>6.5788142857142851E-2</v>
      </c>
      <c r="C46" s="53">
        <f>VLOOKUP(WORKDAY(A46,-1,),'22. IDKA 5 anos'!$A$4:$G$4075,6,)/100</f>
        <v>6.8319000000000005E-2</v>
      </c>
    </row>
    <row r="47" spans="1:3" x14ac:dyDescent="0.2">
      <c r="A47" s="91">
        <v>40179</v>
      </c>
      <c r="B47" s="53">
        <f>VLOOKUP(WORKDAY(A47,-1,),'22. IDKA 5 anos'!$A$4:$G$4075,7,)/100</f>
        <v>6.7113269841269835E-2</v>
      </c>
      <c r="C47" s="53">
        <f>VLOOKUP(WORKDAY(A47,-1,),'22. IDKA 5 anos'!$A$4:$G$4075,6,)/100</f>
        <v>6.7321000000000006E-2</v>
      </c>
    </row>
    <row r="48" spans="1:3" x14ac:dyDescent="0.2">
      <c r="A48" s="91">
        <v>40210</v>
      </c>
      <c r="B48" s="53">
        <f>VLOOKUP(WORKDAY(A48,-1,),'22. IDKA 5 anos'!$A$4:$G$4075,7,)/100</f>
        <v>6.7540920634920634E-2</v>
      </c>
      <c r="C48" s="53">
        <f>VLOOKUP(WORKDAY(A48,-1,),'22. IDKA 5 anos'!$A$4:$G$4075,6,)/100</f>
        <v>6.6974999999999993E-2</v>
      </c>
    </row>
    <row r="49" spans="1:3" x14ac:dyDescent="0.2">
      <c r="A49" s="91">
        <v>40238</v>
      </c>
      <c r="B49" s="53">
        <f>VLOOKUP(WORKDAY(A49,-1,),'22. IDKA 5 anos'!$A$4:$G$4075,7,)/100</f>
        <v>6.7024523809523812E-2</v>
      </c>
      <c r="C49" s="53">
        <f>VLOOKUP(WORKDAY(A49,-1,),'22. IDKA 5 anos'!$A$4:$G$4075,6,)/100</f>
        <v>6.5667000000000003E-2</v>
      </c>
    </row>
    <row r="50" spans="1:3" x14ac:dyDescent="0.2">
      <c r="A50" s="91">
        <v>40269</v>
      </c>
      <c r="B50" s="53">
        <f>VLOOKUP(WORKDAY(A50,-1,),'22. IDKA 5 anos'!$A$4:$G$4075,7,)/100</f>
        <v>6.6295698412698389E-2</v>
      </c>
      <c r="C50" s="53">
        <f>VLOOKUP(WORKDAY(A50,-1,),'22. IDKA 5 anos'!$A$4:$G$4075,6,)/100</f>
        <v>6.3604999999999995E-2</v>
      </c>
    </row>
    <row r="51" spans="1:3" x14ac:dyDescent="0.2">
      <c r="A51" s="91">
        <v>40299</v>
      </c>
      <c r="B51" s="53">
        <f>VLOOKUP(WORKDAY(A51,-1,),'22. IDKA 5 anos'!$A$4:$G$4075,7,)/100</f>
        <v>6.5629365079365079E-2</v>
      </c>
      <c r="C51" s="53">
        <f>VLOOKUP(WORKDAY(A51,-1,),'22. IDKA 5 anos'!$A$4:$G$4075,6,)/100</f>
        <v>6.631999999999999E-2</v>
      </c>
    </row>
    <row r="52" spans="1:3" x14ac:dyDescent="0.2">
      <c r="A52" s="91">
        <v>40330</v>
      </c>
      <c r="B52" s="53">
        <f>VLOOKUP(WORKDAY(A52,-1,),'22. IDKA 5 anos'!$A$4:$G$4075,7,)/100</f>
        <v>6.612279365079364E-2</v>
      </c>
      <c r="C52" s="53">
        <f>VLOOKUP(WORKDAY(A52,-1,),'22. IDKA 5 anos'!$A$4:$G$4075,6,)/100</f>
        <v>6.7731E-2</v>
      </c>
    </row>
    <row r="53" spans="1:3" x14ac:dyDescent="0.2">
      <c r="A53" s="91">
        <v>40360</v>
      </c>
      <c r="B53" s="53">
        <f>VLOOKUP(WORKDAY(A53,-1,),'22. IDKA 5 anos'!$A$4:$G$4075,7,)/100</f>
        <v>6.6142936507936512E-2</v>
      </c>
      <c r="C53" s="53">
        <f>VLOOKUP(WORKDAY(A53,-1,),'22. IDKA 5 anos'!$A$4:$G$4075,6,)/100</f>
        <v>6.5553E-2</v>
      </c>
    </row>
    <row r="54" spans="1:3" x14ac:dyDescent="0.2">
      <c r="A54" s="91">
        <v>40391</v>
      </c>
      <c r="B54" s="53">
        <f>VLOOKUP(WORKDAY(A54,-1,),'22. IDKA 5 anos'!$A$4:$G$4075,7,)/100</f>
        <v>6.6066460317460315E-2</v>
      </c>
      <c r="C54" s="53">
        <f>VLOOKUP(WORKDAY(A54,-1,),'22. IDKA 5 anos'!$A$4:$G$4075,6,)/100</f>
        <v>6.3357999999999998E-2</v>
      </c>
    </row>
    <row r="55" spans="1:3" x14ac:dyDescent="0.2">
      <c r="A55" s="91">
        <v>40422</v>
      </c>
      <c r="B55" s="53">
        <f>VLOOKUP(WORKDAY(A55,-1,),'22. IDKA 5 anos'!$A$4:$G$4075,7,)/100</f>
        <v>6.4161460317460312E-2</v>
      </c>
      <c r="C55" s="53">
        <f>VLOOKUP(WORKDAY(A55,-1,),'22. IDKA 5 anos'!$A$4:$G$4075,6,)/100</f>
        <v>6.1189999999999994E-2</v>
      </c>
    </row>
    <row r="56" spans="1:3" x14ac:dyDescent="0.2">
      <c r="A56" s="91">
        <v>40452</v>
      </c>
      <c r="B56" s="53">
        <f>VLOOKUP(WORKDAY(A56,-1,),'22. IDKA 5 anos'!$A$4:$G$4075,7,)/100</f>
        <v>6.2703746031746013E-2</v>
      </c>
      <c r="C56" s="53">
        <f>VLOOKUP(WORKDAY(A56,-1,),'22. IDKA 5 anos'!$A$4:$G$4075,6,)/100</f>
        <v>6.1672000000000005E-2</v>
      </c>
    </row>
    <row r="57" spans="1:3" x14ac:dyDescent="0.2">
      <c r="A57" s="91">
        <v>40483</v>
      </c>
      <c r="B57" s="53">
        <f>VLOOKUP(WORKDAY(A57,-1,),'22. IDKA 5 anos'!$A$4:$G$4075,7,)/100</f>
        <v>6.127911111111109E-2</v>
      </c>
      <c r="C57" s="53">
        <f>VLOOKUP(WORKDAY(A57,-1,),'22. IDKA 5 anos'!$A$4:$G$4075,6,)/100</f>
        <v>6.0255999999999997E-2</v>
      </c>
    </row>
    <row r="58" spans="1:3" x14ac:dyDescent="0.2">
      <c r="A58" s="91">
        <v>40513</v>
      </c>
      <c r="B58" s="53">
        <f>VLOOKUP(WORKDAY(A58,-1,),'22. IDKA 5 anos'!$A$4:$G$4075,7,)/100</f>
        <v>6.066682539682542E-2</v>
      </c>
      <c r="C58" s="53">
        <f>VLOOKUP(WORKDAY(A58,-1,),'22. IDKA 5 anos'!$A$4:$G$4075,6,)/100</f>
        <v>6.1170999999999996E-2</v>
      </c>
    </row>
    <row r="59" spans="1:3" x14ac:dyDescent="0.2">
      <c r="A59" s="91">
        <v>40544</v>
      </c>
      <c r="B59" s="53">
        <f>VLOOKUP(WORKDAY(A59,-1,),'22. IDKA 5 anos'!$A$4:$G$4075,7,)/100</f>
        <v>6.0430095238095241E-2</v>
      </c>
      <c r="C59" s="53">
        <f>VLOOKUP(WORKDAY(A59,-1,),'22. IDKA 5 anos'!$A$4:$G$4075,6,)/100</f>
        <v>6.0118999999999999E-2</v>
      </c>
    </row>
    <row r="60" spans="1:3" x14ac:dyDescent="0.2">
      <c r="A60" s="91">
        <v>40575</v>
      </c>
      <c r="B60" s="53">
        <f>VLOOKUP(WORKDAY(A60,-1,),'22. IDKA 5 anos'!$A$4:$G$4075,7,)/100</f>
        <v>6.0935698412698393E-2</v>
      </c>
      <c r="C60" s="53">
        <f>VLOOKUP(WORKDAY(A60,-1,),'22. IDKA 5 anos'!$A$4:$G$4075,6,)/100</f>
        <v>6.4013E-2</v>
      </c>
    </row>
    <row r="61" spans="1:3" x14ac:dyDescent="0.2">
      <c r="A61" s="91">
        <v>40603</v>
      </c>
      <c r="B61" s="53">
        <f>VLOOKUP(WORKDAY(A61,-1,),'22. IDKA 5 anos'!$A$4:$G$4075,7,)/100</f>
        <v>6.2312809523809534E-2</v>
      </c>
      <c r="C61" s="53">
        <f>VLOOKUP(WORKDAY(A61,-1,),'22. IDKA 5 anos'!$A$4:$G$4075,6,)/100</f>
        <v>6.5449000000000007E-2</v>
      </c>
    </row>
    <row r="62" spans="1:3" x14ac:dyDescent="0.2">
      <c r="A62" s="91">
        <v>40634</v>
      </c>
      <c r="B62" s="53">
        <f>VLOOKUP(WORKDAY(A62,-1,),'22. IDKA 5 anos'!$A$4:$G$4075,7,)/100</f>
        <v>6.3725952380952397E-2</v>
      </c>
      <c r="C62" s="53">
        <f>VLOOKUP(WORKDAY(A62,-1,),'22. IDKA 5 anos'!$A$4:$G$4075,6,)/100</f>
        <v>6.4295000000000005E-2</v>
      </c>
    </row>
    <row r="63" spans="1:3" x14ac:dyDescent="0.2">
      <c r="A63" s="91">
        <v>40664</v>
      </c>
      <c r="B63" s="53">
        <f>VLOOKUP(WORKDAY(A63,-1,),'22. IDKA 5 anos'!$A$4:$G$4075,7,)/100</f>
        <v>6.4901333333333339E-2</v>
      </c>
      <c r="C63" s="53">
        <f>VLOOKUP(WORKDAY(A63,-1,),'22. IDKA 5 anos'!$A$4:$G$4075,6,)/100</f>
        <v>6.6191E-2</v>
      </c>
    </row>
    <row r="64" spans="1:3" x14ac:dyDescent="0.2">
      <c r="A64" s="91">
        <v>40695</v>
      </c>
      <c r="B64" s="53">
        <f>VLOOKUP(WORKDAY(A64,-1,),'22. IDKA 5 anos'!$A$4:$G$4075,7,)/100</f>
        <v>6.5171666666666669E-2</v>
      </c>
      <c r="C64" s="53">
        <f>VLOOKUP(WORKDAY(A64,-1,),'22. IDKA 5 anos'!$A$4:$G$4075,6,)/100</f>
        <v>6.4423000000000008E-2</v>
      </c>
    </row>
    <row r="65" spans="1:3" x14ac:dyDescent="0.2">
      <c r="A65" s="91">
        <v>40725</v>
      </c>
      <c r="B65" s="53">
        <f>VLOOKUP(WORKDAY(A65,-1,),'22. IDKA 5 anos'!$A$4:$G$4075,7,)/100</f>
        <v>6.5229809523809537E-2</v>
      </c>
      <c r="C65" s="53">
        <f>VLOOKUP(WORKDAY(A65,-1,),'22. IDKA 5 anos'!$A$4:$G$4075,6,)/100</f>
        <v>6.6980999999999999E-2</v>
      </c>
    </row>
    <row r="66" spans="1:3" x14ac:dyDescent="0.2">
      <c r="A66" s="91">
        <v>40756</v>
      </c>
      <c r="B66" s="53">
        <f>VLOOKUP(WORKDAY(A66,-1,),'22. IDKA 5 anos'!$A$4:$G$4075,7,)/100</f>
        <v>6.5786063492063493E-2</v>
      </c>
      <c r="C66" s="53">
        <f>VLOOKUP(WORKDAY(A66,-1,),'22. IDKA 5 anos'!$A$4:$G$4075,6,)/100</f>
        <v>6.6313000000000011E-2</v>
      </c>
    </row>
    <row r="67" spans="1:3" x14ac:dyDescent="0.2">
      <c r="A67" s="91">
        <v>40787</v>
      </c>
      <c r="B67" s="53">
        <f>VLOOKUP(WORKDAY(A67,-1,),'22. IDKA 5 anos'!$A$4:$G$4075,7,)/100</f>
        <v>6.4820777777777769E-2</v>
      </c>
      <c r="C67" s="53">
        <f>VLOOKUP(WORKDAY(A67,-1,),'22. IDKA 5 anos'!$A$4:$G$4075,6,)/100</f>
        <v>5.4740999999999998E-2</v>
      </c>
    </row>
    <row r="68" spans="1:3" x14ac:dyDescent="0.2">
      <c r="A68" s="91">
        <v>40817</v>
      </c>
      <c r="B68" s="53">
        <f>VLOOKUP(WORKDAY(A68,-1,),'22. IDKA 5 anos'!$A$4:$G$4075,7,)/100</f>
        <v>6.1067619047619065E-2</v>
      </c>
      <c r="C68" s="53">
        <f>VLOOKUP(WORKDAY(A68,-1,),'22. IDKA 5 anos'!$A$4:$G$4075,6,)/100</f>
        <v>5.4512999999999999E-2</v>
      </c>
    </row>
    <row r="69" spans="1:3" x14ac:dyDescent="0.2">
      <c r="A69" s="91">
        <v>40848</v>
      </c>
      <c r="B69" s="53">
        <f>VLOOKUP(WORKDAY(A69,-1,),'22. IDKA 5 anos'!$A$4:$G$4075,7,)/100</f>
        <v>5.692879365079364E-2</v>
      </c>
      <c r="C69" s="53">
        <f>VLOOKUP(WORKDAY(A69,-1,),'22. IDKA 5 anos'!$A$4:$G$4075,6,)/100</f>
        <v>5.4305000000000006E-2</v>
      </c>
    </row>
    <row r="70" spans="1:3" x14ac:dyDescent="0.2">
      <c r="A70" s="91">
        <v>40878</v>
      </c>
      <c r="B70" s="53">
        <f>VLOOKUP(WORKDAY(A70,-1,),'22. IDKA 5 anos'!$A$4:$G$4075,7,)/100</f>
        <v>5.3841634920634915E-2</v>
      </c>
      <c r="C70" s="53">
        <f>VLOOKUP(WORKDAY(A70,-1,),'22. IDKA 5 anos'!$A$4:$G$4075,6,)/100</f>
        <v>5.1712999999999995E-2</v>
      </c>
    </row>
    <row r="71" spans="1:3" x14ac:dyDescent="0.2">
      <c r="A71" s="91">
        <v>40909</v>
      </c>
      <c r="B71" s="53">
        <f>VLOOKUP(WORKDAY(A71,-1,),'22. IDKA 5 anos'!$A$4:$G$4075,7,)/100</f>
        <v>5.3357158730158734E-2</v>
      </c>
      <c r="C71" s="53">
        <f>VLOOKUP(WORKDAY(A71,-1,),'22. IDKA 5 anos'!$A$4:$G$4075,6,)/100</f>
        <v>5.3906999999999997E-2</v>
      </c>
    </row>
    <row r="72" spans="1:3" x14ac:dyDescent="0.2">
      <c r="A72" s="91">
        <v>40940</v>
      </c>
      <c r="B72" s="53">
        <f>VLOOKUP(WORKDAY(A72,-1,),'22. IDKA 5 anos'!$A$4:$G$4075,7,)/100</f>
        <v>5.3511777777777769E-2</v>
      </c>
      <c r="C72" s="53">
        <f>VLOOKUP(WORKDAY(A72,-1,),'22. IDKA 5 anos'!$A$4:$G$4075,6,)/100</f>
        <v>5.1700999999999997E-2</v>
      </c>
    </row>
    <row r="73" spans="1:3" x14ac:dyDescent="0.2">
      <c r="A73" s="91">
        <v>40969</v>
      </c>
      <c r="B73" s="53">
        <f>VLOOKUP(WORKDAY(A73,-1,),'22. IDKA 5 anos'!$A$4:$G$4075,7,)/100</f>
        <v>5.2480380952380924E-2</v>
      </c>
      <c r="C73" s="53">
        <f>VLOOKUP(WORKDAY(A73,-1,),'22. IDKA 5 anos'!$A$4:$G$4075,6,)/100</f>
        <v>4.8766999999999998E-2</v>
      </c>
    </row>
    <row r="74" spans="1:3" x14ac:dyDescent="0.2">
      <c r="A74" s="91">
        <v>41000</v>
      </c>
      <c r="B74" s="53">
        <f>VLOOKUP(WORKDAY(A74,-1,),'22. IDKA 5 anos'!$A$4:$G$4075,7,)/100</f>
        <v>5.0405460317460321E-2</v>
      </c>
      <c r="C74" s="53">
        <f>VLOOKUP(WORKDAY(A74,-1,),'22. IDKA 5 anos'!$A$4:$G$4075,6,)/100</f>
        <v>4.6989999999999997E-2</v>
      </c>
    </row>
    <row r="75" spans="1:3" x14ac:dyDescent="0.2">
      <c r="A75" s="91">
        <v>41030</v>
      </c>
      <c r="B75" s="53">
        <f>VLOOKUP(WORKDAY(A75,-1,),'22. IDKA 5 anos'!$A$4:$G$4075,7,)/100</f>
        <v>4.7172095238095242E-2</v>
      </c>
      <c r="C75" s="53">
        <f>VLOOKUP(WORKDAY(A75,-1,),'22. IDKA 5 anos'!$A$4:$G$4075,6,)/100</f>
        <v>4.1755000000000007E-2</v>
      </c>
    </row>
    <row r="76" spans="1:3" x14ac:dyDescent="0.2">
      <c r="A76" s="91">
        <v>41061</v>
      </c>
      <c r="B76" s="53">
        <f>VLOOKUP(WORKDAY(A76,-1,),'22. IDKA 5 anos'!$A$4:$G$4075,7,)/100</f>
        <v>4.3364269841269835E-2</v>
      </c>
      <c r="C76" s="53">
        <f>VLOOKUP(WORKDAY(A76,-1,),'22. IDKA 5 anos'!$A$4:$G$4075,6,)/100</f>
        <v>4.0898999999999998E-2</v>
      </c>
    </row>
    <row r="77" spans="1:3" x14ac:dyDescent="0.2">
      <c r="A77" s="91">
        <v>41091</v>
      </c>
      <c r="B77" s="53">
        <f>VLOOKUP(WORKDAY(A77,-1,),'22. IDKA 5 anos'!$A$4:$G$4075,7,)/100</f>
        <v>4.2133190476190484E-2</v>
      </c>
      <c r="C77" s="53">
        <f>VLOOKUP(WORKDAY(A77,-1,),'22. IDKA 5 anos'!$A$4:$G$4075,6,)/100</f>
        <v>4.1454000000000005E-2</v>
      </c>
    </row>
    <row r="78" spans="1:3" x14ac:dyDescent="0.2">
      <c r="A78" s="91">
        <v>41122</v>
      </c>
      <c r="B78" s="53">
        <f>VLOOKUP(WORKDAY(A78,-1,),'22. IDKA 5 anos'!$A$4:$G$4075,7,)/100</f>
        <v>4.0110476190476196E-2</v>
      </c>
      <c r="C78" s="53">
        <f>VLOOKUP(WORKDAY(A78,-1,),'22. IDKA 5 anos'!$A$4:$G$4075,6,)/100</f>
        <v>3.6986999999999999E-2</v>
      </c>
    </row>
    <row r="79" spans="1:3" x14ac:dyDescent="0.2">
      <c r="A79" s="91">
        <v>41153</v>
      </c>
      <c r="B79" s="53">
        <f>VLOOKUP(WORKDAY(A79,-1,),'22. IDKA 5 anos'!$A$4:$G$4075,7,)/100</f>
        <v>3.9398777777777783E-2</v>
      </c>
      <c r="C79" s="53">
        <f>VLOOKUP(WORKDAY(A79,-1,),'22. IDKA 5 anos'!$A$4:$G$4075,6,)/100</f>
        <v>3.6297000000000003E-2</v>
      </c>
    </row>
    <row r="80" spans="1:3" x14ac:dyDescent="0.2">
      <c r="A80" s="91">
        <v>41183</v>
      </c>
      <c r="B80" s="53">
        <f>VLOOKUP(WORKDAY(A80,-1,),'22. IDKA 5 anos'!$A$4:$G$4075,7,)/100</f>
        <v>3.7129079365079372E-2</v>
      </c>
      <c r="C80" s="53">
        <f>VLOOKUP(WORKDAY(A80,-1,),'22. IDKA 5 anos'!$A$4:$G$4075,6,)/100</f>
        <v>3.3862999999999997E-2</v>
      </c>
    </row>
    <row r="81" spans="1:3" x14ac:dyDescent="0.2">
      <c r="A81" s="91">
        <v>41214</v>
      </c>
      <c r="B81" s="53">
        <f>VLOOKUP(WORKDAY(A81,-1,),'22. IDKA 5 anos'!$A$4:$G$4075,7,)/100</f>
        <v>3.439201587301588E-2</v>
      </c>
      <c r="C81" s="53">
        <f>VLOOKUP(WORKDAY(A81,-1,),'22. IDKA 5 anos'!$A$4:$G$4075,6,)/100</f>
        <v>2.9169999999999998E-2</v>
      </c>
    </row>
    <row r="82" spans="1:3" x14ac:dyDescent="0.2">
      <c r="A82" s="91">
        <v>41244</v>
      </c>
      <c r="B82" s="53">
        <f>VLOOKUP(WORKDAY(A82,-1,),'22. IDKA 5 anos'!$A$4:$G$4075,7,)/100</f>
        <v>3.2249603174603181E-2</v>
      </c>
      <c r="C82" s="53">
        <f>VLOOKUP(WORKDAY(A82,-1,),'22. IDKA 5 anos'!$A$4:$G$4075,6,)/100</f>
        <v>2.9655999999999998E-2</v>
      </c>
    </row>
    <row r="83" spans="1:3" x14ac:dyDescent="0.2">
      <c r="A83" s="91">
        <v>41275</v>
      </c>
      <c r="B83" s="53">
        <f>VLOOKUP(WORKDAY(A83,-1,),'22. IDKA 5 anos'!$A$4:$G$4075,7,)/100</f>
        <v>2.9558825396825396E-2</v>
      </c>
      <c r="C83" s="53">
        <f>VLOOKUP(WORKDAY(A83,-1,),'22. IDKA 5 anos'!$A$4:$G$4075,6,)/100</f>
        <v>2.7533999999999999E-2</v>
      </c>
    </row>
    <row r="84" spans="1:3" x14ac:dyDescent="0.2">
      <c r="A84" s="91">
        <v>41306</v>
      </c>
      <c r="B84" s="53">
        <f>VLOOKUP(WORKDAY(A84,-1,),'22. IDKA 5 anos'!$A$4:$G$4075,7,)/100</f>
        <v>2.8411333333333327E-2</v>
      </c>
      <c r="C84" s="53">
        <f>VLOOKUP(WORKDAY(A84,-1,),'22. IDKA 5 anos'!$A$4:$G$4075,6,)/100</f>
        <v>3.0693999999999999E-2</v>
      </c>
    </row>
    <row r="85" spans="1:3" x14ac:dyDescent="0.2">
      <c r="A85" s="91">
        <v>41334</v>
      </c>
      <c r="B85" s="53">
        <f>VLOOKUP(WORKDAY(A85,-1,),'22. IDKA 5 anos'!$A$4:$G$4075,7,)/100</f>
        <v>2.9532206349206343E-2</v>
      </c>
      <c r="C85" s="53">
        <f>VLOOKUP(WORKDAY(A85,-1,),'22. IDKA 5 anos'!$A$4:$G$4075,6,)/100</f>
        <v>3.5158999999999996E-2</v>
      </c>
    </row>
    <row r="86" spans="1:3" x14ac:dyDescent="0.2">
      <c r="A86" s="91">
        <v>41365</v>
      </c>
      <c r="B86" s="53">
        <f>VLOOKUP(WORKDAY(A86,-2,),'22. IDKA 5 anos'!$A$4:$G$4075,7,)/100</f>
        <v>3.1923222222222235E-2</v>
      </c>
      <c r="C86" s="53">
        <f>VLOOKUP(WORKDAY(A86,-2,),'22. IDKA 5 anos'!$A$4:$G$4075,6,)/100</f>
        <v>3.6524000000000001E-2</v>
      </c>
    </row>
    <row r="87" spans="1:3" x14ac:dyDescent="0.2">
      <c r="A87" s="91">
        <v>41395</v>
      </c>
      <c r="B87" s="53">
        <f>VLOOKUP(WORKDAY(A87,-1,),'22. IDKA 5 anos'!$A$4:$G$4075,7,)/100</f>
        <v>3.5084746031746022E-2</v>
      </c>
      <c r="C87" s="53">
        <f>VLOOKUP(WORKDAY(A87,-1,),'22. IDKA 5 anos'!$A$4:$G$4075,6,)/100</f>
        <v>3.5131999999999997E-2</v>
      </c>
    </row>
    <row r="88" spans="1:3" x14ac:dyDescent="0.2">
      <c r="A88" s="91">
        <v>41426</v>
      </c>
      <c r="B88" s="53">
        <f>VLOOKUP(WORKDAY(A88,-1,),'22. IDKA 5 anos'!$A$4:$G$4075,7,)/100</f>
        <v>3.6000190476190463E-2</v>
      </c>
      <c r="C88" s="53">
        <f>VLOOKUP(WORKDAY(A88,-1,),'22. IDKA 5 anos'!$A$4:$G$4075,6,)/100</f>
        <v>4.3764999999999998E-2</v>
      </c>
    </row>
    <row r="89" spans="1:3" x14ac:dyDescent="0.2">
      <c r="A89" s="91">
        <v>41456</v>
      </c>
      <c r="B89" s="53">
        <f>VLOOKUP(WORKDAY(A89,-1,),'22. IDKA 5 anos'!$A$4:$G$4075,7,)/100</f>
        <v>4.0509619047619037E-2</v>
      </c>
      <c r="C89" s="53">
        <f>VLOOKUP(WORKDAY(A89,-1,),'22. IDKA 5 anos'!$A$4:$G$4075,6,)/100</f>
        <v>5.0692000000000001E-2</v>
      </c>
    </row>
    <row r="90" spans="1:3" x14ac:dyDescent="0.2">
      <c r="A90" s="91">
        <v>41487</v>
      </c>
      <c r="B90" s="53">
        <f>VLOOKUP(WORKDAY(A90,-1,),'22. IDKA 5 anos'!$A$4:$G$4075,7,)/100</f>
        <v>4.5259349206349227E-2</v>
      </c>
      <c r="C90" s="53">
        <f>VLOOKUP(WORKDAY(A90,-1,),'22. IDKA 5 anos'!$A$4:$G$4075,6,)/100</f>
        <v>4.9059999999999999E-2</v>
      </c>
    </row>
    <row r="91" spans="1:3" x14ac:dyDescent="0.2">
      <c r="A91" s="91">
        <v>41518</v>
      </c>
      <c r="B91" s="53">
        <f>VLOOKUP(WORKDAY(A91,-1,),'22. IDKA 5 anos'!$A$4:$G$4075,7,)/100</f>
        <v>5.0675333333333336E-2</v>
      </c>
      <c r="C91" s="53">
        <f>VLOOKUP(WORKDAY(A91,-1,),'22. IDKA 5 anos'!$A$4:$G$4075,6,)/100</f>
        <v>5.5506E-2</v>
      </c>
    </row>
    <row r="92" spans="1:3" x14ac:dyDescent="0.2">
      <c r="A92" s="91">
        <v>41548</v>
      </c>
      <c r="B92" s="53">
        <f>VLOOKUP(WORKDAY(A92,-1,),'22. IDKA 5 anos'!$A$4:$G$4075,7,)/100</f>
        <v>5.2067777777777782E-2</v>
      </c>
      <c r="C92" s="53">
        <f>VLOOKUP(WORKDAY(A92,-1,),'22. IDKA 5 anos'!$A$4:$G$4075,6,)/100</f>
        <v>5.3617999999999999E-2</v>
      </c>
    </row>
    <row r="93" spans="1:3" x14ac:dyDescent="0.2">
      <c r="A93" s="91">
        <v>41579</v>
      </c>
      <c r="B93" s="53">
        <f>VLOOKUP(WORKDAY(A93,-1,),'22. IDKA 5 anos'!$A$4:$G$4075,7,)/100</f>
        <v>5.3889714285714263E-2</v>
      </c>
      <c r="C93" s="53">
        <f>VLOOKUP(WORKDAY(A93,-1,),'22. IDKA 5 anos'!$A$4:$G$4075,6,)/100</f>
        <v>5.5517999999999998E-2</v>
      </c>
    </row>
    <row r="94" spans="1:3" x14ac:dyDescent="0.2">
      <c r="A94" s="91">
        <v>41609</v>
      </c>
      <c r="B94" s="53">
        <f>VLOOKUP(WORKDAY(A94,-1,),'22. IDKA 5 anos'!$A$4:$G$4075,7,)/100</f>
        <v>5.5693333333333365E-2</v>
      </c>
      <c r="C94" s="53">
        <f>VLOOKUP(WORKDAY(A94,-1,),'22. IDKA 5 anos'!$A$4:$G$4075,6,)/100</f>
        <v>6.0998000000000004E-2</v>
      </c>
    </row>
    <row r="95" spans="1:3" x14ac:dyDescent="0.2">
      <c r="A95" s="91">
        <v>41640</v>
      </c>
      <c r="B95" s="53">
        <f>VLOOKUP(WORKDAY(A95,-1,),'22. IDKA 5 anos'!$A$4:$G$4075,7,)/100</f>
        <v>5.8090285714285733E-2</v>
      </c>
      <c r="C95" s="53">
        <f>VLOOKUP(WORKDAY(A95,-1,),'22. IDKA 5 anos'!$A$4:$G$4075,6,)/100</f>
        <v>6.1622000000000003E-2</v>
      </c>
    </row>
    <row r="96" spans="1:3" x14ac:dyDescent="0.2">
      <c r="A96" s="91">
        <v>41671</v>
      </c>
      <c r="B96" s="53">
        <f>VLOOKUP(WORKDAY(A96,-1,),'22. IDKA 5 anos'!$A$4:$G$4075,7,)/100</f>
        <v>6.1501873015873024E-2</v>
      </c>
      <c r="C96" s="53">
        <f>VLOOKUP(WORKDAY(A96,-1,),'22. IDKA 5 anos'!$A$4:$G$4075,6,)/100</f>
        <v>6.8499999999999991E-2</v>
      </c>
    </row>
    <row r="97" spans="1:3" x14ac:dyDescent="0.2">
      <c r="A97" s="91">
        <v>41699</v>
      </c>
      <c r="B97" s="53">
        <f>VLOOKUP(WORKDAY(A97,-1,),'22. IDKA 5 anos'!$A$4:$G$4075,7,)/100</f>
        <v>6.3235984126984127E-2</v>
      </c>
      <c r="C97" s="53">
        <f>VLOOKUP(WORKDAY(A97,-1,),'22. IDKA 5 anos'!$A$4:$G$4075,6,)/100</f>
        <v>6.0766000000000001E-2</v>
      </c>
    </row>
    <row r="98" spans="1:3" x14ac:dyDescent="0.2">
      <c r="A98" s="91">
        <v>41730</v>
      </c>
      <c r="B98" s="53">
        <f>VLOOKUP(WORKDAY(A98,-1,),'22. IDKA 5 anos'!$A$4:$G$4075,7,)/100</f>
        <v>6.3741809523809506E-2</v>
      </c>
      <c r="C98" s="53">
        <f>VLOOKUP(WORKDAY(A98,-1,),'22. IDKA 5 anos'!$A$4:$G$4075,6,)/100</f>
        <v>6.2127000000000002E-2</v>
      </c>
    </row>
    <row r="99" spans="1:3" x14ac:dyDescent="0.2">
      <c r="A99" s="91">
        <v>41760</v>
      </c>
      <c r="B99" s="53">
        <f>VLOOKUP(WORKDAY(A99,-1,),'22. IDKA 5 anos'!$A$4:$G$4075,7,)/100</f>
        <v>6.3246999999999998E-2</v>
      </c>
      <c r="C99" s="53">
        <f>VLOOKUP(WORKDAY(A99,-1,),'22. IDKA 5 anos'!$A$4:$G$4075,6,)/100</f>
        <v>6.1513999999999999E-2</v>
      </c>
    </row>
    <row r="100" spans="1:3" x14ac:dyDescent="0.2">
      <c r="A100" s="91">
        <v>41791</v>
      </c>
      <c r="B100" s="53">
        <f>VLOOKUP(WORKDAY(A100,-1,),'22. IDKA 5 anos'!$A$4:$G$4075,7,)/100</f>
        <v>6.1655349206349207E-2</v>
      </c>
      <c r="C100" s="53">
        <f>VLOOKUP(WORKDAY(A100,-1,),'22. IDKA 5 anos'!$A$4:$G$4075,6,)/100</f>
        <v>5.7640000000000004E-2</v>
      </c>
    </row>
    <row r="101" spans="1:3" x14ac:dyDescent="0.2">
      <c r="A101" s="91">
        <v>41821</v>
      </c>
      <c r="B101" s="53">
        <f>VLOOKUP(WORKDAY(A101,-1,),'22. IDKA 5 anos'!$A$4:$G$4075,7,)/100</f>
        <v>6.0029555555555551E-2</v>
      </c>
      <c r="C101" s="53">
        <f>VLOOKUP(WORKDAY(A101,-1,),'22. IDKA 5 anos'!$A$4:$G$4075,6,)/100</f>
        <v>5.7460000000000004E-2</v>
      </c>
    </row>
    <row r="102" spans="1:3" x14ac:dyDescent="0.2">
      <c r="A102" s="91">
        <v>41852</v>
      </c>
      <c r="B102" s="53">
        <f>VLOOKUP(WORKDAY(A102,-1,),'22. IDKA 5 anos'!$A$4:$G$4075,7,)/100</f>
        <v>5.8299031746031779E-2</v>
      </c>
      <c r="C102" s="53">
        <f>VLOOKUP(WORKDAY(A102,-1,),'22. IDKA 5 anos'!$A$4:$G$4075,6,)/100</f>
        <v>5.7644000000000001E-2</v>
      </c>
    </row>
    <row r="103" spans="1:3" x14ac:dyDescent="0.2">
      <c r="A103" s="91">
        <v>41883</v>
      </c>
      <c r="B103" s="53">
        <f>VLOOKUP(WORKDAY(A103,-1,),'22. IDKA 5 anos'!$A$4:$G$4075,7,)/100</f>
        <v>5.7071063492063485E-2</v>
      </c>
      <c r="C103" s="53">
        <f>VLOOKUP(WORKDAY(A103,-1,),'22. IDKA 5 anos'!$A$4:$G$4075,6,)/100</f>
        <v>5.4004000000000003E-2</v>
      </c>
    </row>
    <row r="104" spans="1:3" x14ac:dyDescent="0.2">
      <c r="A104" s="91">
        <v>41913</v>
      </c>
      <c r="B104" s="53">
        <f>VLOOKUP(WORKDAY(A104,-1,),'22. IDKA 5 anos'!$A$4:$G$4075,7,)/100</f>
        <v>5.6481968253968257E-2</v>
      </c>
      <c r="C104" s="53">
        <f>VLOOKUP(WORKDAY(A104,-1,),'22. IDKA 5 anos'!$A$4:$G$4075,6,)/100</f>
        <v>5.8516000000000006E-2</v>
      </c>
    </row>
    <row r="105" spans="1:3" x14ac:dyDescent="0.2">
      <c r="A105" s="91">
        <v>41944</v>
      </c>
      <c r="B105" s="53">
        <f>VLOOKUP(WORKDAY(A105,-1,),'22. IDKA 5 anos'!$A$4:$G$4075,7,)/100</f>
        <v>5.6516777777777777E-2</v>
      </c>
      <c r="C105" s="53">
        <f>VLOOKUP(WORKDAY(A105,-1,),'22. IDKA 5 anos'!$A$4:$G$4075,6,)/100</f>
        <v>5.7807000000000004E-2</v>
      </c>
    </row>
    <row r="106" spans="1:3" x14ac:dyDescent="0.2">
      <c r="A106" s="91">
        <v>41974</v>
      </c>
      <c r="B106" s="53">
        <f>VLOOKUP(WORKDAY(A106,-1,),'22. IDKA 5 anos'!$A$4:$G$4075,7,)/100</f>
        <v>5.7313238095238077E-2</v>
      </c>
      <c r="C106" s="53">
        <f>VLOOKUP(WORKDAY(A106,-1,),'22. IDKA 5 anos'!$A$4:$G$4075,6,)/100</f>
        <v>5.6580000000000005E-2</v>
      </c>
    </row>
    <row r="107" spans="1:3" x14ac:dyDescent="0.2">
      <c r="A107" s="91">
        <v>42005</v>
      </c>
      <c r="B107" s="53">
        <f>VLOOKUP(WORKDAY(A107,-1,),'22. IDKA 5 anos'!$A$4:$G$4075,7,)/100</f>
        <v>5.8747507936507931E-2</v>
      </c>
      <c r="C107" s="53">
        <f>VLOOKUP(WORKDAY(A107,-1,),'22. IDKA 5 anos'!$A$4:$G$4075,6,)/100</f>
        <v>6.1497000000000003E-2</v>
      </c>
    </row>
    <row r="108" spans="1:3" x14ac:dyDescent="0.2">
      <c r="A108" s="91">
        <v>42036</v>
      </c>
      <c r="B108" s="53">
        <f>VLOOKUP(WORKDAY(A108,-1,),'22. IDKA 5 anos'!$A$4:$G$4075,7,)/100</f>
        <v>5.9339206349206364E-2</v>
      </c>
      <c r="C108" s="53">
        <f>VLOOKUP(WORKDAY(A108,-1,),'22. IDKA 5 anos'!$A$4:$G$4075,6,)/100</f>
        <v>5.7773000000000005E-2</v>
      </c>
    </row>
    <row r="109" spans="1:3" x14ac:dyDescent="0.2">
      <c r="A109" s="91">
        <v>42064</v>
      </c>
      <c r="B109" s="53">
        <f>VLOOKUP(WORKDAY(A109,-1,),'22. IDKA 5 anos'!$A$4:$G$4075,7,)/100</f>
        <v>5.9822698412698452E-2</v>
      </c>
      <c r="C109" s="53">
        <f>VLOOKUP(WORKDAY(A109,-1,),'22. IDKA 5 anos'!$A$4:$G$4075,6,)/100</f>
        <v>5.9333999999999998E-2</v>
      </c>
    </row>
    <row r="110" spans="1:3" x14ac:dyDescent="0.2">
      <c r="A110" s="91">
        <v>42095</v>
      </c>
      <c r="B110" s="53">
        <f>VLOOKUP(WORKDAY(A110,-1,),'22. IDKA 5 anos'!$A$4:$G$4075,7,)/100</f>
        <v>6.0789825396825405E-2</v>
      </c>
      <c r="C110" s="53">
        <f>VLOOKUP(WORKDAY(A110,-1,),'22. IDKA 5 anos'!$A$4:$G$4075,6,)/100</f>
        <v>6.3632999999999995E-2</v>
      </c>
    </row>
    <row r="111" spans="1:3" x14ac:dyDescent="0.2">
      <c r="A111" s="91">
        <v>42125</v>
      </c>
      <c r="B111" s="53">
        <f>VLOOKUP(WORKDAY(A111,-1,),'22. IDKA 5 anos'!$A$4:$G$4075,7,)/100</f>
        <v>6.2006888888888903E-2</v>
      </c>
      <c r="C111" s="53">
        <f>VLOOKUP(WORKDAY(A111,-1,),'22. IDKA 5 anos'!$A$4:$G$4075,6,)/100</f>
        <v>6.4908999999999994E-2</v>
      </c>
    </row>
    <row r="112" spans="1:3" x14ac:dyDescent="0.2">
      <c r="A112" s="91">
        <v>42156</v>
      </c>
      <c r="B112" s="53">
        <f>VLOOKUP(WORKDAY(A112,-1,),'22. IDKA 5 anos'!$A$4:$G$4075,7,)/100</f>
        <v>6.3149619047619052E-2</v>
      </c>
      <c r="C112" s="53">
        <f>VLOOKUP(WORKDAY(A112,-1,),'22. IDKA 5 anos'!$A$4:$G$4075,6,)/100</f>
        <v>6.3441999999999998E-2</v>
      </c>
    </row>
    <row r="113" spans="1:3" x14ac:dyDescent="0.2">
      <c r="A113" s="91">
        <v>42186</v>
      </c>
      <c r="B113" s="53">
        <f>VLOOKUP(WORKDAY(A113,-1,),'22. IDKA 5 anos'!$A$4:$G$4075,7,)/100</f>
        <v>6.375744444444445E-2</v>
      </c>
      <c r="C113" s="53">
        <f>VLOOKUP(WORKDAY(A113,-1,),'22. IDKA 5 anos'!$A$4:$G$4075,6,)/100</f>
        <v>6.606200000000001E-2</v>
      </c>
    </row>
    <row r="114" spans="1:3" x14ac:dyDescent="0.2">
      <c r="A114" s="91">
        <v>42217</v>
      </c>
      <c r="B114" s="53">
        <f>VLOOKUP(WORKDAY(A114,-1,),'22. IDKA 5 anos'!$A$4:$G$4075,7,)/100</f>
        <v>6.4664428571428567E-2</v>
      </c>
      <c r="C114" s="53">
        <f>VLOOKUP(WORKDAY(A114,-1,),'22. IDKA 5 anos'!$A$4:$G$4075,6,)/100</f>
        <v>6.5587000000000006E-2</v>
      </c>
    </row>
    <row r="115" spans="1:3" x14ac:dyDescent="0.2">
      <c r="A115" s="91">
        <v>42248</v>
      </c>
      <c r="B115" s="53">
        <f>VLOOKUP(WORKDAY(A115,-1,),'22. IDKA 5 anos'!$A$4:$G$4075,7,)/100</f>
        <v>6.6771063492063479E-2</v>
      </c>
      <c r="C115" s="53">
        <f>VLOOKUP(WORKDAY(A115,-1,),'22. IDKA 5 anos'!$A$4:$G$4075,6,)/100</f>
        <v>7.2386000000000006E-2</v>
      </c>
    </row>
    <row r="116" spans="1:3" x14ac:dyDescent="0.2">
      <c r="A116" s="91">
        <v>42278</v>
      </c>
      <c r="B116" s="53">
        <f>VLOOKUP(WORKDAY(A116,-1,),'22. IDKA 5 anos'!$A$4:$G$4075,7,)/100</f>
        <v>7.0293380952380954E-2</v>
      </c>
      <c r="C116" s="53">
        <f>VLOOKUP(WORKDAY(A116,-1,),'22. IDKA 5 anos'!$A$4:$G$4075,6,)/100</f>
        <v>7.5155E-2</v>
      </c>
    </row>
    <row r="117" spans="1:3" x14ac:dyDescent="0.2">
      <c r="A117" s="91">
        <v>42309</v>
      </c>
      <c r="B117" s="53">
        <f>VLOOKUP(WORKDAY(A117,-1,),'22. IDKA 5 anos'!$A$4:$G$4075,7,)/100</f>
        <v>7.3074444444444456E-2</v>
      </c>
      <c r="C117" s="53">
        <f>VLOOKUP(WORKDAY(A117,-1,),'22. IDKA 5 anos'!$A$4:$G$4075,6,)/100</f>
        <v>7.4273999999999993E-2</v>
      </c>
    </row>
    <row r="118" spans="1:3" x14ac:dyDescent="0.2">
      <c r="A118" s="91">
        <v>42339</v>
      </c>
      <c r="B118" s="53">
        <f>VLOOKUP(WORKDAY(A118,-1,),'22. IDKA 5 anos'!$A$4:$G$4075,7,)/100</f>
        <v>7.3679301587301585E-2</v>
      </c>
      <c r="C118" s="53">
        <f>VLOOKUP(WORKDAY(A118,-1,),'22. IDKA 5 anos'!$A$4:$G$4075,6,)/100</f>
        <v>7.5852000000000003E-2</v>
      </c>
    </row>
    <row r="119" spans="1:3" x14ac:dyDescent="0.2">
      <c r="A119" s="91">
        <v>42370</v>
      </c>
      <c r="B119" s="53">
        <f>VLOOKUP(WORKDAY(A119,-1,),'22. IDKA 5 anos'!$A$4:$G$4075,7,)/100</f>
        <v>7.3509841269841253E-2</v>
      </c>
      <c r="C119" s="53">
        <f>VLOOKUP(WORKDAY(A119,-1,),'22. IDKA 5 anos'!$A$4:$G$4075,6,)/100</f>
        <v>7.3064999999999991E-2</v>
      </c>
    </row>
    <row r="120" spans="1:3" x14ac:dyDescent="0.2">
      <c r="A120" s="91">
        <v>42401</v>
      </c>
      <c r="B120" s="53">
        <f>VLOOKUP(WORKDAY(A120,-1,),'22. IDKA 5 anos'!$A$4:$G$4075,7,)/100</f>
        <v>7.2584920634920641E-2</v>
      </c>
      <c r="C120" s="53">
        <f>VLOOKUP(WORKDAY(A120,-1,),'22. IDKA 5 anos'!$A$4:$G$4075,6,)/100</f>
        <v>7.0687E-2</v>
      </c>
    </row>
    <row r="121" spans="1:3" x14ac:dyDescent="0.2">
      <c r="A121" s="91">
        <v>42430</v>
      </c>
      <c r="B121" s="53">
        <f>VLOOKUP(WORKDAY(A121,-1,),'22. IDKA 5 anos'!$A$4:$G$4075,7,)/100</f>
        <v>7.1834444444444451E-2</v>
      </c>
      <c r="C121" s="53">
        <f>VLOOKUP(WORKDAY(A121,-1,),'22. IDKA 5 anos'!$A$4:$G$4075,6,)/100</f>
        <v>6.7562999999999998E-2</v>
      </c>
    </row>
    <row r="122" spans="1:3" x14ac:dyDescent="0.2">
      <c r="A122" s="91">
        <v>42461</v>
      </c>
      <c r="B122" s="53">
        <f>VLOOKUP(WORKDAY(A122,-1,),'22. IDKA 5 anos'!$A$4:$G$4075,7,)/100</f>
        <v>6.8314523809523825E-2</v>
      </c>
      <c r="C122" s="53">
        <f>VLOOKUP(WORKDAY(A122,-1,),'22. IDKA 5 anos'!$A$4:$G$4075,6,)/100</f>
        <v>6.5688999999999997E-2</v>
      </c>
    </row>
    <row r="123" spans="1:3" x14ac:dyDescent="0.2">
      <c r="A123" s="91">
        <v>42491</v>
      </c>
      <c r="B123" s="53">
        <f>VLOOKUP(WORKDAY(A123,-1,),'22. IDKA 5 anos'!$A$4:$G$4075,7,)/100</f>
        <v>6.5936269841269823E-2</v>
      </c>
      <c r="C123" s="53">
        <f>VLOOKUP(WORKDAY(A123,-1,),'22. IDKA 5 anos'!$A$4:$G$4075,6,)/100</f>
        <v>6.0843000000000001E-2</v>
      </c>
    </row>
    <row r="124" spans="1:3" x14ac:dyDescent="0.2">
      <c r="A124" s="91">
        <v>42522</v>
      </c>
      <c r="B124" s="53">
        <f>VLOOKUP(WORKDAY(A124,-1,),'22. IDKA 5 anos'!$A$4:$G$4075,7,)/100</f>
        <v>6.2877761904761909E-2</v>
      </c>
      <c r="C124" s="53">
        <f>VLOOKUP(WORKDAY(A124,-1,),'22. IDKA 5 anos'!$A$4:$G$4075,6,)/100</f>
        <v>6.2566999999999998E-2</v>
      </c>
    </row>
    <row r="125" spans="1:3" x14ac:dyDescent="0.2">
      <c r="A125" s="91">
        <v>42552</v>
      </c>
      <c r="B125" s="53">
        <f>VLOOKUP(WORKDAY(A125,-1,),'22. IDKA 5 anos'!$A$4:$G$4075,7,)/100</f>
        <v>6.1637047619047633E-2</v>
      </c>
      <c r="C125" s="53">
        <f>VLOOKUP(WORKDAY(A125,-1,),'22. IDKA 5 anos'!$A$4:$G$4075,6,)/100</f>
        <v>6.3794000000000003E-2</v>
      </c>
    </row>
    <row r="126" spans="1:3" x14ac:dyDescent="0.2">
      <c r="A126" s="91">
        <v>42583</v>
      </c>
      <c r="B126" s="53">
        <f>VLOOKUP(WORKDAY(A126,-1,),'22. IDKA 5 anos'!$A$4:$G$4075,7,)/100</f>
        <v>6.117565079365081E-2</v>
      </c>
      <c r="C126" s="53">
        <f>VLOOKUP(WORKDAY(A126,-1,),'22. IDKA 5 anos'!$A$4:$G$4075,6,)/100</f>
        <v>6.1473000000000007E-2</v>
      </c>
    </row>
    <row r="127" spans="1:3" x14ac:dyDescent="0.2">
      <c r="A127" s="91">
        <v>42614</v>
      </c>
      <c r="B127" s="53">
        <f>VLOOKUP(WORKDAY(A127,-1,),'22. IDKA 5 anos'!$A$4:$G$4075,7,)/100</f>
        <v>6.1072333333333298E-2</v>
      </c>
      <c r="C127" s="53">
        <f>VLOOKUP(WORKDAY(A127,-1,),'22. IDKA 5 anos'!$A$4:$G$4075,6,)/100</f>
        <v>6.1295000000000002E-2</v>
      </c>
    </row>
    <row r="128" spans="1:3" x14ac:dyDescent="0.2">
      <c r="A128" s="91">
        <v>42644</v>
      </c>
      <c r="B128" s="53">
        <f>VLOOKUP(WORKDAY(A128,-1,),'22. IDKA 5 anos'!$A$4:$G$4075,7,)/100</f>
        <v>6.0946825396825395E-2</v>
      </c>
      <c r="C128" s="53">
        <f>VLOOKUP(WORKDAY(A128,-1,),'22. IDKA 5 anos'!$A$4:$G$4075,6,)/100</f>
        <v>5.9676E-2</v>
      </c>
    </row>
    <row r="129" spans="1:3" x14ac:dyDescent="0.2">
      <c r="A129" s="91">
        <v>42675</v>
      </c>
      <c r="B129" s="53">
        <f>VLOOKUP(WORKDAY(A129,-1,),'22. IDKA 5 anos'!$A$4:$G$4075,7,)/100</f>
        <v>5.9957079365079352E-2</v>
      </c>
      <c r="C129" s="53">
        <f>VLOOKUP(WORKDAY(A129,-1,),'22. IDKA 5 anos'!$A$4:$G$4075,6,)/100</f>
        <v>5.9859000000000002E-2</v>
      </c>
    </row>
    <row r="130" spans="1:3" x14ac:dyDescent="0.2">
      <c r="A130" s="91">
        <v>42705</v>
      </c>
      <c r="B130" s="53">
        <f>VLOOKUP(WORKDAY(A130,-1,),'22. IDKA 5 anos'!$A$4:$G$4075,7,)/100</f>
        <v>6.0614476190476198E-2</v>
      </c>
      <c r="C130" s="53">
        <f>VLOOKUP(WORKDAY(A130,-1,),'22. IDKA 5 anos'!$A$4:$G$4075,6,)/100</f>
        <v>6.1691999999999997E-2</v>
      </c>
    </row>
    <row r="131" spans="1:3" x14ac:dyDescent="0.2">
      <c r="A131" s="91">
        <v>42736</v>
      </c>
      <c r="B131" s="53">
        <f>VLOOKUP(WORKDAY(A131,-1,),'22. IDKA 5 anos'!$A$4:$G$4075,7,)/100</f>
        <v>6.0943492063492054E-2</v>
      </c>
      <c r="C131" s="53">
        <f>VLOOKUP(WORKDAY(A131,-1,),'22. IDKA 5 anos'!$A$4:$G$4075,6,)/100</f>
        <v>5.9490000000000001E-2</v>
      </c>
    </row>
    <row r="132" spans="1:3" x14ac:dyDescent="0.2">
      <c r="A132" s="91">
        <v>42767</v>
      </c>
      <c r="B132" s="53">
        <f>VLOOKUP(WORKDAY(A132,-1,),'22. IDKA 5 anos'!$A$4:$G$4075,7,)/100</f>
        <v>6.0502444444444435E-2</v>
      </c>
      <c r="C132" s="53">
        <f>VLOOKUP(WORKDAY(A132,-1,),'22. IDKA 5 anos'!$A$4:$G$4075,6,)/100</f>
        <v>5.8365E-2</v>
      </c>
    </row>
    <row r="133" spans="1:3" x14ac:dyDescent="0.2">
      <c r="A133" s="91">
        <v>42795</v>
      </c>
      <c r="B133" s="53">
        <f>VLOOKUP(WORKDAY(A133,-3,),'22. IDKA 5 anos'!$A$4:$G$4075,7,)/100</f>
        <v>5.8672666666666679E-2</v>
      </c>
      <c r="C133" s="53">
        <f>VLOOKUP(WORKDAY(A133,-3,),'22. IDKA 5 anos'!$A$4:$G$4075,6,)/100</f>
        <v>5.4123000000000004E-2</v>
      </c>
    </row>
    <row r="134" spans="1:3" x14ac:dyDescent="0.2">
      <c r="A134" s="91">
        <v>42826</v>
      </c>
      <c r="B134" s="53">
        <f>VLOOKUP(WORKDAY(A134,-1,),'22. IDKA 5 anos'!$A$4:$G$4075,7,)/100</f>
        <v>5.5512761904761919E-2</v>
      </c>
      <c r="C134" s="53">
        <f>VLOOKUP(WORKDAY(A134,-1,),'22. IDKA 5 anos'!$A$4:$G$4075,6,)/100</f>
        <v>5.2327000000000005E-2</v>
      </c>
    </row>
    <row r="135" spans="1:3" x14ac:dyDescent="0.2">
      <c r="A135" s="91">
        <v>42856</v>
      </c>
      <c r="B135" s="53">
        <f>VLOOKUP(WORKDAY(A135,-1,),'22. IDKA 5 anos'!$A$4:$G$4075,7,)/100</f>
        <v>5.3983984126984144E-2</v>
      </c>
      <c r="C135" s="53">
        <f>VLOOKUP(WORKDAY(A135,-1,),'22. IDKA 5 anos'!$A$4:$G$4075,6,)/100</f>
        <v>5.3139000000000006E-2</v>
      </c>
    </row>
    <row r="136" spans="1:3" x14ac:dyDescent="0.2">
      <c r="A136" s="91">
        <v>42887</v>
      </c>
      <c r="B136" s="53">
        <f>VLOOKUP(WORKDAY(A136,-1,),'22. IDKA 5 anos'!$A$4:$G$4075,7,)/100</f>
        <v>5.3381746031746037E-2</v>
      </c>
      <c r="C136" s="53">
        <f>VLOOKUP(WORKDAY(A136,-1,),'22. IDKA 5 anos'!$A$4:$G$4075,6,)/100</f>
        <v>5.5723000000000002E-2</v>
      </c>
    </row>
    <row r="137" spans="1:3" x14ac:dyDescent="0.2">
      <c r="A137" s="91">
        <v>42917</v>
      </c>
      <c r="B137" s="53">
        <f>VLOOKUP(WORKDAY(A137,-1,),'22. IDKA 5 anos'!$A$4:$G$4075,7,)/100</f>
        <v>5.4476841269841286E-2</v>
      </c>
      <c r="C137" s="53">
        <f>VLOOKUP(WORKDAY(A137,-1,),'22. IDKA 5 anos'!$A$4:$G$4075,6,)/100</f>
        <v>5.6041999999999995E-2</v>
      </c>
    </row>
    <row r="138" spans="1:3" x14ac:dyDescent="0.2">
      <c r="A138" s="91">
        <v>42948</v>
      </c>
      <c r="B138" s="53">
        <f>VLOOKUP(WORKDAY(A138,-1,),'22. IDKA 5 anos'!$A$4:$G$4075,7,)/100</f>
        <v>5.4779222222222229E-2</v>
      </c>
      <c r="C138" s="53">
        <f>VLOOKUP(WORKDAY(A138,-1,),'22. IDKA 5 anos'!$A$4:$G$4075,6,)/100</f>
        <v>4.8620999999999998E-2</v>
      </c>
    </row>
    <row r="139" spans="1:3" x14ac:dyDescent="0.2">
      <c r="A139" s="91">
        <v>42979</v>
      </c>
      <c r="B139" s="53">
        <f>VLOOKUP(WORKDAY(A139,-1,),'22. IDKA 5 anos'!$A$4:$G$4075,7,)/100</f>
        <v>5.2433000000000014E-2</v>
      </c>
      <c r="C139" s="53">
        <f>VLOOKUP(WORKDAY(A139,-1,),'22. IDKA 5 anos'!$A$4:$G$4075,6,)/100</f>
        <v>4.6764E-2</v>
      </c>
    </row>
    <row r="140" spans="1:3" x14ac:dyDescent="0.2">
      <c r="A140" s="91">
        <v>43009</v>
      </c>
      <c r="B140" s="53">
        <f>VLOOKUP(WORKDAY(A140,-1,),'22. IDKA 5 anos'!$A$4:$G$4075,7,)/100</f>
        <v>4.9108476190476189E-2</v>
      </c>
      <c r="C140" s="53">
        <f>VLOOKUP(WORKDAY(A140,-1,),'22. IDKA 5 anos'!$A$4:$G$4075,6,)/100</f>
        <v>4.4888999999999998E-2</v>
      </c>
    </row>
    <row r="141" spans="1:3" x14ac:dyDescent="0.2">
      <c r="A141" s="91">
        <v>43040</v>
      </c>
      <c r="B141" s="53">
        <f>VLOOKUP(WORKDAY(A141,-1,),'22. IDKA 5 anos'!$A$4:$G$4075,7,)/100</f>
        <v>4.6428222222222225E-2</v>
      </c>
      <c r="C141" s="53">
        <f>VLOOKUP(WORKDAY(A141,-1,),'22. IDKA 5 anos'!$A$4:$G$4075,6,)/100</f>
        <v>4.6768000000000004E-2</v>
      </c>
    </row>
    <row r="142" spans="1:3" x14ac:dyDescent="0.2">
      <c r="A142" s="91">
        <v>43070</v>
      </c>
      <c r="B142" s="53">
        <f>VLOOKUP(WORKDAY(A142,-1,),'22. IDKA 5 anos'!$A$4:$G$4075,7,)/100</f>
        <v>4.6392682539682546E-2</v>
      </c>
      <c r="C142" s="53">
        <f>VLOOKUP(WORKDAY(A142,-1,),'22. IDKA 5 anos'!$A$4:$G$4075,6,)/100</f>
        <v>4.9199E-2</v>
      </c>
    </row>
    <row r="143" spans="1:3" x14ac:dyDescent="0.2">
      <c r="A143" s="91">
        <v>43101</v>
      </c>
      <c r="B143" s="53">
        <f>VLOOKUP(WORKDAY(A143,-1,),'22. IDKA 5 anos'!$A$4:$G$4075,7,)/100</f>
        <v>4.7494523809523806E-2</v>
      </c>
      <c r="C143" s="53">
        <f>VLOOKUP(WORKDAY(A143,-1,),'22. IDKA 5 anos'!$A$4:$G$4075,6,)/100</f>
        <v>4.8829000000000004E-2</v>
      </c>
    </row>
    <row r="144" spans="1:3" x14ac:dyDescent="0.2">
      <c r="A144" s="91">
        <v>43132</v>
      </c>
      <c r="B144" s="53">
        <f>VLOOKUP(WORKDAY(A144,-1,),'22. IDKA 5 anos'!$A$4:$G$4075,7,)/100</f>
        <v>4.8110492063492077E-2</v>
      </c>
      <c r="C144" s="53">
        <f>VLOOKUP(WORKDAY(A144,-1,),'22. IDKA 5 anos'!$A$4:$G$4075,6,)/100</f>
        <v>4.5572000000000001E-2</v>
      </c>
    </row>
    <row r="145" spans="1:3" x14ac:dyDescent="0.2">
      <c r="A145" s="91">
        <v>43160</v>
      </c>
      <c r="B145" s="53">
        <f>VLOOKUP(WORKDAY(A145,-1,),'22. IDKA 5 anos'!$A$4:$G$4075,7,)/100</f>
        <v>4.7604269841269836E-2</v>
      </c>
      <c r="C145" s="53">
        <f>VLOOKUP(WORKDAY(A145,-1,),'22. IDKA 5 anos'!$A$4:$G$4075,6,)/100</f>
        <v>4.5749000000000005E-2</v>
      </c>
    </row>
    <row r="146" spans="1:3" x14ac:dyDescent="0.2">
      <c r="A146" s="91">
        <v>43191</v>
      </c>
      <c r="B146" s="53">
        <f>VLOOKUP(WORKDAY(A146,-2,),'22. IDKA 5 anos'!$A$4:$G$4075,7,)/100</f>
        <v>4.598098412698412E-2</v>
      </c>
      <c r="C146" s="53">
        <f>VLOOKUP(WORKDAY(A146,-2,),'22. IDKA 5 anos'!$A$4:$G$4075,6,)/100</f>
        <v>4.2652999999999996E-2</v>
      </c>
    </row>
    <row r="147" spans="1:3" x14ac:dyDescent="0.2">
      <c r="A147" s="91">
        <v>43221</v>
      </c>
      <c r="B147" s="53">
        <f>VLOOKUP(WORKDAY(A147,-1,),'22. IDKA 5 anos'!$A$4:$G$4075,7,)/100</f>
        <v>4.4907603174603176E-2</v>
      </c>
      <c r="C147" s="53">
        <f>VLOOKUP(WORKDAY(A147,-1,),'22. IDKA 5 anos'!$A$4:$G$4075,6,)/100</f>
        <v>4.3997000000000001E-2</v>
      </c>
    </row>
    <row r="148" spans="1:3" x14ac:dyDescent="0.2">
      <c r="A148" s="91">
        <v>43252</v>
      </c>
      <c r="B148" s="53">
        <f>VLOOKUP(WORKDAY(A148,-2,),'22. IDKA 5 anos'!$A$4:$G$4075,7,)/100</f>
        <v>4.5525253968253958E-2</v>
      </c>
      <c r="C148" s="53">
        <f>VLOOKUP(WORKDAY(A148,-2,),'22. IDKA 5 anos'!$A$4:$G$4075,6,)/100</f>
        <v>5.2826999999999999E-2</v>
      </c>
    </row>
    <row r="149" spans="1:3" x14ac:dyDescent="0.2">
      <c r="A149" s="91">
        <v>43282</v>
      </c>
      <c r="B149" s="53">
        <f>VLOOKUP(WORKDAY(A149,-1,),'22. IDKA 5 anos'!$A$4:$G$4075,7,)/100</f>
        <v>4.907485714285717E-2</v>
      </c>
      <c r="C149" s="53">
        <f>VLOOKUP(WORKDAY(A149,-1,),'22. IDKA 5 anos'!$A$4:$G$4075,6,)/100</f>
        <v>5.5591000000000002E-2</v>
      </c>
    </row>
    <row r="150" spans="1:3" x14ac:dyDescent="0.2">
      <c r="A150" s="91">
        <v>43313</v>
      </c>
      <c r="B150" s="53">
        <f>VLOOKUP(WORKDAY(A150,-1,),'22. IDKA 5 anos'!$A$4:$G$4075,7,)/100</f>
        <v>5.294930158730158E-2</v>
      </c>
      <c r="C150" s="53">
        <f>VLOOKUP(WORKDAY(A150,-1,),'22. IDKA 5 anos'!$A$4:$G$4075,6,)/100</f>
        <v>5.3815999999999996E-2</v>
      </c>
    </row>
    <row r="151" spans="1:3" x14ac:dyDescent="0.2">
      <c r="A151" s="91">
        <v>43344</v>
      </c>
      <c r="B151" s="53">
        <f>VLOOKUP(WORKDAY(A151,-1,),'22. IDKA 5 anos'!$A$4:$G$4075,7,)/100</f>
        <v>5.5062174603174599E-2</v>
      </c>
      <c r="C151" s="53">
        <f>VLOOKUP(WORKDAY(A151,-1,),'22. IDKA 5 anos'!$A$4:$G$4075,6,)/100</f>
        <v>5.6330999999999999E-2</v>
      </c>
    </row>
    <row r="152" spans="1:3" x14ac:dyDescent="0.2">
      <c r="A152" s="91">
        <v>43374</v>
      </c>
      <c r="B152" s="53">
        <f>VLOOKUP(WORKDAY(A152,-1,),'22. IDKA 5 anos'!$A$4:$G$4075,7,)/100</f>
        <v>5.5685507936507929E-2</v>
      </c>
      <c r="C152" s="53">
        <f>VLOOKUP(WORKDAY(A152,-1,),'22. IDKA 5 anos'!$A$4:$G$4075,6,)/100</f>
        <v>5.7884000000000005E-2</v>
      </c>
    </row>
    <row r="153" spans="1:3" x14ac:dyDescent="0.2">
      <c r="A153" s="91">
        <v>43405</v>
      </c>
      <c r="B153" s="53">
        <f>VLOOKUP(WORKDAY(A153,-1,),'22. IDKA 5 anos'!$A$4:$G$4075,7,)/100</f>
        <v>5.4345666666666653E-2</v>
      </c>
      <c r="C153" s="53">
        <f>VLOOKUP(WORKDAY(A153,-1,),'22. IDKA 5 anos'!$A$4:$G$4075,6,)/100</f>
        <v>4.6994000000000001E-2</v>
      </c>
    </row>
    <row r="154" spans="1:3" x14ac:dyDescent="0.2">
      <c r="A154" s="91">
        <v>43435</v>
      </c>
      <c r="B154" s="53">
        <f>VLOOKUP(WORKDAY(A154,-1,),'22. IDKA 5 anos'!$A$4:$G$4075,7,)/100</f>
        <v>5.2165047619047618E-2</v>
      </c>
      <c r="C154" s="53">
        <f>VLOOKUP(WORKDAY(A154,-1,),'22. IDKA 5 anos'!$A$4:$G$4075,6,)/100</f>
        <v>4.7651000000000006E-2</v>
      </c>
    </row>
    <row r="155" spans="1:3" x14ac:dyDescent="0.2">
      <c r="A155" s="91">
        <v>43466</v>
      </c>
      <c r="B155" s="53">
        <f>VLOOKUP(WORKDAY(A155,-1,),'22. IDKA 5 anos'!$A$4:$G$4075,7,)/100</f>
        <v>4.8475301587301581E-2</v>
      </c>
      <c r="C155" s="53">
        <f>VLOOKUP(WORKDAY(A155,-1,),'22. IDKA 5 anos'!$A$4:$G$4075,6,)/100</f>
        <v>4.4202999999999999E-2</v>
      </c>
    </row>
    <row r="156" spans="1:3" x14ac:dyDescent="0.2">
      <c r="A156" s="91">
        <v>43497</v>
      </c>
      <c r="B156" s="53">
        <f>VLOOKUP(WORKDAY(A156,-1,),'22. IDKA 5 anos'!$A$4:$G$4075,7,)/100</f>
        <v>4.5219206349206342E-2</v>
      </c>
      <c r="C156" s="53">
        <f>VLOOKUP(WORKDAY(A156,-1,),'22. IDKA 5 anos'!$A$4:$G$4075,6,)/100</f>
        <v>4.0122999999999999E-2</v>
      </c>
    </row>
    <row r="157" spans="1:3" x14ac:dyDescent="0.2">
      <c r="A157" s="91">
        <v>43525</v>
      </c>
      <c r="B157" s="53">
        <f>VLOOKUP(WORKDAY(A157,-1,),'22. IDKA 5 anos'!$A$4:$G$4075,7,)/100</f>
        <v>4.2994507936507942E-2</v>
      </c>
      <c r="C157" s="53">
        <f>VLOOKUP(WORKDAY(A157,-1,),'22. IDKA 5 anos'!$A$4:$G$4075,6,)/100</f>
        <v>4.0529000000000003E-2</v>
      </c>
    </row>
    <row r="158" spans="1:3" x14ac:dyDescent="0.2">
      <c r="A158" s="91">
        <v>43556</v>
      </c>
      <c r="B158" s="53">
        <f>VLOOKUP(WORKDAY(A158,-1,),'22. IDKA 5 anos'!$A$4:$G$4075,7,)/100</f>
        <v>4.0953555555555569E-2</v>
      </c>
      <c r="C158" s="53">
        <f>VLOOKUP(WORKDAY(A158,-1,),'22. IDKA 5 anos'!$A$4:$G$4075,6,)/100</f>
        <v>4.0423000000000001E-2</v>
      </c>
    </row>
    <row r="159" spans="1:3" x14ac:dyDescent="0.2">
      <c r="A159" s="91">
        <v>43586</v>
      </c>
      <c r="B159" s="53">
        <f>VLOOKUP(WORKDAY(A159,-1,),'22. IDKA 5 anos'!$A$4:$G$4075,7,)/100</f>
        <v>4.0361206349206348E-2</v>
      </c>
      <c r="C159" s="53">
        <f>VLOOKUP(WORKDAY(A159,-1,),'22. IDKA 5 anos'!$A$4:$G$4075,6,)/100</f>
        <v>4.0315999999999998E-2</v>
      </c>
    </row>
    <row r="160" spans="1:3" x14ac:dyDescent="0.2">
      <c r="A160" s="91">
        <v>43617</v>
      </c>
      <c r="B160" s="53">
        <f>VLOOKUP(WORKDAY(A160,-1,),'22. IDKA 5 anos'!$A$4:$G$4075,7,)/100</f>
        <v>3.9818111111111117E-2</v>
      </c>
      <c r="C160" s="53">
        <f>VLOOKUP(WORKDAY(A160,-1,),'22. IDKA 5 anos'!$A$4:$G$4075,6,)/100</f>
        <v>3.6334999999999999E-2</v>
      </c>
    </row>
    <row r="161" spans="1:3" x14ac:dyDescent="0.2">
      <c r="A161" s="91">
        <v>43647</v>
      </c>
      <c r="B161" s="53">
        <f>VLOOKUP(WORKDAY(A161,-1,),'22. IDKA 5 anos'!$A$4:$G$4075,7,)/100</f>
        <v>3.8003301587301593E-2</v>
      </c>
      <c r="C161" s="53">
        <f>VLOOKUP(WORKDAY(A161,-1,),'22. IDKA 5 anos'!$A$4:$G$4075,6,)/100</f>
        <v>3.0699999999999998E-2</v>
      </c>
    </row>
    <row r="162" spans="1:3" x14ac:dyDescent="0.2">
      <c r="A162" s="91">
        <v>43678</v>
      </c>
      <c r="B162" s="53">
        <f>VLOOKUP(WORKDAY(A162,-1,),'22. IDKA 5 anos'!$A$4:$G$4075,7,)/100</f>
        <v>3.3828952380952383E-2</v>
      </c>
      <c r="C162" s="53">
        <f>VLOOKUP(WORKDAY(A162,-1,),'22. IDKA 5 anos'!$A$4:$G$4075,6,)/100</f>
        <v>2.9558000000000001E-2</v>
      </c>
    </row>
    <row r="163" spans="1:3" x14ac:dyDescent="0.2">
      <c r="A163" s="91">
        <v>43709</v>
      </c>
      <c r="B163" s="53">
        <f>VLOOKUP(WORKDAY(A163,-1,),'22. IDKA 5 anos'!$A$4:$G$4075,7,)/100</f>
        <v>3.0422841269841266E-2</v>
      </c>
      <c r="C163" s="53">
        <f>VLOOKUP(WORKDAY(A163,-1,),'22. IDKA 5 anos'!$A$4:$G$4075,6,)/100</f>
        <v>3.0454999999999999E-2</v>
      </c>
    </row>
    <row r="164" spans="1:3" x14ac:dyDescent="0.2">
      <c r="A164" s="91">
        <v>43739</v>
      </c>
      <c r="B164" s="53">
        <f>VLOOKUP(WORKDAY(A164,-1,),'22. IDKA 5 anos'!$A$4:$G$4075,7,)/100</f>
        <v>2.8936714285714281E-2</v>
      </c>
      <c r="C164" s="53">
        <f>VLOOKUP(WORKDAY(A164,-1,),'22. IDKA 5 anos'!$A$4:$G$4075,6,)/100</f>
        <v>2.5974000000000001E-2</v>
      </c>
    </row>
    <row r="165" spans="1:3" x14ac:dyDescent="0.2">
      <c r="A165" s="91">
        <v>43770</v>
      </c>
      <c r="B165" s="53">
        <f>VLOOKUP(WORKDAY(A165,-1,),'22. IDKA 5 anos'!$A$4:$G$4075,7,)/100</f>
        <v>2.7102666666666667E-2</v>
      </c>
      <c r="C165" s="53">
        <f>VLOOKUP(WORKDAY(A165,-1,),'22. IDKA 5 anos'!$A$4:$G$4075,6,)/100</f>
        <v>2.1009000000000003E-2</v>
      </c>
    </row>
    <row r="166" spans="1:3" x14ac:dyDescent="0.2">
      <c r="A166" s="91">
        <v>43800</v>
      </c>
      <c r="B166" s="53">
        <f>VLOOKUP(WORKDAY(A166,-1,),'22. IDKA 5 anos'!$A$4:$G$4075,7,)/100</f>
        <v>2.5105571428571428E-2</v>
      </c>
      <c r="C166" s="53">
        <f>VLOOKUP(WORKDAY(A166,-1,),'22. IDKA 5 anos'!$A$4:$G$4075,6,)/100</f>
        <v>2.5156999999999999E-2</v>
      </c>
    </row>
    <row r="167" spans="1:3" x14ac:dyDescent="0.2">
      <c r="A167" s="91">
        <v>43831</v>
      </c>
      <c r="B167" s="53">
        <f>VLOOKUP(WORKDAY(A167,-1,),'22. IDKA 5 anos'!$A$4:$G$4075,7,)/100</f>
        <v>2.3839587301587303E-2</v>
      </c>
      <c r="C167" s="53">
        <f>VLOOKUP(WORKDAY(A167,-1,),'22. IDKA 5 anos'!$A$4:$G$4075,6,)/100</f>
        <v>2.4565999999999998E-2</v>
      </c>
    </row>
    <row r="168" spans="1:3" x14ac:dyDescent="0.2">
      <c r="A168" s="91">
        <v>43862</v>
      </c>
      <c r="B168" s="53">
        <f>VLOOKUP(WORKDAY(A168,-1,),'22. IDKA 5 anos'!$A$4:$G$4075,7,)/100</f>
        <v>2.4256555555555545E-2</v>
      </c>
      <c r="C168" s="53">
        <f>VLOOKUP(WORKDAY(A168,-1,),'22. IDKA 5 anos'!$A$4:$G$4075,6,)/100</f>
        <v>2.4674000000000001E-2</v>
      </c>
    </row>
    <row r="169" spans="1:3" x14ac:dyDescent="0.2">
      <c r="A169" s="91">
        <v>43891</v>
      </c>
      <c r="B169" s="53">
        <f>VLOOKUP(WORKDAY(A169,-1,),'22. IDKA 5 anos'!$A$4:$G$4075,7,)/100</f>
        <v>2.4547825396825387E-2</v>
      </c>
      <c r="C169" s="53">
        <f>VLOOKUP(WORKDAY(A169,-1,),'22. IDKA 5 anos'!$A$4:$G$4075,6,)/100</f>
        <v>2.3593000000000003E-2</v>
      </c>
    </row>
    <row r="170" spans="1:3" x14ac:dyDescent="0.2">
      <c r="A170" s="91">
        <v>43922</v>
      </c>
      <c r="B170" s="53">
        <f>VLOOKUP(WORKDAY(A170,-1,),'22. IDKA 5 anos'!$A$4:$G$4075,7,)/100</f>
        <v>2.6931634920634925E-2</v>
      </c>
      <c r="C170" s="53">
        <f>VLOOKUP(WORKDAY(A170,-1,),'22. IDKA 5 anos'!$A$4:$G$4075,6,)/100</f>
        <v>3.2729000000000001E-2</v>
      </c>
    </row>
    <row r="171" spans="1:3" x14ac:dyDescent="0.2">
      <c r="A171" s="91">
        <v>43952</v>
      </c>
      <c r="B171" s="53">
        <f>VLOOKUP(WORKDAY(A171,-1,),'22. IDKA 5 anos'!$A$4:$G$4075,7,)/100</f>
        <v>2.8751269841269834E-2</v>
      </c>
      <c r="C171" s="53">
        <f>VLOOKUP(WORKDAY(A171,-1,),'22. IDKA 5 anos'!$A$4:$G$4075,6,)/100</f>
        <v>3.1061999999999999E-2</v>
      </c>
    </row>
    <row r="172" spans="1:3" x14ac:dyDescent="0.2">
      <c r="A172" s="91">
        <v>43983</v>
      </c>
      <c r="B172" s="53">
        <f>VLOOKUP(WORKDAY(A172,-1,),'22. IDKA 5 anos'!$A$4:$G$4075,7,)/100</f>
        <v>3.0587015873015867E-2</v>
      </c>
      <c r="C172" s="53">
        <f>VLOOKUP(WORKDAY(A172,-1,),'22. IDKA 5 anos'!$A$4:$G$4075,6,)/100</f>
        <v>2.3847999999999998E-2</v>
      </c>
    </row>
    <row r="173" spans="1:3" x14ac:dyDescent="0.2">
      <c r="A173" s="91">
        <v>44013</v>
      </c>
      <c r="B173" s="53">
        <f>VLOOKUP(WORKDAY(A173,-1,),'22. IDKA 5 anos'!$A$4:$G$4075,7,)/100</f>
        <v>2.7973730158730167E-2</v>
      </c>
      <c r="C173" s="53">
        <f>VLOOKUP(WORKDAY(A173,-1,),'22. IDKA 5 anos'!$A$4:$G$4075,6,)/100</f>
        <v>2.1387E-2</v>
      </c>
    </row>
    <row r="174" spans="1:3" x14ac:dyDescent="0.2">
      <c r="A174" s="91">
        <v>44044</v>
      </c>
      <c r="B174" s="53">
        <f>VLOOKUP(WORKDAY(A174,-1,),'22. IDKA 5 anos'!$A$4:$G$4075,7,)/100</f>
        <v>2.3626492063492068E-2</v>
      </c>
      <c r="C174" s="53">
        <f>VLOOKUP(WORKDAY(A174,-1,),'22. IDKA 5 anos'!$A$4:$G$4075,6,)/100</f>
        <v>1.7385999999999999E-2</v>
      </c>
    </row>
    <row r="175" spans="1:3" x14ac:dyDescent="0.2">
      <c r="A175" s="91">
        <v>44075</v>
      </c>
      <c r="B175" s="53">
        <f>VLOOKUP(WORKDAY(A175,-1,),'22. IDKA 5 anos'!$A$4:$G$4075,7,)/100</f>
        <v>2.0398539682539681E-2</v>
      </c>
      <c r="C175" s="53">
        <f>VLOOKUP(WORKDAY(A175,-1,),'22. IDKA 5 anos'!$A$4:$G$4075,6,)/100</f>
        <v>2.0931000000000002E-2</v>
      </c>
    </row>
    <row r="176" spans="1:3" x14ac:dyDescent="0.2">
      <c r="A176" s="91">
        <v>44105</v>
      </c>
      <c r="B176" s="53">
        <f>VLOOKUP(WORKDAY(A176,-1,),'22. IDKA 5 anos'!$A$4:$G$4075,7,)/100</f>
        <v>2.0100714285714291E-2</v>
      </c>
      <c r="C176" s="53">
        <f>VLOOKUP(WORKDAY(A176,-1,),'22. IDKA 5 anos'!$A$4:$G$4075,6,)/100</f>
        <v>2.4784E-2</v>
      </c>
    </row>
    <row r="177" spans="1:3" x14ac:dyDescent="0.2">
      <c r="A177" s="91">
        <v>44136</v>
      </c>
      <c r="B177" s="53">
        <f>VLOOKUP(WORKDAY(A177,-1,),'22. IDKA 5 anos'!$A$4:$G$4075,7,)/100</f>
        <v>2.234955555555556E-2</v>
      </c>
      <c r="C177" s="53">
        <f>VLOOKUP(WORKDAY(A177,-1,),'22. IDKA 5 anos'!$A$4:$G$4075,6,)/100</f>
        <v>2.7956999999999999E-2</v>
      </c>
    </row>
    <row r="178" spans="1:3" x14ac:dyDescent="0.2">
      <c r="A178" s="91">
        <v>44166</v>
      </c>
      <c r="B178" s="53">
        <f>VLOOKUP(WORKDAY(A178,-1,),'22. IDKA 5 anos'!$A$4:$G$4075,7,)/100</f>
        <v>2.4818301587301587E-2</v>
      </c>
      <c r="C178" s="53">
        <f>VLOOKUP(WORKDAY(A178,-1,),'22. IDKA 5 anos'!$A$4:$G$4075,6,)/100</f>
        <v>2.6695000000000003E-2</v>
      </c>
    </row>
    <row r="179" spans="1:3" x14ac:dyDescent="0.2">
      <c r="A179" s="91">
        <v>44197</v>
      </c>
      <c r="B179" s="53">
        <f>VLOOKUP(WORKDAY(A179,-1,),'22. IDKA 5 anos'!$A$4:$G$4075,7,)/100</f>
        <v>2.5171746031746038E-2</v>
      </c>
      <c r="C179" s="53">
        <f>VLOOKUP(WORKDAY(A179,-1,),'22. IDKA 5 anos'!$A$4:$G$4075,6,)/100</f>
        <v>2.1242E-2</v>
      </c>
    </row>
    <row r="180" spans="1:3" x14ac:dyDescent="0.2">
      <c r="A180" s="91">
        <v>44228</v>
      </c>
      <c r="B180" s="53">
        <f>VLOOKUP(WORKDAY(A180,-1,),'22. IDKA 5 anos'!$A$4:$G$4075,7,)/100</f>
        <v>2.4942111111111099E-2</v>
      </c>
      <c r="C180" s="53">
        <f>VLOOKUP(WORKDAY(A180,-1,),'22. IDKA 5 anos'!$A$4:$G$4075,6,)/100</f>
        <v>2.5293E-2</v>
      </c>
    </row>
    <row r="181" spans="1:3" x14ac:dyDescent="0.2">
      <c r="A181" s="91">
        <v>44256</v>
      </c>
      <c r="B181" s="53">
        <f>VLOOKUP(WORKDAY(A181,-1,),'22. IDKA 5 anos'!$A$4:$G$4075,7,)/100</f>
        <v>2.4676E-2</v>
      </c>
      <c r="C181" s="53">
        <f>VLOOKUP(WORKDAY(A181,-1,),'22. IDKA 5 anos'!$A$4:$G$4075,6,)/100</f>
        <v>3.1232000000000003E-2</v>
      </c>
    </row>
    <row r="182" spans="1:3" x14ac:dyDescent="0.2">
      <c r="A182" s="91">
        <v>44287</v>
      </c>
      <c r="B182" s="53">
        <f>VLOOKUP(WORKDAY(A182,-1,),'22. IDKA 5 anos'!$A$4:$G$4075,7,)/100</f>
        <v>2.7848587301587301E-2</v>
      </c>
      <c r="C182" s="53">
        <f>VLOOKUP(WORKDAY(A182,-1,),'22. IDKA 5 anos'!$A$4:$G$4075,6,)/100</f>
        <v>3.5605000000000005E-2</v>
      </c>
    </row>
    <row r="183" spans="1:3" x14ac:dyDescent="0.2">
      <c r="A183" s="91">
        <v>44317</v>
      </c>
      <c r="B183" s="53">
        <f>VLOOKUP(WORKDAY(A183,-1,),'22. IDKA 5 anos'!$A$4:$G$4075,7,)/100</f>
        <v>3.1523841269841278E-2</v>
      </c>
      <c r="C183" s="53">
        <f>VLOOKUP(WORKDAY(A183,-1,),'22. IDKA 5 anos'!$A$4:$G$4075,6,)/100</f>
        <v>3.4336999999999999E-2</v>
      </c>
    </row>
    <row r="184" spans="1:3" x14ac:dyDescent="0.2">
      <c r="A184" s="91">
        <v>44348</v>
      </c>
      <c r="B184" s="53">
        <f>VLOOKUP(WORKDAY(A184,-1,),'22. IDKA 5 anos'!$A$4:$G$4594,7,)/100</f>
        <v>3.4494904761904761E-2</v>
      </c>
      <c r="C184" s="53">
        <f>VLOOKUP(WORKDAY(A184,-1,),'22. IDKA 5 anos'!$A$4:$G$4075,6,)/100</f>
        <v>3.5281E-2</v>
      </c>
    </row>
    <row r="185" spans="1:3" x14ac:dyDescent="0.2">
      <c r="A185" s="91">
        <v>44378</v>
      </c>
      <c r="B185" s="53">
        <f>VLOOKUP(WORKDAY(A185,-1,),'22. IDKA 5 anos'!$A$4:$G$4594,7,)/100</f>
        <v>3.5925238095238086E-2</v>
      </c>
      <c r="C185" s="53">
        <f>VLOOKUP(WORKDAY(A185,-1,),'22. IDKA 5 anos'!$A$4:$G$4594,6,)/100</f>
        <v>3.7650999999999997E-2</v>
      </c>
    </row>
    <row r="186" spans="1:3" x14ac:dyDescent="0.2">
      <c r="A186" s="91">
        <v>44409</v>
      </c>
      <c r="B186" s="53">
        <f>VLOOKUP(WORKDAY(A186,-1,),'22. IDKA 5 anos'!$A$4:$G$4594,7,)/100</f>
        <v>3.6621587301587294E-2</v>
      </c>
      <c r="C186" s="53">
        <f>VLOOKUP(WORKDAY(A186,-1,),'22. IDKA 5 anos'!$A$4:$G$4594,6,)/100</f>
        <v>4.1095E-2</v>
      </c>
    </row>
    <row r="187" spans="1:3" x14ac:dyDescent="0.2">
      <c r="A187" s="91">
        <v>44440</v>
      </c>
      <c r="B187" s="53">
        <f>VLOOKUP(WORKDAY(A187,-1,),'22. IDKA 5 anos'!$A$4:$G$4594,7,)/100</f>
        <v>3.9738476190476199E-2</v>
      </c>
      <c r="C187" s="53">
        <f>VLOOKUP(WORKDAY(A187,-1,),'22. IDKA 5 anos'!$A$4:$G$4594,6,)/100</f>
        <v>4.4587000000000002E-2</v>
      </c>
    </row>
    <row r="188" spans="1:3" x14ac:dyDescent="0.2">
      <c r="A188" s="91">
        <v>44470</v>
      </c>
      <c r="B188" s="53">
        <f>VLOOKUP(WORKDAY(A188,-1,),'22. IDKA 5 anos'!$A$4:$G$4594,7,)/100</f>
        <v>4.2812412698412711E-2</v>
      </c>
      <c r="C188" s="53">
        <f>VLOOKUP(WORKDAY(A188,-1,),'22. IDKA 5 anos'!$A$4:$G$4594,6,)/100</f>
        <v>4.7378000000000003E-2</v>
      </c>
    </row>
    <row r="189" spans="1:3" x14ac:dyDescent="0.2">
      <c r="A189" s="91">
        <v>44501</v>
      </c>
      <c r="B189" s="53">
        <f>VLOOKUP(WORKDAY(A189,-1,),'22. IDKA 5 anos'!$A$4:$G$4594,7,)/100</f>
        <v>4.6575619047619046E-2</v>
      </c>
      <c r="C189" s="53">
        <f>VLOOKUP(WORKDAY(A189,-1,),'22. IDKA 5 anos'!$A$4:$G$4594,6,)/100</f>
        <v>5.4482999999999997E-2</v>
      </c>
    </row>
    <row r="190" spans="1:3" x14ac:dyDescent="0.2">
      <c r="A190" s="91">
        <v>44531</v>
      </c>
      <c r="B190" s="53">
        <f>VLOOKUP(WORKDAY(A190,-1,),'22. IDKA 5 anos'!$A$4:$G$4594,7,)/100</f>
        <v>4.9196365079365069E-2</v>
      </c>
      <c r="C190" s="53">
        <f>VLOOKUP(WORKDAY(A190,-1,),'22. IDKA 5 anos'!$A$4:$G$4594,6,)/100</f>
        <v>5.0902000000000003E-2</v>
      </c>
    </row>
    <row r="191" spans="1:3" x14ac:dyDescent="0.2">
      <c r="A191" s="91">
        <v>44562</v>
      </c>
      <c r="B191" s="53">
        <f>VLOOKUP(WORKDAY(A191,-1,),'22. IDKA 5 anos'!$A$4:$G$4594,7,)/100</f>
        <v>5.0852857142857151E-2</v>
      </c>
      <c r="C191" s="53">
        <f>VLOOKUP(WORKDAY(A191,-1,),'22. IDKA 5 anos'!$A$4:$G$4594,6,)/100</f>
        <v>5.0880999999999996E-2</v>
      </c>
    </row>
    <row r="192" spans="1:3" x14ac:dyDescent="0.2">
      <c r="A192" s="91">
        <v>44593</v>
      </c>
      <c r="B192" s="53">
        <f>VLOOKUP(WORKDAY(A192,-1,),'22. IDKA 5 anos'!$A$4:$G$4594,7,)/100</f>
        <v>5.2070365079365064E-2</v>
      </c>
      <c r="C192" s="53">
        <f>VLOOKUP(WORKDAY(A192,-1,),'22. IDKA 5 anos'!$A$4:$G$4594,6,)/100</f>
        <v>5.4257E-2</v>
      </c>
    </row>
    <row r="193" spans="1:3" x14ac:dyDescent="0.2">
      <c r="A193" s="91">
        <v>44621</v>
      </c>
      <c r="B193" s="53">
        <v>5.5800000000000002E-2</v>
      </c>
      <c r="C193" s="53">
        <v>5.3800000000000001E-2</v>
      </c>
    </row>
    <row r="194" spans="1:3" x14ac:dyDescent="0.2">
      <c r="A194" s="91">
        <v>44652</v>
      </c>
      <c r="B194" s="53">
        <f>VLOOKUP(WORKDAY(A194,-1,),'22. IDKA 5 anos'!$A$4:$G$4594,7,)/100</f>
        <v>5.4776250000000012E-2</v>
      </c>
      <c r="C194" s="53">
        <f>VLOOKUP(WORKDAY(A194,-1,),'22. IDKA 5 anos'!$A$4:$G$4594,6,)/100</f>
        <v>5.2598000000000006E-2</v>
      </c>
    </row>
    <row r="195" spans="1:3" x14ac:dyDescent="0.2">
      <c r="A195" s="91">
        <v>44682</v>
      </c>
      <c r="B195" s="53">
        <f>VLOOKUP(WORKDAY(A195,-1,),'22. IDKA 5 anos'!$A$4:$G$4594,7,)/100</f>
        <v>5.4290660714285718E-2</v>
      </c>
      <c r="C195" s="53">
        <f>VLOOKUP(WORKDAY(A195,-1,),'22. IDKA 5 anos'!$A$4:$G$4594,6,)/100</f>
        <v>5.5048000000000007E-2</v>
      </c>
    </row>
    <row r="196" spans="1:3" x14ac:dyDescent="0.2">
      <c r="A196" s="91">
        <v>44713</v>
      </c>
      <c r="B196" s="53">
        <f>VLOOKUP(WORKDAY(A196,-1,),'22. IDKA 5 anos'!$A$4:$G$4594,7,)/100</f>
        <v>5.5204349206349208E-2</v>
      </c>
      <c r="C196" s="53">
        <f>VLOOKUP(WORKDAY(A196,-1,),'22. IDKA 5 anos'!$A$4:$G$4594,6,)/100</f>
        <v>5.5780000000000003E-2</v>
      </c>
    </row>
    <row r="197" spans="1:3" x14ac:dyDescent="0.2">
      <c r="A197" s="91">
        <v>44743</v>
      </c>
      <c r="B197" s="53">
        <f>VLOOKUP(WORKDAY(A197,-1,),'22. IDKA 5 anos'!$A$4:$G$4594,7,)/100</f>
        <v>5.5566365079365035E-2</v>
      </c>
      <c r="C197" s="53">
        <f>VLOOKUP(WORKDAY(A197,-1,),'22. IDKA 5 anos'!$A$4:$G$4594,6,)/100</f>
        <v>5.7382999999999997E-2</v>
      </c>
    </row>
    <row r="198" spans="1:3" x14ac:dyDescent="0.2">
      <c r="A198" s="91">
        <v>44774</v>
      </c>
      <c r="B198" s="53">
        <f>VLOOKUP(WORKDAY(A198,-1,),'22. IDKA 5 anos'!$A$4:$G$4594,7,)/100</f>
        <v>5.9291269841269818E-2</v>
      </c>
      <c r="C198" s="53">
        <f>VLOOKUP(WORKDAY(A198,-1,),'22. IDKA 5 anos'!$A$4:$G$4594,6,)/100</f>
        <v>6.0092E-2</v>
      </c>
    </row>
    <row r="199" spans="1:3" x14ac:dyDescent="0.2">
      <c r="A199" s="91">
        <v>44805</v>
      </c>
      <c r="B199" s="53">
        <f>VLOOKUP(WORKDAY(A199,-1,),'22. IDKA 5 anos'!$A$4:$G$4594,7,)/100</f>
        <v>5.8672682539682573E-2</v>
      </c>
      <c r="C199" s="53">
        <f>VLOOKUP(WORKDAY(A199,-1,),'22. IDKA 5 anos'!$A$4:$G$4594,6,)/100</f>
        <v>5.7991000000000001E-2</v>
      </c>
    </row>
    <row r="200" spans="1:3" x14ac:dyDescent="0.2">
      <c r="A200" s="91">
        <v>44835</v>
      </c>
      <c r="B200" s="53">
        <f>VLOOKUP(WORKDAY(A200,-1,),'22. IDKA 5 anos'!$A$4:$G$4594,7,)/100</f>
        <v>5.6883571428571422E-2</v>
      </c>
      <c r="C200" s="53">
        <f>VLOOKUP(WORKDAY(A200,-1,),'22. IDKA 5 anos'!$A$4:$G$4594,6,)/100</f>
        <v>5.6996000000000005E-2</v>
      </c>
    </row>
    <row r="201" spans="1:3" x14ac:dyDescent="0.2">
      <c r="A201" s="91">
        <v>44866</v>
      </c>
      <c r="B201" s="53">
        <f>VLOOKUP(WORKDAY(A201,-1,),'22. IDKA 5 anos'!$A$4:$G$4594,7,)/100</f>
        <v>5.6684190476190451E-2</v>
      </c>
      <c r="C201" s="53">
        <f>VLOOKUP(WORKDAY(A201,-1,),'22. IDKA 5 anos'!$A$4:$G$4594,6,)/100</f>
        <v>5.5057999999999996E-2</v>
      </c>
    </row>
    <row r="202" spans="1:3" x14ac:dyDescent="0.2">
      <c r="A202" s="91">
        <v>44896</v>
      </c>
      <c r="B202" s="53">
        <f>VLOOKUP(WORKDAY(A202,-1,),'22. IDKA 5 anos'!$A$4:$G$4594,7,)/100</f>
        <v>5.8346936507936521E-2</v>
      </c>
      <c r="C202" s="53">
        <f>VLOOKUP(WORKDAY(A202,-1,),'22. IDKA 5 anos'!$A$4:$G$4594,6,)/100</f>
        <v>5.9128999999999994E-2</v>
      </c>
    </row>
    <row r="203" spans="1:3" x14ac:dyDescent="0.2">
      <c r="A203" s="91">
        <v>44927</v>
      </c>
      <c r="B203" s="53">
        <f>VLOOKUP(WORKDAY(A203,-1,),'22. IDKA 5 anos'!$A$4:$G$4594,7,)/100</f>
        <v>6.1856000000000001E-2</v>
      </c>
      <c r="C203" s="53">
        <f>VLOOKUP(WORKDAY(A203,-1,),'22. IDKA 5 anos'!$A$4:$G$4594,6,)/100</f>
        <v>6.1009000000000001E-2</v>
      </c>
    </row>
    <row r="204" spans="1:3" x14ac:dyDescent="0.2">
      <c r="A204" s="91">
        <v>44958</v>
      </c>
      <c r="B204" s="53">
        <f>VLOOKUP(WORKDAY(A204,-1,),'22. IDKA 5 anos'!$A$4:$G$4594,7,)/100</f>
        <v>6.1538746031746049E-2</v>
      </c>
      <c r="C204" s="53">
        <f>VLOOKUP(WORKDAY(A204,-1,),'22. IDKA 5 anos'!$A$4:$G$4594,6,)/100</f>
        <v>6.1887999999999999E-2</v>
      </c>
    </row>
    <row r="205" spans="1:3" x14ac:dyDescent="0.2">
      <c r="A205" s="91">
        <v>44986</v>
      </c>
      <c r="B205" s="53">
        <f>VLOOKUP(WORKDAY(A205,-1,),'22. IDKA 5 anos'!$A$4:$G$4594,7,)/100</f>
        <v>6.082987301587299E-2</v>
      </c>
      <c r="C205" s="53">
        <f>VLOOKUP(WORKDAY(A205,-1,),'22. IDKA 5 anos'!$A$4:$G$4594,6,)/100</f>
        <v>6.0632999999999999E-2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142D-9BB2-4D38-BE67-32A818ED7617}">
  <sheetPr>
    <tabColor theme="7" tint="0.79998168889431442"/>
  </sheetPr>
  <dimension ref="A1:S4594"/>
  <sheetViews>
    <sheetView zoomScaleNormal="100" workbookViewId="0">
      <pane ySplit="3" topLeftCell="A4055" activePane="bottomLeft" state="frozen"/>
      <selection pane="bottomLeft" activeCell="K4071" sqref="K4071"/>
    </sheetView>
  </sheetViews>
  <sheetFormatPr baseColWidth="10" defaultColWidth="9.1640625" defaultRowHeight="15" x14ac:dyDescent="0.2"/>
  <cols>
    <col min="1" max="1" width="15.33203125" style="12" customWidth="1"/>
    <col min="2" max="2" width="14" style="16" customWidth="1"/>
    <col min="3" max="3" width="13.6640625" style="12" bestFit="1" customWidth="1"/>
    <col min="4" max="4" width="12.5" style="12" customWidth="1"/>
    <col min="5" max="6" width="14.33203125" style="12" customWidth="1"/>
    <col min="7" max="7" width="12.5" style="84" customWidth="1"/>
    <col min="8" max="8" width="10.6640625" style="12" bestFit="1" customWidth="1"/>
    <col min="9" max="18" width="9.1640625" style="12"/>
    <col min="19" max="19" width="9.5" style="12" bestFit="1" customWidth="1"/>
    <col min="20" max="16384" width="9.1640625" style="12"/>
  </cols>
  <sheetData>
    <row r="1" spans="1:8" s="24" customFormat="1" ht="22.5" customHeight="1" x14ac:dyDescent="0.2">
      <c r="A1" s="74" t="s">
        <v>61</v>
      </c>
      <c r="B1" s="94" t="s">
        <v>527</v>
      </c>
      <c r="G1" s="81"/>
    </row>
    <row r="2" spans="1:8" ht="46" thickBot="1" x14ac:dyDescent="0.25">
      <c r="A2" s="85" t="s">
        <v>528</v>
      </c>
      <c r="B2" s="85" t="s">
        <v>529</v>
      </c>
      <c r="C2" s="85" t="s">
        <v>530</v>
      </c>
      <c r="D2" s="85" t="s">
        <v>531</v>
      </c>
      <c r="E2" s="86" t="s">
        <v>532</v>
      </c>
      <c r="F2" s="87"/>
      <c r="G2" s="88" t="s">
        <v>533</v>
      </c>
    </row>
    <row r="3" spans="1:8" x14ac:dyDescent="0.2">
      <c r="A3" s="89"/>
      <c r="B3" s="89"/>
      <c r="C3" s="89"/>
      <c r="D3" s="89"/>
      <c r="E3" s="89" t="s">
        <v>534</v>
      </c>
      <c r="F3" s="89" t="s">
        <v>535</v>
      </c>
      <c r="G3" s="90"/>
      <c r="H3" s="27"/>
    </row>
    <row r="4" spans="1:8" x14ac:dyDescent="0.2">
      <c r="A4" s="75">
        <v>38719</v>
      </c>
      <c r="B4" s="76" t="s">
        <v>35</v>
      </c>
      <c r="C4" s="76" t="s">
        <v>536</v>
      </c>
      <c r="D4" s="79">
        <v>1000.635944</v>
      </c>
      <c r="E4" s="79">
        <v>9.7050000000000001</v>
      </c>
      <c r="F4" s="79">
        <v>9.7022999999999993</v>
      </c>
      <c r="G4" s="82"/>
    </row>
    <row r="5" spans="1:8" x14ac:dyDescent="0.2">
      <c r="A5" s="75">
        <v>38720</v>
      </c>
      <c r="B5" s="76" t="s">
        <v>35</v>
      </c>
      <c r="C5" s="76" t="s">
        <v>536</v>
      </c>
      <c r="D5" s="79">
        <v>1001.231093</v>
      </c>
      <c r="E5" s="79">
        <v>9.7004999999999999</v>
      </c>
      <c r="F5" s="79">
        <v>9.6987000000000005</v>
      </c>
      <c r="G5" s="83"/>
    </row>
    <row r="6" spans="1:8" x14ac:dyDescent="0.2">
      <c r="A6" s="75">
        <v>38721</v>
      </c>
      <c r="B6" s="76" t="s">
        <v>35</v>
      </c>
      <c r="C6" s="76" t="s">
        <v>536</v>
      </c>
      <c r="D6" s="79">
        <v>1002.556838</v>
      </c>
      <c r="E6" s="79">
        <v>9.6969999999999992</v>
      </c>
      <c r="F6" s="79">
        <v>9.6791999999999998</v>
      </c>
      <c r="G6" s="83"/>
    </row>
    <row r="7" spans="1:8" x14ac:dyDescent="0.2">
      <c r="A7" s="75">
        <v>38722</v>
      </c>
      <c r="B7" s="76" t="s">
        <v>35</v>
      </c>
      <c r="C7" s="76" t="s">
        <v>536</v>
      </c>
      <c r="D7" s="79">
        <v>994.54205000000002</v>
      </c>
      <c r="E7" s="79">
        <v>9.6775000000000002</v>
      </c>
      <c r="F7" s="79">
        <v>9.8651</v>
      </c>
      <c r="G7" s="83"/>
    </row>
    <row r="8" spans="1:8" x14ac:dyDescent="0.2">
      <c r="A8" s="75">
        <v>38723</v>
      </c>
      <c r="B8" s="76" t="s">
        <v>35</v>
      </c>
      <c r="C8" s="76" t="s">
        <v>536</v>
      </c>
      <c r="D8" s="79">
        <v>995.65537500000005</v>
      </c>
      <c r="E8" s="79">
        <v>9.8633000000000006</v>
      </c>
      <c r="F8" s="79">
        <v>9.8500999999999994</v>
      </c>
      <c r="G8" s="83"/>
    </row>
    <row r="9" spans="1:8" x14ac:dyDescent="0.2">
      <c r="A9" s="75">
        <v>38726</v>
      </c>
      <c r="B9" s="76" t="s">
        <v>35</v>
      </c>
      <c r="C9" s="76" t="s">
        <v>536</v>
      </c>
      <c r="D9" s="79">
        <v>999.29875400000003</v>
      </c>
      <c r="E9" s="79">
        <v>9.8483999999999998</v>
      </c>
      <c r="F9" s="79">
        <v>9.7795000000000005</v>
      </c>
      <c r="G9" s="83"/>
    </row>
    <row r="10" spans="1:8" x14ac:dyDescent="0.2">
      <c r="A10" s="75">
        <v>38727</v>
      </c>
      <c r="B10" s="76" t="s">
        <v>35</v>
      </c>
      <c r="C10" s="76" t="s">
        <v>536</v>
      </c>
      <c r="D10" s="79">
        <v>1006.043586</v>
      </c>
      <c r="E10" s="79">
        <v>9.7779000000000007</v>
      </c>
      <c r="F10" s="79">
        <v>9.6415000000000006</v>
      </c>
      <c r="G10" s="83"/>
    </row>
    <row r="11" spans="1:8" x14ac:dyDescent="0.2">
      <c r="A11" s="75">
        <v>38728</v>
      </c>
      <c r="B11" s="76" t="s">
        <v>35</v>
      </c>
      <c r="C11" s="76" t="s">
        <v>536</v>
      </c>
      <c r="D11" s="79">
        <v>1006.515955</v>
      </c>
      <c r="E11" s="79">
        <v>9.6401000000000003</v>
      </c>
      <c r="F11" s="79">
        <v>9.641</v>
      </c>
      <c r="G11" s="83"/>
    </row>
    <row r="12" spans="1:8" x14ac:dyDescent="0.2">
      <c r="A12" s="75">
        <v>38729</v>
      </c>
      <c r="B12" s="76" t="s">
        <v>35</v>
      </c>
      <c r="C12" s="76" t="s">
        <v>536</v>
      </c>
      <c r="D12" s="79">
        <v>1011.447102</v>
      </c>
      <c r="E12" s="79">
        <v>9.6395999999999997</v>
      </c>
      <c r="F12" s="79">
        <v>9.5515000000000008</v>
      </c>
      <c r="G12" s="83"/>
    </row>
    <row r="13" spans="1:8" x14ac:dyDescent="0.2">
      <c r="A13" s="75">
        <v>38730</v>
      </c>
      <c r="B13" s="76" t="s">
        <v>35</v>
      </c>
      <c r="C13" s="76" t="s">
        <v>536</v>
      </c>
      <c r="D13" s="79">
        <v>1013.937551</v>
      </c>
      <c r="E13" s="79">
        <v>9.5502000000000002</v>
      </c>
      <c r="F13" s="79">
        <v>9.5077999999999996</v>
      </c>
      <c r="G13" s="83"/>
    </row>
    <row r="14" spans="1:8" x14ac:dyDescent="0.2">
      <c r="A14" s="75">
        <v>38733</v>
      </c>
      <c r="B14" s="76" t="s">
        <v>35</v>
      </c>
      <c r="C14" s="76" t="s">
        <v>536</v>
      </c>
      <c r="D14" s="79">
        <v>1014.727847</v>
      </c>
      <c r="E14" s="79">
        <v>9.5066000000000006</v>
      </c>
      <c r="F14" s="79">
        <v>9.5009999999999994</v>
      </c>
      <c r="G14" s="83"/>
    </row>
    <row r="15" spans="1:8" x14ac:dyDescent="0.2">
      <c r="A15" s="75">
        <v>38734</v>
      </c>
      <c r="B15" s="76" t="s">
        <v>35</v>
      </c>
      <c r="C15" s="76" t="s">
        <v>536</v>
      </c>
      <c r="D15" s="79">
        <v>1015.807468</v>
      </c>
      <c r="E15" s="79">
        <v>9.4998000000000005</v>
      </c>
      <c r="F15" s="79">
        <v>9.4898000000000007</v>
      </c>
      <c r="G15" s="83"/>
    </row>
    <row r="16" spans="1:8" x14ac:dyDescent="0.2">
      <c r="A16" s="75">
        <v>38735</v>
      </c>
      <c r="B16" s="76" t="s">
        <v>35</v>
      </c>
      <c r="C16" s="76" t="s">
        <v>536</v>
      </c>
      <c r="D16" s="79">
        <v>1016.270905</v>
      </c>
      <c r="E16" s="79">
        <v>9.4885999999999999</v>
      </c>
      <c r="F16" s="79">
        <v>9.4918999999999993</v>
      </c>
      <c r="G16" s="83"/>
    </row>
    <row r="17" spans="1:7" x14ac:dyDescent="0.2">
      <c r="A17" s="75">
        <v>38736</v>
      </c>
      <c r="B17" s="76" t="s">
        <v>35</v>
      </c>
      <c r="C17" s="76" t="s">
        <v>536</v>
      </c>
      <c r="D17" s="79">
        <v>1018.104303</v>
      </c>
      <c r="E17" s="79">
        <v>9.4907000000000004</v>
      </c>
      <c r="F17" s="79">
        <v>9.4644999999999992</v>
      </c>
      <c r="G17" s="83"/>
    </row>
    <row r="18" spans="1:7" x14ac:dyDescent="0.2">
      <c r="A18" s="75">
        <v>38737</v>
      </c>
      <c r="B18" s="76" t="s">
        <v>35</v>
      </c>
      <c r="C18" s="76" t="s">
        <v>536</v>
      </c>
      <c r="D18" s="79">
        <v>1017.304313</v>
      </c>
      <c r="E18" s="79">
        <v>9.4634</v>
      </c>
      <c r="F18" s="79">
        <v>9.4939</v>
      </c>
      <c r="G18" s="83"/>
    </row>
    <row r="19" spans="1:7" x14ac:dyDescent="0.2">
      <c r="A19" s="75">
        <v>38740</v>
      </c>
      <c r="B19" s="76" t="s">
        <v>35</v>
      </c>
      <c r="C19" s="76" t="s">
        <v>536</v>
      </c>
      <c r="D19" s="79">
        <v>1017.522503</v>
      </c>
      <c r="E19" s="79">
        <v>9.4926999999999992</v>
      </c>
      <c r="F19" s="79">
        <v>9.5013000000000005</v>
      </c>
      <c r="G19" s="83"/>
    </row>
    <row r="20" spans="1:7" x14ac:dyDescent="0.2">
      <c r="A20" s="75">
        <v>38741</v>
      </c>
      <c r="B20" s="76" t="s">
        <v>35</v>
      </c>
      <c r="C20" s="76" t="s">
        <v>536</v>
      </c>
      <c r="D20" s="79">
        <v>1017.768903</v>
      </c>
      <c r="E20" s="79">
        <v>9.5001999999999995</v>
      </c>
      <c r="F20" s="79">
        <v>9.5082000000000004</v>
      </c>
      <c r="G20" s="83"/>
    </row>
    <row r="21" spans="1:7" x14ac:dyDescent="0.2">
      <c r="A21" s="75">
        <v>38742</v>
      </c>
      <c r="B21" s="76" t="s">
        <v>35</v>
      </c>
      <c r="C21" s="76" t="s">
        <v>536</v>
      </c>
      <c r="D21" s="79">
        <v>1018.480182</v>
      </c>
      <c r="E21" s="79">
        <v>9.5070999999999994</v>
      </c>
      <c r="F21" s="79">
        <v>9.5051000000000005</v>
      </c>
      <c r="G21" s="83"/>
    </row>
    <row r="22" spans="1:7" x14ac:dyDescent="0.2">
      <c r="A22" s="75">
        <v>38743</v>
      </c>
      <c r="B22" s="76" t="s">
        <v>35</v>
      </c>
      <c r="C22" s="76" t="s">
        <v>536</v>
      </c>
      <c r="D22" s="79">
        <v>1018.555026</v>
      </c>
      <c r="E22" s="79">
        <v>9.5039999999999996</v>
      </c>
      <c r="F22" s="79">
        <v>9.5157000000000007</v>
      </c>
      <c r="G22" s="83"/>
    </row>
    <row r="23" spans="1:7" x14ac:dyDescent="0.2">
      <c r="A23" s="75">
        <v>38744</v>
      </c>
      <c r="B23" s="76" t="s">
        <v>35</v>
      </c>
      <c r="C23" s="76" t="s">
        <v>536</v>
      </c>
      <c r="D23" s="79">
        <v>1018.560621</v>
      </c>
      <c r="E23" s="79">
        <v>9.5145</v>
      </c>
      <c r="F23" s="79">
        <v>9.5276999999999994</v>
      </c>
      <c r="G23" s="83"/>
    </row>
    <row r="24" spans="1:7" x14ac:dyDescent="0.2">
      <c r="A24" s="75">
        <v>38747</v>
      </c>
      <c r="B24" s="76" t="s">
        <v>35</v>
      </c>
      <c r="C24" s="76" t="s">
        <v>536</v>
      </c>
      <c r="D24" s="79">
        <v>1019.396524</v>
      </c>
      <c r="E24" s="79">
        <v>9.5265000000000004</v>
      </c>
      <c r="F24" s="79">
        <v>9.5259999999999998</v>
      </c>
      <c r="G24" s="83"/>
    </row>
    <row r="25" spans="1:7" x14ac:dyDescent="0.2">
      <c r="A25" s="75">
        <v>38748</v>
      </c>
      <c r="B25" s="76" t="s">
        <v>35</v>
      </c>
      <c r="C25" s="76" t="s">
        <v>536</v>
      </c>
      <c r="D25" s="79">
        <v>1020.273179</v>
      </c>
      <c r="E25" s="79">
        <v>9.5249000000000006</v>
      </c>
      <c r="F25" s="79">
        <v>9.5198</v>
      </c>
      <c r="G25" s="83"/>
    </row>
    <row r="26" spans="1:7" x14ac:dyDescent="0.2">
      <c r="A26" s="75">
        <v>38749</v>
      </c>
      <c r="B26" s="76" t="s">
        <v>35</v>
      </c>
      <c r="C26" s="76" t="s">
        <v>536</v>
      </c>
      <c r="D26" s="79">
        <v>1021.113101</v>
      </c>
      <c r="E26" s="79">
        <v>9.5185999999999993</v>
      </c>
      <c r="F26" s="79">
        <v>9.5143000000000004</v>
      </c>
      <c r="G26" s="83"/>
    </row>
    <row r="27" spans="1:7" x14ac:dyDescent="0.2">
      <c r="A27" s="75">
        <v>38750</v>
      </c>
      <c r="B27" s="76" t="s">
        <v>35</v>
      </c>
      <c r="C27" s="76" t="s">
        <v>536</v>
      </c>
      <c r="D27" s="79">
        <v>1021.976837</v>
      </c>
      <c r="E27" s="79">
        <v>9.5131999999999994</v>
      </c>
      <c r="F27" s="79">
        <v>9.5084</v>
      </c>
      <c r="G27" s="83"/>
    </row>
    <row r="28" spans="1:7" x14ac:dyDescent="0.2">
      <c r="A28" s="75">
        <v>38751</v>
      </c>
      <c r="B28" s="76" t="s">
        <v>35</v>
      </c>
      <c r="C28" s="76" t="s">
        <v>536</v>
      </c>
      <c r="D28" s="79">
        <v>1023.798304</v>
      </c>
      <c r="E28" s="79">
        <v>9.5071999999999992</v>
      </c>
      <c r="F28" s="79">
        <v>9.4818999999999996</v>
      </c>
      <c r="G28" s="83"/>
    </row>
    <row r="29" spans="1:7" x14ac:dyDescent="0.2">
      <c r="A29" s="75">
        <v>38754</v>
      </c>
      <c r="B29" s="76" t="s">
        <v>35</v>
      </c>
      <c r="C29" s="76" t="s">
        <v>536</v>
      </c>
      <c r="D29" s="79">
        <v>1026.929429</v>
      </c>
      <c r="E29" s="79">
        <v>9.4808000000000003</v>
      </c>
      <c r="F29" s="79">
        <v>9.4276</v>
      </c>
      <c r="G29" s="83"/>
    </row>
    <row r="30" spans="1:7" x14ac:dyDescent="0.2">
      <c r="A30" s="75">
        <v>38755</v>
      </c>
      <c r="B30" s="76" t="s">
        <v>35</v>
      </c>
      <c r="C30" s="76" t="s">
        <v>536</v>
      </c>
      <c r="D30" s="79">
        <v>1029.175819</v>
      </c>
      <c r="E30" s="79">
        <v>9.4266000000000005</v>
      </c>
      <c r="F30" s="79">
        <v>9.3924000000000003</v>
      </c>
      <c r="G30" s="83"/>
    </row>
    <row r="31" spans="1:7" x14ac:dyDescent="0.2">
      <c r="A31" s="75">
        <v>38756</v>
      </c>
      <c r="B31" s="76" t="s">
        <v>35</v>
      </c>
      <c r="C31" s="76" t="s">
        <v>536</v>
      </c>
      <c r="D31" s="79">
        <v>1031.5158590000001</v>
      </c>
      <c r="E31" s="79">
        <v>9.3914000000000009</v>
      </c>
      <c r="F31" s="79">
        <v>9.3552999999999997</v>
      </c>
      <c r="G31" s="83"/>
    </row>
    <row r="32" spans="1:7" x14ac:dyDescent="0.2">
      <c r="A32" s="75">
        <v>38757</v>
      </c>
      <c r="B32" s="76" t="s">
        <v>35</v>
      </c>
      <c r="C32" s="76" t="s">
        <v>536</v>
      </c>
      <c r="D32" s="79">
        <v>1035.4305670000001</v>
      </c>
      <c r="E32" s="79">
        <v>9.3544</v>
      </c>
      <c r="F32" s="79">
        <v>9.2906999999999993</v>
      </c>
      <c r="G32" s="83"/>
    </row>
    <row r="33" spans="1:7" x14ac:dyDescent="0.2">
      <c r="A33" s="75">
        <v>38758</v>
      </c>
      <c r="B33" s="76" t="s">
        <v>35</v>
      </c>
      <c r="C33" s="76" t="s">
        <v>536</v>
      </c>
      <c r="D33" s="79">
        <v>1040.8590039999999</v>
      </c>
      <c r="E33" s="79">
        <v>9.2897999999999996</v>
      </c>
      <c r="F33" s="79">
        <v>9.1892999999999994</v>
      </c>
      <c r="G33" s="83"/>
    </row>
    <row r="34" spans="1:7" x14ac:dyDescent="0.2">
      <c r="A34" s="75">
        <v>38761</v>
      </c>
      <c r="B34" s="76" t="s">
        <v>35</v>
      </c>
      <c r="C34" s="76" t="s">
        <v>536</v>
      </c>
      <c r="D34" s="79">
        <v>1045.5663440000001</v>
      </c>
      <c r="E34" s="79">
        <v>9.1884999999999994</v>
      </c>
      <c r="F34" s="79">
        <v>9.0981000000000005</v>
      </c>
      <c r="G34" s="83"/>
    </row>
    <row r="35" spans="1:7" x14ac:dyDescent="0.2">
      <c r="A35" s="75">
        <v>38762</v>
      </c>
      <c r="B35" s="76" t="s">
        <v>35</v>
      </c>
      <c r="C35" s="76" t="s">
        <v>536</v>
      </c>
      <c r="D35" s="79">
        <v>1049.7263089999999</v>
      </c>
      <c r="E35" s="79">
        <v>9.0973000000000006</v>
      </c>
      <c r="F35" s="79">
        <v>9.0239999999999991</v>
      </c>
      <c r="G35" s="83"/>
    </row>
    <row r="36" spans="1:7" x14ac:dyDescent="0.2">
      <c r="A36" s="75">
        <v>38763</v>
      </c>
      <c r="B36" s="76" t="s">
        <v>35</v>
      </c>
      <c r="C36" s="76" t="s">
        <v>536</v>
      </c>
      <c r="D36" s="79">
        <v>1044.8013639999999</v>
      </c>
      <c r="E36" s="79">
        <v>9.0231999999999992</v>
      </c>
      <c r="F36" s="79">
        <v>9.1392000000000007</v>
      </c>
      <c r="G36" s="83"/>
    </row>
    <row r="37" spans="1:7" x14ac:dyDescent="0.2">
      <c r="A37" s="75">
        <v>38764</v>
      </c>
      <c r="B37" s="76" t="s">
        <v>35</v>
      </c>
      <c r="C37" s="76" t="s">
        <v>536</v>
      </c>
      <c r="D37" s="79">
        <v>1049.368579</v>
      </c>
      <c r="E37" s="79">
        <v>9.1382999999999992</v>
      </c>
      <c r="F37" s="79">
        <v>9.0568000000000008</v>
      </c>
      <c r="G37" s="83"/>
    </row>
    <row r="38" spans="1:7" x14ac:dyDescent="0.2">
      <c r="A38" s="75">
        <v>38765</v>
      </c>
      <c r="B38" s="76" t="s">
        <v>35</v>
      </c>
      <c r="C38" s="76" t="s">
        <v>536</v>
      </c>
      <c r="D38" s="79">
        <v>1058.8785929999999</v>
      </c>
      <c r="E38" s="79">
        <v>9.0558999999999994</v>
      </c>
      <c r="F38" s="79">
        <v>8.8727999999999998</v>
      </c>
      <c r="G38" s="83"/>
    </row>
    <row r="39" spans="1:7" x14ac:dyDescent="0.2">
      <c r="A39" s="75">
        <v>38768</v>
      </c>
      <c r="B39" s="76" t="s">
        <v>35</v>
      </c>
      <c r="C39" s="76" t="s">
        <v>536</v>
      </c>
      <c r="D39" s="79">
        <v>1066.780172</v>
      </c>
      <c r="E39" s="79">
        <v>8.8718000000000004</v>
      </c>
      <c r="F39" s="79">
        <v>8.7233999999999998</v>
      </c>
      <c r="G39" s="83"/>
    </row>
    <row r="40" spans="1:7" x14ac:dyDescent="0.2">
      <c r="A40" s="75">
        <v>38769</v>
      </c>
      <c r="B40" s="76" t="s">
        <v>35</v>
      </c>
      <c r="C40" s="76" t="s">
        <v>536</v>
      </c>
      <c r="D40" s="79">
        <v>1067.7253169999999</v>
      </c>
      <c r="E40" s="79">
        <v>8.7222000000000008</v>
      </c>
      <c r="F40" s="79">
        <v>8.7163000000000004</v>
      </c>
      <c r="G40" s="83"/>
    </row>
    <row r="41" spans="1:7" x14ac:dyDescent="0.2">
      <c r="A41" s="75">
        <v>38770</v>
      </c>
      <c r="B41" s="76" t="s">
        <v>35</v>
      </c>
      <c r="C41" s="76" t="s">
        <v>536</v>
      </c>
      <c r="D41" s="79">
        <v>1069.904648</v>
      </c>
      <c r="E41" s="79">
        <v>8.7149999999999999</v>
      </c>
      <c r="F41" s="79">
        <v>8.6839999999999993</v>
      </c>
      <c r="G41" s="83"/>
    </row>
    <row r="42" spans="1:7" x14ac:dyDescent="0.2">
      <c r="A42" s="75">
        <v>38771</v>
      </c>
      <c r="B42" s="76" t="s">
        <v>35</v>
      </c>
      <c r="C42" s="76" t="s">
        <v>536</v>
      </c>
      <c r="D42" s="79">
        <v>1072.8633319999999</v>
      </c>
      <c r="E42" s="79">
        <v>8.6828000000000003</v>
      </c>
      <c r="F42" s="79">
        <v>8.6303000000000001</v>
      </c>
      <c r="G42" s="83"/>
    </row>
    <row r="43" spans="1:7" x14ac:dyDescent="0.2">
      <c r="A43" s="75">
        <v>38772</v>
      </c>
      <c r="B43" s="76" t="s">
        <v>35</v>
      </c>
      <c r="C43" s="76" t="s">
        <v>536</v>
      </c>
      <c r="D43" s="79">
        <v>1074.276732</v>
      </c>
      <c r="E43" s="79">
        <v>8.6289999999999996</v>
      </c>
      <c r="F43" s="79">
        <v>8.6127000000000002</v>
      </c>
      <c r="G43" s="83"/>
    </row>
    <row r="44" spans="1:7" x14ac:dyDescent="0.2">
      <c r="A44" s="75">
        <v>38777</v>
      </c>
      <c r="B44" s="76" t="s">
        <v>35</v>
      </c>
      <c r="C44" s="76" t="s">
        <v>536</v>
      </c>
      <c r="D44" s="79">
        <v>1077.4995779999999</v>
      </c>
      <c r="E44" s="79">
        <v>8.6113999999999997</v>
      </c>
      <c r="F44" s="79">
        <v>8.5586000000000002</v>
      </c>
      <c r="G44" s="83"/>
    </row>
    <row r="45" spans="1:7" x14ac:dyDescent="0.2">
      <c r="A45" s="75">
        <v>38778</v>
      </c>
      <c r="B45" s="76" t="s">
        <v>35</v>
      </c>
      <c r="C45" s="76" t="s">
        <v>536</v>
      </c>
      <c r="D45" s="79">
        <v>1083.232771</v>
      </c>
      <c r="E45" s="79">
        <v>8.5572999999999997</v>
      </c>
      <c r="F45" s="79">
        <v>8.4542999999999999</v>
      </c>
      <c r="G45" s="83"/>
    </row>
    <row r="46" spans="1:7" x14ac:dyDescent="0.2">
      <c r="A46" s="75">
        <v>38779</v>
      </c>
      <c r="B46" s="76" t="s">
        <v>35</v>
      </c>
      <c r="C46" s="76" t="s">
        <v>536</v>
      </c>
      <c r="D46" s="79">
        <v>1088.3146340000001</v>
      </c>
      <c r="E46" s="79">
        <v>8.4529999999999994</v>
      </c>
      <c r="F46" s="79">
        <v>8.3635999999999999</v>
      </c>
      <c r="G46" s="83"/>
    </row>
    <row r="47" spans="1:7" x14ac:dyDescent="0.2">
      <c r="A47" s="75">
        <v>38782</v>
      </c>
      <c r="B47" s="76" t="s">
        <v>35</v>
      </c>
      <c r="C47" s="76" t="s">
        <v>536</v>
      </c>
      <c r="D47" s="79">
        <v>1085.243522</v>
      </c>
      <c r="E47" s="79">
        <v>8.3622999999999994</v>
      </c>
      <c r="F47" s="79">
        <v>8.4357000000000006</v>
      </c>
      <c r="G47" s="83"/>
    </row>
    <row r="48" spans="1:7" x14ac:dyDescent="0.2">
      <c r="A48" s="75">
        <v>38783</v>
      </c>
      <c r="B48" s="76" t="s">
        <v>35</v>
      </c>
      <c r="C48" s="76" t="s">
        <v>536</v>
      </c>
      <c r="D48" s="79">
        <v>1075.8457980000001</v>
      </c>
      <c r="E48" s="79">
        <v>8.4342000000000006</v>
      </c>
      <c r="F48" s="79">
        <v>8.6353000000000009</v>
      </c>
      <c r="G48" s="83"/>
    </row>
    <row r="49" spans="1:19" x14ac:dyDescent="0.2">
      <c r="A49" s="75">
        <v>38784</v>
      </c>
      <c r="B49" s="76" t="s">
        <v>35</v>
      </c>
      <c r="C49" s="76" t="s">
        <v>536</v>
      </c>
      <c r="D49" s="79">
        <v>1071.6371799999999</v>
      </c>
      <c r="E49" s="79">
        <v>8.6336999999999993</v>
      </c>
      <c r="F49" s="79">
        <v>8.7312999999999992</v>
      </c>
      <c r="G49" s="83"/>
    </row>
    <row r="50" spans="1:19" x14ac:dyDescent="0.2">
      <c r="A50" s="75">
        <v>38785</v>
      </c>
      <c r="B50" s="76" t="s">
        <v>35</v>
      </c>
      <c r="C50" s="76" t="s">
        <v>536</v>
      </c>
      <c r="D50" s="79">
        <v>1069.366219</v>
      </c>
      <c r="E50" s="79">
        <v>8.7295999999999996</v>
      </c>
      <c r="F50" s="79">
        <v>8.7881999999999998</v>
      </c>
      <c r="G50" s="83"/>
      <c r="S50" s="80"/>
    </row>
    <row r="51" spans="1:19" x14ac:dyDescent="0.2">
      <c r="A51" s="75">
        <v>38786</v>
      </c>
      <c r="B51" s="76" t="s">
        <v>35</v>
      </c>
      <c r="C51" s="76" t="s">
        <v>536</v>
      </c>
      <c r="D51" s="79">
        <v>1072.8980309999999</v>
      </c>
      <c r="E51" s="79">
        <v>8.7865000000000002</v>
      </c>
      <c r="F51" s="79">
        <v>8.7235999999999994</v>
      </c>
      <c r="G51" s="83"/>
    </row>
    <row r="52" spans="1:19" x14ac:dyDescent="0.2">
      <c r="A52" s="75">
        <v>38789</v>
      </c>
      <c r="B52" s="76" t="s">
        <v>35</v>
      </c>
      <c r="C52" s="76" t="s">
        <v>536</v>
      </c>
      <c r="D52" s="79">
        <v>1071.8127010000001</v>
      </c>
      <c r="E52" s="79">
        <v>8.7218999999999998</v>
      </c>
      <c r="F52" s="79">
        <v>8.7561</v>
      </c>
      <c r="G52" s="83"/>
    </row>
    <row r="53" spans="1:19" x14ac:dyDescent="0.2">
      <c r="A53" s="75">
        <v>38790</v>
      </c>
      <c r="B53" s="76" t="s">
        <v>35</v>
      </c>
      <c r="C53" s="76" t="s">
        <v>536</v>
      </c>
      <c r="D53" s="79">
        <v>1072.275594</v>
      </c>
      <c r="E53" s="79">
        <v>8.7544000000000004</v>
      </c>
      <c r="F53" s="79">
        <v>8.7571999999999992</v>
      </c>
      <c r="G53" s="83"/>
    </row>
    <row r="54" spans="1:19" x14ac:dyDescent="0.2">
      <c r="A54" s="75">
        <v>38791</v>
      </c>
      <c r="B54" s="76" t="s">
        <v>35</v>
      </c>
      <c r="C54" s="76" t="s">
        <v>536</v>
      </c>
      <c r="D54" s="79">
        <v>1077.8139839999999</v>
      </c>
      <c r="E54" s="79">
        <v>8.7554999999999996</v>
      </c>
      <c r="F54" s="79">
        <v>8.6555999999999997</v>
      </c>
      <c r="G54" s="83"/>
    </row>
    <row r="55" spans="1:19" x14ac:dyDescent="0.2">
      <c r="A55" s="75">
        <v>38792</v>
      </c>
      <c r="B55" s="76" t="s">
        <v>35</v>
      </c>
      <c r="C55" s="76" t="s">
        <v>536</v>
      </c>
      <c r="D55" s="79">
        <v>1077.774901</v>
      </c>
      <c r="E55" s="79">
        <v>8.6539999999999999</v>
      </c>
      <c r="F55" s="79">
        <v>8.6658000000000008</v>
      </c>
      <c r="G55" s="83"/>
    </row>
    <row r="56" spans="1:19" x14ac:dyDescent="0.2">
      <c r="A56" s="75">
        <v>38793</v>
      </c>
      <c r="B56" s="76" t="s">
        <v>35</v>
      </c>
      <c r="C56" s="76" t="s">
        <v>536</v>
      </c>
      <c r="D56" s="79">
        <v>1074.7684690000001</v>
      </c>
      <c r="E56" s="79">
        <v>8.6643000000000008</v>
      </c>
      <c r="F56" s="79">
        <v>8.7361000000000004</v>
      </c>
      <c r="G56" s="83"/>
    </row>
    <row r="57" spans="1:19" x14ac:dyDescent="0.2">
      <c r="A57" s="75">
        <v>38796</v>
      </c>
      <c r="B57" s="76" t="s">
        <v>35</v>
      </c>
      <c r="C57" s="76" t="s">
        <v>536</v>
      </c>
      <c r="D57" s="79">
        <v>1071.111339</v>
      </c>
      <c r="E57" s="79">
        <v>8.7346000000000004</v>
      </c>
      <c r="F57" s="79">
        <v>8.8199000000000005</v>
      </c>
      <c r="G57" s="83"/>
    </row>
    <row r="58" spans="1:19" x14ac:dyDescent="0.2">
      <c r="A58" s="75">
        <v>38797</v>
      </c>
      <c r="B58" s="76" t="s">
        <v>35</v>
      </c>
      <c r="C58" s="76" t="s">
        <v>536</v>
      </c>
      <c r="D58" s="79">
        <v>1064.813085</v>
      </c>
      <c r="E58" s="79">
        <v>8.8183000000000007</v>
      </c>
      <c r="F58" s="79">
        <v>8.9580000000000002</v>
      </c>
      <c r="G58" s="83"/>
    </row>
    <row r="59" spans="1:19" x14ac:dyDescent="0.2">
      <c r="A59" s="75">
        <v>38798</v>
      </c>
      <c r="B59" s="76" t="s">
        <v>35</v>
      </c>
      <c r="C59" s="76" t="s">
        <v>536</v>
      </c>
      <c r="D59" s="79">
        <v>1065.080778</v>
      </c>
      <c r="E59" s="79">
        <v>8.9563000000000006</v>
      </c>
      <c r="F59" s="79">
        <v>8.9620999999999995</v>
      </c>
      <c r="G59" s="83"/>
    </row>
    <row r="60" spans="1:19" x14ac:dyDescent="0.2">
      <c r="A60" s="75">
        <v>38799</v>
      </c>
      <c r="B60" s="76" t="s">
        <v>35</v>
      </c>
      <c r="C60" s="76" t="s">
        <v>536</v>
      </c>
      <c r="D60" s="79">
        <v>1061.4982890000001</v>
      </c>
      <c r="E60" s="79">
        <v>8.9604999999999997</v>
      </c>
      <c r="F60" s="79">
        <v>9.0452999999999992</v>
      </c>
      <c r="G60" s="83"/>
    </row>
    <row r="61" spans="1:19" x14ac:dyDescent="0.2">
      <c r="A61" s="75">
        <v>38800</v>
      </c>
      <c r="B61" s="76" t="s">
        <v>35</v>
      </c>
      <c r="C61" s="76" t="s">
        <v>536</v>
      </c>
      <c r="D61" s="79">
        <v>1057.3338200000001</v>
      </c>
      <c r="E61" s="79">
        <v>9.0436999999999994</v>
      </c>
      <c r="F61" s="79">
        <v>9.1409000000000002</v>
      </c>
      <c r="G61" s="83"/>
    </row>
    <row r="62" spans="1:19" x14ac:dyDescent="0.2">
      <c r="A62" s="75">
        <v>38803</v>
      </c>
      <c r="B62" s="76" t="s">
        <v>35</v>
      </c>
      <c r="C62" s="76" t="s">
        <v>536</v>
      </c>
      <c r="D62" s="79">
        <v>1053.2283749999999</v>
      </c>
      <c r="E62" s="79">
        <v>9.1393000000000004</v>
      </c>
      <c r="F62" s="79">
        <v>9.2429000000000006</v>
      </c>
      <c r="G62" s="83"/>
    </row>
    <row r="63" spans="1:19" x14ac:dyDescent="0.2">
      <c r="A63" s="75">
        <v>38804</v>
      </c>
      <c r="B63" s="76" t="s">
        <v>35</v>
      </c>
      <c r="C63" s="76" t="s">
        <v>536</v>
      </c>
      <c r="D63" s="79">
        <v>1049.8600570000001</v>
      </c>
      <c r="E63" s="79">
        <v>9.2413000000000007</v>
      </c>
      <c r="F63" s="79">
        <v>9.3238000000000003</v>
      </c>
      <c r="G63" s="83"/>
    </row>
    <row r="64" spans="1:19" x14ac:dyDescent="0.2">
      <c r="A64" s="75">
        <v>38805</v>
      </c>
      <c r="B64" s="76" t="s">
        <v>35</v>
      </c>
      <c r="C64" s="76" t="s">
        <v>536</v>
      </c>
      <c r="D64" s="79">
        <v>1056.4186159999999</v>
      </c>
      <c r="E64" s="79">
        <v>9.3221000000000007</v>
      </c>
      <c r="F64" s="79">
        <v>9.1983999999999995</v>
      </c>
      <c r="G64" s="83"/>
    </row>
    <row r="65" spans="1:7" x14ac:dyDescent="0.2">
      <c r="A65" s="75">
        <v>38806</v>
      </c>
      <c r="B65" s="76" t="s">
        <v>35</v>
      </c>
      <c r="C65" s="76" t="s">
        <v>536</v>
      </c>
      <c r="D65" s="79">
        <v>1058.4695939999999</v>
      </c>
      <c r="E65" s="79">
        <v>9.1969999999999992</v>
      </c>
      <c r="F65" s="79">
        <v>9.1669999999999998</v>
      </c>
      <c r="G65" s="83"/>
    </row>
    <row r="66" spans="1:7" x14ac:dyDescent="0.2">
      <c r="A66" s="75">
        <v>38807</v>
      </c>
      <c r="B66" s="76" t="s">
        <v>35</v>
      </c>
      <c r="C66" s="76" t="s">
        <v>536</v>
      </c>
      <c r="D66" s="79">
        <v>1057.0254749999999</v>
      </c>
      <c r="E66" s="79">
        <v>9.1655999999999995</v>
      </c>
      <c r="F66" s="79">
        <v>9.2078000000000007</v>
      </c>
      <c r="G66" s="83">
        <f>+AVERAGE(E4:E66)</f>
        <v>9.1812904761904761</v>
      </c>
    </row>
    <row r="67" spans="1:7" x14ac:dyDescent="0.2">
      <c r="A67" s="75">
        <v>38810</v>
      </c>
      <c r="B67" s="76" t="s">
        <v>35</v>
      </c>
      <c r="C67" s="76" t="s">
        <v>536</v>
      </c>
      <c r="D67" s="79">
        <v>1059.3687030000001</v>
      </c>
      <c r="E67" s="79">
        <v>9.2064000000000004</v>
      </c>
      <c r="F67" s="79">
        <v>9.1704000000000008</v>
      </c>
      <c r="G67" s="83">
        <f t="shared" ref="G67:G130" si="0">+AVERAGE(E5:E67)</f>
        <v>9.1733761904761906</v>
      </c>
    </row>
    <row r="68" spans="1:7" x14ac:dyDescent="0.2">
      <c r="A68" s="75">
        <v>38811</v>
      </c>
      <c r="B68" s="76" t="s">
        <v>35</v>
      </c>
      <c r="C68" s="76" t="s">
        <v>536</v>
      </c>
      <c r="D68" s="79">
        <v>1060.875824</v>
      </c>
      <c r="E68" s="79">
        <v>9.1691000000000003</v>
      </c>
      <c r="F68" s="79">
        <v>9.1503999999999994</v>
      </c>
      <c r="G68" s="83">
        <f t="shared" si="0"/>
        <v>9.16494126984127</v>
      </c>
    </row>
    <row r="69" spans="1:7" x14ac:dyDescent="0.2">
      <c r="A69" s="75">
        <v>38812</v>
      </c>
      <c r="B69" s="76" t="s">
        <v>35</v>
      </c>
      <c r="C69" s="76" t="s">
        <v>536</v>
      </c>
      <c r="D69" s="79">
        <v>1063.15814</v>
      </c>
      <c r="E69" s="79">
        <v>9.1491000000000007</v>
      </c>
      <c r="F69" s="79">
        <v>9.1144999999999996</v>
      </c>
      <c r="G69" s="83">
        <f t="shared" si="0"/>
        <v>9.1562444444444449</v>
      </c>
    </row>
    <row r="70" spans="1:7" x14ac:dyDescent="0.2">
      <c r="A70" s="75">
        <v>38813</v>
      </c>
      <c r="B70" s="76" t="s">
        <v>35</v>
      </c>
      <c r="C70" s="76" t="s">
        <v>536</v>
      </c>
      <c r="D70" s="79">
        <v>1060.0782260000001</v>
      </c>
      <c r="E70" s="79">
        <v>9.1134000000000004</v>
      </c>
      <c r="F70" s="79">
        <v>9.1890999999999998</v>
      </c>
      <c r="G70" s="83">
        <f t="shared" si="0"/>
        <v>9.1472904761904754</v>
      </c>
    </row>
    <row r="71" spans="1:7" x14ac:dyDescent="0.2">
      <c r="A71" s="75">
        <v>38814</v>
      </c>
      <c r="B71" s="76" t="s">
        <v>35</v>
      </c>
      <c r="C71" s="76" t="s">
        <v>536</v>
      </c>
      <c r="D71" s="79">
        <v>1056.5911610000001</v>
      </c>
      <c r="E71" s="79">
        <v>9.1880000000000006</v>
      </c>
      <c r="F71" s="79">
        <v>9.2639999999999993</v>
      </c>
      <c r="G71" s="83">
        <f t="shared" si="0"/>
        <v>9.1365714285714255</v>
      </c>
    </row>
    <row r="72" spans="1:7" x14ac:dyDescent="0.2">
      <c r="A72" s="75">
        <v>38817</v>
      </c>
      <c r="B72" s="76" t="s">
        <v>35</v>
      </c>
      <c r="C72" s="76" t="s">
        <v>536</v>
      </c>
      <c r="D72" s="79">
        <v>1049.9189269999999</v>
      </c>
      <c r="E72" s="79">
        <v>9.2628000000000004</v>
      </c>
      <c r="F72" s="79">
        <v>9.4133999999999993</v>
      </c>
      <c r="G72" s="83">
        <f t="shared" si="0"/>
        <v>9.1272761904761879</v>
      </c>
    </row>
    <row r="73" spans="1:7" x14ac:dyDescent="0.2">
      <c r="A73" s="75">
        <v>38818</v>
      </c>
      <c r="B73" s="76" t="s">
        <v>35</v>
      </c>
      <c r="C73" s="76" t="s">
        <v>536</v>
      </c>
      <c r="D73" s="79">
        <v>1048.438384</v>
      </c>
      <c r="E73" s="79">
        <v>9.4121000000000006</v>
      </c>
      <c r="F73" s="79">
        <v>9.4550999999999998</v>
      </c>
      <c r="G73" s="83">
        <f t="shared" si="0"/>
        <v>9.1214698412698372</v>
      </c>
    </row>
    <row r="74" spans="1:7" x14ac:dyDescent="0.2">
      <c r="A74" s="75">
        <v>38819</v>
      </c>
      <c r="B74" s="76" t="s">
        <v>35</v>
      </c>
      <c r="C74" s="76" t="s">
        <v>536</v>
      </c>
      <c r="D74" s="79">
        <v>1047.4544639999999</v>
      </c>
      <c r="E74" s="79">
        <v>9.4537999999999993</v>
      </c>
      <c r="F74" s="79">
        <v>9.4864999999999995</v>
      </c>
      <c r="G74" s="83">
        <f t="shared" si="0"/>
        <v>9.1185126984126956</v>
      </c>
    </row>
    <row r="75" spans="1:7" x14ac:dyDescent="0.2">
      <c r="A75" s="75">
        <v>38820</v>
      </c>
      <c r="B75" s="76" t="s">
        <v>35</v>
      </c>
      <c r="C75" s="76" t="s">
        <v>536</v>
      </c>
      <c r="D75" s="79">
        <v>1047.619586</v>
      </c>
      <c r="E75" s="79">
        <v>9.4853000000000005</v>
      </c>
      <c r="F75" s="79">
        <v>9.4939999999999998</v>
      </c>
      <c r="G75" s="83">
        <f t="shared" si="0"/>
        <v>9.1160634920634909</v>
      </c>
    </row>
    <row r="76" spans="1:7" x14ac:dyDescent="0.2">
      <c r="A76" s="75">
        <v>38824</v>
      </c>
      <c r="B76" s="76" t="s">
        <v>35</v>
      </c>
      <c r="C76" s="76" t="s">
        <v>536</v>
      </c>
      <c r="D76" s="79">
        <v>1049.162934</v>
      </c>
      <c r="E76" s="79">
        <v>9.4929000000000006</v>
      </c>
      <c r="F76" s="79">
        <v>9.4727999999999994</v>
      </c>
      <c r="G76" s="83">
        <f t="shared" si="0"/>
        <v>9.1151539682539653</v>
      </c>
    </row>
    <row r="77" spans="1:7" x14ac:dyDescent="0.2">
      <c r="A77" s="75">
        <v>38825</v>
      </c>
      <c r="B77" s="76" t="s">
        <v>35</v>
      </c>
      <c r="C77" s="76" t="s">
        <v>536</v>
      </c>
      <c r="D77" s="79">
        <v>1057.280659</v>
      </c>
      <c r="E77" s="79">
        <v>9.4717000000000002</v>
      </c>
      <c r="F77" s="79">
        <v>9.3141999999999996</v>
      </c>
      <c r="G77" s="83">
        <f t="shared" si="0"/>
        <v>9.1145999999999994</v>
      </c>
    </row>
    <row r="78" spans="1:7" x14ac:dyDescent="0.2">
      <c r="A78" s="75">
        <v>38826</v>
      </c>
      <c r="B78" s="76" t="s">
        <v>35</v>
      </c>
      <c r="C78" s="76" t="s">
        <v>536</v>
      </c>
      <c r="D78" s="79">
        <v>1059.09106</v>
      </c>
      <c r="E78" s="79">
        <v>9.3132000000000001</v>
      </c>
      <c r="F78" s="79">
        <v>9.2868999999999993</v>
      </c>
      <c r="G78" s="83">
        <f t="shared" si="0"/>
        <v>9.1116380952380958</v>
      </c>
    </row>
    <row r="79" spans="1:7" x14ac:dyDescent="0.2">
      <c r="A79" s="75">
        <v>38827</v>
      </c>
      <c r="B79" s="76" t="s">
        <v>35</v>
      </c>
      <c r="C79" s="76" t="s">
        <v>536</v>
      </c>
      <c r="D79" s="79">
        <v>1055.9791580000001</v>
      </c>
      <c r="E79" s="79">
        <v>9.2858999999999998</v>
      </c>
      <c r="F79" s="79">
        <v>9.3613999999999997</v>
      </c>
      <c r="G79" s="83">
        <f t="shared" si="0"/>
        <v>9.108420634920634</v>
      </c>
    </row>
    <row r="80" spans="1:7" x14ac:dyDescent="0.2">
      <c r="A80" s="75">
        <v>38831</v>
      </c>
      <c r="B80" s="76" t="s">
        <v>35</v>
      </c>
      <c r="C80" s="76" t="s">
        <v>536</v>
      </c>
      <c r="D80" s="79">
        <v>1051.954514</v>
      </c>
      <c r="E80" s="79">
        <v>9.3603000000000005</v>
      </c>
      <c r="F80" s="79">
        <v>9.4550999999999998</v>
      </c>
      <c r="G80" s="83">
        <f t="shared" si="0"/>
        <v>9.1063507936507939</v>
      </c>
    </row>
    <row r="81" spans="1:8" x14ac:dyDescent="0.2">
      <c r="A81" s="75">
        <v>38832</v>
      </c>
      <c r="B81" s="76" t="s">
        <v>35</v>
      </c>
      <c r="C81" s="76" t="s">
        <v>536</v>
      </c>
      <c r="D81" s="79">
        <v>1051.381312</v>
      </c>
      <c r="E81" s="79">
        <v>9.4541000000000004</v>
      </c>
      <c r="F81" s="79">
        <v>9.4772999999999996</v>
      </c>
      <c r="G81" s="83">
        <f t="shared" si="0"/>
        <v>9.1062031746031753</v>
      </c>
    </row>
    <row r="82" spans="1:8" x14ac:dyDescent="0.2">
      <c r="A82" s="75">
        <v>38833</v>
      </c>
      <c r="B82" s="76" t="s">
        <v>35</v>
      </c>
      <c r="C82" s="76" t="s">
        <v>536</v>
      </c>
      <c r="D82" s="79">
        <v>1052.791831</v>
      </c>
      <c r="E82" s="79">
        <v>9.4762000000000004</v>
      </c>
      <c r="F82" s="79">
        <v>9.4581</v>
      </c>
      <c r="G82" s="83">
        <f t="shared" si="0"/>
        <v>9.1059412698412707</v>
      </c>
    </row>
    <row r="83" spans="1:8" x14ac:dyDescent="0.2">
      <c r="A83" s="75">
        <v>38834</v>
      </c>
      <c r="B83" s="76" t="s">
        <v>35</v>
      </c>
      <c r="C83" s="76" t="s">
        <v>536</v>
      </c>
      <c r="D83" s="79">
        <v>1052.259102</v>
      </c>
      <c r="E83" s="79">
        <v>9.4570000000000007</v>
      </c>
      <c r="F83" s="79">
        <v>9.4733999999999998</v>
      </c>
      <c r="G83" s="83">
        <f t="shared" si="0"/>
        <v>9.1052555555555585</v>
      </c>
    </row>
    <row r="84" spans="1:8" x14ac:dyDescent="0.2">
      <c r="A84" s="75">
        <v>38835</v>
      </c>
      <c r="B84" s="76" t="s">
        <v>35</v>
      </c>
      <c r="C84" s="76" t="s">
        <v>536</v>
      </c>
      <c r="D84" s="79">
        <v>1053.2691830000001</v>
      </c>
      <c r="E84" s="79">
        <v>9.4723000000000006</v>
      </c>
      <c r="F84" s="79">
        <v>9.4617000000000004</v>
      </c>
      <c r="G84" s="83">
        <f t="shared" si="0"/>
        <v>9.104703174603177</v>
      </c>
    </row>
    <row r="85" spans="1:8" x14ac:dyDescent="0.2">
      <c r="A85" s="75">
        <v>38839</v>
      </c>
      <c r="B85" s="76" t="s">
        <v>35</v>
      </c>
      <c r="C85" s="76" t="s">
        <v>536</v>
      </c>
      <c r="D85" s="79">
        <v>1054.496427</v>
      </c>
      <c r="E85" s="79">
        <v>9.4605999999999995</v>
      </c>
      <c r="F85" s="79">
        <v>9.4454999999999991</v>
      </c>
      <c r="G85" s="83">
        <f t="shared" si="0"/>
        <v>9.1040142857142872</v>
      </c>
    </row>
    <row r="86" spans="1:8" x14ac:dyDescent="0.2">
      <c r="A86" s="75">
        <v>38840</v>
      </c>
      <c r="B86" s="76" t="s">
        <v>35</v>
      </c>
      <c r="C86" s="76" t="s">
        <v>536</v>
      </c>
      <c r="D86" s="79">
        <v>1053.3948250000001</v>
      </c>
      <c r="E86" s="79">
        <v>9.4443999999999999</v>
      </c>
      <c r="F86" s="79">
        <v>9.4777000000000005</v>
      </c>
      <c r="G86" s="83">
        <f t="shared" si="0"/>
        <v>9.1029015873015897</v>
      </c>
    </row>
    <row r="87" spans="1:8" x14ac:dyDescent="0.2">
      <c r="A87" s="75">
        <v>38841</v>
      </c>
      <c r="B87" s="76" t="s">
        <v>35</v>
      </c>
      <c r="C87" s="76" t="s">
        <v>536</v>
      </c>
      <c r="D87" s="79">
        <v>1053.381715</v>
      </c>
      <c r="E87" s="79">
        <v>9.4765999999999995</v>
      </c>
      <c r="F87" s="79">
        <v>9.4872999999999994</v>
      </c>
      <c r="G87" s="83">
        <f t="shared" si="0"/>
        <v>9.1021095238095242</v>
      </c>
    </row>
    <row r="88" spans="1:8" x14ac:dyDescent="0.2">
      <c r="A88" s="75">
        <v>38842</v>
      </c>
      <c r="B88" s="76" t="s">
        <v>35</v>
      </c>
      <c r="C88" s="76" t="s">
        <v>536</v>
      </c>
      <c r="D88" s="79">
        <v>1053.123934</v>
      </c>
      <c r="E88" s="79">
        <v>9.4862000000000002</v>
      </c>
      <c r="F88" s="79">
        <v>9.5020000000000007</v>
      </c>
      <c r="G88" s="83">
        <f t="shared" si="0"/>
        <v>9.1014952380952394</v>
      </c>
    </row>
    <row r="89" spans="1:8" x14ac:dyDescent="0.2">
      <c r="A89" s="75">
        <v>38845</v>
      </c>
      <c r="B89" s="76" t="s">
        <v>35</v>
      </c>
      <c r="C89" s="76" t="s">
        <v>536</v>
      </c>
      <c r="D89" s="79">
        <v>1051.1011370000001</v>
      </c>
      <c r="E89" s="79">
        <v>9.5009999999999994</v>
      </c>
      <c r="F89" s="79">
        <v>9.5535999999999994</v>
      </c>
      <c r="G89" s="83">
        <f t="shared" si="0"/>
        <v>9.1012158730158763</v>
      </c>
      <c r="H89" s="19"/>
    </row>
    <row r="90" spans="1:8" x14ac:dyDescent="0.2">
      <c r="A90" s="75">
        <v>38846</v>
      </c>
      <c r="B90" s="76" t="s">
        <v>35</v>
      </c>
      <c r="C90" s="76" t="s">
        <v>536</v>
      </c>
      <c r="D90" s="79">
        <v>1048.569068</v>
      </c>
      <c r="E90" s="79">
        <v>9.5525000000000002</v>
      </c>
      <c r="F90" s="79">
        <v>9.6158999999999999</v>
      </c>
      <c r="G90" s="83">
        <f t="shared" si="0"/>
        <v>9.1018396825396835</v>
      </c>
    </row>
    <row r="91" spans="1:8" x14ac:dyDescent="0.2">
      <c r="A91" s="75">
        <v>38847</v>
      </c>
      <c r="B91" s="76" t="s">
        <v>35</v>
      </c>
      <c r="C91" s="76" t="s">
        <v>536</v>
      </c>
      <c r="D91" s="79">
        <v>1047.4870920000001</v>
      </c>
      <c r="E91" s="79">
        <v>9.6149000000000004</v>
      </c>
      <c r="F91" s="79">
        <v>9.6480999999999995</v>
      </c>
      <c r="G91" s="83">
        <f t="shared" si="0"/>
        <v>9.1035492063492072</v>
      </c>
    </row>
    <row r="92" spans="1:8" x14ac:dyDescent="0.2">
      <c r="A92" s="75">
        <v>38848</v>
      </c>
      <c r="B92" s="76" t="s">
        <v>35</v>
      </c>
      <c r="C92" s="76" t="s">
        <v>536</v>
      </c>
      <c r="D92" s="79">
        <v>1043.438975</v>
      </c>
      <c r="E92" s="79">
        <v>9.6471999999999998</v>
      </c>
      <c r="F92" s="79">
        <v>9.7428000000000008</v>
      </c>
      <c r="G92" s="83">
        <f t="shared" si="0"/>
        <v>9.1061904761904771</v>
      </c>
    </row>
    <row r="93" spans="1:8" x14ac:dyDescent="0.2">
      <c r="A93" s="75">
        <v>38849</v>
      </c>
      <c r="B93" s="76" t="s">
        <v>35</v>
      </c>
      <c r="C93" s="76" t="s">
        <v>536</v>
      </c>
      <c r="D93" s="79">
        <v>1039.6031009999999</v>
      </c>
      <c r="E93" s="79">
        <v>9.7418999999999993</v>
      </c>
      <c r="F93" s="79">
        <v>9.8335000000000008</v>
      </c>
      <c r="G93" s="83">
        <f t="shared" si="0"/>
        <v>9.1111952380952381</v>
      </c>
    </row>
    <row r="94" spans="1:8" x14ac:dyDescent="0.2">
      <c r="A94" s="75">
        <v>38852</v>
      </c>
      <c r="B94" s="76" t="s">
        <v>35</v>
      </c>
      <c r="C94" s="76" t="s">
        <v>536</v>
      </c>
      <c r="D94" s="79">
        <v>1037.8007970000001</v>
      </c>
      <c r="E94" s="79">
        <v>9.8327000000000009</v>
      </c>
      <c r="F94" s="79">
        <v>9.8816000000000006</v>
      </c>
      <c r="G94" s="83">
        <f t="shared" si="0"/>
        <v>9.1182000000000016</v>
      </c>
    </row>
    <row r="95" spans="1:8" x14ac:dyDescent="0.2">
      <c r="A95" s="75">
        <v>38853</v>
      </c>
      <c r="B95" s="76" t="s">
        <v>35</v>
      </c>
      <c r="C95" s="76" t="s">
        <v>536</v>
      </c>
      <c r="D95" s="79">
        <v>1040.6894219999999</v>
      </c>
      <c r="E95" s="79">
        <v>9.8808000000000007</v>
      </c>
      <c r="F95" s="79">
        <v>9.8300999999999998</v>
      </c>
      <c r="G95" s="83">
        <f t="shared" si="0"/>
        <v>9.1265555555555586</v>
      </c>
    </row>
    <row r="96" spans="1:8" x14ac:dyDescent="0.2">
      <c r="A96" s="75">
        <v>38854</v>
      </c>
      <c r="B96" s="76" t="s">
        <v>35</v>
      </c>
      <c r="C96" s="76" t="s">
        <v>536</v>
      </c>
      <c r="D96" s="79">
        <v>1037.0793570000001</v>
      </c>
      <c r="E96" s="79">
        <v>9.8293999999999997</v>
      </c>
      <c r="F96" s="79">
        <v>9.9161999999999999</v>
      </c>
      <c r="G96" s="83">
        <f t="shared" si="0"/>
        <v>9.1351206349206358</v>
      </c>
    </row>
    <row r="97" spans="1:7" x14ac:dyDescent="0.2">
      <c r="A97" s="75">
        <v>38855</v>
      </c>
      <c r="B97" s="76" t="s">
        <v>35</v>
      </c>
      <c r="C97" s="76" t="s">
        <v>536</v>
      </c>
      <c r="D97" s="79">
        <v>1035.316067</v>
      </c>
      <c r="E97" s="79">
        <v>9.9154999999999998</v>
      </c>
      <c r="F97" s="79">
        <v>9.9634</v>
      </c>
      <c r="G97" s="83">
        <f t="shared" si="0"/>
        <v>9.1466603174603183</v>
      </c>
    </row>
    <row r="98" spans="1:7" x14ac:dyDescent="0.2">
      <c r="A98" s="75">
        <v>38856</v>
      </c>
      <c r="B98" s="76" t="s">
        <v>35</v>
      </c>
      <c r="C98" s="76" t="s">
        <v>536</v>
      </c>
      <c r="D98" s="79">
        <v>1029.6901250000001</v>
      </c>
      <c r="E98" s="79">
        <v>9.9626999999999999</v>
      </c>
      <c r="F98" s="79">
        <v>10.0932</v>
      </c>
      <c r="G98" s="83">
        <f t="shared" si="0"/>
        <v>9.1603968253968251</v>
      </c>
    </row>
    <row r="99" spans="1:7" x14ac:dyDescent="0.2">
      <c r="A99" s="75">
        <v>38859</v>
      </c>
      <c r="B99" s="76" t="s">
        <v>35</v>
      </c>
      <c r="C99" s="76" t="s">
        <v>536</v>
      </c>
      <c r="D99" s="79">
        <v>1011.669593</v>
      </c>
      <c r="E99" s="79">
        <v>10.092499999999999</v>
      </c>
      <c r="F99" s="79">
        <v>10.492900000000001</v>
      </c>
      <c r="G99" s="83">
        <f t="shared" si="0"/>
        <v>9.1773698412698419</v>
      </c>
    </row>
    <row r="100" spans="1:7" x14ac:dyDescent="0.2">
      <c r="A100" s="75">
        <v>38860</v>
      </c>
      <c r="B100" s="76" t="s">
        <v>35</v>
      </c>
      <c r="C100" s="76" t="s">
        <v>536</v>
      </c>
      <c r="D100" s="79">
        <v>1008.572598</v>
      </c>
      <c r="E100" s="79">
        <v>10.491899999999999</v>
      </c>
      <c r="F100" s="79">
        <v>10.5707</v>
      </c>
      <c r="G100" s="83">
        <f t="shared" si="0"/>
        <v>9.1988555555555553</v>
      </c>
    </row>
    <row r="101" spans="1:7" x14ac:dyDescent="0.2">
      <c r="A101" s="75">
        <v>38861</v>
      </c>
      <c r="B101" s="76" t="s">
        <v>35</v>
      </c>
      <c r="C101" s="76" t="s">
        <v>536</v>
      </c>
      <c r="D101" s="79">
        <v>987.14349100000004</v>
      </c>
      <c r="E101" s="79">
        <v>10.569599999999999</v>
      </c>
      <c r="F101" s="79">
        <v>11.057</v>
      </c>
      <c r="G101" s="83">
        <f t="shared" si="0"/>
        <v>9.2228825396825389</v>
      </c>
    </row>
    <row r="102" spans="1:7" x14ac:dyDescent="0.2">
      <c r="A102" s="75">
        <v>38862</v>
      </c>
      <c r="B102" s="76" t="s">
        <v>35</v>
      </c>
      <c r="C102" s="76" t="s">
        <v>536</v>
      </c>
      <c r="D102" s="79">
        <v>1005.44652</v>
      </c>
      <c r="E102" s="79">
        <v>11.0557</v>
      </c>
      <c r="F102" s="79">
        <v>10.6595</v>
      </c>
      <c r="G102" s="83">
        <f t="shared" si="0"/>
        <v>9.2575476190476191</v>
      </c>
    </row>
    <row r="103" spans="1:7" x14ac:dyDescent="0.2">
      <c r="A103" s="75">
        <v>38863</v>
      </c>
      <c r="B103" s="76" t="s">
        <v>35</v>
      </c>
      <c r="C103" s="76" t="s">
        <v>536</v>
      </c>
      <c r="D103" s="79">
        <v>1018.8663749999999</v>
      </c>
      <c r="E103" s="79">
        <v>10.6586</v>
      </c>
      <c r="F103" s="79">
        <v>10.3764</v>
      </c>
      <c r="G103" s="83">
        <f t="shared" si="0"/>
        <v>9.2882841269841254</v>
      </c>
    </row>
    <row r="104" spans="1:7" x14ac:dyDescent="0.2">
      <c r="A104" s="75">
        <v>38866</v>
      </c>
      <c r="B104" s="76" t="s">
        <v>35</v>
      </c>
      <c r="C104" s="76" t="s">
        <v>536</v>
      </c>
      <c r="D104" s="79">
        <v>1016.171457</v>
      </c>
      <c r="E104" s="79">
        <v>10.375500000000001</v>
      </c>
      <c r="F104" s="79">
        <v>10.440099999999999</v>
      </c>
      <c r="G104" s="83">
        <f t="shared" si="0"/>
        <v>9.3146412698412693</v>
      </c>
    </row>
    <row r="105" spans="1:7" x14ac:dyDescent="0.2">
      <c r="A105" s="75">
        <v>38867</v>
      </c>
      <c r="B105" s="76" t="s">
        <v>35</v>
      </c>
      <c r="C105" s="76" t="s">
        <v>536</v>
      </c>
      <c r="D105" s="79">
        <v>1005.149585</v>
      </c>
      <c r="E105" s="79">
        <v>10.4391</v>
      </c>
      <c r="F105" s="79">
        <v>10.690899999999999</v>
      </c>
      <c r="G105" s="83">
        <f t="shared" si="0"/>
        <v>9.3425190476190494</v>
      </c>
    </row>
    <row r="106" spans="1:7" x14ac:dyDescent="0.2">
      <c r="A106" s="75">
        <v>38868</v>
      </c>
      <c r="B106" s="76" t="s">
        <v>35</v>
      </c>
      <c r="C106" s="76" t="s">
        <v>536</v>
      </c>
      <c r="D106" s="79">
        <v>1004.349842</v>
      </c>
      <c r="E106" s="79">
        <v>10.6897</v>
      </c>
      <c r="F106" s="79">
        <v>10.718</v>
      </c>
      <c r="G106" s="83">
        <f t="shared" si="0"/>
        <v>9.3752285714285719</v>
      </c>
    </row>
    <row r="107" spans="1:7" x14ac:dyDescent="0.2">
      <c r="A107" s="75">
        <v>38869</v>
      </c>
      <c r="B107" s="76" t="s">
        <v>35</v>
      </c>
      <c r="C107" s="76" t="s">
        <v>536</v>
      </c>
      <c r="D107" s="79">
        <v>1009.818564</v>
      </c>
      <c r="E107" s="79">
        <v>10.716799999999999</v>
      </c>
      <c r="F107" s="79">
        <v>10.607200000000001</v>
      </c>
      <c r="G107" s="83">
        <f t="shared" si="0"/>
        <v>9.4086476190476205</v>
      </c>
    </row>
    <row r="108" spans="1:7" x14ac:dyDescent="0.2">
      <c r="A108" s="75">
        <v>38870</v>
      </c>
      <c r="B108" s="76" t="s">
        <v>35</v>
      </c>
      <c r="C108" s="76" t="s">
        <v>536</v>
      </c>
      <c r="D108" s="79">
        <v>1011.146251</v>
      </c>
      <c r="E108" s="79">
        <v>10.606</v>
      </c>
      <c r="F108" s="79">
        <v>10.5875</v>
      </c>
      <c r="G108" s="83">
        <f t="shared" si="0"/>
        <v>9.4411666666666658</v>
      </c>
    </row>
    <row r="109" spans="1:7" x14ac:dyDescent="0.2">
      <c r="A109" s="75">
        <v>38873</v>
      </c>
      <c r="B109" s="76" t="s">
        <v>35</v>
      </c>
      <c r="C109" s="76" t="s">
        <v>536</v>
      </c>
      <c r="D109" s="79">
        <v>1009.415507</v>
      </c>
      <c r="E109" s="79">
        <v>10.586399999999999</v>
      </c>
      <c r="F109" s="79">
        <v>10.6349</v>
      </c>
      <c r="G109" s="83">
        <f t="shared" si="0"/>
        <v>9.47503015873016</v>
      </c>
    </row>
    <row r="110" spans="1:7" x14ac:dyDescent="0.2">
      <c r="A110" s="75">
        <v>38874</v>
      </c>
      <c r="B110" s="76" t="s">
        <v>35</v>
      </c>
      <c r="C110" s="76" t="s">
        <v>536</v>
      </c>
      <c r="D110" s="79">
        <v>1006.581269</v>
      </c>
      <c r="E110" s="79">
        <v>10.633800000000001</v>
      </c>
      <c r="F110" s="79">
        <v>10.7067</v>
      </c>
      <c r="G110" s="83">
        <f t="shared" si="0"/>
        <v>9.5110857142857146</v>
      </c>
    </row>
    <row r="111" spans="1:7" x14ac:dyDescent="0.2">
      <c r="A111" s="75">
        <v>38875</v>
      </c>
      <c r="B111" s="76" t="s">
        <v>35</v>
      </c>
      <c r="C111" s="76" t="s">
        <v>536</v>
      </c>
      <c r="D111" s="79">
        <v>1004.955661</v>
      </c>
      <c r="E111" s="79">
        <v>10.705500000000001</v>
      </c>
      <c r="F111" s="79">
        <v>10.752000000000001</v>
      </c>
      <c r="G111" s="83">
        <f t="shared" si="0"/>
        <v>9.5471380952380969</v>
      </c>
    </row>
    <row r="112" spans="1:7" x14ac:dyDescent="0.2">
      <c r="A112" s="75">
        <v>38876</v>
      </c>
      <c r="B112" s="76" t="s">
        <v>35</v>
      </c>
      <c r="C112" s="76" t="s">
        <v>536</v>
      </c>
      <c r="D112" s="79">
        <v>1003.935103</v>
      </c>
      <c r="E112" s="79">
        <v>10.7508</v>
      </c>
      <c r="F112" s="79">
        <v>10.770200000000001</v>
      </c>
      <c r="G112" s="83">
        <f t="shared" si="0"/>
        <v>9.580742857142857</v>
      </c>
    </row>
    <row r="113" spans="1:7" x14ac:dyDescent="0.2">
      <c r="A113" s="75">
        <v>38877</v>
      </c>
      <c r="B113" s="76" t="s">
        <v>35</v>
      </c>
      <c r="C113" s="76" t="s">
        <v>536</v>
      </c>
      <c r="D113" s="79">
        <v>1003.684469</v>
      </c>
      <c r="E113" s="79">
        <v>10.7691</v>
      </c>
      <c r="F113" s="79">
        <v>10.784599999999999</v>
      </c>
      <c r="G113" s="83">
        <f t="shared" si="0"/>
        <v>9.6131158730158717</v>
      </c>
    </row>
    <row r="114" spans="1:7" x14ac:dyDescent="0.2">
      <c r="A114" s="75">
        <v>38880</v>
      </c>
      <c r="B114" s="76" t="s">
        <v>35</v>
      </c>
      <c r="C114" s="76" t="s">
        <v>536</v>
      </c>
      <c r="D114" s="79">
        <v>1000.525747</v>
      </c>
      <c r="E114" s="79">
        <v>10.7835</v>
      </c>
      <c r="F114" s="79">
        <v>10.8634</v>
      </c>
      <c r="G114" s="83">
        <f t="shared" si="0"/>
        <v>9.6448142857142827</v>
      </c>
    </row>
    <row r="115" spans="1:7" x14ac:dyDescent="0.2">
      <c r="A115" s="75">
        <v>38881</v>
      </c>
      <c r="B115" s="76" t="s">
        <v>35</v>
      </c>
      <c r="C115" s="76" t="s">
        <v>536</v>
      </c>
      <c r="D115" s="79">
        <v>999.62661400000002</v>
      </c>
      <c r="E115" s="79">
        <v>10.862399999999999</v>
      </c>
      <c r="F115" s="79">
        <v>10.8924</v>
      </c>
      <c r="G115" s="83">
        <f t="shared" si="0"/>
        <v>9.6787904761904731</v>
      </c>
    </row>
    <row r="116" spans="1:7" x14ac:dyDescent="0.2">
      <c r="A116" s="75">
        <v>38882</v>
      </c>
      <c r="B116" s="76" t="s">
        <v>35</v>
      </c>
      <c r="C116" s="76" t="s">
        <v>536</v>
      </c>
      <c r="D116" s="79">
        <v>999.18863699999997</v>
      </c>
      <c r="E116" s="79">
        <v>10.891299999999999</v>
      </c>
      <c r="F116" s="79">
        <v>10.911099999999999</v>
      </c>
      <c r="G116" s="83">
        <f t="shared" si="0"/>
        <v>9.7127095238095222</v>
      </c>
    </row>
    <row r="117" spans="1:7" x14ac:dyDescent="0.2">
      <c r="A117" s="75">
        <v>38884</v>
      </c>
      <c r="B117" s="76" t="s">
        <v>35</v>
      </c>
      <c r="C117" s="76" t="s">
        <v>536</v>
      </c>
      <c r="D117" s="79">
        <v>1003.506262</v>
      </c>
      <c r="E117" s="79">
        <v>10.91</v>
      </c>
      <c r="F117" s="79">
        <v>10.824400000000001</v>
      </c>
      <c r="G117" s="83">
        <f t="shared" si="0"/>
        <v>9.7469079365079345</v>
      </c>
    </row>
    <row r="118" spans="1:7" x14ac:dyDescent="0.2">
      <c r="A118" s="75">
        <v>38887</v>
      </c>
      <c r="B118" s="76" t="s">
        <v>35</v>
      </c>
      <c r="C118" s="76" t="s">
        <v>536</v>
      </c>
      <c r="D118" s="79">
        <v>1002.126577</v>
      </c>
      <c r="E118" s="79">
        <v>10.823399999999999</v>
      </c>
      <c r="F118" s="79">
        <v>10.8635</v>
      </c>
      <c r="G118" s="83">
        <f t="shared" si="0"/>
        <v>9.7813428571428531</v>
      </c>
    </row>
    <row r="119" spans="1:7" x14ac:dyDescent="0.2">
      <c r="A119" s="75">
        <v>38888</v>
      </c>
      <c r="B119" s="76" t="s">
        <v>35</v>
      </c>
      <c r="C119" s="76" t="s">
        <v>536</v>
      </c>
      <c r="D119" s="79">
        <v>1002.628377</v>
      </c>
      <c r="E119" s="79">
        <v>10.862500000000001</v>
      </c>
      <c r="F119" s="79">
        <v>10.861000000000001</v>
      </c>
      <c r="G119" s="83">
        <f t="shared" si="0"/>
        <v>9.8162349206349173</v>
      </c>
    </row>
    <row r="120" spans="1:7" x14ac:dyDescent="0.2">
      <c r="A120" s="75">
        <v>38889</v>
      </c>
      <c r="B120" s="76" t="s">
        <v>35</v>
      </c>
      <c r="C120" s="76" t="s">
        <v>536</v>
      </c>
      <c r="D120" s="79">
        <v>1005.321265</v>
      </c>
      <c r="E120" s="79">
        <v>10.86</v>
      </c>
      <c r="F120" s="79">
        <v>10.8101</v>
      </c>
      <c r="G120" s="83">
        <f t="shared" si="0"/>
        <v>9.8499714285714255</v>
      </c>
    </row>
    <row r="121" spans="1:7" x14ac:dyDescent="0.2">
      <c r="A121" s="75">
        <v>38890</v>
      </c>
      <c r="B121" s="76" t="s">
        <v>35</v>
      </c>
      <c r="C121" s="76" t="s">
        <v>536</v>
      </c>
      <c r="D121" s="79">
        <v>1005.736617</v>
      </c>
      <c r="E121" s="79">
        <v>10.809200000000001</v>
      </c>
      <c r="F121" s="79">
        <v>10.8096</v>
      </c>
      <c r="G121" s="83">
        <f t="shared" si="0"/>
        <v>9.8815730158730126</v>
      </c>
    </row>
    <row r="122" spans="1:7" x14ac:dyDescent="0.2">
      <c r="A122" s="75">
        <v>38891</v>
      </c>
      <c r="B122" s="76" t="s">
        <v>35</v>
      </c>
      <c r="C122" s="76" t="s">
        <v>536</v>
      </c>
      <c r="D122" s="79">
        <v>1006.410739</v>
      </c>
      <c r="E122" s="79">
        <v>10.8087</v>
      </c>
      <c r="F122" s="79">
        <v>10.8034</v>
      </c>
      <c r="G122" s="83">
        <f t="shared" si="0"/>
        <v>9.9109761904761875</v>
      </c>
    </row>
    <row r="123" spans="1:7" x14ac:dyDescent="0.2">
      <c r="A123" s="75">
        <v>38894</v>
      </c>
      <c r="B123" s="76" t="s">
        <v>35</v>
      </c>
      <c r="C123" s="76" t="s">
        <v>536</v>
      </c>
      <c r="D123" s="79">
        <v>1006.190615</v>
      </c>
      <c r="E123" s="79">
        <v>10.8026</v>
      </c>
      <c r="F123" s="79">
        <v>10.807499999999999</v>
      </c>
      <c r="G123" s="83">
        <f t="shared" si="0"/>
        <v>9.9402158730158696</v>
      </c>
    </row>
    <row r="124" spans="1:7" x14ac:dyDescent="0.2">
      <c r="A124" s="75">
        <v>38895</v>
      </c>
      <c r="B124" s="76" t="s">
        <v>35</v>
      </c>
      <c r="C124" s="76" t="s">
        <v>536</v>
      </c>
      <c r="D124" s="79">
        <v>1006.280214</v>
      </c>
      <c r="E124" s="79">
        <v>10.8066</v>
      </c>
      <c r="F124" s="79">
        <v>10.8126</v>
      </c>
      <c r="G124" s="83">
        <f t="shared" si="0"/>
        <v>9.9681984126984098</v>
      </c>
    </row>
    <row r="125" spans="1:7" x14ac:dyDescent="0.2">
      <c r="A125" s="75">
        <v>38896</v>
      </c>
      <c r="B125" s="76" t="s">
        <v>35</v>
      </c>
      <c r="C125" s="76" t="s">
        <v>536</v>
      </c>
      <c r="D125" s="79">
        <v>1008.432371</v>
      </c>
      <c r="E125" s="79">
        <v>10.8117</v>
      </c>
      <c r="F125" s="79">
        <v>10.7723</v>
      </c>
      <c r="G125" s="83">
        <f t="shared" si="0"/>
        <v>9.9947444444444429</v>
      </c>
    </row>
    <row r="126" spans="1:7" x14ac:dyDescent="0.2">
      <c r="A126" s="75">
        <v>38897</v>
      </c>
      <c r="B126" s="76" t="s">
        <v>35</v>
      </c>
      <c r="C126" s="76" t="s">
        <v>536</v>
      </c>
      <c r="D126" s="79">
        <v>1015.206135</v>
      </c>
      <c r="E126" s="79">
        <v>10.7715</v>
      </c>
      <c r="F126" s="79">
        <v>10.6311</v>
      </c>
      <c r="G126" s="83">
        <f t="shared" si="0"/>
        <v>10.019033333333331</v>
      </c>
    </row>
    <row r="127" spans="1:7" x14ac:dyDescent="0.2">
      <c r="A127" s="75">
        <v>38898</v>
      </c>
      <c r="B127" s="76" t="s">
        <v>35</v>
      </c>
      <c r="C127" s="76" t="s">
        <v>536</v>
      </c>
      <c r="D127" s="79">
        <v>1021.982285</v>
      </c>
      <c r="E127" s="79">
        <v>10.6303</v>
      </c>
      <c r="F127" s="79">
        <v>10.4909</v>
      </c>
      <c r="G127" s="83">
        <f t="shared" si="0"/>
        <v>10.03979841269841</v>
      </c>
    </row>
    <row r="128" spans="1:7" x14ac:dyDescent="0.2">
      <c r="A128" s="75">
        <v>38901</v>
      </c>
      <c r="B128" s="76" t="s">
        <v>35</v>
      </c>
      <c r="C128" s="76" t="s">
        <v>536</v>
      </c>
      <c r="D128" s="79">
        <v>1027.852388</v>
      </c>
      <c r="E128" s="79">
        <v>10.4903</v>
      </c>
      <c r="F128" s="79">
        <v>10.3714</v>
      </c>
      <c r="G128" s="83">
        <f t="shared" si="0"/>
        <v>10.060326984126982</v>
      </c>
    </row>
    <row r="129" spans="1:7" x14ac:dyDescent="0.2">
      <c r="A129" s="75">
        <v>38902</v>
      </c>
      <c r="B129" s="76" t="s">
        <v>35</v>
      </c>
      <c r="C129" s="76" t="s">
        <v>536</v>
      </c>
      <c r="D129" s="79">
        <v>1033.4908210000001</v>
      </c>
      <c r="E129" s="79">
        <v>10.370799999999999</v>
      </c>
      <c r="F129" s="79">
        <v>10.2576</v>
      </c>
      <c r="G129" s="83">
        <f t="shared" si="0"/>
        <v>10.079457142857144</v>
      </c>
    </row>
    <row r="130" spans="1:7" x14ac:dyDescent="0.2">
      <c r="A130" s="75">
        <v>38903</v>
      </c>
      <c r="B130" s="76" t="s">
        <v>35</v>
      </c>
      <c r="C130" s="76" t="s">
        <v>536</v>
      </c>
      <c r="D130" s="79">
        <v>1028.84878</v>
      </c>
      <c r="E130" s="79">
        <v>10.257099999999999</v>
      </c>
      <c r="F130" s="79">
        <v>10.364000000000001</v>
      </c>
      <c r="G130" s="83">
        <f t="shared" si="0"/>
        <v>10.09613492063492</v>
      </c>
    </row>
    <row r="131" spans="1:7" x14ac:dyDescent="0.2">
      <c r="A131" s="75">
        <v>38904</v>
      </c>
      <c r="B131" s="76" t="s">
        <v>35</v>
      </c>
      <c r="C131" s="76" t="s">
        <v>536</v>
      </c>
      <c r="D131" s="79">
        <v>1032.6149820000001</v>
      </c>
      <c r="E131" s="79">
        <v>10.3634</v>
      </c>
      <c r="F131" s="79">
        <v>10.2903</v>
      </c>
      <c r="G131" s="83">
        <f t="shared" ref="G131:G194" si="1">+AVERAGE(E69:E131)</f>
        <v>10.115092063492064</v>
      </c>
    </row>
    <row r="132" spans="1:7" x14ac:dyDescent="0.2">
      <c r="A132" s="75">
        <v>38905</v>
      </c>
      <c r="B132" s="76" t="s">
        <v>35</v>
      </c>
      <c r="C132" s="76" t="s">
        <v>536</v>
      </c>
      <c r="D132" s="79">
        <v>1034.1995850000001</v>
      </c>
      <c r="E132" s="79">
        <v>10.2898</v>
      </c>
      <c r="F132" s="79">
        <v>10.2461</v>
      </c>
      <c r="G132" s="83">
        <f t="shared" si="1"/>
        <v>10.133198412698414</v>
      </c>
    </row>
    <row r="133" spans="1:7" x14ac:dyDescent="0.2">
      <c r="A133" s="75">
        <v>38908</v>
      </c>
      <c r="B133" s="76" t="s">
        <v>35</v>
      </c>
      <c r="C133" s="76" t="s">
        <v>536</v>
      </c>
      <c r="D133" s="79">
        <v>1036.632065</v>
      </c>
      <c r="E133" s="79">
        <v>10.245699999999999</v>
      </c>
      <c r="F133" s="79">
        <v>10.200200000000001</v>
      </c>
      <c r="G133" s="83">
        <f t="shared" si="1"/>
        <v>10.151171428571427</v>
      </c>
    </row>
    <row r="134" spans="1:7" x14ac:dyDescent="0.2">
      <c r="A134" s="75">
        <v>38909</v>
      </c>
      <c r="B134" s="76" t="s">
        <v>35</v>
      </c>
      <c r="C134" s="76" t="s">
        <v>536</v>
      </c>
      <c r="D134" s="79">
        <v>1037.4780189999999</v>
      </c>
      <c r="E134" s="79">
        <v>10.1998</v>
      </c>
      <c r="F134" s="79">
        <v>10.1881</v>
      </c>
      <c r="G134" s="83">
        <f t="shared" si="1"/>
        <v>10.167231746031742</v>
      </c>
    </row>
    <row r="135" spans="1:7" x14ac:dyDescent="0.2">
      <c r="A135" s="75">
        <v>38910</v>
      </c>
      <c r="B135" s="76" t="s">
        <v>35</v>
      </c>
      <c r="C135" s="76" t="s">
        <v>536</v>
      </c>
      <c r="D135" s="79">
        <v>1034.870525</v>
      </c>
      <c r="E135" s="79">
        <v>10.1877</v>
      </c>
      <c r="F135" s="79">
        <v>10.249499999999999</v>
      </c>
      <c r="G135" s="83">
        <f t="shared" si="1"/>
        <v>10.181912698412695</v>
      </c>
    </row>
    <row r="136" spans="1:7" x14ac:dyDescent="0.2">
      <c r="A136" s="75">
        <v>38911</v>
      </c>
      <c r="B136" s="76" t="s">
        <v>35</v>
      </c>
      <c r="C136" s="76" t="s">
        <v>536</v>
      </c>
      <c r="D136" s="79">
        <v>1032.366986</v>
      </c>
      <c r="E136" s="79">
        <v>10.2491</v>
      </c>
      <c r="F136" s="79">
        <v>10.3089</v>
      </c>
      <c r="G136" s="83">
        <f t="shared" si="1"/>
        <v>10.195198412698414</v>
      </c>
    </row>
    <row r="137" spans="1:7" x14ac:dyDescent="0.2">
      <c r="A137" s="75">
        <v>38912</v>
      </c>
      <c r="B137" s="76" t="s">
        <v>35</v>
      </c>
      <c r="C137" s="76" t="s">
        <v>536</v>
      </c>
      <c r="D137" s="79">
        <v>1032.5533250000001</v>
      </c>
      <c r="E137" s="79">
        <v>10.3085</v>
      </c>
      <c r="F137" s="79">
        <v>10.3109</v>
      </c>
      <c r="G137" s="83">
        <f t="shared" si="1"/>
        <v>10.208765079365079</v>
      </c>
    </row>
    <row r="138" spans="1:7" x14ac:dyDescent="0.2">
      <c r="A138" s="75">
        <v>38915</v>
      </c>
      <c r="B138" s="76" t="s">
        <v>35</v>
      </c>
      <c r="C138" s="76" t="s">
        <v>536</v>
      </c>
      <c r="D138" s="79">
        <v>1036.4286480000001</v>
      </c>
      <c r="E138" s="79">
        <v>10.3104</v>
      </c>
      <c r="F138" s="79">
        <v>10.2341</v>
      </c>
      <c r="G138" s="83">
        <f t="shared" si="1"/>
        <v>10.221861904761903</v>
      </c>
    </row>
    <row r="139" spans="1:7" x14ac:dyDescent="0.2">
      <c r="A139" s="75">
        <v>38916</v>
      </c>
      <c r="B139" s="76" t="s">
        <v>35</v>
      </c>
      <c r="C139" s="76" t="s">
        <v>536</v>
      </c>
      <c r="D139" s="79">
        <v>1037.647203</v>
      </c>
      <c r="E139" s="79">
        <v>10.233599999999999</v>
      </c>
      <c r="F139" s="79">
        <v>10.2182</v>
      </c>
      <c r="G139" s="83">
        <f t="shared" si="1"/>
        <v>10.233619047619047</v>
      </c>
    </row>
    <row r="140" spans="1:7" x14ac:dyDescent="0.2">
      <c r="A140" s="75">
        <v>38917</v>
      </c>
      <c r="B140" s="76" t="s">
        <v>35</v>
      </c>
      <c r="C140" s="76" t="s">
        <v>536</v>
      </c>
      <c r="D140" s="79">
        <v>1041.8200079999999</v>
      </c>
      <c r="E140" s="79">
        <v>10.2178</v>
      </c>
      <c r="F140" s="79">
        <v>10.139799999999999</v>
      </c>
      <c r="G140" s="83">
        <f t="shared" si="1"/>
        <v>10.245461904761903</v>
      </c>
    </row>
    <row r="141" spans="1:7" x14ac:dyDescent="0.2">
      <c r="A141" s="75">
        <v>38918</v>
      </c>
      <c r="B141" s="76" t="s">
        <v>35</v>
      </c>
      <c r="C141" s="76" t="s">
        <v>536</v>
      </c>
      <c r="D141" s="79">
        <v>1043.207619</v>
      </c>
      <c r="E141" s="79">
        <v>10.1393</v>
      </c>
      <c r="F141" s="79">
        <v>10.1204</v>
      </c>
      <c r="G141" s="83">
        <f t="shared" si="1"/>
        <v>10.258574603174601</v>
      </c>
    </row>
    <row r="142" spans="1:7" x14ac:dyDescent="0.2">
      <c r="A142" s="75">
        <v>38919</v>
      </c>
      <c r="B142" s="76" t="s">
        <v>35</v>
      </c>
      <c r="C142" s="76" t="s">
        <v>536</v>
      </c>
      <c r="D142" s="79">
        <v>1042.447187</v>
      </c>
      <c r="E142" s="79">
        <v>10.119999999999999</v>
      </c>
      <c r="F142" s="79">
        <v>10.1465</v>
      </c>
      <c r="G142" s="83">
        <f t="shared" si="1"/>
        <v>10.271814285714283</v>
      </c>
    </row>
    <row r="143" spans="1:7" x14ac:dyDescent="0.2">
      <c r="A143" s="75">
        <v>38922</v>
      </c>
      <c r="B143" s="76" t="s">
        <v>35</v>
      </c>
      <c r="C143" s="76" t="s">
        <v>536</v>
      </c>
      <c r="D143" s="79">
        <v>1042.3690770000001</v>
      </c>
      <c r="E143" s="79">
        <v>10.146100000000001</v>
      </c>
      <c r="F143" s="79">
        <v>10.158200000000001</v>
      </c>
      <c r="G143" s="83">
        <f t="shared" si="1"/>
        <v>10.284287301587298</v>
      </c>
    </row>
    <row r="144" spans="1:7" x14ac:dyDescent="0.2">
      <c r="A144" s="75">
        <v>38923</v>
      </c>
      <c r="B144" s="76" t="s">
        <v>35</v>
      </c>
      <c r="C144" s="76" t="s">
        <v>536</v>
      </c>
      <c r="D144" s="79">
        <v>1045.521023</v>
      </c>
      <c r="E144" s="79">
        <v>10.1577</v>
      </c>
      <c r="F144" s="79">
        <v>10.101599999999999</v>
      </c>
      <c r="G144" s="83">
        <f t="shared" si="1"/>
        <v>10.295455555555554</v>
      </c>
    </row>
    <row r="145" spans="1:7" x14ac:dyDescent="0.2">
      <c r="A145" s="75">
        <v>38924</v>
      </c>
      <c r="B145" s="76" t="s">
        <v>35</v>
      </c>
      <c r="C145" s="76" t="s">
        <v>536</v>
      </c>
      <c r="D145" s="79">
        <v>1048.840535</v>
      </c>
      <c r="E145" s="79">
        <v>10.1012</v>
      </c>
      <c r="F145" s="79">
        <v>10.0381</v>
      </c>
      <c r="G145" s="83">
        <f t="shared" si="1"/>
        <v>10.30537619047619</v>
      </c>
    </row>
    <row r="146" spans="1:7" x14ac:dyDescent="0.2">
      <c r="A146" s="75">
        <v>38925</v>
      </c>
      <c r="B146" s="76" t="s">
        <v>35</v>
      </c>
      <c r="C146" s="76" t="s">
        <v>536</v>
      </c>
      <c r="D146" s="79">
        <v>1049.303866</v>
      </c>
      <c r="E146" s="79">
        <v>10.037800000000001</v>
      </c>
      <c r="F146" s="79">
        <v>10.0379</v>
      </c>
      <c r="G146" s="83">
        <f t="shared" si="1"/>
        <v>10.314595238095235</v>
      </c>
    </row>
    <row r="147" spans="1:7" x14ac:dyDescent="0.2">
      <c r="A147" s="75">
        <v>38926</v>
      </c>
      <c r="B147" s="76" t="s">
        <v>35</v>
      </c>
      <c r="C147" s="76" t="s">
        <v>536</v>
      </c>
      <c r="D147" s="79">
        <v>1055.141104</v>
      </c>
      <c r="E147" s="79">
        <v>10.0375</v>
      </c>
      <c r="F147" s="79">
        <v>9.9252000000000002</v>
      </c>
      <c r="G147" s="83">
        <f t="shared" si="1"/>
        <v>10.323566666666665</v>
      </c>
    </row>
    <row r="148" spans="1:7" x14ac:dyDescent="0.2">
      <c r="A148" s="75">
        <v>38929</v>
      </c>
      <c r="B148" s="76" t="s">
        <v>35</v>
      </c>
      <c r="C148" s="76" t="s">
        <v>536</v>
      </c>
      <c r="D148" s="79">
        <v>1055.9148130000001</v>
      </c>
      <c r="E148" s="79">
        <v>9.9247999999999994</v>
      </c>
      <c r="F148" s="79">
        <v>9.9184000000000001</v>
      </c>
      <c r="G148" s="83">
        <f t="shared" si="1"/>
        <v>10.330934920634919</v>
      </c>
    </row>
    <row r="149" spans="1:7" x14ac:dyDescent="0.2">
      <c r="A149" s="75">
        <v>38930</v>
      </c>
      <c r="B149" s="76" t="s">
        <v>35</v>
      </c>
      <c r="C149" s="76" t="s">
        <v>536</v>
      </c>
      <c r="D149" s="79">
        <v>1056.280673</v>
      </c>
      <c r="E149" s="79">
        <v>9.9179999999999993</v>
      </c>
      <c r="F149" s="79">
        <v>9.9200999999999997</v>
      </c>
      <c r="G149" s="83">
        <f t="shared" si="1"/>
        <v>10.338452380952379</v>
      </c>
    </row>
    <row r="150" spans="1:7" x14ac:dyDescent="0.2">
      <c r="A150" s="75">
        <v>38931</v>
      </c>
      <c r="B150" s="76" t="s">
        <v>35</v>
      </c>
      <c r="C150" s="76" t="s">
        <v>536</v>
      </c>
      <c r="D150" s="79">
        <v>1056.85806</v>
      </c>
      <c r="E150" s="79">
        <v>9.9196000000000009</v>
      </c>
      <c r="F150" s="79">
        <v>9.9172999999999991</v>
      </c>
      <c r="G150" s="83">
        <f t="shared" si="1"/>
        <v>10.345484126984125</v>
      </c>
    </row>
    <row r="151" spans="1:7" x14ac:dyDescent="0.2">
      <c r="A151" s="75">
        <v>38932</v>
      </c>
      <c r="B151" s="76" t="s">
        <v>35</v>
      </c>
      <c r="C151" s="76" t="s">
        <v>536</v>
      </c>
      <c r="D151" s="79">
        <v>1058.055908</v>
      </c>
      <c r="E151" s="79">
        <v>9.9168000000000003</v>
      </c>
      <c r="F151" s="79">
        <v>9.9016000000000002</v>
      </c>
      <c r="G151" s="83">
        <f t="shared" si="1"/>
        <v>10.352319047619044</v>
      </c>
    </row>
    <row r="152" spans="1:7" x14ac:dyDescent="0.2">
      <c r="A152" s="75">
        <v>38933</v>
      </c>
      <c r="B152" s="76" t="s">
        <v>35</v>
      </c>
      <c r="C152" s="76" t="s">
        <v>536</v>
      </c>
      <c r="D152" s="79">
        <v>1062.0957880000001</v>
      </c>
      <c r="E152" s="79">
        <v>9.9011999999999993</v>
      </c>
      <c r="F152" s="79">
        <v>9.8270999999999997</v>
      </c>
      <c r="G152" s="83">
        <f t="shared" si="1"/>
        <v>10.358671428571425</v>
      </c>
    </row>
    <row r="153" spans="1:7" x14ac:dyDescent="0.2">
      <c r="A153" s="75">
        <v>38936</v>
      </c>
      <c r="B153" s="76" t="s">
        <v>35</v>
      </c>
      <c r="C153" s="76" t="s">
        <v>536</v>
      </c>
      <c r="D153" s="79">
        <v>1066.4661759999999</v>
      </c>
      <c r="E153" s="79">
        <v>9.8267000000000007</v>
      </c>
      <c r="F153" s="79">
        <v>9.7461000000000002</v>
      </c>
      <c r="G153" s="83">
        <f t="shared" si="1"/>
        <v>10.363023809523806</v>
      </c>
    </row>
    <row r="154" spans="1:7" x14ac:dyDescent="0.2">
      <c r="A154" s="75">
        <v>38937</v>
      </c>
      <c r="B154" s="76" t="s">
        <v>35</v>
      </c>
      <c r="C154" s="76" t="s">
        <v>536</v>
      </c>
      <c r="D154" s="79">
        <v>1072.568315</v>
      </c>
      <c r="E154" s="79">
        <v>9.7455999999999996</v>
      </c>
      <c r="F154" s="79">
        <v>9.6298999999999992</v>
      </c>
      <c r="G154" s="83">
        <f t="shared" si="1"/>
        <v>10.36509841269841</v>
      </c>
    </row>
    <row r="155" spans="1:7" x14ac:dyDescent="0.2">
      <c r="A155" s="75">
        <v>38938</v>
      </c>
      <c r="B155" s="76" t="s">
        <v>35</v>
      </c>
      <c r="C155" s="76" t="s">
        <v>536</v>
      </c>
      <c r="D155" s="79">
        <v>1075.278505</v>
      </c>
      <c r="E155" s="79">
        <v>9.6294000000000004</v>
      </c>
      <c r="F155" s="79">
        <v>9.5835000000000008</v>
      </c>
      <c r="G155" s="83">
        <f t="shared" si="1"/>
        <v>10.364815873015871</v>
      </c>
    </row>
    <row r="156" spans="1:7" x14ac:dyDescent="0.2">
      <c r="A156" s="75">
        <v>38939</v>
      </c>
      <c r="B156" s="76" t="s">
        <v>35</v>
      </c>
      <c r="C156" s="76" t="s">
        <v>536</v>
      </c>
      <c r="D156" s="79">
        <v>1078.1962980000001</v>
      </c>
      <c r="E156" s="79">
        <v>9.5830000000000002</v>
      </c>
      <c r="F156" s="79">
        <v>9.5329999999999995</v>
      </c>
      <c r="G156" s="83">
        <f t="shared" si="1"/>
        <v>10.362293650793646</v>
      </c>
    </row>
    <row r="157" spans="1:7" x14ac:dyDescent="0.2">
      <c r="A157" s="75">
        <v>38940</v>
      </c>
      <c r="B157" s="76" t="s">
        <v>35</v>
      </c>
      <c r="C157" s="76" t="s">
        <v>536</v>
      </c>
      <c r="D157" s="79">
        <v>1079.5531940000001</v>
      </c>
      <c r="E157" s="79">
        <v>9.5325000000000006</v>
      </c>
      <c r="F157" s="79">
        <v>9.5242000000000004</v>
      </c>
      <c r="G157" s="83">
        <f t="shared" si="1"/>
        <v>10.357528571428567</v>
      </c>
    </row>
    <row r="158" spans="1:7" x14ac:dyDescent="0.2">
      <c r="A158" s="75">
        <v>38943</v>
      </c>
      <c r="B158" s="76" t="s">
        <v>35</v>
      </c>
      <c r="C158" s="76" t="s">
        <v>536</v>
      </c>
      <c r="D158" s="79">
        <v>1076.431619</v>
      </c>
      <c r="E158" s="79">
        <v>9.5236999999999998</v>
      </c>
      <c r="F158" s="79">
        <v>9.5970999999999993</v>
      </c>
      <c r="G158" s="83">
        <f t="shared" si="1"/>
        <v>10.351860317460313</v>
      </c>
    </row>
    <row r="159" spans="1:7" x14ac:dyDescent="0.2">
      <c r="A159" s="75">
        <v>38944</v>
      </c>
      <c r="B159" s="76" t="s">
        <v>35</v>
      </c>
      <c r="C159" s="76" t="s">
        <v>536</v>
      </c>
      <c r="D159" s="79">
        <v>1080.629623</v>
      </c>
      <c r="E159" s="79">
        <v>9.5966000000000005</v>
      </c>
      <c r="F159" s="79">
        <v>9.5212000000000003</v>
      </c>
      <c r="G159" s="83">
        <f t="shared" si="1"/>
        <v>10.348165079365074</v>
      </c>
    </row>
    <row r="160" spans="1:7" x14ac:dyDescent="0.2">
      <c r="A160" s="75">
        <v>38945</v>
      </c>
      <c r="B160" s="76" t="s">
        <v>35</v>
      </c>
      <c r="C160" s="76" t="s">
        <v>536</v>
      </c>
      <c r="D160" s="79">
        <v>1083.3049960000001</v>
      </c>
      <c r="E160" s="79">
        <v>9.5206999999999997</v>
      </c>
      <c r="F160" s="79">
        <v>9.4772999999999996</v>
      </c>
      <c r="G160" s="83">
        <f t="shared" si="1"/>
        <v>10.341898412698409</v>
      </c>
    </row>
    <row r="161" spans="1:7" x14ac:dyDescent="0.2">
      <c r="A161" s="75">
        <v>38946</v>
      </c>
      <c r="B161" s="76" t="s">
        <v>35</v>
      </c>
      <c r="C161" s="76" t="s">
        <v>536</v>
      </c>
      <c r="D161" s="79">
        <v>1085.0297539999999</v>
      </c>
      <c r="E161" s="79">
        <v>9.4768000000000008</v>
      </c>
      <c r="F161" s="79">
        <v>9.4527000000000001</v>
      </c>
      <c r="G161" s="83">
        <f t="shared" si="1"/>
        <v>10.334185714285711</v>
      </c>
    </row>
    <row r="162" spans="1:7" x14ac:dyDescent="0.2">
      <c r="A162" s="75">
        <v>38947</v>
      </c>
      <c r="B162" s="76" t="s">
        <v>35</v>
      </c>
      <c r="C162" s="76" t="s">
        <v>536</v>
      </c>
      <c r="D162" s="79">
        <v>1083.5174259999999</v>
      </c>
      <c r="E162" s="79">
        <v>9.4521999999999995</v>
      </c>
      <c r="F162" s="79">
        <v>9.4934999999999992</v>
      </c>
      <c r="G162" s="83">
        <f t="shared" si="1"/>
        <v>10.324022222222219</v>
      </c>
    </row>
    <row r="163" spans="1:7" x14ac:dyDescent="0.2">
      <c r="A163" s="75">
        <v>38950</v>
      </c>
      <c r="B163" s="76" t="s">
        <v>35</v>
      </c>
      <c r="C163" s="76" t="s">
        <v>536</v>
      </c>
      <c r="D163" s="79">
        <v>1083.8572280000001</v>
      </c>
      <c r="E163" s="79">
        <v>9.4930000000000003</v>
      </c>
      <c r="F163" s="79">
        <v>9.4969000000000001</v>
      </c>
      <c r="G163" s="83">
        <f t="shared" si="1"/>
        <v>10.308166666666665</v>
      </c>
    </row>
    <row r="164" spans="1:7" x14ac:dyDescent="0.2">
      <c r="A164" s="75">
        <v>38951</v>
      </c>
      <c r="B164" s="76" t="s">
        <v>35</v>
      </c>
      <c r="C164" s="76" t="s">
        <v>536</v>
      </c>
      <c r="D164" s="79">
        <v>1086.951849</v>
      </c>
      <c r="E164" s="79">
        <v>9.4963999999999995</v>
      </c>
      <c r="F164" s="79">
        <v>9.4446999999999992</v>
      </c>
      <c r="G164" s="83">
        <f t="shared" si="1"/>
        <v>10.291131746031743</v>
      </c>
    </row>
    <row r="165" spans="1:7" x14ac:dyDescent="0.2">
      <c r="A165" s="75">
        <v>38952</v>
      </c>
      <c r="B165" s="76" t="s">
        <v>35</v>
      </c>
      <c r="C165" s="76" t="s">
        <v>536</v>
      </c>
      <c r="D165" s="79">
        <v>1083.4869779999999</v>
      </c>
      <c r="E165" s="79">
        <v>9.4442000000000004</v>
      </c>
      <c r="F165" s="79">
        <v>9.5249000000000006</v>
      </c>
      <c r="G165" s="83">
        <f t="shared" si="1"/>
        <v>10.26555238095238</v>
      </c>
    </row>
    <row r="166" spans="1:7" x14ac:dyDescent="0.2">
      <c r="A166" s="75">
        <v>38953</v>
      </c>
      <c r="B166" s="76" t="s">
        <v>35</v>
      </c>
      <c r="C166" s="76" t="s">
        <v>536</v>
      </c>
      <c r="D166" s="79">
        <v>1080.272256</v>
      </c>
      <c r="E166" s="79">
        <v>9.5243000000000002</v>
      </c>
      <c r="F166" s="79">
        <v>9.5939999999999994</v>
      </c>
      <c r="G166" s="83">
        <f t="shared" si="1"/>
        <v>10.247547619047621</v>
      </c>
    </row>
    <row r="167" spans="1:7" x14ac:dyDescent="0.2">
      <c r="A167" s="75">
        <v>38954</v>
      </c>
      <c r="B167" s="76" t="s">
        <v>35</v>
      </c>
      <c r="C167" s="76" t="s">
        <v>536</v>
      </c>
      <c r="D167" s="79">
        <v>1077.8168089999999</v>
      </c>
      <c r="E167" s="79">
        <v>9.5934000000000008</v>
      </c>
      <c r="F167" s="79">
        <v>9.6532999999999998</v>
      </c>
      <c r="G167" s="83">
        <f t="shared" si="1"/>
        <v>10.235133333333335</v>
      </c>
    </row>
    <row r="168" spans="1:7" x14ac:dyDescent="0.2">
      <c r="A168" s="75">
        <v>38957</v>
      </c>
      <c r="B168" s="76" t="s">
        <v>35</v>
      </c>
      <c r="C168" s="76" t="s">
        <v>536</v>
      </c>
      <c r="D168" s="79">
        <v>1078.603754</v>
      </c>
      <c r="E168" s="79">
        <v>9.6525999999999996</v>
      </c>
      <c r="F168" s="79">
        <v>9.6465999999999994</v>
      </c>
      <c r="G168" s="83">
        <f t="shared" si="1"/>
        <v>10.222649206349208</v>
      </c>
    </row>
    <row r="169" spans="1:7" x14ac:dyDescent="0.2">
      <c r="A169" s="75">
        <v>38958</v>
      </c>
      <c r="B169" s="76" t="s">
        <v>35</v>
      </c>
      <c r="C169" s="76" t="s">
        <v>536</v>
      </c>
      <c r="D169" s="79">
        <v>1078.216269</v>
      </c>
      <c r="E169" s="79">
        <v>9.6458999999999993</v>
      </c>
      <c r="F169" s="79">
        <v>9.6638000000000002</v>
      </c>
      <c r="G169" s="83">
        <f t="shared" si="1"/>
        <v>10.206080952380955</v>
      </c>
    </row>
    <row r="170" spans="1:7" x14ac:dyDescent="0.2">
      <c r="A170" s="75">
        <v>38959</v>
      </c>
      <c r="B170" s="76" t="s">
        <v>35</v>
      </c>
      <c r="C170" s="76" t="s">
        <v>536</v>
      </c>
      <c r="D170" s="79">
        <v>1079.6136770000001</v>
      </c>
      <c r="E170" s="79">
        <v>9.6631</v>
      </c>
      <c r="F170" s="79">
        <v>9.6447000000000003</v>
      </c>
      <c r="G170" s="83">
        <f t="shared" si="1"/>
        <v>10.189355555555558</v>
      </c>
    </row>
    <row r="171" spans="1:7" x14ac:dyDescent="0.2">
      <c r="A171" s="75">
        <v>38960</v>
      </c>
      <c r="B171" s="76" t="s">
        <v>35</v>
      </c>
      <c r="C171" s="76" t="s">
        <v>536</v>
      </c>
      <c r="D171" s="79">
        <v>1089.023846</v>
      </c>
      <c r="E171" s="79">
        <v>9.6440000000000001</v>
      </c>
      <c r="F171" s="79">
        <v>9.4636999999999993</v>
      </c>
      <c r="G171" s="83">
        <f t="shared" si="1"/>
        <v>10.174085714285718</v>
      </c>
    </row>
    <row r="172" spans="1:7" x14ac:dyDescent="0.2">
      <c r="A172" s="75">
        <v>38961</v>
      </c>
      <c r="B172" s="76" t="s">
        <v>35</v>
      </c>
      <c r="C172" s="76" t="s">
        <v>536</v>
      </c>
      <c r="D172" s="79">
        <v>1093.1808779999999</v>
      </c>
      <c r="E172" s="79">
        <v>9.4631000000000007</v>
      </c>
      <c r="F172" s="79">
        <v>9.3895</v>
      </c>
      <c r="G172" s="83">
        <f t="shared" si="1"/>
        <v>10.156255555555559</v>
      </c>
    </row>
    <row r="173" spans="1:7" x14ac:dyDescent="0.2">
      <c r="A173" s="75">
        <v>38964</v>
      </c>
      <c r="B173" s="76" t="s">
        <v>35</v>
      </c>
      <c r="C173" s="76" t="s">
        <v>536</v>
      </c>
      <c r="D173" s="79">
        <v>1095.159296</v>
      </c>
      <c r="E173" s="79">
        <v>9.3889999999999993</v>
      </c>
      <c r="F173" s="79">
        <v>9.3591999999999995</v>
      </c>
      <c r="G173" s="83">
        <f t="shared" si="1"/>
        <v>10.136496825396831</v>
      </c>
    </row>
    <row r="174" spans="1:7" x14ac:dyDescent="0.2">
      <c r="A174" s="75">
        <v>38965</v>
      </c>
      <c r="B174" s="76" t="s">
        <v>35</v>
      </c>
      <c r="C174" s="76" t="s">
        <v>536</v>
      </c>
      <c r="D174" s="79">
        <v>1092.8489079999999</v>
      </c>
      <c r="E174" s="79">
        <v>9.3587000000000007</v>
      </c>
      <c r="F174" s="79">
        <v>9.4146999999999998</v>
      </c>
      <c r="G174" s="83">
        <f t="shared" si="1"/>
        <v>10.115119047619052</v>
      </c>
    </row>
    <row r="175" spans="1:7" x14ac:dyDescent="0.2">
      <c r="A175" s="75">
        <v>38966</v>
      </c>
      <c r="B175" s="76" t="s">
        <v>35</v>
      </c>
      <c r="C175" s="76" t="s">
        <v>536</v>
      </c>
      <c r="D175" s="79">
        <v>1088.72838</v>
      </c>
      <c r="E175" s="79">
        <v>9.4141999999999992</v>
      </c>
      <c r="F175" s="79">
        <v>9.4829000000000008</v>
      </c>
      <c r="G175" s="83">
        <f t="shared" si="1"/>
        <v>10.093903174603181</v>
      </c>
    </row>
    <row r="176" spans="1:7" x14ac:dyDescent="0.2">
      <c r="A176" s="75">
        <v>38968</v>
      </c>
      <c r="B176" s="76" t="s">
        <v>35</v>
      </c>
      <c r="C176" s="76" t="s">
        <v>536</v>
      </c>
      <c r="D176" s="79">
        <v>1089.7163399999999</v>
      </c>
      <c r="E176" s="79">
        <v>9.4823000000000004</v>
      </c>
      <c r="F176" s="79">
        <v>9.4708000000000006</v>
      </c>
      <c r="G176" s="83">
        <f t="shared" si="1"/>
        <v>10.073477777777786</v>
      </c>
    </row>
    <row r="177" spans="1:7" x14ac:dyDescent="0.2">
      <c r="A177" s="75">
        <v>38971</v>
      </c>
      <c r="B177" s="76" t="s">
        <v>35</v>
      </c>
      <c r="C177" s="76" t="s">
        <v>536</v>
      </c>
      <c r="D177" s="79">
        <v>1088.700734</v>
      </c>
      <c r="E177" s="79">
        <v>9.4702000000000002</v>
      </c>
      <c r="F177" s="79">
        <v>9.4990000000000006</v>
      </c>
      <c r="G177" s="83">
        <f t="shared" si="1"/>
        <v>10.052631746031752</v>
      </c>
    </row>
    <row r="178" spans="1:7" x14ac:dyDescent="0.2">
      <c r="A178" s="75">
        <v>38972</v>
      </c>
      <c r="B178" s="76" t="s">
        <v>35</v>
      </c>
      <c r="C178" s="76" t="s">
        <v>536</v>
      </c>
      <c r="D178" s="79">
        <v>1089.8632709999999</v>
      </c>
      <c r="E178" s="79">
        <v>9.4984000000000002</v>
      </c>
      <c r="F178" s="79">
        <v>9.4833999999999996</v>
      </c>
      <c r="G178" s="83">
        <f t="shared" si="1"/>
        <v>10.030980952380956</v>
      </c>
    </row>
    <row r="179" spans="1:7" x14ac:dyDescent="0.2">
      <c r="A179" s="75">
        <v>38973</v>
      </c>
      <c r="B179" s="76" t="s">
        <v>35</v>
      </c>
      <c r="C179" s="76" t="s">
        <v>536</v>
      </c>
      <c r="D179" s="79">
        <v>1091.614294</v>
      </c>
      <c r="E179" s="79">
        <v>9.4827999999999992</v>
      </c>
      <c r="F179" s="79">
        <v>9.4559999999999995</v>
      </c>
      <c r="G179" s="83">
        <f t="shared" si="1"/>
        <v>10.008623809523813</v>
      </c>
    </row>
    <row r="180" spans="1:7" x14ac:dyDescent="0.2">
      <c r="A180" s="75">
        <v>38974</v>
      </c>
      <c r="B180" s="76" t="s">
        <v>35</v>
      </c>
      <c r="C180" s="76" t="s">
        <v>536</v>
      </c>
      <c r="D180" s="79">
        <v>1094.0265420000001</v>
      </c>
      <c r="E180" s="79">
        <v>9.4555000000000007</v>
      </c>
      <c r="F180" s="79">
        <v>9.4154999999999998</v>
      </c>
      <c r="G180" s="83">
        <f t="shared" si="1"/>
        <v>9.9855365079365122</v>
      </c>
    </row>
    <row r="181" spans="1:7" x14ac:dyDescent="0.2">
      <c r="A181" s="75">
        <v>38975</v>
      </c>
      <c r="B181" s="76" t="s">
        <v>35</v>
      </c>
      <c r="C181" s="76" t="s">
        <v>536</v>
      </c>
      <c r="D181" s="79">
        <v>1097.0494610000001</v>
      </c>
      <c r="E181" s="79">
        <v>9.4149999999999991</v>
      </c>
      <c r="F181" s="79">
        <v>9.3628999999999998</v>
      </c>
      <c r="G181" s="83">
        <f t="shared" si="1"/>
        <v>9.9631809523809558</v>
      </c>
    </row>
    <row r="182" spans="1:7" x14ac:dyDescent="0.2">
      <c r="A182" s="75">
        <v>38978</v>
      </c>
      <c r="B182" s="76" t="s">
        <v>35</v>
      </c>
      <c r="C182" s="76" t="s">
        <v>536</v>
      </c>
      <c r="D182" s="79">
        <v>1099.375687</v>
      </c>
      <c r="E182" s="79">
        <v>9.3623999999999992</v>
      </c>
      <c r="F182" s="79">
        <v>9.3260000000000005</v>
      </c>
      <c r="G182" s="83">
        <f t="shared" si="1"/>
        <v>9.9393698412698441</v>
      </c>
    </row>
    <row r="183" spans="1:7" x14ac:dyDescent="0.2">
      <c r="A183" s="75">
        <v>38979</v>
      </c>
      <c r="B183" s="76" t="s">
        <v>35</v>
      </c>
      <c r="C183" s="76" t="s">
        <v>536</v>
      </c>
      <c r="D183" s="79">
        <v>1098.8247040000001</v>
      </c>
      <c r="E183" s="79">
        <v>9.3254999999999999</v>
      </c>
      <c r="F183" s="79">
        <v>9.3463999999999992</v>
      </c>
      <c r="G183" s="83">
        <f t="shared" si="1"/>
        <v>9.9150126984127009</v>
      </c>
    </row>
    <row r="184" spans="1:7" x14ac:dyDescent="0.2">
      <c r="A184" s="75">
        <v>38980</v>
      </c>
      <c r="B184" s="76" t="s">
        <v>35</v>
      </c>
      <c r="C184" s="76" t="s">
        <v>536</v>
      </c>
      <c r="D184" s="79">
        <v>1097.2520939999999</v>
      </c>
      <c r="E184" s="79">
        <v>9.3459000000000003</v>
      </c>
      <c r="F184" s="79">
        <v>9.3872</v>
      </c>
      <c r="G184" s="83">
        <f t="shared" si="1"/>
        <v>9.8917857142857155</v>
      </c>
    </row>
    <row r="185" spans="1:7" x14ac:dyDescent="0.2">
      <c r="A185" s="75">
        <v>38981</v>
      </c>
      <c r="B185" s="76" t="s">
        <v>35</v>
      </c>
      <c r="C185" s="76" t="s">
        <v>536</v>
      </c>
      <c r="D185" s="79">
        <v>1086.4218599999999</v>
      </c>
      <c r="E185" s="79">
        <v>9.3866999999999994</v>
      </c>
      <c r="F185" s="79">
        <v>9.6141000000000005</v>
      </c>
      <c r="G185" s="83">
        <f t="shared" si="1"/>
        <v>9.869214285714289</v>
      </c>
    </row>
    <row r="186" spans="1:7" x14ac:dyDescent="0.2">
      <c r="A186" s="75">
        <v>38982</v>
      </c>
      <c r="B186" s="76" t="s">
        <v>35</v>
      </c>
      <c r="C186" s="76" t="s">
        <v>536</v>
      </c>
      <c r="D186" s="79">
        <v>1090.9976919999999</v>
      </c>
      <c r="E186" s="79">
        <v>9.6134000000000004</v>
      </c>
      <c r="F186" s="79">
        <v>9.5313999999999997</v>
      </c>
      <c r="G186" s="83">
        <f t="shared" si="1"/>
        <v>9.8503380952380954</v>
      </c>
    </row>
    <row r="187" spans="1:7" x14ac:dyDescent="0.2">
      <c r="A187" s="75">
        <v>38985</v>
      </c>
      <c r="B187" s="76" t="s">
        <v>35</v>
      </c>
      <c r="C187" s="76" t="s">
        <v>536</v>
      </c>
      <c r="D187" s="79">
        <v>1089.385413</v>
      </c>
      <c r="E187" s="79">
        <v>9.5307999999999993</v>
      </c>
      <c r="F187" s="79">
        <v>9.5693999999999999</v>
      </c>
      <c r="G187" s="83">
        <f t="shared" si="1"/>
        <v>9.8300873015873034</v>
      </c>
    </row>
    <row r="188" spans="1:7" x14ac:dyDescent="0.2">
      <c r="A188" s="75">
        <v>38986</v>
      </c>
      <c r="B188" s="76" t="s">
        <v>35</v>
      </c>
      <c r="C188" s="76" t="s">
        <v>536</v>
      </c>
      <c r="D188" s="79">
        <v>1092.9330749999999</v>
      </c>
      <c r="E188" s="79">
        <v>9.5686999999999998</v>
      </c>
      <c r="F188" s="79">
        <v>9.5068999999999999</v>
      </c>
      <c r="G188" s="83">
        <f t="shared" si="1"/>
        <v>9.8103571428571446</v>
      </c>
    </row>
    <row r="189" spans="1:7" x14ac:dyDescent="0.2">
      <c r="A189" s="75">
        <v>38987</v>
      </c>
      <c r="B189" s="76" t="s">
        <v>35</v>
      </c>
      <c r="C189" s="76" t="s">
        <v>536</v>
      </c>
      <c r="D189" s="79">
        <v>1091.878291</v>
      </c>
      <c r="E189" s="79">
        <v>9.5062999999999995</v>
      </c>
      <c r="F189" s="79">
        <v>9.5368999999999993</v>
      </c>
      <c r="G189" s="83">
        <f t="shared" si="1"/>
        <v>9.7902746031746037</v>
      </c>
    </row>
    <row r="190" spans="1:7" x14ac:dyDescent="0.2">
      <c r="A190" s="75">
        <v>38988</v>
      </c>
      <c r="B190" s="76" t="s">
        <v>35</v>
      </c>
      <c r="C190" s="76" t="s">
        <v>536</v>
      </c>
      <c r="D190" s="79">
        <v>1092.09537</v>
      </c>
      <c r="E190" s="79">
        <v>9.5363000000000007</v>
      </c>
      <c r="F190" s="79">
        <v>9.5413999999999994</v>
      </c>
      <c r="G190" s="83">
        <f t="shared" si="1"/>
        <v>9.772909523809524</v>
      </c>
    </row>
    <row r="191" spans="1:7" x14ac:dyDescent="0.2">
      <c r="A191" s="75">
        <v>38989</v>
      </c>
      <c r="B191" s="76" t="s">
        <v>35</v>
      </c>
      <c r="C191" s="76" t="s">
        <v>536</v>
      </c>
      <c r="D191" s="79">
        <v>1095.651537</v>
      </c>
      <c r="E191" s="79">
        <v>9.5408000000000008</v>
      </c>
      <c r="F191" s="79">
        <v>9.4789999999999992</v>
      </c>
      <c r="G191" s="83">
        <f t="shared" si="1"/>
        <v>9.7578380952380943</v>
      </c>
    </row>
    <row r="192" spans="1:7" x14ac:dyDescent="0.2">
      <c r="A192" s="75">
        <v>38992</v>
      </c>
      <c r="B192" s="76" t="s">
        <v>35</v>
      </c>
      <c r="C192" s="76" t="s">
        <v>536</v>
      </c>
      <c r="D192" s="79">
        <v>1103.2779519999999</v>
      </c>
      <c r="E192" s="79">
        <v>9.4784000000000006</v>
      </c>
      <c r="F192" s="79">
        <v>9.3359000000000005</v>
      </c>
      <c r="G192" s="83">
        <f t="shared" si="1"/>
        <v>9.7436730158730178</v>
      </c>
    </row>
    <row r="193" spans="1:7" x14ac:dyDescent="0.2">
      <c r="A193" s="75">
        <v>38993</v>
      </c>
      <c r="B193" s="76" t="s">
        <v>35</v>
      </c>
      <c r="C193" s="76" t="s">
        <v>536</v>
      </c>
      <c r="D193" s="79">
        <v>1102.803316</v>
      </c>
      <c r="E193" s="79">
        <v>9.3353999999999999</v>
      </c>
      <c r="F193" s="79">
        <v>9.3541000000000007</v>
      </c>
      <c r="G193" s="83">
        <f t="shared" si="1"/>
        <v>9.7290428571428578</v>
      </c>
    </row>
    <row r="194" spans="1:7" x14ac:dyDescent="0.2">
      <c r="A194" s="75">
        <v>38994</v>
      </c>
      <c r="B194" s="76" t="s">
        <v>35</v>
      </c>
      <c r="C194" s="76" t="s">
        <v>536</v>
      </c>
      <c r="D194" s="79">
        <v>1105.95733</v>
      </c>
      <c r="E194" s="79">
        <v>9.3536000000000001</v>
      </c>
      <c r="F194" s="79">
        <v>9.3003999999999998</v>
      </c>
      <c r="G194" s="83">
        <f t="shared" si="1"/>
        <v>9.7130142857142854</v>
      </c>
    </row>
    <row r="195" spans="1:7" x14ac:dyDescent="0.2">
      <c r="A195" s="75">
        <v>38995</v>
      </c>
      <c r="B195" s="76" t="s">
        <v>35</v>
      </c>
      <c r="C195" s="76" t="s">
        <v>536</v>
      </c>
      <c r="D195" s="79">
        <v>1108.3995600000001</v>
      </c>
      <c r="E195" s="79">
        <v>9.3000000000000007</v>
      </c>
      <c r="F195" s="79">
        <v>9.2609999999999992</v>
      </c>
      <c r="G195" s="83">
        <f t="shared" ref="G195:G258" si="2">+AVERAGE(E133:E195)</f>
        <v>9.6973031746031726</v>
      </c>
    </row>
    <row r="196" spans="1:7" x14ac:dyDescent="0.2">
      <c r="A196" s="75">
        <v>38996</v>
      </c>
      <c r="B196" s="76" t="s">
        <v>35</v>
      </c>
      <c r="C196" s="76" t="s">
        <v>536</v>
      </c>
      <c r="D196" s="79">
        <v>1111.662785</v>
      </c>
      <c r="E196" s="79">
        <v>9.2606000000000002</v>
      </c>
      <c r="F196" s="79">
        <v>9.2170000000000005</v>
      </c>
      <c r="G196" s="83">
        <f t="shared" si="2"/>
        <v>9.6816666666666649</v>
      </c>
    </row>
    <row r="197" spans="1:7" x14ac:dyDescent="0.2">
      <c r="A197" s="75">
        <v>38999</v>
      </c>
      <c r="B197" s="76" t="s">
        <v>35</v>
      </c>
      <c r="C197" s="76" t="s">
        <v>536</v>
      </c>
      <c r="D197" s="79">
        <v>1114.83304</v>
      </c>
      <c r="E197" s="79">
        <v>9.2165999999999997</v>
      </c>
      <c r="F197" s="79">
        <v>9.1643000000000008</v>
      </c>
      <c r="G197" s="83">
        <f t="shared" si="2"/>
        <v>9.6660603174603157</v>
      </c>
    </row>
    <row r="198" spans="1:7" x14ac:dyDescent="0.2">
      <c r="A198" s="75">
        <v>39000</v>
      </c>
      <c r="B198" s="76" t="s">
        <v>35</v>
      </c>
      <c r="C198" s="76" t="s">
        <v>536</v>
      </c>
      <c r="D198" s="79">
        <v>1117.745328</v>
      </c>
      <c r="E198" s="79">
        <v>9.1638999999999999</v>
      </c>
      <c r="F198" s="79">
        <v>9.1167999999999996</v>
      </c>
      <c r="G198" s="83">
        <f t="shared" si="2"/>
        <v>9.6498095238095214</v>
      </c>
    </row>
    <row r="199" spans="1:7" x14ac:dyDescent="0.2">
      <c r="A199" s="75">
        <v>39001</v>
      </c>
      <c r="B199" s="76" t="s">
        <v>35</v>
      </c>
      <c r="C199" s="76" t="s">
        <v>536</v>
      </c>
      <c r="D199" s="79">
        <v>1117.205774</v>
      </c>
      <c r="E199" s="79">
        <v>9.1165000000000003</v>
      </c>
      <c r="F199" s="79">
        <v>9.1369000000000007</v>
      </c>
      <c r="G199" s="83">
        <f t="shared" si="2"/>
        <v>9.6318317460317431</v>
      </c>
    </row>
    <row r="200" spans="1:7" x14ac:dyDescent="0.2">
      <c r="A200" s="75">
        <v>39003</v>
      </c>
      <c r="B200" s="76" t="s">
        <v>35</v>
      </c>
      <c r="C200" s="76" t="s">
        <v>536</v>
      </c>
      <c r="D200" s="79">
        <v>1120.364887</v>
      </c>
      <c r="E200" s="79">
        <v>9.1364999999999998</v>
      </c>
      <c r="F200" s="79">
        <v>9.0846999999999998</v>
      </c>
      <c r="G200" s="83">
        <f t="shared" si="2"/>
        <v>9.6132285714285679</v>
      </c>
    </row>
    <row r="201" spans="1:7" x14ac:dyDescent="0.2">
      <c r="A201" s="75">
        <v>39006</v>
      </c>
      <c r="B201" s="76" t="s">
        <v>35</v>
      </c>
      <c r="C201" s="76" t="s">
        <v>536</v>
      </c>
      <c r="D201" s="79">
        <v>1120.458517</v>
      </c>
      <c r="E201" s="79">
        <v>9.0844000000000005</v>
      </c>
      <c r="F201" s="79">
        <v>9.0923999999999996</v>
      </c>
      <c r="G201" s="83">
        <f t="shared" si="2"/>
        <v>9.5937682539682498</v>
      </c>
    </row>
    <row r="202" spans="1:7" x14ac:dyDescent="0.2">
      <c r="A202" s="75">
        <v>39007</v>
      </c>
      <c r="B202" s="76" t="s">
        <v>35</v>
      </c>
      <c r="C202" s="76" t="s">
        <v>536</v>
      </c>
      <c r="D202" s="79">
        <v>1119.9220330000001</v>
      </c>
      <c r="E202" s="79">
        <v>9.0921000000000003</v>
      </c>
      <c r="F202" s="79">
        <v>9.1128</v>
      </c>
      <c r="G202" s="83">
        <f t="shared" si="2"/>
        <v>9.5756492063492011</v>
      </c>
    </row>
    <row r="203" spans="1:7" x14ac:dyDescent="0.2">
      <c r="A203" s="75">
        <v>39008</v>
      </c>
      <c r="B203" s="76" t="s">
        <v>35</v>
      </c>
      <c r="C203" s="76" t="s">
        <v>536</v>
      </c>
      <c r="D203" s="79">
        <v>1121.105112</v>
      </c>
      <c r="E203" s="79">
        <v>9.1125000000000007</v>
      </c>
      <c r="F203" s="79">
        <v>9.0997000000000003</v>
      </c>
      <c r="G203" s="83">
        <f t="shared" si="2"/>
        <v>9.5581047619047563</v>
      </c>
    </row>
    <row r="204" spans="1:7" x14ac:dyDescent="0.2">
      <c r="A204" s="75">
        <v>39009</v>
      </c>
      <c r="B204" s="76" t="s">
        <v>35</v>
      </c>
      <c r="C204" s="76" t="s">
        <v>536</v>
      </c>
      <c r="D204" s="79">
        <v>1122.921409</v>
      </c>
      <c r="E204" s="79">
        <v>9.0992999999999995</v>
      </c>
      <c r="F204" s="79">
        <v>9.0741999999999994</v>
      </c>
      <c r="G204" s="83">
        <f t="shared" si="2"/>
        <v>9.5415968253968195</v>
      </c>
    </row>
    <row r="205" spans="1:7" x14ac:dyDescent="0.2">
      <c r="A205" s="75">
        <v>39010</v>
      </c>
      <c r="B205" s="76" t="s">
        <v>35</v>
      </c>
      <c r="C205" s="76" t="s">
        <v>536</v>
      </c>
      <c r="D205" s="79">
        <v>1125.296593</v>
      </c>
      <c r="E205" s="79">
        <v>9.0738000000000003</v>
      </c>
      <c r="F205" s="79">
        <v>9.0379000000000005</v>
      </c>
      <c r="G205" s="83">
        <f t="shared" si="2"/>
        <v>9.5249904761904745</v>
      </c>
    </row>
    <row r="206" spans="1:7" x14ac:dyDescent="0.2">
      <c r="A206" s="75">
        <v>39013</v>
      </c>
      <c r="B206" s="76" t="s">
        <v>35</v>
      </c>
      <c r="C206" s="76" t="s">
        <v>536</v>
      </c>
      <c r="D206" s="79">
        <v>1125.8996010000001</v>
      </c>
      <c r="E206" s="79">
        <v>9.0375999999999994</v>
      </c>
      <c r="F206" s="79">
        <v>9.0360999999999994</v>
      </c>
      <c r="G206" s="83">
        <f t="shared" si="2"/>
        <v>9.5073952380952349</v>
      </c>
    </row>
    <row r="207" spans="1:7" x14ac:dyDescent="0.2">
      <c r="A207" s="75">
        <v>39014</v>
      </c>
      <c r="B207" s="76" t="s">
        <v>35</v>
      </c>
      <c r="C207" s="76" t="s">
        <v>536</v>
      </c>
      <c r="D207" s="79">
        <v>1125.9971459999999</v>
      </c>
      <c r="E207" s="79">
        <v>9.0358000000000001</v>
      </c>
      <c r="F207" s="79">
        <v>9.0441000000000003</v>
      </c>
      <c r="G207" s="83">
        <f t="shared" si="2"/>
        <v>9.4895873015872994</v>
      </c>
    </row>
    <row r="208" spans="1:7" x14ac:dyDescent="0.2">
      <c r="A208" s="75">
        <v>39015</v>
      </c>
      <c r="B208" s="76" t="s">
        <v>35</v>
      </c>
      <c r="C208" s="76" t="s">
        <v>536</v>
      </c>
      <c r="D208" s="79">
        <v>1127.8986500000001</v>
      </c>
      <c r="E208" s="79">
        <v>9.0436999999999994</v>
      </c>
      <c r="F208" s="79">
        <v>9.0206999999999997</v>
      </c>
      <c r="G208" s="83">
        <f t="shared" si="2"/>
        <v>9.4728015873015838</v>
      </c>
    </row>
    <row r="209" spans="1:7" x14ac:dyDescent="0.2">
      <c r="A209" s="75">
        <v>39016</v>
      </c>
      <c r="B209" s="76" t="s">
        <v>35</v>
      </c>
      <c r="C209" s="76" t="s">
        <v>536</v>
      </c>
      <c r="D209" s="79">
        <v>1130.8282039999999</v>
      </c>
      <c r="E209" s="79">
        <v>9.0203000000000007</v>
      </c>
      <c r="F209" s="79">
        <v>8.9743999999999993</v>
      </c>
      <c r="G209" s="83">
        <f t="shared" si="2"/>
        <v>9.4566507936507893</v>
      </c>
    </row>
    <row r="210" spans="1:7" x14ac:dyDescent="0.2">
      <c r="A210" s="75">
        <v>39017</v>
      </c>
      <c r="B210" s="76" t="s">
        <v>35</v>
      </c>
      <c r="C210" s="76" t="s">
        <v>536</v>
      </c>
      <c r="D210" s="79">
        <v>1135.659189</v>
      </c>
      <c r="E210" s="79">
        <v>8.9741</v>
      </c>
      <c r="F210" s="79">
        <v>8.8917999999999999</v>
      </c>
      <c r="G210" s="83">
        <f t="shared" si="2"/>
        <v>9.4397714285714276</v>
      </c>
    </row>
    <row r="211" spans="1:7" x14ac:dyDescent="0.2">
      <c r="A211" s="75">
        <v>39020</v>
      </c>
      <c r="B211" s="76" t="s">
        <v>35</v>
      </c>
      <c r="C211" s="76" t="s">
        <v>536</v>
      </c>
      <c r="D211" s="79">
        <v>1136.8154910000001</v>
      </c>
      <c r="E211" s="79">
        <v>8.8915000000000006</v>
      </c>
      <c r="F211" s="79">
        <v>8.8798999999999992</v>
      </c>
      <c r="G211" s="83">
        <f t="shared" si="2"/>
        <v>9.4233698412698388</v>
      </c>
    </row>
    <row r="212" spans="1:7" x14ac:dyDescent="0.2">
      <c r="A212" s="75">
        <v>39021</v>
      </c>
      <c r="B212" s="76" t="s">
        <v>35</v>
      </c>
      <c r="C212" s="76" t="s">
        <v>536</v>
      </c>
      <c r="D212" s="79">
        <v>1138.568068</v>
      </c>
      <c r="E212" s="79">
        <v>8.8796999999999997</v>
      </c>
      <c r="F212" s="79">
        <v>8.8567</v>
      </c>
      <c r="G212" s="83">
        <f t="shared" si="2"/>
        <v>9.40688888888889</v>
      </c>
    </row>
    <row r="213" spans="1:7" x14ac:dyDescent="0.2">
      <c r="A213" s="75">
        <v>39022</v>
      </c>
      <c r="B213" s="76" t="s">
        <v>35</v>
      </c>
      <c r="C213" s="76" t="s">
        <v>536</v>
      </c>
      <c r="D213" s="79">
        <v>1143.584198</v>
      </c>
      <c r="E213" s="79">
        <v>8.8565000000000005</v>
      </c>
      <c r="F213" s="79">
        <v>8.7713000000000001</v>
      </c>
      <c r="G213" s="83">
        <f t="shared" si="2"/>
        <v>9.390014285714285</v>
      </c>
    </row>
    <row r="214" spans="1:7" x14ac:dyDescent="0.2">
      <c r="A214" s="75">
        <v>39024</v>
      </c>
      <c r="B214" s="76" t="s">
        <v>35</v>
      </c>
      <c r="C214" s="76" t="s">
        <v>536</v>
      </c>
      <c r="D214" s="79">
        <v>1146.3652320000001</v>
      </c>
      <c r="E214" s="79">
        <v>8.7712000000000003</v>
      </c>
      <c r="F214" s="79">
        <v>8.7287999999999997</v>
      </c>
      <c r="G214" s="83">
        <f t="shared" si="2"/>
        <v>9.3718301587301589</v>
      </c>
    </row>
    <row r="215" spans="1:7" x14ac:dyDescent="0.2">
      <c r="A215" s="75">
        <v>39027</v>
      </c>
      <c r="B215" s="76" t="s">
        <v>35</v>
      </c>
      <c r="C215" s="76" t="s">
        <v>536</v>
      </c>
      <c r="D215" s="79">
        <v>1146.4197650000001</v>
      </c>
      <c r="E215" s="79">
        <v>8.7286999999999999</v>
      </c>
      <c r="F215" s="79">
        <v>8.7380999999999993</v>
      </c>
      <c r="G215" s="83">
        <f t="shared" si="2"/>
        <v>9.3532190476190475</v>
      </c>
    </row>
    <row r="216" spans="1:7" x14ac:dyDescent="0.2">
      <c r="A216" s="75">
        <v>39028</v>
      </c>
      <c r="B216" s="76" t="s">
        <v>35</v>
      </c>
      <c r="C216" s="76" t="s">
        <v>536</v>
      </c>
      <c r="D216" s="79">
        <v>1146.9646969999999</v>
      </c>
      <c r="E216" s="79">
        <v>8.7379999999999995</v>
      </c>
      <c r="F216" s="79">
        <v>8.7380999999999993</v>
      </c>
      <c r="G216" s="83">
        <f t="shared" si="2"/>
        <v>9.3359380952380953</v>
      </c>
    </row>
    <row r="217" spans="1:7" x14ac:dyDescent="0.2">
      <c r="A217" s="75">
        <v>39029</v>
      </c>
      <c r="B217" s="76" t="s">
        <v>35</v>
      </c>
      <c r="C217" s="76" t="s">
        <v>536</v>
      </c>
      <c r="D217" s="79">
        <v>1146.6245530000001</v>
      </c>
      <c r="E217" s="79">
        <v>8.7379999999999995</v>
      </c>
      <c r="F217" s="79">
        <v>8.7548999999999992</v>
      </c>
      <c r="G217" s="83">
        <f t="shared" si="2"/>
        <v>9.3199444444444453</v>
      </c>
    </row>
    <row r="218" spans="1:7" x14ac:dyDescent="0.2">
      <c r="A218" s="75">
        <v>39030</v>
      </c>
      <c r="B218" s="76" t="s">
        <v>35</v>
      </c>
      <c r="C218" s="76" t="s">
        <v>536</v>
      </c>
      <c r="D218" s="79">
        <v>1147.4021909999999</v>
      </c>
      <c r="E218" s="79">
        <v>8.7547999999999995</v>
      </c>
      <c r="F218" s="79">
        <v>8.7505000000000006</v>
      </c>
      <c r="G218" s="83">
        <f t="shared" si="2"/>
        <v>9.306061904761906</v>
      </c>
    </row>
    <row r="219" spans="1:7" x14ac:dyDescent="0.2">
      <c r="A219" s="75">
        <v>39031</v>
      </c>
      <c r="B219" s="76" t="s">
        <v>35</v>
      </c>
      <c r="C219" s="76" t="s">
        <v>536</v>
      </c>
      <c r="D219" s="79">
        <v>1148.4488329999999</v>
      </c>
      <c r="E219" s="79">
        <v>8.7502999999999993</v>
      </c>
      <c r="F219" s="79">
        <v>8.7446000000000002</v>
      </c>
      <c r="G219" s="83">
        <f t="shared" si="2"/>
        <v>9.292844444444448</v>
      </c>
    </row>
    <row r="220" spans="1:7" x14ac:dyDescent="0.2">
      <c r="A220" s="75">
        <v>39034</v>
      </c>
      <c r="B220" s="76" t="s">
        <v>35</v>
      </c>
      <c r="C220" s="76" t="s">
        <v>536</v>
      </c>
      <c r="D220" s="79">
        <v>1149.8455329999999</v>
      </c>
      <c r="E220" s="79">
        <v>8.7444000000000006</v>
      </c>
      <c r="F220" s="79">
        <v>8.7286000000000001</v>
      </c>
      <c r="G220" s="83">
        <f t="shared" si="2"/>
        <v>9.2803349206349246</v>
      </c>
    </row>
    <row r="221" spans="1:7" x14ac:dyDescent="0.2">
      <c r="A221" s="75">
        <v>39035</v>
      </c>
      <c r="B221" s="76" t="s">
        <v>35</v>
      </c>
      <c r="C221" s="76" t="s">
        <v>536</v>
      </c>
      <c r="D221" s="79">
        <v>1154.810637</v>
      </c>
      <c r="E221" s="79">
        <v>8.7284000000000006</v>
      </c>
      <c r="F221" s="79">
        <v>8.6453000000000007</v>
      </c>
      <c r="G221" s="83">
        <f t="shared" si="2"/>
        <v>9.2677111111111152</v>
      </c>
    </row>
    <row r="222" spans="1:7" x14ac:dyDescent="0.2">
      <c r="A222" s="75">
        <v>39037</v>
      </c>
      <c r="B222" s="76" t="s">
        <v>35</v>
      </c>
      <c r="C222" s="76" t="s">
        <v>536</v>
      </c>
      <c r="D222" s="79">
        <v>1157.861519</v>
      </c>
      <c r="E222" s="79">
        <v>8.6452000000000009</v>
      </c>
      <c r="F222" s="79">
        <v>8.5983999999999998</v>
      </c>
      <c r="G222" s="83">
        <f t="shared" si="2"/>
        <v>9.2526095238095269</v>
      </c>
    </row>
    <row r="223" spans="1:7" x14ac:dyDescent="0.2">
      <c r="A223" s="75">
        <v>39038</v>
      </c>
      <c r="B223" s="76" t="s">
        <v>35</v>
      </c>
      <c r="C223" s="76" t="s">
        <v>536</v>
      </c>
      <c r="D223" s="79">
        <v>1156.8196809999999</v>
      </c>
      <c r="E223" s="79">
        <v>8.5982000000000003</v>
      </c>
      <c r="F223" s="79">
        <v>8.6283999999999992</v>
      </c>
      <c r="G223" s="83">
        <f t="shared" si="2"/>
        <v>9.2379666666666704</v>
      </c>
    </row>
    <row r="224" spans="1:7" x14ac:dyDescent="0.2">
      <c r="A224" s="75">
        <v>39041</v>
      </c>
      <c r="B224" s="76" t="s">
        <v>35</v>
      </c>
      <c r="C224" s="76" t="s">
        <v>536</v>
      </c>
      <c r="D224" s="79">
        <v>1157.386714</v>
      </c>
      <c r="E224" s="79">
        <v>8.6281999999999996</v>
      </c>
      <c r="F224" s="79">
        <v>8.6281999999999996</v>
      </c>
      <c r="G224" s="83">
        <f t="shared" si="2"/>
        <v>9.2244968253968302</v>
      </c>
    </row>
    <row r="225" spans="1:7" x14ac:dyDescent="0.2">
      <c r="A225" s="75">
        <v>39042</v>
      </c>
      <c r="B225" s="76" t="s">
        <v>35</v>
      </c>
      <c r="C225" s="76" t="s">
        <v>536</v>
      </c>
      <c r="D225" s="79">
        <v>1159.6330640000001</v>
      </c>
      <c r="E225" s="79">
        <v>8.6280000000000001</v>
      </c>
      <c r="F225" s="79">
        <v>8.5965000000000007</v>
      </c>
      <c r="G225" s="83">
        <f t="shared" si="2"/>
        <v>9.2114142857142891</v>
      </c>
    </row>
    <row r="226" spans="1:7" x14ac:dyDescent="0.2">
      <c r="A226" s="75">
        <v>39043</v>
      </c>
      <c r="B226" s="76" t="s">
        <v>35</v>
      </c>
      <c r="C226" s="76" t="s">
        <v>536</v>
      </c>
      <c r="D226" s="79">
        <v>1160.424332</v>
      </c>
      <c r="E226" s="79">
        <v>8.5963999999999992</v>
      </c>
      <c r="F226" s="79">
        <v>8.5922000000000001</v>
      </c>
      <c r="G226" s="83">
        <f t="shared" si="2"/>
        <v>9.1971825396825437</v>
      </c>
    </row>
    <row r="227" spans="1:7" x14ac:dyDescent="0.2">
      <c r="A227" s="75">
        <v>39044</v>
      </c>
      <c r="B227" s="76" t="s">
        <v>35</v>
      </c>
      <c r="C227" s="76" t="s">
        <v>536</v>
      </c>
      <c r="D227" s="79">
        <v>1160.404219</v>
      </c>
      <c r="E227" s="79">
        <v>8.5920000000000005</v>
      </c>
      <c r="F227" s="79">
        <v>8.6029999999999998</v>
      </c>
      <c r="G227" s="83">
        <f t="shared" si="2"/>
        <v>9.1828269841269865</v>
      </c>
    </row>
    <row r="228" spans="1:7" x14ac:dyDescent="0.2">
      <c r="A228" s="75">
        <v>39045</v>
      </c>
      <c r="B228" s="76" t="s">
        <v>35</v>
      </c>
      <c r="C228" s="76" t="s">
        <v>536</v>
      </c>
      <c r="D228" s="79">
        <v>1160.3099010000001</v>
      </c>
      <c r="E228" s="79">
        <v>8.6028000000000002</v>
      </c>
      <c r="F228" s="79">
        <v>8.6151999999999997</v>
      </c>
      <c r="G228" s="83">
        <f t="shared" si="2"/>
        <v>9.1694714285714305</v>
      </c>
    </row>
    <row r="229" spans="1:7" x14ac:dyDescent="0.2">
      <c r="A229" s="75">
        <v>39048</v>
      </c>
      <c r="B229" s="76" t="s">
        <v>35</v>
      </c>
      <c r="C229" s="76" t="s">
        <v>536</v>
      </c>
      <c r="D229" s="79">
        <v>1159.8587279999999</v>
      </c>
      <c r="E229" s="79">
        <v>8.6150000000000002</v>
      </c>
      <c r="F229" s="79">
        <v>8.6341000000000001</v>
      </c>
      <c r="G229" s="83">
        <f t="shared" si="2"/>
        <v>9.1550380952380959</v>
      </c>
    </row>
    <row r="230" spans="1:7" x14ac:dyDescent="0.2">
      <c r="A230" s="75">
        <v>39049</v>
      </c>
      <c r="B230" s="76" t="s">
        <v>35</v>
      </c>
      <c r="C230" s="76" t="s">
        <v>536</v>
      </c>
      <c r="D230" s="79">
        <v>1159.8032880000001</v>
      </c>
      <c r="E230" s="79">
        <v>8.6338000000000008</v>
      </c>
      <c r="F230" s="79">
        <v>8.6455000000000002</v>
      </c>
      <c r="G230" s="83">
        <f t="shared" si="2"/>
        <v>9.1398063492063493</v>
      </c>
    </row>
    <row r="231" spans="1:7" x14ac:dyDescent="0.2">
      <c r="A231" s="75">
        <v>39050</v>
      </c>
      <c r="B231" s="76" t="s">
        <v>35</v>
      </c>
      <c r="C231" s="76" t="s">
        <v>536</v>
      </c>
      <c r="D231" s="79">
        <v>1161.8891040000001</v>
      </c>
      <c r="E231" s="79">
        <v>8.6452000000000009</v>
      </c>
      <c r="F231" s="79">
        <v>8.6167999999999996</v>
      </c>
      <c r="G231" s="83">
        <f t="shared" si="2"/>
        <v>9.1238158730158752</v>
      </c>
    </row>
    <row r="232" spans="1:7" x14ac:dyDescent="0.2">
      <c r="A232" s="75">
        <v>39051</v>
      </c>
      <c r="B232" s="76" t="s">
        <v>35</v>
      </c>
      <c r="C232" s="76" t="s">
        <v>536</v>
      </c>
      <c r="D232" s="79">
        <v>1163.3782389999999</v>
      </c>
      <c r="E232" s="79">
        <v>8.6165000000000003</v>
      </c>
      <c r="F232" s="79">
        <v>8.5992999999999995</v>
      </c>
      <c r="G232" s="83">
        <f t="shared" si="2"/>
        <v>9.1074761904761914</v>
      </c>
    </row>
    <row r="233" spans="1:7" x14ac:dyDescent="0.2">
      <c r="A233" s="75">
        <v>39052</v>
      </c>
      <c r="B233" s="76" t="s">
        <v>35</v>
      </c>
      <c r="C233" s="76" t="s">
        <v>536</v>
      </c>
      <c r="D233" s="79">
        <v>1163.1871799999999</v>
      </c>
      <c r="E233" s="79">
        <v>8.5990000000000002</v>
      </c>
      <c r="F233" s="79">
        <v>8.6132000000000009</v>
      </c>
      <c r="G233" s="83">
        <f t="shared" si="2"/>
        <v>9.0905857142857158</v>
      </c>
    </row>
    <row r="234" spans="1:7" x14ac:dyDescent="0.2">
      <c r="A234" s="75">
        <v>39055</v>
      </c>
      <c r="B234" s="76" t="s">
        <v>35</v>
      </c>
      <c r="C234" s="76" t="s">
        <v>536</v>
      </c>
      <c r="D234" s="79">
        <v>1163.5532920000001</v>
      </c>
      <c r="E234" s="79">
        <v>8.6129999999999995</v>
      </c>
      <c r="F234" s="79">
        <v>8.6167999999999996</v>
      </c>
      <c r="G234" s="83">
        <f t="shared" si="2"/>
        <v>9.0742206349206374</v>
      </c>
    </row>
    <row r="235" spans="1:7" x14ac:dyDescent="0.2">
      <c r="A235" s="75">
        <v>39056</v>
      </c>
      <c r="B235" s="76" t="s">
        <v>35</v>
      </c>
      <c r="C235" s="76" t="s">
        <v>536</v>
      </c>
      <c r="D235" s="79">
        <v>1166.0366120000001</v>
      </c>
      <c r="E235" s="79">
        <v>8.6165000000000003</v>
      </c>
      <c r="F235" s="79">
        <v>8.5808</v>
      </c>
      <c r="G235" s="83">
        <f t="shared" si="2"/>
        <v>9.0607825396825401</v>
      </c>
    </row>
    <row r="236" spans="1:7" x14ac:dyDescent="0.2">
      <c r="A236" s="75">
        <v>39057</v>
      </c>
      <c r="B236" s="76" t="s">
        <v>35</v>
      </c>
      <c r="C236" s="76" t="s">
        <v>536</v>
      </c>
      <c r="D236" s="79">
        <v>1167.0893530000001</v>
      </c>
      <c r="E236" s="79">
        <v>8.5805000000000007</v>
      </c>
      <c r="F236" s="79">
        <v>8.5715000000000003</v>
      </c>
      <c r="G236" s="83">
        <f t="shared" si="2"/>
        <v>9.0479492063492089</v>
      </c>
    </row>
    <row r="237" spans="1:7" x14ac:dyDescent="0.2">
      <c r="A237" s="75">
        <v>39058</v>
      </c>
      <c r="B237" s="76" t="s">
        <v>35</v>
      </c>
      <c r="C237" s="76" t="s">
        <v>536</v>
      </c>
      <c r="D237" s="79">
        <v>1172.215287</v>
      </c>
      <c r="E237" s="79">
        <v>8.5713000000000008</v>
      </c>
      <c r="F237" s="79">
        <v>8.4867000000000008</v>
      </c>
      <c r="G237" s="83">
        <f t="shared" si="2"/>
        <v>9.035450793650794</v>
      </c>
    </row>
    <row r="238" spans="1:7" x14ac:dyDescent="0.2">
      <c r="A238" s="75">
        <v>39059</v>
      </c>
      <c r="B238" s="76" t="s">
        <v>35</v>
      </c>
      <c r="C238" s="76" t="s">
        <v>536</v>
      </c>
      <c r="D238" s="79">
        <v>1176.0858909999999</v>
      </c>
      <c r="E238" s="79">
        <v>8.4864999999999995</v>
      </c>
      <c r="F238" s="79">
        <v>8.4205000000000005</v>
      </c>
      <c r="G238" s="83">
        <f t="shared" si="2"/>
        <v>9.020725396825398</v>
      </c>
    </row>
    <row r="239" spans="1:7" x14ac:dyDescent="0.2">
      <c r="A239" s="75">
        <v>39062</v>
      </c>
      <c r="B239" s="76" t="s">
        <v>35</v>
      </c>
      <c r="C239" s="76" t="s">
        <v>536</v>
      </c>
      <c r="D239" s="79">
        <v>1182.395319</v>
      </c>
      <c r="E239" s="79">
        <v>8.4204000000000008</v>
      </c>
      <c r="F239" s="79">
        <v>8.3145000000000007</v>
      </c>
      <c r="G239" s="83">
        <f t="shared" si="2"/>
        <v>9.0038698412698412</v>
      </c>
    </row>
    <row r="240" spans="1:7" x14ac:dyDescent="0.2">
      <c r="A240" s="75">
        <v>39063</v>
      </c>
      <c r="B240" s="76" t="s">
        <v>35</v>
      </c>
      <c r="C240" s="76" t="s">
        <v>536</v>
      </c>
      <c r="D240" s="79">
        <v>1182.2789419999999</v>
      </c>
      <c r="E240" s="79">
        <v>8.3142999999999994</v>
      </c>
      <c r="F240" s="79">
        <v>8.3264999999999993</v>
      </c>
      <c r="G240" s="83">
        <f t="shared" si="2"/>
        <v>8.9855222222222224</v>
      </c>
    </row>
    <row r="241" spans="1:7" x14ac:dyDescent="0.2">
      <c r="A241" s="75">
        <v>39064</v>
      </c>
      <c r="B241" s="76" t="s">
        <v>35</v>
      </c>
      <c r="C241" s="76" t="s">
        <v>536</v>
      </c>
      <c r="D241" s="79">
        <v>1185.4285970000001</v>
      </c>
      <c r="E241" s="79">
        <v>8.3262999999999998</v>
      </c>
      <c r="F241" s="79">
        <v>8.2787000000000006</v>
      </c>
      <c r="G241" s="83">
        <f t="shared" si="2"/>
        <v>8.9669174603174575</v>
      </c>
    </row>
    <row r="242" spans="1:7" x14ac:dyDescent="0.2">
      <c r="A242" s="75">
        <v>39065</v>
      </c>
      <c r="B242" s="76" t="s">
        <v>35</v>
      </c>
      <c r="C242" s="76" t="s">
        <v>536</v>
      </c>
      <c r="D242" s="79">
        <v>1187.3793969999999</v>
      </c>
      <c r="E242" s="79">
        <v>8.2786000000000008</v>
      </c>
      <c r="F242" s="79">
        <v>8.2530000000000001</v>
      </c>
      <c r="G242" s="83">
        <f t="shared" si="2"/>
        <v>8.9478031746031732</v>
      </c>
    </row>
    <row r="243" spans="1:7" x14ac:dyDescent="0.2">
      <c r="A243" s="75">
        <v>39066</v>
      </c>
      <c r="B243" s="76" t="s">
        <v>35</v>
      </c>
      <c r="C243" s="76" t="s">
        <v>536</v>
      </c>
      <c r="D243" s="79">
        <v>1192.8471050000001</v>
      </c>
      <c r="E243" s="79">
        <v>8.2528000000000006</v>
      </c>
      <c r="F243" s="79">
        <v>8.1632999999999996</v>
      </c>
      <c r="G243" s="83">
        <f t="shared" si="2"/>
        <v>8.9287126984126957</v>
      </c>
    </row>
    <row r="244" spans="1:7" x14ac:dyDescent="0.2">
      <c r="A244" s="75">
        <v>39069</v>
      </c>
      <c r="B244" s="76" t="s">
        <v>35</v>
      </c>
      <c r="C244" s="76" t="s">
        <v>536</v>
      </c>
      <c r="D244" s="79">
        <v>1196.050025</v>
      </c>
      <c r="E244" s="79">
        <v>8.1631999999999998</v>
      </c>
      <c r="F244" s="79">
        <v>8.1168999999999993</v>
      </c>
      <c r="G244" s="83">
        <f t="shared" si="2"/>
        <v>8.9088428571428562</v>
      </c>
    </row>
    <row r="245" spans="1:7" x14ac:dyDescent="0.2">
      <c r="A245" s="75">
        <v>39070</v>
      </c>
      <c r="B245" s="76" t="s">
        <v>35</v>
      </c>
      <c r="C245" s="76" t="s">
        <v>536</v>
      </c>
      <c r="D245" s="79">
        <v>1194.0516689999999</v>
      </c>
      <c r="E245" s="79">
        <v>8.1166999999999998</v>
      </c>
      <c r="F245" s="79">
        <v>8.1646000000000001</v>
      </c>
      <c r="G245" s="83">
        <f t="shared" si="2"/>
        <v>8.8890698412698388</v>
      </c>
    </row>
    <row r="246" spans="1:7" x14ac:dyDescent="0.2">
      <c r="A246" s="75">
        <v>39071</v>
      </c>
      <c r="B246" s="76" t="s">
        <v>35</v>
      </c>
      <c r="C246" s="76" t="s">
        <v>536</v>
      </c>
      <c r="D246" s="79">
        <v>1195.99173</v>
      </c>
      <c r="E246" s="79">
        <v>8.1644000000000005</v>
      </c>
      <c r="F246" s="79">
        <v>8.141</v>
      </c>
      <c r="G246" s="83">
        <f t="shared" si="2"/>
        <v>8.8706396825396805</v>
      </c>
    </row>
    <row r="247" spans="1:7" x14ac:dyDescent="0.2">
      <c r="A247" s="75">
        <v>39072</v>
      </c>
      <c r="B247" s="76" t="s">
        <v>35</v>
      </c>
      <c r="C247" s="76" t="s">
        <v>536</v>
      </c>
      <c r="D247" s="79">
        <v>1196.5291420000001</v>
      </c>
      <c r="E247" s="79">
        <v>8.1408000000000005</v>
      </c>
      <c r="F247" s="79">
        <v>8.1427999999999994</v>
      </c>
      <c r="G247" s="83">
        <f t="shared" si="2"/>
        <v>8.85151111111111</v>
      </c>
    </row>
    <row r="248" spans="1:7" x14ac:dyDescent="0.2">
      <c r="A248" s="75">
        <v>39073</v>
      </c>
      <c r="B248" s="76" t="s">
        <v>35</v>
      </c>
      <c r="C248" s="76" t="s">
        <v>536</v>
      </c>
      <c r="D248" s="79">
        <v>1199.1760999999999</v>
      </c>
      <c r="E248" s="79">
        <v>8.1425999999999998</v>
      </c>
      <c r="F248" s="79">
        <v>8.1065000000000005</v>
      </c>
      <c r="G248" s="83">
        <f t="shared" si="2"/>
        <v>8.8317634920634909</v>
      </c>
    </row>
    <row r="249" spans="1:7" x14ac:dyDescent="0.2">
      <c r="A249" s="75">
        <v>39077</v>
      </c>
      <c r="B249" s="76" t="s">
        <v>35</v>
      </c>
      <c r="C249" s="76" t="s">
        <v>536</v>
      </c>
      <c r="D249" s="79">
        <v>1201.894661</v>
      </c>
      <c r="E249" s="79">
        <v>8.1062999999999992</v>
      </c>
      <c r="F249" s="79">
        <v>8.0690000000000008</v>
      </c>
      <c r="G249" s="83">
        <f t="shared" si="2"/>
        <v>8.8078412698412691</v>
      </c>
    </row>
    <row r="250" spans="1:7" x14ac:dyDescent="0.2">
      <c r="A250" s="75">
        <v>39078</v>
      </c>
      <c r="B250" s="76" t="s">
        <v>35</v>
      </c>
      <c r="C250" s="76" t="s">
        <v>536</v>
      </c>
      <c r="D250" s="79">
        <v>1204.6128779999999</v>
      </c>
      <c r="E250" s="79">
        <v>8.0688999999999993</v>
      </c>
      <c r="F250" s="79">
        <v>8.0317000000000007</v>
      </c>
      <c r="G250" s="83">
        <f t="shared" si="2"/>
        <v>8.7846365079365079</v>
      </c>
    </row>
    <row r="251" spans="1:7" x14ac:dyDescent="0.2">
      <c r="A251" s="75">
        <v>39079</v>
      </c>
      <c r="B251" s="76" t="s">
        <v>35</v>
      </c>
      <c r="C251" s="76" t="s">
        <v>536</v>
      </c>
      <c r="D251" s="79">
        <v>1208.3086290000001</v>
      </c>
      <c r="E251" s="79">
        <v>8.0314999999999994</v>
      </c>
      <c r="F251" s="79">
        <v>7.9768999999999997</v>
      </c>
      <c r="G251" s="83">
        <f t="shared" si="2"/>
        <v>8.7602365079365061</v>
      </c>
    </row>
    <row r="252" spans="1:7" x14ac:dyDescent="0.2">
      <c r="A252" s="75">
        <v>39080</v>
      </c>
      <c r="B252" s="76" t="s">
        <v>35</v>
      </c>
      <c r="C252" s="76" t="s">
        <v>536</v>
      </c>
      <c r="D252" s="79">
        <v>1208.9783709999999</v>
      </c>
      <c r="E252" s="79">
        <v>7.9767999999999999</v>
      </c>
      <c r="F252" s="79">
        <v>7.9763999999999999</v>
      </c>
      <c r="G252" s="83">
        <f t="shared" si="2"/>
        <v>8.7359587301587283</v>
      </c>
    </row>
    <row r="253" spans="1:7" x14ac:dyDescent="0.2">
      <c r="A253" s="75">
        <v>39084</v>
      </c>
      <c r="B253" s="76" t="s">
        <v>35</v>
      </c>
      <c r="C253" s="76" t="s">
        <v>536</v>
      </c>
      <c r="D253" s="79">
        <v>1219.2197880000001</v>
      </c>
      <c r="E253" s="79">
        <v>7.9763000000000002</v>
      </c>
      <c r="F253" s="79">
        <v>7.8056999999999999</v>
      </c>
      <c r="G253" s="83">
        <f t="shared" si="2"/>
        <v>8.7111968253968239</v>
      </c>
    </row>
    <row r="254" spans="1:7" x14ac:dyDescent="0.2">
      <c r="A254" s="75">
        <v>39085</v>
      </c>
      <c r="B254" s="76" t="s">
        <v>35</v>
      </c>
      <c r="C254" s="76" t="s">
        <v>536</v>
      </c>
      <c r="D254" s="79">
        <v>1221.647643</v>
      </c>
      <c r="E254" s="79">
        <v>7.8056000000000001</v>
      </c>
      <c r="F254" s="79">
        <v>7.7740999999999998</v>
      </c>
      <c r="G254" s="83">
        <f t="shared" si="2"/>
        <v>8.6836539682539708</v>
      </c>
    </row>
    <row r="255" spans="1:7" x14ac:dyDescent="0.2">
      <c r="A255" s="75">
        <v>39086</v>
      </c>
      <c r="B255" s="76" t="s">
        <v>35</v>
      </c>
      <c r="C255" s="76" t="s">
        <v>536</v>
      </c>
      <c r="D255" s="79">
        <v>1218.6901</v>
      </c>
      <c r="E255" s="79">
        <v>7.774</v>
      </c>
      <c r="F255" s="79">
        <v>7.8376999999999999</v>
      </c>
      <c r="G255" s="83">
        <f t="shared" si="2"/>
        <v>8.656600000000001</v>
      </c>
    </row>
    <row r="256" spans="1:7" x14ac:dyDescent="0.2">
      <c r="A256" s="75">
        <v>39087</v>
      </c>
      <c r="B256" s="76" t="s">
        <v>35</v>
      </c>
      <c r="C256" s="76" t="s">
        <v>536</v>
      </c>
      <c r="D256" s="79">
        <v>1215.9980129999999</v>
      </c>
      <c r="E256" s="79">
        <v>7.8375000000000004</v>
      </c>
      <c r="F256" s="79">
        <v>7.8967000000000001</v>
      </c>
      <c r="G256" s="83">
        <f t="shared" si="2"/>
        <v>8.6328238095238081</v>
      </c>
    </row>
    <row r="257" spans="1:7" x14ac:dyDescent="0.2">
      <c r="A257" s="75">
        <v>39090</v>
      </c>
      <c r="B257" s="76" t="s">
        <v>35</v>
      </c>
      <c r="C257" s="76" t="s">
        <v>536</v>
      </c>
      <c r="D257" s="79">
        <v>1214.732309</v>
      </c>
      <c r="E257" s="79">
        <v>7.8964999999999996</v>
      </c>
      <c r="F257" s="79">
        <v>7.9305000000000003</v>
      </c>
      <c r="G257" s="83">
        <f t="shared" si="2"/>
        <v>8.6096952380952363</v>
      </c>
    </row>
    <row r="258" spans="1:7" x14ac:dyDescent="0.2">
      <c r="A258" s="75">
        <v>39091</v>
      </c>
      <c r="B258" s="76" t="s">
        <v>35</v>
      </c>
      <c r="C258" s="76" t="s">
        <v>536</v>
      </c>
      <c r="D258" s="79">
        <v>1213.245441</v>
      </c>
      <c r="E258" s="79">
        <v>7.9302999999999999</v>
      </c>
      <c r="F258" s="79">
        <v>7.9683000000000002</v>
      </c>
      <c r="G258" s="83">
        <f t="shared" si="2"/>
        <v>8.5879539682539647</v>
      </c>
    </row>
    <row r="259" spans="1:7" x14ac:dyDescent="0.2">
      <c r="A259" s="75">
        <v>39092</v>
      </c>
      <c r="B259" s="76" t="s">
        <v>35</v>
      </c>
      <c r="C259" s="76" t="s">
        <v>536</v>
      </c>
      <c r="D259" s="79">
        <v>1214.3220530000001</v>
      </c>
      <c r="E259" s="79">
        <v>7.9680999999999997</v>
      </c>
      <c r="F259" s="79">
        <v>7.9604999999999997</v>
      </c>
      <c r="G259" s="83">
        <f t="shared" ref="G259:G322" si="3">+AVERAGE(E197:E259)</f>
        <v>8.567438095238094</v>
      </c>
    </row>
    <row r="260" spans="1:7" x14ac:dyDescent="0.2">
      <c r="A260" s="75">
        <v>39093</v>
      </c>
      <c r="B260" s="76" t="s">
        <v>35</v>
      </c>
      <c r="C260" s="76" t="s">
        <v>536</v>
      </c>
      <c r="D260" s="79">
        <v>1215.601817</v>
      </c>
      <c r="E260" s="79">
        <v>7.9603000000000002</v>
      </c>
      <c r="F260" s="79">
        <v>7.9490999999999996</v>
      </c>
      <c r="G260" s="83">
        <f t="shared" si="3"/>
        <v>8.5474968253968235</v>
      </c>
    </row>
    <row r="261" spans="1:7" x14ac:dyDescent="0.2">
      <c r="A261" s="75">
        <v>39094</v>
      </c>
      <c r="B261" s="76" t="s">
        <v>35</v>
      </c>
      <c r="C261" s="76" t="s">
        <v>536</v>
      </c>
      <c r="D261" s="79">
        <v>1214.0777700000001</v>
      </c>
      <c r="E261" s="79">
        <v>7.9489000000000001</v>
      </c>
      <c r="F261" s="79">
        <v>7.9957000000000003</v>
      </c>
      <c r="G261" s="83">
        <f t="shared" si="3"/>
        <v>8.5282111111111103</v>
      </c>
    </row>
    <row r="262" spans="1:7" x14ac:dyDescent="0.2">
      <c r="A262" s="75">
        <v>39097</v>
      </c>
      <c r="B262" s="76" t="s">
        <v>35</v>
      </c>
      <c r="C262" s="76" t="s">
        <v>536</v>
      </c>
      <c r="D262" s="79">
        <v>1213.300023</v>
      </c>
      <c r="E262" s="79">
        <v>7.9954999999999998</v>
      </c>
      <c r="F262" s="79">
        <v>8.0213999999999999</v>
      </c>
      <c r="G262" s="83">
        <f t="shared" si="3"/>
        <v>8.5104174603174592</v>
      </c>
    </row>
    <row r="263" spans="1:7" x14ac:dyDescent="0.2">
      <c r="A263" s="75">
        <v>39098</v>
      </c>
      <c r="B263" s="76" t="s">
        <v>35</v>
      </c>
      <c r="C263" s="76" t="s">
        <v>536</v>
      </c>
      <c r="D263" s="79">
        <v>1215.7460860000001</v>
      </c>
      <c r="E263" s="79">
        <v>8.0212000000000003</v>
      </c>
      <c r="F263" s="79">
        <v>7.9885000000000002</v>
      </c>
      <c r="G263" s="83">
        <f t="shared" si="3"/>
        <v>8.4927142857142854</v>
      </c>
    </row>
    <row r="264" spans="1:7" x14ac:dyDescent="0.2">
      <c r="A264" s="75">
        <v>39099</v>
      </c>
      <c r="B264" s="76" t="s">
        <v>35</v>
      </c>
      <c r="C264" s="76" t="s">
        <v>536</v>
      </c>
      <c r="D264" s="79">
        <v>1218.500648</v>
      </c>
      <c r="E264" s="79">
        <v>7.9882999999999997</v>
      </c>
      <c r="F264" s="79">
        <v>7.9501999999999997</v>
      </c>
      <c r="G264" s="83">
        <f t="shared" si="3"/>
        <v>8.4753158730158731</v>
      </c>
    </row>
    <row r="265" spans="1:7" x14ac:dyDescent="0.2">
      <c r="A265" s="75">
        <v>39100</v>
      </c>
      <c r="B265" s="76" t="s">
        <v>35</v>
      </c>
      <c r="C265" s="76" t="s">
        <v>536</v>
      </c>
      <c r="D265" s="79">
        <v>1222.4881789999999</v>
      </c>
      <c r="E265" s="79">
        <v>7.9500999999999999</v>
      </c>
      <c r="F265" s="79">
        <v>7.8902999999999999</v>
      </c>
      <c r="G265" s="83">
        <f t="shared" si="3"/>
        <v>8.4571888888888864</v>
      </c>
    </row>
    <row r="266" spans="1:7" x14ac:dyDescent="0.2">
      <c r="A266" s="75">
        <v>39101</v>
      </c>
      <c r="B266" s="76" t="s">
        <v>35</v>
      </c>
      <c r="C266" s="76" t="s">
        <v>536</v>
      </c>
      <c r="D266" s="79">
        <v>1223.8546140000001</v>
      </c>
      <c r="E266" s="79">
        <v>7.8902000000000001</v>
      </c>
      <c r="F266" s="79">
        <v>7.8768000000000002</v>
      </c>
      <c r="G266" s="83">
        <f t="shared" si="3"/>
        <v>8.4377873015873011</v>
      </c>
    </row>
    <row r="267" spans="1:7" x14ac:dyDescent="0.2">
      <c r="A267" s="75">
        <v>39104</v>
      </c>
      <c r="B267" s="76" t="s">
        <v>35</v>
      </c>
      <c r="C267" s="76" t="s">
        <v>536</v>
      </c>
      <c r="D267" s="79">
        <v>1225.426383</v>
      </c>
      <c r="E267" s="79">
        <v>7.8766999999999996</v>
      </c>
      <c r="F267" s="79">
        <v>7.8597000000000001</v>
      </c>
      <c r="G267" s="83">
        <f t="shared" si="3"/>
        <v>8.4183809523809519</v>
      </c>
    </row>
    <row r="268" spans="1:7" x14ac:dyDescent="0.2">
      <c r="A268" s="75">
        <v>39105</v>
      </c>
      <c r="B268" s="76" t="s">
        <v>35</v>
      </c>
      <c r="C268" s="76" t="s">
        <v>536</v>
      </c>
      <c r="D268" s="79">
        <v>1224.926876</v>
      </c>
      <c r="E268" s="79">
        <v>7.8596000000000004</v>
      </c>
      <c r="F268" s="79">
        <v>7.8791000000000002</v>
      </c>
      <c r="G268" s="83">
        <f t="shared" si="3"/>
        <v>8.3991079365079351</v>
      </c>
    </row>
    <row r="269" spans="1:7" x14ac:dyDescent="0.2">
      <c r="A269" s="75">
        <v>39106</v>
      </c>
      <c r="B269" s="76" t="s">
        <v>35</v>
      </c>
      <c r="C269" s="76" t="s">
        <v>536</v>
      </c>
      <c r="D269" s="79">
        <v>1227.028575</v>
      </c>
      <c r="E269" s="79">
        <v>7.8789999999999996</v>
      </c>
      <c r="F269" s="79">
        <v>7.8526999999999996</v>
      </c>
      <c r="G269" s="83">
        <f t="shared" si="3"/>
        <v>8.3807174603174595</v>
      </c>
    </row>
    <row r="270" spans="1:7" x14ac:dyDescent="0.2">
      <c r="A270" s="75">
        <v>39107</v>
      </c>
      <c r="B270" s="76" t="s">
        <v>35</v>
      </c>
      <c r="C270" s="76" t="s">
        <v>536</v>
      </c>
      <c r="D270" s="79">
        <v>1227.888987</v>
      </c>
      <c r="E270" s="79">
        <v>7.8525999999999998</v>
      </c>
      <c r="F270" s="79">
        <v>7.8503999999999996</v>
      </c>
      <c r="G270" s="83">
        <f t="shared" si="3"/>
        <v>8.3619365079365089</v>
      </c>
    </row>
    <row r="271" spans="1:7" x14ac:dyDescent="0.2">
      <c r="A271" s="75">
        <v>39108</v>
      </c>
      <c r="B271" s="76" t="s">
        <v>35</v>
      </c>
      <c r="C271" s="76" t="s">
        <v>536</v>
      </c>
      <c r="D271" s="79">
        <v>1226.8185329999999</v>
      </c>
      <c r="E271" s="79">
        <v>7.8502999999999998</v>
      </c>
      <c r="F271" s="79">
        <v>7.8800999999999997</v>
      </c>
      <c r="G271" s="83">
        <f t="shared" si="3"/>
        <v>8.3429936507936517</v>
      </c>
    </row>
    <row r="272" spans="1:7" x14ac:dyDescent="0.2">
      <c r="A272" s="75">
        <v>39111</v>
      </c>
      <c r="B272" s="76" t="s">
        <v>35</v>
      </c>
      <c r="C272" s="76" t="s">
        <v>536</v>
      </c>
      <c r="D272" s="79">
        <v>1227.9437210000001</v>
      </c>
      <c r="E272" s="79">
        <v>7.88</v>
      </c>
      <c r="F272" s="79">
        <v>7.8712</v>
      </c>
      <c r="G272" s="83">
        <f t="shared" si="3"/>
        <v>8.3248936507936513</v>
      </c>
    </row>
    <row r="273" spans="1:7" x14ac:dyDescent="0.2">
      <c r="A273" s="75">
        <v>39112</v>
      </c>
      <c r="B273" s="76" t="s">
        <v>35</v>
      </c>
      <c r="C273" s="76" t="s">
        <v>536</v>
      </c>
      <c r="D273" s="79">
        <v>1228.7906620000001</v>
      </c>
      <c r="E273" s="79">
        <v>7.8710000000000004</v>
      </c>
      <c r="F273" s="79">
        <v>7.8670999999999998</v>
      </c>
      <c r="G273" s="83">
        <f t="shared" si="3"/>
        <v>8.3073841269841271</v>
      </c>
    </row>
    <row r="274" spans="1:7" x14ac:dyDescent="0.2">
      <c r="A274" s="75">
        <v>39113</v>
      </c>
      <c r="B274" s="76" t="s">
        <v>35</v>
      </c>
      <c r="C274" s="76" t="s">
        <v>536</v>
      </c>
      <c r="D274" s="79">
        <v>1230.583899</v>
      </c>
      <c r="E274" s="79">
        <v>7.867</v>
      </c>
      <c r="F274" s="79">
        <v>7.8464999999999998</v>
      </c>
      <c r="G274" s="83">
        <f t="shared" si="3"/>
        <v>8.2911222222222225</v>
      </c>
    </row>
    <row r="275" spans="1:7" x14ac:dyDescent="0.2">
      <c r="A275" s="75">
        <v>39114</v>
      </c>
      <c r="B275" s="76" t="s">
        <v>35</v>
      </c>
      <c r="C275" s="76" t="s">
        <v>536</v>
      </c>
      <c r="D275" s="79">
        <v>1231.4772370000001</v>
      </c>
      <c r="E275" s="79">
        <v>7.8464</v>
      </c>
      <c r="F275" s="79">
        <v>7.8417000000000003</v>
      </c>
      <c r="G275" s="83">
        <f t="shared" si="3"/>
        <v>8.2747206349206337</v>
      </c>
    </row>
    <row r="276" spans="1:7" x14ac:dyDescent="0.2">
      <c r="A276" s="75">
        <v>39115</v>
      </c>
      <c r="B276" s="76" t="s">
        <v>35</v>
      </c>
      <c r="C276" s="76" t="s">
        <v>536</v>
      </c>
      <c r="D276" s="79">
        <v>1230.887622</v>
      </c>
      <c r="E276" s="79">
        <v>7.8417000000000003</v>
      </c>
      <c r="F276" s="79">
        <v>7.8630000000000004</v>
      </c>
      <c r="G276" s="83">
        <f t="shared" si="3"/>
        <v>8.258612698412696</v>
      </c>
    </row>
    <row r="277" spans="1:7" x14ac:dyDescent="0.2">
      <c r="A277" s="75">
        <v>39118</v>
      </c>
      <c r="B277" s="76" t="s">
        <v>35</v>
      </c>
      <c r="C277" s="76" t="s">
        <v>536</v>
      </c>
      <c r="D277" s="79">
        <v>1233.1921540000001</v>
      </c>
      <c r="E277" s="79">
        <v>7.8628999999999998</v>
      </c>
      <c r="F277" s="79">
        <v>7.8334999999999999</v>
      </c>
      <c r="G277" s="83">
        <f t="shared" si="3"/>
        <v>8.244195238095239</v>
      </c>
    </row>
    <row r="278" spans="1:7" x14ac:dyDescent="0.2">
      <c r="A278" s="75">
        <v>39119</v>
      </c>
      <c r="B278" s="76" t="s">
        <v>35</v>
      </c>
      <c r="C278" s="76" t="s">
        <v>536</v>
      </c>
      <c r="D278" s="79">
        <v>1234.475719</v>
      </c>
      <c r="E278" s="79">
        <v>7.8334000000000001</v>
      </c>
      <c r="F278" s="79">
        <v>7.8219000000000003</v>
      </c>
      <c r="G278" s="83">
        <f t="shared" si="3"/>
        <v>8.2299841269841298</v>
      </c>
    </row>
    <row r="279" spans="1:7" x14ac:dyDescent="0.2">
      <c r="A279" s="75">
        <v>39120</v>
      </c>
      <c r="B279" s="76" t="s">
        <v>35</v>
      </c>
      <c r="C279" s="76" t="s">
        <v>536</v>
      </c>
      <c r="D279" s="79">
        <v>1235.199106</v>
      </c>
      <c r="E279" s="79">
        <v>7.8217999999999996</v>
      </c>
      <c r="F279" s="79">
        <v>7.8201000000000001</v>
      </c>
      <c r="G279" s="83">
        <f t="shared" si="3"/>
        <v>8.2154412698412695</v>
      </c>
    </row>
    <row r="280" spans="1:7" x14ac:dyDescent="0.2">
      <c r="A280" s="75">
        <v>39121</v>
      </c>
      <c r="B280" s="76" t="s">
        <v>35</v>
      </c>
      <c r="C280" s="76" t="s">
        <v>536</v>
      </c>
      <c r="D280" s="79">
        <v>1235.7052349999999</v>
      </c>
      <c r="E280" s="79">
        <v>7.82</v>
      </c>
      <c r="F280" s="79">
        <v>7.8220999999999998</v>
      </c>
      <c r="G280" s="83">
        <f t="shared" si="3"/>
        <v>8.2008698412698422</v>
      </c>
    </row>
    <row r="281" spans="1:7" x14ac:dyDescent="0.2">
      <c r="A281" s="75">
        <v>39122</v>
      </c>
      <c r="B281" s="76" t="s">
        <v>35</v>
      </c>
      <c r="C281" s="76" t="s">
        <v>536</v>
      </c>
      <c r="D281" s="79">
        <v>1237.3824689999999</v>
      </c>
      <c r="E281" s="79">
        <v>7.8220000000000001</v>
      </c>
      <c r="F281" s="79">
        <v>7.7965999999999998</v>
      </c>
      <c r="G281" s="83">
        <f t="shared" si="3"/>
        <v>8.1860634920634912</v>
      </c>
    </row>
    <row r="282" spans="1:7" x14ac:dyDescent="0.2">
      <c r="A282" s="75">
        <v>39125</v>
      </c>
      <c r="B282" s="76" t="s">
        <v>35</v>
      </c>
      <c r="C282" s="76" t="s">
        <v>536</v>
      </c>
      <c r="D282" s="79">
        <v>1240.4001740000001</v>
      </c>
      <c r="E282" s="79">
        <v>7.7965</v>
      </c>
      <c r="F282" s="79">
        <v>7.7545000000000002</v>
      </c>
      <c r="G282" s="83">
        <f t="shared" si="3"/>
        <v>8.1709238095238117</v>
      </c>
    </row>
    <row r="283" spans="1:7" x14ac:dyDescent="0.2">
      <c r="A283" s="75">
        <v>39126</v>
      </c>
      <c r="B283" s="76" t="s">
        <v>35</v>
      </c>
      <c r="C283" s="76" t="s">
        <v>536</v>
      </c>
      <c r="D283" s="79">
        <v>1243.3089150000001</v>
      </c>
      <c r="E283" s="79">
        <v>7.7544000000000004</v>
      </c>
      <c r="F283" s="79">
        <v>7.7144000000000004</v>
      </c>
      <c r="G283" s="83">
        <f t="shared" si="3"/>
        <v>8.1552095238095248</v>
      </c>
    </row>
    <row r="284" spans="1:7" x14ac:dyDescent="0.2">
      <c r="A284" s="75">
        <v>39127</v>
      </c>
      <c r="B284" s="76" t="s">
        <v>35</v>
      </c>
      <c r="C284" s="76" t="s">
        <v>536</v>
      </c>
      <c r="D284" s="79">
        <v>1249.5827200000001</v>
      </c>
      <c r="E284" s="79">
        <v>7.7142999999999997</v>
      </c>
      <c r="F284" s="79">
        <v>7.6162999999999998</v>
      </c>
      <c r="G284" s="83">
        <f t="shared" si="3"/>
        <v>8.1391126984126991</v>
      </c>
    </row>
    <row r="285" spans="1:7" x14ac:dyDescent="0.2">
      <c r="A285" s="75">
        <v>39128</v>
      </c>
      <c r="B285" s="76" t="s">
        <v>35</v>
      </c>
      <c r="C285" s="76" t="s">
        <v>536</v>
      </c>
      <c r="D285" s="79">
        <v>1252.684121</v>
      </c>
      <c r="E285" s="79">
        <v>7.6162000000000001</v>
      </c>
      <c r="F285" s="79">
        <v>7.5731999999999999</v>
      </c>
      <c r="G285" s="83">
        <f t="shared" si="3"/>
        <v>8.1227793650793654</v>
      </c>
    </row>
    <row r="286" spans="1:7" x14ac:dyDescent="0.2">
      <c r="A286" s="75">
        <v>39129</v>
      </c>
      <c r="B286" s="76" t="s">
        <v>35</v>
      </c>
      <c r="C286" s="76" t="s">
        <v>536</v>
      </c>
      <c r="D286" s="79">
        <v>1253.5598030000001</v>
      </c>
      <c r="E286" s="79">
        <v>7.5730000000000004</v>
      </c>
      <c r="F286" s="79">
        <v>7.5697999999999999</v>
      </c>
      <c r="G286" s="83">
        <f t="shared" si="3"/>
        <v>8.1065063492063487</v>
      </c>
    </row>
    <row r="287" spans="1:7" x14ac:dyDescent="0.2">
      <c r="A287" s="75">
        <v>39134</v>
      </c>
      <c r="B287" s="76" t="s">
        <v>35</v>
      </c>
      <c r="C287" s="76" t="s">
        <v>536</v>
      </c>
      <c r="D287" s="79">
        <v>1256.3545730000001</v>
      </c>
      <c r="E287" s="79">
        <v>7.5694999999999997</v>
      </c>
      <c r="F287" s="79">
        <v>7.5334000000000003</v>
      </c>
      <c r="G287" s="83">
        <f t="shared" si="3"/>
        <v>8.0897015873015867</v>
      </c>
    </row>
    <row r="288" spans="1:7" x14ac:dyDescent="0.2">
      <c r="A288" s="75">
        <v>39135</v>
      </c>
      <c r="B288" s="76" t="s">
        <v>35</v>
      </c>
      <c r="C288" s="76" t="s">
        <v>536</v>
      </c>
      <c r="D288" s="79">
        <v>1258.136835</v>
      </c>
      <c r="E288" s="79">
        <v>7.5331000000000001</v>
      </c>
      <c r="F288" s="79">
        <v>7.5144000000000002</v>
      </c>
      <c r="G288" s="83">
        <f t="shared" si="3"/>
        <v>8.0723222222222226</v>
      </c>
    </row>
    <row r="289" spans="1:7" x14ac:dyDescent="0.2">
      <c r="A289" s="75">
        <v>39136</v>
      </c>
      <c r="B289" s="76" t="s">
        <v>35</v>
      </c>
      <c r="C289" s="76" t="s">
        <v>536</v>
      </c>
      <c r="D289" s="79">
        <v>1256.734432</v>
      </c>
      <c r="E289" s="79">
        <v>7.5141999999999998</v>
      </c>
      <c r="F289" s="79">
        <v>7.55</v>
      </c>
      <c r="G289" s="83">
        <f t="shared" si="3"/>
        <v>8.0551444444444442</v>
      </c>
    </row>
    <row r="290" spans="1:7" x14ac:dyDescent="0.2">
      <c r="A290" s="75">
        <v>39139</v>
      </c>
      <c r="B290" s="76" t="s">
        <v>35</v>
      </c>
      <c r="C290" s="76" t="s">
        <v>536</v>
      </c>
      <c r="D290" s="79">
        <v>1259.1085760000001</v>
      </c>
      <c r="E290" s="79">
        <v>7.5498000000000003</v>
      </c>
      <c r="F290" s="79">
        <v>7.5209999999999999</v>
      </c>
      <c r="G290" s="83">
        <f t="shared" si="3"/>
        <v>8.0386015873015868</v>
      </c>
    </row>
    <row r="291" spans="1:7" x14ac:dyDescent="0.2">
      <c r="A291" s="75">
        <v>39140</v>
      </c>
      <c r="B291" s="76" t="s">
        <v>35</v>
      </c>
      <c r="C291" s="76" t="s">
        <v>536</v>
      </c>
      <c r="D291" s="79">
        <v>1249.796118</v>
      </c>
      <c r="E291" s="79">
        <v>7.5206999999999997</v>
      </c>
      <c r="F291" s="79">
        <v>7.6924000000000001</v>
      </c>
      <c r="G291" s="83">
        <f t="shared" si="3"/>
        <v>8.0214253968253946</v>
      </c>
    </row>
    <row r="292" spans="1:7" x14ac:dyDescent="0.2">
      <c r="A292" s="75">
        <v>39141</v>
      </c>
      <c r="B292" s="76" t="s">
        <v>35</v>
      </c>
      <c r="C292" s="76" t="s">
        <v>536</v>
      </c>
      <c r="D292" s="79">
        <v>1249.427846</v>
      </c>
      <c r="E292" s="79">
        <v>7.6921999999999997</v>
      </c>
      <c r="F292" s="79">
        <v>7.7054999999999998</v>
      </c>
      <c r="G292" s="83">
        <f t="shared" si="3"/>
        <v>8.006777777777776</v>
      </c>
    </row>
    <row r="293" spans="1:7" x14ac:dyDescent="0.2">
      <c r="A293" s="75">
        <v>39142</v>
      </c>
      <c r="B293" s="76" t="s">
        <v>35</v>
      </c>
      <c r="C293" s="76" t="s">
        <v>536</v>
      </c>
      <c r="D293" s="79">
        <v>1245.6073449999999</v>
      </c>
      <c r="E293" s="79">
        <v>7.7054</v>
      </c>
      <c r="F293" s="79">
        <v>7.7827000000000002</v>
      </c>
      <c r="G293" s="83">
        <f t="shared" si="3"/>
        <v>7.9920412698412688</v>
      </c>
    </row>
    <row r="294" spans="1:7" x14ac:dyDescent="0.2">
      <c r="A294" s="75">
        <v>39143</v>
      </c>
      <c r="B294" s="76" t="s">
        <v>35</v>
      </c>
      <c r="C294" s="76" t="s">
        <v>536</v>
      </c>
      <c r="D294" s="79">
        <v>1243.7858180000001</v>
      </c>
      <c r="E294" s="79">
        <v>7.7824999999999998</v>
      </c>
      <c r="F294" s="79">
        <v>7.8254000000000001</v>
      </c>
      <c r="G294" s="83">
        <f t="shared" si="3"/>
        <v>7.9783476190476179</v>
      </c>
    </row>
    <row r="295" spans="1:7" x14ac:dyDescent="0.2">
      <c r="A295" s="75">
        <v>39146</v>
      </c>
      <c r="B295" s="76" t="s">
        <v>35</v>
      </c>
      <c r="C295" s="76" t="s">
        <v>536</v>
      </c>
      <c r="D295" s="79">
        <v>1241.872106</v>
      </c>
      <c r="E295" s="79">
        <v>7.8253000000000004</v>
      </c>
      <c r="F295" s="79">
        <v>7.8699000000000003</v>
      </c>
      <c r="G295" s="83">
        <f t="shared" si="3"/>
        <v>7.9657888888888886</v>
      </c>
    </row>
    <row r="296" spans="1:7" x14ac:dyDescent="0.2">
      <c r="A296" s="75">
        <v>39147</v>
      </c>
      <c r="B296" s="76" t="s">
        <v>35</v>
      </c>
      <c r="C296" s="76" t="s">
        <v>536</v>
      </c>
      <c r="D296" s="79">
        <v>1250.482698</v>
      </c>
      <c r="E296" s="79">
        <v>7.8696999999999999</v>
      </c>
      <c r="F296" s="79">
        <v>7.7320000000000002</v>
      </c>
      <c r="G296" s="83">
        <f t="shared" si="3"/>
        <v>7.9542126984126993</v>
      </c>
    </row>
    <row r="297" spans="1:7" x14ac:dyDescent="0.2">
      <c r="A297" s="75">
        <v>39148</v>
      </c>
      <c r="B297" s="76" t="s">
        <v>35</v>
      </c>
      <c r="C297" s="76" t="s">
        <v>536</v>
      </c>
      <c r="D297" s="79">
        <v>1252.58241</v>
      </c>
      <c r="E297" s="79">
        <v>7.7319000000000004</v>
      </c>
      <c r="F297" s="79">
        <v>7.7069999999999999</v>
      </c>
      <c r="G297" s="83">
        <f t="shared" si="3"/>
        <v>7.9402269841269844</v>
      </c>
    </row>
    <row r="298" spans="1:7" x14ac:dyDescent="0.2">
      <c r="A298" s="75">
        <v>39149</v>
      </c>
      <c r="B298" s="76" t="s">
        <v>35</v>
      </c>
      <c r="C298" s="76" t="s">
        <v>536</v>
      </c>
      <c r="D298" s="79">
        <v>1252.7713879999999</v>
      </c>
      <c r="E298" s="79">
        <v>7.7069000000000001</v>
      </c>
      <c r="F298" s="79">
        <v>7.7149000000000001</v>
      </c>
      <c r="G298" s="83">
        <f t="shared" si="3"/>
        <v>7.9257888888888903</v>
      </c>
    </row>
    <row r="299" spans="1:7" x14ac:dyDescent="0.2">
      <c r="A299" s="75">
        <v>39150</v>
      </c>
      <c r="B299" s="76" t="s">
        <v>35</v>
      </c>
      <c r="C299" s="76" t="s">
        <v>536</v>
      </c>
      <c r="D299" s="79">
        <v>1254.3929559999999</v>
      </c>
      <c r="E299" s="79">
        <v>7.7146999999999997</v>
      </c>
      <c r="F299" s="79">
        <v>7.7031000000000001</v>
      </c>
      <c r="G299" s="83">
        <f t="shared" si="3"/>
        <v>7.9120460317460326</v>
      </c>
    </row>
    <row r="300" spans="1:7" x14ac:dyDescent="0.2">
      <c r="A300" s="75">
        <v>39153</v>
      </c>
      <c r="B300" s="76" t="s">
        <v>35</v>
      </c>
      <c r="C300" s="76" t="s">
        <v>536</v>
      </c>
      <c r="D300" s="79">
        <v>1256.624163</v>
      </c>
      <c r="E300" s="79">
        <v>7.7028999999999996</v>
      </c>
      <c r="F300" s="79">
        <v>7.6761999999999997</v>
      </c>
      <c r="G300" s="83">
        <f t="shared" si="3"/>
        <v>7.8982619047619043</v>
      </c>
    </row>
    <row r="301" spans="1:7" x14ac:dyDescent="0.2">
      <c r="A301" s="75">
        <v>39154</v>
      </c>
      <c r="B301" s="76" t="s">
        <v>35</v>
      </c>
      <c r="C301" s="76" t="s">
        <v>536</v>
      </c>
      <c r="D301" s="79">
        <v>1254.648739</v>
      </c>
      <c r="E301" s="79">
        <v>7.6760000000000002</v>
      </c>
      <c r="F301" s="79">
        <v>7.7214999999999998</v>
      </c>
      <c r="G301" s="83">
        <f t="shared" si="3"/>
        <v>7.8853968253968247</v>
      </c>
    </row>
    <row r="302" spans="1:7" x14ac:dyDescent="0.2">
      <c r="A302" s="75">
        <v>39155</v>
      </c>
      <c r="B302" s="76" t="s">
        <v>35</v>
      </c>
      <c r="C302" s="76" t="s">
        <v>536</v>
      </c>
      <c r="D302" s="79">
        <v>1256.9801150000001</v>
      </c>
      <c r="E302" s="79">
        <v>7.7213000000000003</v>
      </c>
      <c r="F302" s="79">
        <v>7.6928999999999998</v>
      </c>
      <c r="G302" s="83">
        <f t="shared" si="3"/>
        <v>7.874299999999999</v>
      </c>
    </row>
    <row r="303" spans="1:7" x14ac:dyDescent="0.2">
      <c r="A303" s="75">
        <v>39156</v>
      </c>
      <c r="B303" s="76" t="s">
        <v>35</v>
      </c>
      <c r="C303" s="76" t="s">
        <v>536</v>
      </c>
      <c r="D303" s="79">
        <v>1257.329958</v>
      </c>
      <c r="E303" s="79">
        <v>7.6927000000000003</v>
      </c>
      <c r="F303" s="79">
        <v>7.6982999999999997</v>
      </c>
      <c r="G303" s="83">
        <f t="shared" si="3"/>
        <v>7.8644333333333325</v>
      </c>
    </row>
    <row r="304" spans="1:7" x14ac:dyDescent="0.2">
      <c r="A304" s="75">
        <v>39157</v>
      </c>
      <c r="B304" s="76" t="s">
        <v>35</v>
      </c>
      <c r="C304" s="76" t="s">
        <v>536</v>
      </c>
      <c r="D304" s="79">
        <v>1258.504003</v>
      </c>
      <c r="E304" s="79">
        <v>7.6981000000000002</v>
      </c>
      <c r="F304" s="79">
        <v>7.6874000000000002</v>
      </c>
      <c r="G304" s="83">
        <f t="shared" si="3"/>
        <v>7.8544619047619033</v>
      </c>
    </row>
    <row r="305" spans="1:7" x14ac:dyDescent="0.2">
      <c r="A305" s="75">
        <v>39160</v>
      </c>
      <c r="B305" s="76" t="s">
        <v>35</v>
      </c>
      <c r="C305" s="76" t="s">
        <v>536</v>
      </c>
      <c r="D305" s="79">
        <v>1260.5031320000001</v>
      </c>
      <c r="E305" s="79">
        <v>7.6871999999999998</v>
      </c>
      <c r="F305" s="79">
        <v>7.6623999999999999</v>
      </c>
      <c r="G305" s="83">
        <f t="shared" si="3"/>
        <v>7.845074603174603</v>
      </c>
    </row>
    <row r="306" spans="1:7" x14ac:dyDescent="0.2">
      <c r="A306" s="75">
        <v>39161</v>
      </c>
      <c r="B306" s="76" t="s">
        <v>35</v>
      </c>
      <c r="C306" s="76" t="s">
        <v>536</v>
      </c>
      <c r="D306" s="79">
        <v>1261.4562040000001</v>
      </c>
      <c r="E306" s="79">
        <v>7.6623000000000001</v>
      </c>
      <c r="F306" s="79">
        <v>7.6554000000000002</v>
      </c>
      <c r="G306" s="83">
        <f t="shared" si="3"/>
        <v>7.8357015873015863</v>
      </c>
    </row>
    <row r="307" spans="1:7" x14ac:dyDescent="0.2">
      <c r="A307" s="75">
        <v>39162</v>
      </c>
      <c r="B307" s="76" t="s">
        <v>35</v>
      </c>
      <c r="C307" s="76" t="s">
        <v>536</v>
      </c>
      <c r="D307" s="79">
        <v>1267.9433140000001</v>
      </c>
      <c r="E307" s="79">
        <v>7.6551999999999998</v>
      </c>
      <c r="F307" s="79">
        <v>7.5541</v>
      </c>
      <c r="G307" s="83">
        <f t="shared" si="3"/>
        <v>7.8276380952380951</v>
      </c>
    </row>
    <row r="308" spans="1:7" x14ac:dyDescent="0.2">
      <c r="A308" s="75">
        <v>39163</v>
      </c>
      <c r="B308" s="76" t="s">
        <v>35</v>
      </c>
      <c r="C308" s="76" t="s">
        <v>536</v>
      </c>
      <c r="D308" s="79">
        <v>1269.7288120000001</v>
      </c>
      <c r="E308" s="79">
        <v>7.5538999999999996</v>
      </c>
      <c r="F308" s="79">
        <v>7.5328999999999997</v>
      </c>
      <c r="G308" s="83">
        <f t="shared" si="3"/>
        <v>7.8187047619047609</v>
      </c>
    </row>
    <row r="309" spans="1:7" x14ac:dyDescent="0.2">
      <c r="A309" s="75">
        <v>39164</v>
      </c>
      <c r="B309" s="76" t="s">
        <v>35</v>
      </c>
      <c r="C309" s="76" t="s">
        <v>536</v>
      </c>
      <c r="D309" s="79">
        <v>1270.346794</v>
      </c>
      <c r="E309" s="79">
        <v>7.5326000000000004</v>
      </c>
      <c r="F309" s="79">
        <v>7.5313999999999997</v>
      </c>
      <c r="G309" s="83">
        <f t="shared" si="3"/>
        <v>7.8086761904761905</v>
      </c>
    </row>
    <row r="310" spans="1:7" x14ac:dyDescent="0.2">
      <c r="A310" s="75">
        <v>39167</v>
      </c>
      <c r="B310" s="76" t="s">
        <v>35</v>
      </c>
      <c r="C310" s="76" t="s">
        <v>536</v>
      </c>
      <c r="D310" s="79">
        <v>1271.6336550000001</v>
      </c>
      <c r="E310" s="79">
        <v>7.5311000000000003</v>
      </c>
      <c r="F310" s="79">
        <v>7.5243000000000002</v>
      </c>
      <c r="G310" s="83">
        <f t="shared" si="3"/>
        <v>7.7989984126984124</v>
      </c>
    </row>
    <row r="311" spans="1:7" x14ac:dyDescent="0.2">
      <c r="A311" s="75">
        <v>39168</v>
      </c>
      <c r="B311" s="76" t="s">
        <v>35</v>
      </c>
      <c r="C311" s="76" t="s">
        <v>536</v>
      </c>
      <c r="D311" s="79">
        <v>1272.554709</v>
      </c>
      <c r="E311" s="79">
        <v>7.5240999999999998</v>
      </c>
      <c r="F311" s="79">
        <v>7.5186000000000002</v>
      </c>
      <c r="G311" s="83">
        <f t="shared" si="3"/>
        <v>7.789180952380951</v>
      </c>
    </row>
    <row r="312" spans="1:7" x14ac:dyDescent="0.2">
      <c r="A312" s="75">
        <v>39169</v>
      </c>
      <c r="B312" s="76" t="s">
        <v>35</v>
      </c>
      <c r="C312" s="76" t="s">
        <v>536</v>
      </c>
      <c r="D312" s="79">
        <v>1272.843171</v>
      </c>
      <c r="E312" s="79">
        <v>7.5183999999999997</v>
      </c>
      <c r="F312" s="79">
        <v>7.5236000000000001</v>
      </c>
      <c r="G312" s="83">
        <f t="shared" si="3"/>
        <v>7.7798492063492048</v>
      </c>
    </row>
    <row r="313" spans="1:7" x14ac:dyDescent="0.2">
      <c r="A313" s="75">
        <v>39170</v>
      </c>
      <c r="B313" s="76" t="s">
        <v>35</v>
      </c>
      <c r="C313" s="76" t="s">
        <v>536</v>
      </c>
      <c r="D313" s="79">
        <v>1274.6769569999999</v>
      </c>
      <c r="E313" s="79">
        <v>7.5233999999999996</v>
      </c>
      <c r="F313" s="79">
        <v>7.5025000000000004</v>
      </c>
      <c r="G313" s="83">
        <f t="shared" si="3"/>
        <v>7.7711904761904753</v>
      </c>
    </row>
    <row r="314" spans="1:7" x14ac:dyDescent="0.2">
      <c r="A314" s="75">
        <v>39171</v>
      </c>
      <c r="B314" s="76" t="s">
        <v>35</v>
      </c>
      <c r="C314" s="76" t="s">
        <v>536</v>
      </c>
      <c r="D314" s="79">
        <v>1277.147714</v>
      </c>
      <c r="E314" s="79">
        <v>7.5022000000000002</v>
      </c>
      <c r="F314" s="79">
        <v>7.4706000000000001</v>
      </c>
      <c r="G314" s="83">
        <f t="shared" si="3"/>
        <v>7.7627888888888883</v>
      </c>
    </row>
    <row r="315" spans="1:7" x14ac:dyDescent="0.2">
      <c r="A315" s="75">
        <v>39174</v>
      </c>
      <c r="B315" s="76" t="s">
        <v>35</v>
      </c>
      <c r="C315" s="76" t="s">
        <v>536</v>
      </c>
      <c r="D315" s="79">
        <v>1278.8312020000001</v>
      </c>
      <c r="E315" s="79">
        <v>7.4702999999999999</v>
      </c>
      <c r="F315" s="79">
        <v>7.452</v>
      </c>
      <c r="G315" s="83">
        <f t="shared" si="3"/>
        <v>7.7547492063492065</v>
      </c>
    </row>
    <row r="316" spans="1:7" x14ac:dyDescent="0.2">
      <c r="A316" s="75">
        <v>39175</v>
      </c>
      <c r="B316" s="76" t="s">
        <v>35</v>
      </c>
      <c r="C316" s="76" t="s">
        <v>536</v>
      </c>
      <c r="D316" s="79">
        <v>1283.139572</v>
      </c>
      <c r="E316" s="79">
        <v>7.4516999999999998</v>
      </c>
      <c r="F316" s="79">
        <v>7.3894000000000002</v>
      </c>
      <c r="G316" s="83">
        <f t="shared" si="3"/>
        <v>7.7464222222222237</v>
      </c>
    </row>
    <row r="317" spans="1:7" x14ac:dyDescent="0.2">
      <c r="A317" s="75">
        <v>39176</v>
      </c>
      <c r="B317" s="76" t="s">
        <v>35</v>
      </c>
      <c r="C317" s="76" t="s">
        <v>536</v>
      </c>
      <c r="D317" s="79">
        <v>1286.203841</v>
      </c>
      <c r="E317" s="79">
        <v>7.3890000000000002</v>
      </c>
      <c r="F317" s="79">
        <v>7.3476999999999997</v>
      </c>
      <c r="G317" s="83">
        <f t="shared" si="3"/>
        <v>7.7398095238095248</v>
      </c>
    </row>
    <row r="318" spans="1:7" x14ac:dyDescent="0.2">
      <c r="A318" s="75">
        <v>39177</v>
      </c>
      <c r="B318" s="76" t="s">
        <v>35</v>
      </c>
      <c r="C318" s="76" t="s">
        <v>536</v>
      </c>
      <c r="D318" s="79">
        <v>1289.4544989999999</v>
      </c>
      <c r="E318" s="79">
        <v>7.3472999999999997</v>
      </c>
      <c r="F318" s="79">
        <v>7.3029999999999999</v>
      </c>
      <c r="G318" s="83">
        <f t="shared" si="3"/>
        <v>7.73303650793651</v>
      </c>
    </row>
    <row r="319" spans="1:7" x14ac:dyDescent="0.2">
      <c r="A319" s="75">
        <v>39181</v>
      </c>
      <c r="B319" s="76" t="s">
        <v>35</v>
      </c>
      <c r="C319" s="76" t="s">
        <v>536</v>
      </c>
      <c r="D319" s="79">
        <v>1292.874937</v>
      </c>
      <c r="E319" s="79">
        <v>7.3026</v>
      </c>
      <c r="F319" s="79">
        <v>7.2556000000000003</v>
      </c>
      <c r="G319" s="83">
        <f t="shared" si="3"/>
        <v>7.7245460317460326</v>
      </c>
    </row>
    <row r="320" spans="1:7" x14ac:dyDescent="0.2">
      <c r="A320" s="75">
        <v>39182</v>
      </c>
      <c r="B320" s="76" t="s">
        <v>35</v>
      </c>
      <c r="C320" s="76" t="s">
        <v>536</v>
      </c>
      <c r="D320" s="79">
        <v>1296.2309419999999</v>
      </c>
      <c r="E320" s="79">
        <v>7.2553000000000001</v>
      </c>
      <c r="F320" s="79">
        <v>7.2095000000000002</v>
      </c>
      <c r="G320" s="83">
        <f t="shared" si="3"/>
        <v>7.7143682539682539</v>
      </c>
    </row>
    <row r="321" spans="1:7" x14ac:dyDescent="0.2">
      <c r="A321" s="75">
        <v>39183</v>
      </c>
      <c r="B321" s="76" t="s">
        <v>35</v>
      </c>
      <c r="C321" s="76" t="s">
        <v>536</v>
      </c>
      <c r="D321" s="79">
        <v>1295.5223100000001</v>
      </c>
      <c r="E321" s="79">
        <v>7.2092000000000001</v>
      </c>
      <c r="F321" s="79">
        <v>7.2289000000000003</v>
      </c>
      <c r="G321" s="83">
        <f t="shared" si="3"/>
        <v>7.7029222222222238</v>
      </c>
    </row>
    <row r="322" spans="1:7" x14ac:dyDescent="0.2">
      <c r="A322" s="75">
        <v>39184</v>
      </c>
      <c r="B322" s="76" t="s">
        <v>35</v>
      </c>
      <c r="C322" s="76" t="s">
        <v>536</v>
      </c>
      <c r="D322" s="79">
        <v>1295.84338</v>
      </c>
      <c r="E322" s="79">
        <v>7.2286000000000001</v>
      </c>
      <c r="F322" s="79">
        <v>7.2329999999999997</v>
      </c>
      <c r="G322" s="83">
        <f t="shared" si="3"/>
        <v>7.6911841269841279</v>
      </c>
    </row>
    <row r="323" spans="1:7" x14ac:dyDescent="0.2">
      <c r="A323" s="75">
        <v>39185</v>
      </c>
      <c r="B323" s="76" t="s">
        <v>35</v>
      </c>
      <c r="C323" s="76" t="s">
        <v>536</v>
      </c>
      <c r="D323" s="79">
        <v>1299.733426</v>
      </c>
      <c r="E323" s="79">
        <v>7.2325999999999997</v>
      </c>
      <c r="F323" s="79">
        <v>7.1779999999999999</v>
      </c>
      <c r="G323" s="83">
        <f t="shared" ref="G323:G386" si="4">+AVERAGE(E261:E323)</f>
        <v>7.6796333333333351</v>
      </c>
    </row>
    <row r="324" spans="1:7" x14ac:dyDescent="0.2">
      <c r="A324" s="75">
        <v>39188</v>
      </c>
      <c r="B324" s="76" t="s">
        <v>35</v>
      </c>
      <c r="C324" s="76" t="s">
        <v>536</v>
      </c>
      <c r="D324" s="79">
        <v>1302.9048519999999</v>
      </c>
      <c r="E324" s="79">
        <v>7.1776</v>
      </c>
      <c r="F324" s="79">
        <v>7.1349999999999998</v>
      </c>
      <c r="G324" s="83">
        <f t="shared" si="4"/>
        <v>7.6673904761904756</v>
      </c>
    </row>
    <row r="325" spans="1:7" x14ac:dyDescent="0.2">
      <c r="A325" s="75">
        <v>39189</v>
      </c>
      <c r="B325" s="76" t="s">
        <v>35</v>
      </c>
      <c r="C325" s="76" t="s">
        <v>536</v>
      </c>
      <c r="D325" s="79">
        <v>1306.054603</v>
      </c>
      <c r="E325" s="79">
        <v>7.1345999999999998</v>
      </c>
      <c r="F325" s="79">
        <v>7.0918000000000001</v>
      </c>
      <c r="G325" s="83">
        <f t="shared" si="4"/>
        <v>7.6537253968253962</v>
      </c>
    </row>
    <row r="326" spans="1:7" x14ac:dyDescent="0.2">
      <c r="A326" s="75">
        <v>39190</v>
      </c>
      <c r="B326" s="76" t="s">
        <v>35</v>
      </c>
      <c r="C326" s="76" t="s">
        <v>536</v>
      </c>
      <c r="D326" s="79">
        <v>1308.7100069999999</v>
      </c>
      <c r="E326" s="79">
        <v>7.0914000000000001</v>
      </c>
      <c r="F326" s="79">
        <v>7.0568</v>
      </c>
      <c r="G326" s="83">
        <f t="shared" si="4"/>
        <v>7.6389666666666658</v>
      </c>
    </row>
    <row r="327" spans="1:7" x14ac:dyDescent="0.2">
      <c r="A327" s="75">
        <v>39191</v>
      </c>
      <c r="B327" s="76" t="s">
        <v>35</v>
      </c>
      <c r="C327" s="76" t="s">
        <v>536</v>
      </c>
      <c r="D327" s="79">
        <v>1329.0503650000001</v>
      </c>
      <c r="E327" s="79">
        <v>7.0564</v>
      </c>
      <c r="F327" s="79">
        <v>6.7352999999999996</v>
      </c>
      <c r="G327" s="83">
        <f t="shared" si="4"/>
        <v>7.6241746031746027</v>
      </c>
    </row>
    <row r="328" spans="1:7" x14ac:dyDescent="0.2">
      <c r="A328" s="75">
        <v>39192</v>
      </c>
      <c r="B328" s="76" t="s">
        <v>35</v>
      </c>
      <c r="C328" s="76" t="s">
        <v>536</v>
      </c>
      <c r="D328" s="79">
        <v>1335.133198</v>
      </c>
      <c r="E328" s="79">
        <v>6.7350000000000003</v>
      </c>
      <c r="F328" s="79">
        <v>6.6460999999999997</v>
      </c>
      <c r="G328" s="83">
        <f t="shared" si="4"/>
        <v>7.6048873015873015</v>
      </c>
    </row>
    <row r="329" spans="1:7" x14ac:dyDescent="0.2">
      <c r="A329" s="75">
        <v>39195</v>
      </c>
      <c r="B329" s="76" t="s">
        <v>35</v>
      </c>
      <c r="C329" s="76" t="s">
        <v>536</v>
      </c>
      <c r="D329" s="79">
        <v>1335.692546</v>
      </c>
      <c r="E329" s="79">
        <v>6.6458000000000004</v>
      </c>
      <c r="F329" s="79">
        <v>6.6454000000000004</v>
      </c>
      <c r="G329" s="83">
        <f t="shared" si="4"/>
        <v>7.5851349206349195</v>
      </c>
    </row>
    <row r="330" spans="1:7" x14ac:dyDescent="0.2">
      <c r="A330" s="75">
        <v>39196</v>
      </c>
      <c r="B330" s="76" t="s">
        <v>35</v>
      </c>
      <c r="C330" s="76" t="s">
        <v>536</v>
      </c>
      <c r="D330" s="79">
        <v>1333.095276</v>
      </c>
      <c r="E330" s="79">
        <v>6.6451000000000002</v>
      </c>
      <c r="F330" s="79">
        <v>6.6951999999999998</v>
      </c>
      <c r="G330" s="83">
        <f t="shared" si="4"/>
        <v>7.5655857142857128</v>
      </c>
    </row>
    <row r="331" spans="1:7" x14ac:dyDescent="0.2">
      <c r="A331" s="75">
        <v>39197</v>
      </c>
      <c r="B331" s="76" t="s">
        <v>35</v>
      </c>
      <c r="C331" s="76" t="s">
        <v>536</v>
      </c>
      <c r="D331" s="79">
        <v>1337.1588609999999</v>
      </c>
      <c r="E331" s="79">
        <v>6.6948999999999996</v>
      </c>
      <c r="F331" s="79">
        <v>6.6384999999999996</v>
      </c>
      <c r="G331" s="83">
        <f t="shared" si="4"/>
        <v>7.5470984126984115</v>
      </c>
    </row>
    <row r="332" spans="1:7" x14ac:dyDescent="0.2">
      <c r="A332" s="75">
        <v>39198</v>
      </c>
      <c r="B332" s="76" t="s">
        <v>35</v>
      </c>
      <c r="C332" s="76" t="s">
        <v>536</v>
      </c>
      <c r="D332" s="79">
        <v>1336.5905069999999</v>
      </c>
      <c r="E332" s="79">
        <v>6.6382000000000003</v>
      </c>
      <c r="F332" s="79">
        <v>6.6506999999999996</v>
      </c>
      <c r="G332" s="83">
        <f t="shared" si="4"/>
        <v>7.5274031746031733</v>
      </c>
    </row>
    <row r="333" spans="1:7" x14ac:dyDescent="0.2">
      <c r="A333" s="75">
        <v>39199</v>
      </c>
      <c r="B333" s="76" t="s">
        <v>35</v>
      </c>
      <c r="C333" s="76" t="s">
        <v>536</v>
      </c>
      <c r="D333" s="79">
        <v>1335.858639</v>
      </c>
      <c r="E333" s="79">
        <v>6.6502999999999997</v>
      </c>
      <c r="F333" s="79">
        <v>6.6699000000000002</v>
      </c>
      <c r="G333" s="83">
        <f t="shared" si="4"/>
        <v>7.5083190476190476</v>
      </c>
    </row>
    <row r="334" spans="1:7" x14ac:dyDescent="0.2">
      <c r="A334" s="75">
        <v>39202</v>
      </c>
      <c r="B334" s="76" t="s">
        <v>35</v>
      </c>
      <c r="C334" s="76" t="s">
        <v>536</v>
      </c>
      <c r="D334" s="79">
        <v>1336.8991120000001</v>
      </c>
      <c r="E334" s="79">
        <v>6.6696</v>
      </c>
      <c r="F334" s="79">
        <v>6.6608999999999998</v>
      </c>
      <c r="G334" s="83">
        <f t="shared" si="4"/>
        <v>7.4895777777777761</v>
      </c>
    </row>
    <row r="335" spans="1:7" x14ac:dyDescent="0.2">
      <c r="A335" s="75">
        <v>39204</v>
      </c>
      <c r="B335" s="76" t="s">
        <v>35</v>
      </c>
      <c r="C335" s="76" t="s">
        <v>536</v>
      </c>
      <c r="D335" s="79">
        <v>1342.2289149999999</v>
      </c>
      <c r="E335" s="79">
        <v>6.6604999999999999</v>
      </c>
      <c r="F335" s="79">
        <v>6.5834999999999999</v>
      </c>
      <c r="G335" s="83">
        <f t="shared" si="4"/>
        <v>7.4702206349206337</v>
      </c>
    </row>
    <row r="336" spans="1:7" x14ac:dyDescent="0.2">
      <c r="A336" s="75">
        <v>39205</v>
      </c>
      <c r="B336" s="76" t="s">
        <v>35</v>
      </c>
      <c r="C336" s="76" t="s">
        <v>536</v>
      </c>
      <c r="D336" s="79">
        <v>1346.3097580000001</v>
      </c>
      <c r="E336" s="79">
        <v>6.5831</v>
      </c>
      <c r="F336" s="79">
        <v>6.5262000000000002</v>
      </c>
      <c r="G336" s="83">
        <f t="shared" si="4"/>
        <v>7.4497777777777774</v>
      </c>
    </row>
    <row r="337" spans="1:7" x14ac:dyDescent="0.2">
      <c r="A337" s="75">
        <v>39206</v>
      </c>
      <c r="B337" s="76" t="s">
        <v>35</v>
      </c>
      <c r="C337" s="76" t="s">
        <v>536</v>
      </c>
      <c r="D337" s="79">
        <v>1349.0784659999999</v>
      </c>
      <c r="E337" s="79">
        <v>6.5258000000000003</v>
      </c>
      <c r="F337" s="79">
        <v>6.4897999999999998</v>
      </c>
      <c r="G337" s="83">
        <f t="shared" si="4"/>
        <v>7.4284888888888885</v>
      </c>
    </row>
    <row r="338" spans="1:7" x14ac:dyDescent="0.2">
      <c r="A338" s="75">
        <v>39209</v>
      </c>
      <c r="B338" s="76" t="s">
        <v>35</v>
      </c>
      <c r="C338" s="76" t="s">
        <v>536</v>
      </c>
      <c r="D338" s="79">
        <v>1348.3993849999999</v>
      </c>
      <c r="E338" s="79">
        <v>6.4893999999999998</v>
      </c>
      <c r="F338" s="79">
        <v>6.5079000000000002</v>
      </c>
      <c r="G338" s="83">
        <f t="shared" si="4"/>
        <v>7.4069492063492062</v>
      </c>
    </row>
    <row r="339" spans="1:7" x14ac:dyDescent="0.2">
      <c r="A339" s="75">
        <v>39210</v>
      </c>
      <c r="B339" s="76" t="s">
        <v>35</v>
      </c>
      <c r="C339" s="76" t="s">
        <v>536</v>
      </c>
      <c r="D339" s="79">
        <v>1347.8102469999999</v>
      </c>
      <c r="E339" s="79">
        <v>6.5075000000000003</v>
      </c>
      <c r="F339" s="79">
        <v>6.5246000000000004</v>
      </c>
      <c r="G339" s="83">
        <f t="shared" si="4"/>
        <v>7.3857714285714291</v>
      </c>
    </row>
    <row r="340" spans="1:7" x14ac:dyDescent="0.2">
      <c r="A340" s="75">
        <v>39211</v>
      </c>
      <c r="B340" s="76" t="s">
        <v>35</v>
      </c>
      <c r="C340" s="76" t="s">
        <v>536</v>
      </c>
      <c r="D340" s="79">
        <v>1350.056194</v>
      </c>
      <c r="E340" s="79">
        <v>6.5242000000000004</v>
      </c>
      <c r="F340" s="79">
        <v>6.4965000000000002</v>
      </c>
      <c r="G340" s="83">
        <f t="shared" si="4"/>
        <v>7.3645222222222229</v>
      </c>
    </row>
    <row r="341" spans="1:7" x14ac:dyDescent="0.2">
      <c r="A341" s="75">
        <v>39212</v>
      </c>
      <c r="B341" s="76" t="s">
        <v>35</v>
      </c>
      <c r="C341" s="76" t="s">
        <v>536</v>
      </c>
      <c r="D341" s="79">
        <v>1348.9530540000001</v>
      </c>
      <c r="E341" s="79">
        <v>6.4961000000000002</v>
      </c>
      <c r="F341" s="79">
        <v>6.5213000000000001</v>
      </c>
      <c r="G341" s="83">
        <f t="shared" si="4"/>
        <v>7.3432952380952399</v>
      </c>
    </row>
    <row r="342" spans="1:7" x14ac:dyDescent="0.2">
      <c r="A342" s="75">
        <v>39213</v>
      </c>
      <c r="B342" s="76" t="s">
        <v>35</v>
      </c>
      <c r="C342" s="76" t="s">
        <v>536</v>
      </c>
      <c r="D342" s="79">
        <v>1351.5260109999999</v>
      </c>
      <c r="E342" s="79">
        <v>6.5209000000000001</v>
      </c>
      <c r="F342" s="79">
        <v>6.4919000000000002</v>
      </c>
      <c r="G342" s="83">
        <f t="shared" si="4"/>
        <v>7.3226460317460322</v>
      </c>
    </row>
    <row r="343" spans="1:7" x14ac:dyDescent="0.2">
      <c r="A343" s="75">
        <v>39216</v>
      </c>
      <c r="B343" s="76" t="s">
        <v>35</v>
      </c>
      <c r="C343" s="76" t="s">
        <v>536</v>
      </c>
      <c r="D343" s="79">
        <v>1353.104644</v>
      </c>
      <c r="E343" s="79">
        <v>6.4915000000000003</v>
      </c>
      <c r="F343" s="79">
        <v>6.4745999999999997</v>
      </c>
      <c r="G343" s="83">
        <f t="shared" si="4"/>
        <v>7.3015587301587308</v>
      </c>
    </row>
    <row r="344" spans="1:7" x14ac:dyDescent="0.2">
      <c r="A344" s="75">
        <v>39217</v>
      </c>
      <c r="B344" s="76" t="s">
        <v>35</v>
      </c>
      <c r="C344" s="76" t="s">
        <v>536</v>
      </c>
      <c r="D344" s="79">
        <v>1356.7970949999999</v>
      </c>
      <c r="E344" s="79">
        <v>6.4741999999999997</v>
      </c>
      <c r="F344" s="79">
        <v>6.4241000000000001</v>
      </c>
      <c r="G344" s="83">
        <f t="shared" si="4"/>
        <v>7.2801650793650801</v>
      </c>
    </row>
    <row r="345" spans="1:7" x14ac:dyDescent="0.2">
      <c r="A345" s="75">
        <v>39218</v>
      </c>
      <c r="B345" s="76" t="s">
        <v>35</v>
      </c>
      <c r="C345" s="76" t="s">
        <v>536</v>
      </c>
      <c r="D345" s="79">
        <v>1367.87589</v>
      </c>
      <c r="E345" s="79">
        <v>6.4237000000000002</v>
      </c>
      <c r="F345" s="79">
        <v>6.2576999999999998</v>
      </c>
      <c r="G345" s="83">
        <f t="shared" si="4"/>
        <v>7.2583746031746035</v>
      </c>
    </row>
    <row r="346" spans="1:7" x14ac:dyDescent="0.2">
      <c r="A346" s="75">
        <v>39219</v>
      </c>
      <c r="B346" s="76" t="s">
        <v>35</v>
      </c>
      <c r="C346" s="76" t="s">
        <v>536</v>
      </c>
      <c r="D346" s="79">
        <v>1374.3806380000001</v>
      </c>
      <c r="E346" s="79">
        <v>6.2572999999999999</v>
      </c>
      <c r="F346" s="79">
        <v>6.1634000000000002</v>
      </c>
      <c r="G346" s="83">
        <f t="shared" si="4"/>
        <v>7.2346111111111107</v>
      </c>
    </row>
    <row r="347" spans="1:7" x14ac:dyDescent="0.2">
      <c r="A347" s="75">
        <v>39220</v>
      </c>
      <c r="B347" s="76" t="s">
        <v>35</v>
      </c>
      <c r="C347" s="76" t="s">
        <v>536</v>
      </c>
      <c r="D347" s="79">
        <v>1374.275648</v>
      </c>
      <c r="E347" s="79">
        <v>6.1628999999999996</v>
      </c>
      <c r="F347" s="79">
        <v>6.1714000000000002</v>
      </c>
      <c r="G347" s="83">
        <f t="shared" si="4"/>
        <v>7.2099857142857138</v>
      </c>
    </row>
    <row r="348" spans="1:7" x14ac:dyDescent="0.2">
      <c r="A348" s="75">
        <v>39223</v>
      </c>
      <c r="B348" s="76" t="s">
        <v>35</v>
      </c>
      <c r="C348" s="76" t="s">
        <v>536</v>
      </c>
      <c r="D348" s="79">
        <v>1376.475273</v>
      </c>
      <c r="E348" s="79">
        <v>6.1707999999999998</v>
      </c>
      <c r="F348" s="79">
        <v>6.1436999999999999</v>
      </c>
      <c r="G348" s="83">
        <f t="shared" si="4"/>
        <v>7.1870428571428553</v>
      </c>
    </row>
    <row r="349" spans="1:7" x14ac:dyDescent="0.2">
      <c r="A349" s="75">
        <v>39224</v>
      </c>
      <c r="B349" s="76" t="s">
        <v>35</v>
      </c>
      <c r="C349" s="76" t="s">
        <v>536</v>
      </c>
      <c r="D349" s="79">
        <v>1377.83394</v>
      </c>
      <c r="E349" s="79">
        <v>6.1430999999999996</v>
      </c>
      <c r="F349" s="79">
        <v>6.1289999999999996</v>
      </c>
      <c r="G349" s="83">
        <f t="shared" si="4"/>
        <v>7.1643460317460308</v>
      </c>
    </row>
    <row r="350" spans="1:7" x14ac:dyDescent="0.2">
      <c r="A350" s="75">
        <v>39225</v>
      </c>
      <c r="B350" s="76" t="s">
        <v>35</v>
      </c>
      <c r="C350" s="76" t="s">
        <v>536</v>
      </c>
      <c r="D350" s="79">
        <v>1373.7711159999999</v>
      </c>
      <c r="E350" s="79">
        <v>6.1284000000000001</v>
      </c>
      <c r="F350" s="79">
        <v>6.1980000000000004</v>
      </c>
      <c r="G350" s="83">
        <f t="shared" si="4"/>
        <v>7.1414714285714282</v>
      </c>
    </row>
    <row r="351" spans="1:7" x14ac:dyDescent="0.2">
      <c r="A351" s="75">
        <v>39226</v>
      </c>
      <c r="B351" s="76" t="s">
        <v>35</v>
      </c>
      <c r="C351" s="76" t="s">
        <v>536</v>
      </c>
      <c r="D351" s="79">
        <v>1364.560982</v>
      </c>
      <c r="E351" s="79">
        <v>6.1974</v>
      </c>
      <c r="F351" s="79">
        <v>6.3474000000000004</v>
      </c>
      <c r="G351" s="83">
        <f t="shared" si="4"/>
        <v>7.1202698412698409</v>
      </c>
    </row>
    <row r="352" spans="1:7" x14ac:dyDescent="0.2">
      <c r="A352" s="75">
        <v>39227</v>
      </c>
      <c r="B352" s="76" t="s">
        <v>35</v>
      </c>
      <c r="C352" s="76" t="s">
        <v>536</v>
      </c>
      <c r="D352" s="79">
        <v>1371.0458149999999</v>
      </c>
      <c r="E352" s="79">
        <v>6.3468</v>
      </c>
      <c r="F352" s="79">
        <v>6.2545000000000002</v>
      </c>
      <c r="G352" s="83">
        <f t="shared" si="4"/>
        <v>7.1017396825396828</v>
      </c>
    </row>
    <row r="353" spans="1:7" x14ac:dyDescent="0.2">
      <c r="A353" s="75">
        <v>39230</v>
      </c>
      <c r="B353" s="76" t="s">
        <v>35</v>
      </c>
      <c r="C353" s="76" t="s">
        <v>536</v>
      </c>
      <c r="D353" s="79">
        <v>1373.4687799999999</v>
      </c>
      <c r="E353" s="79">
        <v>6.2538999999999998</v>
      </c>
      <c r="F353" s="79">
        <v>6.2234999999999996</v>
      </c>
      <c r="G353" s="83">
        <f t="shared" si="4"/>
        <v>7.0811698412698414</v>
      </c>
    </row>
    <row r="354" spans="1:7" x14ac:dyDescent="0.2">
      <c r="A354" s="75">
        <v>39231</v>
      </c>
      <c r="B354" s="76" t="s">
        <v>35</v>
      </c>
      <c r="C354" s="76" t="s">
        <v>536</v>
      </c>
      <c r="D354" s="79">
        <v>1368.3592289999999</v>
      </c>
      <c r="E354" s="79">
        <v>6.2229999999999999</v>
      </c>
      <c r="F354" s="79">
        <v>6.3094000000000001</v>
      </c>
      <c r="G354" s="83">
        <f t="shared" si="4"/>
        <v>7.0605714285714294</v>
      </c>
    </row>
    <row r="355" spans="1:7" x14ac:dyDescent="0.2">
      <c r="A355" s="75">
        <v>39232</v>
      </c>
      <c r="B355" s="76" t="s">
        <v>35</v>
      </c>
      <c r="C355" s="76" t="s">
        <v>536</v>
      </c>
      <c r="D355" s="79">
        <v>1367.5682730000001</v>
      </c>
      <c r="E355" s="79">
        <v>6.3089000000000004</v>
      </c>
      <c r="F355" s="79">
        <v>6.3284000000000002</v>
      </c>
      <c r="G355" s="83">
        <f t="shared" si="4"/>
        <v>7.0386142857142859</v>
      </c>
    </row>
    <row r="356" spans="1:7" x14ac:dyDescent="0.2">
      <c r="A356" s="75">
        <v>39233</v>
      </c>
      <c r="B356" s="76" t="s">
        <v>35</v>
      </c>
      <c r="C356" s="76" t="s">
        <v>536</v>
      </c>
      <c r="D356" s="79">
        <v>1370.090543</v>
      </c>
      <c r="E356" s="79">
        <v>6.3278999999999996</v>
      </c>
      <c r="F356" s="79">
        <v>6.2958999999999996</v>
      </c>
      <c r="G356" s="83">
        <f t="shared" si="4"/>
        <v>7.016749206349207</v>
      </c>
    </row>
    <row r="357" spans="1:7" x14ac:dyDescent="0.2">
      <c r="A357" s="75">
        <v>39234</v>
      </c>
      <c r="B357" s="76" t="s">
        <v>35</v>
      </c>
      <c r="C357" s="76" t="s">
        <v>536</v>
      </c>
      <c r="D357" s="79">
        <v>1375.0519629999999</v>
      </c>
      <c r="E357" s="79">
        <v>6.2953999999999999</v>
      </c>
      <c r="F357" s="79">
        <v>6.2256999999999998</v>
      </c>
      <c r="G357" s="83">
        <f t="shared" si="4"/>
        <v>6.9931444444444439</v>
      </c>
    </row>
    <row r="358" spans="1:7" x14ac:dyDescent="0.2">
      <c r="A358" s="75">
        <v>39237</v>
      </c>
      <c r="B358" s="76" t="s">
        <v>35</v>
      </c>
      <c r="C358" s="76" t="s">
        <v>536</v>
      </c>
      <c r="D358" s="79">
        <v>1369.087274</v>
      </c>
      <c r="E358" s="79">
        <v>6.2252999999999998</v>
      </c>
      <c r="F358" s="79">
        <v>6.3249000000000004</v>
      </c>
      <c r="G358" s="83">
        <f t="shared" si="4"/>
        <v>6.9677476190476177</v>
      </c>
    </row>
    <row r="359" spans="1:7" x14ac:dyDescent="0.2">
      <c r="A359" s="75">
        <v>39238</v>
      </c>
      <c r="B359" s="76" t="s">
        <v>35</v>
      </c>
      <c r="C359" s="76" t="s">
        <v>536</v>
      </c>
      <c r="D359" s="79">
        <v>1367.2252800000001</v>
      </c>
      <c r="E359" s="79">
        <v>6.3243999999999998</v>
      </c>
      <c r="F359" s="79">
        <v>6.3707000000000003</v>
      </c>
      <c r="G359" s="83">
        <f t="shared" si="4"/>
        <v>6.9432190476190474</v>
      </c>
    </row>
    <row r="360" spans="1:7" x14ac:dyDescent="0.2">
      <c r="A360" s="75">
        <v>39239</v>
      </c>
      <c r="B360" s="76" t="s">
        <v>35</v>
      </c>
      <c r="C360" s="76" t="s">
        <v>536</v>
      </c>
      <c r="D360" s="79">
        <v>1366.11643</v>
      </c>
      <c r="E360" s="79">
        <v>6.3701999999999996</v>
      </c>
      <c r="F360" s="79">
        <v>6.3954000000000004</v>
      </c>
      <c r="G360" s="83">
        <f t="shared" si="4"/>
        <v>6.9216047619047609</v>
      </c>
    </row>
    <row r="361" spans="1:7" x14ac:dyDescent="0.2">
      <c r="A361" s="75">
        <v>39241</v>
      </c>
      <c r="B361" s="76" t="s">
        <v>35</v>
      </c>
      <c r="C361" s="76" t="s">
        <v>536</v>
      </c>
      <c r="D361" s="79">
        <v>1369.922982</v>
      </c>
      <c r="E361" s="79">
        <v>6.3948999999999998</v>
      </c>
      <c r="F361" s="79">
        <v>6.3436000000000003</v>
      </c>
      <c r="G361" s="83">
        <f t="shared" si="4"/>
        <v>6.900779365079365</v>
      </c>
    </row>
    <row r="362" spans="1:7" x14ac:dyDescent="0.2">
      <c r="A362" s="75">
        <v>39244</v>
      </c>
      <c r="B362" s="76" t="s">
        <v>35</v>
      </c>
      <c r="C362" s="76" t="s">
        <v>536</v>
      </c>
      <c r="D362" s="79">
        <v>1371.861658</v>
      </c>
      <c r="E362" s="79">
        <v>6.3430999999999997</v>
      </c>
      <c r="F362" s="79">
        <v>6.3209</v>
      </c>
      <c r="G362" s="83">
        <f t="shared" si="4"/>
        <v>6.8790079365079357</v>
      </c>
    </row>
    <row r="363" spans="1:7" x14ac:dyDescent="0.2">
      <c r="A363" s="75">
        <v>39245</v>
      </c>
      <c r="B363" s="76" t="s">
        <v>35</v>
      </c>
      <c r="C363" s="76" t="s">
        <v>536</v>
      </c>
      <c r="D363" s="79">
        <v>1366.464982</v>
      </c>
      <c r="E363" s="79">
        <v>6.3205</v>
      </c>
      <c r="F363" s="79">
        <v>6.4123000000000001</v>
      </c>
      <c r="G363" s="83">
        <f t="shared" si="4"/>
        <v>6.8570650793650785</v>
      </c>
    </row>
    <row r="364" spans="1:7" x14ac:dyDescent="0.2">
      <c r="A364" s="75">
        <v>39246</v>
      </c>
      <c r="B364" s="76" t="s">
        <v>35</v>
      </c>
      <c r="C364" s="76" t="s">
        <v>536</v>
      </c>
      <c r="D364" s="79">
        <v>1367.4699680000001</v>
      </c>
      <c r="E364" s="79">
        <v>6.4119000000000002</v>
      </c>
      <c r="F364" s="79">
        <v>6.4042000000000003</v>
      </c>
      <c r="G364" s="83">
        <f t="shared" si="4"/>
        <v>6.8369999999999989</v>
      </c>
    </row>
    <row r="365" spans="1:7" x14ac:dyDescent="0.2">
      <c r="A365" s="75">
        <v>39247</v>
      </c>
      <c r="B365" s="76" t="s">
        <v>35</v>
      </c>
      <c r="C365" s="76" t="s">
        <v>536</v>
      </c>
      <c r="D365" s="79">
        <v>1372.5695479999999</v>
      </c>
      <c r="E365" s="79">
        <v>6.4038000000000004</v>
      </c>
      <c r="F365" s="79">
        <v>6.3324999999999996</v>
      </c>
      <c r="G365" s="83">
        <f t="shared" si="4"/>
        <v>6.8160873015873005</v>
      </c>
    </row>
    <row r="366" spans="1:7" x14ac:dyDescent="0.2">
      <c r="A366" s="75">
        <v>39248</v>
      </c>
      <c r="B366" s="76" t="s">
        <v>35</v>
      </c>
      <c r="C366" s="76" t="s">
        <v>536</v>
      </c>
      <c r="D366" s="79">
        <v>1377.8365630000001</v>
      </c>
      <c r="E366" s="79">
        <v>6.3322000000000003</v>
      </c>
      <c r="F366" s="79">
        <v>6.2586000000000004</v>
      </c>
      <c r="G366" s="83">
        <f t="shared" si="4"/>
        <v>6.7944920634920623</v>
      </c>
    </row>
    <row r="367" spans="1:7" x14ac:dyDescent="0.2">
      <c r="A367" s="75">
        <v>39251</v>
      </c>
      <c r="B367" s="76" t="s">
        <v>35</v>
      </c>
      <c r="C367" s="76" t="s">
        <v>536</v>
      </c>
      <c r="D367" s="79">
        <v>1378.4675569999999</v>
      </c>
      <c r="E367" s="79">
        <v>6.2583000000000002</v>
      </c>
      <c r="F367" s="79">
        <v>6.2549000000000001</v>
      </c>
      <c r="G367" s="83">
        <f t="shared" si="4"/>
        <v>6.7716380952380941</v>
      </c>
    </row>
    <row r="368" spans="1:7" x14ac:dyDescent="0.2">
      <c r="A368" s="75">
        <v>39252</v>
      </c>
      <c r="B368" s="76" t="s">
        <v>35</v>
      </c>
      <c r="C368" s="76" t="s">
        <v>536</v>
      </c>
      <c r="D368" s="79">
        <v>1381.3510369999999</v>
      </c>
      <c r="E368" s="79">
        <v>6.2545999999999999</v>
      </c>
      <c r="F368" s="79">
        <v>6.2164999999999999</v>
      </c>
      <c r="G368" s="83">
        <f t="shared" si="4"/>
        <v>6.7488984126984111</v>
      </c>
    </row>
    <row r="369" spans="1:7" x14ac:dyDescent="0.2">
      <c r="A369" s="75">
        <v>39253</v>
      </c>
      <c r="B369" s="76" t="s">
        <v>35</v>
      </c>
      <c r="C369" s="76" t="s">
        <v>536</v>
      </c>
      <c r="D369" s="79">
        <v>1378.943317</v>
      </c>
      <c r="E369" s="79">
        <v>6.2163000000000004</v>
      </c>
      <c r="F369" s="79">
        <v>6.2596999999999996</v>
      </c>
      <c r="G369" s="83">
        <f t="shared" si="4"/>
        <v>6.7259460317460311</v>
      </c>
    </row>
    <row r="370" spans="1:7" x14ac:dyDescent="0.2">
      <c r="A370" s="75">
        <v>39254</v>
      </c>
      <c r="B370" s="76" t="s">
        <v>35</v>
      </c>
      <c r="C370" s="76" t="s">
        <v>536</v>
      </c>
      <c r="D370" s="79">
        <v>1378.777304</v>
      </c>
      <c r="E370" s="79">
        <v>6.2595000000000001</v>
      </c>
      <c r="F370" s="79">
        <v>6.2683999999999997</v>
      </c>
      <c r="G370" s="83">
        <f t="shared" si="4"/>
        <v>6.7037920634920631</v>
      </c>
    </row>
    <row r="371" spans="1:7" x14ac:dyDescent="0.2">
      <c r="A371" s="75">
        <v>39255</v>
      </c>
      <c r="B371" s="76" t="s">
        <v>35</v>
      </c>
      <c r="C371" s="76" t="s">
        <v>536</v>
      </c>
      <c r="D371" s="79">
        <v>1372.755193</v>
      </c>
      <c r="E371" s="79">
        <v>6.2682000000000002</v>
      </c>
      <c r="F371" s="79">
        <v>6.3677000000000001</v>
      </c>
      <c r="G371" s="83">
        <f t="shared" si="4"/>
        <v>6.6833841269841274</v>
      </c>
    </row>
    <row r="372" spans="1:7" x14ac:dyDescent="0.2">
      <c r="A372" s="75">
        <v>39258</v>
      </c>
      <c r="B372" s="76" t="s">
        <v>35</v>
      </c>
      <c r="C372" s="76" t="s">
        <v>536</v>
      </c>
      <c r="D372" s="79">
        <v>1359.4578779999999</v>
      </c>
      <c r="E372" s="79">
        <v>6.3674999999999997</v>
      </c>
      <c r="F372" s="79">
        <v>6.5899000000000001</v>
      </c>
      <c r="G372" s="83">
        <f t="shared" si="4"/>
        <v>6.6648904761904761</v>
      </c>
    </row>
    <row r="373" spans="1:7" x14ac:dyDescent="0.2">
      <c r="A373" s="75">
        <v>39259</v>
      </c>
      <c r="B373" s="76" t="s">
        <v>35</v>
      </c>
      <c r="C373" s="76" t="s">
        <v>536</v>
      </c>
      <c r="D373" s="79">
        <v>1360.748284</v>
      </c>
      <c r="E373" s="79">
        <v>6.5896999999999997</v>
      </c>
      <c r="F373" s="79">
        <v>6.5774999999999997</v>
      </c>
      <c r="G373" s="83">
        <f t="shared" si="4"/>
        <v>6.6499476190476194</v>
      </c>
    </row>
    <row r="374" spans="1:7" x14ac:dyDescent="0.2">
      <c r="A374" s="75">
        <v>39260</v>
      </c>
      <c r="B374" s="76" t="s">
        <v>35</v>
      </c>
      <c r="C374" s="76" t="s">
        <v>536</v>
      </c>
      <c r="D374" s="79">
        <v>1365.813124</v>
      </c>
      <c r="E374" s="79">
        <v>6.5772000000000004</v>
      </c>
      <c r="F374" s="79">
        <v>6.5060000000000002</v>
      </c>
      <c r="G374" s="83">
        <f t="shared" si="4"/>
        <v>6.6349174603174603</v>
      </c>
    </row>
    <row r="375" spans="1:7" x14ac:dyDescent="0.2">
      <c r="A375" s="75">
        <v>39261</v>
      </c>
      <c r="B375" s="76" t="s">
        <v>35</v>
      </c>
      <c r="C375" s="76" t="s">
        <v>536</v>
      </c>
      <c r="D375" s="79">
        <v>1367.285498</v>
      </c>
      <c r="E375" s="79">
        <v>6.5057</v>
      </c>
      <c r="F375" s="79">
        <v>6.4907000000000004</v>
      </c>
      <c r="G375" s="83">
        <f t="shared" si="4"/>
        <v>6.6188428571428561</v>
      </c>
    </row>
    <row r="376" spans="1:7" x14ac:dyDescent="0.2">
      <c r="A376" s="75">
        <v>39262</v>
      </c>
      <c r="B376" s="76" t="s">
        <v>35</v>
      </c>
      <c r="C376" s="76" t="s">
        <v>536</v>
      </c>
      <c r="D376" s="79">
        <v>1367.0517159999999</v>
      </c>
      <c r="E376" s="79">
        <v>6.4904000000000002</v>
      </c>
      <c r="F376" s="79">
        <v>6.5019999999999998</v>
      </c>
      <c r="G376" s="83">
        <f t="shared" si="4"/>
        <v>6.6024460317460312</v>
      </c>
    </row>
    <row r="377" spans="1:7" x14ac:dyDescent="0.2">
      <c r="A377" s="75">
        <v>39265</v>
      </c>
      <c r="B377" s="76" t="s">
        <v>35</v>
      </c>
      <c r="C377" s="76" t="s">
        <v>536</v>
      </c>
      <c r="D377" s="79">
        <v>1369.9322609999999</v>
      </c>
      <c r="E377" s="79">
        <v>6.5018000000000002</v>
      </c>
      <c r="F377" s="79">
        <v>6.4649000000000001</v>
      </c>
      <c r="G377" s="83">
        <f t="shared" si="4"/>
        <v>6.5865666666666662</v>
      </c>
    </row>
    <row r="378" spans="1:7" x14ac:dyDescent="0.2">
      <c r="A378" s="75">
        <v>39266</v>
      </c>
      <c r="B378" s="76" t="s">
        <v>35</v>
      </c>
      <c r="C378" s="76" t="s">
        <v>536</v>
      </c>
      <c r="D378" s="79">
        <v>1369.6258419999999</v>
      </c>
      <c r="E378" s="79">
        <v>6.4646999999999997</v>
      </c>
      <c r="F378" s="79">
        <v>6.4774000000000003</v>
      </c>
      <c r="G378" s="83">
        <f t="shared" si="4"/>
        <v>6.5706047619047618</v>
      </c>
    </row>
    <row r="379" spans="1:7" x14ac:dyDescent="0.2">
      <c r="A379" s="75">
        <v>39267</v>
      </c>
      <c r="B379" s="76" t="s">
        <v>35</v>
      </c>
      <c r="C379" s="76" t="s">
        <v>536</v>
      </c>
      <c r="D379" s="79">
        <v>1363.4891130000001</v>
      </c>
      <c r="E379" s="79">
        <v>6.4771999999999998</v>
      </c>
      <c r="F379" s="79">
        <v>6.5808999999999997</v>
      </c>
      <c r="G379" s="83">
        <f t="shared" si="4"/>
        <v>6.5551365079365072</v>
      </c>
    </row>
    <row r="380" spans="1:7" x14ac:dyDescent="0.2">
      <c r="A380" s="75">
        <v>39268</v>
      </c>
      <c r="B380" s="76" t="s">
        <v>35</v>
      </c>
      <c r="C380" s="76" t="s">
        <v>536</v>
      </c>
      <c r="D380" s="79">
        <v>1361.9201619999999</v>
      </c>
      <c r="E380" s="79">
        <v>6.5808</v>
      </c>
      <c r="F380" s="79">
        <v>6.6134000000000004</v>
      </c>
      <c r="G380" s="83">
        <f t="shared" si="4"/>
        <v>6.5423079365079353</v>
      </c>
    </row>
    <row r="381" spans="1:7" x14ac:dyDescent="0.2">
      <c r="A381" s="75">
        <v>39269</v>
      </c>
      <c r="B381" s="76" t="s">
        <v>35</v>
      </c>
      <c r="C381" s="76" t="s">
        <v>536</v>
      </c>
      <c r="D381" s="79">
        <v>1364.544881</v>
      </c>
      <c r="E381" s="79">
        <v>6.6132999999999997</v>
      </c>
      <c r="F381" s="79">
        <v>6.5833000000000004</v>
      </c>
      <c r="G381" s="83">
        <f t="shared" si="4"/>
        <v>6.5306571428571418</v>
      </c>
    </row>
    <row r="382" spans="1:7" x14ac:dyDescent="0.2">
      <c r="A382" s="75">
        <v>39272</v>
      </c>
      <c r="B382" s="76" t="s">
        <v>35</v>
      </c>
      <c r="C382" s="76" t="s">
        <v>536</v>
      </c>
      <c r="D382" s="79">
        <v>1365.059015</v>
      </c>
      <c r="E382" s="79">
        <v>6.5831999999999997</v>
      </c>
      <c r="F382" s="79">
        <v>6.5834000000000001</v>
      </c>
      <c r="G382" s="83">
        <f t="shared" si="4"/>
        <v>6.5192380952380944</v>
      </c>
    </row>
    <row r="383" spans="1:7" x14ac:dyDescent="0.2">
      <c r="A383" s="75">
        <v>39273</v>
      </c>
      <c r="B383" s="76" t="s">
        <v>35</v>
      </c>
      <c r="C383" s="76" t="s">
        <v>536</v>
      </c>
      <c r="D383" s="79">
        <v>1361.477672</v>
      </c>
      <c r="E383" s="79">
        <v>6.5833000000000004</v>
      </c>
      <c r="F383" s="79">
        <v>6.6475999999999997</v>
      </c>
      <c r="G383" s="83">
        <f t="shared" si="4"/>
        <v>6.508571428571428</v>
      </c>
    </row>
    <row r="384" spans="1:7" x14ac:dyDescent="0.2">
      <c r="A384" s="75">
        <v>39274</v>
      </c>
      <c r="B384" s="76" t="s">
        <v>35</v>
      </c>
      <c r="C384" s="76" t="s">
        <v>536</v>
      </c>
      <c r="D384" s="79">
        <v>1365.943876</v>
      </c>
      <c r="E384" s="79">
        <v>6.6475999999999997</v>
      </c>
      <c r="F384" s="79">
        <v>6.5860000000000003</v>
      </c>
      <c r="G384" s="83">
        <f t="shared" si="4"/>
        <v>6.4996571428571421</v>
      </c>
    </row>
    <row r="385" spans="1:7" x14ac:dyDescent="0.2">
      <c r="A385" s="75">
        <v>39275</v>
      </c>
      <c r="B385" s="76" t="s">
        <v>35</v>
      </c>
      <c r="C385" s="76" t="s">
        <v>536</v>
      </c>
      <c r="D385" s="79">
        <v>1369.8648310000001</v>
      </c>
      <c r="E385" s="79">
        <v>6.5858999999999996</v>
      </c>
      <c r="F385" s="79">
        <v>6.5330000000000004</v>
      </c>
      <c r="G385" s="83">
        <f t="shared" si="4"/>
        <v>6.489455555555554</v>
      </c>
    </row>
    <row r="386" spans="1:7" x14ac:dyDescent="0.2">
      <c r="A386" s="75">
        <v>39276</v>
      </c>
      <c r="B386" s="76" t="s">
        <v>35</v>
      </c>
      <c r="C386" s="76" t="s">
        <v>536</v>
      </c>
      <c r="D386" s="79">
        <v>1371.304202</v>
      </c>
      <c r="E386" s="79">
        <v>6.5328999999999997</v>
      </c>
      <c r="F386" s="79">
        <v>6.5186999999999999</v>
      </c>
      <c r="G386" s="83">
        <f t="shared" si="4"/>
        <v>6.478349206349205</v>
      </c>
    </row>
    <row r="387" spans="1:7" x14ac:dyDescent="0.2">
      <c r="A387" s="75">
        <v>39279</v>
      </c>
      <c r="B387" s="76" t="s">
        <v>35</v>
      </c>
      <c r="C387" s="76" t="s">
        <v>536</v>
      </c>
      <c r="D387" s="79">
        <v>1369.7733330000001</v>
      </c>
      <c r="E387" s="79">
        <v>6.5186999999999999</v>
      </c>
      <c r="F387" s="79">
        <v>6.5507</v>
      </c>
      <c r="G387" s="83">
        <f t="shared" ref="G387:G450" si="5">+AVERAGE(E325:E387)</f>
        <v>6.4678904761904743</v>
      </c>
    </row>
    <row r="388" spans="1:7" x14ac:dyDescent="0.2">
      <c r="A388" s="75">
        <v>39280</v>
      </c>
      <c r="B388" s="76" t="s">
        <v>35</v>
      </c>
      <c r="C388" s="76" t="s">
        <v>536</v>
      </c>
      <c r="D388" s="79">
        <v>1372.274782</v>
      </c>
      <c r="E388" s="79">
        <v>6.5507</v>
      </c>
      <c r="F388" s="79">
        <v>6.5190999999999999</v>
      </c>
      <c r="G388" s="83">
        <f t="shared" si="5"/>
        <v>6.458622222222222</v>
      </c>
    </row>
    <row r="389" spans="1:7" x14ac:dyDescent="0.2">
      <c r="A389" s="75">
        <v>39281</v>
      </c>
      <c r="B389" s="76" t="s">
        <v>35</v>
      </c>
      <c r="C389" s="76" t="s">
        <v>536</v>
      </c>
      <c r="D389" s="79">
        <v>1372.460131</v>
      </c>
      <c r="E389" s="79">
        <v>6.5190000000000001</v>
      </c>
      <c r="F389" s="79">
        <v>6.5233999999999996</v>
      </c>
      <c r="G389" s="83">
        <f t="shared" si="5"/>
        <v>6.4495365079365063</v>
      </c>
    </row>
    <row r="390" spans="1:7" x14ac:dyDescent="0.2">
      <c r="A390" s="75">
        <v>39282</v>
      </c>
      <c r="B390" s="76" t="s">
        <v>35</v>
      </c>
      <c r="C390" s="76" t="s">
        <v>536</v>
      </c>
      <c r="D390" s="79">
        <v>1367.481642</v>
      </c>
      <c r="E390" s="79">
        <v>6.5233999999999996</v>
      </c>
      <c r="F390" s="79">
        <v>6.6082000000000001</v>
      </c>
      <c r="G390" s="83">
        <f t="shared" si="5"/>
        <v>6.4410761904761884</v>
      </c>
    </row>
    <row r="391" spans="1:7" x14ac:dyDescent="0.2">
      <c r="A391" s="75">
        <v>39283</v>
      </c>
      <c r="B391" s="76" t="s">
        <v>35</v>
      </c>
      <c r="C391" s="76" t="s">
        <v>536</v>
      </c>
      <c r="D391" s="79">
        <v>1366.0315619999999</v>
      </c>
      <c r="E391" s="79">
        <v>6.6081000000000003</v>
      </c>
      <c r="F391" s="79">
        <v>6.6380999999999997</v>
      </c>
      <c r="G391" s="83">
        <f t="shared" si="5"/>
        <v>6.4390619047619033</v>
      </c>
    </row>
    <row r="392" spans="1:7" x14ac:dyDescent="0.2">
      <c r="A392" s="75">
        <v>39286</v>
      </c>
      <c r="B392" s="76" t="s">
        <v>35</v>
      </c>
      <c r="C392" s="76" t="s">
        <v>536</v>
      </c>
      <c r="D392" s="79">
        <v>1366.20964</v>
      </c>
      <c r="E392" s="79">
        <v>6.6380999999999997</v>
      </c>
      <c r="F392" s="79">
        <v>6.6426999999999996</v>
      </c>
      <c r="G392" s="83">
        <f t="shared" si="5"/>
        <v>6.4389396825396812</v>
      </c>
    </row>
    <row r="393" spans="1:7" x14ac:dyDescent="0.2">
      <c r="A393" s="75">
        <v>39287</v>
      </c>
      <c r="B393" s="76" t="s">
        <v>35</v>
      </c>
      <c r="C393" s="76" t="s">
        <v>536</v>
      </c>
      <c r="D393" s="79">
        <v>1359.998544</v>
      </c>
      <c r="E393" s="79">
        <v>6.6425999999999998</v>
      </c>
      <c r="F393" s="79">
        <v>6.7473000000000001</v>
      </c>
      <c r="G393" s="83">
        <f t="shared" si="5"/>
        <v>6.4388999999999994</v>
      </c>
    </row>
    <row r="394" spans="1:7" x14ac:dyDescent="0.2">
      <c r="A394" s="75">
        <v>39288</v>
      </c>
      <c r="B394" s="76" t="s">
        <v>35</v>
      </c>
      <c r="C394" s="76" t="s">
        <v>536</v>
      </c>
      <c r="D394" s="79">
        <v>1360.436316</v>
      </c>
      <c r="E394" s="79">
        <v>6.7473000000000001</v>
      </c>
      <c r="F394" s="79">
        <v>6.7478999999999996</v>
      </c>
      <c r="G394" s="83">
        <f t="shared" si="5"/>
        <v>6.4397317460317449</v>
      </c>
    </row>
    <row r="395" spans="1:7" x14ac:dyDescent="0.2">
      <c r="A395" s="75">
        <v>39289</v>
      </c>
      <c r="B395" s="76" t="s">
        <v>35</v>
      </c>
      <c r="C395" s="76" t="s">
        <v>536</v>
      </c>
      <c r="D395" s="79">
        <v>1344.7694329999999</v>
      </c>
      <c r="E395" s="79">
        <v>6.7480000000000002</v>
      </c>
      <c r="F395" s="79">
        <v>7.0056000000000003</v>
      </c>
      <c r="G395" s="83">
        <f t="shared" si="5"/>
        <v>6.4414746031746022</v>
      </c>
    </row>
    <row r="396" spans="1:7" x14ac:dyDescent="0.2">
      <c r="A396" s="75">
        <v>39290</v>
      </c>
      <c r="B396" s="76" t="s">
        <v>35</v>
      </c>
      <c r="C396" s="76" t="s">
        <v>536</v>
      </c>
      <c r="D396" s="79">
        <v>1351.7467899999999</v>
      </c>
      <c r="E396" s="79">
        <v>7.0056000000000003</v>
      </c>
      <c r="F396" s="79">
        <v>6.9028</v>
      </c>
      <c r="G396" s="83">
        <f t="shared" si="5"/>
        <v>6.4471142857142851</v>
      </c>
    </row>
    <row r="397" spans="1:7" x14ac:dyDescent="0.2">
      <c r="A397" s="75">
        <v>39293</v>
      </c>
      <c r="B397" s="76" t="s">
        <v>35</v>
      </c>
      <c r="C397" s="76" t="s">
        <v>536</v>
      </c>
      <c r="D397" s="79">
        <v>1352.764418</v>
      </c>
      <c r="E397" s="79">
        <v>6.9028</v>
      </c>
      <c r="F397" s="79">
        <v>6.8945999999999996</v>
      </c>
      <c r="G397" s="83">
        <f t="shared" si="5"/>
        <v>6.4508158730158733</v>
      </c>
    </row>
    <row r="398" spans="1:7" x14ac:dyDescent="0.2">
      <c r="A398" s="75">
        <v>39294</v>
      </c>
      <c r="B398" s="76" t="s">
        <v>35</v>
      </c>
      <c r="C398" s="76" t="s">
        <v>536</v>
      </c>
      <c r="D398" s="79">
        <v>1350.7239460000001</v>
      </c>
      <c r="E398" s="79">
        <v>6.8945999999999996</v>
      </c>
      <c r="F398" s="79">
        <v>6.9348000000000001</v>
      </c>
      <c r="G398" s="83">
        <f t="shared" si="5"/>
        <v>6.4545317460317468</v>
      </c>
    </row>
    <row r="399" spans="1:7" x14ac:dyDescent="0.2">
      <c r="A399" s="75">
        <v>39295</v>
      </c>
      <c r="B399" s="76" t="s">
        <v>35</v>
      </c>
      <c r="C399" s="76" t="s">
        <v>536</v>
      </c>
      <c r="D399" s="79">
        <v>1342.182908</v>
      </c>
      <c r="E399" s="79">
        <v>6.9348000000000001</v>
      </c>
      <c r="F399" s="79">
        <v>7.0785999999999998</v>
      </c>
      <c r="G399" s="83">
        <f t="shared" si="5"/>
        <v>6.460114285714285</v>
      </c>
    </row>
    <row r="400" spans="1:7" x14ac:dyDescent="0.2">
      <c r="A400" s="75">
        <v>39296</v>
      </c>
      <c r="B400" s="76" t="s">
        <v>35</v>
      </c>
      <c r="C400" s="76" t="s">
        <v>536</v>
      </c>
      <c r="D400" s="79">
        <v>1345.5917300000001</v>
      </c>
      <c r="E400" s="79">
        <v>7.0785999999999998</v>
      </c>
      <c r="F400" s="79">
        <v>7.0323000000000002</v>
      </c>
      <c r="G400" s="83">
        <f t="shared" si="5"/>
        <v>6.4688888888888885</v>
      </c>
    </row>
    <row r="401" spans="1:7" x14ac:dyDescent="0.2">
      <c r="A401" s="75">
        <v>39297</v>
      </c>
      <c r="B401" s="76" t="s">
        <v>35</v>
      </c>
      <c r="C401" s="76" t="s">
        <v>536</v>
      </c>
      <c r="D401" s="79">
        <v>1339.3485020000001</v>
      </c>
      <c r="E401" s="79">
        <v>7.0323000000000002</v>
      </c>
      <c r="F401" s="79">
        <v>7.14</v>
      </c>
      <c r="G401" s="83">
        <f t="shared" si="5"/>
        <v>6.47750634920635</v>
      </c>
    </row>
    <row r="402" spans="1:7" x14ac:dyDescent="0.2">
      <c r="A402" s="75">
        <v>39300</v>
      </c>
      <c r="B402" s="76" t="s">
        <v>35</v>
      </c>
      <c r="C402" s="76" t="s">
        <v>536</v>
      </c>
      <c r="D402" s="79">
        <v>1337.1467239999999</v>
      </c>
      <c r="E402" s="79">
        <v>7.14</v>
      </c>
      <c r="F402" s="79">
        <v>7.1833999999999998</v>
      </c>
      <c r="G402" s="83">
        <f t="shared" si="5"/>
        <v>6.4875460317460316</v>
      </c>
    </row>
    <row r="403" spans="1:7" x14ac:dyDescent="0.2">
      <c r="A403" s="75">
        <v>39301</v>
      </c>
      <c r="B403" s="76" t="s">
        <v>35</v>
      </c>
      <c r="C403" s="76" t="s">
        <v>536</v>
      </c>
      <c r="D403" s="79">
        <v>1343.123613</v>
      </c>
      <c r="E403" s="79">
        <v>7.1835000000000004</v>
      </c>
      <c r="F403" s="79">
        <v>7.0960000000000001</v>
      </c>
      <c r="G403" s="83">
        <f t="shared" si="5"/>
        <v>6.4980111111111105</v>
      </c>
    </row>
    <row r="404" spans="1:7" x14ac:dyDescent="0.2">
      <c r="A404" s="75">
        <v>39302</v>
      </c>
      <c r="B404" s="76" t="s">
        <v>35</v>
      </c>
      <c r="C404" s="76" t="s">
        <v>536</v>
      </c>
      <c r="D404" s="79">
        <v>1348.823333</v>
      </c>
      <c r="E404" s="79">
        <v>7.0960999999999999</v>
      </c>
      <c r="F404" s="79">
        <v>7.0151000000000003</v>
      </c>
      <c r="G404" s="83">
        <f t="shared" si="5"/>
        <v>6.50753492063492</v>
      </c>
    </row>
    <row r="405" spans="1:7" x14ac:dyDescent="0.2">
      <c r="A405" s="75">
        <v>39303</v>
      </c>
      <c r="B405" s="76" t="s">
        <v>35</v>
      </c>
      <c r="C405" s="76" t="s">
        <v>536</v>
      </c>
      <c r="D405" s="79">
        <v>1338.27593</v>
      </c>
      <c r="E405" s="79">
        <v>7.0151000000000003</v>
      </c>
      <c r="F405" s="79">
        <v>7.1914999999999996</v>
      </c>
      <c r="G405" s="83">
        <f t="shared" si="5"/>
        <v>6.5153793650793652</v>
      </c>
    </row>
    <row r="406" spans="1:7" x14ac:dyDescent="0.2">
      <c r="A406" s="75">
        <v>39304</v>
      </c>
      <c r="B406" s="76" t="s">
        <v>35</v>
      </c>
      <c r="C406" s="76" t="s">
        <v>536</v>
      </c>
      <c r="D406" s="79">
        <v>1339.808303</v>
      </c>
      <c r="E406" s="79">
        <v>7.1916000000000002</v>
      </c>
      <c r="F406" s="79">
        <v>7.1753</v>
      </c>
      <c r="G406" s="83">
        <f t="shared" si="5"/>
        <v>6.5264920634920633</v>
      </c>
    </row>
    <row r="407" spans="1:7" x14ac:dyDescent="0.2">
      <c r="A407" s="75">
        <v>39307</v>
      </c>
      <c r="B407" s="76" t="s">
        <v>35</v>
      </c>
      <c r="C407" s="76" t="s">
        <v>536</v>
      </c>
      <c r="D407" s="79">
        <v>1342.6996509999999</v>
      </c>
      <c r="E407" s="79">
        <v>7.1753</v>
      </c>
      <c r="F407" s="79">
        <v>7.1372999999999998</v>
      </c>
      <c r="G407" s="83">
        <f t="shared" si="5"/>
        <v>6.5376206349206356</v>
      </c>
    </row>
    <row r="408" spans="1:7" x14ac:dyDescent="0.2">
      <c r="A408" s="75">
        <v>39308</v>
      </c>
      <c r="B408" s="76" t="s">
        <v>35</v>
      </c>
      <c r="C408" s="76" t="s">
        <v>536</v>
      </c>
      <c r="D408" s="79">
        <v>1336.724385</v>
      </c>
      <c r="E408" s="79">
        <v>7.1374000000000004</v>
      </c>
      <c r="F408" s="79">
        <v>7.2412999999999998</v>
      </c>
      <c r="G408" s="83">
        <f t="shared" si="5"/>
        <v>6.5489492063492074</v>
      </c>
    </row>
    <row r="409" spans="1:7" x14ac:dyDescent="0.2">
      <c r="A409" s="75">
        <v>39309</v>
      </c>
      <c r="B409" s="76" t="s">
        <v>35</v>
      </c>
      <c r="C409" s="76" t="s">
        <v>536</v>
      </c>
      <c r="D409" s="79">
        <v>1320.074472</v>
      </c>
      <c r="E409" s="79">
        <v>7.2413999999999996</v>
      </c>
      <c r="F409" s="79">
        <v>7.5190999999999999</v>
      </c>
      <c r="G409" s="83">
        <f t="shared" si="5"/>
        <v>6.5645698412698419</v>
      </c>
    </row>
    <row r="410" spans="1:7" x14ac:dyDescent="0.2">
      <c r="A410" s="75">
        <v>39310</v>
      </c>
      <c r="B410" s="76" t="s">
        <v>35</v>
      </c>
      <c r="C410" s="76" t="s">
        <v>536</v>
      </c>
      <c r="D410" s="79">
        <v>1285.2011809999999</v>
      </c>
      <c r="E410" s="79">
        <v>7.5190999999999999</v>
      </c>
      <c r="F410" s="79">
        <v>8.1057000000000006</v>
      </c>
      <c r="G410" s="83">
        <f t="shared" si="5"/>
        <v>6.5860968253968259</v>
      </c>
    </row>
    <row r="411" spans="1:7" x14ac:dyDescent="0.2">
      <c r="A411" s="75">
        <v>39311</v>
      </c>
      <c r="B411" s="76" t="s">
        <v>35</v>
      </c>
      <c r="C411" s="76" t="s">
        <v>536</v>
      </c>
      <c r="D411" s="79">
        <v>1309.6749709999999</v>
      </c>
      <c r="E411" s="79">
        <v>8.1057000000000006</v>
      </c>
      <c r="F411" s="79">
        <v>7.7076000000000002</v>
      </c>
      <c r="G411" s="83">
        <f t="shared" si="5"/>
        <v>6.6168095238095246</v>
      </c>
    </row>
    <row r="412" spans="1:7" x14ac:dyDescent="0.2">
      <c r="A412" s="75">
        <v>39314</v>
      </c>
      <c r="B412" s="76" t="s">
        <v>35</v>
      </c>
      <c r="C412" s="76" t="s">
        <v>536</v>
      </c>
      <c r="D412" s="79">
        <v>1305.9936889999999</v>
      </c>
      <c r="E412" s="79">
        <v>7.7076000000000002</v>
      </c>
      <c r="F412" s="79">
        <v>7.7773000000000003</v>
      </c>
      <c r="G412" s="83">
        <f t="shared" si="5"/>
        <v>6.6416428571428581</v>
      </c>
    </row>
    <row r="413" spans="1:7" x14ac:dyDescent="0.2">
      <c r="A413" s="75">
        <v>39315</v>
      </c>
      <c r="B413" s="76" t="s">
        <v>35</v>
      </c>
      <c r="C413" s="76" t="s">
        <v>536</v>
      </c>
      <c r="D413" s="79">
        <v>1304.654035</v>
      </c>
      <c r="E413" s="79">
        <v>7.7773000000000003</v>
      </c>
      <c r="F413" s="79">
        <v>7.8085000000000004</v>
      </c>
      <c r="G413" s="83">
        <f t="shared" si="5"/>
        <v>6.6678158730158748</v>
      </c>
    </row>
    <row r="414" spans="1:7" x14ac:dyDescent="0.2">
      <c r="A414" s="75">
        <v>39316</v>
      </c>
      <c r="B414" s="76" t="s">
        <v>35</v>
      </c>
      <c r="C414" s="76" t="s">
        <v>536</v>
      </c>
      <c r="D414" s="79">
        <v>1314.594685</v>
      </c>
      <c r="E414" s="79">
        <v>7.8083999999999998</v>
      </c>
      <c r="F414" s="79">
        <v>7.6538000000000004</v>
      </c>
      <c r="G414" s="83">
        <f t="shared" si="5"/>
        <v>6.6933873015873031</v>
      </c>
    </row>
    <row r="415" spans="1:7" x14ac:dyDescent="0.2">
      <c r="A415" s="75">
        <v>39317</v>
      </c>
      <c r="B415" s="76" t="s">
        <v>35</v>
      </c>
      <c r="C415" s="76" t="s">
        <v>536</v>
      </c>
      <c r="D415" s="79">
        <v>1330.512011</v>
      </c>
      <c r="E415" s="79">
        <v>7.6538000000000004</v>
      </c>
      <c r="F415" s="79">
        <v>7.4036999999999997</v>
      </c>
      <c r="G415" s="83">
        <f t="shared" si="5"/>
        <v>6.7141333333333355</v>
      </c>
    </row>
    <row r="416" spans="1:7" x14ac:dyDescent="0.2">
      <c r="A416" s="75">
        <v>39318</v>
      </c>
      <c r="B416" s="76" t="s">
        <v>35</v>
      </c>
      <c r="C416" s="76" t="s">
        <v>536</v>
      </c>
      <c r="D416" s="79">
        <v>1337.6857359999999</v>
      </c>
      <c r="E416" s="79">
        <v>7.4036999999999997</v>
      </c>
      <c r="F416" s="79">
        <v>7.3105000000000002</v>
      </c>
      <c r="G416" s="83">
        <f t="shared" si="5"/>
        <v>6.7323841269841296</v>
      </c>
    </row>
    <row r="417" spans="1:7" x14ac:dyDescent="0.2">
      <c r="A417" s="75">
        <v>39321</v>
      </c>
      <c r="B417" s="76" t="s">
        <v>35</v>
      </c>
      <c r="C417" s="76" t="s">
        <v>536</v>
      </c>
      <c r="D417" s="79">
        <v>1337.865863</v>
      </c>
      <c r="E417" s="79">
        <v>7.3105000000000002</v>
      </c>
      <c r="F417" s="79">
        <v>7.3182</v>
      </c>
      <c r="G417" s="83">
        <f t="shared" si="5"/>
        <v>6.7496460317460336</v>
      </c>
    </row>
    <row r="418" spans="1:7" x14ac:dyDescent="0.2">
      <c r="A418" s="75">
        <v>39322</v>
      </c>
      <c r="B418" s="76" t="s">
        <v>35</v>
      </c>
      <c r="C418" s="76" t="s">
        <v>536</v>
      </c>
      <c r="D418" s="79">
        <v>1329.446872</v>
      </c>
      <c r="E418" s="79">
        <v>7.3181000000000003</v>
      </c>
      <c r="F418" s="79">
        <v>7.4644000000000004</v>
      </c>
      <c r="G418" s="83">
        <f t="shared" si="5"/>
        <v>6.7656650793650828</v>
      </c>
    </row>
    <row r="419" spans="1:7" x14ac:dyDescent="0.2">
      <c r="A419" s="75">
        <v>39323</v>
      </c>
      <c r="B419" s="76" t="s">
        <v>35</v>
      </c>
      <c r="C419" s="76" t="s">
        <v>536</v>
      </c>
      <c r="D419" s="79">
        <v>1339.9236350000001</v>
      </c>
      <c r="E419" s="79">
        <v>7.4642999999999997</v>
      </c>
      <c r="F419" s="79">
        <v>7.3063000000000002</v>
      </c>
      <c r="G419" s="83">
        <f t="shared" si="5"/>
        <v>6.7837031746031773</v>
      </c>
    </row>
    <row r="420" spans="1:7" x14ac:dyDescent="0.2">
      <c r="A420" s="75">
        <v>39324</v>
      </c>
      <c r="B420" s="76" t="s">
        <v>35</v>
      </c>
      <c r="C420" s="76" t="s">
        <v>536</v>
      </c>
      <c r="D420" s="79">
        <v>1339.62354</v>
      </c>
      <c r="E420" s="79">
        <v>7.3061999999999996</v>
      </c>
      <c r="F420" s="79">
        <v>7.3216000000000001</v>
      </c>
      <c r="G420" s="83">
        <f t="shared" si="5"/>
        <v>6.7997476190476203</v>
      </c>
    </row>
    <row r="421" spans="1:7" x14ac:dyDescent="0.2">
      <c r="A421" s="75">
        <v>39325</v>
      </c>
      <c r="B421" s="76" t="s">
        <v>35</v>
      </c>
      <c r="C421" s="76" t="s">
        <v>536</v>
      </c>
      <c r="D421" s="79">
        <v>1344.554427</v>
      </c>
      <c r="E421" s="79">
        <v>7.3216000000000001</v>
      </c>
      <c r="F421" s="79">
        <v>7.2533000000000003</v>
      </c>
      <c r="G421" s="83">
        <f t="shared" si="5"/>
        <v>6.8171492063492076</v>
      </c>
    </row>
    <row r="422" spans="1:7" x14ac:dyDescent="0.2">
      <c r="A422" s="75">
        <v>39328</v>
      </c>
      <c r="B422" s="76" t="s">
        <v>35</v>
      </c>
      <c r="C422" s="76" t="s">
        <v>536</v>
      </c>
      <c r="D422" s="79">
        <v>1348.6225039999999</v>
      </c>
      <c r="E422" s="79">
        <v>7.2533000000000003</v>
      </c>
      <c r="F422" s="79">
        <v>7.1989999999999998</v>
      </c>
      <c r="G422" s="83">
        <f t="shared" si="5"/>
        <v>6.8318936507936519</v>
      </c>
    </row>
    <row r="423" spans="1:7" x14ac:dyDescent="0.2">
      <c r="A423" s="75">
        <v>39329</v>
      </c>
      <c r="B423" s="76" t="s">
        <v>35</v>
      </c>
      <c r="C423" s="76" t="s">
        <v>536</v>
      </c>
      <c r="D423" s="79">
        <v>1350.735682</v>
      </c>
      <c r="E423" s="79">
        <v>7.1989000000000001</v>
      </c>
      <c r="F423" s="79">
        <v>7.1757999999999997</v>
      </c>
      <c r="G423" s="83">
        <f t="shared" si="5"/>
        <v>6.8450476190476204</v>
      </c>
    </row>
    <row r="424" spans="1:7" x14ac:dyDescent="0.2">
      <c r="A424" s="75">
        <v>39330</v>
      </c>
      <c r="B424" s="76" t="s">
        <v>35</v>
      </c>
      <c r="C424" s="76" t="s">
        <v>536</v>
      </c>
      <c r="D424" s="79">
        <v>1343.949899</v>
      </c>
      <c r="E424" s="79">
        <v>7.1757</v>
      </c>
      <c r="F424" s="79">
        <v>7.2942999999999998</v>
      </c>
      <c r="G424" s="83">
        <f t="shared" si="5"/>
        <v>6.8574412698412699</v>
      </c>
    </row>
    <row r="425" spans="1:7" x14ac:dyDescent="0.2">
      <c r="A425" s="75">
        <v>39331</v>
      </c>
      <c r="B425" s="76" t="s">
        <v>35</v>
      </c>
      <c r="C425" s="76" t="s">
        <v>536</v>
      </c>
      <c r="D425" s="79">
        <v>1348.4378160000001</v>
      </c>
      <c r="E425" s="79">
        <v>7.2942</v>
      </c>
      <c r="F425" s="79">
        <v>7.2332000000000001</v>
      </c>
      <c r="G425" s="83">
        <f t="shared" si="5"/>
        <v>6.8725380952380952</v>
      </c>
    </row>
    <row r="426" spans="1:7" x14ac:dyDescent="0.2">
      <c r="A426" s="75">
        <v>39335</v>
      </c>
      <c r="B426" s="76" t="s">
        <v>35</v>
      </c>
      <c r="C426" s="76" t="s">
        <v>536</v>
      </c>
      <c r="D426" s="79">
        <v>1342.5436910000001</v>
      </c>
      <c r="E426" s="79">
        <v>7.2331000000000003</v>
      </c>
      <c r="F426" s="79">
        <v>7.3376999999999999</v>
      </c>
      <c r="G426" s="83">
        <f t="shared" si="5"/>
        <v>6.887023809523809</v>
      </c>
    </row>
    <row r="427" spans="1:7" x14ac:dyDescent="0.2">
      <c r="A427" s="75">
        <v>39336</v>
      </c>
      <c r="B427" s="76" t="s">
        <v>35</v>
      </c>
      <c r="C427" s="76" t="s">
        <v>536</v>
      </c>
      <c r="D427" s="79">
        <v>1343.419909</v>
      </c>
      <c r="E427" s="79">
        <v>7.3376000000000001</v>
      </c>
      <c r="F427" s="79">
        <v>7.3342000000000001</v>
      </c>
      <c r="G427" s="83">
        <f t="shared" si="5"/>
        <v>6.9017174603174594</v>
      </c>
    </row>
    <row r="428" spans="1:7" x14ac:dyDescent="0.2">
      <c r="A428" s="75">
        <v>39337</v>
      </c>
      <c r="B428" s="76" t="s">
        <v>35</v>
      </c>
      <c r="C428" s="76" t="s">
        <v>536</v>
      </c>
      <c r="D428" s="79">
        <v>1346.394736</v>
      </c>
      <c r="E428" s="79">
        <v>7.3341000000000003</v>
      </c>
      <c r="F428" s="79">
        <v>7.2972000000000001</v>
      </c>
      <c r="G428" s="83">
        <f t="shared" si="5"/>
        <v>6.916484126984126</v>
      </c>
    </row>
    <row r="429" spans="1:7" x14ac:dyDescent="0.2">
      <c r="A429" s="75">
        <v>39338</v>
      </c>
      <c r="B429" s="76" t="s">
        <v>35</v>
      </c>
      <c r="C429" s="76" t="s">
        <v>536</v>
      </c>
      <c r="D429" s="79">
        <v>1346.1240720000001</v>
      </c>
      <c r="E429" s="79">
        <v>7.2969999999999997</v>
      </c>
      <c r="F429" s="79">
        <v>7.3118999999999996</v>
      </c>
      <c r="G429" s="83">
        <f t="shared" si="5"/>
        <v>6.931798412698412</v>
      </c>
    </row>
    <row r="430" spans="1:7" x14ac:dyDescent="0.2">
      <c r="A430" s="75">
        <v>39339</v>
      </c>
      <c r="B430" s="76" t="s">
        <v>35</v>
      </c>
      <c r="C430" s="76" t="s">
        <v>536</v>
      </c>
      <c r="D430" s="79">
        <v>1352.262792</v>
      </c>
      <c r="E430" s="79">
        <v>7.3117000000000001</v>
      </c>
      <c r="F430" s="79">
        <v>7.2245999999999997</v>
      </c>
      <c r="G430" s="83">
        <f t="shared" si="5"/>
        <v>6.9485190476190466</v>
      </c>
    </row>
    <row r="431" spans="1:7" x14ac:dyDescent="0.2">
      <c r="A431" s="75">
        <v>39342</v>
      </c>
      <c r="B431" s="76" t="s">
        <v>35</v>
      </c>
      <c r="C431" s="76" t="s">
        <v>536</v>
      </c>
      <c r="D431" s="79">
        <v>1350.4068420000001</v>
      </c>
      <c r="E431" s="79">
        <v>7.2244000000000002</v>
      </c>
      <c r="F431" s="79">
        <v>7.2644000000000002</v>
      </c>
      <c r="G431" s="83">
        <f t="shared" si="5"/>
        <v>6.9639126984126971</v>
      </c>
    </row>
    <row r="432" spans="1:7" x14ac:dyDescent="0.2">
      <c r="A432" s="75">
        <v>39343</v>
      </c>
      <c r="B432" s="76" t="s">
        <v>35</v>
      </c>
      <c r="C432" s="76" t="s">
        <v>536</v>
      </c>
      <c r="D432" s="79">
        <v>1361.5128769999999</v>
      </c>
      <c r="E432" s="79">
        <v>7.2643000000000004</v>
      </c>
      <c r="F432" s="79">
        <v>7.0984999999999996</v>
      </c>
      <c r="G432" s="83">
        <f t="shared" si="5"/>
        <v>6.9805476190476181</v>
      </c>
    </row>
    <row r="433" spans="1:7" x14ac:dyDescent="0.2">
      <c r="A433" s="75">
        <v>39344</v>
      </c>
      <c r="B433" s="76" t="s">
        <v>35</v>
      </c>
      <c r="C433" s="76" t="s">
        <v>536</v>
      </c>
      <c r="D433" s="79">
        <v>1367.9884770000001</v>
      </c>
      <c r="E433" s="79">
        <v>7.0983999999999998</v>
      </c>
      <c r="F433" s="79">
        <v>7.0065</v>
      </c>
      <c r="G433" s="83">
        <f t="shared" si="5"/>
        <v>6.9938634920634914</v>
      </c>
    </row>
    <row r="434" spans="1:7" x14ac:dyDescent="0.2">
      <c r="A434" s="75">
        <v>39345</v>
      </c>
      <c r="B434" s="76" t="s">
        <v>35</v>
      </c>
      <c r="C434" s="76" t="s">
        <v>536</v>
      </c>
      <c r="D434" s="79">
        <v>1369.7841350000001</v>
      </c>
      <c r="E434" s="79">
        <v>7.0064000000000002</v>
      </c>
      <c r="F434" s="79">
        <v>6.9880000000000004</v>
      </c>
      <c r="G434" s="83">
        <f t="shared" si="5"/>
        <v>7.005580952380952</v>
      </c>
    </row>
    <row r="435" spans="1:7" x14ac:dyDescent="0.2">
      <c r="A435" s="75">
        <v>39346</v>
      </c>
      <c r="B435" s="76" t="s">
        <v>35</v>
      </c>
      <c r="C435" s="76" t="s">
        <v>536</v>
      </c>
      <c r="D435" s="79">
        <v>1373.934835</v>
      </c>
      <c r="E435" s="79">
        <v>6.9878999999999998</v>
      </c>
      <c r="F435" s="79">
        <v>6.9328000000000003</v>
      </c>
      <c r="G435" s="83">
        <f t="shared" si="5"/>
        <v>7.0154285714285711</v>
      </c>
    </row>
    <row r="436" spans="1:7" x14ac:dyDescent="0.2">
      <c r="A436" s="75">
        <v>39349</v>
      </c>
      <c r="B436" s="76" t="s">
        <v>35</v>
      </c>
      <c r="C436" s="76" t="s">
        <v>536</v>
      </c>
      <c r="D436" s="79">
        <v>1370.6563120000001</v>
      </c>
      <c r="E436" s="79">
        <v>6.9325999999999999</v>
      </c>
      <c r="F436" s="79">
        <v>6.9871999999999996</v>
      </c>
      <c r="G436" s="83">
        <f t="shared" si="5"/>
        <v>7.0208714285714269</v>
      </c>
    </row>
    <row r="437" spans="1:7" x14ac:dyDescent="0.2">
      <c r="A437" s="75">
        <v>39350</v>
      </c>
      <c r="B437" s="76" t="s">
        <v>35</v>
      </c>
      <c r="C437" s="76" t="s">
        <v>536</v>
      </c>
      <c r="D437" s="79">
        <v>1373.47849</v>
      </c>
      <c r="E437" s="79">
        <v>6.9870999999999999</v>
      </c>
      <c r="F437" s="79">
        <v>6.9515000000000002</v>
      </c>
      <c r="G437" s="83">
        <f t="shared" si="5"/>
        <v>7.0273777777777768</v>
      </c>
    </row>
    <row r="438" spans="1:7" x14ac:dyDescent="0.2">
      <c r="A438" s="75">
        <v>39351</v>
      </c>
      <c r="B438" s="76" t="s">
        <v>35</v>
      </c>
      <c r="C438" s="76" t="s">
        <v>536</v>
      </c>
      <c r="D438" s="79">
        <v>1373.4406429999999</v>
      </c>
      <c r="E438" s="79">
        <v>6.9512999999999998</v>
      </c>
      <c r="F438" s="79">
        <v>6.9603000000000002</v>
      </c>
      <c r="G438" s="83">
        <f t="shared" si="5"/>
        <v>7.0344507936507936</v>
      </c>
    </row>
    <row r="439" spans="1:7" x14ac:dyDescent="0.2">
      <c r="A439" s="75">
        <v>39352</v>
      </c>
      <c r="B439" s="76" t="s">
        <v>35</v>
      </c>
      <c r="C439" s="76" t="s">
        <v>536</v>
      </c>
      <c r="D439" s="79">
        <v>1374.0898569999999</v>
      </c>
      <c r="E439" s="79">
        <v>6.9602000000000004</v>
      </c>
      <c r="F439" s="79">
        <v>6.9584999999999999</v>
      </c>
      <c r="G439" s="83">
        <f t="shared" si="5"/>
        <v>7.0419079365079353</v>
      </c>
    </row>
    <row r="440" spans="1:7" x14ac:dyDescent="0.2">
      <c r="A440" s="75">
        <v>39353</v>
      </c>
      <c r="B440" s="76" t="s">
        <v>35</v>
      </c>
      <c r="C440" s="76" t="s">
        <v>536</v>
      </c>
      <c r="D440" s="79">
        <v>1376.963287</v>
      </c>
      <c r="E440" s="79">
        <v>6.9583000000000004</v>
      </c>
      <c r="F440" s="79">
        <v>6.9219999999999997</v>
      </c>
      <c r="G440" s="83">
        <f t="shared" si="5"/>
        <v>7.0491539682539672</v>
      </c>
    </row>
    <row r="441" spans="1:7" x14ac:dyDescent="0.2">
      <c r="A441" s="75">
        <v>39356</v>
      </c>
      <c r="B441" s="76" t="s">
        <v>35</v>
      </c>
      <c r="C441" s="76" t="s">
        <v>536</v>
      </c>
      <c r="D441" s="79">
        <v>1380.506161</v>
      </c>
      <c r="E441" s="79">
        <v>6.9218000000000002</v>
      </c>
      <c r="F441" s="79">
        <v>6.8752000000000004</v>
      </c>
      <c r="G441" s="83">
        <f t="shared" si="5"/>
        <v>7.0564095238095241</v>
      </c>
    </row>
    <row r="442" spans="1:7" x14ac:dyDescent="0.2">
      <c r="A442" s="75">
        <v>39357</v>
      </c>
      <c r="B442" s="76" t="s">
        <v>35</v>
      </c>
      <c r="C442" s="76" t="s">
        <v>536</v>
      </c>
      <c r="D442" s="79">
        <v>1380.308943</v>
      </c>
      <c r="E442" s="79">
        <v>6.875</v>
      </c>
      <c r="F442" s="79">
        <v>6.8864000000000001</v>
      </c>
      <c r="G442" s="83">
        <f t="shared" si="5"/>
        <v>7.062723809523809</v>
      </c>
    </row>
    <row r="443" spans="1:7" x14ac:dyDescent="0.2">
      <c r="A443" s="75">
        <v>39358</v>
      </c>
      <c r="B443" s="76" t="s">
        <v>35</v>
      </c>
      <c r="C443" s="76" t="s">
        <v>536</v>
      </c>
      <c r="D443" s="79">
        <v>1379.7190109999999</v>
      </c>
      <c r="E443" s="79">
        <v>6.8861999999999997</v>
      </c>
      <c r="F443" s="79">
        <v>6.9036999999999997</v>
      </c>
      <c r="G443" s="83">
        <f t="shared" si="5"/>
        <v>7.0675714285714282</v>
      </c>
    </row>
    <row r="444" spans="1:7" x14ac:dyDescent="0.2">
      <c r="A444" s="75">
        <v>39359</v>
      </c>
      <c r="B444" s="76" t="s">
        <v>35</v>
      </c>
      <c r="C444" s="76" t="s">
        <v>536</v>
      </c>
      <c r="D444" s="79">
        <v>1379.504228</v>
      </c>
      <c r="E444" s="79">
        <v>6.9036</v>
      </c>
      <c r="F444" s="79">
        <v>6.9153000000000002</v>
      </c>
      <c r="G444" s="83">
        <f t="shared" si="5"/>
        <v>7.0721793650793634</v>
      </c>
    </row>
    <row r="445" spans="1:7" x14ac:dyDescent="0.2">
      <c r="A445" s="75">
        <v>39360</v>
      </c>
      <c r="B445" s="76" t="s">
        <v>35</v>
      </c>
      <c r="C445" s="76" t="s">
        <v>536</v>
      </c>
      <c r="D445" s="79">
        <v>1382.2261739999999</v>
      </c>
      <c r="E445" s="79">
        <v>6.9150999999999998</v>
      </c>
      <c r="F445" s="79">
        <v>6.8813000000000004</v>
      </c>
      <c r="G445" s="83">
        <f t="shared" si="5"/>
        <v>7.0774476190476179</v>
      </c>
    </row>
    <row r="446" spans="1:7" x14ac:dyDescent="0.2">
      <c r="A446" s="75">
        <v>39363</v>
      </c>
      <c r="B446" s="76" t="s">
        <v>35</v>
      </c>
      <c r="C446" s="76" t="s">
        <v>536</v>
      </c>
      <c r="D446" s="79">
        <v>1382.810923</v>
      </c>
      <c r="E446" s="79">
        <v>6.8811</v>
      </c>
      <c r="F446" s="79">
        <v>6.8803999999999998</v>
      </c>
      <c r="G446" s="83">
        <f t="shared" si="5"/>
        <v>7.082174603174602</v>
      </c>
    </row>
    <row r="447" spans="1:7" x14ac:dyDescent="0.2">
      <c r="A447" s="75">
        <v>39364</v>
      </c>
      <c r="B447" s="76" t="s">
        <v>35</v>
      </c>
      <c r="C447" s="76" t="s">
        <v>536</v>
      </c>
      <c r="D447" s="79">
        <v>1388.372955</v>
      </c>
      <c r="E447" s="79">
        <v>6.8802000000000003</v>
      </c>
      <c r="F447" s="79">
        <v>6.8026999999999997</v>
      </c>
      <c r="G447" s="83">
        <f t="shared" si="5"/>
        <v>7.0858666666666661</v>
      </c>
    </row>
    <row r="448" spans="1:7" x14ac:dyDescent="0.2">
      <c r="A448" s="75">
        <v>39365</v>
      </c>
      <c r="B448" s="76" t="s">
        <v>35</v>
      </c>
      <c r="C448" s="76" t="s">
        <v>536</v>
      </c>
      <c r="D448" s="79">
        <v>1386.9926250000001</v>
      </c>
      <c r="E448" s="79">
        <v>6.8025000000000002</v>
      </c>
      <c r="F448" s="79">
        <v>6.8205999999999998</v>
      </c>
      <c r="G448" s="83">
        <f t="shared" si="5"/>
        <v>7.0893047619047609</v>
      </c>
    </row>
    <row r="449" spans="1:7" x14ac:dyDescent="0.2">
      <c r="A449" s="75">
        <v>39366</v>
      </c>
      <c r="B449" s="76" t="s">
        <v>35</v>
      </c>
      <c r="C449" s="76" t="s">
        <v>536</v>
      </c>
      <c r="D449" s="79">
        <v>1386.87084</v>
      </c>
      <c r="E449" s="79">
        <v>6.8204000000000002</v>
      </c>
      <c r="F449" s="79">
        <v>6.8299000000000003</v>
      </c>
      <c r="G449" s="83">
        <f t="shared" si="5"/>
        <v>7.0938682539682523</v>
      </c>
    </row>
    <row r="450" spans="1:7" x14ac:dyDescent="0.2">
      <c r="A450" s="75">
        <v>39370</v>
      </c>
      <c r="B450" s="76" t="s">
        <v>35</v>
      </c>
      <c r="C450" s="76" t="s">
        <v>536</v>
      </c>
      <c r="D450" s="79">
        <v>1388.839577</v>
      </c>
      <c r="E450" s="79">
        <v>6.8297999999999996</v>
      </c>
      <c r="F450" s="79">
        <v>6.8071000000000002</v>
      </c>
      <c r="G450" s="83">
        <f t="shared" si="5"/>
        <v>7.098806349206348</v>
      </c>
    </row>
    <row r="451" spans="1:7" x14ac:dyDescent="0.2">
      <c r="A451" s="75">
        <v>39371</v>
      </c>
      <c r="B451" s="76" t="s">
        <v>35</v>
      </c>
      <c r="C451" s="76" t="s">
        <v>536</v>
      </c>
      <c r="D451" s="79">
        <v>1386.724485</v>
      </c>
      <c r="E451" s="79">
        <v>6.8070000000000004</v>
      </c>
      <c r="F451" s="79">
        <v>6.8476999999999997</v>
      </c>
      <c r="G451" s="83">
        <f t="shared" ref="G451:G514" si="6">+AVERAGE(E389:E451)</f>
        <v>7.1028746031746017</v>
      </c>
    </row>
    <row r="452" spans="1:7" x14ac:dyDescent="0.2">
      <c r="A452" s="75">
        <v>39372</v>
      </c>
      <c r="B452" s="76" t="s">
        <v>35</v>
      </c>
      <c r="C452" s="76" t="s">
        <v>536</v>
      </c>
      <c r="D452" s="79">
        <v>1385.8783940000001</v>
      </c>
      <c r="E452" s="79">
        <v>6.8475999999999999</v>
      </c>
      <c r="F452" s="79">
        <v>6.8688000000000002</v>
      </c>
      <c r="G452" s="83">
        <f t="shared" si="6"/>
        <v>7.1080904761904753</v>
      </c>
    </row>
    <row r="453" spans="1:7" x14ac:dyDescent="0.2">
      <c r="A453" s="75">
        <v>39373</v>
      </c>
      <c r="B453" s="76" t="s">
        <v>35</v>
      </c>
      <c r="C453" s="76" t="s">
        <v>536</v>
      </c>
      <c r="D453" s="79">
        <v>1381.8277</v>
      </c>
      <c r="E453" s="79">
        <v>6.8685999999999998</v>
      </c>
      <c r="F453" s="79">
        <v>6.9394</v>
      </c>
      <c r="G453" s="83">
        <f t="shared" si="6"/>
        <v>7.1135698412698414</v>
      </c>
    </row>
    <row r="454" spans="1:7" x14ac:dyDescent="0.2">
      <c r="A454" s="75">
        <v>39374</v>
      </c>
      <c r="B454" s="76" t="s">
        <v>35</v>
      </c>
      <c r="C454" s="76" t="s">
        <v>536</v>
      </c>
      <c r="D454" s="79">
        <v>1376.5482199999999</v>
      </c>
      <c r="E454" s="79">
        <v>6.9391999999999996</v>
      </c>
      <c r="F454" s="79">
        <v>7.0293999999999999</v>
      </c>
      <c r="G454" s="83">
        <f t="shared" si="6"/>
        <v>7.1188253968253967</v>
      </c>
    </row>
    <row r="455" spans="1:7" x14ac:dyDescent="0.2">
      <c r="A455" s="75">
        <v>39377</v>
      </c>
      <c r="B455" s="76" t="s">
        <v>35</v>
      </c>
      <c r="C455" s="76" t="s">
        <v>536</v>
      </c>
      <c r="D455" s="79">
        <v>1358.3442439999999</v>
      </c>
      <c r="E455" s="79">
        <v>7.0293000000000001</v>
      </c>
      <c r="F455" s="79">
        <v>7.3231999999999999</v>
      </c>
      <c r="G455" s="83">
        <f t="shared" si="6"/>
        <v>7.1250349206349197</v>
      </c>
    </row>
    <row r="456" spans="1:7" x14ac:dyDescent="0.2">
      <c r="A456" s="75">
        <v>39378</v>
      </c>
      <c r="B456" s="76" t="s">
        <v>35</v>
      </c>
      <c r="C456" s="76" t="s">
        <v>536</v>
      </c>
      <c r="D456" s="79">
        <v>1364.7394139999999</v>
      </c>
      <c r="E456" s="79">
        <v>7.3231000000000002</v>
      </c>
      <c r="F456" s="79">
        <v>7.2308000000000003</v>
      </c>
      <c r="G456" s="83">
        <f t="shared" si="6"/>
        <v>7.1358365079365074</v>
      </c>
    </row>
    <row r="457" spans="1:7" x14ac:dyDescent="0.2">
      <c r="A457" s="75">
        <v>39379</v>
      </c>
      <c r="B457" s="76" t="s">
        <v>35</v>
      </c>
      <c r="C457" s="76" t="s">
        <v>536</v>
      </c>
      <c r="D457" s="79">
        <v>1359.64408</v>
      </c>
      <c r="E457" s="79">
        <v>7.2306999999999997</v>
      </c>
      <c r="F457" s="79">
        <v>7.3194999999999997</v>
      </c>
      <c r="G457" s="83">
        <f t="shared" si="6"/>
        <v>7.1435095238095236</v>
      </c>
    </row>
    <row r="458" spans="1:7" x14ac:dyDescent="0.2">
      <c r="A458" s="75">
        <v>39380</v>
      </c>
      <c r="B458" s="76" t="s">
        <v>35</v>
      </c>
      <c r="C458" s="76" t="s">
        <v>536</v>
      </c>
      <c r="D458" s="79">
        <v>1358.2752800000001</v>
      </c>
      <c r="E458" s="79">
        <v>7.3193999999999999</v>
      </c>
      <c r="F458" s="79">
        <v>7.3456999999999999</v>
      </c>
      <c r="G458" s="83">
        <f t="shared" si="6"/>
        <v>7.1525793650793634</v>
      </c>
    </row>
    <row r="459" spans="1:7" x14ac:dyDescent="0.2">
      <c r="A459" s="75">
        <v>39381</v>
      </c>
      <c r="B459" s="76" t="s">
        <v>35</v>
      </c>
      <c r="C459" s="76" t="s">
        <v>536</v>
      </c>
      <c r="D459" s="79">
        <v>1362.606759</v>
      </c>
      <c r="E459" s="79">
        <v>7.3455000000000004</v>
      </c>
      <c r="F459" s="79">
        <v>7.2851999999999997</v>
      </c>
      <c r="G459" s="83">
        <f t="shared" si="6"/>
        <v>7.1579746031746021</v>
      </c>
    </row>
    <row r="460" spans="1:7" x14ac:dyDescent="0.2">
      <c r="A460" s="75">
        <v>39384</v>
      </c>
      <c r="B460" s="76" t="s">
        <v>35</v>
      </c>
      <c r="C460" s="76" t="s">
        <v>536</v>
      </c>
      <c r="D460" s="79">
        <v>1366.5308689999999</v>
      </c>
      <c r="E460" s="79">
        <v>7.2850000000000001</v>
      </c>
      <c r="F460" s="79">
        <v>7.2313000000000001</v>
      </c>
      <c r="G460" s="83">
        <f t="shared" si="6"/>
        <v>7.1640412698412703</v>
      </c>
    </row>
    <row r="461" spans="1:7" x14ac:dyDescent="0.2">
      <c r="A461" s="75">
        <v>39385</v>
      </c>
      <c r="B461" s="76" t="s">
        <v>35</v>
      </c>
      <c r="C461" s="76" t="s">
        <v>536</v>
      </c>
      <c r="D461" s="79">
        <v>1367.4220800000001</v>
      </c>
      <c r="E461" s="79">
        <v>7.2310999999999996</v>
      </c>
      <c r="F461" s="79">
        <v>7.2251000000000003</v>
      </c>
      <c r="G461" s="83">
        <f t="shared" si="6"/>
        <v>7.1693825396825392</v>
      </c>
    </row>
    <row r="462" spans="1:7" x14ac:dyDescent="0.2">
      <c r="A462" s="75">
        <v>39386</v>
      </c>
      <c r="B462" s="76" t="s">
        <v>35</v>
      </c>
      <c r="C462" s="76" t="s">
        <v>536</v>
      </c>
      <c r="D462" s="79">
        <v>1367.555104</v>
      </c>
      <c r="E462" s="79">
        <v>7.2248999999999999</v>
      </c>
      <c r="F462" s="79">
        <v>7.2308000000000003</v>
      </c>
      <c r="G462" s="83">
        <f t="shared" si="6"/>
        <v>7.173987301587303</v>
      </c>
    </row>
    <row r="463" spans="1:7" x14ac:dyDescent="0.2">
      <c r="A463" s="75">
        <v>39387</v>
      </c>
      <c r="B463" s="76" t="s">
        <v>35</v>
      </c>
      <c r="C463" s="76" t="s">
        <v>536</v>
      </c>
      <c r="D463" s="79">
        <v>1364.0114369999999</v>
      </c>
      <c r="E463" s="79">
        <v>7.2306999999999997</v>
      </c>
      <c r="F463" s="79">
        <v>7.2944000000000004</v>
      </c>
      <c r="G463" s="83">
        <f t="shared" si="6"/>
        <v>7.1764015873015881</v>
      </c>
    </row>
    <row r="464" spans="1:7" x14ac:dyDescent="0.2">
      <c r="A464" s="75">
        <v>39391</v>
      </c>
      <c r="B464" s="76" t="s">
        <v>35</v>
      </c>
      <c r="C464" s="76" t="s">
        <v>536</v>
      </c>
      <c r="D464" s="79">
        <v>1359.160104</v>
      </c>
      <c r="E464" s="79">
        <v>7.2942999999999998</v>
      </c>
      <c r="F464" s="79">
        <v>7.3788999999999998</v>
      </c>
      <c r="G464" s="83">
        <f t="shared" si="6"/>
        <v>7.1805603174603192</v>
      </c>
    </row>
    <row r="465" spans="1:7" x14ac:dyDescent="0.2">
      <c r="A465" s="75">
        <v>39392</v>
      </c>
      <c r="B465" s="76" t="s">
        <v>35</v>
      </c>
      <c r="C465" s="76" t="s">
        <v>536</v>
      </c>
      <c r="D465" s="79">
        <v>1364.5236580000001</v>
      </c>
      <c r="E465" s="79">
        <v>7.3787000000000003</v>
      </c>
      <c r="F465" s="79">
        <v>7.3022</v>
      </c>
      <c r="G465" s="83">
        <f t="shared" si="6"/>
        <v>7.184349206349208</v>
      </c>
    </row>
    <row r="466" spans="1:7" x14ac:dyDescent="0.2">
      <c r="A466" s="75">
        <v>39393</v>
      </c>
      <c r="B466" s="76" t="s">
        <v>35</v>
      </c>
      <c r="C466" s="76" t="s">
        <v>536</v>
      </c>
      <c r="D466" s="79">
        <v>1359.4648810000001</v>
      </c>
      <c r="E466" s="79">
        <v>7.3021000000000003</v>
      </c>
      <c r="F466" s="79">
        <v>7.4039999999999999</v>
      </c>
      <c r="G466" s="83">
        <f t="shared" si="6"/>
        <v>7.1862317460317477</v>
      </c>
    </row>
    <row r="467" spans="1:7" x14ac:dyDescent="0.2">
      <c r="A467" s="75">
        <v>39394</v>
      </c>
      <c r="B467" s="76" t="s">
        <v>35</v>
      </c>
      <c r="C467" s="76" t="s">
        <v>536</v>
      </c>
      <c r="D467" s="79">
        <v>1352.638839</v>
      </c>
      <c r="E467" s="79">
        <v>7.4039999999999999</v>
      </c>
      <c r="F467" s="79">
        <v>7.5213000000000001</v>
      </c>
      <c r="G467" s="83">
        <f t="shared" si="6"/>
        <v>7.1911190476190496</v>
      </c>
    </row>
    <row r="468" spans="1:7" x14ac:dyDescent="0.2">
      <c r="A468" s="75">
        <v>39395</v>
      </c>
      <c r="B468" s="76" t="s">
        <v>35</v>
      </c>
      <c r="C468" s="76" t="s">
        <v>536</v>
      </c>
      <c r="D468" s="79">
        <v>1359.182671</v>
      </c>
      <c r="E468" s="79">
        <v>7.5212000000000003</v>
      </c>
      <c r="F468" s="79">
        <v>7.4264999999999999</v>
      </c>
      <c r="G468" s="83">
        <f t="shared" si="6"/>
        <v>7.1991523809523823</v>
      </c>
    </row>
    <row r="469" spans="1:7" x14ac:dyDescent="0.2">
      <c r="A469" s="75">
        <v>39398</v>
      </c>
      <c r="B469" s="76" t="s">
        <v>35</v>
      </c>
      <c r="C469" s="76" t="s">
        <v>536</v>
      </c>
      <c r="D469" s="79">
        <v>1355.0654199999999</v>
      </c>
      <c r="E469" s="79">
        <v>7.4264000000000001</v>
      </c>
      <c r="F469" s="79">
        <v>7.5007000000000001</v>
      </c>
      <c r="G469" s="83">
        <f t="shared" si="6"/>
        <v>7.2028793650793661</v>
      </c>
    </row>
    <row r="470" spans="1:7" x14ac:dyDescent="0.2">
      <c r="A470" s="75">
        <v>39399</v>
      </c>
      <c r="B470" s="76" t="s">
        <v>35</v>
      </c>
      <c r="C470" s="76" t="s">
        <v>536</v>
      </c>
      <c r="D470" s="79">
        <v>1353.85112</v>
      </c>
      <c r="E470" s="79">
        <v>7.5007000000000001</v>
      </c>
      <c r="F470" s="79">
        <v>7.5290999999999997</v>
      </c>
      <c r="G470" s="83">
        <f t="shared" si="6"/>
        <v>7.2080444444444458</v>
      </c>
    </row>
    <row r="471" spans="1:7" x14ac:dyDescent="0.2">
      <c r="A471" s="75">
        <v>39400</v>
      </c>
      <c r="B471" s="76" t="s">
        <v>35</v>
      </c>
      <c r="C471" s="76" t="s">
        <v>536</v>
      </c>
      <c r="D471" s="79">
        <v>1362.6234750000001</v>
      </c>
      <c r="E471" s="79">
        <v>7.5290999999999997</v>
      </c>
      <c r="F471" s="79">
        <v>7.3993000000000002</v>
      </c>
      <c r="G471" s="83">
        <f t="shared" si="6"/>
        <v>7.2142619047619068</v>
      </c>
    </row>
    <row r="472" spans="1:7" x14ac:dyDescent="0.2">
      <c r="A472" s="75">
        <v>39402</v>
      </c>
      <c r="B472" s="76" t="s">
        <v>35</v>
      </c>
      <c r="C472" s="76" t="s">
        <v>536</v>
      </c>
      <c r="D472" s="79">
        <v>1362.155618</v>
      </c>
      <c r="E472" s="79">
        <v>7.3993000000000002</v>
      </c>
      <c r="F472" s="79">
        <v>7.4157000000000002</v>
      </c>
      <c r="G472" s="83">
        <f t="shared" si="6"/>
        <v>7.2167682539682563</v>
      </c>
    </row>
    <row r="473" spans="1:7" x14ac:dyDescent="0.2">
      <c r="A473" s="75">
        <v>39405</v>
      </c>
      <c r="B473" s="76" t="s">
        <v>35</v>
      </c>
      <c r="C473" s="76" t="s">
        <v>536</v>
      </c>
      <c r="D473" s="79">
        <v>1361.8432499999999</v>
      </c>
      <c r="E473" s="79">
        <v>7.4157000000000002</v>
      </c>
      <c r="F473" s="79">
        <v>7.4297000000000004</v>
      </c>
      <c r="G473" s="83">
        <f t="shared" si="6"/>
        <v>7.2151269841269849</v>
      </c>
    </row>
    <row r="474" spans="1:7" x14ac:dyDescent="0.2">
      <c r="A474" s="75">
        <v>39406</v>
      </c>
      <c r="B474" s="76" t="s">
        <v>35</v>
      </c>
      <c r="C474" s="76" t="s">
        <v>536</v>
      </c>
      <c r="D474" s="79">
        <v>1362.6212270000001</v>
      </c>
      <c r="E474" s="79">
        <v>7.4297000000000004</v>
      </c>
      <c r="F474" s="79">
        <v>7.4264999999999999</v>
      </c>
      <c r="G474" s="83">
        <f t="shared" si="6"/>
        <v>7.2043968253968274</v>
      </c>
    </row>
    <row r="475" spans="1:7" x14ac:dyDescent="0.2">
      <c r="A475" s="75">
        <v>39407</v>
      </c>
      <c r="B475" s="76" t="s">
        <v>35</v>
      </c>
      <c r="C475" s="76" t="s">
        <v>536</v>
      </c>
      <c r="D475" s="79">
        <v>1362.0433599999999</v>
      </c>
      <c r="E475" s="79">
        <v>7.4265999999999996</v>
      </c>
      <c r="F475" s="79">
        <v>7.4447999999999999</v>
      </c>
      <c r="G475" s="83">
        <f t="shared" si="6"/>
        <v>7.1999365079365107</v>
      </c>
    </row>
    <row r="476" spans="1:7" x14ac:dyDescent="0.2">
      <c r="A476" s="75">
        <v>39408</v>
      </c>
      <c r="B476" s="76" t="s">
        <v>35</v>
      </c>
      <c r="C476" s="76" t="s">
        <v>536</v>
      </c>
      <c r="D476" s="79">
        <v>1363.7287530000001</v>
      </c>
      <c r="E476" s="79">
        <v>7.4447999999999999</v>
      </c>
      <c r="F476" s="79">
        <v>7.4272999999999998</v>
      </c>
      <c r="G476" s="83">
        <f t="shared" si="6"/>
        <v>7.1946587301587313</v>
      </c>
    </row>
    <row r="477" spans="1:7" x14ac:dyDescent="0.2">
      <c r="A477" s="75">
        <v>39409</v>
      </c>
      <c r="B477" s="76" t="s">
        <v>35</v>
      </c>
      <c r="C477" s="76" t="s">
        <v>536</v>
      </c>
      <c r="D477" s="79">
        <v>1363.8098460000001</v>
      </c>
      <c r="E477" s="79">
        <v>7.4272999999999998</v>
      </c>
      <c r="F477" s="79">
        <v>7.4351000000000003</v>
      </c>
      <c r="G477" s="83">
        <f t="shared" si="6"/>
        <v>7.1886095238095269</v>
      </c>
    </row>
    <row r="478" spans="1:7" x14ac:dyDescent="0.2">
      <c r="A478" s="75">
        <v>39412</v>
      </c>
      <c r="B478" s="76" t="s">
        <v>35</v>
      </c>
      <c r="C478" s="76" t="s">
        <v>536</v>
      </c>
      <c r="D478" s="79">
        <v>1363.161466</v>
      </c>
      <c r="E478" s="79">
        <v>7.4351000000000003</v>
      </c>
      <c r="F478" s="79">
        <v>7.4538000000000002</v>
      </c>
      <c r="G478" s="83">
        <f t="shared" si="6"/>
        <v>7.1851380952380985</v>
      </c>
    </row>
    <row r="479" spans="1:7" x14ac:dyDescent="0.2">
      <c r="A479" s="75">
        <v>39413</v>
      </c>
      <c r="B479" s="76" t="s">
        <v>35</v>
      </c>
      <c r="C479" s="76" t="s">
        <v>536</v>
      </c>
      <c r="D479" s="79">
        <v>1361.1163039999999</v>
      </c>
      <c r="E479" s="79">
        <v>7.4538000000000002</v>
      </c>
      <c r="F479" s="79">
        <v>7.4950999999999999</v>
      </c>
      <c r="G479" s="83">
        <f t="shared" si="6"/>
        <v>7.1859333333333355</v>
      </c>
    </row>
    <row r="480" spans="1:7" x14ac:dyDescent="0.2">
      <c r="A480" s="75">
        <v>39414</v>
      </c>
      <c r="B480" s="76" t="s">
        <v>35</v>
      </c>
      <c r="C480" s="76" t="s">
        <v>536</v>
      </c>
      <c r="D480" s="79">
        <v>1363.163573</v>
      </c>
      <c r="E480" s="79">
        <v>7.4950999999999999</v>
      </c>
      <c r="F480" s="79">
        <v>7.4718</v>
      </c>
      <c r="G480" s="83">
        <f t="shared" si="6"/>
        <v>7.1888634920634935</v>
      </c>
    </row>
    <row r="481" spans="1:7" x14ac:dyDescent="0.2">
      <c r="A481" s="75">
        <v>39415</v>
      </c>
      <c r="B481" s="76" t="s">
        <v>35</v>
      </c>
      <c r="C481" s="76" t="s">
        <v>536</v>
      </c>
      <c r="D481" s="79">
        <v>1360.323081</v>
      </c>
      <c r="E481" s="79">
        <v>7.4718</v>
      </c>
      <c r="F481" s="79">
        <v>7.5256999999999996</v>
      </c>
      <c r="G481" s="83">
        <f t="shared" si="6"/>
        <v>7.1913031746031759</v>
      </c>
    </row>
    <row r="482" spans="1:7" x14ac:dyDescent="0.2">
      <c r="A482" s="75">
        <v>39416</v>
      </c>
      <c r="B482" s="76" t="s">
        <v>35</v>
      </c>
      <c r="C482" s="76" t="s">
        <v>536</v>
      </c>
      <c r="D482" s="79">
        <v>1364.3156939999999</v>
      </c>
      <c r="E482" s="79">
        <v>7.5258000000000003</v>
      </c>
      <c r="F482" s="79">
        <v>7.4718</v>
      </c>
      <c r="G482" s="83">
        <f t="shared" si="6"/>
        <v>7.192279365079365</v>
      </c>
    </row>
    <row r="483" spans="1:7" x14ac:dyDescent="0.2">
      <c r="A483" s="75">
        <v>39419</v>
      </c>
      <c r="B483" s="76" t="s">
        <v>35</v>
      </c>
      <c r="C483" s="76" t="s">
        <v>536</v>
      </c>
      <c r="D483" s="79">
        <v>1364.196205</v>
      </c>
      <c r="E483" s="79">
        <v>7.4718999999999998</v>
      </c>
      <c r="F483" s="79">
        <v>7.4828000000000001</v>
      </c>
      <c r="G483" s="83">
        <f t="shared" si="6"/>
        <v>7.1949095238095246</v>
      </c>
    </row>
    <row r="484" spans="1:7" x14ac:dyDescent="0.2">
      <c r="A484" s="75">
        <v>39420</v>
      </c>
      <c r="B484" s="76" t="s">
        <v>35</v>
      </c>
      <c r="C484" s="76" t="s">
        <v>536</v>
      </c>
      <c r="D484" s="79">
        <v>1360.5641519999999</v>
      </c>
      <c r="E484" s="79">
        <v>7.4828000000000001</v>
      </c>
      <c r="F484" s="79">
        <v>7.5491999999999999</v>
      </c>
      <c r="G484" s="83">
        <f t="shared" si="6"/>
        <v>7.1974682539682551</v>
      </c>
    </row>
    <row r="485" spans="1:7" x14ac:dyDescent="0.2">
      <c r="A485" s="75">
        <v>39421</v>
      </c>
      <c r="B485" s="76" t="s">
        <v>35</v>
      </c>
      <c r="C485" s="76" t="s">
        <v>536</v>
      </c>
      <c r="D485" s="79">
        <v>1355.927612</v>
      </c>
      <c r="E485" s="79">
        <v>7.5492999999999997</v>
      </c>
      <c r="F485" s="79">
        <v>7.6318999999999999</v>
      </c>
      <c r="G485" s="83">
        <f t="shared" si="6"/>
        <v>7.2021666666666677</v>
      </c>
    </row>
    <row r="486" spans="1:7" x14ac:dyDescent="0.2">
      <c r="A486" s="75">
        <v>39422</v>
      </c>
      <c r="B486" s="76" t="s">
        <v>35</v>
      </c>
      <c r="C486" s="76" t="s">
        <v>536</v>
      </c>
      <c r="D486" s="79">
        <v>1359.87663</v>
      </c>
      <c r="E486" s="79">
        <v>7.6319999999999997</v>
      </c>
      <c r="F486" s="79">
        <v>7.5928000000000004</v>
      </c>
      <c r="G486" s="83">
        <f t="shared" si="6"/>
        <v>7.2090412698412702</v>
      </c>
    </row>
    <row r="487" spans="1:7" x14ac:dyDescent="0.2">
      <c r="A487" s="75">
        <v>39423</v>
      </c>
      <c r="B487" s="76" t="s">
        <v>35</v>
      </c>
      <c r="C487" s="76" t="s">
        <v>536</v>
      </c>
      <c r="D487" s="79">
        <v>1363.521986</v>
      </c>
      <c r="E487" s="79">
        <v>7.5928000000000004</v>
      </c>
      <c r="F487" s="79">
        <v>7.5453000000000001</v>
      </c>
      <c r="G487" s="83">
        <f t="shared" si="6"/>
        <v>7.2156619047619053</v>
      </c>
    </row>
    <row r="488" spans="1:7" x14ac:dyDescent="0.2">
      <c r="A488" s="75">
        <v>39426</v>
      </c>
      <c r="B488" s="76" t="s">
        <v>35</v>
      </c>
      <c r="C488" s="76" t="s">
        <v>536</v>
      </c>
      <c r="D488" s="79">
        <v>1360.9218390000001</v>
      </c>
      <c r="E488" s="79">
        <v>7.5453000000000001</v>
      </c>
      <c r="F488" s="79">
        <v>7.5964999999999998</v>
      </c>
      <c r="G488" s="83">
        <f t="shared" si="6"/>
        <v>7.2196476190476204</v>
      </c>
    </row>
    <row r="489" spans="1:7" x14ac:dyDescent="0.2">
      <c r="A489" s="75">
        <v>39427</v>
      </c>
      <c r="B489" s="76" t="s">
        <v>35</v>
      </c>
      <c r="C489" s="76" t="s">
        <v>536</v>
      </c>
      <c r="D489" s="79">
        <v>1365.216831</v>
      </c>
      <c r="E489" s="79">
        <v>7.5964</v>
      </c>
      <c r="F489" s="79">
        <v>7.5387000000000004</v>
      </c>
      <c r="G489" s="83">
        <f t="shared" si="6"/>
        <v>7.2254142857142867</v>
      </c>
    </row>
    <row r="490" spans="1:7" x14ac:dyDescent="0.2">
      <c r="A490" s="75">
        <v>39428</v>
      </c>
      <c r="B490" s="76" t="s">
        <v>35</v>
      </c>
      <c r="C490" s="76" t="s">
        <v>536</v>
      </c>
      <c r="D490" s="79">
        <v>1364.6711929999999</v>
      </c>
      <c r="E490" s="79">
        <v>7.5387000000000004</v>
      </c>
      <c r="F490" s="79">
        <v>7.5574000000000003</v>
      </c>
      <c r="G490" s="83">
        <f t="shared" si="6"/>
        <v>7.2286063492063493</v>
      </c>
    </row>
    <row r="491" spans="1:7" x14ac:dyDescent="0.2">
      <c r="A491" s="75">
        <v>39429</v>
      </c>
      <c r="B491" s="76" t="s">
        <v>35</v>
      </c>
      <c r="C491" s="76" t="s">
        <v>536</v>
      </c>
      <c r="D491" s="79">
        <v>1355.2417620000001</v>
      </c>
      <c r="E491" s="79">
        <v>7.5572999999999997</v>
      </c>
      <c r="F491" s="79">
        <v>7.7168000000000001</v>
      </c>
      <c r="G491" s="83">
        <f t="shared" si="6"/>
        <v>7.2321492063492077</v>
      </c>
    </row>
    <row r="492" spans="1:7" x14ac:dyDescent="0.2">
      <c r="A492" s="75">
        <v>39430</v>
      </c>
      <c r="B492" s="76" t="s">
        <v>35</v>
      </c>
      <c r="C492" s="76" t="s">
        <v>536</v>
      </c>
      <c r="D492" s="79">
        <v>1358.871146</v>
      </c>
      <c r="E492" s="79">
        <v>7.7167000000000003</v>
      </c>
      <c r="F492" s="79">
        <v>7.6692999999999998</v>
      </c>
      <c r="G492" s="83">
        <f t="shared" si="6"/>
        <v>7.2388111111111115</v>
      </c>
    </row>
    <row r="493" spans="1:7" x14ac:dyDescent="0.2">
      <c r="A493" s="75">
        <v>39433</v>
      </c>
      <c r="B493" s="76" t="s">
        <v>35</v>
      </c>
      <c r="C493" s="76" t="s">
        <v>536</v>
      </c>
      <c r="D493" s="79">
        <v>1359.918872</v>
      </c>
      <c r="E493" s="79">
        <v>7.6692</v>
      </c>
      <c r="F493" s="79">
        <v>7.6627999999999998</v>
      </c>
      <c r="G493" s="83">
        <f t="shared" si="6"/>
        <v>7.2444857142857151</v>
      </c>
    </row>
    <row r="494" spans="1:7" x14ac:dyDescent="0.2">
      <c r="A494" s="75">
        <v>39434</v>
      </c>
      <c r="B494" s="76" t="s">
        <v>35</v>
      </c>
      <c r="C494" s="76" t="s">
        <v>536</v>
      </c>
      <c r="D494" s="79">
        <v>1364.9065430000001</v>
      </c>
      <c r="E494" s="79">
        <v>7.6627000000000001</v>
      </c>
      <c r="F494" s="79">
        <v>7.5957999999999997</v>
      </c>
      <c r="G494" s="83">
        <f t="shared" si="6"/>
        <v>7.2514428571428571</v>
      </c>
    </row>
    <row r="495" spans="1:7" x14ac:dyDescent="0.2">
      <c r="A495" s="75">
        <v>39435</v>
      </c>
      <c r="B495" s="76" t="s">
        <v>35</v>
      </c>
      <c r="C495" s="76" t="s">
        <v>536</v>
      </c>
      <c r="D495" s="79">
        <v>1368.00389</v>
      </c>
      <c r="E495" s="79">
        <v>7.5956000000000001</v>
      </c>
      <c r="F495" s="79">
        <v>7.5587</v>
      </c>
      <c r="G495" s="83">
        <f t="shared" si="6"/>
        <v>7.2567015873015857</v>
      </c>
    </row>
    <row r="496" spans="1:7" x14ac:dyDescent="0.2">
      <c r="A496" s="75">
        <v>39436</v>
      </c>
      <c r="B496" s="76" t="s">
        <v>35</v>
      </c>
      <c r="C496" s="76" t="s">
        <v>536</v>
      </c>
      <c r="D496" s="79">
        <v>1364.4499699999999</v>
      </c>
      <c r="E496" s="79">
        <v>7.5586000000000002</v>
      </c>
      <c r="F496" s="79">
        <v>7.6265000000000001</v>
      </c>
      <c r="G496" s="83">
        <f t="shared" si="6"/>
        <v>7.2640063492063485</v>
      </c>
    </row>
    <row r="497" spans="1:7" x14ac:dyDescent="0.2">
      <c r="A497" s="75">
        <v>39437</v>
      </c>
      <c r="B497" s="76" t="s">
        <v>35</v>
      </c>
      <c r="C497" s="76" t="s">
        <v>536</v>
      </c>
      <c r="D497" s="79">
        <v>1364.8811519999999</v>
      </c>
      <c r="E497" s="79">
        <v>7.6262999999999996</v>
      </c>
      <c r="F497" s="79">
        <v>7.6426999999999996</v>
      </c>
      <c r="G497" s="83">
        <f t="shared" si="6"/>
        <v>7.2738460317460314</v>
      </c>
    </row>
    <row r="498" spans="1:7" x14ac:dyDescent="0.2">
      <c r="A498" s="75">
        <v>39440</v>
      </c>
      <c r="B498" s="76" t="s">
        <v>35</v>
      </c>
      <c r="C498" s="76" t="s">
        <v>536</v>
      </c>
      <c r="D498" s="79">
        <v>1365.7917520000001</v>
      </c>
      <c r="E498" s="79">
        <v>7.6425000000000001</v>
      </c>
      <c r="F498" s="79">
        <v>7.6429</v>
      </c>
      <c r="G498" s="83">
        <f t="shared" si="6"/>
        <v>7.2842365079365079</v>
      </c>
    </row>
    <row r="499" spans="1:7" x14ac:dyDescent="0.2">
      <c r="A499" s="75">
        <v>39442</v>
      </c>
      <c r="B499" s="76" t="s">
        <v>35</v>
      </c>
      <c r="C499" s="76" t="s">
        <v>536</v>
      </c>
      <c r="D499" s="79">
        <v>1364.5039810000001</v>
      </c>
      <c r="E499" s="79">
        <v>7.6426999999999996</v>
      </c>
      <c r="F499" s="79">
        <v>7.6778000000000004</v>
      </c>
      <c r="G499" s="83">
        <f t="shared" si="6"/>
        <v>7.2955079365079358</v>
      </c>
    </row>
    <row r="500" spans="1:7" x14ac:dyDescent="0.2">
      <c r="A500" s="75">
        <v>39443</v>
      </c>
      <c r="B500" s="76" t="s">
        <v>35</v>
      </c>
      <c r="C500" s="76" t="s">
        <v>536</v>
      </c>
      <c r="D500" s="79">
        <v>1358.8905789999999</v>
      </c>
      <c r="E500" s="79">
        <v>7.6776</v>
      </c>
      <c r="F500" s="79">
        <v>7.7812999999999999</v>
      </c>
      <c r="G500" s="83">
        <f t="shared" si="6"/>
        <v>7.3064682539682533</v>
      </c>
    </row>
    <row r="501" spans="1:7" x14ac:dyDescent="0.2">
      <c r="A501" s="75">
        <v>39444</v>
      </c>
      <c r="B501" s="76" t="s">
        <v>35</v>
      </c>
      <c r="C501" s="76" t="s">
        <v>536</v>
      </c>
      <c r="D501" s="79">
        <v>1361.81033</v>
      </c>
      <c r="E501" s="79">
        <v>7.7809999999999997</v>
      </c>
      <c r="F501" s="79">
        <v>7.7496</v>
      </c>
      <c r="G501" s="83">
        <f t="shared" si="6"/>
        <v>7.3196380952380942</v>
      </c>
    </row>
    <row r="502" spans="1:7" x14ac:dyDescent="0.2">
      <c r="A502" s="75">
        <v>39447</v>
      </c>
      <c r="B502" s="76" t="s">
        <v>35</v>
      </c>
      <c r="C502" s="76" t="s">
        <v>536</v>
      </c>
      <c r="D502" s="79">
        <v>1362.7811369999999</v>
      </c>
      <c r="E502" s="79">
        <v>7.7492999999999999</v>
      </c>
      <c r="F502" s="79">
        <v>7.7488000000000001</v>
      </c>
      <c r="G502" s="83">
        <f t="shared" si="6"/>
        <v>7.3321634920634908</v>
      </c>
    </row>
    <row r="503" spans="1:7" x14ac:dyDescent="0.2">
      <c r="A503" s="75">
        <v>39449</v>
      </c>
      <c r="B503" s="76" t="s">
        <v>35</v>
      </c>
      <c r="C503" s="76" t="s">
        <v>536</v>
      </c>
      <c r="D503" s="79">
        <v>1368.5431699999999</v>
      </c>
      <c r="E503" s="79">
        <v>7.7485999999999997</v>
      </c>
      <c r="F503" s="79">
        <v>7.6725000000000003</v>
      </c>
      <c r="G503" s="83">
        <f t="shared" si="6"/>
        <v>7.3447079365079357</v>
      </c>
    </row>
    <row r="504" spans="1:7" x14ac:dyDescent="0.2">
      <c r="A504" s="75">
        <v>39450</v>
      </c>
      <c r="B504" s="76" t="s">
        <v>35</v>
      </c>
      <c r="C504" s="76" t="s">
        <v>536</v>
      </c>
      <c r="D504" s="79">
        <v>1375.848933</v>
      </c>
      <c r="E504" s="79">
        <v>7.6722999999999999</v>
      </c>
      <c r="F504" s="79">
        <v>7.5724</v>
      </c>
      <c r="G504" s="83">
        <f t="shared" si="6"/>
        <v>7.3566206349206338</v>
      </c>
    </row>
    <row r="505" spans="1:7" x14ac:dyDescent="0.2">
      <c r="A505" s="75">
        <v>39451</v>
      </c>
      <c r="B505" s="76" t="s">
        <v>35</v>
      </c>
      <c r="C505" s="76" t="s">
        <v>536</v>
      </c>
      <c r="D505" s="79">
        <v>1374.744498</v>
      </c>
      <c r="E505" s="79">
        <v>7.5723000000000003</v>
      </c>
      <c r="F505" s="79">
        <v>7.6043000000000003</v>
      </c>
      <c r="G505" s="83">
        <f t="shared" si="6"/>
        <v>7.3676888888888881</v>
      </c>
    </row>
    <row r="506" spans="1:7" x14ac:dyDescent="0.2">
      <c r="A506" s="75">
        <v>39454</v>
      </c>
      <c r="B506" s="76" t="s">
        <v>35</v>
      </c>
      <c r="C506" s="76" t="s">
        <v>536</v>
      </c>
      <c r="D506" s="79">
        <v>1376.9634370000001</v>
      </c>
      <c r="E506" s="79">
        <v>7.6040999999999999</v>
      </c>
      <c r="F506" s="79">
        <v>7.5841000000000003</v>
      </c>
      <c r="G506" s="83">
        <f t="shared" si="6"/>
        <v>7.3790841269841261</v>
      </c>
    </row>
    <row r="507" spans="1:7" x14ac:dyDescent="0.2">
      <c r="A507" s="75">
        <v>39455</v>
      </c>
      <c r="B507" s="76" t="s">
        <v>35</v>
      </c>
      <c r="C507" s="76" t="s">
        <v>536</v>
      </c>
      <c r="D507" s="79">
        <v>1379.262048</v>
      </c>
      <c r="E507" s="79">
        <v>7.5839999999999996</v>
      </c>
      <c r="F507" s="79">
        <v>7.5628000000000002</v>
      </c>
      <c r="G507" s="83">
        <f t="shared" si="6"/>
        <v>7.3898841269841267</v>
      </c>
    </row>
    <row r="508" spans="1:7" x14ac:dyDescent="0.2">
      <c r="A508" s="75">
        <v>39456</v>
      </c>
      <c r="B508" s="76" t="s">
        <v>35</v>
      </c>
      <c r="C508" s="76" t="s">
        <v>536</v>
      </c>
      <c r="D508" s="79">
        <v>1380.3769070000001</v>
      </c>
      <c r="E508" s="79">
        <v>7.5627000000000004</v>
      </c>
      <c r="F508" s="79">
        <v>7.56</v>
      </c>
      <c r="G508" s="83">
        <f t="shared" si="6"/>
        <v>7.4001634920634922</v>
      </c>
    </row>
    <row r="509" spans="1:7" x14ac:dyDescent="0.2">
      <c r="A509" s="75">
        <v>39457</v>
      </c>
      <c r="B509" s="76" t="s">
        <v>35</v>
      </c>
      <c r="C509" s="76" t="s">
        <v>536</v>
      </c>
      <c r="D509" s="79">
        <v>1379.2679700000001</v>
      </c>
      <c r="E509" s="79">
        <v>7.5598999999999998</v>
      </c>
      <c r="F509" s="79">
        <v>7.5918999999999999</v>
      </c>
      <c r="G509" s="83">
        <f t="shared" si="6"/>
        <v>7.4109380952380963</v>
      </c>
    </row>
    <row r="510" spans="1:7" x14ac:dyDescent="0.2">
      <c r="A510" s="75">
        <v>39458</v>
      </c>
      <c r="B510" s="76" t="s">
        <v>35</v>
      </c>
      <c r="C510" s="76" t="s">
        <v>536</v>
      </c>
      <c r="D510" s="79">
        <v>1381.167811</v>
      </c>
      <c r="E510" s="79">
        <v>7.5918000000000001</v>
      </c>
      <c r="F510" s="79">
        <v>7.5750000000000002</v>
      </c>
      <c r="G510" s="83">
        <f t="shared" si="6"/>
        <v>7.4222333333333337</v>
      </c>
    </row>
    <row r="511" spans="1:7" x14ac:dyDescent="0.2">
      <c r="A511" s="75">
        <v>39461</v>
      </c>
      <c r="B511" s="76" t="s">
        <v>35</v>
      </c>
      <c r="C511" s="76" t="s">
        <v>536</v>
      </c>
      <c r="D511" s="79">
        <v>1381.295903</v>
      </c>
      <c r="E511" s="79">
        <v>7.5749000000000004</v>
      </c>
      <c r="F511" s="79">
        <v>7.5875000000000004</v>
      </c>
      <c r="G511" s="83">
        <f t="shared" si="6"/>
        <v>7.4344936507936517</v>
      </c>
    </row>
    <row r="512" spans="1:7" x14ac:dyDescent="0.2">
      <c r="A512" s="75">
        <v>39462</v>
      </c>
      <c r="B512" s="76" t="s">
        <v>35</v>
      </c>
      <c r="C512" s="76" t="s">
        <v>536</v>
      </c>
      <c r="D512" s="79">
        <v>1382.7403939999999</v>
      </c>
      <c r="E512" s="79">
        <v>7.5873999999999997</v>
      </c>
      <c r="F512" s="79">
        <v>7.5795000000000003</v>
      </c>
      <c r="G512" s="83">
        <f t="shared" si="6"/>
        <v>7.4466682539682543</v>
      </c>
    </row>
    <row r="513" spans="1:7" x14ac:dyDescent="0.2">
      <c r="A513" s="75">
        <v>39463</v>
      </c>
      <c r="B513" s="76" t="s">
        <v>35</v>
      </c>
      <c r="C513" s="76" t="s">
        <v>536</v>
      </c>
      <c r="D513" s="79">
        <v>1381.35943</v>
      </c>
      <c r="E513" s="79">
        <v>7.5793999999999997</v>
      </c>
      <c r="F513" s="79">
        <v>7.6134000000000004</v>
      </c>
      <c r="G513" s="83">
        <f t="shared" si="6"/>
        <v>7.4585666666666679</v>
      </c>
    </row>
    <row r="514" spans="1:7" x14ac:dyDescent="0.2">
      <c r="A514" s="75">
        <v>39464</v>
      </c>
      <c r="B514" s="76" t="s">
        <v>35</v>
      </c>
      <c r="C514" s="76" t="s">
        <v>536</v>
      </c>
      <c r="D514" s="79">
        <v>1379.764518</v>
      </c>
      <c r="E514" s="79">
        <v>7.6132999999999997</v>
      </c>
      <c r="F514" s="79">
        <v>7.6506999999999996</v>
      </c>
      <c r="G514" s="83">
        <f t="shared" si="6"/>
        <v>7.4713650793650794</v>
      </c>
    </row>
    <row r="515" spans="1:7" x14ac:dyDescent="0.2">
      <c r="A515" s="75">
        <v>39465</v>
      </c>
      <c r="B515" s="76" t="s">
        <v>35</v>
      </c>
      <c r="C515" s="76" t="s">
        <v>536</v>
      </c>
      <c r="D515" s="79">
        <v>1380.888361</v>
      </c>
      <c r="E515" s="79">
        <v>7.6505000000000001</v>
      </c>
      <c r="F515" s="79">
        <v>7.6455000000000002</v>
      </c>
      <c r="G515" s="83">
        <f t="shared" ref="G515:G578" si="7">+AVERAGE(E453:E515)</f>
        <v>7.4841095238095248</v>
      </c>
    </row>
    <row r="516" spans="1:7" x14ac:dyDescent="0.2">
      <c r="A516" s="75">
        <v>39468</v>
      </c>
      <c r="B516" s="76" t="s">
        <v>35</v>
      </c>
      <c r="C516" s="76" t="s">
        <v>536</v>
      </c>
      <c r="D516" s="79">
        <v>1374.3284060000001</v>
      </c>
      <c r="E516" s="79">
        <v>7.6454000000000004</v>
      </c>
      <c r="F516" s="79">
        <v>7.7606000000000002</v>
      </c>
      <c r="G516" s="83">
        <f t="shared" si="7"/>
        <v>7.496439682539684</v>
      </c>
    </row>
    <row r="517" spans="1:7" x14ac:dyDescent="0.2">
      <c r="A517" s="75">
        <v>39469</v>
      </c>
      <c r="B517" s="76" t="s">
        <v>35</v>
      </c>
      <c r="C517" s="76" t="s">
        <v>536</v>
      </c>
      <c r="D517" s="79">
        <v>1377.8661959999999</v>
      </c>
      <c r="E517" s="79">
        <v>7.7605000000000004</v>
      </c>
      <c r="F517" s="79">
        <v>7.7176999999999998</v>
      </c>
      <c r="G517" s="83">
        <f t="shared" si="7"/>
        <v>7.5094761904761906</v>
      </c>
    </row>
    <row r="518" spans="1:7" x14ac:dyDescent="0.2">
      <c r="A518" s="75">
        <v>39470</v>
      </c>
      <c r="B518" s="76" t="s">
        <v>35</v>
      </c>
      <c r="C518" s="76" t="s">
        <v>536</v>
      </c>
      <c r="D518" s="79">
        <v>1375.045648</v>
      </c>
      <c r="E518" s="79">
        <v>7.7175000000000002</v>
      </c>
      <c r="F518" s="79">
        <v>7.7743000000000002</v>
      </c>
      <c r="G518" s="83">
        <f t="shared" si="7"/>
        <v>7.5203999999999986</v>
      </c>
    </row>
    <row r="519" spans="1:7" x14ac:dyDescent="0.2">
      <c r="A519" s="75">
        <v>39471</v>
      </c>
      <c r="B519" s="76" t="s">
        <v>35</v>
      </c>
      <c r="C519" s="76" t="s">
        <v>536</v>
      </c>
      <c r="D519" s="79">
        <v>1383.1851180000001</v>
      </c>
      <c r="E519" s="79">
        <v>7.7742000000000004</v>
      </c>
      <c r="F519" s="79">
        <v>7.6596000000000002</v>
      </c>
      <c r="G519" s="83">
        <f t="shared" si="7"/>
        <v>7.527560317460317</v>
      </c>
    </row>
    <row r="520" spans="1:7" x14ac:dyDescent="0.2">
      <c r="A520" s="75">
        <v>39472</v>
      </c>
      <c r="B520" s="76" t="s">
        <v>35</v>
      </c>
      <c r="C520" s="76" t="s">
        <v>536</v>
      </c>
      <c r="D520" s="79">
        <v>1383.9845809999999</v>
      </c>
      <c r="E520" s="79">
        <v>7.6593999999999998</v>
      </c>
      <c r="F520" s="79">
        <v>7.6595000000000004</v>
      </c>
      <c r="G520" s="83">
        <f t="shared" si="7"/>
        <v>7.5343650793650792</v>
      </c>
    </row>
    <row r="521" spans="1:7" x14ac:dyDescent="0.2">
      <c r="A521" s="75">
        <v>39475</v>
      </c>
      <c r="B521" s="76" t="s">
        <v>35</v>
      </c>
      <c r="C521" s="76" t="s">
        <v>536</v>
      </c>
      <c r="D521" s="79">
        <v>1386.0511590000001</v>
      </c>
      <c r="E521" s="79">
        <v>7.6593</v>
      </c>
      <c r="F521" s="79">
        <v>7.6397000000000004</v>
      </c>
      <c r="G521" s="83">
        <f t="shared" si="7"/>
        <v>7.5397603174603169</v>
      </c>
    </row>
    <row r="522" spans="1:7" x14ac:dyDescent="0.2">
      <c r="A522" s="75">
        <v>39476</v>
      </c>
      <c r="B522" s="76" t="s">
        <v>35</v>
      </c>
      <c r="C522" s="76" t="s">
        <v>536</v>
      </c>
      <c r="D522" s="79">
        <v>1386.6581659999999</v>
      </c>
      <c r="E522" s="79">
        <v>7.6395</v>
      </c>
      <c r="F522" s="79">
        <v>7.6425999999999998</v>
      </c>
      <c r="G522" s="83">
        <f t="shared" si="7"/>
        <v>7.544426984126984</v>
      </c>
    </row>
    <row r="523" spans="1:7" x14ac:dyDescent="0.2">
      <c r="A523" s="75">
        <v>39477</v>
      </c>
      <c r="B523" s="76" t="s">
        <v>35</v>
      </c>
      <c r="C523" s="76" t="s">
        <v>536</v>
      </c>
      <c r="D523" s="79">
        <v>1383.6463570000001</v>
      </c>
      <c r="E523" s="79">
        <v>7.6424000000000003</v>
      </c>
      <c r="F523" s="79">
        <v>7.7018000000000004</v>
      </c>
      <c r="G523" s="83">
        <f t="shared" si="7"/>
        <v>7.5500999999999996</v>
      </c>
    </row>
    <row r="524" spans="1:7" x14ac:dyDescent="0.2">
      <c r="A524" s="75">
        <v>39478</v>
      </c>
      <c r="B524" s="76" t="s">
        <v>35</v>
      </c>
      <c r="C524" s="76" t="s">
        <v>536</v>
      </c>
      <c r="D524" s="79">
        <v>1383.5944139999999</v>
      </c>
      <c r="E524" s="79">
        <v>7.7016</v>
      </c>
      <c r="F524" s="79">
        <v>7.7149999999999999</v>
      </c>
      <c r="G524" s="83">
        <f t="shared" si="7"/>
        <v>7.5575682539682534</v>
      </c>
    </row>
    <row r="525" spans="1:7" x14ac:dyDescent="0.2">
      <c r="A525" s="75">
        <v>39479</v>
      </c>
      <c r="B525" s="76" t="s">
        <v>35</v>
      </c>
      <c r="C525" s="76" t="s">
        <v>536</v>
      </c>
      <c r="D525" s="79">
        <v>1384.974982</v>
      </c>
      <c r="E525" s="79">
        <v>7.7146999999999997</v>
      </c>
      <c r="F525" s="79">
        <v>7.7058</v>
      </c>
      <c r="G525" s="83">
        <f t="shared" si="7"/>
        <v>7.5653428571428565</v>
      </c>
    </row>
    <row r="526" spans="1:7" x14ac:dyDescent="0.2">
      <c r="A526" s="75">
        <v>39484</v>
      </c>
      <c r="B526" s="76" t="s">
        <v>35</v>
      </c>
      <c r="C526" s="76" t="s">
        <v>536</v>
      </c>
      <c r="D526" s="79">
        <v>1384.8846799999999</v>
      </c>
      <c r="E526" s="79">
        <v>7.7054999999999998</v>
      </c>
      <c r="F526" s="79">
        <v>7.7195</v>
      </c>
      <c r="G526" s="83">
        <f t="shared" si="7"/>
        <v>7.5728793650793635</v>
      </c>
    </row>
    <row r="527" spans="1:7" x14ac:dyDescent="0.2">
      <c r="A527" s="75">
        <v>39485</v>
      </c>
      <c r="B527" s="76" t="s">
        <v>35</v>
      </c>
      <c r="C527" s="76" t="s">
        <v>536</v>
      </c>
      <c r="D527" s="79">
        <v>1387.1029559999999</v>
      </c>
      <c r="E527" s="79">
        <v>7.7192999999999996</v>
      </c>
      <c r="F527" s="79">
        <v>7.6974</v>
      </c>
      <c r="G527" s="83">
        <f t="shared" si="7"/>
        <v>7.5796253968253957</v>
      </c>
    </row>
    <row r="528" spans="1:7" x14ac:dyDescent="0.2">
      <c r="A528" s="75">
        <v>39486</v>
      </c>
      <c r="B528" s="76" t="s">
        <v>35</v>
      </c>
      <c r="C528" s="76" t="s">
        <v>536</v>
      </c>
      <c r="D528" s="79">
        <v>1388.0225109999999</v>
      </c>
      <c r="E528" s="79">
        <v>7.6970999999999998</v>
      </c>
      <c r="F528" s="79">
        <v>7.6954000000000002</v>
      </c>
      <c r="G528" s="83">
        <f t="shared" si="7"/>
        <v>7.5846793650793636</v>
      </c>
    </row>
    <row r="529" spans="1:7" x14ac:dyDescent="0.2">
      <c r="A529" s="75">
        <v>39489</v>
      </c>
      <c r="B529" s="76" t="s">
        <v>35</v>
      </c>
      <c r="C529" s="76" t="s">
        <v>536</v>
      </c>
      <c r="D529" s="79">
        <v>1390.3739149999999</v>
      </c>
      <c r="E529" s="79">
        <v>7.6951999999999998</v>
      </c>
      <c r="F529" s="79">
        <v>7.6712999999999996</v>
      </c>
      <c r="G529" s="83">
        <f t="shared" si="7"/>
        <v>7.590919047619046</v>
      </c>
    </row>
    <row r="530" spans="1:7" x14ac:dyDescent="0.2">
      <c r="A530" s="75">
        <v>39490</v>
      </c>
      <c r="B530" s="76" t="s">
        <v>35</v>
      </c>
      <c r="C530" s="76" t="s">
        <v>536</v>
      </c>
      <c r="D530" s="79">
        <v>1394.3584350000001</v>
      </c>
      <c r="E530" s="79">
        <v>7.6710000000000003</v>
      </c>
      <c r="F530" s="79">
        <v>7.6219000000000001</v>
      </c>
      <c r="G530" s="83">
        <f t="shared" si="7"/>
        <v>7.5951571428571416</v>
      </c>
    </row>
    <row r="531" spans="1:7" x14ac:dyDescent="0.2">
      <c r="A531" s="75">
        <v>39491</v>
      </c>
      <c r="B531" s="76" t="s">
        <v>35</v>
      </c>
      <c r="C531" s="76" t="s">
        <v>536</v>
      </c>
      <c r="D531" s="79">
        <v>1397.3558439999999</v>
      </c>
      <c r="E531" s="79">
        <v>7.6216999999999997</v>
      </c>
      <c r="F531" s="79">
        <v>7.5743999999999998</v>
      </c>
      <c r="G531" s="83">
        <f t="shared" si="7"/>
        <v>7.5967523809523785</v>
      </c>
    </row>
    <row r="532" spans="1:7" x14ac:dyDescent="0.2">
      <c r="A532" s="75">
        <v>39492</v>
      </c>
      <c r="B532" s="76" t="s">
        <v>35</v>
      </c>
      <c r="C532" s="76" t="s">
        <v>536</v>
      </c>
      <c r="D532" s="79">
        <v>1397.3727530000001</v>
      </c>
      <c r="E532" s="79">
        <v>7.5742000000000003</v>
      </c>
      <c r="F532" s="79">
        <v>7.5857000000000001</v>
      </c>
      <c r="G532" s="83">
        <f t="shared" si="7"/>
        <v>7.5990984126984111</v>
      </c>
    </row>
    <row r="533" spans="1:7" x14ac:dyDescent="0.2">
      <c r="A533" s="75">
        <v>39493</v>
      </c>
      <c r="B533" s="76" t="s">
        <v>35</v>
      </c>
      <c r="C533" s="76" t="s">
        <v>536</v>
      </c>
      <c r="D533" s="79">
        <v>1395.853568</v>
      </c>
      <c r="E533" s="79">
        <v>7.5854999999999997</v>
      </c>
      <c r="F533" s="79">
        <v>7.6207000000000003</v>
      </c>
      <c r="G533" s="83">
        <f t="shared" si="7"/>
        <v>7.6004444444444434</v>
      </c>
    </row>
    <row r="534" spans="1:7" x14ac:dyDescent="0.2">
      <c r="A534" s="75">
        <v>39496</v>
      </c>
      <c r="B534" s="76" t="s">
        <v>35</v>
      </c>
      <c r="C534" s="76" t="s">
        <v>536</v>
      </c>
      <c r="D534" s="79">
        <v>1402.66319</v>
      </c>
      <c r="E534" s="79">
        <v>7.6204000000000001</v>
      </c>
      <c r="F534" s="79">
        <v>7.5269000000000004</v>
      </c>
      <c r="G534" s="83">
        <f t="shared" si="7"/>
        <v>7.6018936507936505</v>
      </c>
    </row>
    <row r="535" spans="1:7" x14ac:dyDescent="0.2">
      <c r="A535" s="75">
        <v>39497</v>
      </c>
      <c r="B535" s="76" t="s">
        <v>35</v>
      </c>
      <c r="C535" s="76" t="s">
        <v>536</v>
      </c>
      <c r="D535" s="79">
        <v>1401.784314</v>
      </c>
      <c r="E535" s="79">
        <v>7.5266999999999999</v>
      </c>
      <c r="F535" s="79">
        <v>7.5514000000000001</v>
      </c>
      <c r="G535" s="83">
        <f t="shared" si="7"/>
        <v>7.6039158730158727</v>
      </c>
    </row>
    <row r="536" spans="1:7" x14ac:dyDescent="0.2">
      <c r="A536" s="75">
        <v>39498</v>
      </c>
      <c r="B536" s="76" t="s">
        <v>35</v>
      </c>
      <c r="C536" s="76" t="s">
        <v>536</v>
      </c>
      <c r="D536" s="79">
        <v>1406.065298</v>
      </c>
      <c r="E536" s="79">
        <v>7.5511999999999997</v>
      </c>
      <c r="F536" s="79">
        <v>7.4968000000000004</v>
      </c>
      <c r="G536" s="83">
        <f t="shared" si="7"/>
        <v>7.6060666666666661</v>
      </c>
    </row>
    <row r="537" spans="1:7" x14ac:dyDescent="0.2">
      <c r="A537" s="75">
        <v>39499</v>
      </c>
      <c r="B537" s="76" t="s">
        <v>35</v>
      </c>
      <c r="C537" s="76" t="s">
        <v>536</v>
      </c>
      <c r="D537" s="79">
        <v>1413.6090859999999</v>
      </c>
      <c r="E537" s="79">
        <v>7.4965999999999999</v>
      </c>
      <c r="F537" s="79">
        <v>7.3926999999999996</v>
      </c>
      <c r="G537" s="83">
        <f t="shared" si="7"/>
        <v>7.6071285714285706</v>
      </c>
    </row>
    <row r="538" spans="1:7" x14ac:dyDescent="0.2">
      <c r="A538" s="75">
        <v>39500</v>
      </c>
      <c r="B538" s="76" t="s">
        <v>35</v>
      </c>
      <c r="C538" s="76" t="s">
        <v>536</v>
      </c>
      <c r="D538" s="79">
        <v>1416.702855</v>
      </c>
      <c r="E538" s="79">
        <v>7.3924000000000003</v>
      </c>
      <c r="F538" s="79">
        <v>7.3564999999999996</v>
      </c>
      <c r="G538" s="83">
        <f t="shared" si="7"/>
        <v>7.6065857142857141</v>
      </c>
    </row>
    <row r="539" spans="1:7" x14ac:dyDescent="0.2">
      <c r="A539" s="75">
        <v>39503</v>
      </c>
      <c r="B539" s="76" t="s">
        <v>35</v>
      </c>
      <c r="C539" s="76" t="s">
        <v>536</v>
      </c>
      <c r="D539" s="79">
        <v>1416.1133259999999</v>
      </c>
      <c r="E539" s="79">
        <v>7.3562000000000003</v>
      </c>
      <c r="F539" s="79">
        <v>7.3761999999999999</v>
      </c>
      <c r="G539" s="83">
        <f t="shared" si="7"/>
        <v>7.6051793650793647</v>
      </c>
    </row>
    <row r="540" spans="1:7" x14ac:dyDescent="0.2">
      <c r="A540" s="75">
        <v>39504</v>
      </c>
      <c r="B540" s="76" t="s">
        <v>35</v>
      </c>
      <c r="C540" s="76" t="s">
        <v>536</v>
      </c>
      <c r="D540" s="79">
        <v>1421.0697</v>
      </c>
      <c r="E540" s="79">
        <v>7.3758999999999997</v>
      </c>
      <c r="F540" s="79">
        <v>7.3118999999999996</v>
      </c>
      <c r="G540" s="83">
        <f t="shared" si="7"/>
        <v>7.6043634920634915</v>
      </c>
    </row>
    <row r="541" spans="1:7" x14ac:dyDescent="0.2">
      <c r="A541" s="75">
        <v>39505</v>
      </c>
      <c r="B541" s="76" t="s">
        <v>35</v>
      </c>
      <c r="C541" s="76" t="s">
        <v>536</v>
      </c>
      <c r="D541" s="79">
        <v>1421.5064299999999</v>
      </c>
      <c r="E541" s="79">
        <v>7.3116000000000003</v>
      </c>
      <c r="F541" s="79">
        <v>7.3151999999999999</v>
      </c>
      <c r="G541" s="83">
        <f t="shared" si="7"/>
        <v>7.6024031746031744</v>
      </c>
    </row>
    <row r="542" spans="1:7" x14ac:dyDescent="0.2">
      <c r="A542" s="75">
        <v>39506</v>
      </c>
      <c r="B542" s="76" t="s">
        <v>35</v>
      </c>
      <c r="C542" s="76" t="s">
        <v>536</v>
      </c>
      <c r="D542" s="79">
        <v>1424.044574</v>
      </c>
      <c r="E542" s="79">
        <v>7.3148999999999997</v>
      </c>
      <c r="F542" s="79">
        <v>7.2874999999999996</v>
      </c>
      <c r="G542" s="83">
        <f t="shared" si="7"/>
        <v>7.600198412698413</v>
      </c>
    </row>
    <row r="543" spans="1:7" x14ac:dyDescent="0.2">
      <c r="A543" s="75">
        <v>39507</v>
      </c>
      <c r="B543" s="76" t="s">
        <v>35</v>
      </c>
      <c r="C543" s="76" t="s">
        <v>536</v>
      </c>
      <c r="D543" s="79">
        <v>1422.6192610000001</v>
      </c>
      <c r="E543" s="79">
        <v>7.2872000000000003</v>
      </c>
      <c r="F543" s="79">
        <v>7.3196000000000003</v>
      </c>
      <c r="G543" s="83">
        <f t="shared" si="7"/>
        <v>7.5968984126984127</v>
      </c>
    </row>
    <row r="544" spans="1:7" x14ac:dyDescent="0.2">
      <c r="A544" s="75">
        <v>39510</v>
      </c>
      <c r="B544" s="76" t="s">
        <v>35</v>
      </c>
      <c r="C544" s="76" t="s">
        <v>536</v>
      </c>
      <c r="D544" s="79">
        <v>1426.607129</v>
      </c>
      <c r="E544" s="79">
        <v>7.3193000000000001</v>
      </c>
      <c r="F544" s="79">
        <v>7.2701000000000002</v>
      </c>
      <c r="G544" s="83">
        <f t="shared" si="7"/>
        <v>7.5944777777777777</v>
      </c>
    </row>
    <row r="545" spans="1:7" x14ac:dyDescent="0.2">
      <c r="A545" s="75">
        <v>39511</v>
      </c>
      <c r="B545" s="76" t="s">
        <v>35</v>
      </c>
      <c r="C545" s="76" t="s">
        <v>536</v>
      </c>
      <c r="D545" s="79">
        <v>1426.2468120000001</v>
      </c>
      <c r="E545" s="79">
        <v>7.2698</v>
      </c>
      <c r="F545" s="79">
        <v>7.2861000000000002</v>
      </c>
      <c r="G545" s="83">
        <f t="shared" si="7"/>
        <v>7.5904142857142851</v>
      </c>
    </row>
    <row r="546" spans="1:7" x14ac:dyDescent="0.2">
      <c r="A546" s="75">
        <v>39512</v>
      </c>
      <c r="B546" s="76" t="s">
        <v>35</v>
      </c>
      <c r="C546" s="76" t="s">
        <v>536</v>
      </c>
      <c r="D546" s="79">
        <v>1429.424788</v>
      </c>
      <c r="E546" s="79">
        <v>7.2857000000000003</v>
      </c>
      <c r="F546" s="79">
        <v>7.2488000000000001</v>
      </c>
      <c r="G546" s="83">
        <f t="shared" si="7"/>
        <v>7.5874587301587297</v>
      </c>
    </row>
    <row r="547" spans="1:7" x14ac:dyDescent="0.2">
      <c r="A547" s="75">
        <v>39513</v>
      </c>
      <c r="B547" s="76" t="s">
        <v>35</v>
      </c>
      <c r="C547" s="76" t="s">
        <v>536</v>
      </c>
      <c r="D547" s="79">
        <v>1420.4011909999999</v>
      </c>
      <c r="E547" s="79">
        <v>7.2484000000000002</v>
      </c>
      <c r="F547" s="79">
        <v>7.3952999999999998</v>
      </c>
      <c r="G547" s="83">
        <f t="shared" si="7"/>
        <v>7.5837380952380951</v>
      </c>
    </row>
    <row r="548" spans="1:7" x14ac:dyDescent="0.2">
      <c r="A548" s="75">
        <v>39514</v>
      </c>
      <c r="B548" s="76" t="s">
        <v>35</v>
      </c>
      <c r="C548" s="76" t="s">
        <v>536</v>
      </c>
      <c r="D548" s="79">
        <v>1411.7308069999999</v>
      </c>
      <c r="E548" s="79">
        <v>7.3949999999999996</v>
      </c>
      <c r="F548" s="79">
        <v>7.5377000000000001</v>
      </c>
      <c r="G548" s="83">
        <f t="shared" si="7"/>
        <v>7.5812888888888885</v>
      </c>
    </row>
    <row r="549" spans="1:7" x14ac:dyDescent="0.2">
      <c r="A549" s="75">
        <v>39517</v>
      </c>
      <c r="B549" s="76" t="s">
        <v>35</v>
      </c>
      <c r="C549" s="76" t="s">
        <v>536</v>
      </c>
      <c r="D549" s="79">
        <v>1405.133347</v>
      </c>
      <c r="E549" s="79">
        <v>7.5373000000000001</v>
      </c>
      <c r="F549" s="79">
        <v>7.6493000000000002</v>
      </c>
      <c r="G549" s="83">
        <f t="shared" si="7"/>
        <v>7.5797857142857143</v>
      </c>
    </row>
    <row r="550" spans="1:7" x14ac:dyDescent="0.2">
      <c r="A550" s="75">
        <v>39518</v>
      </c>
      <c r="B550" s="76" t="s">
        <v>35</v>
      </c>
      <c r="C550" s="76" t="s">
        <v>536</v>
      </c>
      <c r="D550" s="79">
        <v>1412.640866</v>
      </c>
      <c r="E550" s="79">
        <v>7.6489000000000003</v>
      </c>
      <c r="F550" s="79">
        <v>7.5471000000000004</v>
      </c>
      <c r="G550" s="83">
        <f t="shared" si="7"/>
        <v>7.5806761904761908</v>
      </c>
    </row>
    <row r="551" spans="1:7" x14ac:dyDescent="0.2">
      <c r="A551" s="75">
        <v>39519</v>
      </c>
      <c r="B551" s="76" t="s">
        <v>35</v>
      </c>
      <c r="C551" s="76" t="s">
        <v>536</v>
      </c>
      <c r="D551" s="79">
        <v>1410.348285</v>
      </c>
      <c r="E551" s="79">
        <v>7.5465999999999998</v>
      </c>
      <c r="F551" s="79">
        <v>7.5928000000000004</v>
      </c>
      <c r="G551" s="83">
        <f t="shared" si="7"/>
        <v>7.5806968253968261</v>
      </c>
    </row>
    <row r="552" spans="1:7" x14ac:dyDescent="0.2">
      <c r="A552" s="75">
        <v>39520</v>
      </c>
      <c r="B552" s="76" t="s">
        <v>35</v>
      </c>
      <c r="C552" s="76" t="s">
        <v>536</v>
      </c>
      <c r="D552" s="79">
        <v>1395.6916510000001</v>
      </c>
      <c r="E552" s="79">
        <v>7.5922999999999998</v>
      </c>
      <c r="F552" s="79">
        <v>7.8288000000000002</v>
      </c>
      <c r="G552" s="83">
        <f t="shared" si="7"/>
        <v>7.5806317460317469</v>
      </c>
    </row>
    <row r="553" spans="1:7" x14ac:dyDescent="0.2">
      <c r="A553" s="75">
        <v>39521</v>
      </c>
      <c r="B553" s="76" t="s">
        <v>35</v>
      </c>
      <c r="C553" s="76" t="s">
        <v>536</v>
      </c>
      <c r="D553" s="79">
        <v>1390.38103</v>
      </c>
      <c r="E553" s="79">
        <v>7.8282999999999996</v>
      </c>
      <c r="F553" s="79">
        <v>7.9221000000000004</v>
      </c>
      <c r="G553" s="83">
        <f t="shared" si="7"/>
        <v>7.5852285714285728</v>
      </c>
    </row>
    <row r="554" spans="1:7" x14ac:dyDescent="0.2">
      <c r="A554" s="75">
        <v>39524</v>
      </c>
      <c r="B554" s="76" t="s">
        <v>35</v>
      </c>
      <c r="C554" s="76" t="s">
        <v>536</v>
      </c>
      <c r="D554" s="79">
        <v>1386.1966010000001</v>
      </c>
      <c r="E554" s="79">
        <v>7.9215999999999998</v>
      </c>
      <c r="F554" s="79">
        <v>7.9983000000000004</v>
      </c>
      <c r="G554" s="83">
        <f t="shared" si="7"/>
        <v>7.5910111111111132</v>
      </c>
    </row>
    <row r="555" spans="1:7" x14ac:dyDescent="0.2">
      <c r="A555" s="75">
        <v>39525</v>
      </c>
      <c r="B555" s="76" t="s">
        <v>35</v>
      </c>
      <c r="C555" s="76" t="s">
        <v>536</v>
      </c>
      <c r="D555" s="79">
        <v>1394.461534</v>
      </c>
      <c r="E555" s="79">
        <v>7.9977999999999998</v>
      </c>
      <c r="F555" s="79">
        <v>7.8792</v>
      </c>
      <c r="G555" s="83">
        <f t="shared" si="7"/>
        <v>7.5954730158730177</v>
      </c>
    </row>
    <row r="556" spans="1:7" x14ac:dyDescent="0.2">
      <c r="A556" s="75">
        <v>39526</v>
      </c>
      <c r="B556" s="76" t="s">
        <v>35</v>
      </c>
      <c r="C556" s="76" t="s">
        <v>536</v>
      </c>
      <c r="D556" s="79">
        <v>1388.0498500000001</v>
      </c>
      <c r="E556" s="79">
        <v>7.8788</v>
      </c>
      <c r="F556" s="79">
        <v>7.9881000000000002</v>
      </c>
      <c r="G556" s="83">
        <f t="shared" si="7"/>
        <v>7.5988000000000024</v>
      </c>
    </row>
    <row r="557" spans="1:7" x14ac:dyDescent="0.2">
      <c r="A557" s="75">
        <v>39527</v>
      </c>
      <c r="B557" s="76" t="s">
        <v>35</v>
      </c>
      <c r="C557" s="76" t="s">
        <v>536</v>
      </c>
      <c r="D557" s="79">
        <v>1386.069268</v>
      </c>
      <c r="E557" s="79">
        <v>7.9877000000000002</v>
      </c>
      <c r="F557" s="79">
        <v>8.0283999999999995</v>
      </c>
      <c r="G557" s="83">
        <f t="shared" si="7"/>
        <v>7.6039587301587339</v>
      </c>
    </row>
    <row r="558" spans="1:7" x14ac:dyDescent="0.2">
      <c r="A558" s="75">
        <v>39531</v>
      </c>
      <c r="B558" s="76" t="s">
        <v>35</v>
      </c>
      <c r="C558" s="76" t="s">
        <v>536</v>
      </c>
      <c r="D558" s="79">
        <v>1383.928173</v>
      </c>
      <c r="E558" s="79">
        <v>8.0279000000000007</v>
      </c>
      <c r="F558" s="79">
        <v>8.0711999999999993</v>
      </c>
      <c r="G558" s="83">
        <f t="shared" si="7"/>
        <v>7.6108206349206373</v>
      </c>
    </row>
    <row r="559" spans="1:7" x14ac:dyDescent="0.2">
      <c r="A559" s="75">
        <v>39532</v>
      </c>
      <c r="B559" s="76" t="s">
        <v>35</v>
      </c>
      <c r="C559" s="76" t="s">
        <v>536</v>
      </c>
      <c r="D559" s="79">
        <v>1382.572932</v>
      </c>
      <c r="E559" s="79">
        <v>8.0707000000000004</v>
      </c>
      <c r="F559" s="79">
        <v>8.1018000000000008</v>
      </c>
      <c r="G559" s="83">
        <f t="shared" si="7"/>
        <v>7.6189492063492095</v>
      </c>
    </row>
    <row r="560" spans="1:7" x14ac:dyDescent="0.2">
      <c r="A560" s="75">
        <v>39533</v>
      </c>
      <c r="B560" s="76" t="s">
        <v>35</v>
      </c>
      <c r="C560" s="76" t="s">
        <v>536</v>
      </c>
      <c r="D560" s="79">
        <v>1380.761745</v>
      </c>
      <c r="E560" s="79">
        <v>8.1013000000000002</v>
      </c>
      <c r="F560" s="79">
        <v>8.1395999999999997</v>
      </c>
      <c r="G560" s="83">
        <f t="shared" si="7"/>
        <v>7.6264888888888915</v>
      </c>
    </row>
    <row r="561" spans="1:7" x14ac:dyDescent="0.2">
      <c r="A561" s="75">
        <v>39534</v>
      </c>
      <c r="B561" s="76" t="s">
        <v>35</v>
      </c>
      <c r="C561" s="76" t="s">
        <v>536</v>
      </c>
      <c r="D561" s="79">
        <v>1384.2706880000001</v>
      </c>
      <c r="E561" s="79">
        <v>8.1390999999999991</v>
      </c>
      <c r="F561" s="79">
        <v>8.0963999999999992</v>
      </c>
      <c r="G561" s="83">
        <f t="shared" si="7"/>
        <v>7.6343714285714315</v>
      </c>
    </row>
    <row r="562" spans="1:7" x14ac:dyDescent="0.2">
      <c r="A562" s="75">
        <v>39535</v>
      </c>
      <c r="B562" s="76" t="s">
        <v>35</v>
      </c>
      <c r="C562" s="76" t="s">
        <v>536</v>
      </c>
      <c r="D562" s="79">
        <v>1389.660071</v>
      </c>
      <c r="E562" s="79">
        <v>8.0959000000000003</v>
      </c>
      <c r="F562" s="79">
        <v>8.0221</v>
      </c>
      <c r="G562" s="83">
        <f t="shared" si="7"/>
        <v>7.6415650793650807</v>
      </c>
    </row>
    <row r="563" spans="1:7" x14ac:dyDescent="0.2">
      <c r="A563" s="75">
        <v>39538</v>
      </c>
      <c r="B563" s="76" t="s">
        <v>35</v>
      </c>
      <c r="C563" s="76" t="s">
        <v>536</v>
      </c>
      <c r="D563" s="79">
        <v>1388.265214</v>
      </c>
      <c r="E563" s="79">
        <v>8.0215999999999994</v>
      </c>
      <c r="F563" s="79">
        <v>8.0534999999999997</v>
      </c>
      <c r="G563" s="83">
        <f t="shared" si="7"/>
        <v>7.6470253968253976</v>
      </c>
    </row>
    <row r="564" spans="1:7" x14ac:dyDescent="0.2">
      <c r="A564" s="75">
        <v>39539</v>
      </c>
      <c r="B564" s="76" t="s">
        <v>35</v>
      </c>
      <c r="C564" s="76" t="s">
        <v>536</v>
      </c>
      <c r="D564" s="79">
        <v>1392.9865239999999</v>
      </c>
      <c r="E564" s="79">
        <v>8.0530000000000008</v>
      </c>
      <c r="F564" s="79">
        <v>7.9897999999999998</v>
      </c>
      <c r="G564" s="83">
        <f t="shared" si="7"/>
        <v>7.6513428571428577</v>
      </c>
    </row>
    <row r="565" spans="1:7" x14ac:dyDescent="0.2">
      <c r="A565" s="75">
        <v>39540</v>
      </c>
      <c r="B565" s="76" t="s">
        <v>35</v>
      </c>
      <c r="C565" s="76" t="s">
        <v>536</v>
      </c>
      <c r="D565" s="79">
        <v>1396.2552109999999</v>
      </c>
      <c r="E565" s="79">
        <v>7.9892000000000003</v>
      </c>
      <c r="F565" s="79">
        <v>7.9486999999999997</v>
      </c>
      <c r="G565" s="83">
        <f t="shared" si="7"/>
        <v>7.6551507936507948</v>
      </c>
    </row>
    <row r="566" spans="1:7" x14ac:dyDescent="0.2">
      <c r="A566" s="75">
        <v>39541</v>
      </c>
      <c r="B566" s="76" t="s">
        <v>35</v>
      </c>
      <c r="C566" s="76" t="s">
        <v>536</v>
      </c>
      <c r="D566" s="79">
        <v>1401.8005579999999</v>
      </c>
      <c r="E566" s="79">
        <v>7.9481999999999999</v>
      </c>
      <c r="F566" s="79">
        <v>7.8727</v>
      </c>
      <c r="G566" s="83">
        <f t="shared" si="7"/>
        <v>7.6583190476190479</v>
      </c>
    </row>
    <row r="567" spans="1:7" x14ac:dyDescent="0.2">
      <c r="A567" s="75">
        <v>39542</v>
      </c>
      <c r="B567" s="76" t="s">
        <v>35</v>
      </c>
      <c r="C567" s="76" t="s">
        <v>536</v>
      </c>
      <c r="D567" s="79">
        <v>1402.2453169999999</v>
      </c>
      <c r="E567" s="79">
        <v>7.8722000000000003</v>
      </c>
      <c r="F567" s="79">
        <v>7.8754</v>
      </c>
      <c r="G567" s="83">
        <f t="shared" si="7"/>
        <v>7.6614920634920631</v>
      </c>
    </row>
    <row r="568" spans="1:7" x14ac:dyDescent="0.2">
      <c r="A568" s="75">
        <v>39545</v>
      </c>
      <c r="B568" s="76" t="s">
        <v>35</v>
      </c>
      <c r="C568" s="76" t="s">
        <v>536</v>
      </c>
      <c r="D568" s="79">
        <v>1399.1941859999999</v>
      </c>
      <c r="E568" s="79">
        <v>7.8747999999999996</v>
      </c>
      <c r="F568" s="79">
        <v>7.9318999999999997</v>
      </c>
      <c r="G568" s="83">
        <f t="shared" si="7"/>
        <v>7.6662936507936514</v>
      </c>
    </row>
    <row r="569" spans="1:7" x14ac:dyDescent="0.2">
      <c r="A569" s="75">
        <v>39546</v>
      </c>
      <c r="B569" s="76" t="s">
        <v>35</v>
      </c>
      <c r="C569" s="76" t="s">
        <v>536</v>
      </c>
      <c r="D569" s="79">
        <v>1400.477318</v>
      </c>
      <c r="E569" s="79">
        <v>7.9314</v>
      </c>
      <c r="F569" s="79">
        <v>7.9217000000000004</v>
      </c>
      <c r="G569" s="83">
        <f t="shared" si="7"/>
        <v>7.6714888888888897</v>
      </c>
    </row>
    <row r="570" spans="1:7" x14ac:dyDescent="0.2">
      <c r="A570" s="75">
        <v>39547</v>
      </c>
      <c r="B570" s="76" t="s">
        <v>35</v>
      </c>
      <c r="C570" s="76" t="s">
        <v>536</v>
      </c>
      <c r="D570" s="79">
        <v>1403.705062</v>
      </c>
      <c r="E570" s="79">
        <v>7.9211999999999998</v>
      </c>
      <c r="F570" s="79">
        <v>7.9074</v>
      </c>
      <c r="G570" s="83">
        <f t="shared" si="7"/>
        <v>7.6768412698412689</v>
      </c>
    </row>
    <row r="571" spans="1:7" x14ac:dyDescent="0.2">
      <c r="A571" s="75">
        <v>39548</v>
      </c>
      <c r="B571" s="76" t="s">
        <v>35</v>
      </c>
      <c r="C571" s="76" t="s">
        <v>536</v>
      </c>
      <c r="D571" s="79">
        <v>1402.918715</v>
      </c>
      <c r="E571" s="79">
        <v>7.9069000000000003</v>
      </c>
      <c r="F571" s="79">
        <v>7.9306999999999999</v>
      </c>
      <c r="G571" s="83">
        <f t="shared" si="7"/>
        <v>7.6823047619047626</v>
      </c>
    </row>
    <row r="572" spans="1:7" x14ac:dyDescent="0.2">
      <c r="A572" s="75">
        <v>39549</v>
      </c>
      <c r="B572" s="76" t="s">
        <v>35</v>
      </c>
      <c r="C572" s="76" t="s">
        <v>536</v>
      </c>
      <c r="D572" s="79">
        <v>1403.0106780000001</v>
      </c>
      <c r="E572" s="79">
        <v>7.9301000000000004</v>
      </c>
      <c r="F572" s="79">
        <v>7.9404000000000003</v>
      </c>
      <c r="G572" s="83">
        <f t="shared" si="7"/>
        <v>7.688180952380951</v>
      </c>
    </row>
    <row r="573" spans="1:7" x14ac:dyDescent="0.2">
      <c r="A573" s="75">
        <v>39552</v>
      </c>
      <c r="B573" s="76" t="s">
        <v>35</v>
      </c>
      <c r="C573" s="76" t="s">
        <v>536</v>
      </c>
      <c r="D573" s="79">
        <v>1402.772076</v>
      </c>
      <c r="E573" s="79">
        <v>7.9398</v>
      </c>
      <c r="F573" s="79">
        <v>7.9551999999999996</v>
      </c>
      <c r="G573" s="83">
        <f t="shared" si="7"/>
        <v>7.6937047619047618</v>
      </c>
    </row>
    <row r="574" spans="1:7" x14ac:dyDescent="0.2">
      <c r="A574" s="75">
        <v>39553</v>
      </c>
      <c r="B574" s="76" t="s">
        <v>35</v>
      </c>
      <c r="C574" s="76" t="s">
        <v>536</v>
      </c>
      <c r="D574" s="79">
        <v>1402.5733540000001</v>
      </c>
      <c r="E574" s="79">
        <v>7.9546000000000001</v>
      </c>
      <c r="F574" s="79">
        <v>7.9694000000000003</v>
      </c>
      <c r="G574" s="83">
        <f t="shared" si="7"/>
        <v>7.6997317460317456</v>
      </c>
    </row>
    <row r="575" spans="1:7" x14ac:dyDescent="0.2">
      <c r="A575" s="75">
        <v>39554</v>
      </c>
      <c r="B575" s="76" t="s">
        <v>35</v>
      </c>
      <c r="C575" s="76" t="s">
        <v>536</v>
      </c>
      <c r="D575" s="79">
        <v>1400.362842</v>
      </c>
      <c r="E575" s="79">
        <v>7.9687999999999999</v>
      </c>
      <c r="F575" s="79">
        <v>8.0139999999999993</v>
      </c>
      <c r="G575" s="83">
        <f t="shared" si="7"/>
        <v>7.7057857142857129</v>
      </c>
    </row>
    <row r="576" spans="1:7" x14ac:dyDescent="0.2">
      <c r="A576" s="75">
        <v>39555</v>
      </c>
      <c r="B576" s="76" t="s">
        <v>35</v>
      </c>
      <c r="C576" s="76" t="s">
        <v>536</v>
      </c>
      <c r="D576" s="79">
        <v>1405.0186779999999</v>
      </c>
      <c r="E576" s="79">
        <v>8.0134000000000007</v>
      </c>
      <c r="F576" s="79">
        <v>7.9527999999999999</v>
      </c>
      <c r="G576" s="83">
        <f t="shared" si="7"/>
        <v>7.7126746031746025</v>
      </c>
    </row>
    <row r="577" spans="1:7" x14ac:dyDescent="0.2">
      <c r="A577" s="75">
        <v>39556</v>
      </c>
      <c r="B577" s="76" t="s">
        <v>35</v>
      </c>
      <c r="C577" s="76" t="s">
        <v>536</v>
      </c>
      <c r="D577" s="79">
        <v>1401.7197659999999</v>
      </c>
      <c r="E577" s="79">
        <v>7.9522000000000004</v>
      </c>
      <c r="F577" s="79">
        <v>8.0140999999999991</v>
      </c>
      <c r="G577" s="83">
        <f t="shared" si="7"/>
        <v>7.7180539682539679</v>
      </c>
    </row>
    <row r="578" spans="1:7" x14ac:dyDescent="0.2">
      <c r="A578" s="75">
        <v>39560</v>
      </c>
      <c r="B578" s="76" t="s">
        <v>35</v>
      </c>
      <c r="C578" s="76" t="s">
        <v>536</v>
      </c>
      <c r="D578" s="79">
        <v>1393.77593</v>
      </c>
      <c r="E578" s="79">
        <v>8.0135000000000005</v>
      </c>
      <c r="F578" s="79">
        <v>8.1476000000000006</v>
      </c>
      <c r="G578" s="83">
        <f t="shared" si="7"/>
        <v>7.7238158730158739</v>
      </c>
    </row>
    <row r="579" spans="1:7" x14ac:dyDescent="0.2">
      <c r="A579" s="75">
        <v>39561</v>
      </c>
      <c r="B579" s="76" t="s">
        <v>35</v>
      </c>
      <c r="C579" s="76" t="s">
        <v>536</v>
      </c>
      <c r="D579" s="79">
        <v>1403.5360020000001</v>
      </c>
      <c r="E579" s="79">
        <v>8.1469000000000005</v>
      </c>
      <c r="F579" s="79">
        <v>8.0071999999999992</v>
      </c>
      <c r="G579" s="83">
        <f t="shared" ref="G579:G642" si="8">+AVERAGE(E517:E579)</f>
        <v>7.7317761904761912</v>
      </c>
    </row>
    <row r="580" spans="1:7" x14ac:dyDescent="0.2">
      <c r="A580" s="75">
        <v>39562</v>
      </c>
      <c r="B580" s="76" t="s">
        <v>35</v>
      </c>
      <c r="C580" s="76" t="s">
        <v>536</v>
      </c>
      <c r="D580" s="79">
        <v>1403.954039</v>
      </c>
      <c r="E580" s="79">
        <v>8.0066000000000006</v>
      </c>
      <c r="F580" s="79">
        <v>8.0113000000000003</v>
      </c>
      <c r="G580" s="83">
        <f t="shared" si="8"/>
        <v>7.7356825396825393</v>
      </c>
    </row>
    <row r="581" spans="1:7" x14ac:dyDescent="0.2">
      <c r="A581" s="75">
        <v>39563</v>
      </c>
      <c r="B581" s="76" t="s">
        <v>35</v>
      </c>
      <c r="C581" s="76" t="s">
        <v>536</v>
      </c>
      <c r="D581" s="79">
        <v>1407.2926010000001</v>
      </c>
      <c r="E581" s="79">
        <v>8.0106000000000002</v>
      </c>
      <c r="F581" s="79">
        <v>7.9703999999999997</v>
      </c>
      <c r="G581" s="83">
        <f t="shared" si="8"/>
        <v>7.7403349206349201</v>
      </c>
    </row>
    <row r="582" spans="1:7" x14ac:dyDescent="0.2">
      <c r="A582" s="75">
        <v>39566</v>
      </c>
      <c r="B582" s="76" t="s">
        <v>35</v>
      </c>
      <c r="C582" s="76" t="s">
        <v>536</v>
      </c>
      <c r="D582" s="79">
        <v>1403.4816510000001</v>
      </c>
      <c r="E582" s="79">
        <v>7.9696999999999996</v>
      </c>
      <c r="F582" s="79">
        <v>8.0488999999999997</v>
      </c>
      <c r="G582" s="83">
        <f t="shared" si="8"/>
        <v>7.7434380952380959</v>
      </c>
    </row>
    <row r="583" spans="1:7" x14ac:dyDescent="0.2">
      <c r="A583" s="75">
        <v>39567</v>
      </c>
      <c r="B583" s="76" t="s">
        <v>35</v>
      </c>
      <c r="C583" s="76" t="s">
        <v>536</v>
      </c>
      <c r="D583" s="79">
        <v>1404.3488649999999</v>
      </c>
      <c r="E583" s="79">
        <v>8.0481999999999996</v>
      </c>
      <c r="F583" s="79">
        <v>8.0472000000000001</v>
      </c>
      <c r="G583" s="83">
        <f t="shared" si="8"/>
        <v>7.7496095238095224</v>
      </c>
    </row>
    <row r="584" spans="1:7" x14ac:dyDescent="0.2">
      <c r="A584" s="75">
        <v>39568</v>
      </c>
      <c r="B584" s="76" t="s">
        <v>35</v>
      </c>
      <c r="C584" s="76" t="s">
        <v>536</v>
      </c>
      <c r="D584" s="79">
        <v>1425.434771</v>
      </c>
      <c r="E584" s="79">
        <v>8.0465</v>
      </c>
      <c r="F584" s="79">
        <v>7.7370000000000001</v>
      </c>
      <c r="G584" s="83">
        <f t="shared" si="8"/>
        <v>7.7557555555555551</v>
      </c>
    </row>
    <row r="585" spans="1:7" x14ac:dyDescent="0.2">
      <c r="A585" s="75">
        <v>39570</v>
      </c>
      <c r="B585" s="76" t="s">
        <v>35</v>
      </c>
      <c r="C585" s="76" t="s">
        <v>536</v>
      </c>
      <c r="D585" s="79">
        <v>1437.924139</v>
      </c>
      <c r="E585" s="79">
        <v>7.7363999999999997</v>
      </c>
      <c r="F585" s="79">
        <v>7.5605000000000002</v>
      </c>
      <c r="G585" s="83">
        <f t="shared" si="8"/>
        <v>7.7572936507936507</v>
      </c>
    </row>
    <row r="586" spans="1:7" x14ac:dyDescent="0.2">
      <c r="A586" s="75">
        <v>39573</v>
      </c>
      <c r="B586" s="76" t="s">
        <v>35</v>
      </c>
      <c r="C586" s="76" t="s">
        <v>536</v>
      </c>
      <c r="D586" s="79">
        <v>1434.4509350000001</v>
      </c>
      <c r="E586" s="79">
        <v>7.5598000000000001</v>
      </c>
      <c r="F586" s="79">
        <v>7.6238000000000001</v>
      </c>
      <c r="G586" s="83">
        <f t="shared" si="8"/>
        <v>7.7559825396825381</v>
      </c>
    </row>
    <row r="587" spans="1:7" x14ac:dyDescent="0.2">
      <c r="A587" s="75">
        <v>39574</v>
      </c>
      <c r="B587" s="76" t="s">
        <v>35</v>
      </c>
      <c r="C587" s="76" t="s">
        <v>536</v>
      </c>
      <c r="D587" s="79">
        <v>1423.4541139999999</v>
      </c>
      <c r="E587" s="79">
        <v>7.6230000000000002</v>
      </c>
      <c r="F587" s="79">
        <v>7.8009000000000004</v>
      </c>
      <c r="G587" s="83">
        <f t="shared" si="8"/>
        <v>7.7547349206349194</v>
      </c>
    </row>
    <row r="588" spans="1:7" x14ac:dyDescent="0.2">
      <c r="A588" s="75">
        <v>39575</v>
      </c>
      <c r="B588" s="76" t="s">
        <v>35</v>
      </c>
      <c r="C588" s="76" t="s">
        <v>536</v>
      </c>
      <c r="D588" s="79">
        <v>1415.7047580000001</v>
      </c>
      <c r="E588" s="79">
        <v>7.8</v>
      </c>
      <c r="F588" s="79">
        <v>7.93</v>
      </c>
      <c r="G588" s="83">
        <f t="shared" si="8"/>
        <v>7.7560888888888879</v>
      </c>
    </row>
    <row r="589" spans="1:7" x14ac:dyDescent="0.2">
      <c r="A589" s="75">
        <v>39576</v>
      </c>
      <c r="B589" s="76" t="s">
        <v>35</v>
      </c>
      <c r="C589" s="76" t="s">
        <v>536</v>
      </c>
      <c r="D589" s="79">
        <v>1420.3959629999999</v>
      </c>
      <c r="E589" s="79">
        <v>7.9291</v>
      </c>
      <c r="F589" s="79">
        <v>7.8699000000000003</v>
      </c>
      <c r="G589" s="83">
        <f t="shared" si="8"/>
        <v>7.7596380952380937</v>
      </c>
    </row>
    <row r="590" spans="1:7" x14ac:dyDescent="0.2">
      <c r="A590" s="75">
        <v>39577</v>
      </c>
      <c r="B590" s="76" t="s">
        <v>35</v>
      </c>
      <c r="C590" s="76" t="s">
        <v>536</v>
      </c>
      <c r="D590" s="79">
        <v>1418.635859</v>
      </c>
      <c r="E590" s="79">
        <v>7.8689999999999998</v>
      </c>
      <c r="F590" s="79">
        <v>7.9114000000000004</v>
      </c>
      <c r="G590" s="83">
        <f t="shared" si="8"/>
        <v>7.7620142857142849</v>
      </c>
    </row>
    <row r="591" spans="1:7" x14ac:dyDescent="0.2">
      <c r="A591" s="75">
        <v>39580</v>
      </c>
      <c r="B591" s="76" t="s">
        <v>35</v>
      </c>
      <c r="C591" s="76" t="s">
        <v>536</v>
      </c>
      <c r="D591" s="79">
        <v>1426.281686</v>
      </c>
      <c r="E591" s="79">
        <v>7.9104999999999999</v>
      </c>
      <c r="F591" s="79">
        <v>7.8068999999999997</v>
      </c>
      <c r="G591" s="83">
        <f t="shared" si="8"/>
        <v>7.7654015873015876</v>
      </c>
    </row>
    <row r="592" spans="1:7" x14ac:dyDescent="0.2">
      <c r="A592" s="75">
        <v>39581</v>
      </c>
      <c r="B592" s="76" t="s">
        <v>35</v>
      </c>
      <c r="C592" s="76" t="s">
        <v>536</v>
      </c>
      <c r="D592" s="79">
        <v>1429.176911</v>
      </c>
      <c r="E592" s="79">
        <v>7.806</v>
      </c>
      <c r="F592" s="79">
        <v>7.7746000000000004</v>
      </c>
      <c r="G592" s="83">
        <f t="shared" si="8"/>
        <v>7.7671603174603172</v>
      </c>
    </row>
    <row r="593" spans="1:7" x14ac:dyDescent="0.2">
      <c r="A593" s="75">
        <v>39582</v>
      </c>
      <c r="B593" s="76" t="s">
        <v>35</v>
      </c>
      <c r="C593" s="76" t="s">
        <v>536</v>
      </c>
      <c r="D593" s="79">
        <v>1423.6731339999999</v>
      </c>
      <c r="E593" s="79">
        <v>7.7736999999999998</v>
      </c>
      <c r="F593" s="79">
        <v>7.8693</v>
      </c>
      <c r="G593" s="83">
        <f t="shared" si="8"/>
        <v>7.7687904761904774</v>
      </c>
    </row>
    <row r="594" spans="1:7" x14ac:dyDescent="0.2">
      <c r="A594" s="75">
        <v>39583</v>
      </c>
      <c r="B594" s="76" t="s">
        <v>35</v>
      </c>
      <c r="C594" s="76" t="s">
        <v>536</v>
      </c>
      <c r="D594" s="79">
        <v>1425.1054019999999</v>
      </c>
      <c r="E594" s="79">
        <v>7.8684000000000003</v>
      </c>
      <c r="F594" s="79">
        <v>7.8590999999999998</v>
      </c>
      <c r="G594" s="83">
        <f t="shared" si="8"/>
        <v>7.7727063492063504</v>
      </c>
    </row>
    <row r="595" spans="1:7" x14ac:dyDescent="0.2">
      <c r="A595" s="75">
        <v>39584</v>
      </c>
      <c r="B595" s="76" t="s">
        <v>35</v>
      </c>
      <c r="C595" s="76" t="s">
        <v>536</v>
      </c>
      <c r="D595" s="79">
        <v>1431.2795860000001</v>
      </c>
      <c r="E595" s="79">
        <v>7.8581000000000003</v>
      </c>
      <c r="F595" s="79">
        <v>7.7759999999999998</v>
      </c>
      <c r="G595" s="83">
        <f t="shared" si="8"/>
        <v>7.7772126984127006</v>
      </c>
    </row>
    <row r="596" spans="1:7" x14ac:dyDescent="0.2">
      <c r="A596" s="75">
        <v>39587</v>
      </c>
      <c r="B596" s="76" t="s">
        <v>35</v>
      </c>
      <c r="C596" s="76" t="s">
        <v>536</v>
      </c>
      <c r="D596" s="79">
        <v>1427.9025839999999</v>
      </c>
      <c r="E596" s="79">
        <v>7.7750000000000004</v>
      </c>
      <c r="F596" s="79">
        <v>7.8371000000000004</v>
      </c>
      <c r="G596" s="83">
        <f t="shared" si="8"/>
        <v>7.780220634920636</v>
      </c>
    </row>
    <row r="597" spans="1:7" x14ac:dyDescent="0.2">
      <c r="A597" s="75">
        <v>39588</v>
      </c>
      <c r="B597" s="76" t="s">
        <v>35</v>
      </c>
      <c r="C597" s="76" t="s">
        <v>536</v>
      </c>
      <c r="D597" s="79">
        <v>1432.115665</v>
      </c>
      <c r="E597" s="79">
        <v>7.8361000000000001</v>
      </c>
      <c r="F597" s="79">
        <v>7.7836999999999996</v>
      </c>
      <c r="G597" s="83">
        <f t="shared" si="8"/>
        <v>7.7836444444444455</v>
      </c>
    </row>
    <row r="598" spans="1:7" x14ac:dyDescent="0.2">
      <c r="A598" s="75">
        <v>39589</v>
      </c>
      <c r="B598" s="76" t="s">
        <v>35</v>
      </c>
      <c r="C598" s="76" t="s">
        <v>536</v>
      </c>
      <c r="D598" s="79">
        <v>1430.578835</v>
      </c>
      <c r="E598" s="79">
        <v>7.7827000000000002</v>
      </c>
      <c r="F598" s="79">
        <v>7.8170000000000002</v>
      </c>
      <c r="G598" s="83">
        <f t="shared" si="8"/>
        <v>7.7877079365079371</v>
      </c>
    </row>
    <row r="599" spans="1:7" x14ac:dyDescent="0.2">
      <c r="A599" s="75">
        <v>39591</v>
      </c>
      <c r="B599" s="76" t="s">
        <v>35</v>
      </c>
      <c r="C599" s="76" t="s">
        <v>536</v>
      </c>
      <c r="D599" s="79">
        <v>1429.4235000000001</v>
      </c>
      <c r="E599" s="79">
        <v>7.8159999999999998</v>
      </c>
      <c r="F599" s="79">
        <v>7.8445999999999998</v>
      </c>
      <c r="G599" s="83">
        <f t="shared" si="8"/>
        <v>7.7919111111111112</v>
      </c>
    </row>
    <row r="600" spans="1:7" x14ac:dyDescent="0.2">
      <c r="A600" s="75">
        <v>39594</v>
      </c>
      <c r="B600" s="76" t="s">
        <v>35</v>
      </c>
      <c r="C600" s="76" t="s">
        <v>536</v>
      </c>
      <c r="D600" s="79">
        <v>1428.0064640000001</v>
      </c>
      <c r="E600" s="79">
        <v>7.8436000000000003</v>
      </c>
      <c r="F600" s="79">
        <v>7.8761999999999999</v>
      </c>
      <c r="G600" s="83">
        <f t="shared" si="8"/>
        <v>7.7974190476190461</v>
      </c>
    </row>
    <row r="601" spans="1:7" x14ac:dyDescent="0.2">
      <c r="A601" s="75">
        <v>39595</v>
      </c>
      <c r="B601" s="76" t="s">
        <v>35</v>
      </c>
      <c r="C601" s="76" t="s">
        <v>536</v>
      </c>
      <c r="D601" s="79">
        <v>1423.2359300000001</v>
      </c>
      <c r="E601" s="79">
        <v>7.8752000000000004</v>
      </c>
      <c r="F601" s="79">
        <v>7.9587000000000003</v>
      </c>
      <c r="G601" s="83">
        <f t="shared" si="8"/>
        <v>7.8050825396825374</v>
      </c>
    </row>
    <row r="602" spans="1:7" x14ac:dyDescent="0.2">
      <c r="A602" s="75">
        <v>39596</v>
      </c>
      <c r="B602" s="76" t="s">
        <v>35</v>
      </c>
      <c r="C602" s="76" t="s">
        <v>536</v>
      </c>
      <c r="D602" s="79">
        <v>1425.3906750000001</v>
      </c>
      <c r="E602" s="79">
        <v>7.9577</v>
      </c>
      <c r="F602" s="79">
        <v>7.9363000000000001</v>
      </c>
      <c r="G602" s="83">
        <f t="shared" si="8"/>
        <v>7.8146301587301572</v>
      </c>
    </row>
    <row r="603" spans="1:7" x14ac:dyDescent="0.2">
      <c r="A603" s="75">
        <v>39597</v>
      </c>
      <c r="B603" s="76" t="s">
        <v>35</v>
      </c>
      <c r="C603" s="76" t="s">
        <v>536</v>
      </c>
      <c r="D603" s="79">
        <v>1435.522093</v>
      </c>
      <c r="E603" s="79">
        <v>7.9352</v>
      </c>
      <c r="F603" s="79">
        <v>7.8101000000000003</v>
      </c>
      <c r="G603" s="83">
        <f t="shared" si="8"/>
        <v>7.8235079365079354</v>
      </c>
    </row>
    <row r="604" spans="1:7" x14ac:dyDescent="0.2">
      <c r="A604" s="75">
        <v>39598</v>
      </c>
      <c r="B604" s="76" t="s">
        <v>35</v>
      </c>
      <c r="C604" s="76" t="s">
        <v>536</v>
      </c>
      <c r="D604" s="79">
        <v>1438.2653640000001</v>
      </c>
      <c r="E604" s="79">
        <v>7.8090000000000002</v>
      </c>
      <c r="F604" s="79">
        <v>7.7808000000000002</v>
      </c>
      <c r="G604" s="83">
        <f t="shared" si="8"/>
        <v>7.8314031746031736</v>
      </c>
    </row>
    <row r="605" spans="1:7" x14ac:dyDescent="0.2">
      <c r="A605" s="75">
        <v>39601</v>
      </c>
      <c r="B605" s="76" t="s">
        <v>35</v>
      </c>
      <c r="C605" s="76" t="s">
        <v>536</v>
      </c>
      <c r="D605" s="79">
        <v>1432.13941</v>
      </c>
      <c r="E605" s="79">
        <v>7.7796000000000003</v>
      </c>
      <c r="F605" s="79">
        <v>7.8846999999999996</v>
      </c>
      <c r="G605" s="83">
        <f t="shared" si="8"/>
        <v>7.8387793650793647</v>
      </c>
    </row>
    <row r="606" spans="1:7" x14ac:dyDescent="0.2">
      <c r="A606" s="75">
        <v>39602</v>
      </c>
      <c r="B606" s="76" t="s">
        <v>35</v>
      </c>
      <c r="C606" s="76" t="s">
        <v>536</v>
      </c>
      <c r="D606" s="79">
        <v>1436.375272</v>
      </c>
      <c r="E606" s="79">
        <v>7.8834</v>
      </c>
      <c r="F606" s="79">
        <v>7.8327</v>
      </c>
      <c r="G606" s="83">
        <f t="shared" si="8"/>
        <v>7.8482428571428571</v>
      </c>
    </row>
    <row r="607" spans="1:7" x14ac:dyDescent="0.2">
      <c r="A607" s="75">
        <v>39603</v>
      </c>
      <c r="B607" s="76" t="s">
        <v>35</v>
      </c>
      <c r="C607" s="76" t="s">
        <v>536</v>
      </c>
      <c r="D607" s="79">
        <v>1435.4982649999999</v>
      </c>
      <c r="E607" s="79">
        <v>7.8314000000000004</v>
      </c>
      <c r="F607" s="79">
        <v>7.8575999999999997</v>
      </c>
      <c r="G607" s="83">
        <f t="shared" si="8"/>
        <v>7.8563714285714266</v>
      </c>
    </row>
    <row r="608" spans="1:7" x14ac:dyDescent="0.2">
      <c r="A608" s="75">
        <v>39604</v>
      </c>
      <c r="B608" s="76" t="s">
        <v>35</v>
      </c>
      <c r="C608" s="76" t="s">
        <v>536</v>
      </c>
      <c r="D608" s="79">
        <v>1434.723176</v>
      </c>
      <c r="E608" s="79">
        <v>7.8563999999999998</v>
      </c>
      <c r="F608" s="79">
        <v>7.8811</v>
      </c>
      <c r="G608" s="83">
        <f t="shared" si="8"/>
        <v>7.8656825396825374</v>
      </c>
    </row>
    <row r="609" spans="1:7" x14ac:dyDescent="0.2">
      <c r="A609" s="75">
        <v>39605</v>
      </c>
      <c r="B609" s="76" t="s">
        <v>35</v>
      </c>
      <c r="C609" s="76" t="s">
        <v>536</v>
      </c>
      <c r="D609" s="79">
        <v>1426.0688500000001</v>
      </c>
      <c r="E609" s="79">
        <v>7.8799000000000001</v>
      </c>
      <c r="F609" s="79">
        <v>8.0236999999999998</v>
      </c>
      <c r="G609" s="83">
        <f t="shared" si="8"/>
        <v>7.8751142857142851</v>
      </c>
    </row>
    <row r="610" spans="1:7" x14ac:dyDescent="0.2">
      <c r="A610" s="75">
        <v>39608</v>
      </c>
      <c r="B610" s="76" t="s">
        <v>35</v>
      </c>
      <c r="C610" s="76" t="s">
        <v>536</v>
      </c>
      <c r="D610" s="79">
        <v>1413.832394</v>
      </c>
      <c r="E610" s="79">
        <v>8.0223999999999993</v>
      </c>
      <c r="F610" s="79">
        <v>8.2220999999999993</v>
      </c>
      <c r="G610" s="83">
        <f t="shared" si="8"/>
        <v>7.8873999999999986</v>
      </c>
    </row>
    <row r="611" spans="1:7" x14ac:dyDescent="0.2">
      <c r="A611" s="75">
        <v>39609</v>
      </c>
      <c r="B611" s="76" t="s">
        <v>35</v>
      </c>
      <c r="C611" s="76" t="s">
        <v>536</v>
      </c>
      <c r="D611" s="79">
        <v>1416.908424</v>
      </c>
      <c r="E611" s="79">
        <v>8.2208000000000006</v>
      </c>
      <c r="F611" s="79">
        <v>8.1870999999999992</v>
      </c>
      <c r="G611" s="83">
        <f t="shared" si="8"/>
        <v>7.9005079365079336</v>
      </c>
    </row>
    <row r="612" spans="1:7" x14ac:dyDescent="0.2">
      <c r="A612" s="75">
        <v>39610</v>
      </c>
      <c r="B612" s="76" t="s">
        <v>35</v>
      </c>
      <c r="C612" s="76" t="s">
        <v>536</v>
      </c>
      <c r="D612" s="79">
        <v>1423.467748</v>
      </c>
      <c r="E612" s="79">
        <v>8.1859000000000002</v>
      </c>
      <c r="F612" s="79">
        <v>8.1268999999999991</v>
      </c>
      <c r="G612" s="83">
        <f t="shared" si="8"/>
        <v>7.9108031746031724</v>
      </c>
    </row>
    <row r="613" spans="1:7" x14ac:dyDescent="0.2">
      <c r="A613" s="75">
        <v>39611</v>
      </c>
      <c r="B613" s="76" t="s">
        <v>35</v>
      </c>
      <c r="C613" s="76" t="s">
        <v>536</v>
      </c>
      <c r="D613" s="79">
        <v>1425.3119280000001</v>
      </c>
      <c r="E613" s="79">
        <v>8.1256000000000004</v>
      </c>
      <c r="F613" s="79">
        <v>8.1123999999999992</v>
      </c>
      <c r="G613" s="83">
        <f t="shared" si="8"/>
        <v>7.9183698412698389</v>
      </c>
    </row>
    <row r="614" spans="1:7" x14ac:dyDescent="0.2">
      <c r="A614" s="75">
        <v>39612</v>
      </c>
      <c r="B614" s="76" t="s">
        <v>35</v>
      </c>
      <c r="C614" s="76" t="s">
        <v>536</v>
      </c>
      <c r="D614" s="79">
        <v>1425.687858</v>
      </c>
      <c r="E614" s="79">
        <v>8.1111000000000004</v>
      </c>
      <c r="F614" s="79">
        <v>8.1202000000000005</v>
      </c>
      <c r="G614" s="83">
        <f t="shared" si="8"/>
        <v>7.9273301587301583</v>
      </c>
    </row>
    <row r="615" spans="1:7" x14ac:dyDescent="0.2">
      <c r="A615" s="75">
        <v>39615</v>
      </c>
      <c r="B615" s="76" t="s">
        <v>35</v>
      </c>
      <c r="C615" s="76" t="s">
        <v>536</v>
      </c>
      <c r="D615" s="79">
        <v>1427.7325519999999</v>
      </c>
      <c r="E615" s="79">
        <v>8.1189</v>
      </c>
      <c r="F615" s="79">
        <v>8.1027000000000005</v>
      </c>
      <c r="G615" s="83">
        <f t="shared" si="8"/>
        <v>7.9356888888888877</v>
      </c>
    </row>
    <row r="616" spans="1:7" x14ac:dyDescent="0.2">
      <c r="A616" s="75">
        <v>39616</v>
      </c>
      <c r="B616" s="76" t="s">
        <v>35</v>
      </c>
      <c r="C616" s="76" t="s">
        <v>536</v>
      </c>
      <c r="D616" s="79">
        <v>1428.8507770000001</v>
      </c>
      <c r="E616" s="79">
        <v>8.1013999999999999</v>
      </c>
      <c r="F616" s="79">
        <v>8.0968</v>
      </c>
      <c r="G616" s="83">
        <f t="shared" si="8"/>
        <v>7.9400238095238107</v>
      </c>
    </row>
    <row r="617" spans="1:7" x14ac:dyDescent="0.2">
      <c r="A617" s="75">
        <v>39617</v>
      </c>
      <c r="B617" s="76" t="s">
        <v>35</v>
      </c>
      <c r="C617" s="76" t="s">
        <v>536</v>
      </c>
      <c r="D617" s="79">
        <v>1427.2891810000001</v>
      </c>
      <c r="E617" s="79">
        <v>8.0954999999999995</v>
      </c>
      <c r="F617" s="79">
        <v>8.1315000000000008</v>
      </c>
      <c r="G617" s="83">
        <f t="shared" si="8"/>
        <v>7.9427841269841277</v>
      </c>
    </row>
    <row r="618" spans="1:7" x14ac:dyDescent="0.2">
      <c r="A618" s="75">
        <v>39618</v>
      </c>
      <c r="B618" s="76" t="s">
        <v>35</v>
      </c>
      <c r="C618" s="76" t="s">
        <v>536</v>
      </c>
      <c r="D618" s="79">
        <v>1427.603556</v>
      </c>
      <c r="E618" s="79">
        <v>8.1303000000000001</v>
      </c>
      <c r="F618" s="79">
        <v>8.1379000000000001</v>
      </c>
      <c r="G618" s="83">
        <f t="shared" si="8"/>
        <v>7.9448873015873005</v>
      </c>
    </row>
    <row r="619" spans="1:7" x14ac:dyDescent="0.2">
      <c r="A619" s="75">
        <v>39619</v>
      </c>
      <c r="B619" s="76" t="s">
        <v>35</v>
      </c>
      <c r="C619" s="76" t="s">
        <v>536</v>
      </c>
      <c r="D619" s="79">
        <v>1423.63167</v>
      </c>
      <c r="E619" s="79">
        <v>8.1366999999999994</v>
      </c>
      <c r="F619" s="79">
        <v>8.2094000000000005</v>
      </c>
      <c r="G619" s="83">
        <f t="shared" si="8"/>
        <v>7.9489809523809525</v>
      </c>
    </row>
    <row r="620" spans="1:7" x14ac:dyDescent="0.2">
      <c r="A620" s="75">
        <v>39622</v>
      </c>
      <c r="B620" s="76" t="s">
        <v>35</v>
      </c>
      <c r="C620" s="76" t="s">
        <v>536</v>
      </c>
      <c r="D620" s="79">
        <v>1423.936516</v>
      </c>
      <c r="E620" s="79">
        <v>8.2081</v>
      </c>
      <c r="F620" s="79">
        <v>8.2158999999999995</v>
      </c>
      <c r="G620" s="83">
        <f t="shared" si="8"/>
        <v>7.9524793650793644</v>
      </c>
    </row>
    <row r="621" spans="1:7" x14ac:dyDescent="0.2">
      <c r="A621" s="75">
        <v>39623</v>
      </c>
      <c r="B621" s="76" t="s">
        <v>35</v>
      </c>
      <c r="C621" s="76" t="s">
        <v>536</v>
      </c>
      <c r="D621" s="79">
        <v>1425.425876</v>
      </c>
      <c r="E621" s="79">
        <v>8.2146000000000008</v>
      </c>
      <c r="F621" s="79">
        <v>8.2043999999999997</v>
      </c>
      <c r="G621" s="83">
        <f t="shared" si="8"/>
        <v>7.9554428571428577</v>
      </c>
    </row>
    <row r="622" spans="1:7" x14ac:dyDescent="0.2">
      <c r="A622" s="75">
        <v>39624</v>
      </c>
      <c r="B622" s="76" t="s">
        <v>35</v>
      </c>
      <c r="C622" s="76" t="s">
        <v>536</v>
      </c>
      <c r="D622" s="79">
        <v>1430.6118819999999</v>
      </c>
      <c r="E622" s="79">
        <v>8.2030999999999992</v>
      </c>
      <c r="F622" s="79">
        <v>8.1369000000000007</v>
      </c>
      <c r="G622" s="83">
        <f t="shared" si="8"/>
        <v>7.9575444444444452</v>
      </c>
    </row>
    <row r="623" spans="1:7" x14ac:dyDescent="0.2">
      <c r="A623" s="75">
        <v>39625</v>
      </c>
      <c r="B623" s="76" t="s">
        <v>35</v>
      </c>
      <c r="C623" s="76" t="s">
        <v>536</v>
      </c>
      <c r="D623" s="79">
        <v>1429.2301970000001</v>
      </c>
      <c r="E623" s="79">
        <v>8.1356999999999999</v>
      </c>
      <c r="F623" s="79">
        <v>8.1861999999999995</v>
      </c>
      <c r="G623" s="83">
        <f t="shared" si="8"/>
        <v>7.9580904761904767</v>
      </c>
    </row>
    <row r="624" spans="1:7" x14ac:dyDescent="0.2">
      <c r="A624" s="75">
        <v>39626</v>
      </c>
      <c r="B624" s="76" t="s">
        <v>35</v>
      </c>
      <c r="C624" s="76" t="s">
        <v>536</v>
      </c>
      <c r="D624" s="79">
        <v>1429.6967509999999</v>
      </c>
      <c r="E624" s="79">
        <v>8.1849000000000007</v>
      </c>
      <c r="F624" s="79">
        <v>8.1923999999999992</v>
      </c>
      <c r="G624" s="83">
        <f t="shared" si="8"/>
        <v>7.9588174603174604</v>
      </c>
    </row>
    <row r="625" spans="1:7" x14ac:dyDescent="0.2">
      <c r="A625" s="75">
        <v>39629</v>
      </c>
      <c r="B625" s="76" t="s">
        <v>35</v>
      </c>
      <c r="C625" s="76" t="s">
        <v>536</v>
      </c>
      <c r="D625" s="79">
        <v>1428.3491670000001</v>
      </c>
      <c r="E625" s="79">
        <v>8.1911000000000005</v>
      </c>
      <c r="F625" s="79">
        <v>8.2261000000000006</v>
      </c>
      <c r="G625" s="83">
        <f t="shared" si="8"/>
        <v>7.9603285714285725</v>
      </c>
    </row>
    <row r="626" spans="1:7" x14ac:dyDescent="0.2">
      <c r="A626" s="75">
        <v>39630</v>
      </c>
      <c r="B626" s="76" t="s">
        <v>35</v>
      </c>
      <c r="C626" s="76" t="s">
        <v>536</v>
      </c>
      <c r="D626" s="79">
        <v>1428.21767</v>
      </c>
      <c r="E626" s="79">
        <v>8.2248000000000001</v>
      </c>
      <c r="F626" s="79">
        <v>8.2414000000000005</v>
      </c>
      <c r="G626" s="83">
        <f t="shared" si="8"/>
        <v>7.9635539682539704</v>
      </c>
    </row>
    <row r="627" spans="1:7" x14ac:dyDescent="0.2">
      <c r="A627" s="75">
        <v>39631</v>
      </c>
      <c r="B627" s="76" t="s">
        <v>35</v>
      </c>
      <c r="C627" s="76" t="s">
        <v>536</v>
      </c>
      <c r="D627" s="79">
        <v>1425.0198800000001</v>
      </c>
      <c r="E627" s="79">
        <v>8.2401</v>
      </c>
      <c r="F627" s="79">
        <v>8.3033000000000001</v>
      </c>
      <c r="G627" s="83">
        <f t="shared" si="8"/>
        <v>7.9665238095238129</v>
      </c>
    </row>
    <row r="628" spans="1:7" x14ac:dyDescent="0.2">
      <c r="A628" s="75">
        <v>39632</v>
      </c>
      <c r="B628" s="76" t="s">
        <v>35</v>
      </c>
      <c r="C628" s="76" t="s">
        <v>536</v>
      </c>
      <c r="D628" s="79">
        <v>1423.711102</v>
      </c>
      <c r="E628" s="79">
        <v>8.3018999999999998</v>
      </c>
      <c r="F628" s="79">
        <v>8.3364999999999991</v>
      </c>
      <c r="G628" s="83">
        <f t="shared" si="8"/>
        <v>7.9714873015873042</v>
      </c>
    </row>
    <row r="629" spans="1:7" x14ac:dyDescent="0.2">
      <c r="A629" s="75">
        <v>39633</v>
      </c>
      <c r="B629" s="76" t="s">
        <v>35</v>
      </c>
      <c r="C629" s="76" t="s">
        <v>536</v>
      </c>
      <c r="D629" s="79">
        <v>1421.5406809999999</v>
      </c>
      <c r="E629" s="79">
        <v>8.3352000000000004</v>
      </c>
      <c r="F629" s="79">
        <v>8.3829999999999991</v>
      </c>
      <c r="G629" s="83">
        <f t="shared" si="8"/>
        <v>7.9776301587301619</v>
      </c>
    </row>
    <row r="630" spans="1:7" x14ac:dyDescent="0.2">
      <c r="A630" s="75">
        <v>39636</v>
      </c>
      <c r="B630" s="76" t="s">
        <v>35</v>
      </c>
      <c r="C630" s="76" t="s">
        <v>536</v>
      </c>
      <c r="D630" s="79">
        <v>1428.3447650000001</v>
      </c>
      <c r="E630" s="79">
        <v>8.3818000000000001</v>
      </c>
      <c r="F630" s="79">
        <v>8.2929999999999993</v>
      </c>
      <c r="G630" s="83">
        <f t="shared" si="8"/>
        <v>7.9857190476190505</v>
      </c>
    </row>
    <row r="631" spans="1:7" x14ac:dyDescent="0.2">
      <c r="A631" s="75">
        <v>39637</v>
      </c>
      <c r="B631" s="76" t="s">
        <v>35</v>
      </c>
      <c r="C631" s="76" t="s">
        <v>536</v>
      </c>
      <c r="D631" s="79">
        <v>1429.1269569999999</v>
      </c>
      <c r="E631" s="79">
        <v>8.2919</v>
      </c>
      <c r="F631" s="79">
        <v>8.2947000000000006</v>
      </c>
      <c r="G631" s="83">
        <f t="shared" si="8"/>
        <v>7.9923396825396855</v>
      </c>
    </row>
    <row r="632" spans="1:7" x14ac:dyDescent="0.2">
      <c r="A632" s="75">
        <v>39638</v>
      </c>
      <c r="B632" s="76" t="s">
        <v>35</v>
      </c>
      <c r="C632" s="76" t="s">
        <v>536</v>
      </c>
      <c r="D632" s="79">
        <v>1430.0350129999999</v>
      </c>
      <c r="E632" s="79">
        <v>8.2935999999999996</v>
      </c>
      <c r="F632" s="79">
        <v>8.2944999999999993</v>
      </c>
      <c r="G632" s="83">
        <f t="shared" si="8"/>
        <v>7.9980888888888924</v>
      </c>
    </row>
    <row r="633" spans="1:7" x14ac:dyDescent="0.2">
      <c r="A633" s="75">
        <v>39639</v>
      </c>
      <c r="B633" s="76" t="s">
        <v>35</v>
      </c>
      <c r="C633" s="76" t="s">
        <v>536</v>
      </c>
      <c r="D633" s="79">
        <v>1425.7616009999999</v>
      </c>
      <c r="E633" s="79">
        <v>8.2934000000000001</v>
      </c>
      <c r="F633" s="79">
        <v>8.3693000000000008</v>
      </c>
      <c r="G633" s="83">
        <f t="shared" si="8"/>
        <v>8.003996825396829</v>
      </c>
    </row>
    <row r="634" spans="1:7" x14ac:dyDescent="0.2">
      <c r="A634" s="75">
        <v>39640</v>
      </c>
      <c r="B634" s="76" t="s">
        <v>35</v>
      </c>
      <c r="C634" s="76" t="s">
        <v>536</v>
      </c>
      <c r="D634" s="79">
        <v>1420.3018139999999</v>
      </c>
      <c r="E634" s="79">
        <v>8.3681999999999999</v>
      </c>
      <c r="F634" s="79">
        <v>8.4659999999999993</v>
      </c>
      <c r="G634" s="83">
        <f t="shared" si="8"/>
        <v>8.0113190476190503</v>
      </c>
    </row>
    <row r="635" spans="1:7" x14ac:dyDescent="0.2">
      <c r="A635" s="75">
        <v>39643</v>
      </c>
      <c r="B635" s="76" t="s">
        <v>35</v>
      </c>
      <c r="C635" s="76" t="s">
        <v>536</v>
      </c>
      <c r="D635" s="79">
        <v>1421.887457</v>
      </c>
      <c r="E635" s="79">
        <v>8.4648000000000003</v>
      </c>
      <c r="F635" s="79">
        <v>8.4551999999999996</v>
      </c>
      <c r="G635" s="83">
        <f t="shared" si="8"/>
        <v>8.0198063492063518</v>
      </c>
    </row>
    <row r="636" spans="1:7" x14ac:dyDescent="0.2">
      <c r="A636" s="75">
        <v>39644</v>
      </c>
      <c r="B636" s="76" t="s">
        <v>35</v>
      </c>
      <c r="C636" s="76" t="s">
        <v>536</v>
      </c>
      <c r="D636" s="79">
        <v>1430.538562</v>
      </c>
      <c r="E636" s="79">
        <v>8.4541000000000004</v>
      </c>
      <c r="F636" s="79">
        <v>8.3370999999999995</v>
      </c>
      <c r="G636" s="83">
        <f t="shared" si="8"/>
        <v>8.0279698412698437</v>
      </c>
    </row>
    <row r="637" spans="1:7" x14ac:dyDescent="0.2">
      <c r="A637" s="75">
        <v>39645</v>
      </c>
      <c r="B637" s="76" t="s">
        <v>35</v>
      </c>
      <c r="C637" s="76" t="s">
        <v>536</v>
      </c>
      <c r="D637" s="79">
        <v>1429.5552130000001</v>
      </c>
      <c r="E637" s="79">
        <v>8.3360000000000003</v>
      </c>
      <c r="F637" s="79">
        <v>8.3641000000000005</v>
      </c>
      <c r="G637" s="83">
        <f t="shared" si="8"/>
        <v>8.0340238095238128</v>
      </c>
    </row>
    <row r="638" spans="1:7" x14ac:dyDescent="0.2">
      <c r="A638" s="75">
        <v>39646</v>
      </c>
      <c r="B638" s="76" t="s">
        <v>35</v>
      </c>
      <c r="C638" s="76" t="s">
        <v>536</v>
      </c>
      <c r="D638" s="79">
        <v>1426.6006500000001</v>
      </c>
      <c r="E638" s="79">
        <v>8.3629999999999995</v>
      </c>
      <c r="F638" s="79">
        <v>8.4210999999999991</v>
      </c>
      <c r="G638" s="83">
        <f t="shared" si="8"/>
        <v>8.0402809523809555</v>
      </c>
    </row>
    <row r="639" spans="1:7" x14ac:dyDescent="0.2">
      <c r="A639" s="75">
        <v>39647</v>
      </c>
      <c r="B639" s="76" t="s">
        <v>35</v>
      </c>
      <c r="C639" s="76" t="s">
        <v>536</v>
      </c>
      <c r="D639" s="79">
        <v>1429.190816</v>
      </c>
      <c r="E639" s="79">
        <v>8.4199000000000002</v>
      </c>
      <c r="F639" s="79">
        <v>8.3938000000000006</v>
      </c>
      <c r="G639" s="83">
        <f t="shared" si="8"/>
        <v>8.0467333333333357</v>
      </c>
    </row>
    <row r="640" spans="1:7" x14ac:dyDescent="0.2">
      <c r="A640" s="75">
        <v>39650</v>
      </c>
      <c r="B640" s="76" t="s">
        <v>35</v>
      </c>
      <c r="C640" s="76" t="s">
        <v>536</v>
      </c>
      <c r="D640" s="79">
        <v>1425.188811</v>
      </c>
      <c r="E640" s="79">
        <v>8.3925999999999998</v>
      </c>
      <c r="F640" s="79">
        <v>8.4666999999999994</v>
      </c>
      <c r="G640" s="83">
        <f t="shared" si="8"/>
        <v>8.0537238095238113</v>
      </c>
    </row>
    <row r="641" spans="1:7" x14ac:dyDescent="0.2">
      <c r="A641" s="75">
        <v>39651</v>
      </c>
      <c r="B641" s="76" t="s">
        <v>35</v>
      </c>
      <c r="C641" s="76" t="s">
        <v>536</v>
      </c>
      <c r="D641" s="79">
        <v>1428.449224</v>
      </c>
      <c r="E641" s="79">
        <v>8.4654000000000007</v>
      </c>
      <c r="F641" s="79">
        <v>8.4291</v>
      </c>
      <c r="G641" s="83">
        <f t="shared" si="8"/>
        <v>8.0608968253968278</v>
      </c>
    </row>
    <row r="642" spans="1:7" x14ac:dyDescent="0.2">
      <c r="A642" s="75">
        <v>39652</v>
      </c>
      <c r="B642" s="76" t="s">
        <v>35</v>
      </c>
      <c r="C642" s="76" t="s">
        <v>536</v>
      </c>
      <c r="D642" s="79">
        <v>1430.2650349999999</v>
      </c>
      <c r="E642" s="79">
        <v>8.4278999999999993</v>
      </c>
      <c r="F642" s="79">
        <v>8.4136000000000006</v>
      </c>
      <c r="G642" s="83">
        <f t="shared" si="8"/>
        <v>8.0653571428571453</v>
      </c>
    </row>
    <row r="643" spans="1:7" x14ac:dyDescent="0.2">
      <c r="A643" s="75">
        <v>39653</v>
      </c>
      <c r="B643" s="76" t="s">
        <v>35</v>
      </c>
      <c r="C643" s="76" t="s">
        <v>536</v>
      </c>
      <c r="D643" s="79">
        <v>1434.5932740000001</v>
      </c>
      <c r="E643" s="79">
        <v>8.4123999999999999</v>
      </c>
      <c r="F643" s="79">
        <v>8.3600999999999992</v>
      </c>
      <c r="G643" s="83">
        <f t="shared" ref="G643:G706" si="9">+AVERAGE(E581:E643)</f>
        <v>8.0717984126984152</v>
      </c>
    </row>
    <row r="644" spans="1:7" x14ac:dyDescent="0.2">
      <c r="A644" s="75">
        <v>39654</v>
      </c>
      <c r="B644" s="76" t="s">
        <v>35</v>
      </c>
      <c r="C644" s="76" t="s">
        <v>536</v>
      </c>
      <c r="D644" s="79">
        <v>1439.6244260000001</v>
      </c>
      <c r="E644" s="79">
        <v>8.3587000000000007</v>
      </c>
      <c r="F644" s="79">
        <v>8.2899999999999991</v>
      </c>
      <c r="G644" s="83">
        <f t="shared" si="9"/>
        <v>8.0773238095238113</v>
      </c>
    </row>
    <row r="645" spans="1:7" x14ac:dyDescent="0.2">
      <c r="A645" s="75">
        <v>39657</v>
      </c>
      <c r="B645" s="76" t="s">
        <v>35</v>
      </c>
      <c r="C645" s="76" t="s">
        <v>536</v>
      </c>
      <c r="D645" s="79">
        <v>1441.0526930000001</v>
      </c>
      <c r="E645" s="79">
        <v>8.2887000000000004</v>
      </c>
      <c r="F645" s="79">
        <v>8.2796000000000003</v>
      </c>
      <c r="G645" s="83">
        <f t="shared" si="9"/>
        <v>8.0823873015873033</v>
      </c>
    </row>
    <row r="646" spans="1:7" x14ac:dyDescent="0.2">
      <c r="A646" s="75">
        <v>39658</v>
      </c>
      <c r="B646" s="76" t="s">
        <v>35</v>
      </c>
      <c r="C646" s="76" t="s">
        <v>536</v>
      </c>
      <c r="D646" s="79">
        <v>1441.603574</v>
      </c>
      <c r="E646" s="79">
        <v>8.2782</v>
      </c>
      <c r="F646" s="79">
        <v>8.2822999999999993</v>
      </c>
      <c r="G646" s="83">
        <f t="shared" si="9"/>
        <v>8.0860380952380968</v>
      </c>
    </row>
    <row r="647" spans="1:7" x14ac:dyDescent="0.2">
      <c r="A647" s="75">
        <v>39659</v>
      </c>
      <c r="B647" s="76" t="s">
        <v>35</v>
      </c>
      <c r="C647" s="76" t="s">
        <v>536</v>
      </c>
      <c r="D647" s="79">
        <v>1447.0820389999999</v>
      </c>
      <c r="E647" s="79">
        <v>8.2809000000000008</v>
      </c>
      <c r="F647" s="79">
        <v>8.2111000000000001</v>
      </c>
      <c r="G647" s="83">
        <f t="shared" si="9"/>
        <v>8.0897587301587315</v>
      </c>
    </row>
    <row r="648" spans="1:7" x14ac:dyDescent="0.2">
      <c r="A648" s="75">
        <v>39660</v>
      </c>
      <c r="B648" s="76" t="s">
        <v>35</v>
      </c>
      <c r="C648" s="76" t="s">
        <v>536</v>
      </c>
      <c r="D648" s="79">
        <v>1448.0792960000001</v>
      </c>
      <c r="E648" s="79">
        <v>8.2097999999999995</v>
      </c>
      <c r="F648" s="79">
        <v>8.2072000000000003</v>
      </c>
      <c r="G648" s="83">
        <f t="shared" si="9"/>
        <v>8.0972730158730162</v>
      </c>
    </row>
    <row r="649" spans="1:7" x14ac:dyDescent="0.2">
      <c r="A649" s="75">
        <v>39661</v>
      </c>
      <c r="B649" s="76" t="s">
        <v>35</v>
      </c>
      <c r="C649" s="76" t="s">
        <v>536</v>
      </c>
      <c r="D649" s="79">
        <v>1451.333934</v>
      </c>
      <c r="E649" s="79">
        <v>8.2058</v>
      </c>
      <c r="F649" s="79">
        <v>8.1694999999999993</v>
      </c>
      <c r="G649" s="83">
        <f t="shared" si="9"/>
        <v>8.1075269841269844</v>
      </c>
    </row>
    <row r="650" spans="1:7" x14ac:dyDescent="0.2">
      <c r="A650" s="75">
        <v>39664</v>
      </c>
      <c r="B650" s="76" t="s">
        <v>35</v>
      </c>
      <c r="C650" s="76" t="s">
        <v>536</v>
      </c>
      <c r="D650" s="79">
        <v>1452.1106239999999</v>
      </c>
      <c r="E650" s="79">
        <v>8.1682000000000006</v>
      </c>
      <c r="F650" s="79">
        <v>8.1689000000000007</v>
      </c>
      <c r="G650" s="83">
        <f t="shared" si="9"/>
        <v>8.1161809523809527</v>
      </c>
    </row>
    <row r="651" spans="1:7" x14ac:dyDescent="0.2">
      <c r="A651" s="75">
        <v>39665</v>
      </c>
      <c r="B651" s="76" t="s">
        <v>35</v>
      </c>
      <c r="C651" s="76" t="s">
        <v>536</v>
      </c>
      <c r="D651" s="79">
        <v>1455.137815</v>
      </c>
      <c r="E651" s="79">
        <v>8.1676000000000002</v>
      </c>
      <c r="F651" s="79">
        <v>8.1348000000000003</v>
      </c>
      <c r="G651" s="83">
        <f t="shared" si="9"/>
        <v>8.122015873015874</v>
      </c>
    </row>
    <row r="652" spans="1:7" x14ac:dyDescent="0.2">
      <c r="A652" s="75">
        <v>39666</v>
      </c>
      <c r="B652" s="76" t="s">
        <v>35</v>
      </c>
      <c r="C652" s="76" t="s">
        <v>536</v>
      </c>
      <c r="D652" s="79">
        <v>1455.786873</v>
      </c>
      <c r="E652" s="79">
        <v>8.1334999999999997</v>
      </c>
      <c r="F652" s="79">
        <v>8.1361000000000008</v>
      </c>
      <c r="G652" s="83">
        <f t="shared" si="9"/>
        <v>8.1252603174603184</v>
      </c>
    </row>
    <row r="653" spans="1:7" x14ac:dyDescent="0.2">
      <c r="A653" s="75">
        <v>39667</v>
      </c>
      <c r="B653" s="76" t="s">
        <v>35</v>
      </c>
      <c r="C653" s="76" t="s">
        <v>536</v>
      </c>
      <c r="D653" s="79">
        <v>1454.829162</v>
      </c>
      <c r="E653" s="79">
        <v>8.1348000000000003</v>
      </c>
      <c r="F653" s="79">
        <v>8.1613000000000007</v>
      </c>
      <c r="G653" s="83">
        <f t="shared" si="9"/>
        <v>8.1294793650793675</v>
      </c>
    </row>
    <row r="654" spans="1:7" x14ac:dyDescent="0.2">
      <c r="A654" s="75">
        <v>39668</v>
      </c>
      <c r="B654" s="76" t="s">
        <v>35</v>
      </c>
      <c r="C654" s="76" t="s">
        <v>536</v>
      </c>
      <c r="D654" s="79">
        <v>1453.924761</v>
      </c>
      <c r="E654" s="79">
        <v>8.1600999999999999</v>
      </c>
      <c r="F654" s="79">
        <v>8.1757000000000009</v>
      </c>
      <c r="G654" s="83">
        <f t="shared" si="9"/>
        <v>8.1334412698412688</v>
      </c>
    </row>
    <row r="655" spans="1:7" x14ac:dyDescent="0.2">
      <c r="A655" s="75">
        <v>39671</v>
      </c>
      <c r="B655" s="76" t="s">
        <v>35</v>
      </c>
      <c r="C655" s="76" t="s">
        <v>536</v>
      </c>
      <c r="D655" s="79">
        <v>1450.9624710000001</v>
      </c>
      <c r="E655" s="79">
        <v>8.1744000000000003</v>
      </c>
      <c r="F655" s="79">
        <v>8.2302999999999997</v>
      </c>
      <c r="G655" s="83">
        <f t="shared" si="9"/>
        <v>8.1392888888888901</v>
      </c>
    </row>
    <row r="656" spans="1:7" x14ac:dyDescent="0.2">
      <c r="A656" s="75">
        <v>39672</v>
      </c>
      <c r="B656" s="76" t="s">
        <v>35</v>
      </c>
      <c r="C656" s="76" t="s">
        <v>536</v>
      </c>
      <c r="D656" s="79">
        <v>1449.9433019999999</v>
      </c>
      <c r="E656" s="79">
        <v>8.2289999999999992</v>
      </c>
      <c r="F656" s="79">
        <v>8.2560000000000002</v>
      </c>
      <c r="G656" s="83">
        <f t="shared" si="9"/>
        <v>8.1465158730158738</v>
      </c>
    </row>
    <row r="657" spans="1:7" x14ac:dyDescent="0.2">
      <c r="A657" s="75">
        <v>39673</v>
      </c>
      <c r="B657" s="76" t="s">
        <v>35</v>
      </c>
      <c r="C657" s="76" t="s">
        <v>536</v>
      </c>
      <c r="D657" s="79">
        <v>1450.0703579999999</v>
      </c>
      <c r="E657" s="79">
        <v>8.2546999999999997</v>
      </c>
      <c r="F657" s="79">
        <v>8.2645999999999997</v>
      </c>
      <c r="G657" s="83">
        <f t="shared" si="9"/>
        <v>8.1526476190476185</v>
      </c>
    </row>
    <row r="658" spans="1:7" x14ac:dyDescent="0.2">
      <c r="A658" s="75">
        <v>39674</v>
      </c>
      <c r="B658" s="76" t="s">
        <v>35</v>
      </c>
      <c r="C658" s="76" t="s">
        <v>536</v>
      </c>
      <c r="D658" s="79">
        <v>1455.2875690000001</v>
      </c>
      <c r="E658" s="79">
        <v>8.2632999999999992</v>
      </c>
      <c r="F658" s="79">
        <v>8.1973000000000003</v>
      </c>
      <c r="G658" s="83">
        <f t="shared" si="9"/>
        <v>8.1590793650793643</v>
      </c>
    </row>
    <row r="659" spans="1:7" x14ac:dyDescent="0.2">
      <c r="A659" s="75">
        <v>39675</v>
      </c>
      <c r="B659" s="76" t="s">
        <v>35</v>
      </c>
      <c r="C659" s="76" t="s">
        <v>536</v>
      </c>
      <c r="D659" s="79">
        <v>1458.1227369999999</v>
      </c>
      <c r="E659" s="79">
        <v>8.1961999999999993</v>
      </c>
      <c r="F659" s="79">
        <v>8.1658000000000008</v>
      </c>
      <c r="G659" s="83">
        <f t="shared" si="9"/>
        <v>8.1657650793650802</v>
      </c>
    </row>
    <row r="660" spans="1:7" x14ac:dyDescent="0.2">
      <c r="A660" s="75">
        <v>39678</v>
      </c>
      <c r="B660" s="76" t="s">
        <v>35</v>
      </c>
      <c r="C660" s="76" t="s">
        <v>536</v>
      </c>
      <c r="D660" s="79">
        <v>1458.1063280000001</v>
      </c>
      <c r="E660" s="79">
        <v>8.1646999999999998</v>
      </c>
      <c r="F660" s="79">
        <v>8.1757000000000009</v>
      </c>
      <c r="G660" s="83">
        <f t="shared" si="9"/>
        <v>8.1709809523809547</v>
      </c>
    </row>
    <row r="661" spans="1:7" x14ac:dyDescent="0.2">
      <c r="A661" s="75">
        <v>39679</v>
      </c>
      <c r="B661" s="76" t="s">
        <v>35</v>
      </c>
      <c r="C661" s="76" t="s">
        <v>536</v>
      </c>
      <c r="D661" s="79">
        <v>1458.683207</v>
      </c>
      <c r="E661" s="79">
        <v>8.1745999999999999</v>
      </c>
      <c r="F661" s="79">
        <v>8.1768000000000001</v>
      </c>
      <c r="G661" s="83">
        <f t="shared" si="9"/>
        <v>8.1772015873015889</v>
      </c>
    </row>
    <row r="662" spans="1:7" x14ac:dyDescent="0.2">
      <c r="A662" s="75">
        <v>39680</v>
      </c>
      <c r="B662" s="76" t="s">
        <v>35</v>
      </c>
      <c r="C662" s="76" t="s">
        <v>536</v>
      </c>
      <c r="D662" s="79">
        <v>1457.307528</v>
      </c>
      <c r="E662" s="79">
        <v>8.1757000000000009</v>
      </c>
      <c r="F662" s="79">
        <v>8.2068999999999992</v>
      </c>
      <c r="G662" s="83">
        <f t="shared" si="9"/>
        <v>8.1829111111111121</v>
      </c>
    </row>
    <row r="663" spans="1:7" x14ac:dyDescent="0.2">
      <c r="A663" s="75">
        <v>39681</v>
      </c>
      <c r="B663" s="76" t="s">
        <v>35</v>
      </c>
      <c r="C663" s="76" t="s">
        <v>536</v>
      </c>
      <c r="D663" s="79">
        <v>1457.0985189999999</v>
      </c>
      <c r="E663" s="79">
        <v>8.2058999999999997</v>
      </c>
      <c r="F663" s="79">
        <v>8.2197999999999993</v>
      </c>
      <c r="G663" s="83">
        <f t="shared" si="9"/>
        <v>8.188661904761906</v>
      </c>
    </row>
    <row r="664" spans="1:7" x14ac:dyDescent="0.2">
      <c r="A664" s="75">
        <v>39682</v>
      </c>
      <c r="B664" s="76" t="s">
        <v>35</v>
      </c>
      <c r="C664" s="76" t="s">
        <v>536</v>
      </c>
      <c r="D664" s="79">
        <v>1456.2449120000001</v>
      </c>
      <c r="E664" s="79">
        <v>8.2187999999999999</v>
      </c>
      <c r="F664" s="79">
        <v>8.2423000000000002</v>
      </c>
      <c r="G664" s="83">
        <f t="shared" si="9"/>
        <v>8.194115873015873</v>
      </c>
    </row>
    <row r="665" spans="1:7" x14ac:dyDescent="0.2">
      <c r="A665" s="75">
        <v>39685</v>
      </c>
      <c r="B665" s="76" t="s">
        <v>35</v>
      </c>
      <c r="C665" s="76" t="s">
        <v>536</v>
      </c>
      <c r="D665" s="79">
        <v>1454.9611480000001</v>
      </c>
      <c r="E665" s="79">
        <v>8.2411999999999992</v>
      </c>
      <c r="F665" s="79">
        <v>8.2661999999999995</v>
      </c>
      <c r="G665" s="83">
        <f t="shared" si="9"/>
        <v>8.1986158730158731</v>
      </c>
    </row>
    <row r="666" spans="1:7" x14ac:dyDescent="0.2">
      <c r="A666" s="75">
        <v>39686</v>
      </c>
      <c r="B666" s="76" t="s">
        <v>35</v>
      </c>
      <c r="C666" s="76" t="s">
        <v>536</v>
      </c>
      <c r="D666" s="79">
        <v>1455.8895379999999</v>
      </c>
      <c r="E666" s="79">
        <v>8.2652000000000001</v>
      </c>
      <c r="F666" s="79">
        <v>8.2614000000000001</v>
      </c>
      <c r="G666" s="83">
        <f t="shared" si="9"/>
        <v>8.2038539682539682</v>
      </c>
    </row>
    <row r="667" spans="1:7" x14ac:dyDescent="0.2">
      <c r="A667" s="75">
        <v>39687</v>
      </c>
      <c r="B667" s="76" t="s">
        <v>35</v>
      </c>
      <c r="C667" s="76" t="s">
        <v>536</v>
      </c>
      <c r="D667" s="79">
        <v>1457.9281109999999</v>
      </c>
      <c r="E667" s="79">
        <v>8.2604000000000006</v>
      </c>
      <c r="F667" s="79">
        <v>8.2401</v>
      </c>
      <c r="G667" s="83">
        <f t="shared" si="9"/>
        <v>8.2110190476190468</v>
      </c>
    </row>
    <row r="668" spans="1:7" x14ac:dyDescent="0.2">
      <c r="A668" s="75">
        <v>39688</v>
      </c>
      <c r="B668" s="76" t="s">
        <v>35</v>
      </c>
      <c r="C668" s="76" t="s">
        <v>536</v>
      </c>
      <c r="D668" s="79">
        <v>1458.6079299999999</v>
      </c>
      <c r="E668" s="79">
        <v>8.2391000000000005</v>
      </c>
      <c r="F668" s="79">
        <v>8.2390000000000008</v>
      </c>
      <c r="G668" s="83">
        <f t="shared" si="9"/>
        <v>8.2183126984126975</v>
      </c>
    </row>
    <row r="669" spans="1:7" x14ac:dyDescent="0.2">
      <c r="A669" s="75">
        <v>39689</v>
      </c>
      <c r="B669" s="76" t="s">
        <v>35</v>
      </c>
      <c r="C669" s="76" t="s">
        <v>536</v>
      </c>
      <c r="D669" s="79">
        <v>1459.9685050000001</v>
      </c>
      <c r="E669" s="79">
        <v>8.2378999999999998</v>
      </c>
      <c r="F669" s="79">
        <v>8.2277000000000005</v>
      </c>
      <c r="G669" s="83">
        <f t="shared" si="9"/>
        <v>8.2239396825396831</v>
      </c>
    </row>
    <row r="670" spans="1:7" x14ac:dyDescent="0.2">
      <c r="A670" s="75">
        <v>39692</v>
      </c>
      <c r="B670" s="76" t="s">
        <v>35</v>
      </c>
      <c r="C670" s="76" t="s">
        <v>536</v>
      </c>
      <c r="D670" s="79">
        <v>1460.5070229999999</v>
      </c>
      <c r="E670" s="79">
        <v>8.2266999999999992</v>
      </c>
      <c r="F670" s="79">
        <v>8.2286999999999999</v>
      </c>
      <c r="G670" s="83">
        <f t="shared" si="9"/>
        <v>8.2302142857142861</v>
      </c>
    </row>
    <row r="671" spans="1:7" x14ac:dyDescent="0.2">
      <c r="A671" s="75">
        <v>39693</v>
      </c>
      <c r="B671" s="76" t="s">
        <v>35</v>
      </c>
      <c r="C671" s="76" t="s">
        <v>536</v>
      </c>
      <c r="D671" s="79">
        <v>1457.6042930000001</v>
      </c>
      <c r="E671" s="79">
        <v>8.2278000000000002</v>
      </c>
      <c r="F671" s="79">
        <v>8.2809000000000008</v>
      </c>
      <c r="G671" s="83">
        <f t="shared" si="9"/>
        <v>8.2361095238095228</v>
      </c>
    </row>
    <row r="672" spans="1:7" x14ac:dyDescent="0.2">
      <c r="A672" s="75">
        <v>39694</v>
      </c>
      <c r="B672" s="76" t="s">
        <v>35</v>
      </c>
      <c r="C672" s="76" t="s">
        <v>536</v>
      </c>
      <c r="D672" s="79">
        <v>1456.0879</v>
      </c>
      <c r="E672" s="79">
        <v>8.2798999999999996</v>
      </c>
      <c r="F672" s="79">
        <v>8.3125</v>
      </c>
      <c r="G672" s="83">
        <f t="shared" si="9"/>
        <v>8.2424587301587309</v>
      </c>
    </row>
    <row r="673" spans="1:7" x14ac:dyDescent="0.2">
      <c r="A673" s="75">
        <v>39695</v>
      </c>
      <c r="B673" s="76" t="s">
        <v>35</v>
      </c>
      <c r="C673" s="76" t="s">
        <v>536</v>
      </c>
      <c r="D673" s="79">
        <v>1446.6730889999999</v>
      </c>
      <c r="E673" s="79">
        <v>8.3115000000000006</v>
      </c>
      <c r="F673" s="79">
        <v>8.4623000000000008</v>
      </c>
      <c r="G673" s="83">
        <f t="shared" si="9"/>
        <v>8.2470476190476187</v>
      </c>
    </row>
    <row r="674" spans="1:7" x14ac:dyDescent="0.2">
      <c r="A674" s="75">
        <v>39696</v>
      </c>
      <c r="B674" s="76" t="s">
        <v>35</v>
      </c>
      <c r="C674" s="76" t="s">
        <v>536</v>
      </c>
      <c r="D674" s="79">
        <v>1450.575034</v>
      </c>
      <c r="E674" s="79">
        <v>8.4612999999999996</v>
      </c>
      <c r="F674" s="79">
        <v>8.4084000000000003</v>
      </c>
      <c r="G674" s="83">
        <f t="shared" si="9"/>
        <v>8.2508650793650808</v>
      </c>
    </row>
    <row r="675" spans="1:7" x14ac:dyDescent="0.2">
      <c r="A675" s="75">
        <v>39699</v>
      </c>
      <c r="B675" s="76" t="s">
        <v>35</v>
      </c>
      <c r="C675" s="76" t="s">
        <v>536</v>
      </c>
      <c r="D675" s="79">
        <v>1451.286527</v>
      </c>
      <c r="E675" s="79">
        <v>8.4074000000000009</v>
      </c>
      <c r="F675" s="79">
        <v>8.4065999999999992</v>
      </c>
      <c r="G675" s="83">
        <f t="shared" si="9"/>
        <v>8.2543809523809539</v>
      </c>
    </row>
    <row r="676" spans="1:7" x14ac:dyDescent="0.2">
      <c r="A676" s="75">
        <v>39700</v>
      </c>
      <c r="B676" s="76" t="s">
        <v>35</v>
      </c>
      <c r="C676" s="76" t="s">
        <v>536</v>
      </c>
      <c r="D676" s="79">
        <v>1447.4430729999999</v>
      </c>
      <c r="E676" s="79">
        <v>8.4056999999999995</v>
      </c>
      <c r="F676" s="79">
        <v>8.4731000000000005</v>
      </c>
      <c r="G676" s="83">
        <f t="shared" si="9"/>
        <v>8.2588269841269852</v>
      </c>
    </row>
    <row r="677" spans="1:7" x14ac:dyDescent="0.2">
      <c r="A677" s="75">
        <v>39701</v>
      </c>
      <c r="B677" s="76" t="s">
        <v>35</v>
      </c>
      <c r="C677" s="76" t="s">
        <v>536</v>
      </c>
      <c r="D677" s="79">
        <v>1456.3549129999999</v>
      </c>
      <c r="E677" s="79">
        <v>8.4720999999999993</v>
      </c>
      <c r="F677" s="79">
        <v>8.3488000000000007</v>
      </c>
      <c r="G677" s="83">
        <f t="shared" si="9"/>
        <v>8.2645571428571412</v>
      </c>
    </row>
    <row r="678" spans="1:7" x14ac:dyDescent="0.2">
      <c r="A678" s="75">
        <v>39702</v>
      </c>
      <c r="B678" s="76" t="s">
        <v>35</v>
      </c>
      <c r="C678" s="76" t="s">
        <v>536</v>
      </c>
      <c r="D678" s="79">
        <v>1454.8777640000001</v>
      </c>
      <c r="E678" s="79">
        <v>8.3478999999999992</v>
      </c>
      <c r="F678" s="79">
        <v>8.3796999999999997</v>
      </c>
      <c r="G678" s="83">
        <f t="shared" si="9"/>
        <v>8.2681920634920623</v>
      </c>
    </row>
    <row r="679" spans="1:7" x14ac:dyDescent="0.2">
      <c r="A679" s="75">
        <v>39703</v>
      </c>
      <c r="B679" s="76" t="s">
        <v>35</v>
      </c>
      <c r="C679" s="76" t="s">
        <v>536</v>
      </c>
      <c r="D679" s="79">
        <v>1455.683802</v>
      </c>
      <c r="E679" s="79">
        <v>8.3788</v>
      </c>
      <c r="F679" s="79">
        <v>8.3765999999999998</v>
      </c>
      <c r="G679" s="83">
        <f t="shared" si="9"/>
        <v>8.2725952380952386</v>
      </c>
    </row>
    <row r="680" spans="1:7" x14ac:dyDescent="0.2">
      <c r="A680" s="75">
        <v>39706</v>
      </c>
      <c r="B680" s="76" t="s">
        <v>35</v>
      </c>
      <c r="C680" s="76" t="s">
        <v>536</v>
      </c>
      <c r="D680" s="79">
        <v>1450.669279</v>
      </c>
      <c r="E680" s="79">
        <v>8.3757000000000001</v>
      </c>
      <c r="F680" s="79">
        <v>8.4603999999999999</v>
      </c>
      <c r="G680" s="83">
        <f t="shared" si="9"/>
        <v>8.2770428571428578</v>
      </c>
    </row>
    <row r="681" spans="1:7" x14ac:dyDescent="0.2">
      <c r="A681" s="75">
        <v>39707</v>
      </c>
      <c r="B681" s="76" t="s">
        <v>35</v>
      </c>
      <c r="C681" s="76" t="s">
        <v>536</v>
      </c>
      <c r="D681" s="79">
        <v>1445.179437</v>
      </c>
      <c r="E681" s="79">
        <v>8.4594000000000005</v>
      </c>
      <c r="F681" s="79">
        <v>8.5518000000000001</v>
      </c>
      <c r="G681" s="83">
        <f t="shared" si="9"/>
        <v>8.2822666666666667</v>
      </c>
    </row>
    <row r="682" spans="1:7" x14ac:dyDescent="0.2">
      <c r="A682" s="75">
        <v>39708</v>
      </c>
      <c r="B682" s="76" t="s">
        <v>35</v>
      </c>
      <c r="C682" s="76" t="s">
        <v>536</v>
      </c>
      <c r="D682" s="79">
        <v>1422.198819</v>
      </c>
      <c r="E682" s="79">
        <v>8.5509000000000004</v>
      </c>
      <c r="F682" s="79">
        <v>8.9099000000000004</v>
      </c>
      <c r="G682" s="83">
        <f t="shared" si="9"/>
        <v>8.288841269841269</v>
      </c>
    </row>
    <row r="683" spans="1:7" x14ac:dyDescent="0.2">
      <c r="A683" s="75">
        <v>39709</v>
      </c>
      <c r="B683" s="76" t="s">
        <v>35</v>
      </c>
      <c r="C683" s="76" t="s">
        <v>536</v>
      </c>
      <c r="D683" s="79">
        <v>1392.8500799999999</v>
      </c>
      <c r="E683" s="79">
        <v>8.9090000000000007</v>
      </c>
      <c r="F683" s="79">
        <v>9.375</v>
      </c>
      <c r="G683" s="83">
        <f t="shared" si="9"/>
        <v>8.299966666666668</v>
      </c>
    </row>
    <row r="684" spans="1:7" x14ac:dyDescent="0.2">
      <c r="A684" s="75">
        <v>39710</v>
      </c>
      <c r="B684" s="76" t="s">
        <v>35</v>
      </c>
      <c r="C684" s="76" t="s">
        <v>536</v>
      </c>
      <c r="D684" s="79">
        <v>1419.6428579999999</v>
      </c>
      <c r="E684" s="79">
        <v>9.3741000000000003</v>
      </c>
      <c r="F684" s="79">
        <v>8.9686000000000003</v>
      </c>
      <c r="G684" s="83">
        <f t="shared" si="9"/>
        <v>8.3183714285714299</v>
      </c>
    </row>
    <row r="685" spans="1:7" x14ac:dyDescent="0.2">
      <c r="A685" s="75">
        <v>39713</v>
      </c>
      <c r="B685" s="76" t="s">
        <v>35</v>
      </c>
      <c r="C685" s="76" t="s">
        <v>536</v>
      </c>
      <c r="D685" s="79">
        <v>1420.3656390000001</v>
      </c>
      <c r="E685" s="79">
        <v>8.9677000000000007</v>
      </c>
      <c r="F685" s="79">
        <v>8.9671000000000003</v>
      </c>
      <c r="G685" s="83">
        <f t="shared" si="9"/>
        <v>8.3305079365079386</v>
      </c>
    </row>
    <row r="686" spans="1:7" x14ac:dyDescent="0.2">
      <c r="A686" s="75">
        <v>39714</v>
      </c>
      <c r="B686" s="76" t="s">
        <v>35</v>
      </c>
      <c r="C686" s="76" t="s">
        <v>536</v>
      </c>
      <c r="D686" s="79">
        <v>1407.1690140000001</v>
      </c>
      <c r="E686" s="79">
        <v>8.9662000000000006</v>
      </c>
      <c r="F686" s="79">
        <v>9.1805000000000003</v>
      </c>
      <c r="G686" s="83">
        <f t="shared" si="9"/>
        <v>8.3436904761904742</v>
      </c>
    </row>
    <row r="687" spans="1:7" x14ac:dyDescent="0.2">
      <c r="A687" s="75">
        <v>39715</v>
      </c>
      <c r="B687" s="76" t="s">
        <v>35</v>
      </c>
      <c r="C687" s="76" t="s">
        <v>536</v>
      </c>
      <c r="D687" s="79">
        <v>1404.4673720000001</v>
      </c>
      <c r="E687" s="79">
        <v>9.1796000000000006</v>
      </c>
      <c r="F687" s="79">
        <v>9.2323000000000004</v>
      </c>
      <c r="G687" s="83">
        <f t="shared" si="9"/>
        <v>8.3594793650793644</v>
      </c>
    </row>
    <row r="688" spans="1:7" x14ac:dyDescent="0.2">
      <c r="A688" s="75">
        <v>39716</v>
      </c>
      <c r="B688" s="76" t="s">
        <v>35</v>
      </c>
      <c r="C688" s="76" t="s">
        <v>536</v>
      </c>
      <c r="D688" s="79">
        <v>1412.667246</v>
      </c>
      <c r="E688" s="79">
        <v>9.2314000000000007</v>
      </c>
      <c r="F688" s="79">
        <v>9.1069999999999993</v>
      </c>
      <c r="G688" s="83">
        <f t="shared" si="9"/>
        <v>8.375992063492065</v>
      </c>
    </row>
    <row r="689" spans="1:7" x14ac:dyDescent="0.2">
      <c r="A689" s="75">
        <v>39717</v>
      </c>
      <c r="B689" s="76" t="s">
        <v>35</v>
      </c>
      <c r="C689" s="76" t="s">
        <v>536</v>
      </c>
      <c r="D689" s="79">
        <v>1414.702282</v>
      </c>
      <c r="E689" s="79">
        <v>9.1061999999999994</v>
      </c>
      <c r="F689" s="79">
        <v>9.0844000000000005</v>
      </c>
      <c r="G689" s="83">
        <f t="shared" si="9"/>
        <v>8.3899825396825403</v>
      </c>
    </row>
    <row r="690" spans="1:7" x14ac:dyDescent="0.2">
      <c r="A690" s="75">
        <v>39720</v>
      </c>
      <c r="B690" s="76" t="s">
        <v>35</v>
      </c>
      <c r="C690" s="76" t="s">
        <v>536</v>
      </c>
      <c r="D690" s="79">
        <v>1405.5906339999999</v>
      </c>
      <c r="E690" s="79">
        <v>9.0835000000000008</v>
      </c>
      <c r="F690" s="79">
        <v>9.2342999999999993</v>
      </c>
      <c r="G690" s="83">
        <f t="shared" si="9"/>
        <v>8.403369841269841</v>
      </c>
    </row>
    <row r="691" spans="1:7" x14ac:dyDescent="0.2">
      <c r="A691" s="75">
        <v>39721</v>
      </c>
      <c r="B691" s="76" t="s">
        <v>35</v>
      </c>
      <c r="C691" s="76" t="s">
        <v>536</v>
      </c>
      <c r="D691" s="79">
        <v>1416.683166</v>
      </c>
      <c r="E691" s="79">
        <v>9.2333999999999996</v>
      </c>
      <c r="F691" s="79">
        <v>9.0714000000000006</v>
      </c>
      <c r="G691" s="83">
        <f t="shared" si="9"/>
        <v>8.4181555555555558</v>
      </c>
    </row>
    <row r="692" spans="1:7" x14ac:dyDescent="0.2">
      <c r="A692" s="75">
        <v>39722</v>
      </c>
      <c r="B692" s="76" t="s">
        <v>35</v>
      </c>
      <c r="C692" s="76" t="s">
        <v>536</v>
      </c>
      <c r="D692" s="79">
        <v>1430.1063099999999</v>
      </c>
      <c r="E692" s="79">
        <v>9.0704999999999991</v>
      </c>
      <c r="F692" s="79">
        <v>8.8743999999999996</v>
      </c>
      <c r="G692" s="83">
        <f t="shared" si="9"/>
        <v>8.4298269841269846</v>
      </c>
    </row>
    <row r="693" spans="1:7" x14ac:dyDescent="0.2">
      <c r="A693" s="75">
        <v>39723</v>
      </c>
      <c r="B693" s="76" t="s">
        <v>35</v>
      </c>
      <c r="C693" s="76" t="s">
        <v>536</v>
      </c>
      <c r="D693" s="79">
        <v>1416.3556020000001</v>
      </c>
      <c r="E693" s="79">
        <v>8.8735999999999997</v>
      </c>
      <c r="F693" s="79">
        <v>9.0937999999999999</v>
      </c>
      <c r="G693" s="83">
        <f t="shared" si="9"/>
        <v>8.437633333333336</v>
      </c>
    </row>
    <row r="694" spans="1:7" x14ac:dyDescent="0.2">
      <c r="A694" s="75">
        <v>39724</v>
      </c>
      <c r="B694" s="76" t="s">
        <v>35</v>
      </c>
      <c r="C694" s="76" t="s">
        <v>536</v>
      </c>
      <c r="D694" s="79">
        <v>1416.41552</v>
      </c>
      <c r="E694" s="79">
        <v>9.093</v>
      </c>
      <c r="F694" s="79">
        <v>9.1016999999999992</v>
      </c>
      <c r="G694" s="83">
        <f t="shared" si="9"/>
        <v>8.4503492063492072</v>
      </c>
    </row>
    <row r="695" spans="1:7" x14ac:dyDescent="0.2">
      <c r="A695" s="75">
        <v>39727</v>
      </c>
      <c r="B695" s="76" t="s">
        <v>35</v>
      </c>
      <c r="C695" s="76" t="s">
        <v>536</v>
      </c>
      <c r="D695" s="79">
        <v>1389.3628120000001</v>
      </c>
      <c r="E695" s="79">
        <v>9.1008999999999993</v>
      </c>
      <c r="F695" s="79">
        <v>9.5325000000000006</v>
      </c>
      <c r="G695" s="83">
        <f t="shared" si="9"/>
        <v>8.4631634920634937</v>
      </c>
    </row>
    <row r="696" spans="1:7" x14ac:dyDescent="0.2">
      <c r="A696" s="75">
        <v>39728</v>
      </c>
      <c r="B696" s="76" t="s">
        <v>35</v>
      </c>
      <c r="C696" s="76" t="s">
        <v>536</v>
      </c>
      <c r="D696" s="79">
        <v>1374.304946</v>
      </c>
      <c r="E696" s="79">
        <v>9.5317000000000007</v>
      </c>
      <c r="F696" s="79">
        <v>9.7809000000000008</v>
      </c>
      <c r="G696" s="83">
        <f t="shared" si="9"/>
        <v>8.4828190476190493</v>
      </c>
    </row>
    <row r="697" spans="1:7" x14ac:dyDescent="0.2">
      <c r="A697" s="75">
        <v>39729</v>
      </c>
      <c r="B697" s="76" t="s">
        <v>35</v>
      </c>
      <c r="C697" s="76" t="s">
        <v>536</v>
      </c>
      <c r="D697" s="79">
        <v>1376.808916</v>
      </c>
      <c r="E697" s="79">
        <v>9.7800999999999991</v>
      </c>
      <c r="F697" s="79">
        <v>9.7588000000000008</v>
      </c>
      <c r="G697" s="83">
        <f t="shared" si="9"/>
        <v>8.5052301587301589</v>
      </c>
    </row>
    <row r="698" spans="1:7" x14ac:dyDescent="0.2">
      <c r="A698" s="75">
        <v>39730</v>
      </c>
      <c r="B698" s="76" t="s">
        <v>35</v>
      </c>
      <c r="C698" s="76" t="s">
        <v>536</v>
      </c>
      <c r="D698" s="79">
        <v>1379.632926</v>
      </c>
      <c r="E698" s="79">
        <v>9.7581000000000007</v>
      </c>
      <c r="F698" s="79">
        <v>9.7238000000000007</v>
      </c>
      <c r="G698" s="83">
        <f t="shared" si="9"/>
        <v>8.5257587301587314</v>
      </c>
    </row>
    <row r="699" spans="1:7" x14ac:dyDescent="0.2">
      <c r="A699" s="75">
        <v>39731</v>
      </c>
      <c r="B699" s="76" t="s">
        <v>35</v>
      </c>
      <c r="C699" s="76" t="s">
        <v>536</v>
      </c>
      <c r="D699" s="79">
        <v>1355.3504909999999</v>
      </c>
      <c r="E699" s="79">
        <v>9.7232000000000003</v>
      </c>
      <c r="F699" s="79">
        <v>10.124599999999999</v>
      </c>
      <c r="G699" s="83">
        <f t="shared" si="9"/>
        <v>8.5459031746031773</v>
      </c>
    </row>
    <row r="700" spans="1:7" x14ac:dyDescent="0.2">
      <c r="A700" s="75">
        <v>39734</v>
      </c>
      <c r="B700" s="76" t="s">
        <v>35</v>
      </c>
      <c r="C700" s="76" t="s">
        <v>536</v>
      </c>
      <c r="D700" s="79">
        <v>1383.664622</v>
      </c>
      <c r="E700" s="79">
        <v>10.123900000000001</v>
      </c>
      <c r="F700" s="79">
        <v>9.6800999999999995</v>
      </c>
      <c r="G700" s="83">
        <f t="shared" si="9"/>
        <v>8.5742825396825442</v>
      </c>
    </row>
    <row r="701" spans="1:7" x14ac:dyDescent="0.2">
      <c r="A701" s="75">
        <v>39735</v>
      </c>
      <c r="B701" s="76" t="s">
        <v>35</v>
      </c>
      <c r="C701" s="76" t="s">
        <v>536</v>
      </c>
      <c r="D701" s="79">
        <v>1381.7843519999999</v>
      </c>
      <c r="E701" s="79">
        <v>9.6795000000000009</v>
      </c>
      <c r="F701" s="79">
        <v>9.7200000000000006</v>
      </c>
      <c r="G701" s="83">
        <f t="shared" si="9"/>
        <v>8.5951793650793675</v>
      </c>
    </row>
    <row r="702" spans="1:7" x14ac:dyDescent="0.2">
      <c r="A702" s="75">
        <v>39736</v>
      </c>
      <c r="B702" s="76" t="s">
        <v>35</v>
      </c>
      <c r="C702" s="76" t="s">
        <v>536</v>
      </c>
      <c r="D702" s="79">
        <v>1373.2396530000001</v>
      </c>
      <c r="E702" s="79">
        <v>9.7194000000000003</v>
      </c>
      <c r="F702" s="79">
        <v>9.8664000000000005</v>
      </c>
      <c r="G702" s="83">
        <f t="shared" si="9"/>
        <v>8.6158063492063501</v>
      </c>
    </row>
    <row r="703" spans="1:7" x14ac:dyDescent="0.2">
      <c r="A703" s="75">
        <v>39737</v>
      </c>
      <c r="B703" s="76" t="s">
        <v>35</v>
      </c>
      <c r="C703" s="76" t="s">
        <v>536</v>
      </c>
      <c r="D703" s="79">
        <v>1373.5158799999999</v>
      </c>
      <c r="E703" s="79">
        <v>9.8658000000000001</v>
      </c>
      <c r="F703" s="79">
        <v>9.8734999999999999</v>
      </c>
      <c r="G703" s="83">
        <f t="shared" si="9"/>
        <v>8.6391904761904783</v>
      </c>
    </row>
    <row r="704" spans="1:7" x14ac:dyDescent="0.2">
      <c r="A704" s="75">
        <v>39738</v>
      </c>
      <c r="B704" s="76" t="s">
        <v>35</v>
      </c>
      <c r="C704" s="76" t="s">
        <v>536</v>
      </c>
      <c r="D704" s="79">
        <v>1370.573977</v>
      </c>
      <c r="E704" s="79">
        <v>9.8729999999999993</v>
      </c>
      <c r="F704" s="79">
        <v>9.9322999999999997</v>
      </c>
      <c r="G704" s="83">
        <f t="shared" si="9"/>
        <v>8.6615333333333346</v>
      </c>
    </row>
    <row r="705" spans="1:7" x14ac:dyDescent="0.2">
      <c r="A705" s="75">
        <v>39741</v>
      </c>
      <c r="B705" s="76" t="s">
        <v>35</v>
      </c>
      <c r="C705" s="76" t="s">
        <v>536</v>
      </c>
      <c r="D705" s="79">
        <v>1369.128925</v>
      </c>
      <c r="E705" s="79">
        <v>9.9319000000000006</v>
      </c>
      <c r="F705" s="79">
        <v>9.9672999999999998</v>
      </c>
      <c r="G705" s="83">
        <f t="shared" si="9"/>
        <v>8.6854063492063531</v>
      </c>
    </row>
    <row r="706" spans="1:7" x14ac:dyDescent="0.2">
      <c r="A706" s="75">
        <v>39742</v>
      </c>
      <c r="B706" s="76" t="s">
        <v>35</v>
      </c>
      <c r="C706" s="76" t="s">
        <v>536</v>
      </c>
      <c r="D706" s="79">
        <v>1366.781285</v>
      </c>
      <c r="E706" s="79">
        <v>9.9670000000000005</v>
      </c>
      <c r="F706" s="79">
        <v>10.016999999999999</v>
      </c>
      <c r="G706" s="83">
        <f t="shared" si="9"/>
        <v>8.7100825396825421</v>
      </c>
    </row>
    <row r="707" spans="1:7" x14ac:dyDescent="0.2">
      <c r="A707" s="75">
        <v>39743</v>
      </c>
      <c r="B707" s="76" t="s">
        <v>35</v>
      </c>
      <c r="C707" s="76" t="s">
        <v>536</v>
      </c>
      <c r="D707" s="79">
        <v>1336.372155</v>
      </c>
      <c r="E707" s="79">
        <v>10.0167</v>
      </c>
      <c r="F707" s="79">
        <v>10.525600000000001</v>
      </c>
      <c r="G707" s="83">
        <f t="shared" ref="G707:G770" si="10">+AVERAGE(E645:E707)</f>
        <v>8.7364000000000033</v>
      </c>
    </row>
    <row r="708" spans="1:7" x14ac:dyDescent="0.2">
      <c r="A708" s="75">
        <v>39744</v>
      </c>
      <c r="B708" s="76" t="s">
        <v>35</v>
      </c>
      <c r="C708" s="76" t="s">
        <v>536</v>
      </c>
      <c r="D708" s="79">
        <v>1326.715201</v>
      </c>
      <c r="E708" s="79">
        <v>10.5251</v>
      </c>
      <c r="F708" s="79">
        <v>10.698399999999999</v>
      </c>
      <c r="G708" s="83">
        <f t="shared" si="10"/>
        <v>8.7718984126984143</v>
      </c>
    </row>
    <row r="709" spans="1:7" x14ac:dyDescent="0.2">
      <c r="A709" s="75">
        <v>39745</v>
      </c>
      <c r="B709" s="76" t="s">
        <v>35</v>
      </c>
      <c r="C709" s="76" t="s">
        <v>536</v>
      </c>
      <c r="D709" s="79">
        <v>1308.041168</v>
      </c>
      <c r="E709" s="79">
        <v>10.697800000000001</v>
      </c>
      <c r="F709" s="79">
        <v>11.023899999999999</v>
      </c>
      <c r="G709" s="83">
        <f t="shared" si="10"/>
        <v>8.8103047619047619</v>
      </c>
    </row>
    <row r="710" spans="1:7" x14ac:dyDescent="0.2">
      <c r="A710" s="75">
        <v>39748</v>
      </c>
      <c r="B710" s="76" t="s">
        <v>35</v>
      </c>
      <c r="C710" s="76" t="s">
        <v>536</v>
      </c>
      <c r="D710" s="79">
        <v>1310.6918430000001</v>
      </c>
      <c r="E710" s="79">
        <v>11.023199999999999</v>
      </c>
      <c r="F710" s="79">
        <v>10.991199999999999</v>
      </c>
      <c r="G710" s="83">
        <f t="shared" si="10"/>
        <v>8.8538333333333341</v>
      </c>
    </row>
    <row r="711" spans="1:7" x14ac:dyDescent="0.2">
      <c r="A711" s="75">
        <v>39749</v>
      </c>
      <c r="B711" s="76" t="s">
        <v>35</v>
      </c>
      <c r="C711" s="76" t="s">
        <v>536</v>
      </c>
      <c r="D711" s="79">
        <v>1328.4888040000001</v>
      </c>
      <c r="E711" s="79">
        <v>10.990500000000001</v>
      </c>
      <c r="F711" s="79">
        <v>10.7042</v>
      </c>
      <c r="G711" s="83">
        <f t="shared" si="10"/>
        <v>8.8979714285714291</v>
      </c>
    </row>
    <row r="712" spans="1:7" x14ac:dyDescent="0.2">
      <c r="A712" s="75">
        <v>39750</v>
      </c>
      <c r="B712" s="76" t="s">
        <v>35</v>
      </c>
      <c r="C712" s="76" t="s">
        <v>536</v>
      </c>
      <c r="D712" s="79">
        <v>1347.6559199999999</v>
      </c>
      <c r="E712" s="79">
        <v>10.7035</v>
      </c>
      <c r="F712" s="79">
        <v>10.3992</v>
      </c>
      <c r="G712" s="83">
        <f t="shared" si="10"/>
        <v>8.9376174603174618</v>
      </c>
    </row>
    <row r="713" spans="1:7" x14ac:dyDescent="0.2">
      <c r="A713" s="75">
        <v>39751</v>
      </c>
      <c r="B713" s="76" t="s">
        <v>35</v>
      </c>
      <c r="C713" s="76" t="s">
        <v>536</v>
      </c>
      <c r="D713" s="79">
        <v>1349.7259839999999</v>
      </c>
      <c r="E713" s="79">
        <v>10.3986</v>
      </c>
      <c r="F713" s="79">
        <v>10.3771</v>
      </c>
      <c r="G713" s="83">
        <f t="shared" si="10"/>
        <v>8.9730206349206352</v>
      </c>
    </row>
    <row r="714" spans="1:7" x14ac:dyDescent="0.2">
      <c r="A714" s="75">
        <v>39752</v>
      </c>
      <c r="B714" s="76" t="s">
        <v>35</v>
      </c>
      <c r="C714" s="76" t="s">
        <v>536</v>
      </c>
      <c r="D714" s="79">
        <v>1357.5166449999999</v>
      </c>
      <c r="E714" s="79">
        <v>10.3765</v>
      </c>
      <c r="F714" s="79">
        <v>10.261799999999999</v>
      </c>
      <c r="G714" s="83">
        <f t="shared" si="10"/>
        <v>9.0080825396825386</v>
      </c>
    </row>
    <row r="715" spans="1:7" x14ac:dyDescent="0.2">
      <c r="A715" s="75">
        <v>39755</v>
      </c>
      <c r="B715" s="76" t="s">
        <v>35</v>
      </c>
      <c r="C715" s="76" t="s">
        <v>536</v>
      </c>
      <c r="D715" s="79">
        <v>1359.3133849999999</v>
      </c>
      <c r="E715" s="79">
        <v>10.261200000000001</v>
      </c>
      <c r="F715" s="79">
        <v>10.244300000000001</v>
      </c>
      <c r="G715" s="83">
        <f t="shared" si="10"/>
        <v>9.0418555555555553</v>
      </c>
    </row>
    <row r="716" spans="1:7" x14ac:dyDescent="0.2">
      <c r="A716" s="75">
        <v>39756</v>
      </c>
      <c r="B716" s="76" t="s">
        <v>35</v>
      </c>
      <c r="C716" s="76" t="s">
        <v>536</v>
      </c>
      <c r="D716" s="79">
        <v>1365.7048359999999</v>
      </c>
      <c r="E716" s="79">
        <v>10.2437</v>
      </c>
      <c r="F716" s="79">
        <v>10.1525</v>
      </c>
      <c r="G716" s="83">
        <f t="shared" si="10"/>
        <v>9.0753301587301589</v>
      </c>
    </row>
    <row r="717" spans="1:7" x14ac:dyDescent="0.2">
      <c r="A717" s="75">
        <v>39757</v>
      </c>
      <c r="B717" s="76" t="s">
        <v>35</v>
      </c>
      <c r="C717" s="76" t="s">
        <v>536</v>
      </c>
      <c r="D717" s="79">
        <v>1364.7385280000001</v>
      </c>
      <c r="E717" s="79">
        <v>10.151999999999999</v>
      </c>
      <c r="F717" s="79">
        <v>10.1798</v>
      </c>
      <c r="G717" s="83">
        <f t="shared" si="10"/>
        <v>9.1069476190476202</v>
      </c>
    </row>
    <row r="718" spans="1:7" x14ac:dyDescent="0.2">
      <c r="A718" s="75">
        <v>39758</v>
      </c>
      <c r="B718" s="76" t="s">
        <v>35</v>
      </c>
      <c r="C718" s="76" t="s">
        <v>536</v>
      </c>
      <c r="D718" s="79">
        <v>1362.717956</v>
      </c>
      <c r="E718" s="79">
        <v>10.1791</v>
      </c>
      <c r="F718" s="79">
        <v>10.224</v>
      </c>
      <c r="G718" s="83">
        <f t="shared" si="10"/>
        <v>9.1387682539682533</v>
      </c>
    </row>
    <row r="719" spans="1:7" x14ac:dyDescent="0.2">
      <c r="A719" s="75">
        <v>39759</v>
      </c>
      <c r="B719" s="76" t="s">
        <v>35</v>
      </c>
      <c r="C719" s="76" t="s">
        <v>536</v>
      </c>
      <c r="D719" s="79">
        <v>1377.750096</v>
      </c>
      <c r="E719" s="79">
        <v>10.2233</v>
      </c>
      <c r="F719" s="79">
        <v>10.003500000000001</v>
      </c>
      <c r="G719" s="83">
        <f t="shared" si="10"/>
        <v>9.1704238095238093</v>
      </c>
    </row>
    <row r="720" spans="1:7" x14ac:dyDescent="0.2">
      <c r="A720" s="75">
        <v>39762</v>
      </c>
      <c r="B720" s="76" t="s">
        <v>35</v>
      </c>
      <c r="C720" s="76" t="s">
        <v>536</v>
      </c>
      <c r="D720" s="79">
        <v>1379.0290239999999</v>
      </c>
      <c r="E720" s="79">
        <v>10.002800000000001</v>
      </c>
      <c r="F720" s="79">
        <v>9.9949999999999992</v>
      </c>
      <c r="G720" s="83">
        <f t="shared" si="10"/>
        <v>9.1981714285714293</v>
      </c>
    </row>
    <row r="721" spans="1:7" x14ac:dyDescent="0.2">
      <c r="A721" s="75">
        <v>39763</v>
      </c>
      <c r="B721" s="76" t="s">
        <v>35</v>
      </c>
      <c r="C721" s="76" t="s">
        <v>536</v>
      </c>
      <c r="D721" s="79">
        <v>1381.463002</v>
      </c>
      <c r="E721" s="79">
        <v>9.9944000000000006</v>
      </c>
      <c r="F721" s="79">
        <v>9.9681999999999995</v>
      </c>
      <c r="G721" s="83">
        <f t="shared" si="10"/>
        <v>9.2256492063492086</v>
      </c>
    </row>
    <row r="722" spans="1:7" x14ac:dyDescent="0.2">
      <c r="A722" s="75">
        <v>39764</v>
      </c>
      <c r="B722" s="76" t="s">
        <v>35</v>
      </c>
      <c r="C722" s="76" t="s">
        <v>536</v>
      </c>
      <c r="D722" s="79">
        <v>1384.1204680000001</v>
      </c>
      <c r="E722" s="79">
        <v>9.9675999999999991</v>
      </c>
      <c r="F722" s="79">
        <v>9.9379000000000008</v>
      </c>
      <c r="G722" s="83">
        <f t="shared" si="10"/>
        <v>9.2537666666666691</v>
      </c>
    </row>
    <row r="723" spans="1:7" x14ac:dyDescent="0.2">
      <c r="A723" s="75">
        <v>39765</v>
      </c>
      <c r="B723" s="76" t="s">
        <v>35</v>
      </c>
      <c r="C723" s="76" t="s">
        <v>536</v>
      </c>
      <c r="D723" s="79">
        <v>1370.930355</v>
      </c>
      <c r="E723" s="79">
        <v>9.9373000000000005</v>
      </c>
      <c r="F723" s="79">
        <v>10.1608</v>
      </c>
      <c r="G723" s="83">
        <f t="shared" si="10"/>
        <v>9.2819031746031762</v>
      </c>
    </row>
    <row r="724" spans="1:7" x14ac:dyDescent="0.2">
      <c r="A724" s="75">
        <v>39766</v>
      </c>
      <c r="B724" s="76" t="s">
        <v>35</v>
      </c>
      <c r="C724" s="76" t="s">
        <v>536</v>
      </c>
      <c r="D724" s="79">
        <v>1382.9149339999999</v>
      </c>
      <c r="E724" s="79">
        <v>10.16</v>
      </c>
      <c r="F724" s="79">
        <v>9.9809999999999999</v>
      </c>
      <c r="G724" s="83">
        <f t="shared" si="10"/>
        <v>9.31341746031746</v>
      </c>
    </row>
    <row r="725" spans="1:7" x14ac:dyDescent="0.2">
      <c r="A725" s="75">
        <v>39769</v>
      </c>
      <c r="B725" s="76" t="s">
        <v>35</v>
      </c>
      <c r="C725" s="76" t="s">
        <v>536</v>
      </c>
      <c r="D725" s="79">
        <v>1384.9147330000001</v>
      </c>
      <c r="E725" s="79">
        <v>9.9802999999999997</v>
      </c>
      <c r="F725" s="79">
        <v>9.9611000000000001</v>
      </c>
      <c r="G725" s="83">
        <f t="shared" si="10"/>
        <v>9.3420619047619038</v>
      </c>
    </row>
    <row r="726" spans="1:7" x14ac:dyDescent="0.2">
      <c r="A726" s="75">
        <v>39770</v>
      </c>
      <c r="B726" s="76" t="s">
        <v>35</v>
      </c>
      <c r="C726" s="76" t="s">
        <v>536</v>
      </c>
      <c r="D726" s="79">
        <v>1388.8026400000001</v>
      </c>
      <c r="E726" s="79">
        <v>9.9603000000000002</v>
      </c>
      <c r="F726" s="79">
        <v>9.9124999999999996</v>
      </c>
      <c r="G726" s="83">
        <f t="shared" si="10"/>
        <v>9.3699095238095236</v>
      </c>
    </row>
    <row r="727" spans="1:7" x14ac:dyDescent="0.2">
      <c r="A727" s="75">
        <v>39771</v>
      </c>
      <c r="B727" s="76" t="s">
        <v>35</v>
      </c>
      <c r="C727" s="76" t="s">
        <v>536</v>
      </c>
      <c r="D727" s="79">
        <v>1389.260168</v>
      </c>
      <c r="E727" s="79">
        <v>9.9116999999999997</v>
      </c>
      <c r="F727" s="79">
        <v>9.9183000000000003</v>
      </c>
      <c r="G727" s="83">
        <f t="shared" si="10"/>
        <v>9.3967809523809507</v>
      </c>
    </row>
    <row r="728" spans="1:7" x14ac:dyDescent="0.2">
      <c r="A728" s="75">
        <v>39772</v>
      </c>
      <c r="B728" s="76" t="s">
        <v>35</v>
      </c>
      <c r="C728" s="76" t="s">
        <v>536</v>
      </c>
      <c r="D728" s="79">
        <v>1390.223569</v>
      </c>
      <c r="E728" s="79">
        <v>9.9175000000000004</v>
      </c>
      <c r="F728" s="79">
        <v>9.9161000000000001</v>
      </c>
      <c r="G728" s="83">
        <f t="shared" si="10"/>
        <v>9.4233888888888888</v>
      </c>
    </row>
    <row r="729" spans="1:7" x14ac:dyDescent="0.2">
      <c r="A729" s="75">
        <v>39773</v>
      </c>
      <c r="B729" s="76" t="s">
        <v>35</v>
      </c>
      <c r="C729" s="76" t="s">
        <v>536</v>
      </c>
      <c r="D729" s="79">
        <v>1390.302582</v>
      </c>
      <c r="E729" s="79">
        <v>9.9154</v>
      </c>
      <c r="F729" s="79">
        <v>9.9280000000000008</v>
      </c>
      <c r="G729" s="83">
        <f t="shared" si="10"/>
        <v>9.4495825396825381</v>
      </c>
    </row>
    <row r="730" spans="1:7" x14ac:dyDescent="0.2">
      <c r="A730" s="75">
        <v>39776</v>
      </c>
      <c r="B730" s="76" t="s">
        <v>35</v>
      </c>
      <c r="C730" s="76" t="s">
        <v>536</v>
      </c>
      <c r="D730" s="79">
        <v>1392.9503810000001</v>
      </c>
      <c r="E730" s="79">
        <v>9.9274000000000004</v>
      </c>
      <c r="F730" s="79">
        <v>9.8994</v>
      </c>
      <c r="G730" s="83">
        <f t="shared" si="10"/>
        <v>9.4760428571428541</v>
      </c>
    </row>
    <row r="731" spans="1:7" x14ac:dyDescent="0.2">
      <c r="A731" s="75">
        <v>39777</v>
      </c>
      <c r="B731" s="76" t="s">
        <v>35</v>
      </c>
      <c r="C731" s="76" t="s">
        <v>536</v>
      </c>
      <c r="D731" s="79">
        <v>1398.092566</v>
      </c>
      <c r="E731" s="79">
        <v>9.8987999999999996</v>
      </c>
      <c r="F731" s="79">
        <v>9.8315999999999999</v>
      </c>
      <c r="G731" s="83">
        <f t="shared" si="10"/>
        <v>9.5023873015872997</v>
      </c>
    </row>
    <row r="732" spans="1:7" x14ac:dyDescent="0.2">
      <c r="A732" s="75">
        <v>39778</v>
      </c>
      <c r="B732" s="76" t="s">
        <v>35</v>
      </c>
      <c r="C732" s="76" t="s">
        <v>536</v>
      </c>
      <c r="D732" s="79">
        <v>1400.280344</v>
      </c>
      <c r="E732" s="79">
        <v>9.8308</v>
      </c>
      <c r="F732" s="79">
        <v>9.8102</v>
      </c>
      <c r="G732" s="83">
        <f t="shared" si="10"/>
        <v>9.5276714285714288</v>
      </c>
    </row>
    <row r="733" spans="1:7" x14ac:dyDescent="0.2">
      <c r="A733" s="75">
        <v>39779</v>
      </c>
      <c r="B733" s="76" t="s">
        <v>35</v>
      </c>
      <c r="C733" s="76" t="s">
        <v>536</v>
      </c>
      <c r="D733" s="79">
        <v>1401.636585</v>
      </c>
      <c r="E733" s="79">
        <v>9.8094999999999999</v>
      </c>
      <c r="F733" s="79">
        <v>9.8010999999999999</v>
      </c>
      <c r="G733" s="83">
        <f t="shared" si="10"/>
        <v>9.5527952380952339</v>
      </c>
    </row>
    <row r="734" spans="1:7" x14ac:dyDescent="0.2">
      <c r="A734" s="75">
        <v>39780</v>
      </c>
      <c r="B734" s="76" t="s">
        <v>35</v>
      </c>
      <c r="C734" s="76" t="s">
        <v>536</v>
      </c>
      <c r="D734" s="79">
        <v>1406.0855469999999</v>
      </c>
      <c r="E734" s="79">
        <v>9.8003999999999998</v>
      </c>
      <c r="F734" s="79">
        <v>9.7444000000000006</v>
      </c>
      <c r="G734" s="83">
        <f t="shared" si="10"/>
        <v>9.5777571428571413</v>
      </c>
    </row>
    <row r="735" spans="1:7" x14ac:dyDescent="0.2">
      <c r="A735" s="75">
        <v>39783</v>
      </c>
      <c r="B735" s="76" t="s">
        <v>35</v>
      </c>
      <c r="C735" s="76" t="s">
        <v>536</v>
      </c>
      <c r="D735" s="79">
        <v>1419.1624650000001</v>
      </c>
      <c r="E735" s="79">
        <v>9.7438000000000002</v>
      </c>
      <c r="F735" s="79">
        <v>9.5541999999999998</v>
      </c>
      <c r="G735" s="83">
        <f t="shared" si="10"/>
        <v>9.6009936507936473</v>
      </c>
    </row>
    <row r="736" spans="1:7" x14ac:dyDescent="0.2">
      <c r="A736" s="75">
        <v>39784</v>
      </c>
      <c r="B736" s="76" t="s">
        <v>35</v>
      </c>
      <c r="C736" s="76" t="s">
        <v>536</v>
      </c>
      <c r="D736" s="79">
        <v>1437.434896</v>
      </c>
      <c r="E736" s="79">
        <v>9.5535999999999994</v>
      </c>
      <c r="F736" s="79">
        <v>9.2867999999999995</v>
      </c>
      <c r="G736" s="83">
        <f t="shared" si="10"/>
        <v>9.6207095238095217</v>
      </c>
    </row>
    <row r="737" spans="1:7" x14ac:dyDescent="0.2">
      <c r="A737" s="75">
        <v>39785</v>
      </c>
      <c r="B737" s="76" t="s">
        <v>35</v>
      </c>
      <c r="C737" s="76" t="s">
        <v>536</v>
      </c>
      <c r="D737" s="79">
        <v>1440.136035</v>
      </c>
      <c r="E737" s="79">
        <v>9.2863000000000007</v>
      </c>
      <c r="F737" s="79">
        <v>9.2584</v>
      </c>
      <c r="G737" s="83">
        <f t="shared" si="10"/>
        <v>9.6338047619047593</v>
      </c>
    </row>
    <row r="738" spans="1:7" x14ac:dyDescent="0.2">
      <c r="A738" s="75">
        <v>39786</v>
      </c>
      <c r="B738" s="76" t="s">
        <v>35</v>
      </c>
      <c r="C738" s="76" t="s">
        <v>536</v>
      </c>
      <c r="D738" s="79">
        <v>1441.3507139999999</v>
      </c>
      <c r="E738" s="79">
        <v>9.2579999999999991</v>
      </c>
      <c r="F738" s="79">
        <v>9.2527000000000008</v>
      </c>
      <c r="G738" s="83">
        <f t="shared" si="10"/>
        <v>9.6473063492063478</v>
      </c>
    </row>
    <row r="739" spans="1:7" x14ac:dyDescent="0.2">
      <c r="A739" s="75">
        <v>39787</v>
      </c>
      <c r="B739" s="76" t="s">
        <v>35</v>
      </c>
      <c r="C739" s="76" t="s">
        <v>536</v>
      </c>
      <c r="D739" s="79">
        <v>1453.328166</v>
      </c>
      <c r="E739" s="79">
        <v>9.2523</v>
      </c>
      <c r="F739" s="79">
        <v>9.0632999999999999</v>
      </c>
      <c r="G739" s="83">
        <f t="shared" si="10"/>
        <v>9.6607444444444432</v>
      </c>
    </row>
    <row r="740" spans="1:7" x14ac:dyDescent="0.2">
      <c r="A740" s="75">
        <v>39790</v>
      </c>
      <c r="B740" s="76" t="s">
        <v>35</v>
      </c>
      <c r="C740" s="76" t="s">
        <v>536</v>
      </c>
      <c r="D740" s="79">
        <v>1461.4123750000001</v>
      </c>
      <c r="E740" s="79">
        <v>9.0630000000000006</v>
      </c>
      <c r="F740" s="79">
        <v>8.9534000000000002</v>
      </c>
      <c r="G740" s="83">
        <f t="shared" si="10"/>
        <v>9.6701238095238065</v>
      </c>
    </row>
    <row r="741" spans="1:7" x14ac:dyDescent="0.2">
      <c r="A741" s="75">
        <v>39791</v>
      </c>
      <c r="B741" s="76" t="s">
        <v>35</v>
      </c>
      <c r="C741" s="76" t="s">
        <v>536</v>
      </c>
      <c r="D741" s="79">
        <v>1461.12698</v>
      </c>
      <c r="E741" s="79">
        <v>8.9530999999999992</v>
      </c>
      <c r="F741" s="79">
        <v>8.9687000000000001</v>
      </c>
      <c r="G741" s="83">
        <f t="shared" si="10"/>
        <v>9.6797301587301554</v>
      </c>
    </row>
    <row r="742" spans="1:7" x14ac:dyDescent="0.2">
      <c r="A742" s="75">
        <v>39792</v>
      </c>
      <c r="B742" s="76" t="s">
        <v>35</v>
      </c>
      <c r="C742" s="76" t="s">
        <v>536</v>
      </c>
      <c r="D742" s="79">
        <v>1468.918815</v>
      </c>
      <c r="E742" s="79">
        <v>8.9682999999999993</v>
      </c>
      <c r="F742" s="79">
        <v>8.8636999999999997</v>
      </c>
      <c r="G742" s="83">
        <f t="shared" si="10"/>
        <v>9.689087301587298</v>
      </c>
    </row>
    <row r="743" spans="1:7" x14ac:dyDescent="0.2">
      <c r="A743" s="75">
        <v>39793</v>
      </c>
      <c r="B743" s="76" t="s">
        <v>35</v>
      </c>
      <c r="C743" s="76" t="s">
        <v>536</v>
      </c>
      <c r="D743" s="79">
        <v>1471.412648</v>
      </c>
      <c r="E743" s="79">
        <v>8.8635000000000002</v>
      </c>
      <c r="F743" s="79">
        <v>8.8377999999999997</v>
      </c>
      <c r="G743" s="83">
        <f t="shared" si="10"/>
        <v>9.6968301587301546</v>
      </c>
    </row>
    <row r="744" spans="1:7" x14ac:dyDescent="0.2">
      <c r="A744" s="75">
        <v>39794</v>
      </c>
      <c r="B744" s="76" t="s">
        <v>35</v>
      </c>
      <c r="C744" s="76" t="s">
        <v>536</v>
      </c>
      <c r="D744" s="79">
        <v>1472.800399</v>
      </c>
      <c r="E744" s="79">
        <v>8.8377999999999997</v>
      </c>
      <c r="F744" s="79">
        <v>8.8285</v>
      </c>
      <c r="G744" s="83">
        <f t="shared" si="10"/>
        <v>9.7028365079365066</v>
      </c>
    </row>
    <row r="745" spans="1:7" x14ac:dyDescent="0.2">
      <c r="A745" s="75">
        <v>39797</v>
      </c>
      <c r="B745" s="76" t="s">
        <v>35</v>
      </c>
      <c r="C745" s="76" t="s">
        <v>536</v>
      </c>
      <c r="D745" s="79">
        <v>1475.069191</v>
      </c>
      <c r="E745" s="79">
        <v>8.8284000000000002</v>
      </c>
      <c r="F745" s="79">
        <v>8.8061000000000007</v>
      </c>
      <c r="G745" s="83">
        <f t="shared" si="10"/>
        <v>9.7072412698412673</v>
      </c>
    </row>
    <row r="746" spans="1:7" x14ac:dyDescent="0.2">
      <c r="A746" s="75">
        <v>39798</v>
      </c>
      <c r="B746" s="76" t="s">
        <v>35</v>
      </c>
      <c r="C746" s="76" t="s">
        <v>536</v>
      </c>
      <c r="D746" s="79">
        <v>1474.1803179999999</v>
      </c>
      <c r="E746" s="79">
        <v>8.8059999999999992</v>
      </c>
      <c r="F746" s="79">
        <v>8.8316999999999997</v>
      </c>
      <c r="G746" s="83">
        <f t="shared" si="10"/>
        <v>9.7056063492063505</v>
      </c>
    </row>
    <row r="747" spans="1:7" x14ac:dyDescent="0.2">
      <c r="A747" s="75">
        <v>39799</v>
      </c>
      <c r="B747" s="76" t="s">
        <v>35</v>
      </c>
      <c r="C747" s="76" t="s">
        <v>536</v>
      </c>
      <c r="D747" s="79">
        <v>1490.280804</v>
      </c>
      <c r="E747" s="79">
        <v>8.8315000000000001</v>
      </c>
      <c r="F747" s="79">
        <v>8.6076999999999995</v>
      </c>
      <c r="G747" s="83">
        <f t="shared" si="10"/>
        <v>9.6969936507936527</v>
      </c>
    </row>
    <row r="748" spans="1:7" x14ac:dyDescent="0.2">
      <c r="A748" s="75">
        <v>39800</v>
      </c>
      <c r="B748" s="76" t="s">
        <v>35</v>
      </c>
      <c r="C748" s="76" t="s">
        <v>536</v>
      </c>
      <c r="D748" s="79">
        <v>1507.11166</v>
      </c>
      <c r="E748" s="79">
        <v>8.6074999999999999</v>
      </c>
      <c r="F748" s="79">
        <v>8.3759999999999994</v>
      </c>
      <c r="G748" s="83">
        <f t="shared" si="10"/>
        <v>9.6912761904761915</v>
      </c>
    </row>
    <row r="749" spans="1:7" x14ac:dyDescent="0.2">
      <c r="A749" s="75">
        <v>39801</v>
      </c>
      <c r="B749" s="76" t="s">
        <v>35</v>
      </c>
      <c r="C749" s="76" t="s">
        <v>536</v>
      </c>
      <c r="D749" s="79">
        <v>1503.960311</v>
      </c>
      <c r="E749" s="79">
        <v>8.3758999999999997</v>
      </c>
      <c r="F749" s="79">
        <v>8.4335000000000004</v>
      </c>
      <c r="G749" s="83">
        <f t="shared" si="10"/>
        <v>9.6819063492063488</v>
      </c>
    </row>
    <row r="750" spans="1:7" x14ac:dyDescent="0.2">
      <c r="A750" s="75">
        <v>39804</v>
      </c>
      <c r="B750" s="76" t="s">
        <v>35</v>
      </c>
      <c r="C750" s="76" t="s">
        <v>536</v>
      </c>
      <c r="D750" s="79">
        <v>1504.437353</v>
      </c>
      <c r="E750" s="79">
        <v>8.4334000000000007</v>
      </c>
      <c r="F750" s="79">
        <v>8.43</v>
      </c>
      <c r="G750" s="83">
        <f t="shared" si="10"/>
        <v>9.670061904761905</v>
      </c>
    </row>
    <row r="751" spans="1:7" x14ac:dyDescent="0.2">
      <c r="A751" s="75">
        <v>39805</v>
      </c>
      <c r="B751" s="76" t="s">
        <v>35</v>
      </c>
      <c r="C751" s="76" t="s">
        <v>536</v>
      </c>
      <c r="D751" s="79">
        <v>1509.603306</v>
      </c>
      <c r="E751" s="79">
        <v>8.4298999999999999</v>
      </c>
      <c r="F751" s="79">
        <v>8.3659999999999997</v>
      </c>
      <c r="G751" s="83">
        <f t="shared" si="10"/>
        <v>9.657339682539682</v>
      </c>
    </row>
    <row r="752" spans="1:7" x14ac:dyDescent="0.2">
      <c r="A752" s="75">
        <v>39806</v>
      </c>
      <c r="B752" s="76" t="s">
        <v>35</v>
      </c>
      <c r="C752" s="76" t="s">
        <v>536</v>
      </c>
      <c r="D752" s="79">
        <v>1510.377516</v>
      </c>
      <c r="E752" s="79">
        <v>8.3658999999999999</v>
      </c>
      <c r="F752" s="79">
        <v>8.3651999999999997</v>
      </c>
      <c r="G752" s="83">
        <f t="shared" si="10"/>
        <v>9.6455888888888897</v>
      </c>
    </row>
    <row r="753" spans="1:7" x14ac:dyDescent="0.2">
      <c r="A753" s="75">
        <v>39808</v>
      </c>
      <c r="B753" s="76" t="s">
        <v>35</v>
      </c>
      <c r="C753" s="76" t="s">
        <v>536</v>
      </c>
      <c r="D753" s="79">
        <v>1512.2742679999999</v>
      </c>
      <c r="E753" s="79">
        <v>8.3651</v>
      </c>
      <c r="F753" s="79">
        <v>8.3483000000000001</v>
      </c>
      <c r="G753" s="83">
        <f t="shared" si="10"/>
        <v>9.6341857142857172</v>
      </c>
    </row>
    <row r="754" spans="1:7" x14ac:dyDescent="0.2">
      <c r="A754" s="75">
        <v>39811</v>
      </c>
      <c r="B754" s="76" t="s">
        <v>35</v>
      </c>
      <c r="C754" s="76" t="s">
        <v>536</v>
      </c>
      <c r="D754" s="79">
        <v>1513.823543</v>
      </c>
      <c r="E754" s="79">
        <v>8.3482000000000003</v>
      </c>
      <c r="F754" s="79">
        <v>8.3363999999999994</v>
      </c>
      <c r="G754" s="83">
        <f t="shared" si="10"/>
        <v>9.6201349206349196</v>
      </c>
    </row>
    <row r="755" spans="1:7" x14ac:dyDescent="0.2">
      <c r="A755" s="75">
        <v>39812</v>
      </c>
      <c r="B755" s="76" t="s">
        <v>35</v>
      </c>
      <c r="C755" s="76" t="s">
        <v>536</v>
      </c>
      <c r="D755" s="79">
        <v>1520.8019870000001</v>
      </c>
      <c r="E755" s="79">
        <v>8.3362999999999996</v>
      </c>
      <c r="F755" s="79">
        <v>8.2469999999999999</v>
      </c>
      <c r="G755" s="83">
        <f t="shared" si="10"/>
        <v>9.6084809523809529</v>
      </c>
    </row>
    <row r="756" spans="1:7" x14ac:dyDescent="0.2">
      <c r="A756" s="75">
        <v>39813</v>
      </c>
      <c r="B756" s="76" t="s">
        <v>35</v>
      </c>
      <c r="C756" s="76" t="s">
        <v>536</v>
      </c>
      <c r="D756" s="79">
        <v>1521.5262070000001</v>
      </c>
      <c r="E756" s="79">
        <v>8.2469999999999999</v>
      </c>
      <c r="F756" s="79">
        <v>8.2469999999999999</v>
      </c>
      <c r="G756" s="83">
        <f t="shared" si="10"/>
        <v>9.5985349206349202</v>
      </c>
    </row>
    <row r="757" spans="1:7" x14ac:dyDescent="0.2">
      <c r="A757" s="75">
        <v>39815</v>
      </c>
      <c r="B757" s="76" t="s">
        <v>35</v>
      </c>
      <c r="C757" s="76" t="s">
        <v>536</v>
      </c>
      <c r="D757" s="79">
        <v>1526.5931029999999</v>
      </c>
      <c r="E757" s="79">
        <v>8.2469000000000001</v>
      </c>
      <c r="F757" s="79">
        <v>8.1852</v>
      </c>
      <c r="G757" s="83">
        <f t="shared" si="10"/>
        <v>9.5851047619047591</v>
      </c>
    </row>
    <row r="758" spans="1:7" x14ac:dyDescent="0.2">
      <c r="A758" s="75">
        <v>39818</v>
      </c>
      <c r="B758" s="76" t="s">
        <v>35</v>
      </c>
      <c r="C758" s="76" t="s">
        <v>536</v>
      </c>
      <c r="D758" s="79">
        <v>1536.6183759999999</v>
      </c>
      <c r="E758" s="79">
        <v>8.1851000000000003</v>
      </c>
      <c r="F758" s="79">
        <v>8.0536999999999992</v>
      </c>
      <c r="G758" s="83">
        <f t="shared" si="10"/>
        <v>9.5705682539682542</v>
      </c>
    </row>
    <row r="759" spans="1:7" x14ac:dyDescent="0.2">
      <c r="A759" s="75">
        <v>39819</v>
      </c>
      <c r="B759" s="76" t="s">
        <v>35</v>
      </c>
      <c r="C759" s="76" t="s">
        <v>536</v>
      </c>
      <c r="D759" s="79">
        <v>1540.983761</v>
      </c>
      <c r="E759" s="79">
        <v>8.0536999999999992</v>
      </c>
      <c r="F759" s="79">
        <v>8.0024999999999995</v>
      </c>
      <c r="G759" s="83">
        <f t="shared" si="10"/>
        <v>9.5471079365079365</v>
      </c>
    </row>
    <row r="760" spans="1:7" x14ac:dyDescent="0.2">
      <c r="A760" s="75">
        <v>39820</v>
      </c>
      <c r="B760" s="76" t="s">
        <v>35</v>
      </c>
      <c r="C760" s="76" t="s">
        <v>536</v>
      </c>
      <c r="D760" s="79">
        <v>1536.628913</v>
      </c>
      <c r="E760" s="79">
        <v>8.0024999999999995</v>
      </c>
      <c r="F760" s="79">
        <v>8.0738000000000003</v>
      </c>
      <c r="G760" s="83">
        <f t="shared" si="10"/>
        <v>9.518892063492066</v>
      </c>
    </row>
    <row r="761" spans="1:7" x14ac:dyDescent="0.2">
      <c r="A761" s="75">
        <v>39821</v>
      </c>
      <c r="B761" s="76" t="s">
        <v>35</v>
      </c>
      <c r="C761" s="76" t="s">
        <v>536</v>
      </c>
      <c r="D761" s="79">
        <v>1545.2638649999999</v>
      </c>
      <c r="E761" s="79">
        <v>8.0738000000000003</v>
      </c>
      <c r="F761" s="79">
        <v>7.9627999999999997</v>
      </c>
      <c r="G761" s="83">
        <f t="shared" si="10"/>
        <v>9.4921571428571454</v>
      </c>
    </row>
    <row r="762" spans="1:7" x14ac:dyDescent="0.2">
      <c r="A762" s="75">
        <v>39822</v>
      </c>
      <c r="B762" s="76" t="s">
        <v>35</v>
      </c>
      <c r="C762" s="76" t="s">
        <v>536</v>
      </c>
      <c r="D762" s="79">
        <v>1557.1180420000001</v>
      </c>
      <c r="E762" s="79">
        <v>7.9626999999999999</v>
      </c>
      <c r="F762" s="79">
        <v>7.7972999999999999</v>
      </c>
      <c r="G762" s="83">
        <f t="shared" si="10"/>
        <v>9.4642126984127</v>
      </c>
    </row>
    <row r="763" spans="1:7" x14ac:dyDescent="0.2">
      <c r="A763" s="75">
        <v>39825</v>
      </c>
      <c r="B763" s="76" t="s">
        <v>35</v>
      </c>
      <c r="C763" s="76" t="s">
        <v>536</v>
      </c>
      <c r="D763" s="79">
        <v>1557.9050380000001</v>
      </c>
      <c r="E763" s="79">
        <v>7.7972999999999999</v>
      </c>
      <c r="F763" s="79">
        <v>7.7957000000000001</v>
      </c>
      <c r="G763" s="83">
        <f t="shared" si="10"/>
        <v>9.4272825396825422</v>
      </c>
    </row>
    <row r="764" spans="1:7" x14ac:dyDescent="0.2">
      <c r="A764" s="75">
        <v>39826</v>
      </c>
      <c r="B764" s="76" t="s">
        <v>35</v>
      </c>
      <c r="C764" s="76" t="s">
        <v>536</v>
      </c>
      <c r="D764" s="79">
        <v>1569.3482080000001</v>
      </c>
      <c r="E764" s="79">
        <v>7.7957000000000001</v>
      </c>
      <c r="F764" s="79">
        <v>7.6471999999999998</v>
      </c>
      <c r="G764" s="83">
        <f t="shared" si="10"/>
        <v>9.3973809523809528</v>
      </c>
    </row>
    <row r="765" spans="1:7" x14ac:dyDescent="0.2">
      <c r="A765" s="75">
        <v>39827</v>
      </c>
      <c r="B765" s="76" t="s">
        <v>35</v>
      </c>
      <c r="C765" s="76" t="s">
        <v>536</v>
      </c>
      <c r="D765" s="79">
        <v>1566.0002420000001</v>
      </c>
      <c r="E765" s="79">
        <v>7.6473000000000004</v>
      </c>
      <c r="F765" s="79">
        <v>7.7024999999999997</v>
      </c>
      <c r="G765" s="83">
        <f t="shared" si="10"/>
        <v>9.3644904761904755</v>
      </c>
    </row>
    <row r="766" spans="1:7" x14ac:dyDescent="0.2">
      <c r="A766" s="75">
        <v>39828</v>
      </c>
      <c r="B766" s="76" t="s">
        <v>35</v>
      </c>
      <c r="C766" s="76" t="s">
        <v>536</v>
      </c>
      <c r="D766" s="79">
        <v>1571.0888319999999</v>
      </c>
      <c r="E766" s="79">
        <v>7.7026000000000003</v>
      </c>
      <c r="F766" s="79">
        <v>7.6418999999999997</v>
      </c>
      <c r="G766" s="83">
        <f t="shared" si="10"/>
        <v>9.3301539682539687</v>
      </c>
    </row>
    <row r="767" spans="1:7" x14ac:dyDescent="0.2">
      <c r="A767" s="75">
        <v>39829</v>
      </c>
      <c r="B767" s="76" t="s">
        <v>35</v>
      </c>
      <c r="C767" s="76" t="s">
        <v>536</v>
      </c>
      <c r="D767" s="79">
        <v>1571.76809</v>
      </c>
      <c r="E767" s="79">
        <v>7.6421999999999999</v>
      </c>
      <c r="F767" s="79">
        <v>7.6428000000000003</v>
      </c>
      <c r="G767" s="83">
        <f t="shared" si="10"/>
        <v>9.2947444444444454</v>
      </c>
    </row>
    <row r="768" spans="1:7" x14ac:dyDescent="0.2">
      <c r="A768" s="75">
        <v>39832</v>
      </c>
      <c r="B768" s="76" t="s">
        <v>35</v>
      </c>
      <c r="C768" s="76" t="s">
        <v>536</v>
      </c>
      <c r="D768" s="79">
        <v>1579.9056639999999</v>
      </c>
      <c r="E768" s="79">
        <v>7.6429999999999998</v>
      </c>
      <c r="F768" s="79">
        <v>7.5416999999999996</v>
      </c>
      <c r="G768" s="83">
        <f t="shared" si="10"/>
        <v>9.2584126984127</v>
      </c>
    </row>
    <row r="769" spans="1:7" x14ac:dyDescent="0.2">
      <c r="A769" s="75">
        <v>39833</v>
      </c>
      <c r="B769" s="76" t="s">
        <v>35</v>
      </c>
      <c r="C769" s="76" t="s">
        <v>536</v>
      </c>
      <c r="D769" s="79">
        <v>1583.1479859999999</v>
      </c>
      <c r="E769" s="79">
        <v>7.5419999999999998</v>
      </c>
      <c r="F769" s="79">
        <v>7.5076999999999998</v>
      </c>
      <c r="G769" s="83">
        <f t="shared" si="10"/>
        <v>9.2199206349206335</v>
      </c>
    </row>
    <row r="770" spans="1:7" x14ac:dyDescent="0.2">
      <c r="A770" s="75">
        <v>39834</v>
      </c>
      <c r="B770" s="76" t="s">
        <v>35</v>
      </c>
      <c r="C770" s="76" t="s">
        <v>536</v>
      </c>
      <c r="D770" s="79">
        <v>1587.7681459999999</v>
      </c>
      <c r="E770" s="79">
        <v>7.508</v>
      </c>
      <c r="F770" s="79">
        <v>7.4550999999999998</v>
      </c>
      <c r="G770" s="83">
        <f t="shared" si="10"/>
        <v>9.1800999999999995</v>
      </c>
    </row>
    <row r="771" spans="1:7" x14ac:dyDescent="0.2">
      <c r="A771" s="75">
        <v>39835</v>
      </c>
      <c r="B771" s="76" t="s">
        <v>35</v>
      </c>
      <c r="C771" s="76" t="s">
        <v>536</v>
      </c>
      <c r="D771" s="79">
        <v>1595.983195</v>
      </c>
      <c r="E771" s="79">
        <v>7.4554</v>
      </c>
      <c r="F771" s="79">
        <v>7.3541999999999996</v>
      </c>
      <c r="G771" s="83">
        <f t="shared" ref="G771:G834" si="11">+AVERAGE(E709:E771)</f>
        <v>9.1313746031746028</v>
      </c>
    </row>
    <row r="772" spans="1:7" x14ac:dyDescent="0.2">
      <c r="A772" s="75">
        <v>39836</v>
      </c>
      <c r="B772" s="76" t="s">
        <v>35</v>
      </c>
      <c r="C772" s="76" t="s">
        <v>536</v>
      </c>
      <c r="D772" s="79">
        <v>1589.4163880000001</v>
      </c>
      <c r="E772" s="79">
        <v>7.3545999999999996</v>
      </c>
      <c r="F772" s="79">
        <v>7.4528999999999996</v>
      </c>
      <c r="G772" s="83">
        <f t="shared" si="11"/>
        <v>9.0783079365079367</v>
      </c>
    </row>
    <row r="773" spans="1:7" x14ac:dyDescent="0.2">
      <c r="A773" s="75">
        <v>39839</v>
      </c>
      <c r="B773" s="76" t="s">
        <v>35</v>
      </c>
      <c r="C773" s="76" t="s">
        <v>536</v>
      </c>
      <c r="D773" s="79">
        <v>1584.730644</v>
      </c>
      <c r="E773" s="79">
        <v>7.4534000000000002</v>
      </c>
      <c r="F773" s="79">
        <v>7.5293999999999999</v>
      </c>
      <c r="G773" s="83">
        <f t="shared" si="11"/>
        <v>9.0216444444444441</v>
      </c>
    </row>
    <row r="774" spans="1:7" x14ac:dyDescent="0.2">
      <c r="A774" s="75">
        <v>39840</v>
      </c>
      <c r="B774" s="76" t="s">
        <v>35</v>
      </c>
      <c r="C774" s="76" t="s">
        <v>536</v>
      </c>
      <c r="D774" s="79">
        <v>1591.5734110000001</v>
      </c>
      <c r="E774" s="79">
        <v>7.5297000000000001</v>
      </c>
      <c r="F774" s="79">
        <v>7.4471999999999996</v>
      </c>
      <c r="G774" s="83">
        <f t="shared" si="11"/>
        <v>8.9667111111111115</v>
      </c>
    </row>
    <row r="775" spans="1:7" x14ac:dyDescent="0.2">
      <c r="A775" s="75">
        <v>39841</v>
      </c>
      <c r="B775" s="76" t="s">
        <v>35</v>
      </c>
      <c r="C775" s="76" t="s">
        <v>536</v>
      </c>
      <c r="D775" s="79">
        <v>1596.089782</v>
      </c>
      <c r="E775" s="79">
        <v>7.4474999999999998</v>
      </c>
      <c r="F775" s="79">
        <v>7.3967000000000001</v>
      </c>
      <c r="G775" s="83">
        <f t="shared" si="11"/>
        <v>8.9150285714285715</v>
      </c>
    </row>
    <row r="776" spans="1:7" x14ac:dyDescent="0.2">
      <c r="A776" s="75">
        <v>39842</v>
      </c>
      <c r="B776" s="76" t="s">
        <v>35</v>
      </c>
      <c r="C776" s="76" t="s">
        <v>536</v>
      </c>
      <c r="D776" s="79">
        <v>1587.7921899999999</v>
      </c>
      <c r="E776" s="79">
        <v>7.3970000000000002</v>
      </c>
      <c r="F776" s="79">
        <v>7.5191999999999997</v>
      </c>
      <c r="G776" s="83">
        <f t="shared" si="11"/>
        <v>8.8673841269841276</v>
      </c>
    </row>
    <row r="777" spans="1:7" x14ac:dyDescent="0.2">
      <c r="A777" s="75">
        <v>39843</v>
      </c>
      <c r="B777" s="76" t="s">
        <v>35</v>
      </c>
      <c r="C777" s="76" t="s">
        <v>536</v>
      </c>
      <c r="D777" s="79">
        <v>1594.2181310000001</v>
      </c>
      <c r="E777" s="79">
        <v>7.5194999999999999</v>
      </c>
      <c r="F777" s="79">
        <v>7.4428000000000001</v>
      </c>
      <c r="G777" s="83">
        <f t="shared" si="11"/>
        <v>8.8220349206349198</v>
      </c>
    </row>
    <row r="778" spans="1:7" x14ac:dyDescent="0.2">
      <c r="A778" s="75">
        <v>39846</v>
      </c>
      <c r="B778" s="76" t="s">
        <v>35</v>
      </c>
      <c r="C778" s="76" t="s">
        <v>536</v>
      </c>
      <c r="D778" s="79">
        <v>1599.999442</v>
      </c>
      <c r="E778" s="79">
        <v>7.4431000000000003</v>
      </c>
      <c r="F778" s="79">
        <v>7.3754</v>
      </c>
      <c r="G778" s="83">
        <f t="shared" si="11"/>
        <v>8.7773031746031744</v>
      </c>
    </row>
    <row r="779" spans="1:7" x14ac:dyDescent="0.2">
      <c r="A779" s="75">
        <v>39847</v>
      </c>
      <c r="B779" s="76" t="s">
        <v>35</v>
      </c>
      <c r="C779" s="76" t="s">
        <v>536</v>
      </c>
      <c r="D779" s="79">
        <v>1600.7341269999999</v>
      </c>
      <c r="E779" s="79">
        <v>7.3757000000000001</v>
      </c>
      <c r="F779" s="79">
        <v>7.3758999999999997</v>
      </c>
      <c r="G779" s="83">
        <f t="shared" si="11"/>
        <v>8.7317793650793636</v>
      </c>
    </row>
    <row r="780" spans="1:7" x14ac:dyDescent="0.2">
      <c r="A780" s="75">
        <v>39848</v>
      </c>
      <c r="B780" s="76" t="s">
        <v>35</v>
      </c>
      <c r="C780" s="76" t="s">
        <v>536</v>
      </c>
      <c r="D780" s="79">
        <v>1599.503471</v>
      </c>
      <c r="E780" s="79">
        <v>7.3761999999999999</v>
      </c>
      <c r="F780" s="79">
        <v>7.4028</v>
      </c>
      <c r="G780" s="83">
        <f t="shared" si="11"/>
        <v>8.6877190476190442</v>
      </c>
    </row>
    <row r="781" spans="1:7" x14ac:dyDescent="0.2">
      <c r="A781" s="75">
        <v>39849</v>
      </c>
      <c r="B781" s="76" t="s">
        <v>35</v>
      </c>
      <c r="C781" s="76" t="s">
        <v>536</v>
      </c>
      <c r="D781" s="79">
        <v>1599.0267630000001</v>
      </c>
      <c r="E781" s="79">
        <v>7.4029999999999996</v>
      </c>
      <c r="F781" s="79">
        <v>7.4195000000000002</v>
      </c>
      <c r="G781" s="83">
        <f t="shared" si="11"/>
        <v>8.6436539682539664</v>
      </c>
    </row>
    <row r="782" spans="1:7" x14ac:dyDescent="0.2">
      <c r="A782" s="75">
        <v>39850</v>
      </c>
      <c r="B782" s="76" t="s">
        <v>35</v>
      </c>
      <c r="C782" s="76" t="s">
        <v>536</v>
      </c>
      <c r="D782" s="79">
        <v>1603.3220590000001</v>
      </c>
      <c r="E782" s="79">
        <v>7.4196</v>
      </c>
      <c r="F782" s="79">
        <v>7.3829000000000002</v>
      </c>
      <c r="G782" s="83">
        <f t="shared" si="11"/>
        <v>8.5991507936507912</v>
      </c>
    </row>
    <row r="783" spans="1:7" x14ac:dyDescent="0.2">
      <c r="A783" s="75">
        <v>39853</v>
      </c>
      <c r="B783" s="76" t="s">
        <v>35</v>
      </c>
      <c r="C783" s="76" t="s">
        <v>536</v>
      </c>
      <c r="D783" s="79">
        <v>1601.3657559999999</v>
      </c>
      <c r="E783" s="79">
        <v>7.3830999999999998</v>
      </c>
      <c r="F783" s="79">
        <v>7.4200999999999997</v>
      </c>
      <c r="G783" s="83">
        <f t="shared" si="11"/>
        <v>8.5575682539682507</v>
      </c>
    </row>
    <row r="784" spans="1:7" x14ac:dyDescent="0.2">
      <c r="A784" s="75">
        <v>39854</v>
      </c>
      <c r="B784" s="76" t="s">
        <v>35</v>
      </c>
      <c r="C784" s="76" t="s">
        <v>536</v>
      </c>
      <c r="D784" s="79">
        <v>1598.5601039999999</v>
      </c>
      <c r="E784" s="79">
        <v>7.4203000000000001</v>
      </c>
      <c r="F784" s="79">
        <v>7.4687999999999999</v>
      </c>
      <c r="G784" s="83">
        <f t="shared" si="11"/>
        <v>8.516709523809519</v>
      </c>
    </row>
    <row r="785" spans="1:7" x14ac:dyDescent="0.2">
      <c r="A785" s="75">
        <v>39855</v>
      </c>
      <c r="B785" s="76" t="s">
        <v>35</v>
      </c>
      <c r="C785" s="76" t="s">
        <v>536</v>
      </c>
      <c r="D785" s="79">
        <v>1597.4407289999999</v>
      </c>
      <c r="E785" s="79">
        <v>7.4690000000000003</v>
      </c>
      <c r="F785" s="79">
        <v>7.4949000000000003</v>
      </c>
      <c r="G785" s="83">
        <f t="shared" si="11"/>
        <v>8.4770492063492036</v>
      </c>
    </row>
    <row r="786" spans="1:7" x14ac:dyDescent="0.2">
      <c r="A786" s="75">
        <v>39856</v>
      </c>
      <c r="B786" s="76" t="s">
        <v>35</v>
      </c>
      <c r="C786" s="76" t="s">
        <v>536</v>
      </c>
      <c r="D786" s="79">
        <v>1591.9624349999999</v>
      </c>
      <c r="E786" s="79">
        <v>7.4950000000000001</v>
      </c>
      <c r="F786" s="79">
        <v>7.5797999999999996</v>
      </c>
      <c r="G786" s="83">
        <f t="shared" si="11"/>
        <v>8.4382825396825378</v>
      </c>
    </row>
    <row r="787" spans="1:7" x14ac:dyDescent="0.2">
      <c r="A787" s="75">
        <v>39857</v>
      </c>
      <c r="B787" s="76" t="s">
        <v>35</v>
      </c>
      <c r="C787" s="76" t="s">
        <v>536</v>
      </c>
      <c r="D787" s="79">
        <v>1600.1285800000001</v>
      </c>
      <c r="E787" s="79">
        <v>7.5799000000000003</v>
      </c>
      <c r="F787" s="79">
        <v>7.4806999999999997</v>
      </c>
      <c r="G787" s="83">
        <f t="shared" si="11"/>
        <v>8.3973285714285684</v>
      </c>
    </row>
    <row r="788" spans="1:7" x14ac:dyDescent="0.2">
      <c r="A788" s="75">
        <v>39860</v>
      </c>
      <c r="B788" s="76" t="s">
        <v>35</v>
      </c>
      <c r="C788" s="76" t="s">
        <v>536</v>
      </c>
      <c r="D788" s="79">
        <v>1601.679376</v>
      </c>
      <c r="E788" s="79">
        <v>7.4808000000000003</v>
      </c>
      <c r="F788" s="79">
        <v>7.4707999999999997</v>
      </c>
      <c r="G788" s="83">
        <f t="shared" si="11"/>
        <v>8.3576539682539668</v>
      </c>
    </row>
    <row r="789" spans="1:7" x14ac:dyDescent="0.2">
      <c r="A789" s="75">
        <v>39861</v>
      </c>
      <c r="B789" s="76" t="s">
        <v>35</v>
      </c>
      <c r="C789" s="76" t="s">
        <v>536</v>
      </c>
      <c r="D789" s="79">
        <v>1601.5807560000001</v>
      </c>
      <c r="E789" s="79">
        <v>7.4709000000000003</v>
      </c>
      <c r="F789" s="79">
        <v>7.4859999999999998</v>
      </c>
      <c r="G789" s="83">
        <f t="shared" si="11"/>
        <v>8.3181396825396821</v>
      </c>
    </row>
    <row r="790" spans="1:7" x14ac:dyDescent="0.2">
      <c r="A790" s="75">
        <v>39862</v>
      </c>
      <c r="B790" s="76" t="s">
        <v>35</v>
      </c>
      <c r="C790" s="76" t="s">
        <v>536</v>
      </c>
      <c r="D790" s="79">
        <v>1600.6349949999999</v>
      </c>
      <c r="E790" s="79">
        <v>7.4861000000000004</v>
      </c>
      <c r="F790" s="79">
        <v>7.5125999999999999</v>
      </c>
      <c r="G790" s="83">
        <f t="shared" si="11"/>
        <v>8.2796380952380915</v>
      </c>
    </row>
    <row r="791" spans="1:7" x14ac:dyDescent="0.2">
      <c r="A791" s="75">
        <v>39863</v>
      </c>
      <c r="B791" s="76" t="s">
        <v>35</v>
      </c>
      <c r="C791" s="76" t="s">
        <v>536</v>
      </c>
      <c r="D791" s="79">
        <v>1607.615333</v>
      </c>
      <c r="E791" s="79">
        <v>7.5125999999999999</v>
      </c>
      <c r="F791" s="79">
        <v>7.4328000000000003</v>
      </c>
      <c r="G791" s="83">
        <f t="shared" si="11"/>
        <v>8.2414650793650761</v>
      </c>
    </row>
    <row r="792" spans="1:7" x14ac:dyDescent="0.2">
      <c r="A792" s="75">
        <v>39864</v>
      </c>
      <c r="B792" s="76" t="s">
        <v>35</v>
      </c>
      <c r="C792" s="76" t="s">
        <v>536</v>
      </c>
      <c r="D792" s="79">
        <v>1605.1762200000001</v>
      </c>
      <c r="E792" s="79">
        <v>7.4329000000000001</v>
      </c>
      <c r="F792" s="79">
        <v>7.4793000000000003</v>
      </c>
      <c r="G792" s="83">
        <f t="shared" si="11"/>
        <v>8.2020603174603153</v>
      </c>
    </row>
    <row r="793" spans="1:7" x14ac:dyDescent="0.2">
      <c r="A793" s="75">
        <v>39869</v>
      </c>
      <c r="B793" s="76" t="s">
        <v>35</v>
      </c>
      <c r="C793" s="76" t="s">
        <v>536</v>
      </c>
      <c r="D793" s="79">
        <v>1608.658866</v>
      </c>
      <c r="E793" s="79">
        <v>7.4794999999999998</v>
      </c>
      <c r="F793" s="79">
        <v>7.4431000000000003</v>
      </c>
      <c r="G793" s="83">
        <f t="shared" si="11"/>
        <v>8.1632047619047619</v>
      </c>
    </row>
    <row r="794" spans="1:7" x14ac:dyDescent="0.2">
      <c r="A794" s="75">
        <v>39870</v>
      </c>
      <c r="B794" s="76" t="s">
        <v>35</v>
      </c>
      <c r="C794" s="76" t="s">
        <v>536</v>
      </c>
      <c r="D794" s="79">
        <v>1620.101109</v>
      </c>
      <c r="E794" s="79">
        <v>7.4432999999999998</v>
      </c>
      <c r="F794" s="79">
        <v>7.3040000000000003</v>
      </c>
      <c r="G794" s="83">
        <f t="shared" si="11"/>
        <v>8.1242285714285725</v>
      </c>
    </row>
    <row r="795" spans="1:7" x14ac:dyDescent="0.2">
      <c r="A795" s="75">
        <v>39871</v>
      </c>
      <c r="B795" s="76" t="s">
        <v>35</v>
      </c>
      <c r="C795" s="76" t="s">
        <v>536</v>
      </c>
      <c r="D795" s="79">
        <v>1629.0007089999999</v>
      </c>
      <c r="E795" s="79">
        <v>7.3041999999999998</v>
      </c>
      <c r="F795" s="79">
        <v>7.1994999999999996</v>
      </c>
      <c r="G795" s="83">
        <f t="shared" si="11"/>
        <v>8.0841238095238079</v>
      </c>
    </row>
    <row r="796" spans="1:7" x14ac:dyDescent="0.2">
      <c r="A796" s="75">
        <v>39874</v>
      </c>
      <c r="B796" s="76" t="s">
        <v>35</v>
      </c>
      <c r="C796" s="76" t="s">
        <v>536</v>
      </c>
      <c r="D796" s="79">
        <v>1638.065276</v>
      </c>
      <c r="E796" s="79">
        <v>7.1997</v>
      </c>
      <c r="F796" s="79">
        <v>7.0934999999999997</v>
      </c>
      <c r="G796" s="83">
        <f t="shared" si="11"/>
        <v>8.042698412698412</v>
      </c>
    </row>
    <row r="797" spans="1:7" x14ac:dyDescent="0.2">
      <c r="A797" s="75">
        <v>39875</v>
      </c>
      <c r="B797" s="76" t="s">
        <v>35</v>
      </c>
      <c r="C797" s="76" t="s">
        <v>536</v>
      </c>
      <c r="D797" s="79">
        <v>1636.913337</v>
      </c>
      <c r="E797" s="79">
        <v>7.0937000000000001</v>
      </c>
      <c r="F797" s="79">
        <v>7.1215000000000002</v>
      </c>
      <c r="G797" s="83">
        <f t="shared" si="11"/>
        <v>7.9997349206349213</v>
      </c>
    </row>
    <row r="798" spans="1:7" x14ac:dyDescent="0.2">
      <c r="A798" s="75">
        <v>39876</v>
      </c>
      <c r="B798" s="76" t="s">
        <v>35</v>
      </c>
      <c r="C798" s="76" t="s">
        <v>536</v>
      </c>
      <c r="D798" s="79">
        <v>1631.0590769999999</v>
      </c>
      <c r="E798" s="79">
        <v>7.1215999999999999</v>
      </c>
      <c r="F798" s="79">
        <v>7.2111999999999998</v>
      </c>
      <c r="G798" s="83">
        <f t="shared" si="11"/>
        <v>7.9581126984127</v>
      </c>
    </row>
    <row r="799" spans="1:7" x14ac:dyDescent="0.2">
      <c r="A799" s="75">
        <v>39877</v>
      </c>
      <c r="B799" s="76" t="s">
        <v>35</v>
      </c>
      <c r="C799" s="76" t="s">
        <v>536</v>
      </c>
      <c r="D799" s="79">
        <v>1635.193947</v>
      </c>
      <c r="E799" s="79">
        <v>7.2112999999999996</v>
      </c>
      <c r="F799" s="79">
        <v>7.1698000000000004</v>
      </c>
      <c r="G799" s="83">
        <f t="shared" si="11"/>
        <v>7.9209333333333332</v>
      </c>
    </row>
    <row r="800" spans="1:7" x14ac:dyDescent="0.2">
      <c r="A800" s="75">
        <v>39878</v>
      </c>
      <c r="B800" s="76" t="s">
        <v>35</v>
      </c>
      <c r="C800" s="76" t="s">
        <v>536</v>
      </c>
      <c r="D800" s="79">
        <v>1642.3535469999999</v>
      </c>
      <c r="E800" s="79">
        <v>7.1699000000000002</v>
      </c>
      <c r="F800" s="79">
        <v>7.0890000000000004</v>
      </c>
      <c r="G800" s="83">
        <f t="shared" si="11"/>
        <v>7.8873396825396824</v>
      </c>
    </row>
    <row r="801" spans="1:7" x14ac:dyDescent="0.2">
      <c r="A801" s="75">
        <v>39881</v>
      </c>
      <c r="B801" s="76" t="s">
        <v>35</v>
      </c>
      <c r="C801" s="76" t="s">
        <v>536</v>
      </c>
      <c r="D801" s="79">
        <v>1646.0522470000001</v>
      </c>
      <c r="E801" s="79">
        <v>7.0891999999999999</v>
      </c>
      <c r="F801" s="79">
        <v>7.0537000000000001</v>
      </c>
      <c r="G801" s="83">
        <f t="shared" si="11"/>
        <v>7.8529142857142853</v>
      </c>
    </row>
    <row r="802" spans="1:7" x14ac:dyDescent="0.2">
      <c r="A802" s="75">
        <v>39882</v>
      </c>
      <c r="B802" s="76" t="s">
        <v>35</v>
      </c>
      <c r="C802" s="76" t="s">
        <v>536</v>
      </c>
      <c r="D802" s="79">
        <v>1652.3790959999999</v>
      </c>
      <c r="E802" s="79">
        <v>7.0540000000000003</v>
      </c>
      <c r="F802" s="79">
        <v>6.9844999999999997</v>
      </c>
      <c r="G802" s="83">
        <f t="shared" si="11"/>
        <v>7.8180206349206358</v>
      </c>
    </row>
    <row r="803" spans="1:7" x14ac:dyDescent="0.2">
      <c r="A803" s="75">
        <v>39883</v>
      </c>
      <c r="B803" s="76" t="s">
        <v>35</v>
      </c>
      <c r="C803" s="76" t="s">
        <v>536</v>
      </c>
      <c r="D803" s="79">
        <v>1658.3263219999999</v>
      </c>
      <c r="E803" s="79">
        <v>6.9847999999999999</v>
      </c>
      <c r="F803" s="79">
        <v>6.9151999999999996</v>
      </c>
      <c r="G803" s="83">
        <f t="shared" si="11"/>
        <v>7.7850333333333346</v>
      </c>
    </row>
    <row r="804" spans="1:7" x14ac:dyDescent="0.2">
      <c r="A804" s="75">
        <v>39884</v>
      </c>
      <c r="B804" s="76" t="s">
        <v>35</v>
      </c>
      <c r="C804" s="76" t="s">
        <v>536</v>
      </c>
      <c r="D804" s="79">
        <v>1658.148242</v>
      </c>
      <c r="E804" s="79">
        <v>6.9156000000000004</v>
      </c>
      <c r="F804" s="79">
        <v>6.9301000000000004</v>
      </c>
      <c r="G804" s="83">
        <f t="shared" si="11"/>
        <v>7.7526920634920637</v>
      </c>
    </row>
    <row r="805" spans="1:7" x14ac:dyDescent="0.2">
      <c r="A805" s="75">
        <v>39885</v>
      </c>
      <c r="B805" s="76" t="s">
        <v>35</v>
      </c>
      <c r="C805" s="76" t="s">
        <v>536</v>
      </c>
      <c r="D805" s="79">
        <v>1653.463066</v>
      </c>
      <c r="E805" s="79">
        <v>6.9303999999999997</v>
      </c>
      <c r="F805" s="79">
        <v>7.0031999999999996</v>
      </c>
      <c r="G805" s="83">
        <f t="shared" si="11"/>
        <v>7.7203444444444447</v>
      </c>
    </row>
    <row r="806" spans="1:7" x14ac:dyDescent="0.2">
      <c r="A806" s="75">
        <v>39888</v>
      </c>
      <c r="B806" s="76" t="s">
        <v>35</v>
      </c>
      <c r="C806" s="76" t="s">
        <v>536</v>
      </c>
      <c r="D806" s="79">
        <v>1652.7670800000001</v>
      </c>
      <c r="E806" s="79">
        <v>7.0034999999999998</v>
      </c>
      <c r="F806" s="79">
        <v>7.0247999999999999</v>
      </c>
      <c r="G806" s="83">
        <f t="shared" si="11"/>
        <v>7.6908206349206356</v>
      </c>
    </row>
    <row r="807" spans="1:7" x14ac:dyDescent="0.2">
      <c r="A807" s="75">
        <v>39889</v>
      </c>
      <c r="B807" s="76" t="s">
        <v>35</v>
      </c>
      <c r="C807" s="76" t="s">
        <v>536</v>
      </c>
      <c r="D807" s="79">
        <v>1652.915657</v>
      </c>
      <c r="E807" s="79">
        <v>7.0251000000000001</v>
      </c>
      <c r="F807" s="79">
        <v>7.0319000000000003</v>
      </c>
      <c r="G807" s="83">
        <f t="shared" si="11"/>
        <v>7.6620476190476197</v>
      </c>
    </row>
    <row r="808" spans="1:7" x14ac:dyDescent="0.2">
      <c r="A808" s="75">
        <v>39890</v>
      </c>
      <c r="B808" s="76" t="s">
        <v>35</v>
      </c>
      <c r="C808" s="76" t="s">
        <v>536</v>
      </c>
      <c r="D808" s="79">
        <v>1662.354711</v>
      </c>
      <c r="E808" s="79">
        <v>7.0320999999999998</v>
      </c>
      <c r="F808" s="79">
        <v>6.9188999999999998</v>
      </c>
      <c r="G808" s="83">
        <f t="shared" si="11"/>
        <v>7.6335349206349203</v>
      </c>
    </row>
    <row r="809" spans="1:7" x14ac:dyDescent="0.2">
      <c r="A809" s="75">
        <v>39891</v>
      </c>
      <c r="B809" s="76" t="s">
        <v>35</v>
      </c>
      <c r="C809" s="76" t="s">
        <v>536</v>
      </c>
      <c r="D809" s="79">
        <v>1678.0260949999999</v>
      </c>
      <c r="E809" s="79">
        <v>6.9192999999999998</v>
      </c>
      <c r="F809" s="79">
        <v>6.7272999999999996</v>
      </c>
      <c r="G809" s="83">
        <f t="shared" si="11"/>
        <v>7.6035873015873028</v>
      </c>
    </row>
    <row r="810" spans="1:7" x14ac:dyDescent="0.2">
      <c r="A810" s="75">
        <v>39892</v>
      </c>
      <c r="B810" s="76" t="s">
        <v>35</v>
      </c>
      <c r="C810" s="76" t="s">
        <v>536</v>
      </c>
      <c r="D810" s="79">
        <v>1677.905587</v>
      </c>
      <c r="E810" s="79">
        <v>6.7276999999999996</v>
      </c>
      <c r="F810" s="79">
        <v>6.7377000000000002</v>
      </c>
      <c r="G810" s="83">
        <f t="shared" si="11"/>
        <v>7.5701936507936525</v>
      </c>
    </row>
    <row r="811" spans="1:7" x14ac:dyDescent="0.2">
      <c r="A811" s="75">
        <v>39895</v>
      </c>
      <c r="B811" s="76" t="s">
        <v>35</v>
      </c>
      <c r="C811" s="76" t="s">
        <v>536</v>
      </c>
      <c r="D811" s="79">
        <v>1677.165612</v>
      </c>
      <c r="E811" s="79">
        <v>6.7381000000000002</v>
      </c>
      <c r="F811" s="79">
        <v>6.7560000000000002</v>
      </c>
      <c r="G811" s="83">
        <f t="shared" si="11"/>
        <v>7.5405206349206351</v>
      </c>
    </row>
    <row r="812" spans="1:7" x14ac:dyDescent="0.2">
      <c r="A812" s="75">
        <v>39896</v>
      </c>
      <c r="B812" s="76" t="s">
        <v>35</v>
      </c>
      <c r="C812" s="76" t="s">
        <v>536</v>
      </c>
      <c r="D812" s="79">
        <v>1671.5411899999999</v>
      </c>
      <c r="E812" s="79">
        <v>6.7564000000000002</v>
      </c>
      <c r="F812" s="79">
        <v>6.8367000000000004</v>
      </c>
      <c r="G812" s="83">
        <f t="shared" si="11"/>
        <v>7.5148142857142854</v>
      </c>
    </row>
    <row r="813" spans="1:7" x14ac:dyDescent="0.2">
      <c r="A813" s="75">
        <v>39897</v>
      </c>
      <c r="B813" s="76" t="s">
        <v>35</v>
      </c>
      <c r="C813" s="76" t="s">
        <v>536</v>
      </c>
      <c r="D813" s="79">
        <v>1668.8442439999999</v>
      </c>
      <c r="E813" s="79">
        <v>6.8369999999999997</v>
      </c>
      <c r="F813" s="79">
        <v>6.8800999999999997</v>
      </c>
      <c r="G813" s="83">
        <f t="shared" si="11"/>
        <v>7.4894746031746022</v>
      </c>
    </row>
    <row r="814" spans="1:7" x14ac:dyDescent="0.2">
      <c r="A814" s="75">
        <v>39898</v>
      </c>
      <c r="B814" s="76" t="s">
        <v>35</v>
      </c>
      <c r="C814" s="76" t="s">
        <v>536</v>
      </c>
      <c r="D814" s="79">
        <v>1671.199638</v>
      </c>
      <c r="E814" s="79">
        <v>6.8803999999999998</v>
      </c>
      <c r="F814" s="79">
        <v>6.8506999999999998</v>
      </c>
      <c r="G814" s="83">
        <f t="shared" si="11"/>
        <v>7.4648793650793648</v>
      </c>
    </row>
    <row r="815" spans="1:7" x14ac:dyDescent="0.2">
      <c r="A815" s="75">
        <v>39899</v>
      </c>
      <c r="B815" s="76" t="s">
        <v>35</v>
      </c>
      <c r="C815" s="76" t="s">
        <v>536</v>
      </c>
      <c r="D815" s="79">
        <v>1671.9935069999999</v>
      </c>
      <c r="E815" s="79">
        <v>6.851</v>
      </c>
      <c r="F815" s="79">
        <v>6.8483999999999998</v>
      </c>
      <c r="G815" s="83">
        <f t="shared" si="11"/>
        <v>7.440833333333333</v>
      </c>
    </row>
    <row r="816" spans="1:7" x14ac:dyDescent="0.2">
      <c r="A816" s="75">
        <v>39902</v>
      </c>
      <c r="B816" s="76" t="s">
        <v>35</v>
      </c>
      <c r="C816" s="76" t="s">
        <v>536</v>
      </c>
      <c r="D816" s="79">
        <v>1673.1318220000001</v>
      </c>
      <c r="E816" s="79">
        <v>6.8487999999999998</v>
      </c>
      <c r="F816" s="79">
        <v>6.8418000000000001</v>
      </c>
      <c r="G816" s="83">
        <f t="shared" si="11"/>
        <v>7.4167650793650788</v>
      </c>
    </row>
    <row r="817" spans="1:7" x14ac:dyDescent="0.2">
      <c r="A817" s="75">
        <v>39903</v>
      </c>
      <c r="B817" s="76" t="s">
        <v>35</v>
      </c>
      <c r="C817" s="76" t="s">
        <v>536</v>
      </c>
      <c r="D817" s="79">
        <v>1670.736058</v>
      </c>
      <c r="E817" s="79">
        <v>6.8421000000000003</v>
      </c>
      <c r="F817" s="79">
        <v>6.8803000000000001</v>
      </c>
      <c r="G817" s="83">
        <f t="shared" si="11"/>
        <v>7.3928587301587294</v>
      </c>
    </row>
    <row r="818" spans="1:7" x14ac:dyDescent="0.2">
      <c r="A818" s="75">
        <v>39904</v>
      </c>
      <c r="B818" s="76" t="s">
        <v>35</v>
      </c>
      <c r="C818" s="76" t="s">
        <v>536</v>
      </c>
      <c r="D818" s="79">
        <v>1673.321954</v>
      </c>
      <c r="E818" s="79">
        <v>6.8806000000000003</v>
      </c>
      <c r="F818" s="79">
        <v>6.8551000000000002</v>
      </c>
      <c r="G818" s="83">
        <f t="shared" si="11"/>
        <v>7.3697523809523799</v>
      </c>
    </row>
    <row r="819" spans="1:7" x14ac:dyDescent="0.2">
      <c r="A819" s="75">
        <v>39905</v>
      </c>
      <c r="B819" s="76" t="s">
        <v>35</v>
      </c>
      <c r="C819" s="76" t="s">
        <v>536</v>
      </c>
      <c r="D819" s="79">
        <v>1669.9200350000001</v>
      </c>
      <c r="E819" s="79">
        <v>6.8554000000000004</v>
      </c>
      <c r="F819" s="79">
        <v>6.9065000000000003</v>
      </c>
      <c r="G819" s="83">
        <f t="shared" si="11"/>
        <v>7.3476634920634911</v>
      </c>
    </row>
    <row r="820" spans="1:7" x14ac:dyDescent="0.2">
      <c r="A820" s="75">
        <v>39906</v>
      </c>
      <c r="B820" s="76" t="s">
        <v>35</v>
      </c>
      <c r="C820" s="76" t="s">
        <v>536</v>
      </c>
      <c r="D820" s="79">
        <v>1665.9386380000001</v>
      </c>
      <c r="E820" s="79">
        <v>6.9067999999999996</v>
      </c>
      <c r="F820" s="79">
        <v>6.9654999999999996</v>
      </c>
      <c r="G820" s="83">
        <f t="shared" si="11"/>
        <v>7.3263920634920616</v>
      </c>
    </row>
    <row r="821" spans="1:7" x14ac:dyDescent="0.2">
      <c r="A821" s="75">
        <v>39909</v>
      </c>
      <c r="B821" s="76" t="s">
        <v>35</v>
      </c>
      <c r="C821" s="76" t="s">
        <v>536</v>
      </c>
      <c r="D821" s="79">
        <v>1666.036421</v>
      </c>
      <c r="E821" s="79">
        <v>6.9657999999999998</v>
      </c>
      <c r="F821" s="79">
        <v>6.9722</v>
      </c>
      <c r="G821" s="83">
        <f t="shared" si="11"/>
        <v>7.3070380952380942</v>
      </c>
    </row>
    <row r="822" spans="1:7" x14ac:dyDescent="0.2">
      <c r="A822" s="75">
        <v>39910</v>
      </c>
      <c r="B822" s="76" t="s">
        <v>35</v>
      </c>
      <c r="C822" s="76" t="s">
        <v>536</v>
      </c>
      <c r="D822" s="79">
        <v>1667.0141900000001</v>
      </c>
      <c r="E822" s="79">
        <v>6.9725000000000001</v>
      </c>
      <c r="F822" s="79">
        <v>6.9676</v>
      </c>
      <c r="G822" s="83">
        <f t="shared" si="11"/>
        <v>7.28987619047619</v>
      </c>
    </row>
    <row r="823" spans="1:7" x14ac:dyDescent="0.2">
      <c r="A823" s="75">
        <v>39911</v>
      </c>
      <c r="B823" s="76" t="s">
        <v>35</v>
      </c>
      <c r="C823" s="76" t="s">
        <v>536</v>
      </c>
      <c r="D823" s="79">
        <v>1663.8458000000001</v>
      </c>
      <c r="E823" s="79">
        <v>6.9679000000000002</v>
      </c>
      <c r="F823" s="79">
        <v>7.0179999999999998</v>
      </c>
      <c r="G823" s="83">
        <f t="shared" si="11"/>
        <v>7.2734539682539676</v>
      </c>
    </row>
    <row r="824" spans="1:7" x14ac:dyDescent="0.2">
      <c r="A824" s="75">
        <v>39912</v>
      </c>
      <c r="B824" s="76" t="s">
        <v>35</v>
      </c>
      <c r="C824" s="76" t="s">
        <v>536</v>
      </c>
      <c r="D824" s="79">
        <v>1662.1072650000001</v>
      </c>
      <c r="E824" s="79">
        <v>7.0183</v>
      </c>
      <c r="F824" s="79">
        <v>7.0484999999999998</v>
      </c>
      <c r="G824" s="83">
        <f t="shared" si="11"/>
        <v>7.2566999999999995</v>
      </c>
    </row>
    <row r="825" spans="1:7" x14ac:dyDescent="0.2">
      <c r="A825" s="75">
        <v>39916</v>
      </c>
      <c r="B825" s="76" t="s">
        <v>35</v>
      </c>
      <c r="C825" s="76" t="s">
        <v>536</v>
      </c>
      <c r="D825" s="79">
        <v>1659.3973289999999</v>
      </c>
      <c r="E825" s="79">
        <v>7.0488</v>
      </c>
      <c r="F825" s="79">
        <v>7.0915999999999997</v>
      </c>
      <c r="G825" s="83">
        <f t="shared" si="11"/>
        <v>7.2421936507936504</v>
      </c>
    </row>
    <row r="826" spans="1:7" x14ac:dyDescent="0.2">
      <c r="A826" s="75">
        <v>39917</v>
      </c>
      <c r="B826" s="76" t="s">
        <v>35</v>
      </c>
      <c r="C826" s="76" t="s">
        <v>536</v>
      </c>
      <c r="D826" s="79">
        <v>1665.461278</v>
      </c>
      <c r="E826" s="79">
        <v>7.0918999999999999</v>
      </c>
      <c r="F826" s="79">
        <v>7.0216000000000003</v>
      </c>
      <c r="G826" s="83">
        <f t="shared" si="11"/>
        <v>7.230996825396824</v>
      </c>
    </row>
    <row r="827" spans="1:7" x14ac:dyDescent="0.2">
      <c r="A827" s="75">
        <v>39918</v>
      </c>
      <c r="B827" s="76" t="s">
        <v>35</v>
      </c>
      <c r="C827" s="76" t="s">
        <v>536</v>
      </c>
      <c r="D827" s="79">
        <v>1661.2699709999999</v>
      </c>
      <c r="E827" s="79">
        <v>7.0220000000000002</v>
      </c>
      <c r="F827" s="79">
        <v>7.0838000000000001</v>
      </c>
      <c r="G827" s="83">
        <f t="shared" si="11"/>
        <v>7.2187158730158734</v>
      </c>
    </row>
    <row r="828" spans="1:7" x14ac:dyDescent="0.2">
      <c r="A828" s="75">
        <v>39919</v>
      </c>
      <c r="B828" s="76" t="s">
        <v>35</v>
      </c>
      <c r="C828" s="76" t="s">
        <v>536</v>
      </c>
      <c r="D828" s="79">
        <v>1654.9455499999999</v>
      </c>
      <c r="E828" s="79">
        <v>7.0842000000000001</v>
      </c>
      <c r="F828" s="79">
        <v>7.1761999999999997</v>
      </c>
      <c r="G828" s="83">
        <f t="shared" si="11"/>
        <v>7.2097777777777772</v>
      </c>
    </row>
    <row r="829" spans="1:7" x14ac:dyDescent="0.2">
      <c r="A829" s="75">
        <v>39920</v>
      </c>
      <c r="B829" s="76" t="s">
        <v>35</v>
      </c>
      <c r="C829" s="76" t="s">
        <v>536</v>
      </c>
      <c r="D829" s="79">
        <v>1647.459603</v>
      </c>
      <c r="E829" s="79">
        <v>7.1765999999999996</v>
      </c>
      <c r="F829" s="79">
        <v>7.2842000000000002</v>
      </c>
      <c r="G829" s="83">
        <f t="shared" si="11"/>
        <v>7.2014285714285711</v>
      </c>
    </row>
    <row r="830" spans="1:7" x14ac:dyDescent="0.2">
      <c r="A830" s="75">
        <v>39923</v>
      </c>
      <c r="B830" s="76" t="s">
        <v>35</v>
      </c>
      <c r="C830" s="76" t="s">
        <v>536</v>
      </c>
      <c r="D830" s="79">
        <v>1645.7642040000001</v>
      </c>
      <c r="E830" s="79">
        <v>7.2845000000000004</v>
      </c>
      <c r="F830" s="79">
        <v>7.3170000000000002</v>
      </c>
      <c r="G830" s="83">
        <f t="shared" si="11"/>
        <v>7.1957507936507934</v>
      </c>
    </row>
    <row r="831" spans="1:7" x14ac:dyDescent="0.2">
      <c r="A831" s="75">
        <v>39925</v>
      </c>
      <c r="B831" s="76" t="s">
        <v>35</v>
      </c>
      <c r="C831" s="76" t="s">
        <v>536</v>
      </c>
      <c r="D831" s="79">
        <v>1651.6153959999999</v>
      </c>
      <c r="E831" s="79">
        <v>7.3173000000000004</v>
      </c>
      <c r="F831" s="79">
        <v>7.2515000000000001</v>
      </c>
      <c r="G831" s="83">
        <f t="shared" si="11"/>
        <v>7.1905809523809516</v>
      </c>
    </row>
    <row r="832" spans="1:7" x14ac:dyDescent="0.2">
      <c r="A832" s="75">
        <v>39926</v>
      </c>
      <c r="B832" s="76" t="s">
        <v>35</v>
      </c>
      <c r="C832" s="76" t="s">
        <v>536</v>
      </c>
      <c r="D832" s="79">
        <v>1657.5560109999999</v>
      </c>
      <c r="E832" s="79">
        <v>7.2518000000000002</v>
      </c>
      <c r="F832" s="79">
        <v>7.1851000000000003</v>
      </c>
      <c r="G832" s="83">
        <f t="shared" si="11"/>
        <v>7.1859746031746035</v>
      </c>
    </row>
    <row r="833" spans="1:7" x14ac:dyDescent="0.2">
      <c r="A833" s="75">
        <v>39927</v>
      </c>
      <c r="B833" s="76" t="s">
        <v>35</v>
      </c>
      <c r="C833" s="76" t="s">
        <v>536</v>
      </c>
      <c r="D833" s="79">
        <v>1657.1000770000001</v>
      </c>
      <c r="E833" s="79">
        <v>7.1855000000000002</v>
      </c>
      <c r="F833" s="79">
        <v>7.2016999999999998</v>
      </c>
      <c r="G833" s="83">
        <f t="shared" si="11"/>
        <v>7.1808555555555555</v>
      </c>
    </row>
    <row r="834" spans="1:7" x14ac:dyDescent="0.2">
      <c r="A834" s="75">
        <v>39930</v>
      </c>
      <c r="B834" s="76" t="s">
        <v>35</v>
      </c>
      <c r="C834" s="76" t="s">
        <v>536</v>
      </c>
      <c r="D834" s="79">
        <v>1654.2080060000001</v>
      </c>
      <c r="E834" s="79">
        <v>7.202</v>
      </c>
      <c r="F834" s="79">
        <v>7.2512999999999996</v>
      </c>
      <c r="G834" s="83">
        <f t="shared" si="11"/>
        <v>7.1768333333333336</v>
      </c>
    </row>
    <row r="835" spans="1:7" x14ac:dyDescent="0.2">
      <c r="A835" s="75">
        <v>39931</v>
      </c>
      <c r="B835" s="76" t="s">
        <v>35</v>
      </c>
      <c r="C835" s="76" t="s">
        <v>536</v>
      </c>
      <c r="D835" s="79">
        <v>1658.1098930000001</v>
      </c>
      <c r="E835" s="79">
        <v>7.2515999999999998</v>
      </c>
      <c r="F835" s="79">
        <v>7.2115999999999998</v>
      </c>
      <c r="G835" s="83">
        <f t="shared" ref="G835:G898" si="12">+AVERAGE(E773:E835)</f>
        <v>7.1751984126984132</v>
      </c>
    </row>
    <row r="836" spans="1:7" x14ac:dyDescent="0.2">
      <c r="A836" s="75">
        <v>39932</v>
      </c>
      <c r="B836" s="76" t="s">
        <v>35</v>
      </c>
      <c r="C836" s="76" t="s">
        <v>536</v>
      </c>
      <c r="D836" s="79">
        <v>1659.7746380000001</v>
      </c>
      <c r="E836" s="79">
        <v>7.2119</v>
      </c>
      <c r="F836" s="79">
        <v>7.2008999999999999</v>
      </c>
      <c r="G836" s="83">
        <f t="shared" si="12"/>
        <v>7.1713650793650805</v>
      </c>
    </row>
    <row r="837" spans="1:7" x14ac:dyDescent="0.2">
      <c r="A837" s="75">
        <v>39933</v>
      </c>
      <c r="B837" s="76" t="s">
        <v>35</v>
      </c>
      <c r="C837" s="76" t="s">
        <v>536</v>
      </c>
      <c r="D837" s="79">
        <v>1660.6198810000001</v>
      </c>
      <c r="E837" s="79">
        <v>7.2012</v>
      </c>
      <c r="F837" s="79">
        <v>7.2008000000000001</v>
      </c>
      <c r="G837" s="83">
        <f t="shared" si="12"/>
        <v>7.1661507936507931</v>
      </c>
    </row>
    <row r="838" spans="1:7" x14ac:dyDescent="0.2">
      <c r="A838" s="75">
        <v>39937</v>
      </c>
      <c r="B838" s="76" t="s">
        <v>35</v>
      </c>
      <c r="C838" s="76" t="s">
        <v>536</v>
      </c>
      <c r="D838" s="79">
        <v>1661.457811</v>
      </c>
      <c r="E838" s="79">
        <v>7.2012</v>
      </c>
      <c r="F838" s="79">
        <v>7.2008999999999999</v>
      </c>
      <c r="G838" s="83">
        <f t="shared" si="12"/>
        <v>7.1622412698412692</v>
      </c>
    </row>
    <row r="839" spans="1:7" x14ac:dyDescent="0.2">
      <c r="A839" s="75">
        <v>39938</v>
      </c>
      <c r="B839" s="76" t="s">
        <v>35</v>
      </c>
      <c r="C839" s="76" t="s">
        <v>536</v>
      </c>
      <c r="D839" s="79">
        <v>1664.9326639999999</v>
      </c>
      <c r="E839" s="79">
        <v>7.2012999999999998</v>
      </c>
      <c r="F839" s="79">
        <v>7.1669999999999998</v>
      </c>
      <c r="G839" s="83">
        <f t="shared" si="12"/>
        <v>7.1591349206349211</v>
      </c>
    </row>
    <row r="840" spans="1:7" x14ac:dyDescent="0.2">
      <c r="A840" s="75">
        <v>39939</v>
      </c>
      <c r="B840" s="76" t="s">
        <v>35</v>
      </c>
      <c r="C840" s="76" t="s">
        <v>536</v>
      </c>
      <c r="D840" s="79">
        <v>1666.7106570000001</v>
      </c>
      <c r="E840" s="79">
        <v>7.1673999999999998</v>
      </c>
      <c r="F840" s="79">
        <v>7.1550000000000002</v>
      </c>
      <c r="G840" s="83">
        <f t="shared" si="12"/>
        <v>7.153546031746032</v>
      </c>
    </row>
    <row r="841" spans="1:7" x14ac:dyDescent="0.2">
      <c r="A841" s="75">
        <v>39940</v>
      </c>
      <c r="B841" s="76" t="s">
        <v>35</v>
      </c>
      <c r="C841" s="76" t="s">
        <v>536</v>
      </c>
      <c r="D841" s="79">
        <v>1670.0468100000001</v>
      </c>
      <c r="E841" s="79">
        <v>7.1555</v>
      </c>
      <c r="F841" s="79">
        <v>7.1231</v>
      </c>
      <c r="G841" s="83">
        <f t="shared" si="12"/>
        <v>7.1489809523809518</v>
      </c>
    </row>
    <row r="842" spans="1:7" x14ac:dyDescent="0.2">
      <c r="A842" s="75">
        <v>39941</v>
      </c>
      <c r="B842" s="76" t="s">
        <v>35</v>
      </c>
      <c r="C842" s="76" t="s">
        <v>536</v>
      </c>
      <c r="D842" s="79">
        <v>1671.1434469999999</v>
      </c>
      <c r="E842" s="79">
        <v>7.1235999999999997</v>
      </c>
      <c r="F842" s="79">
        <v>7.1280000000000001</v>
      </c>
      <c r="G842" s="83">
        <f t="shared" si="12"/>
        <v>7.144979365079366</v>
      </c>
    </row>
    <row r="843" spans="1:7" x14ac:dyDescent="0.2">
      <c r="A843" s="75">
        <v>39944</v>
      </c>
      <c r="B843" s="76" t="s">
        <v>35</v>
      </c>
      <c r="C843" s="76" t="s">
        <v>536</v>
      </c>
      <c r="D843" s="79">
        <v>1673.553073</v>
      </c>
      <c r="E843" s="79">
        <v>7.1284999999999998</v>
      </c>
      <c r="F843" s="79">
        <v>7.1086</v>
      </c>
      <c r="G843" s="83">
        <f t="shared" si="12"/>
        <v>7.1410476190476189</v>
      </c>
    </row>
    <row r="844" spans="1:7" x14ac:dyDescent="0.2">
      <c r="A844" s="75">
        <v>39945</v>
      </c>
      <c r="B844" s="76" t="s">
        <v>35</v>
      </c>
      <c r="C844" s="76" t="s">
        <v>536</v>
      </c>
      <c r="D844" s="79">
        <v>1676.113818</v>
      </c>
      <c r="E844" s="79">
        <v>7.1090999999999998</v>
      </c>
      <c r="F844" s="79">
        <v>7.0872999999999999</v>
      </c>
      <c r="G844" s="83">
        <f t="shared" si="12"/>
        <v>7.1363825396825389</v>
      </c>
    </row>
    <row r="845" spans="1:7" x14ac:dyDescent="0.2">
      <c r="A845" s="75">
        <v>39946</v>
      </c>
      <c r="B845" s="76" t="s">
        <v>35</v>
      </c>
      <c r="C845" s="76" t="s">
        <v>536</v>
      </c>
      <c r="D845" s="79">
        <v>1677.581267</v>
      </c>
      <c r="E845" s="79">
        <v>7.0876999999999999</v>
      </c>
      <c r="F845" s="79">
        <v>7.0799000000000003</v>
      </c>
      <c r="G845" s="83">
        <f t="shared" si="12"/>
        <v>7.1311142857142835</v>
      </c>
    </row>
    <row r="846" spans="1:7" x14ac:dyDescent="0.2">
      <c r="A846" s="75">
        <v>39947</v>
      </c>
      <c r="B846" s="76" t="s">
        <v>35</v>
      </c>
      <c r="C846" s="76" t="s">
        <v>536</v>
      </c>
      <c r="D846" s="79">
        <v>1684.7490029999999</v>
      </c>
      <c r="E846" s="79">
        <v>7.0803000000000003</v>
      </c>
      <c r="F846" s="79">
        <v>6.9999000000000002</v>
      </c>
      <c r="G846" s="83">
        <f t="shared" si="12"/>
        <v>7.1263079365079349</v>
      </c>
    </row>
    <row r="847" spans="1:7" x14ac:dyDescent="0.2">
      <c r="A847" s="75">
        <v>39948</v>
      </c>
      <c r="B847" s="76" t="s">
        <v>35</v>
      </c>
      <c r="C847" s="76" t="s">
        <v>536</v>
      </c>
      <c r="D847" s="79">
        <v>1694.2496020000001</v>
      </c>
      <c r="E847" s="79">
        <v>7.0003000000000002</v>
      </c>
      <c r="F847" s="79">
        <v>6.8907999999999996</v>
      </c>
      <c r="G847" s="83">
        <f t="shared" si="12"/>
        <v>7.1196412698412681</v>
      </c>
    </row>
    <row r="848" spans="1:7" x14ac:dyDescent="0.2">
      <c r="A848" s="75">
        <v>39951</v>
      </c>
      <c r="B848" s="76" t="s">
        <v>35</v>
      </c>
      <c r="C848" s="76" t="s">
        <v>536</v>
      </c>
      <c r="D848" s="79">
        <v>1701.9348809999999</v>
      </c>
      <c r="E848" s="79">
        <v>6.8910999999999998</v>
      </c>
      <c r="F848" s="79">
        <v>6.8037000000000001</v>
      </c>
      <c r="G848" s="83">
        <f t="shared" si="12"/>
        <v>7.1104682539682527</v>
      </c>
    </row>
    <row r="849" spans="1:7" x14ac:dyDescent="0.2">
      <c r="A849" s="75">
        <v>39952</v>
      </c>
      <c r="B849" s="76" t="s">
        <v>35</v>
      </c>
      <c r="C849" s="76" t="s">
        <v>536</v>
      </c>
      <c r="D849" s="79">
        <v>1705.100269</v>
      </c>
      <c r="E849" s="79">
        <v>6.8041</v>
      </c>
      <c r="F849" s="79">
        <v>6.7736999999999998</v>
      </c>
      <c r="G849" s="83">
        <f t="shared" si="12"/>
        <v>7.0995015873015861</v>
      </c>
    </row>
    <row r="850" spans="1:7" x14ac:dyDescent="0.2">
      <c r="A850" s="75">
        <v>39953</v>
      </c>
      <c r="B850" s="76" t="s">
        <v>35</v>
      </c>
      <c r="C850" s="76" t="s">
        <v>536</v>
      </c>
      <c r="D850" s="79">
        <v>1718.565478</v>
      </c>
      <c r="E850" s="79">
        <v>6.774</v>
      </c>
      <c r="F850" s="79">
        <v>6.6153000000000004</v>
      </c>
      <c r="G850" s="83">
        <f t="shared" si="12"/>
        <v>7.0867095238095237</v>
      </c>
    </row>
    <row r="851" spans="1:7" x14ac:dyDescent="0.2">
      <c r="A851" s="75">
        <v>39954</v>
      </c>
      <c r="B851" s="76" t="s">
        <v>35</v>
      </c>
      <c r="C851" s="76" t="s">
        <v>536</v>
      </c>
      <c r="D851" s="79">
        <v>1712.0219239999999</v>
      </c>
      <c r="E851" s="79">
        <v>6.6155999999999997</v>
      </c>
      <c r="F851" s="79">
        <v>6.7061999999999999</v>
      </c>
      <c r="G851" s="83">
        <f t="shared" si="12"/>
        <v>7.0729761904761892</v>
      </c>
    </row>
    <row r="852" spans="1:7" x14ac:dyDescent="0.2">
      <c r="A852" s="75">
        <v>39955</v>
      </c>
      <c r="B852" s="76" t="s">
        <v>35</v>
      </c>
      <c r="C852" s="76" t="s">
        <v>536</v>
      </c>
      <c r="D852" s="79">
        <v>1716.922159</v>
      </c>
      <c r="E852" s="79">
        <v>6.7065000000000001</v>
      </c>
      <c r="F852" s="79">
        <v>6.6547000000000001</v>
      </c>
      <c r="G852" s="83">
        <f t="shared" si="12"/>
        <v>7.0608428571428554</v>
      </c>
    </row>
    <row r="853" spans="1:7" x14ac:dyDescent="0.2">
      <c r="A853" s="75">
        <v>39958</v>
      </c>
      <c r="B853" s="76" t="s">
        <v>35</v>
      </c>
      <c r="C853" s="76" t="s">
        <v>536</v>
      </c>
      <c r="D853" s="79">
        <v>1718.96551</v>
      </c>
      <c r="E853" s="79">
        <v>6.6550000000000002</v>
      </c>
      <c r="F853" s="79">
        <v>6.6439000000000004</v>
      </c>
      <c r="G853" s="83">
        <f t="shared" si="12"/>
        <v>7.0476507936507922</v>
      </c>
    </row>
    <row r="854" spans="1:7" x14ac:dyDescent="0.2">
      <c r="A854" s="75">
        <v>39959</v>
      </c>
      <c r="B854" s="76" t="s">
        <v>35</v>
      </c>
      <c r="C854" s="76" t="s">
        <v>536</v>
      </c>
      <c r="D854" s="79">
        <v>1721.8534259999999</v>
      </c>
      <c r="E854" s="79">
        <v>6.6440999999999999</v>
      </c>
      <c r="F854" s="79">
        <v>6.6182999999999996</v>
      </c>
      <c r="G854" s="83">
        <f t="shared" si="12"/>
        <v>7.0338650793650768</v>
      </c>
    </row>
    <row r="855" spans="1:7" x14ac:dyDescent="0.2">
      <c r="A855" s="75">
        <v>39960</v>
      </c>
      <c r="B855" s="76" t="s">
        <v>35</v>
      </c>
      <c r="C855" s="76" t="s">
        <v>536</v>
      </c>
      <c r="D855" s="79">
        <v>1719.5403610000001</v>
      </c>
      <c r="E855" s="79">
        <v>6.6185</v>
      </c>
      <c r="F855" s="79">
        <v>6.6571999999999996</v>
      </c>
      <c r="G855" s="83">
        <f t="shared" si="12"/>
        <v>7.0209380952380922</v>
      </c>
    </row>
    <row r="856" spans="1:7" x14ac:dyDescent="0.2">
      <c r="A856" s="75">
        <v>39961</v>
      </c>
      <c r="B856" s="76" t="s">
        <v>35</v>
      </c>
      <c r="C856" s="76" t="s">
        <v>536</v>
      </c>
      <c r="D856" s="79">
        <v>1722.922198</v>
      </c>
      <c r="E856" s="79">
        <v>6.6574</v>
      </c>
      <c r="F856" s="79">
        <v>6.6254999999999997</v>
      </c>
      <c r="G856" s="83">
        <f t="shared" si="12"/>
        <v>7.0078888888888873</v>
      </c>
    </row>
    <row r="857" spans="1:7" x14ac:dyDescent="0.2">
      <c r="A857" s="75">
        <v>39962</v>
      </c>
      <c r="B857" s="76" t="s">
        <v>35</v>
      </c>
      <c r="C857" s="76" t="s">
        <v>536</v>
      </c>
      <c r="D857" s="79">
        <v>1727.7260699999999</v>
      </c>
      <c r="E857" s="79">
        <v>6.6257000000000001</v>
      </c>
      <c r="F857" s="79">
        <v>6.5762999999999998</v>
      </c>
      <c r="G857" s="83">
        <f t="shared" si="12"/>
        <v>6.9949111111111089</v>
      </c>
    </row>
    <row r="858" spans="1:7" x14ac:dyDescent="0.2">
      <c r="A858" s="75">
        <v>39965</v>
      </c>
      <c r="B858" s="76" t="s">
        <v>35</v>
      </c>
      <c r="C858" s="76" t="s">
        <v>536</v>
      </c>
      <c r="D858" s="79">
        <v>1731.762185</v>
      </c>
      <c r="E858" s="79">
        <v>6.5766</v>
      </c>
      <c r="F858" s="79">
        <v>6.5368000000000004</v>
      </c>
      <c r="G858" s="83">
        <f t="shared" si="12"/>
        <v>6.983361904761904</v>
      </c>
    </row>
    <row r="859" spans="1:7" x14ac:dyDescent="0.2">
      <c r="A859" s="75">
        <v>39966</v>
      </c>
      <c r="B859" s="76" t="s">
        <v>35</v>
      </c>
      <c r="C859" s="76" t="s">
        <v>536</v>
      </c>
      <c r="D859" s="79">
        <v>1735.7249469999999</v>
      </c>
      <c r="E859" s="79">
        <v>6.5370999999999997</v>
      </c>
      <c r="F859" s="79">
        <v>6.4983000000000004</v>
      </c>
      <c r="G859" s="83">
        <f t="shared" si="12"/>
        <v>6.9728444444444433</v>
      </c>
    </row>
    <row r="860" spans="1:7" x14ac:dyDescent="0.2">
      <c r="A860" s="75">
        <v>39967</v>
      </c>
      <c r="B860" s="76" t="s">
        <v>35</v>
      </c>
      <c r="C860" s="76" t="s">
        <v>536</v>
      </c>
      <c r="D860" s="79">
        <v>1736.0913439999999</v>
      </c>
      <c r="E860" s="79">
        <v>6.4985999999999997</v>
      </c>
      <c r="F860" s="79">
        <v>6.5039999999999996</v>
      </c>
      <c r="G860" s="83">
        <f t="shared" si="12"/>
        <v>6.9633984126984094</v>
      </c>
    </row>
    <row r="861" spans="1:7" x14ac:dyDescent="0.2">
      <c r="A861" s="75">
        <v>39968</v>
      </c>
      <c r="B861" s="76" t="s">
        <v>35</v>
      </c>
      <c r="C861" s="76" t="s">
        <v>536</v>
      </c>
      <c r="D861" s="79">
        <v>1735.6520640000001</v>
      </c>
      <c r="E861" s="79">
        <v>6.5042999999999997</v>
      </c>
      <c r="F861" s="79">
        <v>6.5195999999999996</v>
      </c>
      <c r="G861" s="83">
        <f t="shared" si="12"/>
        <v>6.953599999999998</v>
      </c>
    </row>
    <row r="862" spans="1:7" x14ac:dyDescent="0.2">
      <c r="A862" s="75">
        <v>39969</v>
      </c>
      <c r="B862" s="76" t="s">
        <v>35</v>
      </c>
      <c r="C862" s="76" t="s">
        <v>536</v>
      </c>
      <c r="D862" s="79">
        <v>1727.9980089999999</v>
      </c>
      <c r="E862" s="79">
        <v>6.5198999999999998</v>
      </c>
      <c r="F862" s="79">
        <v>6.6241000000000003</v>
      </c>
      <c r="G862" s="83">
        <f t="shared" si="12"/>
        <v>6.9426253968253961</v>
      </c>
    </row>
    <row r="863" spans="1:7" x14ac:dyDescent="0.2">
      <c r="A863" s="75">
        <v>39972</v>
      </c>
      <c r="B863" s="76" t="s">
        <v>35</v>
      </c>
      <c r="C863" s="76" t="s">
        <v>536</v>
      </c>
      <c r="D863" s="79">
        <v>1722.109005</v>
      </c>
      <c r="E863" s="79">
        <v>6.6243999999999996</v>
      </c>
      <c r="F863" s="79">
        <v>6.7073</v>
      </c>
      <c r="G863" s="83">
        <f t="shared" si="12"/>
        <v>6.9339666666666657</v>
      </c>
    </row>
    <row r="864" spans="1:7" x14ac:dyDescent="0.2">
      <c r="A864" s="75">
        <v>39973</v>
      </c>
      <c r="B864" s="76" t="s">
        <v>35</v>
      </c>
      <c r="C864" s="76" t="s">
        <v>536</v>
      </c>
      <c r="D864" s="79">
        <v>1711.921349</v>
      </c>
      <c r="E864" s="79">
        <v>6.7074999999999996</v>
      </c>
      <c r="F864" s="79">
        <v>6.8444000000000003</v>
      </c>
      <c r="G864" s="83">
        <f t="shared" si="12"/>
        <v>6.9279079365079355</v>
      </c>
    </row>
    <row r="865" spans="1:7" x14ac:dyDescent="0.2">
      <c r="A865" s="75">
        <v>39974</v>
      </c>
      <c r="B865" s="76" t="s">
        <v>35</v>
      </c>
      <c r="C865" s="76" t="s">
        <v>536</v>
      </c>
      <c r="D865" s="79">
        <v>1710.1033010000001</v>
      </c>
      <c r="E865" s="79">
        <v>6.8445</v>
      </c>
      <c r="F865" s="79">
        <v>6.8851000000000004</v>
      </c>
      <c r="G865" s="83">
        <f t="shared" si="12"/>
        <v>6.9245825396825378</v>
      </c>
    </row>
    <row r="866" spans="1:7" x14ac:dyDescent="0.2">
      <c r="A866" s="75">
        <v>39976</v>
      </c>
      <c r="B866" s="76" t="s">
        <v>35</v>
      </c>
      <c r="C866" s="76" t="s">
        <v>536</v>
      </c>
      <c r="D866" s="79">
        <v>1724.8348840000001</v>
      </c>
      <c r="E866" s="79">
        <v>6.8852000000000002</v>
      </c>
      <c r="F866" s="79">
        <v>6.7125000000000004</v>
      </c>
      <c r="G866" s="83">
        <f t="shared" si="12"/>
        <v>6.9230015873015853</v>
      </c>
    </row>
    <row r="867" spans="1:7" x14ac:dyDescent="0.2">
      <c r="A867" s="75">
        <v>39979</v>
      </c>
      <c r="B867" s="76" t="s">
        <v>35</v>
      </c>
      <c r="C867" s="76" t="s">
        <v>536</v>
      </c>
      <c r="D867" s="79">
        <v>1726.152834</v>
      </c>
      <c r="E867" s="79">
        <v>6.7126999999999999</v>
      </c>
      <c r="F867" s="79">
        <v>6.7069000000000001</v>
      </c>
      <c r="G867" s="83">
        <f t="shared" si="12"/>
        <v>6.9197809523809504</v>
      </c>
    </row>
    <row r="868" spans="1:7" x14ac:dyDescent="0.2">
      <c r="A868" s="75">
        <v>39980</v>
      </c>
      <c r="B868" s="76" t="s">
        <v>35</v>
      </c>
      <c r="C868" s="76" t="s">
        <v>536</v>
      </c>
      <c r="D868" s="79">
        <v>1731.4333630000001</v>
      </c>
      <c r="E868" s="79">
        <v>6.7070999999999996</v>
      </c>
      <c r="F868" s="79">
        <v>6.6498999999999997</v>
      </c>
      <c r="G868" s="83">
        <f t="shared" si="12"/>
        <v>6.9162365079365049</v>
      </c>
    </row>
    <row r="869" spans="1:7" x14ac:dyDescent="0.2">
      <c r="A869" s="75">
        <v>39981</v>
      </c>
      <c r="B869" s="76" t="s">
        <v>35</v>
      </c>
      <c r="C869" s="76" t="s">
        <v>536</v>
      </c>
      <c r="D869" s="79">
        <v>1732.088311</v>
      </c>
      <c r="E869" s="79">
        <v>6.65</v>
      </c>
      <c r="F869" s="79">
        <v>6.6498999999999997</v>
      </c>
      <c r="G869" s="83">
        <f t="shared" si="12"/>
        <v>6.9106253968253943</v>
      </c>
    </row>
    <row r="870" spans="1:7" x14ac:dyDescent="0.2">
      <c r="A870" s="75">
        <v>39982</v>
      </c>
      <c r="B870" s="76" t="s">
        <v>35</v>
      </c>
      <c r="C870" s="76" t="s">
        <v>536</v>
      </c>
      <c r="D870" s="79">
        <v>1725.739286</v>
      </c>
      <c r="E870" s="79">
        <v>6.65</v>
      </c>
      <c r="F870" s="79">
        <v>6.7363999999999997</v>
      </c>
      <c r="G870" s="83">
        <f t="shared" si="12"/>
        <v>6.904671428571425</v>
      </c>
    </row>
    <row r="871" spans="1:7" x14ac:dyDescent="0.2">
      <c r="A871" s="75">
        <v>39983</v>
      </c>
      <c r="B871" s="76" t="s">
        <v>35</v>
      </c>
      <c r="C871" s="76" t="s">
        <v>536</v>
      </c>
      <c r="D871" s="79">
        <v>1720.1808129999999</v>
      </c>
      <c r="E871" s="79">
        <v>6.7365000000000004</v>
      </c>
      <c r="F871" s="79">
        <v>6.8135000000000003</v>
      </c>
      <c r="G871" s="83">
        <f t="shared" si="12"/>
        <v>6.8999793650793624</v>
      </c>
    </row>
    <row r="872" spans="1:7" x14ac:dyDescent="0.2">
      <c r="A872" s="75">
        <v>39986</v>
      </c>
      <c r="B872" s="76" t="s">
        <v>35</v>
      </c>
      <c r="C872" s="76" t="s">
        <v>536</v>
      </c>
      <c r="D872" s="79">
        <v>1720.7775630000001</v>
      </c>
      <c r="E872" s="79">
        <v>6.8135000000000003</v>
      </c>
      <c r="F872" s="79">
        <v>6.8141999999999996</v>
      </c>
      <c r="G872" s="83">
        <f t="shared" si="12"/>
        <v>6.8982999999999963</v>
      </c>
    </row>
    <row r="873" spans="1:7" x14ac:dyDescent="0.2">
      <c r="A873" s="75">
        <v>39987</v>
      </c>
      <c r="B873" s="76" t="s">
        <v>35</v>
      </c>
      <c r="C873" s="76" t="s">
        <v>536</v>
      </c>
      <c r="D873" s="79">
        <v>1726.6821500000001</v>
      </c>
      <c r="E873" s="79">
        <v>6.8140999999999998</v>
      </c>
      <c r="F873" s="79">
        <v>6.7489999999999997</v>
      </c>
      <c r="G873" s="83">
        <f t="shared" si="12"/>
        <v>6.8996714285714242</v>
      </c>
    </row>
    <row r="874" spans="1:7" x14ac:dyDescent="0.2">
      <c r="A874" s="75">
        <v>39988</v>
      </c>
      <c r="B874" s="76" t="s">
        <v>35</v>
      </c>
      <c r="C874" s="76" t="s">
        <v>536</v>
      </c>
      <c r="D874" s="79">
        <v>1727.7701830000001</v>
      </c>
      <c r="E874" s="79">
        <v>6.7489999999999997</v>
      </c>
      <c r="F874" s="79">
        <v>6.7435999999999998</v>
      </c>
      <c r="G874" s="83">
        <f t="shared" si="12"/>
        <v>6.8998444444444411</v>
      </c>
    </row>
    <row r="875" spans="1:7" x14ac:dyDescent="0.2">
      <c r="A875" s="75">
        <v>39989</v>
      </c>
      <c r="B875" s="76" t="s">
        <v>35</v>
      </c>
      <c r="C875" s="76" t="s">
        <v>536</v>
      </c>
      <c r="D875" s="79">
        <v>1731.837317</v>
      </c>
      <c r="E875" s="79">
        <v>6.7435999999999998</v>
      </c>
      <c r="F875" s="79">
        <v>6.7053000000000003</v>
      </c>
      <c r="G875" s="83">
        <f t="shared" si="12"/>
        <v>6.8996412698412657</v>
      </c>
    </row>
    <row r="876" spans="1:7" x14ac:dyDescent="0.2">
      <c r="A876" s="75">
        <v>39990</v>
      </c>
      <c r="B876" s="76" t="s">
        <v>35</v>
      </c>
      <c r="C876" s="76" t="s">
        <v>536</v>
      </c>
      <c r="D876" s="79">
        <v>1734.6864909999999</v>
      </c>
      <c r="E876" s="79">
        <v>6.7053000000000003</v>
      </c>
      <c r="F876" s="79">
        <v>6.6787000000000001</v>
      </c>
      <c r="G876" s="83">
        <f t="shared" si="12"/>
        <v>6.8975507936507903</v>
      </c>
    </row>
    <row r="877" spans="1:7" x14ac:dyDescent="0.2">
      <c r="A877" s="75">
        <v>39993</v>
      </c>
      <c r="B877" s="76" t="s">
        <v>35</v>
      </c>
      <c r="C877" s="76" t="s">
        <v>536</v>
      </c>
      <c r="D877" s="79">
        <v>1728.8966439999999</v>
      </c>
      <c r="E877" s="79">
        <v>6.6787000000000001</v>
      </c>
      <c r="F877" s="79">
        <v>6.7586000000000004</v>
      </c>
      <c r="G877" s="83">
        <f t="shared" si="12"/>
        <v>6.8943492063492045</v>
      </c>
    </row>
    <row r="878" spans="1:7" x14ac:dyDescent="0.2">
      <c r="A878" s="75">
        <v>39994</v>
      </c>
      <c r="B878" s="76" t="s">
        <v>35</v>
      </c>
      <c r="C878" s="76" t="s">
        <v>536</v>
      </c>
      <c r="D878" s="79">
        <v>1729.32972</v>
      </c>
      <c r="E878" s="79">
        <v>6.7584999999999997</v>
      </c>
      <c r="F878" s="79">
        <v>6.7617000000000003</v>
      </c>
      <c r="G878" s="83">
        <f t="shared" si="12"/>
        <v>6.8928809523809509</v>
      </c>
    </row>
    <row r="879" spans="1:7" x14ac:dyDescent="0.2">
      <c r="A879" s="75">
        <v>39995</v>
      </c>
      <c r="B879" s="76" t="s">
        <v>35</v>
      </c>
      <c r="C879" s="76" t="s">
        <v>536</v>
      </c>
      <c r="D879" s="79">
        <v>1734.7172760000001</v>
      </c>
      <c r="E879" s="79">
        <v>6.7615999999999996</v>
      </c>
      <c r="F879" s="79">
        <v>6.7037000000000004</v>
      </c>
      <c r="G879" s="83">
        <f t="shared" si="12"/>
        <v>6.891496825396823</v>
      </c>
    </row>
    <row r="880" spans="1:7" x14ac:dyDescent="0.2">
      <c r="A880" s="75">
        <v>39996</v>
      </c>
      <c r="B880" s="76" t="s">
        <v>35</v>
      </c>
      <c r="C880" s="76" t="s">
        <v>536</v>
      </c>
      <c r="D880" s="79">
        <v>1739.9981560000001</v>
      </c>
      <c r="E880" s="79">
        <v>6.7037000000000004</v>
      </c>
      <c r="F880" s="79">
        <v>6.6473000000000004</v>
      </c>
      <c r="G880" s="83">
        <f t="shared" si="12"/>
        <v>6.8892999999999995</v>
      </c>
    </row>
    <row r="881" spans="1:7" x14ac:dyDescent="0.2">
      <c r="A881" s="75">
        <v>39997</v>
      </c>
      <c r="B881" s="76" t="s">
        <v>35</v>
      </c>
      <c r="C881" s="76" t="s">
        <v>536</v>
      </c>
      <c r="D881" s="79">
        <v>1742.4090839999999</v>
      </c>
      <c r="E881" s="79">
        <v>6.6474000000000002</v>
      </c>
      <c r="F881" s="79">
        <v>6.6262999999999996</v>
      </c>
      <c r="G881" s="83">
        <f t="shared" si="12"/>
        <v>6.8855984126984122</v>
      </c>
    </row>
    <row r="882" spans="1:7" x14ac:dyDescent="0.2">
      <c r="A882" s="75">
        <v>40000</v>
      </c>
      <c r="B882" s="76" t="s">
        <v>35</v>
      </c>
      <c r="C882" s="76" t="s">
        <v>536</v>
      </c>
      <c r="D882" s="79">
        <v>1746.3849869999999</v>
      </c>
      <c r="E882" s="79">
        <v>6.6264000000000003</v>
      </c>
      <c r="F882" s="79">
        <v>6.5861999999999998</v>
      </c>
      <c r="G882" s="83">
        <f t="shared" si="12"/>
        <v>6.881963492063492</v>
      </c>
    </row>
    <row r="883" spans="1:7" x14ac:dyDescent="0.2">
      <c r="A883" s="75">
        <v>40001</v>
      </c>
      <c r="B883" s="76" t="s">
        <v>35</v>
      </c>
      <c r="C883" s="76" t="s">
        <v>536</v>
      </c>
      <c r="D883" s="79">
        <v>1747.3021699999999</v>
      </c>
      <c r="E883" s="79">
        <v>6.5862999999999996</v>
      </c>
      <c r="F883" s="79">
        <v>6.5834999999999999</v>
      </c>
      <c r="G883" s="83">
        <f t="shared" si="12"/>
        <v>6.8768761904761906</v>
      </c>
    </row>
    <row r="884" spans="1:7" x14ac:dyDescent="0.2">
      <c r="A884" s="75">
        <v>40002</v>
      </c>
      <c r="B884" s="76" t="s">
        <v>35</v>
      </c>
      <c r="C884" s="76" t="s">
        <v>536</v>
      </c>
      <c r="D884" s="79">
        <v>1749.7935660000001</v>
      </c>
      <c r="E884" s="79">
        <v>6.5835999999999997</v>
      </c>
      <c r="F884" s="79">
        <v>6.5697999999999999</v>
      </c>
      <c r="G884" s="83">
        <f t="shared" si="12"/>
        <v>6.8708095238095233</v>
      </c>
    </row>
    <row r="885" spans="1:7" x14ac:dyDescent="0.2">
      <c r="A885" s="75">
        <v>40003</v>
      </c>
      <c r="B885" s="76" t="s">
        <v>35</v>
      </c>
      <c r="C885" s="76" t="s">
        <v>536</v>
      </c>
      <c r="D885" s="79">
        <v>1750.447418</v>
      </c>
      <c r="E885" s="79">
        <v>6.5698999999999996</v>
      </c>
      <c r="F885" s="79">
        <v>6.5708000000000002</v>
      </c>
      <c r="G885" s="83">
        <f t="shared" si="12"/>
        <v>6.8644190476190481</v>
      </c>
    </row>
    <row r="886" spans="1:7" x14ac:dyDescent="0.2">
      <c r="A886" s="75">
        <v>40004</v>
      </c>
      <c r="B886" s="76" t="s">
        <v>35</v>
      </c>
      <c r="C886" s="76" t="s">
        <v>536</v>
      </c>
      <c r="D886" s="79">
        <v>1753.5828289999999</v>
      </c>
      <c r="E886" s="79">
        <v>6.5709</v>
      </c>
      <c r="F886" s="79">
        <v>6.5415999999999999</v>
      </c>
      <c r="G886" s="83">
        <f t="shared" si="12"/>
        <v>6.8581174603174615</v>
      </c>
    </row>
    <row r="887" spans="1:7" x14ac:dyDescent="0.2">
      <c r="A887" s="75">
        <v>40007</v>
      </c>
      <c r="B887" s="76" t="s">
        <v>35</v>
      </c>
      <c r="C887" s="76" t="s">
        <v>536</v>
      </c>
      <c r="D887" s="79">
        <v>1748.694211</v>
      </c>
      <c r="E887" s="79">
        <v>6.5418000000000003</v>
      </c>
      <c r="F887" s="79">
        <v>6.6101999999999999</v>
      </c>
      <c r="G887" s="83">
        <f t="shared" si="12"/>
        <v>6.8505539682539691</v>
      </c>
    </row>
    <row r="888" spans="1:7" x14ac:dyDescent="0.2">
      <c r="A888" s="75">
        <v>40008</v>
      </c>
      <c r="B888" s="76" t="s">
        <v>35</v>
      </c>
      <c r="C888" s="76" t="s">
        <v>536</v>
      </c>
      <c r="D888" s="79">
        <v>1753.8578789999999</v>
      </c>
      <c r="E888" s="79">
        <v>6.6102999999999996</v>
      </c>
      <c r="F888" s="79">
        <v>6.5563000000000002</v>
      </c>
      <c r="G888" s="83">
        <f t="shared" si="12"/>
        <v>6.8435936507936512</v>
      </c>
    </row>
    <row r="889" spans="1:7" x14ac:dyDescent="0.2">
      <c r="A889" s="75">
        <v>40009</v>
      </c>
      <c r="B889" s="76" t="s">
        <v>35</v>
      </c>
      <c r="C889" s="76" t="s">
        <v>536</v>
      </c>
      <c r="D889" s="79">
        <v>1754.2738260000001</v>
      </c>
      <c r="E889" s="79">
        <v>6.5564999999999998</v>
      </c>
      <c r="F889" s="79">
        <v>6.5602999999999998</v>
      </c>
      <c r="G889" s="83">
        <f t="shared" si="12"/>
        <v>6.8350952380952394</v>
      </c>
    </row>
    <row r="890" spans="1:7" x14ac:dyDescent="0.2">
      <c r="A890" s="75">
        <v>40010</v>
      </c>
      <c r="B890" s="76" t="s">
        <v>35</v>
      </c>
      <c r="C890" s="76" t="s">
        <v>536</v>
      </c>
      <c r="D890" s="79">
        <v>1753.1288890000001</v>
      </c>
      <c r="E890" s="79">
        <v>6.5603999999999996</v>
      </c>
      <c r="F890" s="79">
        <v>6.5834999999999999</v>
      </c>
      <c r="G890" s="83">
        <f t="shared" si="12"/>
        <v>6.8277682539682552</v>
      </c>
    </row>
    <row r="891" spans="1:7" x14ac:dyDescent="0.2">
      <c r="A891" s="75">
        <v>40011</v>
      </c>
      <c r="B891" s="76" t="s">
        <v>35</v>
      </c>
      <c r="C891" s="76" t="s">
        <v>536</v>
      </c>
      <c r="D891" s="79">
        <v>1756.567067</v>
      </c>
      <c r="E891" s="79">
        <v>6.5835999999999997</v>
      </c>
      <c r="F891" s="79">
        <v>6.5510000000000002</v>
      </c>
      <c r="G891" s="83">
        <f t="shared" si="12"/>
        <v>6.8198222222222231</v>
      </c>
    </row>
    <row r="892" spans="1:7" x14ac:dyDescent="0.2">
      <c r="A892" s="75">
        <v>40014</v>
      </c>
      <c r="B892" s="76" t="s">
        <v>35</v>
      </c>
      <c r="C892" s="76" t="s">
        <v>536</v>
      </c>
      <c r="D892" s="79">
        <v>1759.309178</v>
      </c>
      <c r="E892" s="79">
        <v>6.5511999999999997</v>
      </c>
      <c r="F892" s="79">
        <v>6.5270999999999999</v>
      </c>
      <c r="G892" s="83">
        <f t="shared" si="12"/>
        <v>6.8098952380952404</v>
      </c>
    </row>
    <row r="893" spans="1:7" x14ac:dyDescent="0.2">
      <c r="A893" s="75">
        <v>40015</v>
      </c>
      <c r="B893" s="76" t="s">
        <v>35</v>
      </c>
      <c r="C893" s="76" t="s">
        <v>536</v>
      </c>
      <c r="D893" s="79">
        <v>1760.0967680000001</v>
      </c>
      <c r="E893" s="79">
        <v>6.5271999999999997</v>
      </c>
      <c r="F893" s="79">
        <v>6.5267999999999997</v>
      </c>
      <c r="G893" s="83">
        <f t="shared" si="12"/>
        <v>6.7978746031746056</v>
      </c>
    </row>
    <row r="894" spans="1:7" x14ac:dyDescent="0.2">
      <c r="A894" s="75">
        <v>40016</v>
      </c>
      <c r="B894" s="76" t="s">
        <v>35</v>
      </c>
      <c r="C894" s="76" t="s">
        <v>536</v>
      </c>
      <c r="D894" s="79">
        <v>1762.27277</v>
      </c>
      <c r="E894" s="79">
        <v>6.5270000000000001</v>
      </c>
      <c r="F894" s="79">
        <v>6.5098000000000003</v>
      </c>
      <c r="G894" s="83">
        <f t="shared" si="12"/>
        <v>6.7853301587301607</v>
      </c>
    </row>
    <row r="895" spans="1:7" x14ac:dyDescent="0.2">
      <c r="A895" s="75">
        <v>40017</v>
      </c>
      <c r="B895" s="76" t="s">
        <v>35</v>
      </c>
      <c r="C895" s="76" t="s">
        <v>536</v>
      </c>
      <c r="D895" s="79">
        <v>1759.360275</v>
      </c>
      <c r="E895" s="79">
        <v>6.5099</v>
      </c>
      <c r="F895" s="79">
        <v>6.5542999999999996</v>
      </c>
      <c r="G895" s="83">
        <f t="shared" si="12"/>
        <v>6.77355396825397</v>
      </c>
    </row>
    <row r="896" spans="1:7" x14ac:dyDescent="0.2">
      <c r="A896" s="75">
        <v>40018</v>
      </c>
      <c r="B896" s="76" t="s">
        <v>35</v>
      </c>
      <c r="C896" s="76" t="s">
        <v>536</v>
      </c>
      <c r="D896" s="79">
        <v>1762.4044269999999</v>
      </c>
      <c r="E896" s="79">
        <v>6.5544000000000002</v>
      </c>
      <c r="F896" s="79">
        <v>6.5266999999999999</v>
      </c>
      <c r="G896" s="83">
        <f t="shared" si="12"/>
        <v>6.7635365079365108</v>
      </c>
    </row>
    <row r="897" spans="1:7" x14ac:dyDescent="0.2">
      <c r="A897" s="75">
        <v>40021</v>
      </c>
      <c r="B897" s="76" t="s">
        <v>35</v>
      </c>
      <c r="C897" s="76" t="s">
        <v>536</v>
      </c>
      <c r="D897" s="79">
        <v>1762.9363840000001</v>
      </c>
      <c r="E897" s="79">
        <v>6.5267999999999997</v>
      </c>
      <c r="F897" s="79">
        <v>6.5198999999999998</v>
      </c>
      <c r="G897" s="83">
        <f t="shared" si="12"/>
        <v>6.7528190476190497</v>
      </c>
    </row>
    <row r="898" spans="1:7" x14ac:dyDescent="0.2">
      <c r="A898" s="75">
        <v>40022</v>
      </c>
      <c r="B898" s="76" t="s">
        <v>35</v>
      </c>
      <c r="C898" s="76" t="s">
        <v>536</v>
      </c>
      <c r="D898" s="79">
        <v>1759.53692</v>
      </c>
      <c r="E898" s="79">
        <v>6.52</v>
      </c>
      <c r="F898" s="79">
        <v>6.5690999999999997</v>
      </c>
      <c r="G898" s="83">
        <f t="shared" si="12"/>
        <v>6.7412063492063528</v>
      </c>
    </row>
    <row r="899" spans="1:7" x14ac:dyDescent="0.2">
      <c r="A899" s="75">
        <v>40023</v>
      </c>
      <c r="B899" s="76" t="s">
        <v>35</v>
      </c>
      <c r="C899" s="76" t="s">
        <v>536</v>
      </c>
      <c r="D899" s="79">
        <v>1760.2364520000001</v>
      </c>
      <c r="E899" s="79">
        <v>6.5692000000000004</v>
      </c>
      <c r="F899" s="79">
        <v>6.5686999999999998</v>
      </c>
      <c r="G899" s="83">
        <f t="shared" ref="G899:G962" si="13">+AVERAGE(E837:E899)</f>
        <v>6.7310047619047637</v>
      </c>
    </row>
    <row r="900" spans="1:7" x14ac:dyDescent="0.2">
      <c r="A900" s="75">
        <v>40024</v>
      </c>
      <c r="B900" s="76" t="s">
        <v>35</v>
      </c>
      <c r="C900" s="76" t="s">
        <v>536</v>
      </c>
      <c r="D900" s="79">
        <v>1756.0653769999999</v>
      </c>
      <c r="E900" s="79">
        <v>6.5689000000000002</v>
      </c>
      <c r="F900" s="79">
        <v>6.6275000000000004</v>
      </c>
      <c r="G900" s="83">
        <f t="shared" si="13"/>
        <v>6.7209682539682554</v>
      </c>
    </row>
    <row r="901" spans="1:7" x14ac:dyDescent="0.2">
      <c r="A901" s="75">
        <v>40025</v>
      </c>
      <c r="B901" s="76" t="s">
        <v>35</v>
      </c>
      <c r="C901" s="76" t="s">
        <v>536</v>
      </c>
      <c r="D901" s="79">
        <v>1757.0719180000001</v>
      </c>
      <c r="E901" s="79">
        <v>6.6276000000000002</v>
      </c>
      <c r="F901" s="79">
        <v>6.6234000000000002</v>
      </c>
      <c r="G901" s="83">
        <f t="shared" si="13"/>
        <v>6.7118634920634923</v>
      </c>
    </row>
    <row r="902" spans="1:7" x14ac:dyDescent="0.2">
      <c r="A902" s="75">
        <v>40028</v>
      </c>
      <c r="B902" s="76" t="s">
        <v>35</v>
      </c>
      <c r="C902" s="76" t="s">
        <v>536</v>
      </c>
      <c r="D902" s="79">
        <v>1759.1089059999999</v>
      </c>
      <c r="E902" s="79">
        <v>6.6234999999999999</v>
      </c>
      <c r="F902" s="79">
        <v>6.6067999999999998</v>
      </c>
      <c r="G902" s="83">
        <f t="shared" si="13"/>
        <v>6.7026920634920639</v>
      </c>
    </row>
    <row r="903" spans="1:7" x14ac:dyDescent="0.2">
      <c r="A903" s="75">
        <v>40029</v>
      </c>
      <c r="B903" s="76" t="s">
        <v>35</v>
      </c>
      <c r="C903" s="76" t="s">
        <v>536</v>
      </c>
      <c r="D903" s="79">
        <v>1761.2629529999999</v>
      </c>
      <c r="E903" s="79">
        <v>6.6069000000000004</v>
      </c>
      <c r="F903" s="79">
        <v>6.5888</v>
      </c>
      <c r="G903" s="83">
        <f t="shared" si="13"/>
        <v>6.6937952380952375</v>
      </c>
    </row>
    <row r="904" spans="1:7" x14ac:dyDescent="0.2">
      <c r="A904" s="75">
        <v>40030</v>
      </c>
      <c r="B904" s="76" t="s">
        <v>35</v>
      </c>
      <c r="C904" s="76" t="s">
        <v>536</v>
      </c>
      <c r="D904" s="79">
        <v>1762.600514</v>
      </c>
      <c r="E904" s="79">
        <v>6.5888999999999998</v>
      </c>
      <c r="F904" s="79">
        <v>6.5807000000000002</v>
      </c>
      <c r="G904" s="83">
        <f t="shared" si="13"/>
        <v>6.6848015873015862</v>
      </c>
    </row>
    <row r="905" spans="1:7" x14ac:dyDescent="0.2">
      <c r="A905" s="75">
        <v>40031</v>
      </c>
      <c r="B905" s="76" t="s">
        <v>35</v>
      </c>
      <c r="C905" s="76" t="s">
        <v>536</v>
      </c>
      <c r="D905" s="79">
        <v>1761.3773859999999</v>
      </c>
      <c r="E905" s="79">
        <v>6.5807000000000002</v>
      </c>
      <c r="F905" s="79">
        <v>6.6035000000000004</v>
      </c>
      <c r="G905" s="83">
        <f t="shared" si="13"/>
        <v>6.6761841269841256</v>
      </c>
    </row>
    <row r="906" spans="1:7" x14ac:dyDescent="0.2">
      <c r="A906" s="75">
        <v>40032</v>
      </c>
      <c r="B906" s="76" t="s">
        <v>35</v>
      </c>
      <c r="C906" s="76" t="s">
        <v>536</v>
      </c>
      <c r="D906" s="79">
        <v>1761.1554289999999</v>
      </c>
      <c r="E906" s="79">
        <v>6.6036000000000001</v>
      </c>
      <c r="F906" s="79">
        <v>6.6079999999999997</v>
      </c>
      <c r="G906" s="83">
        <f t="shared" si="13"/>
        <v>6.6678523809523789</v>
      </c>
    </row>
    <row r="907" spans="1:7" x14ac:dyDescent="0.2">
      <c r="A907" s="75">
        <v>40035</v>
      </c>
      <c r="B907" s="76" t="s">
        <v>35</v>
      </c>
      <c r="C907" s="76" t="s">
        <v>536</v>
      </c>
      <c r="D907" s="79">
        <v>1761.8275530000001</v>
      </c>
      <c r="E907" s="79">
        <v>6.6081000000000003</v>
      </c>
      <c r="F907" s="79">
        <v>6.6075999999999997</v>
      </c>
      <c r="G907" s="83">
        <f t="shared" si="13"/>
        <v>6.6598999999999977</v>
      </c>
    </row>
    <row r="908" spans="1:7" x14ac:dyDescent="0.2">
      <c r="A908" s="75">
        <v>40036</v>
      </c>
      <c r="B908" s="76" t="s">
        <v>35</v>
      </c>
      <c r="C908" s="76" t="s">
        <v>536</v>
      </c>
      <c r="D908" s="79">
        <v>1760.8323809999999</v>
      </c>
      <c r="E908" s="79">
        <v>6.6077000000000004</v>
      </c>
      <c r="F908" s="79">
        <v>6.6273999999999997</v>
      </c>
      <c r="G908" s="83">
        <f t="shared" si="13"/>
        <v>6.6522809523809521</v>
      </c>
    </row>
    <row r="909" spans="1:7" x14ac:dyDescent="0.2">
      <c r="A909" s="75">
        <v>40037</v>
      </c>
      <c r="B909" s="76" t="s">
        <v>35</v>
      </c>
      <c r="C909" s="76" t="s">
        <v>536</v>
      </c>
      <c r="D909" s="79">
        <v>1761.6459629999999</v>
      </c>
      <c r="E909" s="79">
        <v>6.6275000000000004</v>
      </c>
      <c r="F909" s="79">
        <v>6.6253000000000002</v>
      </c>
      <c r="G909" s="83">
        <f t="shared" si="13"/>
        <v>6.6450936507936484</v>
      </c>
    </row>
    <row r="910" spans="1:7" x14ac:dyDescent="0.2">
      <c r="A910" s="75">
        <v>40038</v>
      </c>
      <c r="B910" s="76" t="s">
        <v>35</v>
      </c>
      <c r="C910" s="76" t="s">
        <v>536</v>
      </c>
      <c r="D910" s="79">
        <v>1765.6592439999999</v>
      </c>
      <c r="E910" s="79">
        <v>6.6254</v>
      </c>
      <c r="F910" s="79">
        <v>6.5845000000000002</v>
      </c>
      <c r="G910" s="83">
        <f t="shared" si="13"/>
        <v>6.639142857142855</v>
      </c>
    </row>
    <row r="911" spans="1:7" x14ac:dyDescent="0.2">
      <c r="A911" s="75">
        <v>40039</v>
      </c>
      <c r="B911" s="76" t="s">
        <v>35</v>
      </c>
      <c r="C911" s="76" t="s">
        <v>536</v>
      </c>
      <c r="D911" s="79">
        <v>1767.673444</v>
      </c>
      <c r="E911" s="79">
        <v>6.5846</v>
      </c>
      <c r="F911" s="79">
        <v>6.5678999999999998</v>
      </c>
      <c r="G911" s="83">
        <f t="shared" si="13"/>
        <v>6.6342777777777764</v>
      </c>
    </row>
    <row r="912" spans="1:7" x14ac:dyDescent="0.2">
      <c r="A912" s="75">
        <v>40042</v>
      </c>
      <c r="B912" s="76" t="s">
        <v>35</v>
      </c>
      <c r="C912" s="76" t="s">
        <v>536</v>
      </c>
      <c r="D912" s="79">
        <v>1771.5489439999999</v>
      </c>
      <c r="E912" s="79">
        <v>6.5679999999999996</v>
      </c>
      <c r="F912" s="79">
        <v>6.5289000000000001</v>
      </c>
      <c r="G912" s="83">
        <f t="shared" si="13"/>
        <v>6.6305301587301564</v>
      </c>
    </row>
    <row r="913" spans="1:7" x14ac:dyDescent="0.2">
      <c r="A913" s="75">
        <v>40043</v>
      </c>
      <c r="B913" s="76" t="s">
        <v>35</v>
      </c>
      <c r="C913" s="76" t="s">
        <v>536</v>
      </c>
      <c r="D913" s="79">
        <v>1774.068409</v>
      </c>
      <c r="E913" s="79">
        <v>6.5289999999999999</v>
      </c>
      <c r="F913" s="79">
        <v>6.5065</v>
      </c>
      <c r="G913" s="83">
        <f t="shared" si="13"/>
        <v>6.6266412698412678</v>
      </c>
    </row>
    <row r="914" spans="1:7" x14ac:dyDescent="0.2">
      <c r="A914" s="75">
        <v>40044</v>
      </c>
      <c r="B914" s="76" t="s">
        <v>35</v>
      </c>
      <c r="C914" s="76" t="s">
        <v>536</v>
      </c>
      <c r="D914" s="79">
        <v>1777.0738980000001</v>
      </c>
      <c r="E914" s="79">
        <v>6.5065</v>
      </c>
      <c r="F914" s="79">
        <v>6.4782000000000002</v>
      </c>
      <c r="G914" s="83">
        <f t="shared" si="13"/>
        <v>6.6249095238095199</v>
      </c>
    </row>
    <row r="915" spans="1:7" x14ac:dyDescent="0.2">
      <c r="A915" s="75">
        <v>40045</v>
      </c>
      <c r="B915" s="76" t="s">
        <v>35</v>
      </c>
      <c r="C915" s="76" t="s">
        <v>536</v>
      </c>
      <c r="D915" s="79">
        <v>1779.3816240000001</v>
      </c>
      <c r="E915" s="79">
        <v>6.4782999999999999</v>
      </c>
      <c r="F915" s="79">
        <v>6.4584000000000001</v>
      </c>
      <c r="G915" s="83">
        <f t="shared" si="13"/>
        <v>6.6212873015872979</v>
      </c>
    </row>
    <row r="916" spans="1:7" x14ac:dyDescent="0.2">
      <c r="A916" s="75">
        <v>40046</v>
      </c>
      <c r="B916" s="76" t="s">
        <v>35</v>
      </c>
      <c r="C916" s="76" t="s">
        <v>536</v>
      </c>
      <c r="D916" s="79">
        <v>1777.032142</v>
      </c>
      <c r="E916" s="79">
        <v>6.4584000000000001</v>
      </c>
      <c r="F916" s="79">
        <v>6.4943</v>
      </c>
      <c r="G916" s="83">
        <f t="shared" si="13"/>
        <v>6.6181666666666628</v>
      </c>
    </row>
    <row r="917" spans="1:7" x14ac:dyDescent="0.2">
      <c r="A917" s="75">
        <v>40049</v>
      </c>
      <c r="B917" s="76" t="s">
        <v>35</v>
      </c>
      <c r="C917" s="76" t="s">
        <v>536</v>
      </c>
      <c r="D917" s="79">
        <v>1777.4382599999999</v>
      </c>
      <c r="E917" s="79">
        <v>6.4943999999999997</v>
      </c>
      <c r="F917" s="79">
        <v>6.4973000000000001</v>
      </c>
      <c r="G917" s="83">
        <f t="shared" si="13"/>
        <v>6.6157904761904724</v>
      </c>
    </row>
    <row r="918" spans="1:7" x14ac:dyDescent="0.2">
      <c r="A918" s="75">
        <v>40050</v>
      </c>
      <c r="B918" s="76" t="s">
        <v>35</v>
      </c>
      <c r="C918" s="76" t="s">
        <v>536</v>
      </c>
      <c r="D918" s="79">
        <v>1778.728979</v>
      </c>
      <c r="E918" s="79">
        <v>6.4973000000000001</v>
      </c>
      <c r="F918" s="79">
        <v>6.4896000000000003</v>
      </c>
      <c r="G918" s="83">
        <f t="shared" si="13"/>
        <v>6.6138666666666621</v>
      </c>
    </row>
    <row r="919" spans="1:7" x14ac:dyDescent="0.2">
      <c r="A919" s="75">
        <v>40051</v>
      </c>
      <c r="B919" s="76" t="s">
        <v>35</v>
      </c>
      <c r="C919" s="76" t="s">
        <v>536</v>
      </c>
      <c r="D919" s="79">
        <v>1780.953111</v>
      </c>
      <c r="E919" s="79">
        <v>6.4896000000000003</v>
      </c>
      <c r="F919" s="79">
        <v>6.4684999999999997</v>
      </c>
      <c r="G919" s="83">
        <f t="shared" si="13"/>
        <v>6.6112031746031716</v>
      </c>
    </row>
    <row r="920" spans="1:7" x14ac:dyDescent="0.2">
      <c r="A920" s="75">
        <v>40052</v>
      </c>
      <c r="B920" s="76" t="s">
        <v>35</v>
      </c>
      <c r="C920" s="76" t="s">
        <v>536</v>
      </c>
      <c r="D920" s="79">
        <v>1781.6326340000001</v>
      </c>
      <c r="E920" s="79">
        <v>6.4686000000000003</v>
      </c>
      <c r="F920" s="79">
        <v>6.4679000000000002</v>
      </c>
      <c r="G920" s="83">
        <f t="shared" si="13"/>
        <v>6.6087095238095195</v>
      </c>
    </row>
    <row r="921" spans="1:7" x14ac:dyDescent="0.2">
      <c r="A921" s="75">
        <v>40053</v>
      </c>
      <c r="B921" s="76" t="s">
        <v>35</v>
      </c>
      <c r="C921" s="76" t="s">
        <v>536</v>
      </c>
      <c r="D921" s="79">
        <v>1781.4177420000001</v>
      </c>
      <c r="E921" s="79">
        <v>6.468</v>
      </c>
      <c r="F921" s="79">
        <v>6.4779999999999998</v>
      </c>
      <c r="G921" s="83">
        <f t="shared" si="13"/>
        <v>6.6069857142857105</v>
      </c>
    </row>
    <row r="922" spans="1:7" x14ac:dyDescent="0.2">
      <c r="A922" s="75">
        <v>40056</v>
      </c>
      <c r="B922" s="76" t="s">
        <v>35</v>
      </c>
      <c r="C922" s="76" t="s">
        <v>536</v>
      </c>
      <c r="D922" s="79">
        <v>1782.7838810000001</v>
      </c>
      <c r="E922" s="79">
        <v>6.4779</v>
      </c>
      <c r="F922" s="79">
        <v>6.4690000000000003</v>
      </c>
      <c r="G922" s="83">
        <f t="shared" si="13"/>
        <v>6.606046031746029</v>
      </c>
    </row>
    <row r="923" spans="1:7" x14ac:dyDescent="0.2">
      <c r="A923" s="75">
        <v>40057</v>
      </c>
      <c r="B923" s="76" t="s">
        <v>35</v>
      </c>
      <c r="C923" s="76" t="s">
        <v>536</v>
      </c>
      <c r="D923" s="79">
        <v>1784.6362340000001</v>
      </c>
      <c r="E923" s="79">
        <v>6.4688999999999997</v>
      </c>
      <c r="F923" s="79">
        <v>6.4542000000000002</v>
      </c>
      <c r="G923" s="83">
        <f t="shared" si="13"/>
        <v>6.6055746031746008</v>
      </c>
    </row>
    <row r="924" spans="1:7" x14ac:dyDescent="0.2">
      <c r="A924" s="75">
        <v>40058</v>
      </c>
      <c r="B924" s="76" t="s">
        <v>35</v>
      </c>
      <c r="C924" s="76" t="s">
        <v>536</v>
      </c>
      <c r="D924" s="79">
        <v>1784.6209289999999</v>
      </c>
      <c r="E924" s="79">
        <v>6.4541000000000004</v>
      </c>
      <c r="F924" s="79">
        <v>6.4617000000000004</v>
      </c>
      <c r="G924" s="83">
        <f t="shared" si="13"/>
        <v>6.6047777777777741</v>
      </c>
    </row>
    <row r="925" spans="1:7" x14ac:dyDescent="0.2">
      <c r="A925" s="75">
        <v>40059</v>
      </c>
      <c r="B925" s="76" t="s">
        <v>35</v>
      </c>
      <c r="C925" s="76" t="s">
        <v>536</v>
      </c>
      <c r="D925" s="79">
        <v>1785.142214</v>
      </c>
      <c r="E925" s="79">
        <v>6.4615999999999998</v>
      </c>
      <c r="F925" s="79">
        <v>6.4627999999999997</v>
      </c>
      <c r="G925" s="83">
        <f t="shared" si="13"/>
        <v>6.6038523809523788</v>
      </c>
    </row>
    <row r="926" spans="1:7" x14ac:dyDescent="0.2">
      <c r="A926" s="75">
        <v>40060</v>
      </c>
      <c r="B926" s="76" t="s">
        <v>35</v>
      </c>
      <c r="C926" s="76" t="s">
        <v>536</v>
      </c>
      <c r="D926" s="79">
        <v>1788.523909</v>
      </c>
      <c r="E926" s="79">
        <v>6.4626999999999999</v>
      </c>
      <c r="F926" s="79">
        <v>6.4298000000000002</v>
      </c>
      <c r="G926" s="83">
        <f t="shared" si="13"/>
        <v>6.6012857142857113</v>
      </c>
    </row>
    <row r="927" spans="1:7" x14ac:dyDescent="0.2">
      <c r="A927" s="75">
        <v>40064</v>
      </c>
      <c r="B927" s="76" t="s">
        <v>35</v>
      </c>
      <c r="C927" s="76" t="s">
        <v>536</v>
      </c>
      <c r="D927" s="79">
        <v>1790.144732</v>
      </c>
      <c r="E927" s="79">
        <v>6.4298000000000002</v>
      </c>
      <c r="F927" s="79">
        <v>6.4179000000000004</v>
      </c>
      <c r="G927" s="83">
        <f t="shared" si="13"/>
        <v>6.5968777777777747</v>
      </c>
    </row>
    <row r="928" spans="1:7" x14ac:dyDescent="0.2">
      <c r="A928" s="75">
        <v>40065</v>
      </c>
      <c r="B928" s="76" t="s">
        <v>35</v>
      </c>
      <c r="C928" s="76" t="s">
        <v>536</v>
      </c>
      <c r="D928" s="79">
        <v>1794.1069319999999</v>
      </c>
      <c r="E928" s="79">
        <v>6.4179000000000004</v>
      </c>
      <c r="F928" s="79">
        <v>6.3781999999999996</v>
      </c>
      <c r="G928" s="83">
        <f t="shared" si="13"/>
        <v>6.590106349206347</v>
      </c>
    </row>
    <row r="929" spans="1:7" x14ac:dyDescent="0.2">
      <c r="A929" s="75">
        <v>40066</v>
      </c>
      <c r="B929" s="76" t="s">
        <v>35</v>
      </c>
      <c r="C929" s="76" t="s">
        <v>536</v>
      </c>
      <c r="D929" s="79">
        <v>1797.895882</v>
      </c>
      <c r="E929" s="79">
        <v>6.3780999999999999</v>
      </c>
      <c r="F929" s="79">
        <v>6.3315000000000001</v>
      </c>
      <c r="G929" s="83">
        <f t="shared" si="13"/>
        <v>6.5820571428571402</v>
      </c>
    </row>
    <row r="930" spans="1:7" x14ac:dyDescent="0.2">
      <c r="A930" s="75">
        <v>40067</v>
      </c>
      <c r="B930" s="76" t="s">
        <v>35</v>
      </c>
      <c r="C930" s="76" t="s">
        <v>536</v>
      </c>
      <c r="D930" s="79">
        <v>1799.3477479999999</v>
      </c>
      <c r="E930" s="79">
        <v>6.3315000000000001</v>
      </c>
      <c r="F930" s="79">
        <v>6.3211000000000004</v>
      </c>
      <c r="G930" s="83">
        <f t="shared" si="13"/>
        <v>6.5760063492063479</v>
      </c>
    </row>
    <row r="931" spans="1:7" x14ac:dyDescent="0.2">
      <c r="A931" s="75">
        <v>40070</v>
      </c>
      <c r="B931" s="76" t="s">
        <v>35</v>
      </c>
      <c r="C931" s="76" t="s">
        <v>536</v>
      </c>
      <c r="D931" s="79">
        <v>1800.1571389999999</v>
      </c>
      <c r="E931" s="79">
        <v>6.3211000000000004</v>
      </c>
      <c r="F931" s="79">
        <v>6.3182999999999998</v>
      </c>
      <c r="G931" s="83">
        <f t="shared" si="13"/>
        <v>6.5698793650793634</v>
      </c>
    </row>
    <row r="932" spans="1:7" x14ac:dyDescent="0.2">
      <c r="A932" s="75">
        <v>40071</v>
      </c>
      <c r="B932" s="76" t="s">
        <v>35</v>
      </c>
      <c r="C932" s="76" t="s">
        <v>536</v>
      </c>
      <c r="D932" s="79">
        <v>1801.6269870000001</v>
      </c>
      <c r="E932" s="79">
        <v>6.3182999999999998</v>
      </c>
      <c r="F932" s="79">
        <v>6.3076999999999996</v>
      </c>
      <c r="G932" s="83">
        <f t="shared" si="13"/>
        <v>6.5646142857142848</v>
      </c>
    </row>
    <row r="933" spans="1:7" x14ac:dyDescent="0.2">
      <c r="A933" s="75">
        <v>40072</v>
      </c>
      <c r="B933" s="76" t="s">
        <v>35</v>
      </c>
      <c r="C933" s="76" t="s">
        <v>536</v>
      </c>
      <c r="D933" s="79">
        <v>1796.8507259999999</v>
      </c>
      <c r="E933" s="79">
        <v>6.3076999999999996</v>
      </c>
      <c r="F933" s="79">
        <v>6.3719000000000001</v>
      </c>
      <c r="G933" s="83">
        <f t="shared" si="13"/>
        <v>6.5591809523809506</v>
      </c>
    </row>
    <row r="934" spans="1:7" x14ac:dyDescent="0.2">
      <c r="A934" s="75">
        <v>40073</v>
      </c>
      <c r="B934" s="76" t="s">
        <v>35</v>
      </c>
      <c r="C934" s="76" t="s">
        <v>536</v>
      </c>
      <c r="D934" s="79">
        <v>1798.188928</v>
      </c>
      <c r="E934" s="79">
        <v>6.3718000000000004</v>
      </c>
      <c r="F934" s="79">
        <v>6.3636999999999997</v>
      </c>
      <c r="G934" s="83">
        <f t="shared" si="13"/>
        <v>6.5533920634920628</v>
      </c>
    </row>
    <row r="935" spans="1:7" x14ac:dyDescent="0.2">
      <c r="A935" s="75">
        <v>40074</v>
      </c>
      <c r="B935" s="76" t="s">
        <v>35</v>
      </c>
      <c r="C935" s="76" t="s">
        <v>536</v>
      </c>
      <c r="D935" s="79">
        <v>1800.0518219999999</v>
      </c>
      <c r="E935" s="79">
        <v>6.3635999999999999</v>
      </c>
      <c r="F935" s="79">
        <v>6.3493000000000004</v>
      </c>
      <c r="G935" s="83">
        <f t="shared" si="13"/>
        <v>6.5462507936507928</v>
      </c>
    </row>
    <row r="936" spans="1:7" x14ac:dyDescent="0.2">
      <c r="A936" s="75">
        <v>40077</v>
      </c>
      <c r="B936" s="76" t="s">
        <v>35</v>
      </c>
      <c r="C936" s="76" t="s">
        <v>536</v>
      </c>
      <c r="D936" s="79">
        <v>1792.9937709999999</v>
      </c>
      <c r="E936" s="79">
        <v>6.3491999999999997</v>
      </c>
      <c r="F936" s="79">
        <v>6.4405999999999999</v>
      </c>
      <c r="G936" s="83">
        <f t="shared" si="13"/>
        <v>6.5388714285714276</v>
      </c>
    </row>
    <row r="937" spans="1:7" x14ac:dyDescent="0.2">
      <c r="A937" s="75">
        <v>40078</v>
      </c>
      <c r="B937" s="76" t="s">
        <v>35</v>
      </c>
      <c r="C937" s="76" t="s">
        <v>536</v>
      </c>
      <c r="D937" s="79">
        <v>1797.3432049999999</v>
      </c>
      <c r="E937" s="79">
        <v>6.4404000000000003</v>
      </c>
      <c r="F937" s="79">
        <v>6.3966000000000003</v>
      </c>
      <c r="G937" s="83">
        <f t="shared" si="13"/>
        <v>6.5339730158730154</v>
      </c>
    </row>
    <row r="938" spans="1:7" x14ac:dyDescent="0.2">
      <c r="A938" s="75">
        <v>40079</v>
      </c>
      <c r="B938" s="76" t="s">
        <v>35</v>
      </c>
      <c r="C938" s="76" t="s">
        <v>536</v>
      </c>
      <c r="D938" s="79">
        <v>1797.965471</v>
      </c>
      <c r="E938" s="79">
        <v>6.3963999999999999</v>
      </c>
      <c r="F938" s="79">
        <v>6.3967999999999998</v>
      </c>
      <c r="G938" s="83">
        <f t="shared" si="13"/>
        <v>6.5284619047619046</v>
      </c>
    </row>
    <row r="939" spans="1:7" x14ac:dyDescent="0.2">
      <c r="A939" s="75">
        <v>40080</v>
      </c>
      <c r="B939" s="76" t="s">
        <v>35</v>
      </c>
      <c r="C939" s="76" t="s">
        <v>536</v>
      </c>
      <c r="D939" s="79">
        <v>1796.2503830000001</v>
      </c>
      <c r="E939" s="79">
        <v>6.3967000000000001</v>
      </c>
      <c r="F939" s="79">
        <v>6.4248000000000003</v>
      </c>
      <c r="G939" s="83">
        <f t="shared" si="13"/>
        <v>6.5235634920634924</v>
      </c>
    </row>
    <row r="940" spans="1:7" x14ac:dyDescent="0.2">
      <c r="A940" s="75">
        <v>40081</v>
      </c>
      <c r="B940" s="76" t="s">
        <v>35</v>
      </c>
      <c r="C940" s="76" t="s">
        <v>536</v>
      </c>
      <c r="D940" s="79">
        <v>1795.8951950000001</v>
      </c>
      <c r="E940" s="79">
        <v>6.4246999999999996</v>
      </c>
      <c r="F940" s="79">
        <v>6.4359000000000002</v>
      </c>
      <c r="G940" s="83">
        <f t="shared" si="13"/>
        <v>6.5195317460317455</v>
      </c>
    </row>
    <row r="941" spans="1:7" x14ac:dyDescent="0.2">
      <c r="A941" s="75">
        <v>40084</v>
      </c>
      <c r="B941" s="76" t="s">
        <v>35</v>
      </c>
      <c r="C941" s="76" t="s">
        <v>536</v>
      </c>
      <c r="D941" s="79">
        <v>1799.854143</v>
      </c>
      <c r="E941" s="79">
        <v>6.4356999999999998</v>
      </c>
      <c r="F941" s="79">
        <v>6.3964999999999996</v>
      </c>
      <c r="G941" s="83">
        <f t="shared" si="13"/>
        <v>6.5144079365079373</v>
      </c>
    </row>
    <row r="942" spans="1:7" x14ac:dyDescent="0.2">
      <c r="A942" s="75">
        <v>40085</v>
      </c>
      <c r="B942" s="76" t="s">
        <v>35</v>
      </c>
      <c r="C942" s="76" t="s">
        <v>536</v>
      </c>
      <c r="D942" s="79">
        <v>1800.967617</v>
      </c>
      <c r="E942" s="79">
        <v>6.3963999999999999</v>
      </c>
      <c r="F942" s="79">
        <v>6.3909000000000002</v>
      </c>
      <c r="G942" s="83">
        <f t="shared" si="13"/>
        <v>6.5086111111111116</v>
      </c>
    </row>
    <row r="943" spans="1:7" x14ac:dyDescent="0.2">
      <c r="A943" s="75">
        <v>40086</v>
      </c>
      <c r="B943" s="76" t="s">
        <v>35</v>
      </c>
      <c r="C943" s="76" t="s">
        <v>536</v>
      </c>
      <c r="D943" s="79">
        <v>1800.482796</v>
      </c>
      <c r="E943" s="79">
        <v>6.3907999999999996</v>
      </c>
      <c r="F943" s="79">
        <v>6.4042000000000003</v>
      </c>
      <c r="G943" s="83">
        <f t="shared" si="13"/>
        <v>6.5036444444444443</v>
      </c>
    </row>
    <row r="944" spans="1:7" x14ac:dyDescent="0.2">
      <c r="A944" s="75">
        <v>40087</v>
      </c>
      <c r="B944" s="76" t="s">
        <v>35</v>
      </c>
      <c r="C944" s="76" t="s">
        <v>536</v>
      </c>
      <c r="D944" s="79">
        <v>1799.1796609999999</v>
      </c>
      <c r="E944" s="79">
        <v>6.4040999999999997</v>
      </c>
      <c r="F944" s="79">
        <v>6.4272</v>
      </c>
      <c r="G944" s="83">
        <f t="shared" si="13"/>
        <v>6.4997825396825402</v>
      </c>
    </row>
    <row r="945" spans="1:7" x14ac:dyDescent="0.2">
      <c r="A945" s="75">
        <v>40088</v>
      </c>
      <c r="B945" s="76" t="s">
        <v>35</v>
      </c>
      <c r="C945" s="76" t="s">
        <v>536</v>
      </c>
      <c r="D945" s="79">
        <v>1802.3413270000001</v>
      </c>
      <c r="E945" s="79">
        <v>6.4271000000000003</v>
      </c>
      <c r="F945" s="79">
        <v>6.3974000000000002</v>
      </c>
      <c r="G945" s="83">
        <f t="shared" si="13"/>
        <v>6.4966190476190482</v>
      </c>
    </row>
    <row r="946" spans="1:7" x14ac:dyDescent="0.2">
      <c r="A946" s="75">
        <v>40091</v>
      </c>
      <c r="B946" s="76" t="s">
        <v>35</v>
      </c>
      <c r="C946" s="76" t="s">
        <v>536</v>
      </c>
      <c r="D946" s="79">
        <v>1802.7197900000001</v>
      </c>
      <c r="E946" s="79">
        <v>6.3973000000000004</v>
      </c>
      <c r="F946" s="79">
        <v>6.4005000000000001</v>
      </c>
      <c r="G946" s="83">
        <f t="shared" si="13"/>
        <v>6.4936190476190472</v>
      </c>
    </row>
    <row r="947" spans="1:7" x14ac:dyDescent="0.2">
      <c r="A947" s="75">
        <v>40092</v>
      </c>
      <c r="B947" s="76" t="s">
        <v>35</v>
      </c>
      <c r="C947" s="76" t="s">
        <v>536</v>
      </c>
      <c r="D947" s="79">
        <v>1800.42561</v>
      </c>
      <c r="E947" s="79">
        <v>6.4004000000000003</v>
      </c>
      <c r="F947" s="79">
        <v>6.4352</v>
      </c>
      <c r="G947" s="83">
        <f t="shared" si="13"/>
        <v>6.4907111111111115</v>
      </c>
    </row>
    <row r="948" spans="1:7" x14ac:dyDescent="0.2">
      <c r="A948" s="75">
        <v>40093</v>
      </c>
      <c r="B948" s="76" t="s">
        <v>35</v>
      </c>
      <c r="C948" s="76" t="s">
        <v>536</v>
      </c>
      <c r="D948" s="79">
        <v>1799.2940390000001</v>
      </c>
      <c r="E948" s="79">
        <v>6.4351000000000003</v>
      </c>
      <c r="F948" s="79">
        <v>6.4561999999999999</v>
      </c>
      <c r="G948" s="83">
        <f t="shared" si="13"/>
        <v>6.4885714285714275</v>
      </c>
    </row>
    <row r="949" spans="1:7" x14ac:dyDescent="0.2">
      <c r="A949" s="75">
        <v>40094</v>
      </c>
      <c r="B949" s="76" t="s">
        <v>35</v>
      </c>
      <c r="C949" s="76" t="s">
        <v>536</v>
      </c>
      <c r="D949" s="79">
        <v>1793.7088819999999</v>
      </c>
      <c r="E949" s="79">
        <v>6.4561999999999999</v>
      </c>
      <c r="F949" s="79">
        <v>6.5301999999999998</v>
      </c>
      <c r="G949" s="83">
        <f t="shared" si="13"/>
        <v>6.4867507936507938</v>
      </c>
    </row>
    <row r="950" spans="1:7" x14ac:dyDescent="0.2">
      <c r="A950" s="75">
        <v>40095</v>
      </c>
      <c r="B950" s="76" t="s">
        <v>35</v>
      </c>
      <c r="C950" s="76" t="s">
        <v>536</v>
      </c>
      <c r="D950" s="79">
        <v>1793.2620609999999</v>
      </c>
      <c r="E950" s="79">
        <v>6.5301</v>
      </c>
      <c r="F950" s="79">
        <v>6.5431999999999997</v>
      </c>
      <c r="G950" s="83">
        <f t="shared" si="13"/>
        <v>6.4865650793650804</v>
      </c>
    </row>
    <row r="951" spans="1:7" x14ac:dyDescent="0.2">
      <c r="A951" s="75">
        <v>40099</v>
      </c>
      <c r="B951" s="76" t="s">
        <v>35</v>
      </c>
      <c r="C951" s="76" t="s">
        <v>536</v>
      </c>
      <c r="D951" s="79">
        <v>1793.0097089999999</v>
      </c>
      <c r="E951" s="79">
        <v>6.5431999999999997</v>
      </c>
      <c r="F951" s="79">
        <v>6.5540000000000003</v>
      </c>
      <c r="G951" s="83">
        <f t="shared" si="13"/>
        <v>6.4855000000000018</v>
      </c>
    </row>
    <row r="952" spans="1:7" x14ac:dyDescent="0.2">
      <c r="A952" s="75">
        <v>40100</v>
      </c>
      <c r="B952" s="76" t="s">
        <v>35</v>
      </c>
      <c r="C952" s="76" t="s">
        <v>536</v>
      </c>
      <c r="D952" s="79">
        <v>1793.094439</v>
      </c>
      <c r="E952" s="79">
        <v>6.5540000000000003</v>
      </c>
      <c r="F952" s="79">
        <v>6.5608000000000004</v>
      </c>
      <c r="G952" s="83">
        <f t="shared" si="13"/>
        <v>6.4854603174603183</v>
      </c>
    </row>
    <row r="953" spans="1:7" x14ac:dyDescent="0.2">
      <c r="A953" s="75">
        <v>40101</v>
      </c>
      <c r="B953" s="76" t="s">
        <v>35</v>
      </c>
      <c r="C953" s="76" t="s">
        <v>536</v>
      </c>
      <c r="D953" s="79">
        <v>1791.348127</v>
      </c>
      <c r="E953" s="79">
        <v>6.5606999999999998</v>
      </c>
      <c r="F953" s="79">
        <v>6.5892999999999997</v>
      </c>
      <c r="G953" s="83">
        <f t="shared" si="13"/>
        <v>6.4854650793650794</v>
      </c>
    </row>
    <row r="954" spans="1:7" x14ac:dyDescent="0.2">
      <c r="A954" s="75">
        <v>40102</v>
      </c>
      <c r="B954" s="76" t="s">
        <v>35</v>
      </c>
      <c r="C954" s="76" t="s">
        <v>536</v>
      </c>
      <c r="D954" s="79">
        <v>1786.4071759999999</v>
      </c>
      <c r="E954" s="79">
        <v>6.5892999999999997</v>
      </c>
      <c r="F954" s="79">
        <v>6.6570999999999998</v>
      </c>
      <c r="G954" s="83">
        <f t="shared" si="13"/>
        <v>6.485555555555556</v>
      </c>
    </row>
    <row r="955" spans="1:7" x14ac:dyDescent="0.2">
      <c r="A955" s="75">
        <v>40105</v>
      </c>
      <c r="B955" s="76" t="s">
        <v>35</v>
      </c>
      <c r="C955" s="76" t="s">
        <v>536</v>
      </c>
      <c r="D955" s="79">
        <v>1781.679766</v>
      </c>
      <c r="E955" s="79">
        <v>6.6570999999999998</v>
      </c>
      <c r="F955" s="79">
        <v>6.7225999999999999</v>
      </c>
      <c r="G955" s="83">
        <f t="shared" si="13"/>
        <v>6.4872365079365073</v>
      </c>
    </row>
    <row r="956" spans="1:7" x14ac:dyDescent="0.2">
      <c r="A956" s="75">
        <v>40106</v>
      </c>
      <c r="B956" s="76" t="s">
        <v>35</v>
      </c>
      <c r="C956" s="76" t="s">
        <v>536</v>
      </c>
      <c r="D956" s="79">
        <v>1783.721808</v>
      </c>
      <c r="E956" s="79">
        <v>6.7226999999999997</v>
      </c>
      <c r="F956" s="79">
        <v>6.7072000000000003</v>
      </c>
      <c r="G956" s="83">
        <f t="shared" si="13"/>
        <v>6.4903396825396813</v>
      </c>
    </row>
    <row r="957" spans="1:7" x14ac:dyDescent="0.2">
      <c r="A957" s="75">
        <v>40107</v>
      </c>
      <c r="B957" s="76" t="s">
        <v>35</v>
      </c>
      <c r="C957" s="76" t="s">
        <v>536</v>
      </c>
      <c r="D957" s="79">
        <v>1787.547558</v>
      </c>
      <c r="E957" s="79">
        <v>6.7072000000000003</v>
      </c>
      <c r="F957" s="79">
        <v>6.6703999999999999</v>
      </c>
      <c r="G957" s="83">
        <f t="shared" si="13"/>
        <v>6.4931999999999999</v>
      </c>
    </row>
    <row r="958" spans="1:7" x14ac:dyDescent="0.2">
      <c r="A958" s="75">
        <v>40108</v>
      </c>
      <c r="B958" s="76" t="s">
        <v>35</v>
      </c>
      <c r="C958" s="76" t="s">
        <v>536</v>
      </c>
      <c r="D958" s="79">
        <v>1786.9133360000001</v>
      </c>
      <c r="E958" s="79">
        <v>6.6703999999999999</v>
      </c>
      <c r="F958" s="79">
        <v>6.6868999999999996</v>
      </c>
      <c r="G958" s="83">
        <f t="shared" si="13"/>
        <v>6.4957476190476182</v>
      </c>
    </row>
    <row r="959" spans="1:7" x14ac:dyDescent="0.2">
      <c r="A959" s="75">
        <v>40109</v>
      </c>
      <c r="B959" s="76" t="s">
        <v>35</v>
      </c>
      <c r="C959" s="76" t="s">
        <v>536</v>
      </c>
      <c r="D959" s="79">
        <v>1788.1971619999999</v>
      </c>
      <c r="E959" s="79">
        <v>6.6868999999999996</v>
      </c>
      <c r="F959" s="79">
        <v>6.6805000000000003</v>
      </c>
      <c r="G959" s="83">
        <f t="shared" si="13"/>
        <v>6.4978507936507928</v>
      </c>
    </row>
    <row r="960" spans="1:7" x14ac:dyDescent="0.2">
      <c r="A960" s="75">
        <v>40112</v>
      </c>
      <c r="B960" s="76" t="s">
        <v>35</v>
      </c>
      <c r="C960" s="76" t="s">
        <v>536</v>
      </c>
      <c r="D960" s="79">
        <v>1790.6908920000001</v>
      </c>
      <c r="E960" s="79">
        <v>6.6806000000000001</v>
      </c>
      <c r="F960" s="79">
        <v>6.6540999999999997</v>
      </c>
      <c r="G960" s="83">
        <f t="shared" si="13"/>
        <v>6.5002920634920613</v>
      </c>
    </row>
    <row r="961" spans="1:7" x14ac:dyDescent="0.2">
      <c r="A961" s="75">
        <v>40113</v>
      </c>
      <c r="B961" s="76" t="s">
        <v>35</v>
      </c>
      <c r="C961" s="76" t="s">
        <v>536</v>
      </c>
      <c r="D961" s="79">
        <v>1792.3103349999999</v>
      </c>
      <c r="E961" s="79">
        <v>6.6540999999999997</v>
      </c>
      <c r="F961" s="79">
        <v>6.6429</v>
      </c>
      <c r="G961" s="83">
        <f t="shared" si="13"/>
        <v>6.5024206349206333</v>
      </c>
    </row>
    <row r="962" spans="1:7" x14ac:dyDescent="0.2">
      <c r="A962" s="75">
        <v>40114</v>
      </c>
      <c r="B962" s="76" t="s">
        <v>35</v>
      </c>
      <c r="C962" s="76" t="s">
        <v>536</v>
      </c>
      <c r="D962" s="79">
        <v>1791.6125770000001</v>
      </c>
      <c r="E962" s="79">
        <v>6.6429</v>
      </c>
      <c r="F962" s="79">
        <v>6.6593</v>
      </c>
      <c r="G962" s="83">
        <f t="shared" si="13"/>
        <v>6.5035904761904746</v>
      </c>
    </row>
    <row r="963" spans="1:7" x14ac:dyDescent="0.2">
      <c r="A963" s="75">
        <v>40115</v>
      </c>
      <c r="B963" s="76" t="s">
        <v>35</v>
      </c>
      <c r="C963" s="76" t="s">
        <v>536</v>
      </c>
      <c r="D963" s="79">
        <v>1789.901854</v>
      </c>
      <c r="E963" s="79">
        <v>6.6593999999999998</v>
      </c>
      <c r="F963" s="79">
        <v>6.6879</v>
      </c>
      <c r="G963" s="83">
        <f t="shared" ref="G963:G1026" si="14">+AVERAGE(E901:E963)</f>
        <v>6.5050269841269825</v>
      </c>
    </row>
    <row r="964" spans="1:7" x14ac:dyDescent="0.2">
      <c r="A964" s="75">
        <v>40116</v>
      </c>
      <c r="B964" s="76" t="s">
        <v>35</v>
      </c>
      <c r="C964" s="76" t="s">
        <v>536</v>
      </c>
      <c r="D964" s="79">
        <v>1786.48847</v>
      </c>
      <c r="E964" s="79">
        <v>6.6879</v>
      </c>
      <c r="F964" s="79">
        <v>6.7367999999999997</v>
      </c>
      <c r="G964" s="83">
        <f t="shared" si="14"/>
        <v>6.505984126984127</v>
      </c>
    </row>
    <row r="965" spans="1:7" x14ac:dyDescent="0.2">
      <c r="A965" s="75">
        <v>40120</v>
      </c>
      <c r="B965" s="76" t="s">
        <v>35</v>
      </c>
      <c r="C965" s="76" t="s">
        <v>536</v>
      </c>
      <c r="D965" s="79">
        <v>1789.214203</v>
      </c>
      <c r="E965" s="79">
        <v>6.7369000000000003</v>
      </c>
      <c r="F965" s="79">
        <v>6.7125000000000004</v>
      </c>
      <c r="G965" s="83">
        <f t="shared" si="14"/>
        <v>6.5077841269841263</v>
      </c>
    </row>
    <row r="966" spans="1:7" x14ac:dyDescent="0.2">
      <c r="A966" s="75">
        <v>40121</v>
      </c>
      <c r="B966" s="76" t="s">
        <v>35</v>
      </c>
      <c r="C966" s="76" t="s">
        <v>536</v>
      </c>
      <c r="D966" s="79">
        <v>1789.1679799999999</v>
      </c>
      <c r="E966" s="79">
        <v>6.7126000000000001</v>
      </c>
      <c r="F966" s="79">
        <v>6.7213000000000003</v>
      </c>
      <c r="G966" s="83">
        <f t="shared" si="14"/>
        <v>6.5094619047619044</v>
      </c>
    </row>
    <row r="967" spans="1:7" x14ac:dyDescent="0.2">
      <c r="A967" s="75">
        <v>40122</v>
      </c>
      <c r="B967" s="76" t="s">
        <v>35</v>
      </c>
      <c r="C967" s="76" t="s">
        <v>536</v>
      </c>
      <c r="D967" s="79">
        <v>1789.4574359999999</v>
      </c>
      <c r="E967" s="79">
        <v>6.7214</v>
      </c>
      <c r="F967" s="79">
        <v>6.7260999999999997</v>
      </c>
      <c r="G967" s="83">
        <f t="shared" si="14"/>
        <v>6.5115650793650799</v>
      </c>
    </row>
    <row r="968" spans="1:7" x14ac:dyDescent="0.2">
      <c r="A968" s="75">
        <v>40123</v>
      </c>
      <c r="B968" s="76" t="s">
        <v>35</v>
      </c>
      <c r="C968" s="76" t="s">
        <v>536</v>
      </c>
      <c r="D968" s="79">
        <v>1789.5629779999999</v>
      </c>
      <c r="E968" s="79">
        <v>6.7262000000000004</v>
      </c>
      <c r="F968" s="79">
        <v>6.7331000000000003</v>
      </c>
      <c r="G968" s="83">
        <f t="shared" si="14"/>
        <v>6.5138746031746022</v>
      </c>
    </row>
    <row r="969" spans="1:7" x14ac:dyDescent="0.2">
      <c r="A969" s="75">
        <v>40126</v>
      </c>
      <c r="B969" s="76" t="s">
        <v>35</v>
      </c>
      <c r="C969" s="76" t="s">
        <v>536</v>
      </c>
      <c r="D969" s="79">
        <v>1788.019742</v>
      </c>
      <c r="E969" s="79">
        <v>6.7332000000000001</v>
      </c>
      <c r="F969" s="79">
        <v>6.7598000000000003</v>
      </c>
      <c r="G969" s="83">
        <f t="shared" si="14"/>
        <v>6.5159317460317467</v>
      </c>
    </row>
    <row r="970" spans="1:7" x14ac:dyDescent="0.2">
      <c r="A970" s="75">
        <v>40127</v>
      </c>
      <c r="B970" s="76" t="s">
        <v>35</v>
      </c>
      <c r="C970" s="76" t="s">
        <v>536</v>
      </c>
      <c r="D970" s="79">
        <v>1788.462352</v>
      </c>
      <c r="E970" s="79">
        <v>6.7599</v>
      </c>
      <c r="F970" s="79">
        <v>6.7628000000000004</v>
      </c>
      <c r="G970" s="83">
        <f t="shared" si="14"/>
        <v>6.5183412698412697</v>
      </c>
    </row>
    <row r="971" spans="1:7" x14ac:dyDescent="0.2">
      <c r="A971" s="75">
        <v>40128</v>
      </c>
      <c r="B971" s="76" t="s">
        <v>35</v>
      </c>
      <c r="C971" s="76" t="s">
        <v>536</v>
      </c>
      <c r="D971" s="79">
        <v>1787.2614679999999</v>
      </c>
      <c r="E971" s="79">
        <v>6.7629000000000001</v>
      </c>
      <c r="F971" s="79">
        <v>6.7891000000000004</v>
      </c>
      <c r="G971" s="83">
        <f t="shared" si="14"/>
        <v>6.5208047619047615</v>
      </c>
    </row>
    <row r="972" spans="1:7" x14ac:dyDescent="0.2">
      <c r="A972" s="75">
        <v>40129</v>
      </c>
      <c r="B972" s="76" t="s">
        <v>35</v>
      </c>
      <c r="C972" s="76" t="s">
        <v>536</v>
      </c>
      <c r="D972" s="79">
        <v>1785.382944</v>
      </c>
      <c r="E972" s="79">
        <v>6.7892000000000001</v>
      </c>
      <c r="F972" s="79">
        <v>6.8201000000000001</v>
      </c>
      <c r="G972" s="83">
        <f t="shared" si="14"/>
        <v>6.523371428571429</v>
      </c>
    </row>
    <row r="973" spans="1:7" x14ac:dyDescent="0.2">
      <c r="A973" s="75">
        <v>40130</v>
      </c>
      <c r="B973" s="76" t="s">
        <v>35</v>
      </c>
      <c r="C973" s="76" t="s">
        <v>536</v>
      </c>
      <c r="D973" s="79">
        <v>1785.7791830000001</v>
      </c>
      <c r="E973" s="79">
        <v>6.8202999999999996</v>
      </c>
      <c r="F973" s="79">
        <v>6.8239999999999998</v>
      </c>
      <c r="G973" s="83">
        <f t="shared" si="14"/>
        <v>6.5264650793650798</v>
      </c>
    </row>
    <row r="974" spans="1:7" x14ac:dyDescent="0.2">
      <c r="A974" s="75">
        <v>40133</v>
      </c>
      <c r="B974" s="76" t="s">
        <v>35</v>
      </c>
      <c r="C974" s="76" t="s">
        <v>536</v>
      </c>
      <c r="D974" s="79">
        <v>1786.969562</v>
      </c>
      <c r="E974" s="79">
        <v>6.8240999999999996</v>
      </c>
      <c r="F974" s="79">
        <v>6.8182999999999998</v>
      </c>
      <c r="G974" s="83">
        <f t="shared" si="14"/>
        <v>6.530266666666666</v>
      </c>
    </row>
    <row r="975" spans="1:7" x14ac:dyDescent="0.2">
      <c r="A975" s="75">
        <v>40134</v>
      </c>
      <c r="B975" s="76" t="s">
        <v>35</v>
      </c>
      <c r="C975" s="76" t="s">
        <v>536</v>
      </c>
      <c r="D975" s="79">
        <v>1788.018714</v>
      </c>
      <c r="E975" s="79">
        <v>6.8183999999999996</v>
      </c>
      <c r="F975" s="79">
        <v>6.8147000000000002</v>
      </c>
      <c r="G975" s="83">
        <f t="shared" si="14"/>
        <v>6.53424126984127</v>
      </c>
    </row>
    <row r="976" spans="1:7" x14ac:dyDescent="0.2">
      <c r="A976" s="75">
        <v>40135</v>
      </c>
      <c r="B976" s="76" t="s">
        <v>35</v>
      </c>
      <c r="C976" s="76" t="s">
        <v>536</v>
      </c>
      <c r="D976" s="79">
        <v>1790.072784</v>
      </c>
      <c r="E976" s="79">
        <v>6.8148</v>
      </c>
      <c r="F976" s="79">
        <v>6.7991000000000001</v>
      </c>
      <c r="G976" s="83">
        <f t="shared" si="14"/>
        <v>6.5387777777777778</v>
      </c>
    </row>
    <row r="977" spans="1:7" x14ac:dyDescent="0.2">
      <c r="A977" s="75">
        <v>40136</v>
      </c>
      <c r="B977" s="76" t="s">
        <v>35</v>
      </c>
      <c r="C977" s="76" t="s">
        <v>536</v>
      </c>
      <c r="D977" s="79">
        <v>1791.3152620000001</v>
      </c>
      <c r="E977" s="79">
        <v>6.7991000000000001</v>
      </c>
      <c r="F977" s="79">
        <v>6.7930999999999999</v>
      </c>
      <c r="G977" s="83">
        <f t="shared" si="14"/>
        <v>6.5434222222222225</v>
      </c>
    </row>
    <row r="978" spans="1:7" x14ac:dyDescent="0.2">
      <c r="A978" s="75">
        <v>40137</v>
      </c>
      <c r="B978" s="76" t="s">
        <v>35</v>
      </c>
      <c r="C978" s="76" t="s">
        <v>536</v>
      </c>
      <c r="D978" s="79">
        <v>1792.0718939999999</v>
      </c>
      <c r="E978" s="79">
        <v>6.7930999999999999</v>
      </c>
      <c r="F978" s="79">
        <v>6.7929000000000004</v>
      </c>
      <c r="G978" s="83">
        <f t="shared" si="14"/>
        <v>6.5484190476190482</v>
      </c>
    </row>
    <row r="979" spans="1:7" x14ac:dyDescent="0.2">
      <c r="A979" s="75">
        <v>40140</v>
      </c>
      <c r="B979" s="76" t="s">
        <v>35</v>
      </c>
      <c r="C979" s="76" t="s">
        <v>536</v>
      </c>
      <c r="D979" s="79">
        <v>1792.577241</v>
      </c>
      <c r="E979" s="79">
        <v>6.7930000000000001</v>
      </c>
      <c r="F979" s="79">
        <v>6.7957999999999998</v>
      </c>
      <c r="G979" s="83">
        <f t="shared" si="14"/>
        <v>6.5537301587301595</v>
      </c>
    </row>
    <row r="980" spans="1:7" x14ac:dyDescent="0.2">
      <c r="A980" s="75">
        <v>40141</v>
      </c>
      <c r="B980" s="76" t="s">
        <v>35</v>
      </c>
      <c r="C980" s="76" t="s">
        <v>536</v>
      </c>
      <c r="D980" s="79">
        <v>1793.6618100000001</v>
      </c>
      <c r="E980" s="79">
        <v>6.7957999999999998</v>
      </c>
      <c r="F980" s="79">
        <v>6.7916999999999996</v>
      </c>
      <c r="G980" s="83">
        <f t="shared" si="14"/>
        <v>6.5585142857142857</v>
      </c>
    </row>
    <row r="981" spans="1:7" x14ac:dyDescent="0.2">
      <c r="A981" s="75">
        <v>40142</v>
      </c>
      <c r="B981" s="76" t="s">
        <v>35</v>
      </c>
      <c r="C981" s="76" t="s">
        <v>536</v>
      </c>
      <c r="D981" s="79">
        <v>1794.704792</v>
      </c>
      <c r="E981" s="79">
        <v>6.7916999999999996</v>
      </c>
      <c r="F981" s="79">
        <v>6.7881</v>
      </c>
      <c r="G981" s="83">
        <f t="shared" si="14"/>
        <v>6.563187301587301</v>
      </c>
    </row>
    <row r="982" spans="1:7" x14ac:dyDescent="0.2">
      <c r="A982" s="75">
        <v>40143</v>
      </c>
      <c r="B982" s="76" t="s">
        <v>35</v>
      </c>
      <c r="C982" s="76" t="s">
        <v>536</v>
      </c>
      <c r="D982" s="79">
        <v>1793.3807710000001</v>
      </c>
      <c r="E982" s="79">
        <v>6.7881</v>
      </c>
      <c r="F982" s="79">
        <v>6.8127000000000004</v>
      </c>
      <c r="G982" s="83">
        <f t="shared" si="14"/>
        <v>6.5679253968253963</v>
      </c>
    </row>
    <row r="983" spans="1:7" x14ac:dyDescent="0.2">
      <c r="A983" s="75">
        <v>40144</v>
      </c>
      <c r="B983" s="76" t="s">
        <v>35</v>
      </c>
      <c r="C983" s="76" t="s">
        <v>536</v>
      </c>
      <c r="D983" s="79">
        <v>1794.987689</v>
      </c>
      <c r="E983" s="79">
        <v>6.8128000000000002</v>
      </c>
      <c r="F983" s="79">
        <v>6.8098000000000001</v>
      </c>
      <c r="G983" s="83">
        <f t="shared" si="14"/>
        <v>6.5733888888888874</v>
      </c>
    </row>
    <row r="984" spans="1:7" x14ac:dyDescent="0.2">
      <c r="A984" s="75">
        <v>40147</v>
      </c>
      <c r="B984" s="76" t="s">
        <v>35</v>
      </c>
      <c r="C984" s="76" t="s">
        <v>536</v>
      </c>
      <c r="D984" s="79">
        <v>1793.9431340000001</v>
      </c>
      <c r="E984" s="79">
        <v>6.8098000000000001</v>
      </c>
      <c r="F984" s="79">
        <v>6.8319000000000001</v>
      </c>
      <c r="G984" s="83">
        <f t="shared" si="14"/>
        <v>6.5788142857142846</v>
      </c>
    </row>
    <row r="985" spans="1:7" x14ac:dyDescent="0.2">
      <c r="A985" s="75">
        <v>40148</v>
      </c>
      <c r="B985" s="76" t="s">
        <v>35</v>
      </c>
      <c r="C985" s="76" t="s">
        <v>536</v>
      </c>
      <c r="D985" s="79">
        <v>1797.5944019999999</v>
      </c>
      <c r="E985" s="79">
        <v>6.8319000000000001</v>
      </c>
      <c r="F985" s="79">
        <v>6.7980999999999998</v>
      </c>
      <c r="G985" s="83">
        <f t="shared" si="14"/>
        <v>6.5844333333333331</v>
      </c>
    </row>
    <row r="986" spans="1:7" x14ac:dyDescent="0.2">
      <c r="A986" s="75">
        <v>40149</v>
      </c>
      <c r="B986" s="76" t="s">
        <v>35</v>
      </c>
      <c r="C986" s="76" t="s">
        <v>536</v>
      </c>
      <c r="D986" s="79">
        <v>1799.398512</v>
      </c>
      <c r="E986" s="79">
        <v>6.798</v>
      </c>
      <c r="F986" s="79">
        <v>6.7862</v>
      </c>
      <c r="G986" s="83">
        <f t="shared" si="14"/>
        <v>6.5896571428571429</v>
      </c>
    </row>
    <row r="987" spans="1:7" x14ac:dyDescent="0.2">
      <c r="A987" s="75">
        <v>40150</v>
      </c>
      <c r="B987" s="76" t="s">
        <v>35</v>
      </c>
      <c r="C987" s="76" t="s">
        <v>536</v>
      </c>
      <c r="D987" s="79">
        <v>1800.1422010000001</v>
      </c>
      <c r="E987" s="79">
        <v>6.7861000000000002</v>
      </c>
      <c r="F987" s="79">
        <v>6.7869000000000002</v>
      </c>
      <c r="G987" s="83">
        <f t="shared" si="14"/>
        <v>6.5949269841269826</v>
      </c>
    </row>
    <row r="988" spans="1:7" x14ac:dyDescent="0.2">
      <c r="A988" s="75">
        <v>40151</v>
      </c>
      <c r="B988" s="76" t="s">
        <v>35</v>
      </c>
      <c r="C988" s="76" t="s">
        <v>536</v>
      </c>
      <c r="D988" s="79">
        <v>1800.962076</v>
      </c>
      <c r="E988" s="79">
        <v>6.7868000000000004</v>
      </c>
      <c r="F988" s="79">
        <v>6.7866999999999997</v>
      </c>
      <c r="G988" s="83">
        <f t="shared" si="14"/>
        <v>6.6000888888888891</v>
      </c>
    </row>
    <row r="989" spans="1:7" x14ac:dyDescent="0.2">
      <c r="A989" s="75">
        <v>40154</v>
      </c>
      <c r="B989" s="76" t="s">
        <v>35</v>
      </c>
      <c r="C989" s="76" t="s">
        <v>536</v>
      </c>
      <c r="D989" s="79">
        <v>1802.1026730000001</v>
      </c>
      <c r="E989" s="79">
        <v>6.7866</v>
      </c>
      <c r="F989" s="79">
        <v>6.7827000000000002</v>
      </c>
      <c r="G989" s="83">
        <f t="shared" si="14"/>
        <v>6.6052301587301585</v>
      </c>
    </row>
    <row r="990" spans="1:7" x14ac:dyDescent="0.2">
      <c r="A990" s="75">
        <v>40155</v>
      </c>
      <c r="B990" s="76" t="s">
        <v>35</v>
      </c>
      <c r="C990" s="76" t="s">
        <v>536</v>
      </c>
      <c r="D990" s="79">
        <v>1800.6894669999999</v>
      </c>
      <c r="E990" s="79">
        <v>6.7827000000000002</v>
      </c>
      <c r="F990" s="79">
        <v>6.8090999999999999</v>
      </c>
      <c r="G990" s="83">
        <f t="shared" si="14"/>
        <v>6.6108317460317458</v>
      </c>
    </row>
    <row r="991" spans="1:7" x14ac:dyDescent="0.2">
      <c r="A991" s="75">
        <v>40156</v>
      </c>
      <c r="B991" s="76" t="s">
        <v>35</v>
      </c>
      <c r="C991" s="76" t="s">
        <v>536</v>
      </c>
      <c r="D991" s="79">
        <v>1800.9925720000001</v>
      </c>
      <c r="E991" s="79">
        <v>6.8090000000000002</v>
      </c>
      <c r="F991" s="79">
        <v>6.8167999999999997</v>
      </c>
      <c r="G991" s="83">
        <f t="shared" si="14"/>
        <v>6.6170396825396818</v>
      </c>
    </row>
    <row r="992" spans="1:7" x14ac:dyDescent="0.2">
      <c r="A992" s="75">
        <v>40157</v>
      </c>
      <c r="B992" s="76" t="s">
        <v>35</v>
      </c>
      <c r="C992" s="76" t="s">
        <v>536</v>
      </c>
      <c r="D992" s="79">
        <v>1802.0679050000001</v>
      </c>
      <c r="E992" s="79">
        <v>6.8167</v>
      </c>
      <c r="F992" s="79">
        <v>6.8136999999999999</v>
      </c>
      <c r="G992" s="83">
        <f t="shared" si="14"/>
        <v>6.6240015873015876</v>
      </c>
    </row>
    <row r="993" spans="1:7" x14ac:dyDescent="0.2">
      <c r="A993" s="75">
        <v>40158</v>
      </c>
      <c r="B993" s="76" t="s">
        <v>35</v>
      </c>
      <c r="C993" s="76" t="s">
        <v>536</v>
      </c>
      <c r="D993" s="79">
        <v>1803.8860689999999</v>
      </c>
      <c r="E993" s="79">
        <v>6.8136000000000001</v>
      </c>
      <c r="F993" s="79">
        <v>6.8018000000000001</v>
      </c>
      <c r="G993" s="83">
        <f t="shared" si="14"/>
        <v>6.6316539682539686</v>
      </c>
    </row>
    <row r="994" spans="1:7" x14ac:dyDescent="0.2">
      <c r="A994" s="75">
        <v>40161</v>
      </c>
      <c r="B994" s="76" t="s">
        <v>35</v>
      </c>
      <c r="C994" s="76" t="s">
        <v>536</v>
      </c>
      <c r="D994" s="79">
        <v>1805.8405499999999</v>
      </c>
      <c r="E994" s="79">
        <v>6.8017000000000003</v>
      </c>
      <c r="F994" s="79">
        <v>6.7882999999999996</v>
      </c>
      <c r="G994" s="83">
        <f t="shared" si="14"/>
        <v>6.6392825396825392</v>
      </c>
    </row>
    <row r="995" spans="1:7" x14ac:dyDescent="0.2">
      <c r="A995" s="75">
        <v>40162</v>
      </c>
      <c r="B995" s="76" t="s">
        <v>35</v>
      </c>
      <c r="C995" s="76" t="s">
        <v>536</v>
      </c>
      <c r="D995" s="79">
        <v>1805.463579</v>
      </c>
      <c r="E995" s="79">
        <v>6.7881999999999998</v>
      </c>
      <c r="F995" s="79">
        <v>6.8023999999999996</v>
      </c>
      <c r="G995" s="83">
        <f t="shared" si="14"/>
        <v>6.6467412698412698</v>
      </c>
    </row>
    <row r="996" spans="1:7" x14ac:dyDescent="0.2">
      <c r="A996" s="75">
        <v>40163</v>
      </c>
      <c r="B996" s="76" t="s">
        <v>35</v>
      </c>
      <c r="C996" s="76" t="s">
        <v>536</v>
      </c>
      <c r="D996" s="79">
        <v>1805.5852910000001</v>
      </c>
      <c r="E996" s="79">
        <v>6.8022999999999998</v>
      </c>
      <c r="F996" s="79">
        <v>6.8101000000000003</v>
      </c>
      <c r="G996" s="83">
        <f t="shared" si="14"/>
        <v>6.6545920634920641</v>
      </c>
    </row>
    <row r="997" spans="1:7" x14ac:dyDescent="0.2">
      <c r="A997" s="75">
        <v>40164</v>
      </c>
      <c r="B997" s="76" t="s">
        <v>35</v>
      </c>
      <c r="C997" s="76" t="s">
        <v>536</v>
      </c>
      <c r="D997" s="79">
        <v>1807.7866200000001</v>
      </c>
      <c r="E997" s="79">
        <v>6.81</v>
      </c>
      <c r="F997" s="79">
        <v>6.7931999999999997</v>
      </c>
      <c r="G997" s="83">
        <f t="shared" si="14"/>
        <v>6.6615476190476191</v>
      </c>
    </row>
    <row r="998" spans="1:7" x14ac:dyDescent="0.2">
      <c r="A998" s="75">
        <v>40165</v>
      </c>
      <c r="B998" s="76" t="s">
        <v>35</v>
      </c>
      <c r="C998" s="76" t="s">
        <v>536</v>
      </c>
      <c r="D998" s="79">
        <v>1809.236179</v>
      </c>
      <c r="E998" s="79">
        <v>6.7930999999999999</v>
      </c>
      <c r="F998" s="79">
        <v>6.7851999999999997</v>
      </c>
      <c r="G998" s="83">
        <f t="shared" si="14"/>
        <v>6.6683650793650795</v>
      </c>
    </row>
    <row r="999" spans="1:7" x14ac:dyDescent="0.2">
      <c r="A999" s="75">
        <v>40168</v>
      </c>
      <c r="B999" s="76" t="s">
        <v>35</v>
      </c>
      <c r="C999" s="76" t="s">
        <v>536</v>
      </c>
      <c r="D999" s="79">
        <v>1811.330428</v>
      </c>
      <c r="E999" s="79">
        <v>6.7850999999999999</v>
      </c>
      <c r="F999" s="79">
        <v>6.7695999999999996</v>
      </c>
      <c r="G999" s="83">
        <f t="shared" si="14"/>
        <v>6.6752841269841277</v>
      </c>
    </row>
    <row r="1000" spans="1:7" x14ac:dyDescent="0.2">
      <c r="A1000" s="75">
        <v>40169</v>
      </c>
      <c r="B1000" s="76" t="s">
        <v>35</v>
      </c>
      <c r="C1000" s="76" t="s">
        <v>536</v>
      </c>
      <c r="D1000" s="79">
        <v>1815.3624589999999</v>
      </c>
      <c r="E1000" s="79">
        <v>6.7694999999999999</v>
      </c>
      <c r="F1000" s="79">
        <v>6.7312000000000003</v>
      </c>
      <c r="G1000" s="83">
        <f t="shared" si="14"/>
        <v>6.6805079365079365</v>
      </c>
    </row>
    <row r="1001" spans="1:7" x14ac:dyDescent="0.2">
      <c r="A1001" s="75">
        <v>40170</v>
      </c>
      <c r="B1001" s="76" t="s">
        <v>35</v>
      </c>
      <c r="C1001" s="76" t="s">
        <v>536</v>
      </c>
      <c r="D1001" s="79">
        <v>1816.295576</v>
      </c>
      <c r="E1001" s="79">
        <v>6.7310999999999996</v>
      </c>
      <c r="F1001" s="79">
        <v>6.7293000000000003</v>
      </c>
      <c r="G1001" s="83">
        <f t="shared" si="14"/>
        <v>6.6858206349206348</v>
      </c>
    </row>
    <row r="1002" spans="1:7" x14ac:dyDescent="0.2">
      <c r="A1002" s="75">
        <v>40171</v>
      </c>
      <c r="B1002" s="76" t="s">
        <v>35</v>
      </c>
      <c r="C1002" s="76" t="s">
        <v>536</v>
      </c>
      <c r="D1002" s="79">
        <v>1817.0504189999999</v>
      </c>
      <c r="E1002" s="79">
        <v>6.7291999999999996</v>
      </c>
      <c r="F1002" s="79">
        <v>6.7294999999999998</v>
      </c>
      <c r="G1002" s="83">
        <f t="shared" si="14"/>
        <v>6.6910984126984125</v>
      </c>
    </row>
    <row r="1003" spans="1:7" x14ac:dyDescent="0.2">
      <c r="A1003" s="75">
        <v>40175</v>
      </c>
      <c r="B1003" s="76" t="s">
        <v>35</v>
      </c>
      <c r="C1003" s="76" t="s">
        <v>536</v>
      </c>
      <c r="D1003" s="79">
        <v>1818.0864180000001</v>
      </c>
      <c r="E1003" s="79">
        <v>6.7294</v>
      </c>
      <c r="F1003" s="79">
        <v>6.7263999999999999</v>
      </c>
      <c r="G1003" s="83">
        <f t="shared" si="14"/>
        <v>6.6959349206349206</v>
      </c>
    </row>
    <row r="1004" spans="1:7" x14ac:dyDescent="0.2">
      <c r="A1004" s="75">
        <v>40176</v>
      </c>
      <c r="B1004" s="76" t="s">
        <v>35</v>
      </c>
      <c r="C1004" s="76" t="s">
        <v>536</v>
      </c>
      <c r="D1004" s="79">
        <v>1818.1948620000001</v>
      </c>
      <c r="E1004" s="79">
        <v>6.7263000000000002</v>
      </c>
      <c r="F1004" s="79">
        <v>6.7342000000000004</v>
      </c>
      <c r="G1004" s="83">
        <f t="shared" si="14"/>
        <v>6.7005476190476188</v>
      </c>
    </row>
    <row r="1005" spans="1:7" x14ac:dyDescent="0.2">
      <c r="A1005" s="75">
        <v>40177</v>
      </c>
      <c r="B1005" s="76" t="s">
        <v>35</v>
      </c>
      <c r="C1005" s="76" t="s">
        <v>536</v>
      </c>
      <c r="D1005" s="79">
        <v>1819.1296339999999</v>
      </c>
      <c r="E1005" s="79">
        <v>6.7340999999999998</v>
      </c>
      <c r="F1005" s="79">
        <v>6.7323000000000004</v>
      </c>
      <c r="G1005" s="83">
        <f t="shared" si="14"/>
        <v>6.7059079365079368</v>
      </c>
    </row>
    <row r="1006" spans="1:7" x14ac:dyDescent="0.2">
      <c r="A1006" s="75">
        <v>40178</v>
      </c>
      <c r="B1006" s="76" t="s">
        <v>35</v>
      </c>
      <c r="C1006" s="76" t="s">
        <v>536</v>
      </c>
      <c r="D1006" s="79">
        <v>1819.919934</v>
      </c>
      <c r="E1006" s="79">
        <v>6.7321999999999997</v>
      </c>
      <c r="F1006" s="79">
        <v>6.7321</v>
      </c>
      <c r="G1006" s="83">
        <f t="shared" si="14"/>
        <v>6.711326984126984</v>
      </c>
    </row>
    <row r="1007" spans="1:7" x14ac:dyDescent="0.2">
      <c r="A1007" s="75">
        <v>40182</v>
      </c>
      <c r="B1007" s="76" t="s">
        <v>35</v>
      </c>
      <c r="C1007" s="76" t="s">
        <v>536</v>
      </c>
      <c r="D1007" s="79">
        <v>1821.6653940000001</v>
      </c>
      <c r="E1007" s="79">
        <v>6.7320000000000002</v>
      </c>
      <c r="F1007" s="79">
        <v>6.7206999999999999</v>
      </c>
      <c r="G1007" s="83">
        <f t="shared" si="14"/>
        <v>6.7165317460317464</v>
      </c>
    </row>
    <row r="1008" spans="1:7" x14ac:dyDescent="0.2">
      <c r="A1008" s="75">
        <v>40183</v>
      </c>
      <c r="B1008" s="76" t="s">
        <v>35</v>
      </c>
      <c r="C1008" s="76" t="s">
        <v>536</v>
      </c>
      <c r="D1008" s="79">
        <v>1823.881468</v>
      </c>
      <c r="E1008" s="79">
        <v>6.7206000000000001</v>
      </c>
      <c r="F1008" s="79">
        <v>6.7038000000000002</v>
      </c>
      <c r="G1008" s="83">
        <f t="shared" si="14"/>
        <v>6.7211904761904773</v>
      </c>
    </row>
    <row r="1009" spans="1:7" x14ac:dyDescent="0.2">
      <c r="A1009" s="75">
        <v>40184</v>
      </c>
      <c r="B1009" s="76" t="s">
        <v>35</v>
      </c>
      <c r="C1009" s="76" t="s">
        <v>536</v>
      </c>
      <c r="D1009" s="79">
        <v>1826.082216</v>
      </c>
      <c r="E1009" s="79">
        <v>6.7037000000000004</v>
      </c>
      <c r="F1009" s="79">
        <v>6.6871</v>
      </c>
      <c r="G1009" s="83">
        <f t="shared" si="14"/>
        <v>6.7260539682539688</v>
      </c>
    </row>
    <row r="1010" spans="1:7" x14ac:dyDescent="0.2">
      <c r="A1010" s="75">
        <v>40185</v>
      </c>
      <c r="B1010" s="76" t="s">
        <v>35</v>
      </c>
      <c r="C1010" s="76" t="s">
        <v>536</v>
      </c>
      <c r="D1010" s="79">
        <v>1826.590179</v>
      </c>
      <c r="E1010" s="79">
        <v>6.6870000000000003</v>
      </c>
      <c r="F1010" s="79">
        <v>6.6901999999999999</v>
      </c>
      <c r="G1010" s="83">
        <f t="shared" si="14"/>
        <v>6.7306031746031758</v>
      </c>
    </row>
    <row r="1011" spans="1:7" x14ac:dyDescent="0.2">
      <c r="A1011" s="75">
        <v>40186</v>
      </c>
      <c r="B1011" s="76" t="s">
        <v>35</v>
      </c>
      <c r="C1011" s="76" t="s">
        <v>536</v>
      </c>
      <c r="D1011" s="79">
        <v>1827.8515789999999</v>
      </c>
      <c r="E1011" s="79">
        <v>6.6901000000000002</v>
      </c>
      <c r="F1011" s="79">
        <v>6.6844999999999999</v>
      </c>
      <c r="G1011" s="83">
        <f t="shared" si="14"/>
        <v>6.7346507936507942</v>
      </c>
    </row>
    <row r="1012" spans="1:7" x14ac:dyDescent="0.2">
      <c r="A1012" s="75">
        <v>40189</v>
      </c>
      <c r="B1012" s="76" t="s">
        <v>35</v>
      </c>
      <c r="C1012" s="76" t="s">
        <v>536</v>
      </c>
      <c r="D1012" s="79">
        <v>1827.76063</v>
      </c>
      <c r="E1012" s="79">
        <v>6.6844000000000001</v>
      </c>
      <c r="F1012" s="79">
        <v>6.6946000000000003</v>
      </c>
      <c r="G1012" s="83">
        <f t="shared" si="14"/>
        <v>6.7382730158730162</v>
      </c>
    </row>
    <row r="1013" spans="1:7" x14ac:dyDescent="0.2">
      <c r="A1013" s="75">
        <v>40190</v>
      </c>
      <c r="B1013" s="76" t="s">
        <v>35</v>
      </c>
      <c r="C1013" s="76" t="s">
        <v>536</v>
      </c>
      <c r="D1013" s="79">
        <v>1827.696136</v>
      </c>
      <c r="E1013" s="79">
        <v>6.6946000000000003</v>
      </c>
      <c r="F1013" s="79">
        <v>6.7045000000000003</v>
      </c>
      <c r="G1013" s="83">
        <f t="shared" si="14"/>
        <v>6.7408841269841266</v>
      </c>
    </row>
    <row r="1014" spans="1:7" x14ac:dyDescent="0.2">
      <c r="A1014" s="75">
        <v>40191</v>
      </c>
      <c r="B1014" s="76" t="s">
        <v>35</v>
      </c>
      <c r="C1014" s="76" t="s">
        <v>536</v>
      </c>
      <c r="D1014" s="79">
        <v>1829.9272189999999</v>
      </c>
      <c r="E1014" s="79">
        <v>6.7043999999999997</v>
      </c>
      <c r="F1014" s="79">
        <v>6.6894</v>
      </c>
      <c r="G1014" s="83">
        <f t="shared" si="14"/>
        <v>6.7434428571428571</v>
      </c>
    </row>
    <row r="1015" spans="1:7" x14ac:dyDescent="0.2">
      <c r="A1015" s="75">
        <v>40192</v>
      </c>
      <c r="B1015" s="76" t="s">
        <v>35</v>
      </c>
      <c r="C1015" s="76" t="s">
        <v>536</v>
      </c>
      <c r="D1015" s="79">
        <v>1829.9393669999999</v>
      </c>
      <c r="E1015" s="79">
        <v>6.6894</v>
      </c>
      <c r="F1015" s="79">
        <v>6.6985000000000001</v>
      </c>
      <c r="G1015" s="83">
        <f t="shared" si="14"/>
        <v>6.7455920634920634</v>
      </c>
    </row>
    <row r="1016" spans="1:7" x14ac:dyDescent="0.2">
      <c r="A1016" s="75">
        <v>40193</v>
      </c>
      <c r="B1016" s="76" t="s">
        <v>35</v>
      </c>
      <c r="C1016" s="76" t="s">
        <v>536</v>
      </c>
      <c r="D1016" s="79">
        <v>1832.353071</v>
      </c>
      <c r="E1016" s="79">
        <v>6.6984000000000004</v>
      </c>
      <c r="F1016" s="79">
        <v>6.6795</v>
      </c>
      <c r="G1016" s="83">
        <f t="shared" si="14"/>
        <v>6.7477777777777774</v>
      </c>
    </row>
    <row r="1017" spans="1:7" x14ac:dyDescent="0.2">
      <c r="A1017" s="75">
        <v>40196</v>
      </c>
      <c r="B1017" s="76" t="s">
        <v>35</v>
      </c>
      <c r="C1017" s="76" t="s">
        <v>536</v>
      </c>
      <c r="D1017" s="79">
        <v>1834.2987000000001</v>
      </c>
      <c r="E1017" s="79">
        <v>6.6795</v>
      </c>
      <c r="F1017" s="79">
        <v>6.6683000000000003</v>
      </c>
      <c r="G1017" s="83">
        <f t="shared" si="14"/>
        <v>6.7492095238095224</v>
      </c>
    </row>
    <row r="1018" spans="1:7" x14ac:dyDescent="0.2">
      <c r="A1018" s="75">
        <v>40197</v>
      </c>
      <c r="B1018" s="76" t="s">
        <v>35</v>
      </c>
      <c r="C1018" s="76" t="s">
        <v>536</v>
      </c>
      <c r="D1018" s="79">
        <v>1833.8049000000001</v>
      </c>
      <c r="E1018" s="79">
        <v>6.6683000000000003</v>
      </c>
      <c r="F1018" s="79">
        <v>6.6855000000000002</v>
      </c>
      <c r="G1018" s="83">
        <f t="shared" si="14"/>
        <v>6.7493873015873014</v>
      </c>
    </row>
    <row r="1019" spans="1:7" x14ac:dyDescent="0.2">
      <c r="A1019" s="75">
        <v>40198</v>
      </c>
      <c r="B1019" s="76" t="s">
        <v>35</v>
      </c>
      <c r="C1019" s="76" t="s">
        <v>536</v>
      </c>
      <c r="D1019" s="79">
        <v>1833.9737419999999</v>
      </c>
      <c r="E1019" s="79">
        <v>6.6853999999999996</v>
      </c>
      <c r="F1019" s="79">
        <v>6.6948999999999996</v>
      </c>
      <c r="G1019" s="83">
        <f t="shared" si="14"/>
        <v>6.7487952380952372</v>
      </c>
    </row>
    <row r="1020" spans="1:7" x14ac:dyDescent="0.2">
      <c r="A1020" s="75">
        <v>40199</v>
      </c>
      <c r="B1020" s="76" t="s">
        <v>35</v>
      </c>
      <c r="C1020" s="76" t="s">
        <v>536</v>
      </c>
      <c r="D1020" s="79">
        <v>1831.9635940000001</v>
      </c>
      <c r="E1020" s="79">
        <v>6.6947999999999999</v>
      </c>
      <c r="F1020" s="79">
        <v>6.7297000000000002</v>
      </c>
      <c r="G1020" s="83">
        <f t="shared" si="14"/>
        <v>6.7485984126984118</v>
      </c>
    </row>
    <row r="1021" spans="1:7" x14ac:dyDescent="0.2">
      <c r="A1021" s="75">
        <v>40200</v>
      </c>
      <c r="B1021" s="76" t="s">
        <v>35</v>
      </c>
      <c r="C1021" s="76" t="s">
        <v>536</v>
      </c>
      <c r="D1021" s="79">
        <v>1832.0412879999999</v>
      </c>
      <c r="E1021" s="79">
        <v>6.7295999999999996</v>
      </c>
      <c r="F1021" s="79">
        <v>6.7401999999999997</v>
      </c>
      <c r="G1021" s="83">
        <f t="shared" si="14"/>
        <v>6.749538095238095</v>
      </c>
    </row>
    <row r="1022" spans="1:7" x14ac:dyDescent="0.2">
      <c r="A1022" s="75">
        <v>40203</v>
      </c>
      <c r="B1022" s="76" t="s">
        <v>35</v>
      </c>
      <c r="C1022" s="76" t="s">
        <v>536</v>
      </c>
      <c r="D1022" s="79">
        <v>1833.479685</v>
      </c>
      <c r="E1022" s="79">
        <v>6.7401</v>
      </c>
      <c r="F1022" s="79">
        <v>6.7397</v>
      </c>
      <c r="G1022" s="83">
        <f t="shared" si="14"/>
        <v>6.7503825396825388</v>
      </c>
    </row>
    <row r="1023" spans="1:7" x14ac:dyDescent="0.2">
      <c r="A1023" s="75">
        <v>40204</v>
      </c>
      <c r="B1023" s="76" t="s">
        <v>35</v>
      </c>
      <c r="C1023" s="76" t="s">
        <v>536</v>
      </c>
      <c r="D1023" s="79">
        <v>1835.3706790000001</v>
      </c>
      <c r="E1023" s="79">
        <v>6.7396000000000003</v>
      </c>
      <c r="F1023" s="79">
        <v>6.7298999999999998</v>
      </c>
      <c r="G1023" s="83">
        <f t="shared" si="14"/>
        <v>6.751319047619047</v>
      </c>
    </row>
    <row r="1024" spans="1:7" x14ac:dyDescent="0.2">
      <c r="A1024" s="75">
        <v>40205</v>
      </c>
      <c r="B1024" s="76" t="s">
        <v>35</v>
      </c>
      <c r="C1024" s="76" t="s">
        <v>536</v>
      </c>
      <c r="D1024" s="79">
        <v>1838.7947799999999</v>
      </c>
      <c r="E1024" s="79">
        <v>6.7298</v>
      </c>
      <c r="F1024" s="79">
        <v>6.7023000000000001</v>
      </c>
      <c r="G1024" s="83">
        <f t="shared" si="14"/>
        <v>6.7525206349206339</v>
      </c>
    </row>
    <row r="1025" spans="1:7" x14ac:dyDescent="0.2">
      <c r="A1025" s="75">
        <v>40206</v>
      </c>
      <c r="B1025" s="76" t="s">
        <v>35</v>
      </c>
      <c r="C1025" s="76" t="s">
        <v>536</v>
      </c>
      <c r="D1025" s="79">
        <v>1840.102989</v>
      </c>
      <c r="E1025" s="79">
        <v>6.7022000000000004</v>
      </c>
      <c r="F1025" s="79">
        <v>6.6993</v>
      </c>
      <c r="G1025" s="83">
        <f t="shared" si="14"/>
        <v>6.7534619047619051</v>
      </c>
    </row>
    <row r="1026" spans="1:7" x14ac:dyDescent="0.2">
      <c r="A1026" s="75">
        <v>40207</v>
      </c>
      <c r="B1026" s="76" t="s">
        <v>35</v>
      </c>
      <c r="C1026" s="76" t="s">
        <v>536</v>
      </c>
      <c r="D1026" s="79">
        <v>1841.299837</v>
      </c>
      <c r="E1026" s="79">
        <v>6.6990999999999996</v>
      </c>
      <c r="F1026" s="79">
        <v>6.6974999999999998</v>
      </c>
      <c r="G1026" s="83">
        <f t="shared" si="14"/>
        <v>6.7540920634920631</v>
      </c>
    </row>
    <row r="1027" spans="1:7" x14ac:dyDescent="0.2">
      <c r="A1027" s="75">
        <v>40210</v>
      </c>
      <c r="B1027" s="76" t="s">
        <v>35</v>
      </c>
      <c r="C1027" s="76" t="s">
        <v>536</v>
      </c>
      <c r="D1027" s="79">
        <v>1843.636602</v>
      </c>
      <c r="E1027" s="79">
        <v>6.6974</v>
      </c>
      <c r="F1027" s="79">
        <v>6.6825999999999999</v>
      </c>
      <c r="G1027" s="83">
        <f t="shared" ref="G1027:G1090" si="15">+AVERAGE(E965:E1027)</f>
        <v>6.7542428571428568</v>
      </c>
    </row>
    <row r="1028" spans="1:7" x14ac:dyDescent="0.2">
      <c r="A1028" s="75">
        <v>40211</v>
      </c>
      <c r="B1028" s="76" t="s">
        <v>35</v>
      </c>
      <c r="C1028" s="76" t="s">
        <v>536</v>
      </c>
      <c r="D1028" s="79">
        <v>1845.3876620000001</v>
      </c>
      <c r="E1028" s="79">
        <v>6.6824000000000003</v>
      </c>
      <c r="F1028" s="79">
        <v>6.6744000000000003</v>
      </c>
      <c r="G1028" s="83">
        <f t="shared" si="15"/>
        <v>6.7533777777777768</v>
      </c>
    </row>
    <row r="1029" spans="1:7" x14ac:dyDescent="0.2">
      <c r="A1029" s="75">
        <v>40212</v>
      </c>
      <c r="B1029" s="76" t="s">
        <v>35</v>
      </c>
      <c r="C1029" s="76" t="s">
        <v>536</v>
      </c>
      <c r="D1029" s="79">
        <v>1848.0831909999999</v>
      </c>
      <c r="E1029" s="79">
        <v>6.6741999999999999</v>
      </c>
      <c r="F1029" s="79">
        <v>6.6553000000000004</v>
      </c>
      <c r="G1029" s="83">
        <f t="shared" si="15"/>
        <v>6.7527682539682532</v>
      </c>
    </row>
    <row r="1030" spans="1:7" x14ac:dyDescent="0.2">
      <c r="A1030" s="75">
        <v>40213</v>
      </c>
      <c r="B1030" s="76" t="s">
        <v>35</v>
      </c>
      <c r="C1030" s="76" t="s">
        <v>536</v>
      </c>
      <c r="D1030" s="79">
        <v>1850.5648739999999</v>
      </c>
      <c r="E1030" s="79">
        <v>6.6551</v>
      </c>
      <c r="F1030" s="79">
        <v>6.6387</v>
      </c>
      <c r="G1030" s="83">
        <f t="shared" si="15"/>
        <v>6.7517158730158719</v>
      </c>
    </row>
    <row r="1031" spans="1:7" x14ac:dyDescent="0.2">
      <c r="A1031" s="75">
        <v>40214</v>
      </c>
      <c r="B1031" s="76" t="s">
        <v>35</v>
      </c>
      <c r="C1031" s="76" t="s">
        <v>536</v>
      </c>
      <c r="D1031" s="79">
        <v>1852.623621</v>
      </c>
      <c r="E1031" s="79">
        <v>6.6384999999999996</v>
      </c>
      <c r="F1031" s="79">
        <v>6.6391</v>
      </c>
      <c r="G1031" s="83">
        <f t="shared" si="15"/>
        <v>6.7503238095238096</v>
      </c>
    </row>
    <row r="1032" spans="1:7" x14ac:dyDescent="0.2">
      <c r="A1032" s="75">
        <v>40217</v>
      </c>
      <c r="B1032" s="76" t="s">
        <v>35</v>
      </c>
      <c r="C1032" s="76" t="s">
        <v>536</v>
      </c>
      <c r="D1032" s="79">
        <v>1855.9370799999999</v>
      </c>
      <c r="E1032" s="79">
        <v>6.6388999999999996</v>
      </c>
      <c r="F1032" s="79">
        <v>6.6138000000000003</v>
      </c>
      <c r="G1032" s="83">
        <f t="shared" si="15"/>
        <v>6.7488269841269837</v>
      </c>
    </row>
    <row r="1033" spans="1:7" x14ac:dyDescent="0.2">
      <c r="A1033" s="75">
        <v>40218</v>
      </c>
      <c r="B1033" s="76" t="s">
        <v>35</v>
      </c>
      <c r="C1033" s="76" t="s">
        <v>536</v>
      </c>
      <c r="D1033" s="79">
        <v>1858.061776</v>
      </c>
      <c r="E1033" s="79">
        <v>6.6135999999999999</v>
      </c>
      <c r="F1033" s="79">
        <v>6.6021999999999998</v>
      </c>
      <c r="G1033" s="83">
        <f t="shared" si="15"/>
        <v>6.7465047619047622</v>
      </c>
    </row>
    <row r="1034" spans="1:7" x14ac:dyDescent="0.2">
      <c r="A1034" s="75">
        <v>40219</v>
      </c>
      <c r="B1034" s="76" t="s">
        <v>35</v>
      </c>
      <c r="C1034" s="76" t="s">
        <v>536</v>
      </c>
      <c r="D1034" s="79">
        <v>1860.2928400000001</v>
      </c>
      <c r="E1034" s="79">
        <v>6.6020000000000003</v>
      </c>
      <c r="F1034" s="79">
        <v>6.5894000000000004</v>
      </c>
      <c r="G1034" s="83">
        <f t="shared" si="15"/>
        <v>6.743950793650793</v>
      </c>
    </row>
    <row r="1035" spans="1:7" x14ac:dyDescent="0.2">
      <c r="A1035" s="75">
        <v>40220</v>
      </c>
      <c r="B1035" s="76" t="s">
        <v>35</v>
      </c>
      <c r="C1035" s="76" t="s">
        <v>536</v>
      </c>
      <c r="D1035" s="79">
        <v>1862.4472499999999</v>
      </c>
      <c r="E1035" s="79">
        <v>6.5891999999999999</v>
      </c>
      <c r="F1035" s="79">
        <v>6.5774999999999997</v>
      </c>
      <c r="G1035" s="83">
        <f t="shared" si="15"/>
        <v>6.7407761904761889</v>
      </c>
    </row>
    <row r="1036" spans="1:7" x14ac:dyDescent="0.2">
      <c r="A1036" s="75">
        <v>40221</v>
      </c>
      <c r="B1036" s="76" t="s">
        <v>35</v>
      </c>
      <c r="C1036" s="76" t="s">
        <v>536</v>
      </c>
      <c r="D1036" s="79">
        <v>1865.9152529999999</v>
      </c>
      <c r="E1036" s="79">
        <v>6.5773999999999999</v>
      </c>
      <c r="F1036" s="79">
        <v>6.5507</v>
      </c>
      <c r="G1036" s="83">
        <f t="shared" si="15"/>
        <v>6.7369206349206339</v>
      </c>
    </row>
    <row r="1037" spans="1:7" x14ac:dyDescent="0.2">
      <c r="A1037" s="75">
        <v>40226</v>
      </c>
      <c r="B1037" s="76" t="s">
        <v>35</v>
      </c>
      <c r="C1037" s="76" t="s">
        <v>536</v>
      </c>
      <c r="D1037" s="79">
        <v>1868.7485369999999</v>
      </c>
      <c r="E1037" s="79">
        <v>6.5506000000000002</v>
      </c>
      <c r="F1037" s="79">
        <v>6.5312000000000001</v>
      </c>
      <c r="G1037" s="83">
        <f t="shared" si="15"/>
        <v>6.7325793650793644</v>
      </c>
    </row>
    <row r="1038" spans="1:7" x14ac:dyDescent="0.2">
      <c r="A1038" s="75">
        <v>40227</v>
      </c>
      <c r="B1038" s="76" t="s">
        <v>35</v>
      </c>
      <c r="C1038" s="76" t="s">
        <v>536</v>
      </c>
      <c r="D1038" s="79">
        <v>1870.251833</v>
      </c>
      <c r="E1038" s="79">
        <v>6.5312000000000001</v>
      </c>
      <c r="F1038" s="79">
        <v>6.5271999999999997</v>
      </c>
      <c r="G1038" s="83">
        <f t="shared" si="15"/>
        <v>6.7280206349206351</v>
      </c>
    </row>
    <row r="1039" spans="1:7" x14ac:dyDescent="0.2">
      <c r="A1039" s="75">
        <v>40228</v>
      </c>
      <c r="B1039" s="76" t="s">
        <v>35</v>
      </c>
      <c r="C1039" s="76" t="s">
        <v>536</v>
      </c>
      <c r="D1039" s="79">
        <v>1871.4576199999999</v>
      </c>
      <c r="E1039" s="79">
        <v>6.5270999999999999</v>
      </c>
      <c r="F1039" s="79">
        <v>6.5265000000000004</v>
      </c>
      <c r="G1039" s="83">
        <f t="shared" si="15"/>
        <v>6.7234539682539687</v>
      </c>
    </row>
    <row r="1040" spans="1:7" x14ac:dyDescent="0.2">
      <c r="A1040" s="75">
        <v>40231</v>
      </c>
      <c r="B1040" s="76" t="s">
        <v>35</v>
      </c>
      <c r="C1040" s="76" t="s">
        <v>536</v>
      </c>
      <c r="D1040" s="79">
        <v>1873.182409</v>
      </c>
      <c r="E1040" s="79">
        <v>6.5265000000000004</v>
      </c>
      <c r="F1040" s="79">
        <v>6.52</v>
      </c>
      <c r="G1040" s="83">
        <f t="shared" si="15"/>
        <v>6.7191269841269845</v>
      </c>
    </row>
    <row r="1041" spans="1:7" x14ac:dyDescent="0.2">
      <c r="A1041" s="75">
        <v>40232</v>
      </c>
      <c r="B1041" s="76" t="s">
        <v>35</v>
      </c>
      <c r="C1041" s="76" t="s">
        <v>536</v>
      </c>
      <c r="D1041" s="79">
        <v>1873.9061349999999</v>
      </c>
      <c r="E1041" s="79">
        <v>6.5198999999999998</v>
      </c>
      <c r="F1041" s="79">
        <v>6.5247999999999999</v>
      </c>
      <c r="G1041" s="83">
        <f t="shared" si="15"/>
        <v>6.7147904761904771</v>
      </c>
    </row>
    <row r="1042" spans="1:7" x14ac:dyDescent="0.2">
      <c r="A1042" s="75">
        <v>40233</v>
      </c>
      <c r="B1042" s="76" t="s">
        <v>35</v>
      </c>
      <c r="C1042" s="76" t="s">
        <v>536</v>
      </c>
      <c r="D1042" s="79">
        <v>1874.5212369999999</v>
      </c>
      <c r="E1042" s="79">
        <v>6.5247999999999999</v>
      </c>
      <c r="F1042" s="79">
        <v>6.5380000000000003</v>
      </c>
      <c r="G1042" s="83">
        <f t="shared" si="15"/>
        <v>6.7105333333333332</v>
      </c>
    </row>
    <row r="1043" spans="1:7" x14ac:dyDescent="0.2">
      <c r="A1043" s="75">
        <v>40234</v>
      </c>
      <c r="B1043" s="76" t="s">
        <v>35</v>
      </c>
      <c r="C1043" s="76" t="s">
        <v>536</v>
      </c>
      <c r="D1043" s="79">
        <v>1875.5908099999999</v>
      </c>
      <c r="E1043" s="79">
        <v>6.5380000000000003</v>
      </c>
      <c r="F1043" s="79">
        <v>6.5404</v>
      </c>
      <c r="G1043" s="83">
        <f t="shared" si="15"/>
        <v>6.7064412698412701</v>
      </c>
    </row>
    <row r="1044" spans="1:7" x14ac:dyDescent="0.2">
      <c r="A1044" s="75">
        <v>40235</v>
      </c>
      <c r="B1044" s="76" t="s">
        <v>35</v>
      </c>
      <c r="C1044" s="76" t="s">
        <v>536</v>
      </c>
      <c r="D1044" s="79">
        <v>1874.55936</v>
      </c>
      <c r="E1044" s="79">
        <v>6.5404</v>
      </c>
      <c r="F1044" s="79">
        <v>6.5667</v>
      </c>
      <c r="G1044" s="83">
        <f t="shared" si="15"/>
        <v>6.7024523809523808</v>
      </c>
    </row>
    <row r="1045" spans="1:7" x14ac:dyDescent="0.2">
      <c r="A1045" s="75">
        <v>40238</v>
      </c>
      <c r="B1045" s="76" t="s">
        <v>35</v>
      </c>
      <c r="C1045" s="76" t="s">
        <v>536</v>
      </c>
      <c r="D1045" s="79">
        <v>1872.925082</v>
      </c>
      <c r="E1045" s="79">
        <v>6.5666000000000002</v>
      </c>
      <c r="F1045" s="79">
        <v>6.5998000000000001</v>
      </c>
      <c r="G1045" s="83">
        <f t="shared" si="15"/>
        <v>6.6989365079365069</v>
      </c>
    </row>
    <row r="1046" spans="1:7" x14ac:dyDescent="0.2">
      <c r="A1046" s="75">
        <v>40239</v>
      </c>
      <c r="B1046" s="76" t="s">
        <v>35</v>
      </c>
      <c r="C1046" s="76" t="s">
        <v>536</v>
      </c>
      <c r="D1046" s="79">
        <v>1873.9981720000001</v>
      </c>
      <c r="E1046" s="79">
        <v>6.5997000000000003</v>
      </c>
      <c r="F1046" s="79">
        <v>6.6021000000000001</v>
      </c>
      <c r="G1046" s="83">
        <f t="shared" si="15"/>
        <v>6.695553968253968</v>
      </c>
    </row>
    <row r="1047" spans="1:7" x14ac:dyDescent="0.2">
      <c r="A1047" s="75">
        <v>40240</v>
      </c>
      <c r="B1047" s="76" t="s">
        <v>35</v>
      </c>
      <c r="C1047" s="76" t="s">
        <v>536</v>
      </c>
      <c r="D1047" s="79">
        <v>1873.6930050000001</v>
      </c>
      <c r="E1047" s="79">
        <v>6.6020000000000003</v>
      </c>
      <c r="F1047" s="79">
        <v>6.6200999999999999</v>
      </c>
      <c r="G1047" s="83">
        <f t="shared" si="15"/>
        <v>6.6922555555555547</v>
      </c>
    </row>
    <row r="1048" spans="1:7" x14ac:dyDescent="0.2">
      <c r="A1048" s="75">
        <v>40241</v>
      </c>
      <c r="B1048" s="76" t="s">
        <v>35</v>
      </c>
      <c r="C1048" s="76" t="s">
        <v>536</v>
      </c>
      <c r="D1048" s="79">
        <v>1874.2673480000001</v>
      </c>
      <c r="E1048" s="79">
        <v>6.62</v>
      </c>
      <c r="F1048" s="79">
        <v>6.6280999999999999</v>
      </c>
      <c r="G1048" s="83">
        <f t="shared" si="15"/>
        <v>6.6888920634920632</v>
      </c>
    </row>
    <row r="1049" spans="1:7" x14ac:dyDescent="0.2">
      <c r="A1049" s="75">
        <v>40242</v>
      </c>
      <c r="B1049" s="76" t="s">
        <v>35</v>
      </c>
      <c r="C1049" s="76" t="s">
        <v>536</v>
      </c>
      <c r="D1049" s="79">
        <v>1872.628997</v>
      </c>
      <c r="E1049" s="79">
        <v>6.6280000000000001</v>
      </c>
      <c r="F1049" s="79">
        <v>6.6612999999999998</v>
      </c>
      <c r="G1049" s="83">
        <f t="shared" si="15"/>
        <v>6.6861936507936495</v>
      </c>
    </row>
    <row r="1050" spans="1:7" x14ac:dyDescent="0.2">
      <c r="A1050" s="75">
        <v>40245</v>
      </c>
      <c r="B1050" s="76" t="s">
        <v>35</v>
      </c>
      <c r="C1050" s="76" t="s">
        <v>536</v>
      </c>
      <c r="D1050" s="79">
        <v>1866.517474</v>
      </c>
      <c r="E1050" s="79">
        <v>6.6612</v>
      </c>
      <c r="F1050" s="79">
        <v>6.7457000000000003</v>
      </c>
      <c r="G1050" s="83">
        <f t="shared" si="15"/>
        <v>6.68421111111111</v>
      </c>
    </row>
    <row r="1051" spans="1:7" x14ac:dyDescent="0.2">
      <c r="A1051" s="75">
        <v>40246</v>
      </c>
      <c r="B1051" s="76" t="s">
        <v>35</v>
      </c>
      <c r="C1051" s="76" t="s">
        <v>536</v>
      </c>
      <c r="D1051" s="79">
        <v>1869.0838220000001</v>
      </c>
      <c r="E1051" s="79">
        <v>6.7454999999999998</v>
      </c>
      <c r="F1051" s="79">
        <v>6.7309000000000001</v>
      </c>
      <c r="G1051" s="83">
        <f t="shared" si="15"/>
        <v>6.6835555555555546</v>
      </c>
    </row>
    <row r="1052" spans="1:7" x14ac:dyDescent="0.2">
      <c r="A1052" s="75">
        <v>40247</v>
      </c>
      <c r="B1052" s="76" t="s">
        <v>35</v>
      </c>
      <c r="C1052" s="76" t="s">
        <v>536</v>
      </c>
      <c r="D1052" s="79">
        <v>1871.530184</v>
      </c>
      <c r="E1052" s="79">
        <v>6.7308000000000003</v>
      </c>
      <c r="F1052" s="79">
        <v>6.7176</v>
      </c>
      <c r="G1052" s="83">
        <f t="shared" si="15"/>
        <v>6.6826698412698402</v>
      </c>
    </row>
    <row r="1053" spans="1:7" x14ac:dyDescent="0.2">
      <c r="A1053" s="75">
        <v>40248</v>
      </c>
      <c r="B1053" s="76" t="s">
        <v>35</v>
      </c>
      <c r="C1053" s="76" t="s">
        <v>536</v>
      </c>
      <c r="D1053" s="79">
        <v>1873.8824460000001</v>
      </c>
      <c r="E1053" s="79">
        <v>6.7173999999999996</v>
      </c>
      <c r="F1053" s="79">
        <v>6.7053000000000003</v>
      </c>
      <c r="G1053" s="83">
        <f t="shared" si="15"/>
        <v>6.6816333333333322</v>
      </c>
    </row>
    <row r="1054" spans="1:7" x14ac:dyDescent="0.2">
      <c r="A1054" s="75">
        <v>40249</v>
      </c>
      <c r="B1054" s="76" t="s">
        <v>35</v>
      </c>
      <c r="C1054" s="76" t="s">
        <v>536</v>
      </c>
      <c r="D1054" s="79">
        <v>1876.9838990000001</v>
      </c>
      <c r="E1054" s="79">
        <v>6.7051999999999996</v>
      </c>
      <c r="F1054" s="79">
        <v>6.6845999999999997</v>
      </c>
      <c r="G1054" s="83">
        <f t="shared" si="15"/>
        <v>6.6799857142857135</v>
      </c>
    </row>
    <row r="1055" spans="1:7" x14ac:dyDescent="0.2">
      <c r="A1055" s="75">
        <v>40252</v>
      </c>
      <c r="B1055" s="76" t="s">
        <v>35</v>
      </c>
      <c r="C1055" s="76" t="s">
        <v>536</v>
      </c>
      <c r="D1055" s="79">
        <v>1881.613595</v>
      </c>
      <c r="E1055" s="79">
        <v>6.6844999999999999</v>
      </c>
      <c r="F1055" s="79">
        <v>6.6466000000000003</v>
      </c>
      <c r="G1055" s="83">
        <f t="shared" si="15"/>
        <v>6.677887301587301</v>
      </c>
    </row>
    <row r="1056" spans="1:7" x14ac:dyDescent="0.2">
      <c r="A1056" s="75">
        <v>40253</v>
      </c>
      <c r="B1056" s="76" t="s">
        <v>35</v>
      </c>
      <c r="C1056" s="76" t="s">
        <v>536</v>
      </c>
      <c r="D1056" s="79">
        <v>1884.9247929999999</v>
      </c>
      <c r="E1056" s="79">
        <v>6.6464999999999996</v>
      </c>
      <c r="F1056" s="79">
        <v>6.6181999999999999</v>
      </c>
      <c r="G1056" s="83">
        <f t="shared" si="15"/>
        <v>6.67523492063492</v>
      </c>
    </row>
    <row r="1057" spans="1:7" x14ac:dyDescent="0.2">
      <c r="A1057" s="75">
        <v>40254</v>
      </c>
      <c r="B1057" s="76" t="s">
        <v>35</v>
      </c>
      <c r="C1057" s="76" t="s">
        <v>536</v>
      </c>
      <c r="D1057" s="79">
        <v>1888.090038</v>
      </c>
      <c r="E1057" s="79">
        <v>6.6181000000000001</v>
      </c>
      <c r="F1057" s="79">
        <v>6.5914999999999999</v>
      </c>
      <c r="G1057" s="83">
        <f t="shared" si="15"/>
        <v>6.6723206349206343</v>
      </c>
    </row>
    <row r="1058" spans="1:7" x14ac:dyDescent="0.2">
      <c r="A1058" s="75">
        <v>40255</v>
      </c>
      <c r="B1058" s="76" t="s">
        <v>35</v>
      </c>
      <c r="C1058" s="76" t="s">
        <v>536</v>
      </c>
      <c r="D1058" s="79">
        <v>1896.5705350000001</v>
      </c>
      <c r="E1058" s="79">
        <v>6.5914000000000001</v>
      </c>
      <c r="F1058" s="79">
        <v>6.5049999999999999</v>
      </c>
      <c r="G1058" s="83">
        <f t="shared" si="15"/>
        <v>6.6691968253968259</v>
      </c>
    </row>
    <row r="1059" spans="1:7" x14ac:dyDescent="0.2">
      <c r="A1059" s="75">
        <v>40256</v>
      </c>
      <c r="B1059" s="76" t="s">
        <v>35</v>
      </c>
      <c r="C1059" s="76" t="s">
        <v>536</v>
      </c>
      <c r="D1059" s="79">
        <v>1897.8256530000001</v>
      </c>
      <c r="E1059" s="79">
        <v>6.5049999999999999</v>
      </c>
      <c r="F1059" s="79">
        <v>6.5</v>
      </c>
      <c r="G1059" s="83">
        <f t="shared" si="15"/>
        <v>6.6644777777777771</v>
      </c>
    </row>
    <row r="1060" spans="1:7" x14ac:dyDescent="0.2">
      <c r="A1060" s="75">
        <v>40259</v>
      </c>
      <c r="B1060" s="76" t="s">
        <v>35</v>
      </c>
      <c r="C1060" s="76" t="s">
        <v>536</v>
      </c>
      <c r="D1060" s="79">
        <v>1897.7098350000001</v>
      </c>
      <c r="E1060" s="79">
        <v>6.4999000000000002</v>
      </c>
      <c r="F1060" s="79">
        <v>6.5103</v>
      </c>
      <c r="G1060" s="83">
        <f t="shared" si="15"/>
        <v>6.6595555555555555</v>
      </c>
    </row>
    <row r="1061" spans="1:7" x14ac:dyDescent="0.2">
      <c r="A1061" s="75">
        <v>40260</v>
      </c>
      <c r="B1061" s="76" t="s">
        <v>35</v>
      </c>
      <c r="C1061" s="76" t="s">
        <v>536</v>
      </c>
      <c r="D1061" s="79">
        <v>1900.784294</v>
      </c>
      <c r="E1061" s="79">
        <v>6.5102000000000002</v>
      </c>
      <c r="F1061" s="79">
        <v>6.4847999999999999</v>
      </c>
      <c r="G1061" s="83">
        <f t="shared" si="15"/>
        <v>6.6550650793650803</v>
      </c>
    </row>
    <row r="1062" spans="1:7" x14ac:dyDescent="0.2">
      <c r="A1062" s="75">
        <v>40261</v>
      </c>
      <c r="B1062" s="76" t="s">
        <v>35</v>
      </c>
      <c r="C1062" s="76" t="s">
        <v>536</v>
      </c>
      <c r="D1062" s="79">
        <v>1899.582181</v>
      </c>
      <c r="E1062" s="79">
        <v>6.4847000000000001</v>
      </c>
      <c r="F1062" s="79">
        <v>6.5147000000000004</v>
      </c>
      <c r="G1062" s="83">
        <f t="shared" si="15"/>
        <v>6.6502968253968264</v>
      </c>
    </row>
    <row r="1063" spans="1:7" x14ac:dyDescent="0.2">
      <c r="A1063" s="75">
        <v>40262</v>
      </c>
      <c r="B1063" s="76" t="s">
        <v>35</v>
      </c>
      <c r="C1063" s="76" t="s">
        <v>536</v>
      </c>
      <c r="D1063" s="79">
        <v>1900.0966080000001</v>
      </c>
      <c r="E1063" s="79">
        <v>6.5145999999999997</v>
      </c>
      <c r="F1063" s="79">
        <v>6.5190000000000001</v>
      </c>
      <c r="G1063" s="83">
        <f t="shared" si="15"/>
        <v>6.6462507936507942</v>
      </c>
    </row>
    <row r="1064" spans="1:7" x14ac:dyDescent="0.2">
      <c r="A1064" s="75">
        <v>40263</v>
      </c>
      <c r="B1064" s="76" t="s">
        <v>35</v>
      </c>
      <c r="C1064" s="76" t="s">
        <v>536</v>
      </c>
      <c r="D1064" s="79">
        <v>1902.4220749999999</v>
      </c>
      <c r="E1064" s="79">
        <v>6.5189000000000004</v>
      </c>
      <c r="F1064" s="79">
        <v>6.5030000000000001</v>
      </c>
      <c r="G1064" s="83">
        <f t="shared" si="15"/>
        <v>6.6428825396825397</v>
      </c>
    </row>
    <row r="1065" spans="1:7" x14ac:dyDescent="0.2">
      <c r="A1065" s="75">
        <v>40266</v>
      </c>
      <c r="B1065" s="76" t="s">
        <v>35</v>
      </c>
      <c r="C1065" s="76" t="s">
        <v>536</v>
      </c>
      <c r="D1065" s="79">
        <v>1907.244702</v>
      </c>
      <c r="E1065" s="79">
        <v>6.5027999999999997</v>
      </c>
      <c r="F1065" s="79">
        <v>6.4589999999999996</v>
      </c>
      <c r="G1065" s="83">
        <f t="shared" si="15"/>
        <v>6.6392888888888875</v>
      </c>
    </row>
    <row r="1066" spans="1:7" x14ac:dyDescent="0.2">
      <c r="A1066" s="75">
        <v>40267</v>
      </c>
      <c r="B1066" s="76" t="s">
        <v>35</v>
      </c>
      <c r="C1066" s="76" t="s">
        <v>536</v>
      </c>
      <c r="D1066" s="79">
        <v>1914.7913840000001</v>
      </c>
      <c r="E1066" s="79">
        <v>6.4588000000000001</v>
      </c>
      <c r="F1066" s="79">
        <v>6.3848000000000003</v>
      </c>
      <c r="G1066" s="83">
        <f t="shared" si="15"/>
        <v>6.6349936507936498</v>
      </c>
    </row>
    <row r="1067" spans="1:7" x14ac:dyDescent="0.2">
      <c r="A1067" s="75">
        <v>40268</v>
      </c>
      <c r="B1067" s="76" t="s">
        <v>35</v>
      </c>
      <c r="C1067" s="76" t="s">
        <v>536</v>
      </c>
      <c r="D1067" s="79">
        <v>1917.8655879999999</v>
      </c>
      <c r="E1067" s="79">
        <v>6.3845999999999998</v>
      </c>
      <c r="F1067" s="79">
        <v>6.3605</v>
      </c>
      <c r="G1067" s="83">
        <f t="shared" si="15"/>
        <v>6.6295698412698396</v>
      </c>
    </row>
    <row r="1068" spans="1:7" x14ac:dyDescent="0.2">
      <c r="A1068" s="75">
        <v>40269</v>
      </c>
      <c r="B1068" s="76" t="s">
        <v>35</v>
      </c>
      <c r="C1068" s="76" t="s">
        <v>536</v>
      </c>
      <c r="D1068" s="79">
        <v>1921.4670369999999</v>
      </c>
      <c r="E1068" s="79">
        <v>6.3604000000000003</v>
      </c>
      <c r="F1068" s="79">
        <v>6.3304999999999998</v>
      </c>
      <c r="G1068" s="83">
        <f t="shared" si="15"/>
        <v>6.6236380952380944</v>
      </c>
    </row>
    <row r="1069" spans="1:7" x14ac:dyDescent="0.2">
      <c r="A1069" s="75">
        <v>40273</v>
      </c>
      <c r="B1069" s="76" t="s">
        <v>35</v>
      </c>
      <c r="C1069" s="76" t="s">
        <v>536</v>
      </c>
      <c r="D1069" s="79">
        <v>1922.8406299999999</v>
      </c>
      <c r="E1069" s="79">
        <v>6.3303000000000003</v>
      </c>
      <c r="F1069" s="79">
        <v>6.3250999999999999</v>
      </c>
      <c r="G1069" s="83">
        <f t="shared" si="15"/>
        <v>6.6172587301587296</v>
      </c>
    </row>
    <row r="1070" spans="1:7" x14ac:dyDescent="0.2">
      <c r="A1070" s="75">
        <v>40274</v>
      </c>
      <c r="B1070" s="76" t="s">
        <v>35</v>
      </c>
      <c r="C1070" s="76" t="s">
        <v>536</v>
      </c>
      <c r="D1070" s="79">
        <v>1925.3907380000001</v>
      </c>
      <c r="E1070" s="79">
        <v>6.3250000000000002</v>
      </c>
      <c r="F1070" s="79">
        <v>6.3068</v>
      </c>
      <c r="G1070" s="83">
        <f t="shared" si="15"/>
        <v>6.6107984126984123</v>
      </c>
    </row>
    <row r="1071" spans="1:7" x14ac:dyDescent="0.2">
      <c r="A1071" s="75">
        <v>40275</v>
      </c>
      <c r="B1071" s="76" t="s">
        <v>35</v>
      </c>
      <c r="C1071" s="76" t="s">
        <v>536</v>
      </c>
      <c r="D1071" s="79">
        <v>1930.2466380000001</v>
      </c>
      <c r="E1071" s="79">
        <v>6.3066000000000004</v>
      </c>
      <c r="F1071" s="79">
        <v>6.2629999999999999</v>
      </c>
      <c r="G1071" s="83">
        <f t="shared" si="15"/>
        <v>6.6042269841269841</v>
      </c>
    </row>
    <row r="1072" spans="1:7" x14ac:dyDescent="0.2">
      <c r="A1072" s="75">
        <v>40276</v>
      </c>
      <c r="B1072" s="76" t="s">
        <v>35</v>
      </c>
      <c r="C1072" s="76" t="s">
        <v>536</v>
      </c>
      <c r="D1072" s="79">
        <v>1937.240427</v>
      </c>
      <c r="E1072" s="79">
        <v>6.2628000000000004</v>
      </c>
      <c r="F1072" s="79">
        <v>6.1990999999999996</v>
      </c>
      <c r="G1072" s="83">
        <f t="shared" si="15"/>
        <v>6.5972285714285723</v>
      </c>
    </row>
    <row r="1073" spans="1:7" x14ac:dyDescent="0.2">
      <c r="A1073" s="75">
        <v>40277</v>
      </c>
      <c r="B1073" s="76" t="s">
        <v>35</v>
      </c>
      <c r="C1073" s="76" t="s">
        <v>536</v>
      </c>
      <c r="D1073" s="79">
        <v>1934.398328</v>
      </c>
      <c r="E1073" s="79">
        <v>6.1989000000000001</v>
      </c>
      <c r="F1073" s="79">
        <v>6.2401999999999997</v>
      </c>
      <c r="G1073" s="83">
        <f t="shared" si="15"/>
        <v>6.5894809523809528</v>
      </c>
    </row>
    <row r="1074" spans="1:7" x14ac:dyDescent="0.2">
      <c r="A1074" s="75">
        <v>40280</v>
      </c>
      <c r="B1074" s="76" t="s">
        <v>35</v>
      </c>
      <c r="C1074" s="76" t="s">
        <v>536</v>
      </c>
      <c r="D1074" s="79">
        <v>1935.7560579999999</v>
      </c>
      <c r="E1074" s="79">
        <v>6.2398999999999996</v>
      </c>
      <c r="F1074" s="79">
        <v>6.2351000000000001</v>
      </c>
      <c r="G1074" s="83">
        <f t="shared" si="15"/>
        <v>6.5823349206349215</v>
      </c>
    </row>
    <row r="1075" spans="1:7" x14ac:dyDescent="0.2">
      <c r="A1075" s="75">
        <v>40281</v>
      </c>
      <c r="B1075" s="76" t="s">
        <v>35</v>
      </c>
      <c r="C1075" s="76" t="s">
        <v>536</v>
      </c>
      <c r="D1075" s="79">
        <v>1928.174702</v>
      </c>
      <c r="E1075" s="79">
        <v>6.2348999999999997</v>
      </c>
      <c r="F1075" s="79">
        <v>6.3285</v>
      </c>
      <c r="G1075" s="83">
        <f t="shared" si="15"/>
        <v>6.5751999999999997</v>
      </c>
    </row>
    <row r="1076" spans="1:7" x14ac:dyDescent="0.2">
      <c r="A1076" s="75">
        <v>40282</v>
      </c>
      <c r="B1076" s="76" t="s">
        <v>35</v>
      </c>
      <c r="C1076" s="76" t="s">
        <v>536</v>
      </c>
      <c r="D1076" s="79">
        <v>1916.0633049999999</v>
      </c>
      <c r="E1076" s="79">
        <v>6.3282999999999996</v>
      </c>
      <c r="F1076" s="79">
        <v>6.4726999999999997</v>
      </c>
      <c r="G1076" s="83">
        <f t="shared" si="15"/>
        <v>6.5693857142857146</v>
      </c>
    </row>
    <row r="1077" spans="1:7" x14ac:dyDescent="0.2">
      <c r="A1077" s="75">
        <v>40283</v>
      </c>
      <c r="B1077" s="76" t="s">
        <v>35</v>
      </c>
      <c r="C1077" s="76" t="s">
        <v>536</v>
      </c>
      <c r="D1077" s="79">
        <v>1910.7615880000001</v>
      </c>
      <c r="E1077" s="79">
        <v>6.4725000000000001</v>
      </c>
      <c r="F1077" s="79">
        <v>6.5419</v>
      </c>
      <c r="G1077" s="83">
        <f t="shared" si="15"/>
        <v>6.5657047619047626</v>
      </c>
    </row>
    <row r="1078" spans="1:7" x14ac:dyDescent="0.2">
      <c r="A1078" s="75">
        <v>40284</v>
      </c>
      <c r="B1078" s="76" t="s">
        <v>35</v>
      </c>
      <c r="C1078" s="76" t="s">
        <v>536</v>
      </c>
      <c r="D1078" s="79">
        <v>1913.471761</v>
      </c>
      <c r="E1078" s="79">
        <v>6.5415999999999999</v>
      </c>
      <c r="F1078" s="79">
        <v>6.5214999999999996</v>
      </c>
      <c r="G1078" s="83">
        <f t="shared" si="15"/>
        <v>6.5633587301587308</v>
      </c>
    </row>
    <row r="1079" spans="1:7" x14ac:dyDescent="0.2">
      <c r="A1079" s="75">
        <v>40287</v>
      </c>
      <c r="B1079" s="76" t="s">
        <v>35</v>
      </c>
      <c r="C1079" s="76" t="s">
        <v>536</v>
      </c>
      <c r="D1079" s="79">
        <v>1903.3285659999999</v>
      </c>
      <c r="E1079" s="79">
        <v>6.5212000000000003</v>
      </c>
      <c r="F1079" s="79">
        <v>6.6447000000000003</v>
      </c>
      <c r="G1079" s="83">
        <f t="shared" si="15"/>
        <v>6.5605460317460329</v>
      </c>
    </row>
    <row r="1080" spans="1:7" x14ac:dyDescent="0.2">
      <c r="A1080" s="75">
        <v>40288</v>
      </c>
      <c r="B1080" s="76" t="s">
        <v>35</v>
      </c>
      <c r="C1080" s="76" t="s">
        <v>536</v>
      </c>
      <c r="D1080" s="79">
        <v>1892.7732980000001</v>
      </c>
      <c r="E1080" s="79">
        <v>6.6444000000000001</v>
      </c>
      <c r="F1080" s="79">
        <v>6.7733999999999996</v>
      </c>
      <c r="G1080" s="83">
        <f t="shared" si="15"/>
        <v>6.5599888888888902</v>
      </c>
    </row>
    <row r="1081" spans="1:7" x14ac:dyDescent="0.2">
      <c r="A1081" s="75">
        <v>40290</v>
      </c>
      <c r="B1081" s="76" t="s">
        <v>35</v>
      </c>
      <c r="C1081" s="76" t="s">
        <v>536</v>
      </c>
      <c r="D1081" s="79">
        <v>1895.5161089999999</v>
      </c>
      <c r="E1081" s="79">
        <v>6.7732000000000001</v>
      </c>
      <c r="F1081" s="79">
        <v>6.7538</v>
      </c>
      <c r="G1081" s="83">
        <f t="shared" si="15"/>
        <v>6.5616539682539692</v>
      </c>
    </row>
    <row r="1082" spans="1:7" x14ac:dyDescent="0.2">
      <c r="A1082" s="75">
        <v>40291</v>
      </c>
      <c r="B1082" s="76" t="s">
        <v>35</v>
      </c>
      <c r="C1082" s="76" t="s">
        <v>536</v>
      </c>
      <c r="D1082" s="79">
        <v>1903.5030569999999</v>
      </c>
      <c r="E1082" s="79">
        <v>6.7535999999999996</v>
      </c>
      <c r="F1082" s="79">
        <v>6.6744000000000003</v>
      </c>
      <c r="G1082" s="83">
        <f t="shared" si="15"/>
        <v>6.5627365079365081</v>
      </c>
    </row>
    <row r="1083" spans="1:7" x14ac:dyDescent="0.2">
      <c r="A1083" s="75">
        <v>40294</v>
      </c>
      <c r="B1083" s="76" t="s">
        <v>35</v>
      </c>
      <c r="C1083" s="76" t="s">
        <v>536</v>
      </c>
      <c r="D1083" s="79">
        <v>1899.8121060000001</v>
      </c>
      <c r="E1083" s="79">
        <v>6.6741999999999999</v>
      </c>
      <c r="F1083" s="79">
        <v>6.7262000000000004</v>
      </c>
      <c r="G1083" s="83">
        <f t="shared" si="15"/>
        <v>6.5624095238095244</v>
      </c>
    </row>
    <row r="1084" spans="1:7" x14ac:dyDescent="0.2">
      <c r="A1084" s="75">
        <v>40295</v>
      </c>
      <c r="B1084" s="76" t="s">
        <v>35</v>
      </c>
      <c r="C1084" s="76" t="s">
        <v>536</v>
      </c>
      <c r="D1084" s="79">
        <v>1893.377479</v>
      </c>
      <c r="E1084" s="79">
        <v>6.726</v>
      </c>
      <c r="F1084" s="79">
        <v>6.8090999999999999</v>
      </c>
      <c r="G1084" s="83">
        <f t="shared" si="15"/>
        <v>6.5623523809523814</v>
      </c>
    </row>
    <row r="1085" spans="1:7" x14ac:dyDescent="0.2">
      <c r="A1085" s="75">
        <v>40296</v>
      </c>
      <c r="B1085" s="76" t="s">
        <v>35</v>
      </c>
      <c r="C1085" s="76" t="s">
        <v>536</v>
      </c>
      <c r="D1085" s="79">
        <v>1895.2440939999999</v>
      </c>
      <c r="E1085" s="79">
        <v>6.8087999999999997</v>
      </c>
      <c r="F1085" s="79">
        <v>6.7984</v>
      </c>
      <c r="G1085" s="83">
        <f t="shared" si="15"/>
        <v>6.5634428571428574</v>
      </c>
    </row>
    <row r="1086" spans="1:7" x14ac:dyDescent="0.2">
      <c r="A1086" s="75">
        <v>40297</v>
      </c>
      <c r="B1086" s="76" t="s">
        <v>35</v>
      </c>
      <c r="C1086" s="76" t="s">
        <v>536</v>
      </c>
      <c r="D1086" s="79">
        <v>1910.302508</v>
      </c>
      <c r="E1086" s="79">
        <v>6.7980999999999998</v>
      </c>
      <c r="F1086" s="79">
        <v>6.6397000000000004</v>
      </c>
      <c r="G1086" s="83">
        <f t="shared" si="15"/>
        <v>6.5643714285714276</v>
      </c>
    </row>
    <row r="1087" spans="1:7" x14ac:dyDescent="0.2">
      <c r="A1087" s="75">
        <v>40298</v>
      </c>
      <c r="B1087" s="76" t="s">
        <v>35</v>
      </c>
      <c r="C1087" s="76" t="s">
        <v>536</v>
      </c>
      <c r="D1087" s="79">
        <v>1911.9064840000001</v>
      </c>
      <c r="E1087" s="79">
        <v>6.6394000000000002</v>
      </c>
      <c r="F1087" s="79">
        <v>6.6319999999999997</v>
      </c>
      <c r="G1087" s="83">
        <f t="shared" si="15"/>
        <v>6.5629365079365076</v>
      </c>
    </row>
    <row r="1088" spans="1:7" x14ac:dyDescent="0.2">
      <c r="A1088" s="75">
        <v>40301</v>
      </c>
      <c r="B1088" s="76" t="s">
        <v>35</v>
      </c>
      <c r="C1088" s="76" t="s">
        <v>536</v>
      </c>
      <c r="D1088" s="79">
        <v>1913.538198</v>
      </c>
      <c r="E1088" s="79">
        <v>6.6315999999999997</v>
      </c>
      <c r="F1088" s="79">
        <v>6.6238999999999999</v>
      </c>
      <c r="G1088" s="83">
        <f t="shared" si="15"/>
        <v>6.561815873015874</v>
      </c>
    </row>
    <row r="1089" spans="1:7" x14ac:dyDescent="0.2">
      <c r="A1089" s="75">
        <v>40302</v>
      </c>
      <c r="B1089" s="76" t="s">
        <v>35</v>
      </c>
      <c r="C1089" s="76" t="s">
        <v>536</v>
      </c>
      <c r="D1089" s="79">
        <v>1910.1082349999999</v>
      </c>
      <c r="E1089" s="79">
        <v>6.6235999999999997</v>
      </c>
      <c r="F1089" s="79">
        <v>6.6723999999999997</v>
      </c>
      <c r="G1089" s="83">
        <f t="shared" si="15"/>
        <v>6.5606174603174612</v>
      </c>
    </row>
    <row r="1090" spans="1:7" x14ac:dyDescent="0.2">
      <c r="A1090" s="75">
        <v>40303</v>
      </c>
      <c r="B1090" s="76" t="s">
        <v>35</v>
      </c>
      <c r="C1090" s="76" t="s">
        <v>536</v>
      </c>
      <c r="D1090" s="79">
        <v>1902.874098</v>
      </c>
      <c r="E1090" s="79">
        <v>6.6719999999999997</v>
      </c>
      <c r="F1090" s="79">
        <v>6.7636000000000003</v>
      </c>
      <c r="G1090" s="83">
        <f t="shared" si="15"/>
        <v>6.5602142857142871</v>
      </c>
    </row>
    <row r="1091" spans="1:7" x14ac:dyDescent="0.2">
      <c r="A1091" s="75">
        <v>40304</v>
      </c>
      <c r="B1091" s="76" t="s">
        <v>35</v>
      </c>
      <c r="C1091" s="76" t="s">
        <v>536</v>
      </c>
      <c r="D1091" s="79">
        <v>1896.4697610000001</v>
      </c>
      <c r="E1091" s="79">
        <v>6.7632000000000003</v>
      </c>
      <c r="F1091" s="79">
        <v>6.8459000000000003</v>
      </c>
      <c r="G1091" s="83">
        <f t="shared" ref="G1091:G1154" si="16">+AVERAGE(E1029:E1091)</f>
        <v>6.5614968253968273</v>
      </c>
    </row>
    <row r="1092" spans="1:7" x14ac:dyDescent="0.2">
      <c r="A1092" s="75">
        <v>40305</v>
      </c>
      <c r="B1092" s="76" t="s">
        <v>35</v>
      </c>
      <c r="C1092" s="76" t="s">
        <v>536</v>
      </c>
      <c r="D1092" s="79">
        <v>1889.371699</v>
      </c>
      <c r="E1092" s="79">
        <v>6.8455000000000004</v>
      </c>
      <c r="F1092" s="79">
        <v>6.9470999999999998</v>
      </c>
      <c r="G1092" s="83">
        <f t="shared" si="16"/>
        <v>6.5642158730158746</v>
      </c>
    </row>
    <row r="1093" spans="1:7" x14ac:dyDescent="0.2">
      <c r="A1093" s="75">
        <v>40308</v>
      </c>
      <c r="B1093" s="76" t="s">
        <v>35</v>
      </c>
      <c r="C1093" s="76" t="s">
        <v>536</v>
      </c>
      <c r="D1093" s="79">
        <v>1891.6945519999999</v>
      </c>
      <c r="E1093" s="79">
        <v>6.9467999999999996</v>
      </c>
      <c r="F1093" s="79">
        <v>6.9320000000000004</v>
      </c>
      <c r="G1093" s="83">
        <f t="shared" si="16"/>
        <v>6.5688460317460322</v>
      </c>
    </row>
    <row r="1094" spans="1:7" x14ac:dyDescent="0.2">
      <c r="A1094" s="75">
        <v>40309</v>
      </c>
      <c r="B1094" s="76" t="s">
        <v>35</v>
      </c>
      <c r="C1094" s="76" t="s">
        <v>536</v>
      </c>
      <c r="D1094" s="79">
        <v>1900.6889470000001</v>
      </c>
      <c r="E1094" s="79">
        <v>6.9317000000000002</v>
      </c>
      <c r="F1094" s="79">
        <v>6.8417000000000003</v>
      </c>
      <c r="G1094" s="83">
        <f t="shared" si="16"/>
        <v>6.5735000000000001</v>
      </c>
    </row>
    <row r="1095" spans="1:7" x14ac:dyDescent="0.2">
      <c r="A1095" s="75">
        <v>40310</v>
      </c>
      <c r="B1095" s="76" t="s">
        <v>35</v>
      </c>
      <c r="C1095" s="76" t="s">
        <v>536</v>
      </c>
      <c r="D1095" s="79">
        <v>1905.65615</v>
      </c>
      <c r="E1095" s="79">
        <v>6.8414000000000001</v>
      </c>
      <c r="F1095" s="79">
        <v>6.7969999999999997</v>
      </c>
      <c r="G1095" s="83">
        <f t="shared" si="16"/>
        <v>6.576714285714286</v>
      </c>
    </row>
    <row r="1096" spans="1:7" x14ac:dyDescent="0.2">
      <c r="A1096" s="75">
        <v>40311</v>
      </c>
      <c r="B1096" s="76" t="s">
        <v>35</v>
      </c>
      <c r="C1096" s="76" t="s">
        <v>536</v>
      </c>
      <c r="D1096" s="79">
        <v>1913.677944</v>
      </c>
      <c r="E1096" s="79">
        <v>6.7967000000000004</v>
      </c>
      <c r="F1096" s="79">
        <v>6.7183000000000002</v>
      </c>
      <c r="G1096" s="83">
        <f t="shared" si="16"/>
        <v>6.5796206349206354</v>
      </c>
    </row>
    <row r="1097" spans="1:7" x14ac:dyDescent="0.2">
      <c r="A1097" s="75">
        <v>40312</v>
      </c>
      <c r="B1097" s="76" t="s">
        <v>35</v>
      </c>
      <c r="C1097" s="76" t="s">
        <v>536</v>
      </c>
      <c r="D1097" s="79">
        <v>1916.788945</v>
      </c>
      <c r="E1097" s="79">
        <v>6.7180999999999997</v>
      </c>
      <c r="F1097" s="79">
        <v>6.6947000000000001</v>
      </c>
      <c r="G1097" s="83">
        <f t="shared" si="16"/>
        <v>6.5814634920634925</v>
      </c>
    </row>
    <row r="1098" spans="1:7" x14ac:dyDescent="0.2">
      <c r="A1098" s="75">
        <v>40315</v>
      </c>
      <c r="B1098" s="76" t="s">
        <v>35</v>
      </c>
      <c r="C1098" s="76" t="s">
        <v>536</v>
      </c>
      <c r="D1098" s="79">
        <v>1923.099144</v>
      </c>
      <c r="E1098" s="79">
        <v>6.6944999999999997</v>
      </c>
      <c r="F1098" s="79">
        <v>6.6356000000000002</v>
      </c>
      <c r="G1098" s="83">
        <f t="shared" si="16"/>
        <v>6.5831349206349223</v>
      </c>
    </row>
    <row r="1099" spans="1:7" x14ac:dyDescent="0.2">
      <c r="A1099" s="75">
        <v>40316</v>
      </c>
      <c r="B1099" s="76" t="s">
        <v>35</v>
      </c>
      <c r="C1099" s="76" t="s">
        <v>536</v>
      </c>
      <c r="D1099" s="79">
        <v>1919.754263</v>
      </c>
      <c r="E1099" s="79">
        <v>6.6353999999999997</v>
      </c>
      <c r="F1099" s="79">
        <v>6.6828000000000003</v>
      </c>
      <c r="G1099" s="83">
        <f t="shared" si="16"/>
        <v>6.5840555555555564</v>
      </c>
    </row>
    <row r="1100" spans="1:7" x14ac:dyDescent="0.2">
      <c r="A1100" s="75">
        <v>40317</v>
      </c>
      <c r="B1100" s="76" t="s">
        <v>35</v>
      </c>
      <c r="C1100" s="76" t="s">
        <v>536</v>
      </c>
      <c r="D1100" s="79">
        <v>1917.569119</v>
      </c>
      <c r="E1100" s="79">
        <v>6.6825999999999999</v>
      </c>
      <c r="F1100" s="79">
        <v>6.7172000000000001</v>
      </c>
      <c r="G1100" s="83">
        <f t="shared" si="16"/>
        <v>6.5861507936507948</v>
      </c>
    </row>
    <row r="1101" spans="1:7" x14ac:dyDescent="0.2">
      <c r="A1101" s="75">
        <v>40318</v>
      </c>
      <c r="B1101" s="76" t="s">
        <v>35</v>
      </c>
      <c r="C1101" s="76" t="s">
        <v>536</v>
      </c>
      <c r="D1101" s="79">
        <v>1919.9412030000001</v>
      </c>
      <c r="E1101" s="79">
        <v>6.7169999999999996</v>
      </c>
      <c r="F1101" s="79">
        <v>6.7008999999999999</v>
      </c>
      <c r="G1101" s="83">
        <f t="shared" si="16"/>
        <v>6.5891000000000002</v>
      </c>
    </row>
    <row r="1102" spans="1:7" x14ac:dyDescent="0.2">
      <c r="A1102" s="75">
        <v>40319</v>
      </c>
      <c r="B1102" s="76" t="s">
        <v>35</v>
      </c>
      <c r="C1102" s="76" t="s">
        <v>536</v>
      </c>
      <c r="D1102" s="79">
        <v>1920.8373959999999</v>
      </c>
      <c r="E1102" s="79">
        <v>6.7007000000000003</v>
      </c>
      <c r="F1102" s="79">
        <v>6.7023000000000001</v>
      </c>
      <c r="G1102" s="83">
        <f t="shared" si="16"/>
        <v>6.591855555555556</v>
      </c>
    </row>
    <row r="1103" spans="1:7" x14ac:dyDescent="0.2">
      <c r="A1103" s="75">
        <v>40322</v>
      </c>
      <c r="B1103" s="76" t="s">
        <v>35</v>
      </c>
      <c r="C1103" s="76" t="s">
        <v>536</v>
      </c>
      <c r="D1103" s="79">
        <v>1919.058863</v>
      </c>
      <c r="E1103" s="79">
        <v>6.7020999999999997</v>
      </c>
      <c r="F1103" s="79">
        <v>6.7324999999999999</v>
      </c>
      <c r="G1103" s="83">
        <f t="shared" si="16"/>
        <v>6.5946428571428557</v>
      </c>
    </row>
    <row r="1104" spans="1:7" x14ac:dyDescent="0.2">
      <c r="A1104" s="75">
        <v>40323</v>
      </c>
      <c r="B1104" s="76" t="s">
        <v>35</v>
      </c>
      <c r="C1104" s="76" t="s">
        <v>536</v>
      </c>
      <c r="D1104" s="79">
        <v>1917.9848750000001</v>
      </c>
      <c r="E1104" s="79">
        <v>6.7323000000000004</v>
      </c>
      <c r="F1104" s="79">
        <v>6.7549000000000001</v>
      </c>
      <c r="G1104" s="83">
        <f t="shared" si="16"/>
        <v>6.5980142857142843</v>
      </c>
    </row>
    <row r="1105" spans="1:7" x14ac:dyDescent="0.2">
      <c r="A1105" s="75">
        <v>40324</v>
      </c>
      <c r="B1105" s="76" t="s">
        <v>35</v>
      </c>
      <c r="C1105" s="76" t="s">
        <v>536</v>
      </c>
      <c r="D1105" s="79">
        <v>1917.326133</v>
      </c>
      <c r="E1105" s="79">
        <v>6.7545999999999999</v>
      </c>
      <c r="F1105" s="79">
        <v>6.7725999999999997</v>
      </c>
      <c r="G1105" s="83">
        <f t="shared" si="16"/>
        <v>6.6016619047619036</v>
      </c>
    </row>
    <row r="1106" spans="1:7" x14ac:dyDescent="0.2">
      <c r="A1106" s="75">
        <v>40325</v>
      </c>
      <c r="B1106" s="76" t="s">
        <v>35</v>
      </c>
      <c r="C1106" s="76" t="s">
        <v>536</v>
      </c>
      <c r="D1106" s="79">
        <v>1918.328878</v>
      </c>
      <c r="E1106" s="79">
        <v>6.7723000000000004</v>
      </c>
      <c r="F1106" s="79">
        <v>6.7717999999999998</v>
      </c>
      <c r="G1106" s="83">
        <f t="shared" si="16"/>
        <v>6.6053809523809512</v>
      </c>
    </row>
    <row r="1107" spans="1:7" x14ac:dyDescent="0.2">
      <c r="A1107" s="75">
        <v>40326</v>
      </c>
      <c r="B1107" s="76" t="s">
        <v>35</v>
      </c>
      <c r="C1107" s="76" t="s">
        <v>536</v>
      </c>
      <c r="D1107" s="79">
        <v>1919.385978</v>
      </c>
      <c r="E1107" s="79">
        <v>6.7714999999999996</v>
      </c>
      <c r="F1107" s="79">
        <v>6.7704000000000004</v>
      </c>
      <c r="G1107" s="83">
        <f t="shared" si="16"/>
        <v>6.6090492063492059</v>
      </c>
    </row>
    <row r="1108" spans="1:7" x14ac:dyDescent="0.2">
      <c r="A1108" s="75">
        <v>40329</v>
      </c>
      <c r="B1108" s="76" t="s">
        <v>35</v>
      </c>
      <c r="C1108" s="76" t="s">
        <v>536</v>
      </c>
      <c r="D1108" s="79">
        <v>1920.0751640000001</v>
      </c>
      <c r="E1108" s="79">
        <v>6.7701000000000002</v>
      </c>
      <c r="F1108" s="79">
        <v>6.7731000000000003</v>
      </c>
      <c r="G1108" s="83">
        <f t="shared" si="16"/>
        <v>6.6122793650793641</v>
      </c>
    </row>
    <row r="1109" spans="1:7" x14ac:dyDescent="0.2">
      <c r="A1109" s="75">
        <v>40330</v>
      </c>
      <c r="B1109" s="76" t="s">
        <v>35</v>
      </c>
      <c r="C1109" s="76" t="s">
        <v>536</v>
      </c>
      <c r="D1109" s="79">
        <v>1925.6162650000001</v>
      </c>
      <c r="E1109" s="79">
        <v>6.7728999999999999</v>
      </c>
      <c r="F1109" s="79">
        <v>6.7220000000000004</v>
      </c>
      <c r="G1109" s="83">
        <f t="shared" si="16"/>
        <v>6.6150285714285708</v>
      </c>
    </row>
    <row r="1110" spans="1:7" x14ac:dyDescent="0.2">
      <c r="A1110" s="75">
        <v>40331</v>
      </c>
      <c r="B1110" s="76" t="s">
        <v>35</v>
      </c>
      <c r="C1110" s="76" t="s">
        <v>536</v>
      </c>
      <c r="D1110" s="79">
        <v>1929.92419</v>
      </c>
      <c r="E1110" s="79">
        <v>6.7218</v>
      </c>
      <c r="F1110" s="79">
        <v>6.6847000000000003</v>
      </c>
      <c r="G1110" s="83">
        <f t="shared" si="16"/>
        <v>6.616930158730157</v>
      </c>
    </row>
    <row r="1111" spans="1:7" x14ac:dyDescent="0.2">
      <c r="A1111" s="75">
        <v>40333</v>
      </c>
      <c r="B1111" s="76" t="s">
        <v>35</v>
      </c>
      <c r="C1111" s="76" t="s">
        <v>536</v>
      </c>
      <c r="D1111" s="79">
        <v>1938.895346</v>
      </c>
      <c r="E1111" s="79">
        <v>6.6844999999999999</v>
      </c>
      <c r="F1111" s="79">
        <v>6.5960999999999999</v>
      </c>
      <c r="G1111" s="83">
        <f t="shared" si="16"/>
        <v>6.6179539682539668</v>
      </c>
    </row>
    <row r="1112" spans="1:7" x14ac:dyDescent="0.2">
      <c r="A1112" s="75">
        <v>40336</v>
      </c>
      <c r="B1112" s="76" t="s">
        <v>35</v>
      </c>
      <c r="C1112" s="76" t="s">
        <v>536</v>
      </c>
      <c r="D1112" s="79">
        <v>1944.54036</v>
      </c>
      <c r="E1112" s="79">
        <v>6.5959000000000003</v>
      </c>
      <c r="F1112" s="79">
        <v>6.5444000000000004</v>
      </c>
      <c r="G1112" s="83">
        <f t="shared" si="16"/>
        <v>6.6174444444444429</v>
      </c>
    </row>
    <row r="1113" spans="1:7" x14ac:dyDescent="0.2">
      <c r="A1113" s="75">
        <v>40337</v>
      </c>
      <c r="B1113" s="76" t="s">
        <v>35</v>
      </c>
      <c r="C1113" s="76" t="s">
        <v>536</v>
      </c>
      <c r="D1113" s="79">
        <v>1944.2186280000001</v>
      </c>
      <c r="E1113" s="79">
        <v>6.5442</v>
      </c>
      <c r="F1113" s="79">
        <v>6.5582000000000003</v>
      </c>
      <c r="G1113" s="83">
        <f t="shared" si="16"/>
        <v>6.6155873015872997</v>
      </c>
    </row>
    <row r="1114" spans="1:7" x14ac:dyDescent="0.2">
      <c r="A1114" s="75">
        <v>40338</v>
      </c>
      <c r="B1114" s="76" t="s">
        <v>35</v>
      </c>
      <c r="C1114" s="76" t="s">
        <v>536</v>
      </c>
      <c r="D1114" s="79">
        <v>1944.1362200000001</v>
      </c>
      <c r="E1114" s="79">
        <v>6.5579999999999998</v>
      </c>
      <c r="F1114" s="79">
        <v>6.5609000000000002</v>
      </c>
      <c r="G1114" s="83">
        <f t="shared" si="16"/>
        <v>6.612611111111109</v>
      </c>
    </row>
    <row r="1115" spans="1:7" x14ac:dyDescent="0.2">
      <c r="A1115" s="75">
        <v>40339</v>
      </c>
      <c r="B1115" s="76" t="s">
        <v>35</v>
      </c>
      <c r="C1115" s="76" t="s">
        <v>536</v>
      </c>
      <c r="D1115" s="79">
        <v>1945.8464839999999</v>
      </c>
      <c r="E1115" s="79">
        <v>6.5606999999999998</v>
      </c>
      <c r="F1115" s="79">
        <v>6.5518999999999998</v>
      </c>
      <c r="G1115" s="83">
        <f t="shared" si="16"/>
        <v>6.60991111111111</v>
      </c>
    </row>
    <row r="1116" spans="1:7" x14ac:dyDescent="0.2">
      <c r="A1116" s="75">
        <v>40340</v>
      </c>
      <c r="B1116" s="76" t="s">
        <v>35</v>
      </c>
      <c r="C1116" s="76" t="s">
        <v>536</v>
      </c>
      <c r="D1116" s="79">
        <v>1944.1730239999999</v>
      </c>
      <c r="E1116" s="79">
        <v>6.5515999999999996</v>
      </c>
      <c r="F1116" s="79">
        <v>6.5799000000000003</v>
      </c>
      <c r="G1116" s="83">
        <f t="shared" si="16"/>
        <v>6.6072793650793624</v>
      </c>
    </row>
    <row r="1117" spans="1:7" x14ac:dyDescent="0.2">
      <c r="A1117" s="75">
        <v>40343</v>
      </c>
      <c r="B1117" s="76" t="s">
        <v>35</v>
      </c>
      <c r="C1117" s="76" t="s">
        <v>536</v>
      </c>
      <c r="D1117" s="79">
        <v>1945.191401</v>
      </c>
      <c r="E1117" s="79">
        <v>6.5796000000000001</v>
      </c>
      <c r="F1117" s="79">
        <v>6.5784000000000002</v>
      </c>
      <c r="G1117" s="83">
        <f t="shared" si="16"/>
        <v>6.6052857142857118</v>
      </c>
    </row>
    <row r="1118" spans="1:7" x14ac:dyDescent="0.2">
      <c r="A1118" s="75">
        <v>40344</v>
      </c>
      <c r="B1118" s="76" t="s">
        <v>35</v>
      </c>
      <c r="C1118" s="76" t="s">
        <v>536</v>
      </c>
      <c r="D1118" s="79">
        <v>1940.6727020000001</v>
      </c>
      <c r="E1118" s="79">
        <v>6.5780000000000003</v>
      </c>
      <c r="F1118" s="79">
        <v>6.6375999999999999</v>
      </c>
      <c r="G1118" s="83">
        <f t="shared" si="16"/>
        <v>6.6035952380952363</v>
      </c>
    </row>
    <row r="1119" spans="1:7" x14ac:dyDescent="0.2">
      <c r="A1119" s="75">
        <v>40345</v>
      </c>
      <c r="B1119" s="76" t="s">
        <v>35</v>
      </c>
      <c r="C1119" s="76" t="s">
        <v>536</v>
      </c>
      <c r="D1119" s="79">
        <v>1945.267922</v>
      </c>
      <c r="E1119" s="79">
        <v>6.6372999999999998</v>
      </c>
      <c r="F1119" s="79">
        <v>6.5945</v>
      </c>
      <c r="G1119" s="83">
        <f t="shared" si="16"/>
        <v>6.603449206349203</v>
      </c>
    </row>
    <row r="1120" spans="1:7" x14ac:dyDescent="0.2">
      <c r="A1120" s="75">
        <v>40346</v>
      </c>
      <c r="B1120" s="76" t="s">
        <v>35</v>
      </c>
      <c r="C1120" s="76" t="s">
        <v>536</v>
      </c>
      <c r="D1120" s="79">
        <v>1946.6118180000001</v>
      </c>
      <c r="E1120" s="79">
        <v>6.5941000000000001</v>
      </c>
      <c r="F1120" s="79">
        <v>6.5869999999999997</v>
      </c>
      <c r="G1120" s="83">
        <f t="shared" si="16"/>
        <v>6.603068253968253</v>
      </c>
    </row>
    <row r="1121" spans="1:7" x14ac:dyDescent="0.2">
      <c r="A1121" s="75">
        <v>40347</v>
      </c>
      <c r="B1121" s="76" t="s">
        <v>35</v>
      </c>
      <c r="C1121" s="76" t="s">
        <v>536</v>
      </c>
      <c r="D1121" s="79">
        <v>1949.7102990000001</v>
      </c>
      <c r="E1121" s="79">
        <v>6.5867000000000004</v>
      </c>
      <c r="F1121" s="79">
        <v>6.5603999999999996</v>
      </c>
      <c r="G1121" s="83">
        <f t="shared" si="16"/>
        <v>6.6029936507936489</v>
      </c>
    </row>
    <row r="1122" spans="1:7" x14ac:dyDescent="0.2">
      <c r="A1122" s="75">
        <v>40350</v>
      </c>
      <c r="B1122" s="76" t="s">
        <v>35</v>
      </c>
      <c r="C1122" s="76" t="s">
        <v>536</v>
      </c>
      <c r="D1122" s="79">
        <v>1950.3507529999999</v>
      </c>
      <c r="E1122" s="79">
        <v>6.5601000000000003</v>
      </c>
      <c r="F1122" s="79">
        <v>6.5606999999999998</v>
      </c>
      <c r="G1122" s="83">
        <f t="shared" si="16"/>
        <v>6.6038682539682521</v>
      </c>
    </row>
    <row r="1123" spans="1:7" x14ac:dyDescent="0.2">
      <c r="A1123" s="75">
        <v>40351</v>
      </c>
      <c r="B1123" s="76" t="s">
        <v>35</v>
      </c>
      <c r="C1123" s="76" t="s">
        <v>536</v>
      </c>
      <c r="D1123" s="79">
        <v>1949.0899609999999</v>
      </c>
      <c r="E1123" s="79">
        <v>6.5603999999999996</v>
      </c>
      <c r="F1123" s="79">
        <v>6.5818000000000003</v>
      </c>
      <c r="G1123" s="83">
        <f t="shared" si="16"/>
        <v>6.6048285714285697</v>
      </c>
    </row>
    <row r="1124" spans="1:7" x14ac:dyDescent="0.2">
      <c r="A1124" s="75">
        <v>40352</v>
      </c>
      <c r="B1124" s="76" t="s">
        <v>35</v>
      </c>
      <c r="C1124" s="76" t="s">
        <v>536</v>
      </c>
      <c r="D1124" s="79">
        <v>1947.9497899999999</v>
      </c>
      <c r="E1124" s="79">
        <v>6.5815000000000001</v>
      </c>
      <c r="F1124" s="79">
        <v>6.5957999999999997</v>
      </c>
      <c r="G1124" s="83">
        <f t="shared" si="16"/>
        <v>6.6059603174603145</v>
      </c>
    </row>
    <row r="1125" spans="1:7" x14ac:dyDescent="0.2">
      <c r="A1125" s="75">
        <v>40353</v>
      </c>
      <c r="B1125" s="76" t="s">
        <v>35</v>
      </c>
      <c r="C1125" s="76" t="s">
        <v>536</v>
      </c>
      <c r="D1125" s="79">
        <v>1946.869964</v>
      </c>
      <c r="E1125" s="79">
        <v>6.5955000000000004</v>
      </c>
      <c r="F1125" s="79">
        <v>6.6139999999999999</v>
      </c>
      <c r="G1125" s="83">
        <f t="shared" si="16"/>
        <v>6.6077190476190477</v>
      </c>
    </row>
    <row r="1126" spans="1:7" x14ac:dyDescent="0.2">
      <c r="A1126" s="75">
        <v>40354</v>
      </c>
      <c r="B1126" s="76" t="s">
        <v>35</v>
      </c>
      <c r="C1126" s="76" t="s">
        <v>536</v>
      </c>
      <c r="D1126" s="79">
        <v>1948.2100379999999</v>
      </c>
      <c r="E1126" s="79">
        <v>6.6135999999999999</v>
      </c>
      <c r="F1126" s="79">
        <v>6.6055999999999999</v>
      </c>
      <c r="G1126" s="83">
        <f t="shared" si="16"/>
        <v>6.6092904761904769</v>
      </c>
    </row>
    <row r="1127" spans="1:7" x14ac:dyDescent="0.2">
      <c r="A1127" s="75">
        <v>40357</v>
      </c>
      <c r="B1127" s="76" t="s">
        <v>35</v>
      </c>
      <c r="C1127" s="76" t="s">
        <v>536</v>
      </c>
      <c r="D1127" s="79">
        <v>1949.687553</v>
      </c>
      <c r="E1127" s="79">
        <v>6.6052999999999997</v>
      </c>
      <c r="F1127" s="79">
        <v>6.5957999999999997</v>
      </c>
      <c r="G1127" s="83">
        <f t="shared" si="16"/>
        <v>6.6106619047619049</v>
      </c>
    </row>
    <row r="1128" spans="1:7" x14ac:dyDescent="0.2">
      <c r="A1128" s="75">
        <v>40358</v>
      </c>
      <c r="B1128" s="76" t="s">
        <v>35</v>
      </c>
      <c r="C1128" s="76" t="s">
        <v>536</v>
      </c>
      <c r="D1128" s="79">
        <v>1950.3243660000001</v>
      </c>
      <c r="E1128" s="79">
        <v>6.5955000000000004</v>
      </c>
      <c r="F1128" s="79">
        <v>6.5952000000000002</v>
      </c>
      <c r="G1128" s="83">
        <f t="shared" si="16"/>
        <v>6.6121333333333343</v>
      </c>
    </row>
    <row r="1129" spans="1:7" x14ac:dyDescent="0.2">
      <c r="A1129" s="75">
        <v>40359</v>
      </c>
      <c r="B1129" s="76" t="s">
        <v>35</v>
      </c>
      <c r="C1129" s="76" t="s">
        <v>536</v>
      </c>
      <c r="D1129" s="79">
        <v>1954.5589319999999</v>
      </c>
      <c r="E1129" s="79">
        <v>6.5949</v>
      </c>
      <c r="F1129" s="79">
        <v>6.5552999999999999</v>
      </c>
      <c r="G1129" s="83">
        <f t="shared" si="16"/>
        <v>6.6142936507936509</v>
      </c>
    </row>
    <row r="1130" spans="1:7" x14ac:dyDescent="0.2">
      <c r="A1130" s="75">
        <v>40360</v>
      </c>
      <c r="B1130" s="76" t="s">
        <v>35</v>
      </c>
      <c r="C1130" s="76" t="s">
        <v>536</v>
      </c>
      <c r="D1130" s="79">
        <v>1960.400572</v>
      </c>
      <c r="E1130" s="79">
        <v>6.5549999999999997</v>
      </c>
      <c r="F1130" s="79">
        <v>6.4980000000000002</v>
      </c>
      <c r="G1130" s="83">
        <f t="shared" si="16"/>
        <v>6.6169984126984138</v>
      </c>
    </row>
    <row r="1131" spans="1:7" x14ac:dyDescent="0.2">
      <c r="A1131" s="75">
        <v>40361</v>
      </c>
      <c r="B1131" s="76" t="s">
        <v>35</v>
      </c>
      <c r="C1131" s="76" t="s">
        <v>536</v>
      </c>
      <c r="D1131" s="79">
        <v>1962.1933409999999</v>
      </c>
      <c r="E1131" s="79">
        <v>6.4977999999999998</v>
      </c>
      <c r="F1131" s="79">
        <v>6.4848999999999997</v>
      </c>
      <c r="G1131" s="83">
        <f t="shared" si="16"/>
        <v>6.6191793650793675</v>
      </c>
    </row>
    <row r="1132" spans="1:7" x14ac:dyDescent="0.2">
      <c r="A1132" s="75">
        <v>40364</v>
      </c>
      <c r="B1132" s="76" t="s">
        <v>35</v>
      </c>
      <c r="C1132" s="76" t="s">
        <v>536</v>
      </c>
      <c r="D1132" s="79">
        <v>1962.816957</v>
      </c>
      <c r="E1132" s="79">
        <v>6.4847000000000001</v>
      </c>
      <c r="F1132" s="79">
        <v>6.4844999999999997</v>
      </c>
      <c r="G1132" s="83">
        <f t="shared" si="16"/>
        <v>6.6216301587301594</v>
      </c>
    </row>
    <row r="1133" spans="1:7" x14ac:dyDescent="0.2">
      <c r="A1133" s="75">
        <v>40365</v>
      </c>
      <c r="B1133" s="76" t="s">
        <v>35</v>
      </c>
      <c r="C1133" s="76" t="s">
        <v>536</v>
      </c>
      <c r="D1133" s="79">
        <v>1960.063396</v>
      </c>
      <c r="E1133" s="79">
        <v>6.4843000000000002</v>
      </c>
      <c r="F1133" s="79">
        <v>6.5208000000000004</v>
      </c>
      <c r="G1133" s="83">
        <f t="shared" si="16"/>
        <v>6.6241587301587321</v>
      </c>
    </row>
    <row r="1134" spans="1:7" x14ac:dyDescent="0.2">
      <c r="A1134" s="75">
        <v>40366</v>
      </c>
      <c r="B1134" s="76" t="s">
        <v>35</v>
      </c>
      <c r="C1134" s="76" t="s">
        <v>536</v>
      </c>
      <c r="D1134" s="79">
        <v>1958.956729</v>
      </c>
      <c r="E1134" s="79">
        <v>6.5206</v>
      </c>
      <c r="F1134" s="79">
        <v>6.5190999999999999</v>
      </c>
      <c r="G1134" s="83">
        <f t="shared" si="16"/>
        <v>6.6275555555555572</v>
      </c>
    </row>
    <row r="1135" spans="1:7" x14ac:dyDescent="0.2">
      <c r="A1135" s="75">
        <v>40367</v>
      </c>
      <c r="B1135" s="76" t="s">
        <v>35</v>
      </c>
      <c r="C1135" s="76" t="s">
        <v>536</v>
      </c>
      <c r="D1135" s="79">
        <v>1955.739028</v>
      </c>
      <c r="E1135" s="79">
        <v>6.5189000000000004</v>
      </c>
      <c r="F1135" s="79">
        <v>6.5593000000000004</v>
      </c>
      <c r="G1135" s="83">
        <f t="shared" si="16"/>
        <v>6.631620634920635</v>
      </c>
    </row>
    <row r="1136" spans="1:7" x14ac:dyDescent="0.2">
      <c r="A1136" s="75">
        <v>40368</v>
      </c>
      <c r="B1136" s="76" t="s">
        <v>35</v>
      </c>
      <c r="C1136" s="76" t="s">
        <v>536</v>
      </c>
      <c r="D1136" s="79">
        <v>1956.2321340000001</v>
      </c>
      <c r="E1136" s="79">
        <v>6.5590999999999999</v>
      </c>
      <c r="F1136" s="79">
        <v>6.5590999999999999</v>
      </c>
      <c r="G1136" s="83">
        <f t="shared" si="16"/>
        <v>6.6373380952380954</v>
      </c>
    </row>
    <row r="1137" spans="1:7" x14ac:dyDescent="0.2">
      <c r="A1137" s="75">
        <v>40371</v>
      </c>
      <c r="B1137" s="76" t="s">
        <v>35</v>
      </c>
      <c r="C1137" s="76" t="s">
        <v>536</v>
      </c>
      <c r="D1137" s="79">
        <v>1952.4649509999999</v>
      </c>
      <c r="E1137" s="79">
        <v>6.5589000000000004</v>
      </c>
      <c r="F1137" s="79">
        <v>6.6054000000000004</v>
      </c>
      <c r="G1137" s="83">
        <f t="shared" si="16"/>
        <v>6.6424015873015891</v>
      </c>
    </row>
    <row r="1138" spans="1:7" x14ac:dyDescent="0.2">
      <c r="A1138" s="75">
        <v>40372</v>
      </c>
      <c r="B1138" s="76" t="s">
        <v>35</v>
      </c>
      <c r="C1138" s="76" t="s">
        <v>536</v>
      </c>
      <c r="D1138" s="79">
        <v>1957.332191</v>
      </c>
      <c r="E1138" s="79">
        <v>6.6051000000000002</v>
      </c>
      <c r="F1138" s="79">
        <v>6.5574000000000003</v>
      </c>
      <c r="G1138" s="83">
        <f t="shared" si="16"/>
        <v>6.6482777777777784</v>
      </c>
    </row>
    <row r="1139" spans="1:7" x14ac:dyDescent="0.2">
      <c r="A1139" s="75">
        <v>40373</v>
      </c>
      <c r="B1139" s="76" t="s">
        <v>35</v>
      </c>
      <c r="C1139" s="76" t="s">
        <v>536</v>
      </c>
      <c r="D1139" s="79">
        <v>1962.2928770000001</v>
      </c>
      <c r="E1139" s="79">
        <v>6.5571999999999999</v>
      </c>
      <c r="F1139" s="79">
        <v>6.5086000000000004</v>
      </c>
      <c r="G1139" s="83">
        <f t="shared" si="16"/>
        <v>6.6519111111111133</v>
      </c>
    </row>
    <row r="1140" spans="1:7" x14ac:dyDescent="0.2">
      <c r="A1140" s="75">
        <v>40374</v>
      </c>
      <c r="B1140" s="76" t="s">
        <v>35</v>
      </c>
      <c r="C1140" s="76" t="s">
        <v>536</v>
      </c>
      <c r="D1140" s="79">
        <v>1965.4100040000001</v>
      </c>
      <c r="E1140" s="79">
        <v>6.5084</v>
      </c>
      <c r="F1140" s="79">
        <v>6.4798999999999998</v>
      </c>
      <c r="G1140" s="83">
        <f t="shared" si="16"/>
        <v>6.6524809523809534</v>
      </c>
    </row>
    <row r="1141" spans="1:7" x14ac:dyDescent="0.2">
      <c r="A1141" s="75">
        <v>40375</v>
      </c>
      <c r="B1141" s="76" t="s">
        <v>35</v>
      </c>
      <c r="C1141" s="76" t="s">
        <v>536</v>
      </c>
      <c r="D1141" s="79">
        <v>1973.530411</v>
      </c>
      <c r="E1141" s="79">
        <v>6.4797000000000002</v>
      </c>
      <c r="F1141" s="79">
        <v>6.3990999999999998</v>
      </c>
      <c r="G1141" s="83">
        <f t="shared" si="16"/>
        <v>6.6514984126984134</v>
      </c>
    </row>
    <row r="1142" spans="1:7" x14ac:dyDescent="0.2">
      <c r="A1142" s="75">
        <v>40378</v>
      </c>
      <c r="B1142" s="76" t="s">
        <v>35</v>
      </c>
      <c r="C1142" s="76" t="s">
        <v>536</v>
      </c>
      <c r="D1142" s="79">
        <v>1970.260491</v>
      </c>
      <c r="E1142" s="79">
        <v>6.399</v>
      </c>
      <c r="F1142" s="79">
        <v>6.4414999999999996</v>
      </c>
      <c r="G1142" s="83">
        <f t="shared" si="16"/>
        <v>6.6495587301587307</v>
      </c>
    </row>
    <row r="1143" spans="1:7" x14ac:dyDescent="0.2">
      <c r="A1143" s="75">
        <v>40379</v>
      </c>
      <c r="B1143" s="76" t="s">
        <v>35</v>
      </c>
      <c r="C1143" s="76" t="s">
        <v>536</v>
      </c>
      <c r="D1143" s="79">
        <v>1967.102171</v>
      </c>
      <c r="E1143" s="79">
        <v>6.4413</v>
      </c>
      <c r="F1143" s="79">
        <v>6.4827000000000004</v>
      </c>
      <c r="G1143" s="83">
        <f t="shared" si="16"/>
        <v>6.6463349206349225</v>
      </c>
    </row>
    <row r="1144" spans="1:7" x14ac:dyDescent="0.2">
      <c r="A1144" s="75">
        <v>40380</v>
      </c>
      <c r="B1144" s="76" t="s">
        <v>35</v>
      </c>
      <c r="C1144" s="76" t="s">
        <v>536</v>
      </c>
      <c r="D1144" s="79">
        <v>1975.314173</v>
      </c>
      <c r="E1144" s="79">
        <v>6.4825999999999997</v>
      </c>
      <c r="F1144" s="79">
        <v>6.3948999999999998</v>
      </c>
      <c r="G1144" s="83">
        <f t="shared" si="16"/>
        <v>6.6417222222222234</v>
      </c>
    </row>
    <row r="1145" spans="1:7" x14ac:dyDescent="0.2">
      <c r="A1145" s="75">
        <v>40381</v>
      </c>
      <c r="B1145" s="76" t="s">
        <v>35</v>
      </c>
      <c r="C1145" s="76" t="s">
        <v>536</v>
      </c>
      <c r="D1145" s="79">
        <v>1981.095783</v>
      </c>
      <c r="E1145" s="79">
        <v>6.3948</v>
      </c>
      <c r="F1145" s="79">
        <v>6.3381999999999996</v>
      </c>
      <c r="G1145" s="83">
        <f t="shared" si="16"/>
        <v>6.6360269841269846</v>
      </c>
    </row>
    <row r="1146" spans="1:7" x14ac:dyDescent="0.2">
      <c r="A1146" s="75">
        <v>40382</v>
      </c>
      <c r="B1146" s="76" t="s">
        <v>35</v>
      </c>
      <c r="C1146" s="76" t="s">
        <v>536</v>
      </c>
      <c r="D1146" s="79">
        <v>1974.5544179999999</v>
      </c>
      <c r="E1146" s="79">
        <v>6.3380999999999998</v>
      </c>
      <c r="F1146" s="79">
        <v>6.4141000000000004</v>
      </c>
      <c r="G1146" s="83">
        <f t="shared" si="16"/>
        <v>6.6306920634920647</v>
      </c>
    </row>
    <row r="1147" spans="1:7" x14ac:dyDescent="0.2">
      <c r="A1147" s="75">
        <v>40385</v>
      </c>
      <c r="B1147" s="76" t="s">
        <v>35</v>
      </c>
      <c r="C1147" s="76" t="s">
        <v>536</v>
      </c>
      <c r="D1147" s="79">
        <v>1973.3443930000001</v>
      </c>
      <c r="E1147" s="79">
        <v>6.4139999999999997</v>
      </c>
      <c r="F1147" s="79">
        <v>6.4326999999999996</v>
      </c>
      <c r="G1147" s="83">
        <f t="shared" si="16"/>
        <v>6.6257396825396828</v>
      </c>
    </row>
    <row r="1148" spans="1:7" x14ac:dyDescent="0.2">
      <c r="A1148" s="75">
        <v>40386</v>
      </c>
      <c r="B1148" s="76" t="s">
        <v>35</v>
      </c>
      <c r="C1148" s="76" t="s">
        <v>536</v>
      </c>
      <c r="D1148" s="79">
        <v>1976.9753880000001</v>
      </c>
      <c r="E1148" s="79">
        <v>6.4325999999999999</v>
      </c>
      <c r="F1148" s="79">
        <v>6.3990999999999998</v>
      </c>
      <c r="G1148" s="83">
        <f t="shared" si="16"/>
        <v>6.6197682539682523</v>
      </c>
    </row>
    <row r="1149" spans="1:7" x14ac:dyDescent="0.2">
      <c r="A1149" s="75">
        <v>40387</v>
      </c>
      <c r="B1149" s="76" t="s">
        <v>35</v>
      </c>
      <c r="C1149" s="76" t="s">
        <v>536</v>
      </c>
      <c r="D1149" s="79">
        <v>1975.6697750000001</v>
      </c>
      <c r="E1149" s="79">
        <v>6.399</v>
      </c>
      <c r="F1149" s="79">
        <v>6.4187000000000003</v>
      </c>
      <c r="G1149" s="83">
        <f t="shared" si="16"/>
        <v>6.6134333333333322</v>
      </c>
    </row>
    <row r="1150" spans="1:7" x14ac:dyDescent="0.2">
      <c r="A1150" s="75">
        <v>40388</v>
      </c>
      <c r="B1150" s="76" t="s">
        <v>35</v>
      </c>
      <c r="C1150" s="76" t="s">
        <v>536</v>
      </c>
      <c r="D1150" s="79">
        <v>1975.599823</v>
      </c>
      <c r="E1150" s="79">
        <v>6.4185999999999996</v>
      </c>
      <c r="F1150" s="79">
        <v>6.4249999999999998</v>
      </c>
      <c r="G1150" s="83">
        <f t="shared" si="16"/>
        <v>6.6099285714285703</v>
      </c>
    </row>
    <row r="1151" spans="1:7" x14ac:dyDescent="0.2">
      <c r="A1151" s="75">
        <v>40389</v>
      </c>
      <c r="B1151" s="76" t="s">
        <v>35</v>
      </c>
      <c r="C1151" s="76" t="s">
        <v>536</v>
      </c>
      <c r="D1151" s="79">
        <v>1984.40103</v>
      </c>
      <c r="E1151" s="79">
        <v>6.4248000000000003</v>
      </c>
      <c r="F1151" s="79">
        <v>6.3357999999999999</v>
      </c>
      <c r="G1151" s="83">
        <f t="shared" si="16"/>
        <v>6.6066460317460312</v>
      </c>
    </row>
    <row r="1152" spans="1:7" x14ac:dyDescent="0.2">
      <c r="A1152" s="75">
        <v>40392</v>
      </c>
      <c r="B1152" s="76" t="s">
        <v>35</v>
      </c>
      <c r="C1152" s="76" t="s">
        <v>536</v>
      </c>
      <c r="D1152" s="79">
        <v>1984.781039</v>
      </c>
      <c r="E1152" s="79">
        <v>6.3357999999999999</v>
      </c>
      <c r="F1152" s="79">
        <v>6.3372999999999999</v>
      </c>
      <c r="G1152" s="83">
        <f t="shared" si="16"/>
        <v>6.6020777777777759</v>
      </c>
    </row>
    <row r="1153" spans="1:7" x14ac:dyDescent="0.2">
      <c r="A1153" s="75">
        <v>40393</v>
      </c>
      <c r="B1153" s="76" t="s">
        <v>35</v>
      </c>
      <c r="C1153" s="76" t="s">
        <v>536</v>
      </c>
      <c r="D1153" s="79">
        <v>1980.048765</v>
      </c>
      <c r="E1153" s="79">
        <v>6.3372000000000002</v>
      </c>
      <c r="F1153" s="79">
        <v>6.3936000000000002</v>
      </c>
      <c r="G1153" s="83">
        <f t="shared" si="16"/>
        <v>6.5967634920634897</v>
      </c>
    </row>
    <row r="1154" spans="1:7" x14ac:dyDescent="0.2">
      <c r="A1154" s="75">
        <v>40394</v>
      </c>
      <c r="B1154" s="76" t="s">
        <v>35</v>
      </c>
      <c r="C1154" s="76" t="s">
        <v>536</v>
      </c>
      <c r="D1154" s="79">
        <v>1979.7721409999999</v>
      </c>
      <c r="E1154" s="79">
        <v>6.3935000000000004</v>
      </c>
      <c r="F1154" s="79">
        <v>6.4020999999999999</v>
      </c>
      <c r="G1154" s="83">
        <f t="shared" si="16"/>
        <v>6.5908952380952366</v>
      </c>
    </row>
    <row r="1155" spans="1:7" x14ac:dyDescent="0.2">
      <c r="A1155" s="75">
        <v>40395</v>
      </c>
      <c r="B1155" s="76" t="s">
        <v>35</v>
      </c>
      <c r="C1155" s="76" t="s">
        <v>536</v>
      </c>
      <c r="D1155" s="79">
        <v>1984.289526</v>
      </c>
      <c r="E1155" s="79">
        <v>6.4020000000000001</v>
      </c>
      <c r="F1155" s="79">
        <v>6.3590999999999998</v>
      </c>
      <c r="G1155" s="83">
        <f t="shared" ref="G1155:G1218" si="17">+AVERAGE(E1093:E1155)</f>
        <v>6.5838555555555534</v>
      </c>
    </row>
    <row r="1156" spans="1:7" x14ac:dyDescent="0.2">
      <c r="A1156" s="75">
        <v>40396</v>
      </c>
      <c r="B1156" s="76" t="s">
        <v>35</v>
      </c>
      <c r="C1156" s="76" t="s">
        <v>536</v>
      </c>
      <c r="D1156" s="79">
        <v>1981.8442700000001</v>
      </c>
      <c r="E1156" s="79">
        <v>6.359</v>
      </c>
      <c r="F1156" s="79">
        <v>6.3861999999999997</v>
      </c>
      <c r="G1156" s="83">
        <f t="shared" si="17"/>
        <v>6.5745253968253952</v>
      </c>
    </row>
    <row r="1157" spans="1:7" x14ac:dyDescent="0.2">
      <c r="A1157" s="75">
        <v>40399</v>
      </c>
      <c r="B1157" s="76" t="s">
        <v>35</v>
      </c>
      <c r="C1157" s="76" t="s">
        <v>536</v>
      </c>
      <c r="D1157" s="79">
        <v>1980.5165340000001</v>
      </c>
      <c r="E1157" s="79">
        <v>6.3860999999999999</v>
      </c>
      <c r="F1157" s="79">
        <v>6.4057000000000004</v>
      </c>
      <c r="G1157" s="83">
        <f t="shared" si="17"/>
        <v>6.5658650793650786</v>
      </c>
    </row>
    <row r="1158" spans="1:7" x14ac:dyDescent="0.2">
      <c r="A1158" s="75">
        <v>40400</v>
      </c>
      <c r="B1158" s="76" t="s">
        <v>35</v>
      </c>
      <c r="C1158" s="76" t="s">
        <v>536</v>
      </c>
      <c r="D1158" s="79">
        <v>1981.441448</v>
      </c>
      <c r="E1158" s="79">
        <v>6.4055999999999997</v>
      </c>
      <c r="F1158" s="79">
        <v>6.4009999999999998</v>
      </c>
      <c r="G1158" s="83">
        <f t="shared" si="17"/>
        <v>6.5589476190476175</v>
      </c>
    </row>
    <row r="1159" spans="1:7" x14ac:dyDescent="0.2">
      <c r="A1159" s="75">
        <v>40401</v>
      </c>
      <c r="B1159" s="76" t="s">
        <v>35</v>
      </c>
      <c r="C1159" s="76" t="s">
        <v>536</v>
      </c>
      <c r="D1159" s="79">
        <v>1989.4467999999999</v>
      </c>
      <c r="E1159" s="79">
        <v>6.4008000000000003</v>
      </c>
      <c r="F1159" s="79">
        <v>6.3202999999999996</v>
      </c>
      <c r="G1159" s="83">
        <f t="shared" si="17"/>
        <v>6.5526634920634912</v>
      </c>
    </row>
    <row r="1160" spans="1:7" x14ac:dyDescent="0.2">
      <c r="A1160" s="75">
        <v>40402</v>
      </c>
      <c r="B1160" s="76" t="s">
        <v>35</v>
      </c>
      <c r="C1160" s="76" t="s">
        <v>536</v>
      </c>
      <c r="D1160" s="79">
        <v>1994.3966620000001</v>
      </c>
      <c r="E1160" s="79">
        <v>6.3201999999999998</v>
      </c>
      <c r="F1160" s="79">
        <v>6.2725999999999997</v>
      </c>
      <c r="G1160" s="83">
        <f t="shared" si="17"/>
        <v>6.5463476190476175</v>
      </c>
    </row>
    <row r="1161" spans="1:7" x14ac:dyDescent="0.2">
      <c r="A1161" s="75">
        <v>40403</v>
      </c>
      <c r="B1161" s="76" t="s">
        <v>35</v>
      </c>
      <c r="C1161" s="76" t="s">
        <v>536</v>
      </c>
      <c r="D1161" s="79">
        <v>2002.4633329999999</v>
      </c>
      <c r="E1161" s="79">
        <v>6.2725</v>
      </c>
      <c r="F1161" s="79">
        <v>6.1919000000000004</v>
      </c>
      <c r="G1161" s="83">
        <f t="shared" si="17"/>
        <v>6.5396492063492051</v>
      </c>
    </row>
    <row r="1162" spans="1:7" x14ac:dyDescent="0.2">
      <c r="A1162" s="75">
        <v>40406</v>
      </c>
      <c r="B1162" s="76" t="s">
        <v>35</v>
      </c>
      <c r="C1162" s="76" t="s">
        <v>536</v>
      </c>
      <c r="D1162" s="79">
        <v>2015.6155180000001</v>
      </c>
      <c r="E1162" s="79">
        <v>6.1919000000000004</v>
      </c>
      <c r="F1162" s="79">
        <v>6.0579999999999998</v>
      </c>
      <c r="G1162" s="83">
        <f t="shared" si="17"/>
        <v>6.5326095238095219</v>
      </c>
    </row>
    <row r="1163" spans="1:7" x14ac:dyDescent="0.2">
      <c r="A1163" s="75">
        <v>40407</v>
      </c>
      <c r="B1163" s="76" t="s">
        <v>35</v>
      </c>
      <c r="C1163" s="76" t="s">
        <v>536</v>
      </c>
      <c r="D1163" s="79">
        <v>2013.459625</v>
      </c>
      <c r="E1163" s="79">
        <v>6.0579000000000001</v>
      </c>
      <c r="F1163" s="79">
        <v>6.0880000000000001</v>
      </c>
      <c r="G1163" s="83">
        <f t="shared" si="17"/>
        <v>6.5226936507936486</v>
      </c>
    </row>
    <row r="1164" spans="1:7" x14ac:dyDescent="0.2">
      <c r="A1164" s="75">
        <v>40408</v>
      </c>
      <c r="B1164" s="76" t="s">
        <v>35</v>
      </c>
      <c r="C1164" s="76" t="s">
        <v>536</v>
      </c>
      <c r="D1164" s="79">
        <v>2015.5377089999999</v>
      </c>
      <c r="E1164" s="79">
        <v>6.0879000000000003</v>
      </c>
      <c r="F1164" s="79">
        <v>6.0734000000000004</v>
      </c>
      <c r="G1164" s="83">
        <f t="shared" si="17"/>
        <v>6.5127079365079341</v>
      </c>
    </row>
    <row r="1165" spans="1:7" x14ac:dyDescent="0.2">
      <c r="A1165" s="75">
        <v>40409</v>
      </c>
      <c r="B1165" s="76" t="s">
        <v>35</v>
      </c>
      <c r="C1165" s="76" t="s">
        <v>536</v>
      </c>
      <c r="D1165" s="79">
        <v>2015.6697839999999</v>
      </c>
      <c r="E1165" s="79">
        <v>6.0732999999999997</v>
      </c>
      <c r="F1165" s="79">
        <v>6.0792999999999999</v>
      </c>
      <c r="G1165" s="83">
        <f t="shared" si="17"/>
        <v>6.5027492063492049</v>
      </c>
    </row>
    <row r="1166" spans="1:7" x14ac:dyDescent="0.2">
      <c r="A1166" s="75">
        <v>40410</v>
      </c>
      <c r="B1166" s="76" t="s">
        <v>35</v>
      </c>
      <c r="C1166" s="76" t="s">
        <v>536</v>
      </c>
      <c r="D1166" s="79">
        <v>2018.5386550000001</v>
      </c>
      <c r="E1166" s="79">
        <v>6.0792999999999999</v>
      </c>
      <c r="F1166" s="79">
        <v>6.0564999999999998</v>
      </c>
      <c r="G1166" s="83">
        <f t="shared" si="17"/>
        <v>6.4928634920634893</v>
      </c>
    </row>
    <row r="1167" spans="1:7" x14ac:dyDescent="0.2">
      <c r="A1167" s="75">
        <v>40413</v>
      </c>
      <c r="B1167" s="76" t="s">
        <v>35</v>
      </c>
      <c r="C1167" s="76" t="s">
        <v>536</v>
      </c>
      <c r="D1167" s="79">
        <v>2019.2526849999999</v>
      </c>
      <c r="E1167" s="79">
        <v>6.0564999999999998</v>
      </c>
      <c r="F1167" s="79">
        <v>6.0488</v>
      </c>
      <c r="G1167" s="83">
        <f t="shared" si="17"/>
        <v>6.4821365079365059</v>
      </c>
    </row>
    <row r="1168" spans="1:7" x14ac:dyDescent="0.2">
      <c r="A1168" s="75">
        <v>40414</v>
      </c>
      <c r="B1168" s="76" t="s">
        <v>35</v>
      </c>
      <c r="C1168" s="76" t="s">
        <v>536</v>
      </c>
      <c r="D1168" s="79">
        <v>2022.304752</v>
      </c>
      <c r="E1168" s="79">
        <v>6.0488</v>
      </c>
      <c r="F1168" s="79">
        <v>6.0225999999999997</v>
      </c>
      <c r="G1168" s="83">
        <f t="shared" si="17"/>
        <v>6.4709333333333321</v>
      </c>
    </row>
    <row r="1169" spans="1:7" x14ac:dyDescent="0.2">
      <c r="A1169" s="75">
        <v>40415</v>
      </c>
      <c r="B1169" s="76" t="s">
        <v>35</v>
      </c>
      <c r="C1169" s="76" t="s">
        <v>536</v>
      </c>
      <c r="D1169" s="79">
        <v>2023.3660609999999</v>
      </c>
      <c r="E1169" s="79">
        <v>6.0225999999999997</v>
      </c>
      <c r="F1169" s="79">
        <v>6.0172999999999996</v>
      </c>
      <c r="G1169" s="83">
        <f t="shared" si="17"/>
        <v>6.4590333333333323</v>
      </c>
    </row>
    <row r="1170" spans="1:7" x14ac:dyDescent="0.2">
      <c r="A1170" s="75">
        <v>40416</v>
      </c>
      <c r="B1170" s="76" t="s">
        <v>35</v>
      </c>
      <c r="C1170" s="76" t="s">
        <v>536</v>
      </c>
      <c r="D1170" s="79">
        <v>2020.2920389999999</v>
      </c>
      <c r="E1170" s="79">
        <v>6.0172999999999996</v>
      </c>
      <c r="F1170" s="79">
        <v>6.0553999999999997</v>
      </c>
      <c r="G1170" s="83">
        <f t="shared" si="17"/>
        <v>6.4470619047619042</v>
      </c>
    </row>
    <row r="1171" spans="1:7" x14ac:dyDescent="0.2">
      <c r="A1171" s="75">
        <v>40417</v>
      </c>
      <c r="B1171" s="76" t="s">
        <v>35</v>
      </c>
      <c r="C1171" s="76" t="s">
        <v>536</v>
      </c>
      <c r="D1171" s="79">
        <v>2015.033946</v>
      </c>
      <c r="E1171" s="79">
        <v>6.0552999999999999</v>
      </c>
      <c r="F1171" s="79">
        <v>6.1165000000000003</v>
      </c>
      <c r="G1171" s="83">
        <f t="shared" si="17"/>
        <v>6.435715873015873</v>
      </c>
    </row>
    <row r="1172" spans="1:7" x14ac:dyDescent="0.2">
      <c r="A1172" s="75">
        <v>40420</v>
      </c>
      <c r="B1172" s="76" t="s">
        <v>35</v>
      </c>
      <c r="C1172" s="76" t="s">
        <v>536</v>
      </c>
      <c r="D1172" s="79">
        <v>2012.8358539999999</v>
      </c>
      <c r="E1172" s="79">
        <v>6.1163999999999996</v>
      </c>
      <c r="F1172" s="79">
        <v>6.1455000000000002</v>
      </c>
      <c r="G1172" s="83">
        <f t="shared" si="17"/>
        <v>6.4252952380952379</v>
      </c>
    </row>
    <row r="1173" spans="1:7" x14ac:dyDescent="0.2">
      <c r="A1173" s="75">
        <v>40421</v>
      </c>
      <c r="B1173" s="76" t="s">
        <v>35</v>
      </c>
      <c r="C1173" s="76" t="s">
        <v>536</v>
      </c>
      <c r="D1173" s="79">
        <v>2015.902223</v>
      </c>
      <c r="E1173" s="79">
        <v>6.1454000000000004</v>
      </c>
      <c r="F1173" s="79">
        <v>6.1189999999999998</v>
      </c>
      <c r="G1173" s="83">
        <f t="shared" si="17"/>
        <v>6.416146031746031</v>
      </c>
    </row>
    <row r="1174" spans="1:7" x14ac:dyDescent="0.2">
      <c r="A1174" s="75">
        <v>40422</v>
      </c>
      <c r="B1174" s="76" t="s">
        <v>35</v>
      </c>
      <c r="C1174" s="76" t="s">
        <v>536</v>
      </c>
      <c r="D1174" s="79">
        <v>2011.9130829999999</v>
      </c>
      <c r="E1174" s="79">
        <v>6.1189</v>
      </c>
      <c r="F1174" s="79">
        <v>6.1669</v>
      </c>
      <c r="G1174" s="83">
        <f t="shared" si="17"/>
        <v>6.407168253968254</v>
      </c>
    </row>
    <row r="1175" spans="1:7" x14ac:dyDescent="0.2">
      <c r="A1175" s="75">
        <v>40423</v>
      </c>
      <c r="B1175" s="76" t="s">
        <v>35</v>
      </c>
      <c r="C1175" s="76" t="s">
        <v>536</v>
      </c>
      <c r="D1175" s="79">
        <v>2017.5514209999999</v>
      </c>
      <c r="E1175" s="79">
        <v>6.1666999999999996</v>
      </c>
      <c r="F1175" s="79">
        <v>6.1132</v>
      </c>
      <c r="G1175" s="83">
        <f t="shared" si="17"/>
        <v>6.4003555555555547</v>
      </c>
    </row>
    <row r="1176" spans="1:7" x14ac:dyDescent="0.2">
      <c r="A1176" s="75">
        <v>40424</v>
      </c>
      <c r="B1176" s="76" t="s">
        <v>35</v>
      </c>
      <c r="C1176" s="76" t="s">
        <v>536</v>
      </c>
      <c r="D1176" s="79">
        <v>2018.4645740000001</v>
      </c>
      <c r="E1176" s="79">
        <v>6.1131000000000002</v>
      </c>
      <c r="F1176" s="79">
        <v>6.1093999999999999</v>
      </c>
      <c r="G1176" s="83">
        <f t="shared" si="17"/>
        <v>6.3935126984126978</v>
      </c>
    </row>
    <row r="1177" spans="1:7" x14ac:dyDescent="0.2">
      <c r="A1177" s="75">
        <v>40427</v>
      </c>
      <c r="B1177" s="76" t="s">
        <v>35</v>
      </c>
      <c r="C1177" s="76" t="s">
        <v>536</v>
      </c>
      <c r="D1177" s="79">
        <v>2023.004445</v>
      </c>
      <c r="E1177" s="79">
        <v>6.1093000000000002</v>
      </c>
      <c r="F1177" s="79">
        <v>6.0674999999999999</v>
      </c>
      <c r="G1177" s="83">
        <f t="shared" si="17"/>
        <v>6.3863904761904742</v>
      </c>
    </row>
    <row r="1178" spans="1:7" x14ac:dyDescent="0.2">
      <c r="A1178" s="75">
        <v>40429</v>
      </c>
      <c r="B1178" s="76" t="s">
        <v>35</v>
      </c>
      <c r="C1178" s="76" t="s">
        <v>536</v>
      </c>
      <c r="D1178" s="79">
        <v>2023.697494</v>
      </c>
      <c r="E1178" s="79">
        <v>6.0673000000000004</v>
      </c>
      <c r="F1178" s="79">
        <v>6.0659000000000001</v>
      </c>
      <c r="G1178" s="83">
        <f t="shared" si="17"/>
        <v>6.3785587301587281</v>
      </c>
    </row>
    <row r="1179" spans="1:7" x14ac:dyDescent="0.2">
      <c r="A1179" s="75">
        <v>40430</v>
      </c>
      <c r="B1179" s="76" t="s">
        <v>35</v>
      </c>
      <c r="C1179" s="76" t="s">
        <v>536</v>
      </c>
      <c r="D1179" s="79">
        <v>2025.2862319999999</v>
      </c>
      <c r="E1179" s="79">
        <v>6.0656999999999996</v>
      </c>
      <c r="F1179" s="79">
        <v>6.0462999999999996</v>
      </c>
      <c r="G1179" s="83">
        <f t="shared" si="17"/>
        <v>6.37084603174603</v>
      </c>
    </row>
    <row r="1180" spans="1:7" x14ac:dyDescent="0.2">
      <c r="A1180" s="75">
        <v>40431</v>
      </c>
      <c r="B1180" s="76" t="s">
        <v>35</v>
      </c>
      <c r="C1180" s="76" t="s">
        <v>536</v>
      </c>
      <c r="D1180" s="79">
        <v>2023.374118</v>
      </c>
      <c r="E1180" s="79">
        <v>6.0461999999999998</v>
      </c>
      <c r="F1180" s="79">
        <v>6.0716000000000001</v>
      </c>
      <c r="G1180" s="83">
        <f t="shared" si="17"/>
        <v>6.3623793650793647</v>
      </c>
    </row>
    <row r="1181" spans="1:7" x14ac:dyDescent="0.2">
      <c r="A1181" s="75">
        <v>40434</v>
      </c>
      <c r="B1181" s="76" t="s">
        <v>35</v>
      </c>
      <c r="C1181" s="76" t="s">
        <v>536</v>
      </c>
      <c r="D1181" s="79">
        <v>2022.2756039999999</v>
      </c>
      <c r="E1181" s="79">
        <v>6.0715000000000003</v>
      </c>
      <c r="F1181" s="79">
        <v>6.0884</v>
      </c>
      <c r="G1181" s="83">
        <f t="shared" si="17"/>
        <v>6.3543396825396803</v>
      </c>
    </row>
    <row r="1182" spans="1:7" x14ac:dyDescent="0.2">
      <c r="A1182" s="75">
        <v>40435</v>
      </c>
      <c r="B1182" s="76" t="s">
        <v>35</v>
      </c>
      <c r="C1182" s="76" t="s">
        <v>536</v>
      </c>
      <c r="D1182" s="79">
        <v>2023.93183</v>
      </c>
      <c r="E1182" s="79">
        <v>6.0883000000000003</v>
      </c>
      <c r="F1182" s="79">
        <v>6.0762999999999998</v>
      </c>
      <c r="G1182" s="83">
        <f t="shared" si="17"/>
        <v>6.3456253968253948</v>
      </c>
    </row>
    <row r="1183" spans="1:7" x14ac:dyDescent="0.2">
      <c r="A1183" s="75">
        <v>40436</v>
      </c>
      <c r="B1183" s="76" t="s">
        <v>35</v>
      </c>
      <c r="C1183" s="76" t="s">
        <v>536</v>
      </c>
      <c r="D1183" s="79">
        <v>2023.4908439999999</v>
      </c>
      <c r="E1183" s="79">
        <v>6.0762</v>
      </c>
      <c r="F1183" s="79">
        <v>6.0861999999999998</v>
      </c>
      <c r="G1183" s="83">
        <f t="shared" si="17"/>
        <v>6.3374047619047609</v>
      </c>
    </row>
    <row r="1184" spans="1:7" x14ac:dyDescent="0.2">
      <c r="A1184" s="75">
        <v>40437</v>
      </c>
      <c r="B1184" s="76" t="s">
        <v>35</v>
      </c>
      <c r="C1184" s="76" t="s">
        <v>536</v>
      </c>
      <c r="D1184" s="79">
        <v>2017.1011020000001</v>
      </c>
      <c r="E1184" s="79">
        <v>6.0861000000000001</v>
      </c>
      <c r="F1184" s="79">
        <v>6.1622000000000003</v>
      </c>
      <c r="G1184" s="83">
        <f t="shared" si="17"/>
        <v>6.329458730158728</v>
      </c>
    </row>
    <row r="1185" spans="1:7" x14ac:dyDescent="0.2">
      <c r="A1185" s="75">
        <v>40438</v>
      </c>
      <c r="B1185" s="76" t="s">
        <v>35</v>
      </c>
      <c r="C1185" s="76" t="s">
        <v>536</v>
      </c>
      <c r="D1185" s="79">
        <v>2011.442274</v>
      </c>
      <c r="E1185" s="79">
        <v>6.1619999999999999</v>
      </c>
      <c r="F1185" s="79">
        <v>6.2306999999999997</v>
      </c>
      <c r="G1185" s="83">
        <f t="shared" si="17"/>
        <v>6.3231396825396819</v>
      </c>
    </row>
    <row r="1186" spans="1:7" x14ac:dyDescent="0.2">
      <c r="A1186" s="75">
        <v>40441</v>
      </c>
      <c r="B1186" s="76" t="s">
        <v>35</v>
      </c>
      <c r="C1186" s="76" t="s">
        <v>536</v>
      </c>
      <c r="D1186" s="79">
        <v>2010.216962</v>
      </c>
      <c r="E1186" s="79">
        <v>6.2305000000000001</v>
      </c>
      <c r="F1186" s="79">
        <v>6.2525000000000004</v>
      </c>
      <c r="G1186" s="83">
        <f t="shared" si="17"/>
        <v>6.3179031746031722</v>
      </c>
    </row>
    <row r="1187" spans="1:7" x14ac:dyDescent="0.2">
      <c r="A1187" s="75">
        <v>40442</v>
      </c>
      <c r="B1187" s="76" t="s">
        <v>35</v>
      </c>
      <c r="C1187" s="76" t="s">
        <v>536</v>
      </c>
      <c r="D1187" s="79">
        <v>2014.7560089999999</v>
      </c>
      <c r="E1187" s="79">
        <v>6.2523</v>
      </c>
      <c r="F1187" s="79">
        <v>6.2134</v>
      </c>
      <c r="G1187" s="83">
        <f t="shared" si="17"/>
        <v>6.3126777777777754</v>
      </c>
    </row>
    <row r="1188" spans="1:7" x14ac:dyDescent="0.2">
      <c r="A1188" s="75">
        <v>40443</v>
      </c>
      <c r="B1188" s="76" t="s">
        <v>35</v>
      </c>
      <c r="C1188" s="76" t="s">
        <v>536</v>
      </c>
      <c r="D1188" s="79">
        <v>2014.5902759999999</v>
      </c>
      <c r="E1188" s="79">
        <v>6.2133000000000003</v>
      </c>
      <c r="F1188" s="79">
        <v>6.2271000000000001</v>
      </c>
      <c r="G1188" s="83">
        <f t="shared" si="17"/>
        <v>6.3066111111111089</v>
      </c>
    </row>
    <row r="1189" spans="1:7" x14ac:dyDescent="0.2">
      <c r="A1189" s="75">
        <v>40444</v>
      </c>
      <c r="B1189" s="76" t="s">
        <v>35</v>
      </c>
      <c r="C1189" s="76" t="s">
        <v>536</v>
      </c>
      <c r="D1189" s="79">
        <v>2020.4691110000001</v>
      </c>
      <c r="E1189" s="79">
        <v>6.2268999999999997</v>
      </c>
      <c r="F1189" s="79">
        <v>6.1745999999999999</v>
      </c>
      <c r="G1189" s="83">
        <f t="shared" si="17"/>
        <v>6.3004730158730133</v>
      </c>
    </row>
    <row r="1190" spans="1:7" x14ac:dyDescent="0.2">
      <c r="A1190" s="75">
        <v>40445</v>
      </c>
      <c r="B1190" s="76" t="s">
        <v>35</v>
      </c>
      <c r="C1190" s="76" t="s">
        <v>536</v>
      </c>
      <c r="D1190" s="79">
        <v>2022.2569619999999</v>
      </c>
      <c r="E1190" s="79">
        <v>6.1744000000000003</v>
      </c>
      <c r="F1190" s="79">
        <v>6.1651999999999996</v>
      </c>
      <c r="G1190" s="83">
        <f t="shared" si="17"/>
        <v>6.2936333333333314</v>
      </c>
    </row>
    <row r="1191" spans="1:7" x14ac:dyDescent="0.2">
      <c r="A1191" s="75">
        <v>40448</v>
      </c>
      <c r="B1191" s="76" t="s">
        <v>35</v>
      </c>
      <c r="C1191" s="76" t="s">
        <v>536</v>
      </c>
      <c r="D1191" s="79">
        <v>2019.156598</v>
      </c>
      <c r="E1191" s="79">
        <v>6.165</v>
      </c>
      <c r="F1191" s="79">
        <v>6.2072000000000003</v>
      </c>
      <c r="G1191" s="83">
        <f t="shared" si="17"/>
        <v>6.2867999999999977</v>
      </c>
    </row>
    <row r="1192" spans="1:7" x14ac:dyDescent="0.2">
      <c r="A1192" s="75">
        <v>40449</v>
      </c>
      <c r="B1192" s="76" t="s">
        <v>35</v>
      </c>
      <c r="C1192" s="76" t="s">
        <v>536</v>
      </c>
      <c r="D1192" s="79">
        <v>2016.871719</v>
      </c>
      <c r="E1192" s="79">
        <v>6.2069999999999999</v>
      </c>
      <c r="F1192" s="79">
        <v>6.2407000000000004</v>
      </c>
      <c r="G1192" s="83">
        <f t="shared" si="17"/>
        <v>6.2806428571428548</v>
      </c>
    </row>
    <row r="1193" spans="1:7" x14ac:dyDescent="0.2">
      <c r="A1193" s="75">
        <v>40450</v>
      </c>
      <c r="B1193" s="76" t="s">
        <v>35</v>
      </c>
      <c r="C1193" s="76" t="s">
        <v>536</v>
      </c>
      <c r="D1193" s="79">
        <v>2024.90978</v>
      </c>
      <c r="E1193" s="79">
        <v>6.2404999999999999</v>
      </c>
      <c r="F1193" s="79">
        <v>6.1656000000000004</v>
      </c>
      <c r="G1193" s="83">
        <f t="shared" si="17"/>
        <v>6.2756507936507919</v>
      </c>
    </row>
    <row r="1194" spans="1:7" x14ac:dyDescent="0.2">
      <c r="A1194" s="75">
        <v>40451</v>
      </c>
      <c r="B1194" s="76" t="s">
        <v>35</v>
      </c>
      <c r="C1194" s="76" t="s">
        <v>536</v>
      </c>
      <c r="D1194" s="79">
        <v>2025.652071</v>
      </c>
      <c r="E1194" s="79">
        <v>6.1654</v>
      </c>
      <c r="F1194" s="79">
        <v>6.1672000000000002</v>
      </c>
      <c r="G1194" s="83">
        <f t="shared" si="17"/>
        <v>6.2703746031746013</v>
      </c>
    </row>
    <row r="1195" spans="1:7" x14ac:dyDescent="0.2">
      <c r="A1195" s="75">
        <v>40452</v>
      </c>
      <c r="B1195" s="76" t="s">
        <v>35</v>
      </c>
      <c r="C1195" s="76" t="s">
        <v>536</v>
      </c>
      <c r="D1195" s="79">
        <v>2029.0668639999999</v>
      </c>
      <c r="E1195" s="79">
        <v>6.1669999999999998</v>
      </c>
      <c r="F1195" s="79">
        <v>6.1407999999999996</v>
      </c>
      <c r="G1195" s="83">
        <f t="shared" si="17"/>
        <v>6.2653317460317437</v>
      </c>
    </row>
    <row r="1196" spans="1:7" x14ac:dyDescent="0.2">
      <c r="A1196" s="75">
        <v>40455</v>
      </c>
      <c r="B1196" s="76" t="s">
        <v>35</v>
      </c>
      <c r="C1196" s="76" t="s">
        <v>536</v>
      </c>
      <c r="D1196" s="79">
        <v>2031.845012</v>
      </c>
      <c r="E1196" s="79">
        <v>6.1406000000000001</v>
      </c>
      <c r="F1196" s="79">
        <v>6.1211000000000002</v>
      </c>
      <c r="G1196" s="83">
        <f t="shared" si="17"/>
        <v>6.2598761904761888</v>
      </c>
    </row>
    <row r="1197" spans="1:7" x14ac:dyDescent="0.2">
      <c r="A1197" s="75">
        <v>40456</v>
      </c>
      <c r="B1197" s="76" t="s">
        <v>35</v>
      </c>
      <c r="C1197" s="76" t="s">
        <v>536</v>
      </c>
      <c r="D1197" s="79">
        <v>2032.4524309999999</v>
      </c>
      <c r="E1197" s="79">
        <v>6.1208999999999998</v>
      </c>
      <c r="F1197" s="79">
        <v>6.1241000000000003</v>
      </c>
      <c r="G1197" s="83">
        <f t="shared" si="17"/>
        <v>6.2535317460317437</v>
      </c>
    </row>
    <row r="1198" spans="1:7" x14ac:dyDescent="0.2">
      <c r="A1198" s="75">
        <v>40457</v>
      </c>
      <c r="B1198" s="76" t="s">
        <v>35</v>
      </c>
      <c r="C1198" s="76" t="s">
        <v>536</v>
      </c>
      <c r="D1198" s="79">
        <v>2040.4554700000001</v>
      </c>
      <c r="E1198" s="79">
        <v>6.1238999999999999</v>
      </c>
      <c r="F1198" s="79">
        <v>6.05</v>
      </c>
      <c r="G1198" s="83">
        <f t="shared" si="17"/>
        <v>6.2472619047619036</v>
      </c>
    </row>
    <row r="1199" spans="1:7" x14ac:dyDescent="0.2">
      <c r="A1199" s="75">
        <v>40458</v>
      </c>
      <c r="B1199" s="76" t="s">
        <v>35</v>
      </c>
      <c r="C1199" s="76" t="s">
        <v>536</v>
      </c>
      <c r="D1199" s="79">
        <v>2041.7977189999999</v>
      </c>
      <c r="E1199" s="79">
        <v>6.0498000000000003</v>
      </c>
      <c r="F1199" s="79">
        <v>6.0453000000000001</v>
      </c>
      <c r="G1199" s="83">
        <f t="shared" si="17"/>
        <v>6.2391777777777762</v>
      </c>
    </row>
    <row r="1200" spans="1:7" x14ac:dyDescent="0.2">
      <c r="A1200" s="75">
        <v>40459</v>
      </c>
      <c r="B1200" s="76" t="s">
        <v>35</v>
      </c>
      <c r="C1200" s="76" t="s">
        <v>536</v>
      </c>
      <c r="D1200" s="79">
        <v>2041.9593850000001</v>
      </c>
      <c r="E1200" s="79">
        <v>6.0450999999999997</v>
      </c>
      <c r="F1200" s="79">
        <v>6.0529000000000002</v>
      </c>
      <c r="G1200" s="83">
        <f t="shared" si="17"/>
        <v>6.2310222222222205</v>
      </c>
    </row>
    <row r="1201" spans="1:7" x14ac:dyDescent="0.2">
      <c r="A1201" s="75">
        <v>40462</v>
      </c>
      <c r="B1201" s="76" t="s">
        <v>35</v>
      </c>
      <c r="C1201" s="76" t="s">
        <v>536</v>
      </c>
      <c r="D1201" s="79">
        <v>2042.631609</v>
      </c>
      <c r="E1201" s="79">
        <v>6.0526999999999997</v>
      </c>
      <c r="F1201" s="79">
        <v>6.0552000000000001</v>
      </c>
      <c r="G1201" s="83">
        <f t="shared" si="17"/>
        <v>6.222253968253967</v>
      </c>
    </row>
    <row r="1202" spans="1:7" x14ac:dyDescent="0.2">
      <c r="A1202" s="75">
        <v>40464</v>
      </c>
      <c r="B1202" s="76" t="s">
        <v>35</v>
      </c>
      <c r="C1202" s="76" t="s">
        <v>536</v>
      </c>
      <c r="D1202" s="79">
        <v>2047.226271</v>
      </c>
      <c r="E1202" s="79">
        <v>6.0551000000000004</v>
      </c>
      <c r="F1202" s="79">
        <v>6.0168999999999997</v>
      </c>
      <c r="G1202" s="83">
        <f t="shared" si="17"/>
        <v>6.2142841269841256</v>
      </c>
    </row>
    <row r="1203" spans="1:7" x14ac:dyDescent="0.2">
      <c r="A1203" s="75">
        <v>40465</v>
      </c>
      <c r="B1203" s="76" t="s">
        <v>35</v>
      </c>
      <c r="C1203" s="76" t="s">
        <v>536</v>
      </c>
      <c r="D1203" s="79">
        <v>2065.0548090000002</v>
      </c>
      <c r="E1203" s="79">
        <v>6.0167999999999999</v>
      </c>
      <c r="F1203" s="79">
        <v>5.8423999999999996</v>
      </c>
      <c r="G1203" s="83">
        <f t="shared" si="17"/>
        <v>6.2064809523809501</v>
      </c>
    </row>
    <row r="1204" spans="1:7" x14ac:dyDescent="0.2">
      <c r="A1204" s="75">
        <v>40466</v>
      </c>
      <c r="B1204" s="76" t="s">
        <v>35</v>
      </c>
      <c r="C1204" s="76" t="s">
        <v>536</v>
      </c>
      <c r="D1204" s="79">
        <v>2070.1796250000002</v>
      </c>
      <c r="E1204" s="79">
        <v>5.8422999999999998</v>
      </c>
      <c r="F1204" s="79">
        <v>5.7991000000000001</v>
      </c>
      <c r="G1204" s="83">
        <f t="shared" si="17"/>
        <v>6.1963634920634902</v>
      </c>
    </row>
    <row r="1205" spans="1:7" x14ac:dyDescent="0.2">
      <c r="A1205" s="75">
        <v>40469</v>
      </c>
      <c r="B1205" s="76" t="s">
        <v>35</v>
      </c>
      <c r="C1205" s="76" t="s">
        <v>536</v>
      </c>
      <c r="D1205" s="79">
        <v>2067.0024549999998</v>
      </c>
      <c r="E1205" s="79">
        <v>5.7988999999999997</v>
      </c>
      <c r="F1205" s="79">
        <v>5.8423999999999996</v>
      </c>
      <c r="G1205" s="83">
        <f t="shared" si="17"/>
        <v>6.1868380952380937</v>
      </c>
    </row>
    <row r="1206" spans="1:7" x14ac:dyDescent="0.2">
      <c r="A1206" s="75">
        <v>40470</v>
      </c>
      <c r="B1206" s="76" t="s">
        <v>35</v>
      </c>
      <c r="C1206" s="76" t="s">
        <v>536</v>
      </c>
      <c r="D1206" s="79">
        <v>2052.1701090000001</v>
      </c>
      <c r="E1206" s="79">
        <v>5.8422999999999998</v>
      </c>
      <c r="F1206" s="79">
        <v>6.0060000000000002</v>
      </c>
      <c r="G1206" s="83">
        <f t="shared" si="17"/>
        <v>6.1773301587301575</v>
      </c>
    </row>
    <row r="1207" spans="1:7" x14ac:dyDescent="0.2">
      <c r="A1207" s="75">
        <v>40471</v>
      </c>
      <c r="B1207" s="76" t="s">
        <v>35</v>
      </c>
      <c r="C1207" s="76" t="s">
        <v>536</v>
      </c>
      <c r="D1207" s="79">
        <v>2062.4278720000002</v>
      </c>
      <c r="E1207" s="79">
        <v>6.0058999999999996</v>
      </c>
      <c r="F1207" s="79">
        <v>5.9112999999999998</v>
      </c>
      <c r="G1207" s="83">
        <f t="shared" si="17"/>
        <v>6.1697634920634918</v>
      </c>
    </row>
    <row r="1208" spans="1:7" x14ac:dyDescent="0.2">
      <c r="A1208" s="75">
        <v>40472</v>
      </c>
      <c r="B1208" s="76" t="s">
        <v>35</v>
      </c>
      <c r="C1208" s="76" t="s">
        <v>536</v>
      </c>
      <c r="D1208" s="79">
        <v>2056.1244620000002</v>
      </c>
      <c r="E1208" s="79">
        <v>5.9112999999999998</v>
      </c>
      <c r="F1208" s="79">
        <v>5.9915000000000003</v>
      </c>
      <c r="G1208" s="83">
        <f t="shared" si="17"/>
        <v>6.1620888888888876</v>
      </c>
    </row>
    <row r="1209" spans="1:7" x14ac:dyDescent="0.2">
      <c r="A1209" s="75">
        <v>40473</v>
      </c>
      <c r="B1209" s="76" t="s">
        <v>35</v>
      </c>
      <c r="C1209" s="76" t="s">
        <v>536</v>
      </c>
      <c r="D1209" s="79">
        <v>2055.7749960000001</v>
      </c>
      <c r="E1209" s="79">
        <v>5.9913999999999996</v>
      </c>
      <c r="F1209" s="79">
        <v>6.0072000000000001</v>
      </c>
      <c r="G1209" s="83">
        <f t="shared" si="17"/>
        <v>6.1565857142857139</v>
      </c>
    </row>
    <row r="1210" spans="1:7" x14ac:dyDescent="0.2">
      <c r="A1210" s="75">
        <v>40476</v>
      </c>
      <c r="B1210" s="76" t="s">
        <v>35</v>
      </c>
      <c r="C1210" s="76" t="s">
        <v>536</v>
      </c>
      <c r="D1210" s="79">
        <v>2047.7345909999999</v>
      </c>
      <c r="E1210" s="79">
        <v>6.0071000000000003</v>
      </c>
      <c r="F1210" s="79">
        <v>6.1025</v>
      </c>
      <c r="G1210" s="83">
        <f t="shared" si="17"/>
        <v>6.1501269841269828</v>
      </c>
    </row>
    <row r="1211" spans="1:7" x14ac:dyDescent="0.2">
      <c r="A1211" s="75">
        <v>40477</v>
      </c>
      <c r="B1211" s="76" t="s">
        <v>35</v>
      </c>
      <c r="C1211" s="76" t="s">
        <v>536</v>
      </c>
      <c r="D1211" s="79">
        <v>2058.3140130000002</v>
      </c>
      <c r="E1211" s="79">
        <v>6.1024000000000003</v>
      </c>
      <c r="F1211" s="79">
        <v>6.0053000000000001</v>
      </c>
      <c r="G1211" s="83">
        <f t="shared" si="17"/>
        <v>6.1448857142857127</v>
      </c>
    </row>
    <row r="1212" spans="1:7" x14ac:dyDescent="0.2">
      <c r="A1212" s="75">
        <v>40478</v>
      </c>
      <c r="B1212" s="76" t="s">
        <v>35</v>
      </c>
      <c r="C1212" s="76" t="s">
        <v>536</v>
      </c>
      <c r="D1212" s="79">
        <v>2052.417629</v>
      </c>
      <c r="E1212" s="79">
        <v>6.0053000000000001</v>
      </c>
      <c r="F1212" s="79">
        <v>6.0784000000000002</v>
      </c>
      <c r="G1212" s="83">
        <f t="shared" si="17"/>
        <v>6.1386365079365053</v>
      </c>
    </row>
    <row r="1213" spans="1:7" x14ac:dyDescent="0.2">
      <c r="A1213" s="75">
        <v>40479</v>
      </c>
      <c r="B1213" s="76" t="s">
        <v>35</v>
      </c>
      <c r="C1213" s="76" t="s">
        <v>536</v>
      </c>
      <c r="D1213" s="79">
        <v>2052.5502980000001</v>
      </c>
      <c r="E1213" s="79">
        <v>6.0784000000000002</v>
      </c>
      <c r="F1213" s="79">
        <v>6.0892999999999997</v>
      </c>
      <c r="G1213" s="83">
        <f t="shared" si="17"/>
        <v>6.1332365079365054</v>
      </c>
    </row>
    <row r="1214" spans="1:7" x14ac:dyDescent="0.2">
      <c r="A1214" s="75">
        <v>40480</v>
      </c>
      <c r="B1214" s="76" t="s">
        <v>35</v>
      </c>
      <c r="C1214" s="76" t="s">
        <v>536</v>
      </c>
      <c r="D1214" s="79">
        <v>2059.9097190000002</v>
      </c>
      <c r="E1214" s="79">
        <v>6.0892999999999997</v>
      </c>
      <c r="F1214" s="79">
        <v>6.0255999999999998</v>
      </c>
      <c r="G1214" s="83">
        <f t="shared" si="17"/>
        <v>6.1279111111111089</v>
      </c>
    </row>
    <row r="1215" spans="1:7" x14ac:dyDescent="0.2">
      <c r="A1215" s="75">
        <v>40483</v>
      </c>
      <c r="B1215" s="76" t="s">
        <v>35</v>
      </c>
      <c r="C1215" s="76" t="s">
        <v>536</v>
      </c>
      <c r="D1215" s="79">
        <v>2064.1294149999999</v>
      </c>
      <c r="E1215" s="79">
        <v>6.0255999999999998</v>
      </c>
      <c r="F1215" s="79">
        <v>5.9943999999999997</v>
      </c>
      <c r="G1215" s="83">
        <f t="shared" si="17"/>
        <v>6.1229873015872993</v>
      </c>
    </row>
    <row r="1216" spans="1:7" x14ac:dyDescent="0.2">
      <c r="A1216" s="75">
        <v>40485</v>
      </c>
      <c r="B1216" s="76" t="s">
        <v>35</v>
      </c>
      <c r="C1216" s="76" t="s">
        <v>536</v>
      </c>
      <c r="D1216" s="79">
        <v>2065.8323129999999</v>
      </c>
      <c r="E1216" s="79">
        <v>5.9945000000000004</v>
      </c>
      <c r="F1216" s="79">
        <v>5.9892000000000003</v>
      </c>
      <c r="G1216" s="83">
        <f t="shared" si="17"/>
        <v>6.1175476190476168</v>
      </c>
    </row>
    <row r="1217" spans="1:7" x14ac:dyDescent="0.2">
      <c r="A1217" s="75">
        <v>40486</v>
      </c>
      <c r="B1217" s="76" t="s">
        <v>35</v>
      </c>
      <c r="C1217" s="76" t="s">
        <v>536</v>
      </c>
      <c r="D1217" s="79">
        <v>2066.1333399999999</v>
      </c>
      <c r="E1217" s="79">
        <v>5.9892000000000003</v>
      </c>
      <c r="F1217" s="79">
        <v>5.9983000000000004</v>
      </c>
      <c r="G1217" s="83">
        <f t="shared" si="17"/>
        <v>6.1111301587301563</v>
      </c>
    </row>
    <row r="1218" spans="1:7" x14ac:dyDescent="0.2">
      <c r="A1218" s="75">
        <v>40487</v>
      </c>
      <c r="B1218" s="76" t="s">
        <v>35</v>
      </c>
      <c r="C1218" s="76" t="s">
        <v>536</v>
      </c>
      <c r="D1218" s="79">
        <v>2065.3934429999999</v>
      </c>
      <c r="E1218" s="79">
        <v>5.9983000000000004</v>
      </c>
      <c r="F1218" s="79">
        <v>6.0180999999999996</v>
      </c>
      <c r="G1218" s="83">
        <f t="shared" si="17"/>
        <v>6.1047222222222199</v>
      </c>
    </row>
    <row r="1219" spans="1:7" x14ac:dyDescent="0.2">
      <c r="A1219" s="75">
        <v>40490</v>
      </c>
      <c r="B1219" s="76" t="s">
        <v>35</v>
      </c>
      <c r="C1219" s="76" t="s">
        <v>536</v>
      </c>
      <c r="D1219" s="79">
        <v>2063.2651959999998</v>
      </c>
      <c r="E1219" s="79">
        <v>6.0180999999999996</v>
      </c>
      <c r="F1219" s="79">
        <v>6.0522</v>
      </c>
      <c r="G1219" s="83">
        <f t="shared" ref="G1219:G1282" si="18">+AVERAGE(E1157:E1219)</f>
        <v>6.0993111111111098</v>
      </c>
    </row>
    <row r="1220" spans="1:7" x14ac:dyDescent="0.2">
      <c r="A1220" s="75">
        <v>40491</v>
      </c>
      <c r="B1220" s="76" t="s">
        <v>35</v>
      </c>
      <c r="C1220" s="76" t="s">
        <v>536</v>
      </c>
      <c r="D1220" s="79">
        <v>2065.6070239999999</v>
      </c>
      <c r="E1220" s="79">
        <v>6.0522</v>
      </c>
      <c r="F1220" s="79">
        <v>6.0505000000000004</v>
      </c>
      <c r="G1220" s="83">
        <f t="shared" si="18"/>
        <v>6.0940111111111097</v>
      </c>
    </row>
    <row r="1221" spans="1:7" x14ac:dyDescent="0.2">
      <c r="A1221" s="75">
        <v>40492</v>
      </c>
      <c r="B1221" s="76" t="s">
        <v>35</v>
      </c>
      <c r="C1221" s="76" t="s">
        <v>536</v>
      </c>
      <c r="D1221" s="79">
        <v>2078.516212</v>
      </c>
      <c r="E1221" s="79">
        <v>6.0506000000000002</v>
      </c>
      <c r="F1221" s="79">
        <v>5.9313000000000002</v>
      </c>
      <c r="G1221" s="83">
        <f t="shared" si="18"/>
        <v>6.0883761904761897</v>
      </c>
    </row>
    <row r="1222" spans="1:7" x14ac:dyDescent="0.2">
      <c r="A1222" s="75">
        <v>40493</v>
      </c>
      <c r="B1222" s="76" t="s">
        <v>35</v>
      </c>
      <c r="C1222" s="76" t="s">
        <v>536</v>
      </c>
      <c r="D1222" s="79">
        <v>2082.2813500000002</v>
      </c>
      <c r="E1222" s="79">
        <v>5.9313000000000002</v>
      </c>
      <c r="F1222" s="79">
        <v>5.9057000000000004</v>
      </c>
      <c r="G1222" s="83">
        <f t="shared" si="18"/>
        <v>6.0809238095238092</v>
      </c>
    </row>
    <row r="1223" spans="1:7" x14ac:dyDescent="0.2">
      <c r="A1223" s="75">
        <v>40494</v>
      </c>
      <c r="B1223" s="76" t="s">
        <v>35</v>
      </c>
      <c r="C1223" s="76" t="s">
        <v>536</v>
      </c>
      <c r="D1223" s="79">
        <v>2086.3078569999998</v>
      </c>
      <c r="E1223" s="79">
        <v>5.9057000000000004</v>
      </c>
      <c r="F1223" s="79">
        <v>5.8775000000000004</v>
      </c>
      <c r="G1223" s="83">
        <f t="shared" si="18"/>
        <v>6.0743444444444421</v>
      </c>
    </row>
    <row r="1224" spans="1:7" x14ac:dyDescent="0.2">
      <c r="A1224" s="75">
        <v>40498</v>
      </c>
      <c r="B1224" s="76" t="s">
        <v>35</v>
      </c>
      <c r="C1224" s="76" t="s">
        <v>536</v>
      </c>
      <c r="D1224" s="79">
        <v>2078.1199150000002</v>
      </c>
      <c r="E1224" s="79">
        <v>5.8773999999999997</v>
      </c>
      <c r="F1224" s="79">
        <v>5.9734999999999996</v>
      </c>
      <c r="G1224" s="83">
        <f t="shared" si="18"/>
        <v>6.0680730158730158</v>
      </c>
    </row>
    <row r="1225" spans="1:7" x14ac:dyDescent="0.2">
      <c r="A1225" s="75">
        <v>40499</v>
      </c>
      <c r="B1225" s="76" t="s">
        <v>35</v>
      </c>
      <c r="C1225" s="76" t="s">
        <v>536</v>
      </c>
      <c r="D1225" s="79">
        <v>2080.504637</v>
      </c>
      <c r="E1225" s="79">
        <v>5.9733999999999998</v>
      </c>
      <c r="F1225" s="79">
        <v>5.9600999999999997</v>
      </c>
      <c r="G1225" s="83">
        <f t="shared" si="18"/>
        <v>6.0646047619047616</v>
      </c>
    </row>
    <row r="1226" spans="1:7" x14ac:dyDescent="0.2">
      <c r="A1226" s="75">
        <v>40500</v>
      </c>
      <c r="B1226" s="76" t="s">
        <v>35</v>
      </c>
      <c r="C1226" s="76" t="s">
        <v>536</v>
      </c>
      <c r="D1226" s="79">
        <v>2077.4876669999999</v>
      </c>
      <c r="E1226" s="79">
        <v>5.96</v>
      </c>
      <c r="F1226" s="79">
        <v>6.0018000000000002</v>
      </c>
      <c r="G1226" s="83">
        <f t="shared" si="18"/>
        <v>6.0630507936507927</v>
      </c>
    </row>
    <row r="1227" spans="1:7" x14ac:dyDescent="0.2">
      <c r="A1227" s="75">
        <v>40501</v>
      </c>
      <c r="B1227" s="76" t="s">
        <v>35</v>
      </c>
      <c r="C1227" s="76" t="s">
        <v>536</v>
      </c>
      <c r="D1227" s="79">
        <v>2078.4525210000002</v>
      </c>
      <c r="E1227" s="79">
        <v>6.0016999999999996</v>
      </c>
      <c r="F1227" s="79">
        <v>6.0029000000000003</v>
      </c>
      <c r="G1227" s="83">
        <f t="shared" si="18"/>
        <v>6.0616825396825389</v>
      </c>
    </row>
    <row r="1228" spans="1:7" x14ac:dyDescent="0.2">
      <c r="A1228" s="75">
        <v>40504</v>
      </c>
      <c r="B1228" s="76" t="s">
        <v>35</v>
      </c>
      <c r="C1228" s="76" t="s">
        <v>536</v>
      </c>
      <c r="D1228" s="79">
        <v>2065.965404</v>
      </c>
      <c r="E1228" s="79">
        <v>6.0027999999999997</v>
      </c>
      <c r="F1228" s="79">
        <v>6.1417999999999999</v>
      </c>
      <c r="G1228" s="83">
        <f t="shared" si="18"/>
        <v>6.0605634920634905</v>
      </c>
    </row>
    <row r="1229" spans="1:7" x14ac:dyDescent="0.2">
      <c r="A1229" s="75">
        <v>40505</v>
      </c>
      <c r="B1229" s="76" t="s">
        <v>35</v>
      </c>
      <c r="C1229" s="76" t="s">
        <v>536</v>
      </c>
      <c r="D1229" s="79">
        <v>2068.6684919999998</v>
      </c>
      <c r="E1229" s="79">
        <v>6.1417000000000002</v>
      </c>
      <c r="F1229" s="79">
        <v>6.1250999999999998</v>
      </c>
      <c r="G1229" s="83">
        <f t="shared" si="18"/>
        <v>6.0615539682539676</v>
      </c>
    </row>
    <row r="1230" spans="1:7" x14ac:dyDescent="0.2">
      <c r="A1230" s="75">
        <v>40506</v>
      </c>
      <c r="B1230" s="76" t="s">
        <v>35</v>
      </c>
      <c r="C1230" s="76" t="s">
        <v>536</v>
      </c>
      <c r="D1230" s="79">
        <v>2073.5750010000002</v>
      </c>
      <c r="E1230" s="79">
        <v>6.1249000000000002</v>
      </c>
      <c r="F1230" s="79">
        <v>6.0990000000000002</v>
      </c>
      <c r="G1230" s="83">
        <f t="shared" si="18"/>
        <v>6.0626396825396833</v>
      </c>
    </row>
    <row r="1231" spans="1:7" x14ac:dyDescent="0.2">
      <c r="A1231" s="75">
        <v>40507</v>
      </c>
      <c r="B1231" s="76" t="s">
        <v>35</v>
      </c>
      <c r="C1231" s="76" t="s">
        <v>536</v>
      </c>
      <c r="D1231" s="79">
        <v>2079.947142</v>
      </c>
      <c r="E1231" s="79">
        <v>6.0989000000000004</v>
      </c>
      <c r="F1231" s="79">
        <v>6.0471000000000004</v>
      </c>
      <c r="G1231" s="83">
        <f t="shared" si="18"/>
        <v>6.0634349206349212</v>
      </c>
    </row>
    <row r="1232" spans="1:7" x14ac:dyDescent="0.2">
      <c r="A1232" s="75">
        <v>40508</v>
      </c>
      <c r="B1232" s="76" t="s">
        <v>35</v>
      </c>
      <c r="C1232" s="76" t="s">
        <v>536</v>
      </c>
      <c r="D1232" s="79">
        <v>2077.1082339999998</v>
      </c>
      <c r="E1232" s="79">
        <v>6.0469999999999997</v>
      </c>
      <c r="F1232" s="79">
        <v>6.0892999999999997</v>
      </c>
      <c r="G1232" s="83">
        <f t="shared" si="18"/>
        <v>6.0638222222222247</v>
      </c>
    </row>
    <row r="1233" spans="1:7" x14ac:dyDescent="0.2">
      <c r="A1233" s="75">
        <v>40511</v>
      </c>
      <c r="B1233" s="76" t="s">
        <v>35</v>
      </c>
      <c r="C1233" s="76" t="s">
        <v>536</v>
      </c>
      <c r="D1233" s="79">
        <v>2071.0978220000002</v>
      </c>
      <c r="E1233" s="79">
        <v>6.0891000000000002</v>
      </c>
      <c r="F1233" s="79">
        <v>6.1639999999999997</v>
      </c>
      <c r="G1233" s="83">
        <f t="shared" si="18"/>
        <v>6.0649619047619074</v>
      </c>
    </row>
    <row r="1234" spans="1:7" x14ac:dyDescent="0.2">
      <c r="A1234" s="75">
        <v>40512</v>
      </c>
      <c r="B1234" s="76" t="s">
        <v>35</v>
      </c>
      <c r="C1234" s="76" t="s">
        <v>536</v>
      </c>
      <c r="D1234" s="79">
        <v>2076.9557399999999</v>
      </c>
      <c r="E1234" s="79">
        <v>6.1637000000000004</v>
      </c>
      <c r="F1234" s="79">
        <v>6.1170999999999998</v>
      </c>
      <c r="G1234" s="83">
        <f t="shared" si="18"/>
        <v>6.0666825396825423</v>
      </c>
    </row>
    <row r="1235" spans="1:7" x14ac:dyDescent="0.2">
      <c r="A1235" s="75">
        <v>40513</v>
      </c>
      <c r="B1235" s="76" t="s">
        <v>35</v>
      </c>
      <c r="C1235" s="76" t="s">
        <v>536</v>
      </c>
      <c r="D1235" s="79">
        <v>2077.4021400000001</v>
      </c>
      <c r="E1235" s="79">
        <v>6.1166999999999998</v>
      </c>
      <c r="F1235" s="79">
        <v>6.1254999999999997</v>
      </c>
      <c r="G1235" s="83">
        <f t="shared" si="18"/>
        <v>6.0666873015873044</v>
      </c>
    </row>
    <row r="1236" spans="1:7" x14ac:dyDescent="0.2">
      <c r="A1236" s="75">
        <v>40514</v>
      </c>
      <c r="B1236" s="76" t="s">
        <v>35</v>
      </c>
      <c r="C1236" s="76" t="s">
        <v>536</v>
      </c>
      <c r="D1236" s="79">
        <v>2077.3701529999998</v>
      </c>
      <c r="E1236" s="79">
        <v>6.1250999999999998</v>
      </c>
      <c r="F1236" s="79">
        <v>6.1387999999999998</v>
      </c>
      <c r="G1236" s="83">
        <f t="shared" si="18"/>
        <v>6.0663650793650801</v>
      </c>
    </row>
    <row r="1237" spans="1:7" x14ac:dyDescent="0.2">
      <c r="A1237" s="75">
        <v>40515</v>
      </c>
      <c r="B1237" s="76" t="s">
        <v>35</v>
      </c>
      <c r="C1237" s="76" t="s">
        <v>536</v>
      </c>
      <c r="D1237" s="79">
        <v>2078.6206160000002</v>
      </c>
      <c r="E1237" s="79">
        <v>6.1383000000000001</v>
      </c>
      <c r="F1237" s="79">
        <v>6.1388999999999996</v>
      </c>
      <c r="G1237" s="83">
        <f t="shared" si="18"/>
        <v>6.0666730158730173</v>
      </c>
    </row>
    <row r="1238" spans="1:7" x14ac:dyDescent="0.2">
      <c r="A1238" s="75">
        <v>40518</v>
      </c>
      <c r="B1238" s="76" t="s">
        <v>35</v>
      </c>
      <c r="C1238" s="76" t="s">
        <v>536</v>
      </c>
      <c r="D1238" s="79">
        <v>2076.448703</v>
      </c>
      <c r="E1238" s="79">
        <v>6.1384999999999996</v>
      </c>
      <c r="F1238" s="79">
        <v>6.1741000000000001</v>
      </c>
      <c r="G1238" s="83">
        <f t="shared" si="18"/>
        <v>6.0662253968253994</v>
      </c>
    </row>
    <row r="1239" spans="1:7" x14ac:dyDescent="0.2">
      <c r="A1239" s="75">
        <v>40519</v>
      </c>
      <c r="B1239" s="76" t="s">
        <v>35</v>
      </c>
      <c r="C1239" s="76" t="s">
        <v>536</v>
      </c>
      <c r="D1239" s="79">
        <v>2077.0269239999998</v>
      </c>
      <c r="E1239" s="79">
        <v>6.1737000000000002</v>
      </c>
      <c r="F1239" s="79">
        <v>6.1811999999999996</v>
      </c>
      <c r="G1239" s="83">
        <f t="shared" si="18"/>
        <v>6.0671873015873032</v>
      </c>
    </row>
    <row r="1240" spans="1:7" x14ac:dyDescent="0.2">
      <c r="A1240" s="75">
        <v>40520</v>
      </c>
      <c r="B1240" s="76" t="s">
        <v>35</v>
      </c>
      <c r="C1240" s="76" t="s">
        <v>536</v>
      </c>
      <c r="D1240" s="79">
        <v>2073.5624160000002</v>
      </c>
      <c r="E1240" s="79">
        <v>6.1807999999999996</v>
      </c>
      <c r="F1240" s="79">
        <v>6.2297000000000002</v>
      </c>
      <c r="G1240" s="83">
        <f t="shared" si="18"/>
        <v>6.0683222222222222</v>
      </c>
    </row>
    <row r="1241" spans="1:7" x14ac:dyDescent="0.2">
      <c r="A1241" s="75">
        <v>40521</v>
      </c>
      <c r="B1241" s="76" t="s">
        <v>35</v>
      </c>
      <c r="C1241" s="76" t="s">
        <v>536</v>
      </c>
      <c r="D1241" s="79">
        <v>2075.578892</v>
      </c>
      <c r="E1241" s="79">
        <v>6.2293000000000003</v>
      </c>
      <c r="F1241" s="79">
        <v>6.2221000000000002</v>
      </c>
      <c r="G1241" s="83">
        <f t="shared" si="18"/>
        <v>6.0708936507936526</v>
      </c>
    </row>
    <row r="1242" spans="1:7" x14ac:dyDescent="0.2">
      <c r="A1242" s="75">
        <v>40522</v>
      </c>
      <c r="B1242" s="76" t="s">
        <v>35</v>
      </c>
      <c r="C1242" s="76" t="s">
        <v>536</v>
      </c>
      <c r="D1242" s="79">
        <v>2087.7605319999998</v>
      </c>
      <c r="E1242" s="79">
        <v>6.2217000000000002</v>
      </c>
      <c r="F1242" s="79">
        <v>6.1108000000000002</v>
      </c>
      <c r="G1242" s="83">
        <f t="shared" si="18"/>
        <v>6.0733698412698427</v>
      </c>
    </row>
    <row r="1243" spans="1:7" x14ac:dyDescent="0.2">
      <c r="A1243" s="75">
        <v>40525</v>
      </c>
      <c r="B1243" s="76" t="s">
        <v>35</v>
      </c>
      <c r="C1243" s="76" t="s">
        <v>536</v>
      </c>
      <c r="D1243" s="79">
        <v>2089.6052079999999</v>
      </c>
      <c r="E1243" s="79">
        <v>6.1104000000000003</v>
      </c>
      <c r="F1243" s="79">
        <v>6.1050000000000004</v>
      </c>
      <c r="G1243" s="83">
        <f t="shared" si="18"/>
        <v>6.0743888888888913</v>
      </c>
    </row>
    <row r="1244" spans="1:7" x14ac:dyDescent="0.2">
      <c r="A1244" s="75">
        <v>40526</v>
      </c>
      <c r="B1244" s="76" t="s">
        <v>35</v>
      </c>
      <c r="C1244" s="76" t="s">
        <v>536</v>
      </c>
      <c r="D1244" s="79">
        <v>2098.101498</v>
      </c>
      <c r="E1244" s="79">
        <v>6.1045999999999996</v>
      </c>
      <c r="F1244" s="79">
        <v>6.0317999999999996</v>
      </c>
      <c r="G1244" s="83">
        <f t="shared" si="18"/>
        <v>6.0749142857142875</v>
      </c>
    </row>
    <row r="1245" spans="1:7" x14ac:dyDescent="0.2">
      <c r="A1245" s="75">
        <v>40527</v>
      </c>
      <c r="B1245" s="76" t="s">
        <v>35</v>
      </c>
      <c r="C1245" s="76" t="s">
        <v>536</v>
      </c>
      <c r="D1245" s="79">
        <v>2098.8218299999999</v>
      </c>
      <c r="E1245" s="79">
        <v>6.0315000000000003</v>
      </c>
      <c r="F1245" s="79">
        <v>6.0374999999999996</v>
      </c>
      <c r="G1245" s="83">
        <f t="shared" si="18"/>
        <v>6.0740126984126981</v>
      </c>
    </row>
    <row r="1246" spans="1:7" x14ac:dyDescent="0.2">
      <c r="A1246" s="75">
        <v>40528</v>
      </c>
      <c r="B1246" s="76" t="s">
        <v>35</v>
      </c>
      <c r="C1246" s="76" t="s">
        <v>536</v>
      </c>
      <c r="D1246" s="79">
        <v>2103.5000209999998</v>
      </c>
      <c r="E1246" s="79">
        <v>6.0372000000000003</v>
      </c>
      <c r="F1246" s="79">
        <v>6.0004999999999997</v>
      </c>
      <c r="G1246" s="83">
        <f t="shared" si="18"/>
        <v>6.0733936507936512</v>
      </c>
    </row>
    <row r="1247" spans="1:7" x14ac:dyDescent="0.2">
      <c r="A1247" s="75">
        <v>40529</v>
      </c>
      <c r="B1247" s="76" t="s">
        <v>35</v>
      </c>
      <c r="C1247" s="76" t="s">
        <v>536</v>
      </c>
      <c r="D1247" s="79">
        <v>2106.0214580000002</v>
      </c>
      <c r="E1247" s="79">
        <v>6.0003000000000002</v>
      </c>
      <c r="F1247" s="79">
        <v>5.9854000000000003</v>
      </c>
      <c r="G1247" s="83">
        <f t="shared" si="18"/>
        <v>6.0720317460317466</v>
      </c>
    </row>
    <row r="1248" spans="1:7" x14ac:dyDescent="0.2">
      <c r="A1248" s="75">
        <v>40532</v>
      </c>
      <c r="B1248" s="76" t="s">
        <v>35</v>
      </c>
      <c r="C1248" s="76" t="s">
        <v>536</v>
      </c>
      <c r="D1248" s="79">
        <v>2107.700159</v>
      </c>
      <c r="E1248" s="79">
        <v>5.9851000000000001</v>
      </c>
      <c r="F1248" s="79">
        <v>5.9786999999999999</v>
      </c>
      <c r="G1248" s="83">
        <f t="shared" si="18"/>
        <v>6.0692238095238098</v>
      </c>
    </row>
    <row r="1249" spans="1:7" x14ac:dyDescent="0.2">
      <c r="A1249" s="75">
        <v>40533</v>
      </c>
      <c r="B1249" s="76" t="s">
        <v>35</v>
      </c>
      <c r="C1249" s="76" t="s">
        <v>536</v>
      </c>
      <c r="D1249" s="79">
        <v>2105.9223910000001</v>
      </c>
      <c r="E1249" s="79">
        <v>5.9785000000000004</v>
      </c>
      <c r="F1249" s="79">
        <v>6.0068999999999999</v>
      </c>
      <c r="G1249" s="83">
        <f t="shared" si="18"/>
        <v>6.0652238095238094</v>
      </c>
    </row>
    <row r="1250" spans="1:7" x14ac:dyDescent="0.2">
      <c r="A1250" s="75">
        <v>40534</v>
      </c>
      <c r="B1250" s="76" t="s">
        <v>35</v>
      </c>
      <c r="C1250" s="76" t="s">
        <v>536</v>
      </c>
      <c r="D1250" s="79">
        <v>2104.014404</v>
      </c>
      <c r="E1250" s="79">
        <v>6.0067000000000004</v>
      </c>
      <c r="F1250" s="79">
        <v>6.0359999999999996</v>
      </c>
      <c r="G1250" s="83">
        <f t="shared" si="18"/>
        <v>6.0613253968253975</v>
      </c>
    </row>
    <row r="1251" spans="1:7" x14ac:dyDescent="0.2">
      <c r="A1251" s="75">
        <v>40535</v>
      </c>
      <c r="B1251" s="76" t="s">
        <v>35</v>
      </c>
      <c r="C1251" s="76" t="s">
        <v>536</v>
      </c>
      <c r="D1251" s="79">
        <v>2103.2271940000001</v>
      </c>
      <c r="E1251" s="79">
        <v>6.0357000000000003</v>
      </c>
      <c r="F1251" s="79">
        <v>6.0541</v>
      </c>
      <c r="G1251" s="83">
        <f t="shared" si="18"/>
        <v>6.0585063492063496</v>
      </c>
    </row>
    <row r="1252" spans="1:7" x14ac:dyDescent="0.2">
      <c r="A1252" s="75">
        <v>40536</v>
      </c>
      <c r="B1252" s="76" t="s">
        <v>35</v>
      </c>
      <c r="C1252" s="76" t="s">
        <v>536</v>
      </c>
      <c r="D1252" s="79">
        <v>2104.3245040000002</v>
      </c>
      <c r="E1252" s="79">
        <v>6.0537000000000001</v>
      </c>
      <c r="F1252" s="79">
        <v>6.0530999999999997</v>
      </c>
      <c r="G1252" s="83">
        <f t="shared" si="18"/>
        <v>6.055757142857142</v>
      </c>
    </row>
    <row r="1253" spans="1:7" x14ac:dyDescent="0.2">
      <c r="A1253" s="75">
        <v>40539</v>
      </c>
      <c r="B1253" s="76" t="s">
        <v>35</v>
      </c>
      <c r="C1253" s="76" t="s">
        <v>536</v>
      </c>
      <c r="D1253" s="79">
        <v>2105.6802080000002</v>
      </c>
      <c r="E1253" s="79">
        <v>6.0526999999999997</v>
      </c>
      <c r="F1253" s="79">
        <v>6.0495000000000001</v>
      </c>
      <c r="G1253" s="83">
        <f t="shared" si="18"/>
        <v>6.0538253968253963</v>
      </c>
    </row>
    <row r="1254" spans="1:7" x14ac:dyDescent="0.2">
      <c r="A1254" s="75">
        <v>40540</v>
      </c>
      <c r="B1254" s="76" t="s">
        <v>35</v>
      </c>
      <c r="C1254" s="76" t="s">
        <v>536</v>
      </c>
      <c r="D1254" s="79">
        <v>2109.509998</v>
      </c>
      <c r="E1254" s="79">
        <v>6.0491999999999999</v>
      </c>
      <c r="F1254" s="79">
        <v>6.0210999999999997</v>
      </c>
      <c r="G1254" s="83">
        <f t="shared" si="18"/>
        <v>6.0519873015873014</v>
      </c>
    </row>
    <row r="1255" spans="1:7" x14ac:dyDescent="0.2">
      <c r="A1255" s="75">
        <v>40541</v>
      </c>
      <c r="B1255" s="76" t="s">
        <v>35</v>
      </c>
      <c r="C1255" s="76" t="s">
        <v>536</v>
      </c>
      <c r="D1255" s="79">
        <v>2110.8566700000001</v>
      </c>
      <c r="E1255" s="79">
        <v>6.0208000000000004</v>
      </c>
      <c r="F1255" s="79">
        <v>6.0176999999999996</v>
      </c>
      <c r="G1255" s="83">
        <f t="shared" si="18"/>
        <v>6.049031746031746</v>
      </c>
    </row>
    <row r="1256" spans="1:7" x14ac:dyDescent="0.2">
      <c r="A1256" s="75">
        <v>40542</v>
      </c>
      <c r="B1256" s="76" t="s">
        <v>35</v>
      </c>
      <c r="C1256" s="76" t="s">
        <v>536</v>
      </c>
      <c r="D1256" s="79">
        <v>2112.721634</v>
      </c>
      <c r="E1256" s="79">
        <v>6.0175000000000001</v>
      </c>
      <c r="F1256" s="79">
        <v>6.0091999999999999</v>
      </c>
      <c r="G1256" s="83">
        <f t="shared" si="18"/>
        <v>6.0454920634920644</v>
      </c>
    </row>
    <row r="1257" spans="1:7" x14ac:dyDescent="0.2">
      <c r="A1257" s="75">
        <v>40543</v>
      </c>
      <c r="B1257" s="76" t="s">
        <v>35</v>
      </c>
      <c r="C1257" s="76" t="s">
        <v>536</v>
      </c>
      <c r="D1257" s="79">
        <v>2113.4717449999998</v>
      </c>
      <c r="E1257" s="79">
        <v>6.0090000000000003</v>
      </c>
      <c r="F1257" s="79">
        <v>6.0118999999999998</v>
      </c>
      <c r="G1257" s="83">
        <f t="shared" si="18"/>
        <v>6.0430095238095243</v>
      </c>
    </row>
    <row r="1258" spans="1:7" x14ac:dyDescent="0.2">
      <c r="A1258" s="75">
        <v>40546</v>
      </c>
      <c r="B1258" s="76" t="s">
        <v>35</v>
      </c>
      <c r="C1258" s="76" t="s">
        <v>536</v>
      </c>
      <c r="D1258" s="79">
        <v>2115.7873009999998</v>
      </c>
      <c r="E1258" s="79">
        <v>6.0117000000000003</v>
      </c>
      <c r="F1258" s="79">
        <v>5.9988999999999999</v>
      </c>
      <c r="G1258" s="83">
        <f t="shared" si="18"/>
        <v>6.0405444444444445</v>
      </c>
    </row>
    <row r="1259" spans="1:7" x14ac:dyDescent="0.2">
      <c r="A1259" s="75">
        <v>40547</v>
      </c>
      <c r="B1259" s="76" t="s">
        <v>35</v>
      </c>
      <c r="C1259" s="76" t="s">
        <v>536</v>
      </c>
      <c r="D1259" s="79">
        <v>2114.832656</v>
      </c>
      <c r="E1259" s="79">
        <v>5.9987000000000004</v>
      </c>
      <c r="F1259" s="79">
        <v>6.0186999999999999</v>
      </c>
      <c r="G1259" s="83">
        <f t="shared" si="18"/>
        <v>6.0382920634920634</v>
      </c>
    </row>
    <row r="1260" spans="1:7" x14ac:dyDescent="0.2">
      <c r="A1260" s="75">
        <v>40548</v>
      </c>
      <c r="B1260" s="76" t="s">
        <v>35</v>
      </c>
      <c r="C1260" s="76" t="s">
        <v>536</v>
      </c>
      <c r="D1260" s="79">
        <v>2115.3151539999999</v>
      </c>
      <c r="E1260" s="79">
        <v>6.0186000000000002</v>
      </c>
      <c r="F1260" s="79">
        <v>6.0242000000000004</v>
      </c>
      <c r="G1260" s="83">
        <f t="shared" si="18"/>
        <v>6.0366682539682532</v>
      </c>
    </row>
    <row r="1261" spans="1:7" x14ac:dyDescent="0.2">
      <c r="A1261" s="75">
        <v>40549</v>
      </c>
      <c r="B1261" s="76" t="s">
        <v>35</v>
      </c>
      <c r="C1261" s="76" t="s">
        <v>536</v>
      </c>
      <c r="D1261" s="79">
        <v>2113.954831</v>
      </c>
      <c r="E1261" s="79">
        <v>6.024</v>
      </c>
      <c r="F1261" s="79">
        <v>6.0480999999999998</v>
      </c>
      <c r="G1261" s="83">
        <f t="shared" si="18"/>
        <v>6.0350825396825396</v>
      </c>
    </row>
    <row r="1262" spans="1:7" x14ac:dyDescent="0.2">
      <c r="A1262" s="75">
        <v>40550</v>
      </c>
      <c r="B1262" s="76" t="s">
        <v>35</v>
      </c>
      <c r="C1262" s="76" t="s">
        <v>536</v>
      </c>
      <c r="D1262" s="79">
        <v>2107.797423</v>
      </c>
      <c r="E1262" s="79">
        <v>6.048</v>
      </c>
      <c r="F1262" s="79">
        <v>6.1250999999999998</v>
      </c>
      <c r="G1262" s="83">
        <f t="shared" si="18"/>
        <v>6.0350539682539681</v>
      </c>
    </row>
    <row r="1263" spans="1:7" x14ac:dyDescent="0.2">
      <c r="A1263" s="75">
        <v>40553</v>
      </c>
      <c r="B1263" s="76" t="s">
        <v>35</v>
      </c>
      <c r="C1263" s="76" t="s">
        <v>536</v>
      </c>
      <c r="D1263" s="79">
        <v>2103.003029</v>
      </c>
      <c r="E1263" s="79">
        <v>6.125</v>
      </c>
      <c r="F1263" s="79">
        <v>6.1841999999999997</v>
      </c>
      <c r="G1263" s="83">
        <f t="shared" si="18"/>
        <v>6.0363222222222221</v>
      </c>
    </row>
    <row r="1264" spans="1:7" x14ac:dyDescent="0.2">
      <c r="A1264" s="75">
        <v>40554</v>
      </c>
      <c r="B1264" s="76" t="s">
        <v>35</v>
      </c>
      <c r="C1264" s="76" t="s">
        <v>536</v>
      </c>
      <c r="D1264" s="79">
        <v>2105.5243059999998</v>
      </c>
      <c r="E1264" s="79">
        <v>6.1840000000000002</v>
      </c>
      <c r="F1264" s="79">
        <v>6.1694000000000004</v>
      </c>
      <c r="G1264" s="83">
        <f t="shared" si="18"/>
        <v>6.0384063492063484</v>
      </c>
    </row>
    <row r="1265" spans="1:7" x14ac:dyDescent="0.2">
      <c r="A1265" s="75">
        <v>40555</v>
      </c>
      <c r="B1265" s="76" t="s">
        <v>35</v>
      </c>
      <c r="C1265" s="76" t="s">
        <v>536</v>
      </c>
      <c r="D1265" s="79">
        <v>2107.5913230000001</v>
      </c>
      <c r="E1265" s="79">
        <v>6.1692</v>
      </c>
      <c r="F1265" s="79">
        <v>6.1592000000000002</v>
      </c>
      <c r="G1265" s="83">
        <f t="shared" si="18"/>
        <v>6.0402174603174608</v>
      </c>
    </row>
    <row r="1266" spans="1:7" x14ac:dyDescent="0.2">
      <c r="A1266" s="75">
        <v>40556</v>
      </c>
      <c r="B1266" s="76" t="s">
        <v>35</v>
      </c>
      <c r="C1266" s="76" t="s">
        <v>536</v>
      </c>
      <c r="D1266" s="79">
        <v>2115.1392689999998</v>
      </c>
      <c r="E1266" s="79">
        <v>6.1589999999999998</v>
      </c>
      <c r="F1266" s="79">
        <v>6.0938999999999997</v>
      </c>
      <c r="G1266" s="83">
        <f t="shared" si="18"/>
        <v>6.0424746031746031</v>
      </c>
    </row>
    <row r="1267" spans="1:7" x14ac:dyDescent="0.2">
      <c r="A1267" s="75">
        <v>40557</v>
      </c>
      <c r="B1267" s="76" t="s">
        <v>35</v>
      </c>
      <c r="C1267" s="76" t="s">
        <v>536</v>
      </c>
      <c r="D1267" s="79">
        <v>2112.6198009999998</v>
      </c>
      <c r="E1267" s="79">
        <v>6.0937999999999999</v>
      </c>
      <c r="F1267" s="79">
        <v>6.1299000000000001</v>
      </c>
      <c r="G1267" s="83">
        <f t="shared" si="18"/>
        <v>6.0464666666666664</v>
      </c>
    </row>
    <row r="1268" spans="1:7" x14ac:dyDescent="0.2">
      <c r="A1268" s="75">
        <v>40560</v>
      </c>
      <c r="B1268" s="76" t="s">
        <v>35</v>
      </c>
      <c r="C1268" s="76" t="s">
        <v>536</v>
      </c>
      <c r="D1268" s="79">
        <v>2111.438482</v>
      </c>
      <c r="E1268" s="79">
        <v>6.1295999999999999</v>
      </c>
      <c r="F1268" s="79">
        <v>6.1523000000000003</v>
      </c>
      <c r="G1268" s="83">
        <f t="shared" si="18"/>
        <v>6.0517158730158735</v>
      </c>
    </row>
    <row r="1269" spans="1:7" x14ac:dyDescent="0.2">
      <c r="A1269" s="75">
        <v>40561</v>
      </c>
      <c r="B1269" s="76" t="s">
        <v>35</v>
      </c>
      <c r="C1269" s="76" t="s">
        <v>536</v>
      </c>
      <c r="D1269" s="79">
        <v>2112.839187</v>
      </c>
      <c r="E1269" s="79">
        <v>6.1520000000000001</v>
      </c>
      <c r="F1269" s="79">
        <v>6.1497999999999999</v>
      </c>
      <c r="G1269" s="83">
        <f t="shared" si="18"/>
        <v>6.056631746031746</v>
      </c>
    </row>
    <row r="1270" spans="1:7" x14ac:dyDescent="0.2">
      <c r="A1270" s="75">
        <v>40562</v>
      </c>
      <c r="B1270" s="76" t="s">
        <v>35</v>
      </c>
      <c r="C1270" s="76" t="s">
        <v>536</v>
      </c>
      <c r="D1270" s="79">
        <v>2113.365151</v>
      </c>
      <c r="E1270" s="79">
        <v>6.1494999999999997</v>
      </c>
      <c r="F1270" s="79">
        <v>6.1561000000000003</v>
      </c>
      <c r="G1270" s="83">
        <f t="shared" si="18"/>
        <v>6.0589111111111098</v>
      </c>
    </row>
    <row r="1271" spans="1:7" x14ac:dyDescent="0.2">
      <c r="A1271" s="75">
        <v>40563</v>
      </c>
      <c r="B1271" s="76" t="s">
        <v>35</v>
      </c>
      <c r="C1271" s="76" t="s">
        <v>536</v>
      </c>
      <c r="D1271" s="79">
        <v>2111.6052199999999</v>
      </c>
      <c r="E1271" s="79">
        <v>6.1558000000000002</v>
      </c>
      <c r="F1271" s="79">
        <v>6.1853999999999996</v>
      </c>
      <c r="G1271" s="83">
        <f t="shared" si="18"/>
        <v>6.0627920634920631</v>
      </c>
    </row>
    <row r="1272" spans="1:7" x14ac:dyDescent="0.2">
      <c r="A1272" s="75">
        <v>40564</v>
      </c>
      <c r="B1272" s="76" t="s">
        <v>35</v>
      </c>
      <c r="C1272" s="76" t="s">
        <v>536</v>
      </c>
      <c r="D1272" s="79">
        <v>2106.9742350000001</v>
      </c>
      <c r="E1272" s="79">
        <v>6.1851000000000003</v>
      </c>
      <c r="F1272" s="79">
        <v>6.2436999999999996</v>
      </c>
      <c r="G1272" s="83">
        <f t="shared" si="18"/>
        <v>6.0658666666666656</v>
      </c>
    </row>
    <row r="1273" spans="1:7" x14ac:dyDescent="0.2">
      <c r="A1273" s="75">
        <v>40567</v>
      </c>
      <c r="B1273" s="76" t="s">
        <v>35</v>
      </c>
      <c r="C1273" s="76" t="s">
        <v>536</v>
      </c>
      <c r="D1273" s="79">
        <v>2096.8169590000002</v>
      </c>
      <c r="E1273" s="79">
        <v>6.2434000000000003</v>
      </c>
      <c r="F1273" s="79">
        <v>6.3582000000000001</v>
      </c>
      <c r="G1273" s="83">
        <f t="shared" si="18"/>
        <v>6.069617460317458</v>
      </c>
    </row>
    <row r="1274" spans="1:7" x14ac:dyDescent="0.2">
      <c r="A1274" s="75">
        <v>40568</v>
      </c>
      <c r="B1274" s="76" t="s">
        <v>35</v>
      </c>
      <c r="C1274" s="76" t="s">
        <v>536</v>
      </c>
      <c r="D1274" s="79">
        <v>2098.0166989999998</v>
      </c>
      <c r="E1274" s="79">
        <v>6.3578000000000001</v>
      </c>
      <c r="F1274" s="79">
        <v>6.3577000000000004</v>
      </c>
      <c r="G1274" s="83">
        <f t="shared" si="18"/>
        <v>6.0736714285714264</v>
      </c>
    </row>
    <row r="1275" spans="1:7" x14ac:dyDescent="0.2">
      <c r="A1275" s="75">
        <v>40569</v>
      </c>
      <c r="B1275" s="76" t="s">
        <v>35</v>
      </c>
      <c r="C1275" s="76" t="s">
        <v>536</v>
      </c>
      <c r="D1275" s="79">
        <v>2098.6649649999999</v>
      </c>
      <c r="E1275" s="79">
        <v>6.3573000000000004</v>
      </c>
      <c r="F1275" s="79">
        <v>6.3628</v>
      </c>
      <c r="G1275" s="83">
        <f t="shared" si="18"/>
        <v>6.0792587301587284</v>
      </c>
    </row>
    <row r="1276" spans="1:7" x14ac:dyDescent="0.2">
      <c r="A1276" s="75">
        <v>40570</v>
      </c>
      <c r="B1276" s="76" t="s">
        <v>35</v>
      </c>
      <c r="C1276" s="76" t="s">
        <v>536</v>
      </c>
      <c r="D1276" s="79">
        <v>2099.9909710000002</v>
      </c>
      <c r="E1276" s="79">
        <v>6.3624000000000001</v>
      </c>
      <c r="F1276" s="79">
        <v>6.3715000000000002</v>
      </c>
      <c r="G1276" s="83">
        <f t="shared" si="18"/>
        <v>6.0837666666666657</v>
      </c>
    </row>
    <row r="1277" spans="1:7" x14ac:dyDescent="0.2">
      <c r="A1277" s="75">
        <v>40571</v>
      </c>
      <c r="B1277" s="76" t="s">
        <v>35</v>
      </c>
      <c r="C1277" s="76" t="s">
        <v>536</v>
      </c>
      <c r="D1277" s="79">
        <v>2102.2506709999998</v>
      </c>
      <c r="E1277" s="79">
        <v>6.3712</v>
      </c>
      <c r="F1277" s="79">
        <v>6.3616999999999999</v>
      </c>
      <c r="G1277" s="83">
        <f t="shared" si="18"/>
        <v>6.0882412698412676</v>
      </c>
    </row>
    <row r="1278" spans="1:7" x14ac:dyDescent="0.2">
      <c r="A1278" s="75">
        <v>40574</v>
      </c>
      <c r="B1278" s="76" t="s">
        <v>35</v>
      </c>
      <c r="C1278" s="76" t="s">
        <v>536</v>
      </c>
      <c r="D1278" s="79">
        <v>2099.6252370000002</v>
      </c>
      <c r="E1278" s="79">
        <v>6.3613</v>
      </c>
      <c r="F1278" s="79">
        <v>6.4013</v>
      </c>
      <c r="G1278" s="83">
        <f t="shared" si="18"/>
        <v>6.0935698412698391</v>
      </c>
    </row>
    <row r="1279" spans="1:7" x14ac:dyDescent="0.2">
      <c r="A1279" s="75">
        <v>40575</v>
      </c>
      <c r="B1279" s="76" t="s">
        <v>35</v>
      </c>
      <c r="C1279" s="76" t="s">
        <v>536</v>
      </c>
      <c r="D1279" s="79">
        <v>2104.4251039999999</v>
      </c>
      <c r="E1279" s="79">
        <v>6.4009999999999998</v>
      </c>
      <c r="F1279" s="79">
        <v>6.3658000000000001</v>
      </c>
      <c r="G1279" s="83">
        <f t="shared" si="18"/>
        <v>6.1000222222222202</v>
      </c>
    </row>
    <row r="1280" spans="1:7" x14ac:dyDescent="0.2">
      <c r="A1280" s="75">
        <v>40576</v>
      </c>
      <c r="B1280" s="76" t="s">
        <v>35</v>
      </c>
      <c r="C1280" s="76" t="s">
        <v>536</v>
      </c>
      <c r="D1280" s="79">
        <v>2108.6695060000002</v>
      </c>
      <c r="E1280" s="79">
        <v>6.3654000000000002</v>
      </c>
      <c r="F1280" s="79">
        <v>6.3358999999999996</v>
      </c>
      <c r="G1280" s="83">
        <f t="shared" si="18"/>
        <v>6.1059936507936499</v>
      </c>
    </row>
    <row r="1281" spans="1:7" x14ac:dyDescent="0.2">
      <c r="A1281" s="75">
        <v>40577</v>
      </c>
      <c r="B1281" s="76" t="s">
        <v>35</v>
      </c>
      <c r="C1281" s="76" t="s">
        <v>536</v>
      </c>
      <c r="D1281" s="79">
        <v>2104.9454000000001</v>
      </c>
      <c r="E1281" s="79">
        <v>6.3357000000000001</v>
      </c>
      <c r="F1281" s="79">
        <v>6.3867000000000003</v>
      </c>
      <c r="G1281" s="83">
        <f t="shared" si="18"/>
        <v>6.111349206349205</v>
      </c>
    </row>
    <row r="1282" spans="1:7" x14ac:dyDescent="0.2">
      <c r="A1282" s="75">
        <v>40578</v>
      </c>
      <c r="B1282" s="76" t="s">
        <v>35</v>
      </c>
      <c r="C1282" s="76" t="s">
        <v>536</v>
      </c>
      <c r="D1282" s="79">
        <v>2095.5525769999999</v>
      </c>
      <c r="E1282" s="79">
        <v>6.3864000000000001</v>
      </c>
      <c r="F1282" s="79">
        <v>6.4950999999999999</v>
      </c>
      <c r="G1282" s="83">
        <f t="shared" si="18"/>
        <v>6.1171952380952366</v>
      </c>
    </row>
    <row r="1283" spans="1:7" x14ac:dyDescent="0.2">
      <c r="A1283" s="75">
        <v>40581</v>
      </c>
      <c r="B1283" s="76" t="s">
        <v>35</v>
      </c>
      <c r="C1283" s="76" t="s">
        <v>536</v>
      </c>
      <c r="D1283" s="79">
        <v>2094.856014</v>
      </c>
      <c r="E1283" s="79">
        <v>6.4947999999999997</v>
      </c>
      <c r="F1283" s="79">
        <v>6.5153999999999996</v>
      </c>
      <c r="G1283" s="83">
        <f t="shared" ref="G1283:G1346" si="19">+AVERAGE(E1221:E1283)</f>
        <v>6.1242206349206336</v>
      </c>
    </row>
    <row r="1284" spans="1:7" x14ac:dyDescent="0.2">
      <c r="A1284" s="75">
        <v>40582</v>
      </c>
      <c r="B1284" s="76" t="s">
        <v>35</v>
      </c>
      <c r="C1284" s="76" t="s">
        <v>536</v>
      </c>
      <c r="D1284" s="79">
        <v>2109.4244239999998</v>
      </c>
      <c r="E1284" s="79">
        <v>6.5152000000000001</v>
      </c>
      <c r="F1284" s="79">
        <v>6.3842999999999996</v>
      </c>
      <c r="G1284" s="83">
        <f t="shared" si="19"/>
        <v>6.1315952380952368</v>
      </c>
    </row>
    <row r="1285" spans="1:7" x14ac:dyDescent="0.2">
      <c r="A1285" s="75">
        <v>40583</v>
      </c>
      <c r="B1285" s="76" t="s">
        <v>35</v>
      </c>
      <c r="C1285" s="76" t="s">
        <v>536</v>
      </c>
      <c r="D1285" s="79">
        <v>2111.2590850000001</v>
      </c>
      <c r="E1285" s="79">
        <v>6.3841000000000001</v>
      </c>
      <c r="F1285" s="79">
        <v>6.3792</v>
      </c>
      <c r="G1285" s="83">
        <f t="shared" si="19"/>
        <v>6.1387825396825386</v>
      </c>
    </row>
    <row r="1286" spans="1:7" x14ac:dyDescent="0.2">
      <c r="A1286" s="75">
        <v>40584</v>
      </c>
      <c r="B1286" s="76" t="s">
        <v>35</v>
      </c>
      <c r="C1286" s="76" t="s">
        <v>536</v>
      </c>
      <c r="D1286" s="79">
        <v>2108.9613089999998</v>
      </c>
      <c r="E1286" s="79">
        <v>6.3789999999999996</v>
      </c>
      <c r="F1286" s="79">
        <v>6.4157999999999999</v>
      </c>
      <c r="G1286" s="83">
        <f t="shared" si="19"/>
        <v>6.1462952380952371</v>
      </c>
    </row>
    <row r="1287" spans="1:7" x14ac:dyDescent="0.2">
      <c r="A1287" s="75">
        <v>40585</v>
      </c>
      <c r="B1287" s="76" t="s">
        <v>35</v>
      </c>
      <c r="C1287" s="76" t="s">
        <v>536</v>
      </c>
      <c r="D1287" s="79">
        <v>2106.907455</v>
      </c>
      <c r="E1287" s="79">
        <v>6.4154999999999998</v>
      </c>
      <c r="F1287" s="79">
        <v>6.4499000000000004</v>
      </c>
      <c r="G1287" s="83">
        <f t="shared" si="19"/>
        <v>6.1548365079365075</v>
      </c>
    </row>
    <row r="1288" spans="1:7" x14ac:dyDescent="0.2">
      <c r="A1288" s="75">
        <v>40588</v>
      </c>
      <c r="B1288" s="76" t="s">
        <v>35</v>
      </c>
      <c r="C1288" s="76" t="s">
        <v>536</v>
      </c>
      <c r="D1288" s="79">
        <v>2101.4161760000002</v>
      </c>
      <c r="E1288" s="79">
        <v>6.4497</v>
      </c>
      <c r="F1288" s="79">
        <v>6.5190000000000001</v>
      </c>
      <c r="G1288" s="83">
        <f t="shared" si="19"/>
        <v>6.1623968253968231</v>
      </c>
    </row>
    <row r="1289" spans="1:7" x14ac:dyDescent="0.2">
      <c r="A1289" s="75">
        <v>40589</v>
      </c>
      <c r="B1289" s="76" t="s">
        <v>35</v>
      </c>
      <c r="C1289" s="76" t="s">
        <v>536</v>
      </c>
      <c r="D1289" s="79">
        <v>2102.001366</v>
      </c>
      <c r="E1289" s="79">
        <v>6.5186999999999999</v>
      </c>
      <c r="F1289" s="79">
        <v>6.5265000000000004</v>
      </c>
      <c r="G1289" s="83">
        <f t="shared" si="19"/>
        <v>6.1712650793650772</v>
      </c>
    </row>
    <row r="1290" spans="1:7" x14ac:dyDescent="0.2">
      <c r="A1290" s="75">
        <v>40590</v>
      </c>
      <c r="B1290" s="76" t="s">
        <v>35</v>
      </c>
      <c r="C1290" s="76" t="s">
        <v>536</v>
      </c>
      <c r="D1290" s="79">
        <v>2109.00153</v>
      </c>
      <c r="E1290" s="79">
        <v>6.5260999999999996</v>
      </c>
      <c r="F1290" s="79">
        <v>6.4706000000000001</v>
      </c>
      <c r="G1290" s="83">
        <f t="shared" si="19"/>
        <v>6.1795888888888877</v>
      </c>
    </row>
    <row r="1291" spans="1:7" x14ac:dyDescent="0.2">
      <c r="A1291" s="75">
        <v>40591</v>
      </c>
      <c r="B1291" s="76" t="s">
        <v>35</v>
      </c>
      <c r="C1291" s="76" t="s">
        <v>536</v>
      </c>
      <c r="D1291" s="79">
        <v>2113.7698129999999</v>
      </c>
      <c r="E1291" s="79">
        <v>6.4702000000000002</v>
      </c>
      <c r="F1291" s="79">
        <v>6.4374000000000002</v>
      </c>
      <c r="G1291" s="83">
        <f t="shared" si="19"/>
        <v>6.1870079365079356</v>
      </c>
    </row>
    <row r="1292" spans="1:7" x14ac:dyDescent="0.2">
      <c r="A1292" s="75">
        <v>40592</v>
      </c>
      <c r="B1292" s="76" t="s">
        <v>35</v>
      </c>
      <c r="C1292" s="76" t="s">
        <v>536</v>
      </c>
      <c r="D1292" s="79">
        <v>2113.3524990000001</v>
      </c>
      <c r="E1292" s="79">
        <v>6.4370000000000003</v>
      </c>
      <c r="F1292" s="79">
        <v>6.4565000000000001</v>
      </c>
      <c r="G1292" s="83">
        <f t="shared" si="19"/>
        <v>6.191695238095237</v>
      </c>
    </row>
    <row r="1293" spans="1:7" x14ac:dyDescent="0.2">
      <c r="A1293" s="75">
        <v>40595</v>
      </c>
      <c r="B1293" s="76" t="s">
        <v>35</v>
      </c>
      <c r="C1293" s="76" t="s">
        <v>536</v>
      </c>
      <c r="D1293" s="79">
        <v>2108.6395699999998</v>
      </c>
      <c r="E1293" s="79">
        <v>6.4561000000000002</v>
      </c>
      <c r="F1293" s="79">
        <v>6.5190000000000001</v>
      </c>
      <c r="G1293" s="83">
        <f t="shared" si="19"/>
        <v>6.1969523809523794</v>
      </c>
    </row>
    <row r="1294" spans="1:7" x14ac:dyDescent="0.2">
      <c r="A1294" s="75">
        <v>40596</v>
      </c>
      <c r="B1294" s="76" t="s">
        <v>35</v>
      </c>
      <c r="C1294" s="76" t="s">
        <v>536</v>
      </c>
      <c r="D1294" s="79">
        <v>2110.5560089999999</v>
      </c>
      <c r="E1294" s="79">
        <v>6.5186999999999999</v>
      </c>
      <c r="F1294" s="79">
        <v>6.5147000000000004</v>
      </c>
      <c r="G1294" s="83">
        <f t="shared" si="19"/>
        <v>6.2036158730158721</v>
      </c>
    </row>
    <row r="1295" spans="1:7" x14ac:dyDescent="0.2">
      <c r="A1295" s="75">
        <v>40597</v>
      </c>
      <c r="B1295" s="76" t="s">
        <v>35</v>
      </c>
      <c r="C1295" s="76" t="s">
        <v>536</v>
      </c>
      <c r="D1295" s="79">
        <v>2111.5422090000002</v>
      </c>
      <c r="E1295" s="79">
        <v>6.5144000000000002</v>
      </c>
      <c r="F1295" s="79">
        <v>6.5190999999999999</v>
      </c>
      <c r="G1295" s="83">
        <f t="shared" si="19"/>
        <v>6.2110349206349218</v>
      </c>
    </row>
    <row r="1296" spans="1:7" x14ac:dyDescent="0.2">
      <c r="A1296" s="75">
        <v>40598</v>
      </c>
      <c r="B1296" s="76" t="s">
        <v>35</v>
      </c>
      <c r="C1296" s="76" t="s">
        <v>536</v>
      </c>
      <c r="D1296" s="79">
        <v>2108.144264</v>
      </c>
      <c r="E1296" s="79">
        <v>6.5187999999999997</v>
      </c>
      <c r="F1296" s="79">
        <v>6.5683999999999996</v>
      </c>
      <c r="G1296" s="83">
        <f t="shared" si="19"/>
        <v>6.2178555555555546</v>
      </c>
    </row>
    <row r="1297" spans="1:7" x14ac:dyDescent="0.2">
      <c r="A1297" s="75">
        <v>40599</v>
      </c>
      <c r="B1297" s="76" t="s">
        <v>35</v>
      </c>
      <c r="C1297" s="76" t="s">
        <v>536</v>
      </c>
      <c r="D1297" s="79">
        <v>2110.6162920000002</v>
      </c>
      <c r="E1297" s="79">
        <v>6.5681000000000003</v>
      </c>
      <c r="F1297" s="79">
        <v>6.5583999999999998</v>
      </c>
      <c r="G1297" s="83">
        <f t="shared" si="19"/>
        <v>6.224274603174603</v>
      </c>
    </row>
    <row r="1298" spans="1:7" x14ac:dyDescent="0.2">
      <c r="A1298" s="75">
        <v>40602</v>
      </c>
      <c r="B1298" s="76" t="s">
        <v>35</v>
      </c>
      <c r="C1298" s="76" t="s">
        <v>536</v>
      </c>
      <c r="D1298" s="79">
        <v>2113.4373439999999</v>
      </c>
      <c r="E1298" s="79">
        <v>6.5580999999999996</v>
      </c>
      <c r="F1298" s="79">
        <v>6.5449000000000002</v>
      </c>
      <c r="G1298" s="83">
        <f t="shared" si="19"/>
        <v>6.2312809523809536</v>
      </c>
    </row>
    <row r="1299" spans="1:7" x14ac:dyDescent="0.2">
      <c r="A1299" s="75">
        <v>40603</v>
      </c>
      <c r="B1299" s="76" t="s">
        <v>35</v>
      </c>
      <c r="C1299" s="76" t="s">
        <v>536</v>
      </c>
      <c r="D1299" s="79">
        <v>2120.0665250000002</v>
      </c>
      <c r="E1299" s="79">
        <v>6.5446</v>
      </c>
      <c r="F1299" s="79">
        <v>6.4931000000000001</v>
      </c>
      <c r="G1299" s="83">
        <f t="shared" si="19"/>
        <v>6.2379396825396825</v>
      </c>
    </row>
    <row r="1300" spans="1:7" x14ac:dyDescent="0.2">
      <c r="A1300" s="75">
        <v>40604</v>
      </c>
      <c r="B1300" s="76" t="s">
        <v>35</v>
      </c>
      <c r="C1300" s="76" t="s">
        <v>536</v>
      </c>
      <c r="D1300" s="79">
        <v>2119.263958</v>
      </c>
      <c r="E1300" s="79">
        <v>6.4928999999999997</v>
      </c>
      <c r="F1300" s="79">
        <v>6.5162000000000004</v>
      </c>
      <c r="G1300" s="83">
        <f t="shared" si="19"/>
        <v>6.2435682539682551</v>
      </c>
    </row>
    <row r="1301" spans="1:7" x14ac:dyDescent="0.2">
      <c r="A1301" s="75">
        <v>40605</v>
      </c>
      <c r="B1301" s="76" t="s">
        <v>35</v>
      </c>
      <c r="C1301" s="76" t="s">
        <v>536</v>
      </c>
      <c r="D1301" s="79">
        <v>2117.4708719999999</v>
      </c>
      <c r="E1301" s="79">
        <v>6.516</v>
      </c>
      <c r="F1301" s="79">
        <v>6.5492999999999997</v>
      </c>
      <c r="G1301" s="83">
        <f t="shared" si="19"/>
        <v>6.2495603174603183</v>
      </c>
    </row>
    <row r="1302" spans="1:7" x14ac:dyDescent="0.2">
      <c r="A1302" s="75">
        <v>40606</v>
      </c>
      <c r="B1302" s="76" t="s">
        <v>35</v>
      </c>
      <c r="C1302" s="76" t="s">
        <v>536</v>
      </c>
      <c r="D1302" s="79">
        <v>2120.339567</v>
      </c>
      <c r="E1302" s="79">
        <v>6.5491000000000001</v>
      </c>
      <c r="F1302" s="79">
        <v>6.5293999999999999</v>
      </c>
      <c r="G1302" s="83">
        <f t="shared" si="19"/>
        <v>6.2555190476190488</v>
      </c>
    </row>
    <row r="1303" spans="1:7" x14ac:dyDescent="0.2">
      <c r="A1303" s="75">
        <v>40611</v>
      </c>
      <c r="B1303" s="76" t="s">
        <v>35</v>
      </c>
      <c r="C1303" s="76" t="s">
        <v>536</v>
      </c>
      <c r="D1303" s="79">
        <v>2121.8905119999999</v>
      </c>
      <c r="E1303" s="79">
        <v>6.5292000000000003</v>
      </c>
      <c r="F1303" s="79">
        <v>6.5284000000000004</v>
      </c>
      <c r="G1303" s="83">
        <f t="shared" si="19"/>
        <v>6.2610492063492078</v>
      </c>
    </row>
    <row r="1304" spans="1:7" x14ac:dyDescent="0.2">
      <c r="A1304" s="75">
        <v>40612</v>
      </c>
      <c r="B1304" s="76" t="s">
        <v>35</v>
      </c>
      <c r="C1304" s="76" t="s">
        <v>536</v>
      </c>
      <c r="D1304" s="79">
        <v>2131.4774929999999</v>
      </c>
      <c r="E1304" s="79">
        <v>6.5282</v>
      </c>
      <c r="F1304" s="79">
        <v>6.4469000000000003</v>
      </c>
      <c r="G1304" s="83">
        <f t="shared" si="19"/>
        <v>6.2657936507936531</v>
      </c>
    </row>
    <row r="1305" spans="1:7" x14ac:dyDescent="0.2">
      <c r="A1305" s="75">
        <v>40613</v>
      </c>
      <c r="B1305" s="76" t="s">
        <v>35</v>
      </c>
      <c r="C1305" s="76" t="s">
        <v>536</v>
      </c>
      <c r="D1305" s="79">
        <v>2130.7089700000001</v>
      </c>
      <c r="E1305" s="79">
        <v>6.4466999999999999</v>
      </c>
      <c r="F1305" s="79">
        <v>6.4691000000000001</v>
      </c>
      <c r="G1305" s="83">
        <f t="shared" si="19"/>
        <v>6.2693650793650821</v>
      </c>
    </row>
    <row r="1306" spans="1:7" x14ac:dyDescent="0.2">
      <c r="A1306" s="75">
        <v>40616</v>
      </c>
      <c r="B1306" s="76" t="s">
        <v>35</v>
      </c>
      <c r="C1306" s="76" t="s">
        <v>536</v>
      </c>
      <c r="D1306" s="79">
        <v>2129.2136529999998</v>
      </c>
      <c r="E1306" s="79">
        <v>6.4690000000000003</v>
      </c>
      <c r="F1306" s="79">
        <v>6.4987000000000004</v>
      </c>
      <c r="G1306" s="83">
        <f t="shared" si="19"/>
        <v>6.275057142857146</v>
      </c>
    </row>
    <row r="1307" spans="1:7" x14ac:dyDescent="0.2">
      <c r="A1307" s="75">
        <v>40617</v>
      </c>
      <c r="B1307" s="76" t="s">
        <v>35</v>
      </c>
      <c r="C1307" s="76" t="s">
        <v>536</v>
      </c>
      <c r="D1307" s="79">
        <v>2127.9421040000002</v>
      </c>
      <c r="E1307" s="79">
        <v>6.4985999999999997</v>
      </c>
      <c r="F1307" s="79">
        <v>6.5260999999999996</v>
      </c>
      <c r="G1307" s="83">
        <f t="shared" si="19"/>
        <v>6.2813111111111137</v>
      </c>
    </row>
    <row r="1308" spans="1:7" x14ac:dyDescent="0.2">
      <c r="A1308" s="75">
        <v>40618</v>
      </c>
      <c r="B1308" s="76" t="s">
        <v>35</v>
      </c>
      <c r="C1308" s="76" t="s">
        <v>536</v>
      </c>
      <c r="D1308" s="79">
        <v>2129.965553</v>
      </c>
      <c r="E1308" s="79">
        <v>6.5259999999999998</v>
      </c>
      <c r="F1308" s="79">
        <v>6.5157999999999996</v>
      </c>
      <c r="G1308" s="83">
        <f t="shared" si="19"/>
        <v>6.2891603174603201</v>
      </c>
    </row>
    <row r="1309" spans="1:7" x14ac:dyDescent="0.2">
      <c r="A1309" s="75">
        <v>40619</v>
      </c>
      <c r="B1309" s="76" t="s">
        <v>35</v>
      </c>
      <c r="C1309" s="76" t="s">
        <v>536</v>
      </c>
      <c r="D1309" s="79">
        <v>2129.9711769999999</v>
      </c>
      <c r="E1309" s="79">
        <v>6.5156999999999998</v>
      </c>
      <c r="F1309" s="79">
        <v>6.5256999999999996</v>
      </c>
      <c r="G1309" s="83">
        <f t="shared" si="19"/>
        <v>6.2967555555555581</v>
      </c>
    </row>
    <row r="1310" spans="1:7" x14ac:dyDescent="0.2">
      <c r="A1310" s="75">
        <v>40620</v>
      </c>
      <c r="B1310" s="76" t="s">
        <v>35</v>
      </c>
      <c r="C1310" s="76" t="s">
        <v>536</v>
      </c>
      <c r="D1310" s="79">
        <v>2133.2369650000001</v>
      </c>
      <c r="E1310" s="79">
        <v>6.5256999999999996</v>
      </c>
      <c r="F1310" s="79">
        <v>6.5030999999999999</v>
      </c>
      <c r="G1310" s="83">
        <f t="shared" si="19"/>
        <v>6.305095238095241</v>
      </c>
    </row>
    <row r="1311" spans="1:7" x14ac:dyDescent="0.2">
      <c r="A1311" s="75">
        <v>40623</v>
      </c>
      <c r="B1311" s="76" t="s">
        <v>35</v>
      </c>
      <c r="C1311" s="76" t="s">
        <v>536</v>
      </c>
      <c r="D1311" s="79">
        <v>2132.6612129999999</v>
      </c>
      <c r="E1311" s="79">
        <v>6.5030000000000001</v>
      </c>
      <c r="F1311" s="79">
        <v>6.5187999999999997</v>
      </c>
      <c r="G1311" s="83">
        <f t="shared" si="19"/>
        <v>6.3133158730158758</v>
      </c>
    </row>
    <row r="1312" spans="1:7" x14ac:dyDescent="0.2">
      <c r="A1312" s="75">
        <v>40624</v>
      </c>
      <c r="B1312" s="76" t="s">
        <v>35</v>
      </c>
      <c r="C1312" s="76" t="s">
        <v>536</v>
      </c>
      <c r="D1312" s="79">
        <v>2137.85565</v>
      </c>
      <c r="E1312" s="79">
        <v>6.5187999999999997</v>
      </c>
      <c r="F1312" s="79">
        <v>6.4770000000000003</v>
      </c>
      <c r="G1312" s="83">
        <f t="shared" si="19"/>
        <v>6.3218920634920659</v>
      </c>
    </row>
    <row r="1313" spans="1:7" x14ac:dyDescent="0.2">
      <c r="A1313" s="75">
        <v>40625</v>
      </c>
      <c r="B1313" s="76" t="s">
        <v>35</v>
      </c>
      <c r="C1313" s="76" t="s">
        <v>536</v>
      </c>
      <c r="D1313" s="79">
        <v>2141.854319</v>
      </c>
      <c r="E1313" s="79">
        <v>6.4768999999999997</v>
      </c>
      <c r="F1313" s="79">
        <v>6.4470999999999998</v>
      </c>
      <c r="G1313" s="83">
        <f t="shared" si="19"/>
        <v>6.3293555555555576</v>
      </c>
    </row>
    <row r="1314" spans="1:7" x14ac:dyDescent="0.2">
      <c r="A1314" s="75">
        <v>40626</v>
      </c>
      <c r="B1314" s="76" t="s">
        <v>35</v>
      </c>
      <c r="C1314" s="76" t="s">
        <v>536</v>
      </c>
      <c r="D1314" s="79">
        <v>2139.775001</v>
      </c>
      <c r="E1314" s="79">
        <v>6.4470000000000001</v>
      </c>
      <c r="F1314" s="79">
        <v>6.4893000000000001</v>
      </c>
      <c r="G1314" s="83">
        <f t="shared" si="19"/>
        <v>6.3358841269841299</v>
      </c>
    </row>
    <row r="1315" spans="1:7" x14ac:dyDescent="0.2">
      <c r="A1315" s="75">
        <v>40627</v>
      </c>
      <c r="B1315" s="76" t="s">
        <v>35</v>
      </c>
      <c r="C1315" s="76" t="s">
        <v>536</v>
      </c>
      <c r="D1315" s="79">
        <v>2138.9211049999999</v>
      </c>
      <c r="E1315" s="79">
        <v>6.4893000000000001</v>
      </c>
      <c r="F1315" s="79">
        <v>6.5095000000000001</v>
      </c>
      <c r="G1315" s="83">
        <f t="shared" si="19"/>
        <v>6.342798412698416</v>
      </c>
    </row>
    <row r="1316" spans="1:7" x14ac:dyDescent="0.2">
      <c r="A1316" s="75">
        <v>40630</v>
      </c>
      <c r="B1316" s="76" t="s">
        <v>35</v>
      </c>
      <c r="C1316" s="76" t="s">
        <v>536</v>
      </c>
      <c r="D1316" s="79">
        <v>2140.5780869999999</v>
      </c>
      <c r="E1316" s="79">
        <v>6.5095000000000001</v>
      </c>
      <c r="F1316" s="79">
        <v>6.5046999999999997</v>
      </c>
      <c r="G1316" s="83">
        <f t="shared" si="19"/>
        <v>6.3500492063492082</v>
      </c>
    </row>
    <row r="1317" spans="1:7" x14ac:dyDescent="0.2">
      <c r="A1317" s="75">
        <v>40631</v>
      </c>
      <c r="B1317" s="76" t="s">
        <v>35</v>
      </c>
      <c r="C1317" s="76" t="s">
        <v>536</v>
      </c>
      <c r="D1317" s="79">
        <v>2138.3711349999999</v>
      </c>
      <c r="E1317" s="79">
        <v>6.5046999999999997</v>
      </c>
      <c r="F1317" s="79">
        <v>6.5384000000000002</v>
      </c>
      <c r="G1317" s="83">
        <f t="shared" si="19"/>
        <v>6.3572793650793678</v>
      </c>
    </row>
    <row r="1318" spans="1:7" x14ac:dyDescent="0.2">
      <c r="A1318" s="75">
        <v>40632</v>
      </c>
      <c r="B1318" s="76" t="s">
        <v>35</v>
      </c>
      <c r="C1318" s="76" t="s">
        <v>536</v>
      </c>
      <c r="D1318" s="79">
        <v>2146.9479860000001</v>
      </c>
      <c r="E1318" s="79">
        <v>6.5384000000000002</v>
      </c>
      <c r="F1318" s="79">
        <v>6.4648000000000003</v>
      </c>
      <c r="G1318" s="83">
        <f t="shared" si="19"/>
        <v>6.3654952380952414</v>
      </c>
    </row>
    <row r="1319" spans="1:7" x14ac:dyDescent="0.2">
      <c r="A1319" s="75">
        <v>40633</v>
      </c>
      <c r="B1319" s="76" t="s">
        <v>35</v>
      </c>
      <c r="C1319" s="76" t="s">
        <v>536</v>
      </c>
      <c r="D1319" s="79">
        <v>2151.6858130000001</v>
      </c>
      <c r="E1319" s="79">
        <v>6.4648000000000003</v>
      </c>
      <c r="F1319" s="79">
        <v>6.4295</v>
      </c>
      <c r="G1319" s="83">
        <f t="shared" si="19"/>
        <v>6.37259523809524</v>
      </c>
    </row>
    <row r="1320" spans="1:7" x14ac:dyDescent="0.2">
      <c r="A1320" s="75">
        <v>40634</v>
      </c>
      <c r="B1320" s="76" t="s">
        <v>35</v>
      </c>
      <c r="C1320" s="76" t="s">
        <v>536</v>
      </c>
      <c r="D1320" s="79">
        <v>2157.5264000000002</v>
      </c>
      <c r="E1320" s="79">
        <v>6.4295999999999998</v>
      </c>
      <c r="F1320" s="79">
        <v>6.3834999999999997</v>
      </c>
      <c r="G1320" s="83">
        <f t="shared" si="19"/>
        <v>6.3792714285714309</v>
      </c>
    </row>
    <row r="1321" spans="1:7" x14ac:dyDescent="0.2">
      <c r="A1321" s="75">
        <v>40637</v>
      </c>
      <c r="B1321" s="76" t="s">
        <v>35</v>
      </c>
      <c r="C1321" s="76" t="s">
        <v>536</v>
      </c>
      <c r="D1321" s="79">
        <v>2158.2454160000002</v>
      </c>
      <c r="E1321" s="79">
        <v>6.3836000000000004</v>
      </c>
      <c r="F1321" s="79">
        <v>6.3880999999999997</v>
      </c>
      <c r="G1321" s="83">
        <f t="shared" si="19"/>
        <v>6.3851746031746046</v>
      </c>
    </row>
    <row r="1322" spans="1:7" x14ac:dyDescent="0.2">
      <c r="A1322" s="75">
        <v>40638</v>
      </c>
      <c r="B1322" s="76" t="s">
        <v>35</v>
      </c>
      <c r="C1322" s="76" t="s">
        <v>536</v>
      </c>
      <c r="D1322" s="79">
        <v>2152.720679</v>
      </c>
      <c r="E1322" s="79">
        <v>6.3882000000000003</v>
      </c>
      <c r="F1322" s="79">
        <v>6.4543999999999997</v>
      </c>
      <c r="G1322" s="83">
        <f t="shared" si="19"/>
        <v>6.3913571428571441</v>
      </c>
    </row>
    <row r="1323" spans="1:7" x14ac:dyDescent="0.2">
      <c r="A1323" s="75">
        <v>40639</v>
      </c>
      <c r="B1323" s="76" t="s">
        <v>35</v>
      </c>
      <c r="C1323" s="76" t="s">
        <v>536</v>
      </c>
      <c r="D1323" s="79">
        <v>2152.908555</v>
      </c>
      <c r="E1323" s="79">
        <v>6.4545000000000003</v>
      </c>
      <c r="F1323" s="79">
        <v>6.4642999999999997</v>
      </c>
      <c r="G1323" s="83">
        <f t="shared" si="19"/>
        <v>6.3982761904761905</v>
      </c>
    </row>
    <row r="1324" spans="1:7" x14ac:dyDescent="0.2">
      <c r="A1324" s="75">
        <v>40640</v>
      </c>
      <c r="B1324" s="76" t="s">
        <v>35</v>
      </c>
      <c r="C1324" s="76" t="s">
        <v>536</v>
      </c>
      <c r="D1324" s="79">
        <v>2153.0401350000002</v>
      </c>
      <c r="E1324" s="79">
        <v>6.4642999999999997</v>
      </c>
      <c r="F1324" s="79">
        <v>6.4903000000000004</v>
      </c>
      <c r="G1324" s="83">
        <f t="shared" si="19"/>
        <v>6.4052650793650781</v>
      </c>
    </row>
    <row r="1325" spans="1:7" x14ac:dyDescent="0.2">
      <c r="A1325" s="75">
        <v>40641</v>
      </c>
      <c r="B1325" s="76" t="s">
        <v>35</v>
      </c>
      <c r="C1325" s="76" t="s">
        <v>536</v>
      </c>
      <c r="D1325" s="79">
        <v>2154.3345869999998</v>
      </c>
      <c r="E1325" s="79">
        <v>6.4903000000000004</v>
      </c>
      <c r="F1325" s="79">
        <v>6.4901</v>
      </c>
      <c r="G1325" s="83">
        <f t="shared" si="19"/>
        <v>6.412285714285713</v>
      </c>
    </row>
    <row r="1326" spans="1:7" x14ac:dyDescent="0.2">
      <c r="A1326" s="75">
        <v>40644</v>
      </c>
      <c r="B1326" s="76" t="s">
        <v>35</v>
      </c>
      <c r="C1326" s="76" t="s">
        <v>536</v>
      </c>
      <c r="D1326" s="79">
        <v>2152.2854419999999</v>
      </c>
      <c r="E1326" s="79">
        <v>6.4901999999999997</v>
      </c>
      <c r="F1326" s="79">
        <v>6.5231000000000003</v>
      </c>
      <c r="G1326" s="83">
        <f t="shared" si="19"/>
        <v>6.4180825396825387</v>
      </c>
    </row>
    <row r="1327" spans="1:7" x14ac:dyDescent="0.2">
      <c r="A1327" s="75">
        <v>40645</v>
      </c>
      <c r="B1327" s="76" t="s">
        <v>35</v>
      </c>
      <c r="C1327" s="76" t="s">
        <v>536</v>
      </c>
      <c r="D1327" s="79">
        <v>2155.320201</v>
      </c>
      <c r="E1327" s="79">
        <v>6.5232000000000001</v>
      </c>
      <c r="F1327" s="79">
        <v>6.5057999999999998</v>
      </c>
      <c r="G1327" s="83">
        <f t="shared" si="19"/>
        <v>6.4234666666666662</v>
      </c>
    </row>
    <row r="1328" spans="1:7" x14ac:dyDescent="0.2">
      <c r="A1328" s="75">
        <v>40646</v>
      </c>
      <c r="B1328" s="76" t="s">
        <v>35</v>
      </c>
      <c r="C1328" s="76" t="s">
        <v>536</v>
      </c>
      <c r="D1328" s="79">
        <v>2157.3559220000002</v>
      </c>
      <c r="E1328" s="79">
        <v>6.5058999999999996</v>
      </c>
      <c r="F1328" s="79">
        <v>6.4984000000000002</v>
      </c>
      <c r="G1328" s="83">
        <f t="shared" si="19"/>
        <v>6.4288111111111101</v>
      </c>
    </row>
    <row r="1329" spans="1:7" x14ac:dyDescent="0.2">
      <c r="A1329" s="75">
        <v>40647</v>
      </c>
      <c r="B1329" s="76" t="s">
        <v>35</v>
      </c>
      <c r="C1329" s="76" t="s">
        <v>536</v>
      </c>
      <c r="D1329" s="79">
        <v>2157.9955060000002</v>
      </c>
      <c r="E1329" s="79">
        <v>6.4984000000000002</v>
      </c>
      <c r="F1329" s="79">
        <v>6.5046999999999997</v>
      </c>
      <c r="G1329" s="83">
        <f t="shared" si="19"/>
        <v>6.4341984126984126</v>
      </c>
    </row>
    <row r="1330" spans="1:7" x14ac:dyDescent="0.2">
      <c r="A1330" s="75">
        <v>40648</v>
      </c>
      <c r="B1330" s="76" t="s">
        <v>35</v>
      </c>
      <c r="C1330" s="76" t="s">
        <v>536</v>
      </c>
      <c r="D1330" s="79">
        <v>2158.696578</v>
      </c>
      <c r="E1330" s="79">
        <v>6.5046999999999997</v>
      </c>
      <c r="F1330" s="79">
        <v>6.5103999999999997</v>
      </c>
      <c r="G1330" s="83">
        <f t="shared" si="19"/>
        <v>6.4407206349206332</v>
      </c>
    </row>
    <row r="1331" spans="1:7" x14ac:dyDescent="0.2">
      <c r="A1331" s="75">
        <v>40651</v>
      </c>
      <c r="B1331" s="76" t="s">
        <v>35</v>
      </c>
      <c r="C1331" s="76" t="s">
        <v>536</v>
      </c>
      <c r="D1331" s="79">
        <v>2157.540246</v>
      </c>
      <c r="E1331" s="79">
        <v>6.5103999999999997</v>
      </c>
      <c r="F1331" s="79">
        <v>6.5350999999999999</v>
      </c>
      <c r="G1331" s="83">
        <f t="shared" si="19"/>
        <v>6.4467650793650781</v>
      </c>
    </row>
    <row r="1332" spans="1:7" x14ac:dyDescent="0.2">
      <c r="A1332" s="75">
        <v>40652</v>
      </c>
      <c r="B1332" s="76" t="s">
        <v>35</v>
      </c>
      <c r="C1332" s="76" t="s">
        <v>536</v>
      </c>
      <c r="D1332" s="79">
        <v>2157.3781669999998</v>
      </c>
      <c r="E1332" s="79">
        <v>6.5350999999999999</v>
      </c>
      <c r="F1332" s="79">
        <v>6.55</v>
      </c>
      <c r="G1332" s="83">
        <f t="shared" si="19"/>
        <v>6.4528460317460317</v>
      </c>
    </row>
    <row r="1333" spans="1:7" x14ac:dyDescent="0.2">
      <c r="A1333" s="75">
        <v>40653</v>
      </c>
      <c r="B1333" s="76" t="s">
        <v>35</v>
      </c>
      <c r="C1333" s="76" t="s">
        <v>536</v>
      </c>
      <c r="D1333" s="79">
        <v>2155.125215</v>
      </c>
      <c r="E1333" s="79">
        <v>6.55</v>
      </c>
      <c r="F1333" s="79">
        <v>6.5856000000000003</v>
      </c>
      <c r="G1333" s="83">
        <f t="shared" si="19"/>
        <v>6.4592031746031742</v>
      </c>
    </row>
    <row r="1334" spans="1:7" x14ac:dyDescent="0.2">
      <c r="A1334" s="75">
        <v>40658</v>
      </c>
      <c r="B1334" s="76" t="s">
        <v>35</v>
      </c>
      <c r="C1334" s="76" t="s">
        <v>536</v>
      </c>
      <c r="D1334" s="79">
        <v>2145.375098</v>
      </c>
      <c r="E1334" s="79">
        <v>6.5856000000000003</v>
      </c>
      <c r="F1334" s="79">
        <v>6.7001999999999997</v>
      </c>
      <c r="G1334" s="83">
        <f t="shared" si="19"/>
        <v>6.4660253968253967</v>
      </c>
    </row>
    <row r="1335" spans="1:7" x14ac:dyDescent="0.2">
      <c r="A1335" s="75">
        <v>40659</v>
      </c>
      <c r="B1335" s="76" t="s">
        <v>35</v>
      </c>
      <c r="C1335" s="76" t="s">
        <v>536</v>
      </c>
      <c r="D1335" s="79">
        <v>2149.5346460000001</v>
      </c>
      <c r="E1335" s="79">
        <v>6.7001999999999997</v>
      </c>
      <c r="F1335" s="79">
        <v>6.6734</v>
      </c>
      <c r="G1335" s="83">
        <f t="shared" si="19"/>
        <v>6.4742015873015877</v>
      </c>
    </row>
    <row r="1336" spans="1:7" x14ac:dyDescent="0.2">
      <c r="A1336" s="75">
        <v>40660</v>
      </c>
      <c r="B1336" s="76" t="s">
        <v>35</v>
      </c>
      <c r="C1336" s="76" t="s">
        <v>536</v>
      </c>
      <c r="D1336" s="79">
        <v>2152.8534840000002</v>
      </c>
      <c r="E1336" s="79">
        <v>6.6734</v>
      </c>
      <c r="F1336" s="79">
        <v>6.6550000000000002</v>
      </c>
      <c r="G1336" s="83">
        <f t="shared" si="19"/>
        <v>6.4810269841269843</v>
      </c>
    </row>
    <row r="1337" spans="1:7" x14ac:dyDescent="0.2">
      <c r="A1337" s="75">
        <v>40661</v>
      </c>
      <c r="B1337" s="76" t="s">
        <v>35</v>
      </c>
      <c r="C1337" s="76" t="s">
        <v>536</v>
      </c>
      <c r="D1337" s="79">
        <v>2156.4389540000002</v>
      </c>
      <c r="E1337" s="79">
        <v>6.6548999999999996</v>
      </c>
      <c r="F1337" s="79">
        <v>6.6338999999999997</v>
      </c>
      <c r="G1337" s="83">
        <f t="shared" si="19"/>
        <v>6.4857428571428581</v>
      </c>
    </row>
    <row r="1338" spans="1:7" x14ac:dyDescent="0.2">
      <c r="A1338" s="75">
        <v>40662</v>
      </c>
      <c r="B1338" s="76" t="s">
        <v>35</v>
      </c>
      <c r="C1338" s="76" t="s">
        <v>536</v>
      </c>
      <c r="D1338" s="79">
        <v>2159.4016590000001</v>
      </c>
      <c r="E1338" s="79">
        <v>6.6338999999999997</v>
      </c>
      <c r="F1338" s="79">
        <v>6.6191000000000004</v>
      </c>
      <c r="G1338" s="83">
        <f t="shared" si="19"/>
        <v>6.4901333333333344</v>
      </c>
    </row>
    <row r="1339" spans="1:7" x14ac:dyDescent="0.2">
      <c r="A1339" s="75">
        <v>40665</v>
      </c>
      <c r="B1339" s="76" t="s">
        <v>35</v>
      </c>
      <c r="C1339" s="76" t="s">
        <v>536</v>
      </c>
      <c r="D1339" s="79">
        <v>2164.324372</v>
      </c>
      <c r="E1339" s="79">
        <v>6.6191000000000004</v>
      </c>
      <c r="F1339" s="79">
        <v>6.585</v>
      </c>
      <c r="G1339" s="83">
        <f t="shared" si="19"/>
        <v>6.4942079365079373</v>
      </c>
    </row>
    <row r="1340" spans="1:7" x14ac:dyDescent="0.2">
      <c r="A1340" s="75">
        <v>40666</v>
      </c>
      <c r="B1340" s="76" t="s">
        <v>35</v>
      </c>
      <c r="C1340" s="76" t="s">
        <v>536</v>
      </c>
      <c r="D1340" s="79">
        <v>2168.5448070000002</v>
      </c>
      <c r="E1340" s="79">
        <v>6.585</v>
      </c>
      <c r="F1340" s="79">
        <v>6.5579000000000001</v>
      </c>
      <c r="G1340" s="83">
        <f t="shared" si="19"/>
        <v>6.4976015873015873</v>
      </c>
    </row>
    <row r="1341" spans="1:7" x14ac:dyDescent="0.2">
      <c r="A1341" s="75">
        <v>40667</v>
      </c>
      <c r="B1341" s="76" t="s">
        <v>35</v>
      </c>
      <c r="C1341" s="76" t="s">
        <v>536</v>
      </c>
      <c r="D1341" s="79">
        <v>2171.2950689999998</v>
      </c>
      <c r="E1341" s="79">
        <v>6.5579000000000001</v>
      </c>
      <c r="F1341" s="79">
        <v>6.5453000000000001</v>
      </c>
      <c r="G1341" s="83">
        <f t="shared" si="19"/>
        <v>6.5007222222222234</v>
      </c>
    </row>
    <row r="1342" spans="1:7" x14ac:dyDescent="0.2">
      <c r="A1342" s="75">
        <v>40668</v>
      </c>
      <c r="B1342" s="76" t="s">
        <v>35</v>
      </c>
      <c r="C1342" s="76" t="s">
        <v>536</v>
      </c>
      <c r="D1342" s="79">
        <v>2173.5586290000001</v>
      </c>
      <c r="E1342" s="79">
        <v>6.5453000000000001</v>
      </c>
      <c r="F1342" s="79">
        <v>6.5374999999999996</v>
      </c>
      <c r="G1342" s="83">
        <f t="shared" si="19"/>
        <v>6.5030126984126984</v>
      </c>
    </row>
    <row r="1343" spans="1:7" x14ac:dyDescent="0.2">
      <c r="A1343" s="75">
        <v>40669</v>
      </c>
      <c r="B1343" s="76" t="s">
        <v>35</v>
      </c>
      <c r="C1343" s="76" t="s">
        <v>536</v>
      </c>
      <c r="D1343" s="79">
        <v>2171.0051629999998</v>
      </c>
      <c r="E1343" s="79">
        <v>6.5374999999999996</v>
      </c>
      <c r="F1343" s="79">
        <v>6.5712000000000002</v>
      </c>
      <c r="G1343" s="83">
        <f t="shared" si="19"/>
        <v>6.5057444444444448</v>
      </c>
    </row>
    <row r="1344" spans="1:7" x14ac:dyDescent="0.2">
      <c r="A1344" s="75">
        <v>40672</v>
      </c>
      <c r="B1344" s="76" t="s">
        <v>35</v>
      </c>
      <c r="C1344" s="76" t="s">
        <v>536</v>
      </c>
      <c r="D1344" s="79">
        <v>2173.938322</v>
      </c>
      <c r="E1344" s="79">
        <v>6.5711000000000004</v>
      </c>
      <c r="F1344" s="79">
        <v>6.5563000000000002</v>
      </c>
      <c r="G1344" s="83">
        <f t="shared" si="19"/>
        <v>6.5094809523809527</v>
      </c>
    </row>
    <row r="1345" spans="1:7" x14ac:dyDescent="0.2">
      <c r="A1345" s="75">
        <v>40673</v>
      </c>
      <c r="B1345" s="76" t="s">
        <v>35</v>
      </c>
      <c r="C1345" s="76" t="s">
        <v>536</v>
      </c>
      <c r="D1345" s="79">
        <v>2173.896162</v>
      </c>
      <c r="E1345" s="79">
        <v>6.5561999999999996</v>
      </c>
      <c r="F1345" s="79">
        <v>6.5705999999999998</v>
      </c>
      <c r="G1345" s="83">
        <f t="shared" si="19"/>
        <v>6.5121761904761906</v>
      </c>
    </row>
    <row r="1346" spans="1:7" x14ac:dyDescent="0.2">
      <c r="A1346" s="75">
        <v>40674</v>
      </c>
      <c r="B1346" s="76" t="s">
        <v>35</v>
      </c>
      <c r="C1346" s="76" t="s">
        <v>536</v>
      </c>
      <c r="D1346" s="79">
        <v>2178.129872</v>
      </c>
      <c r="E1346" s="79">
        <v>6.5705999999999998</v>
      </c>
      <c r="F1346" s="79">
        <v>6.5430999999999999</v>
      </c>
      <c r="G1346" s="83">
        <f t="shared" si="19"/>
        <v>6.5133793650793663</v>
      </c>
    </row>
    <row r="1347" spans="1:7" x14ac:dyDescent="0.2">
      <c r="A1347" s="75">
        <v>40675</v>
      </c>
      <c r="B1347" s="76" t="s">
        <v>35</v>
      </c>
      <c r="C1347" s="76" t="s">
        <v>536</v>
      </c>
      <c r="D1347" s="79">
        <v>2179.3326870000001</v>
      </c>
      <c r="E1347" s="79">
        <v>6.5430000000000001</v>
      </c>
      <c r="F1347" s="79">
        <v>6.5452000000000004</v>
      </c>
      <c r="G1347" s="83">
        <f t="shared" ref="G1347:G1410" si="20">+AVERAGE(E1285:E1347)</f>
        <v>6.5138206349206369</v>
      </c>
    </row>
    <row r="1348" spans="1:7" x14ac:dyDescent="0.2">
      <c r="A1348" s="75">
        <v>40676</v>
      </c>
      <c r="B1348" s="76" t="s">
        <v>35</v>
      </c>
      <c r="C1348" s="76" t="s">
        <v>536</v>
      </c>
      <c r="D1348" s="79">
        <v>2184.6410340000002</v>
      </c>
      <c r="E1348" s="79">
        <v>6.5450999999999997</v>
      </c>
      <c r="F1348" s="79">
        <v>6.5072000000000001</v>
      </c>
      <c r="G1348" s="83">
        <f t="shared" si="20"/>
        <v>6.5163761904761923</v>
      </c>
    </row>
    <row r="1349" spans="1:7" x14ac:dyDescent="0.2">
      <c r="A1349" s="75">
        <v>40679</v>
      </c>
      <c r="B1349" s="76" t="s">
        <v>35</v>
      </c>
      <c r="C1349" s="76" t="s">
        <v>536</v>
      </c>
      <c r="D1349" s="79">
        <v>2190.0942009999999</v>
      </c>
      <c r="E1349" s="79">
        <v>6.5072000000000001</v>
      </c>
      <c r="F1349" s="79">
        <v>6.468</v>
      </c>
      <c r="G1349" s="83">
        <f t="shared" si="20"/>
        <v>6.5184111111111127</v>
      </c>
    </row>
    <row r="1350" spans="1:7" x14ac:dyDescent="0.2">
      <c r="A1350" s="75">
        <v>40680</v>
      </c>
      <c r="B1350" s="76" t="s">
        <v>35</v>
      </c>
      <c r="C1350" s="76" t="s">
        <v>536</v>
      </c>
      <c r="D1350" s="79">
        <v>2192.1747789999999</v>
      </c>
      <c r="E1350" s="79">
        <v>6.4678000000000004</v>
      </c>
      <c r="F1350" s="79">
        <v>6.4576000000000002</v>
      </c>
      <c r="G1350" s="83">
        <f t="shared" si="20"/>
        <v>6.5192412698412712</v>
      </c>
    </row>
    <row r="1351" spans="1:7" x14ac:dyDescent="0.2">
      <c r="A1351" s="75">
        <v>40681</v>
      </c>
      <c r="B1351" s="76" t="s">
        <v>35</v>
      </c>
      <c r="C1351" s="76" t="s">
        <v>536</v>
      </c>
      <c r="D1351" s="79">
        <v>2189.2685670000001</v>
      </c>
      <c r="E1351" s="79">
        <v>6.4573</v>
      </c>
      <c r="F1351" s="79">
        <v>6.4955999999999996</v>
      </c>
      <c r="G1351" s="83">
        <f t="shared" si="20"/>
        <v>6.5193619047619062</v>
      </c>
    </row>
    <row r="1352" spans="1:7" x14ac:dyDescent="0.2">
      <c r="A1352" s="75">
        <v>40682</v>
      </c>
      <c r="B1352" s="76" t="s">
        <v>35</v>
      </c>
      <c r="C1352" s="76" t="s">
        <v>536</v>
      </c>
      <c r="D1352" s="79">
        <v>2192.8417340000001</v>
      </c>
      <c r="E1352" s="79">
        <v>6.4953000000000003</v>
      </c>
      <c r="F1352" s="79">
        <v>6.4706000000000001</v>
      </c>
      <c r="G1352" s="83">
        <f t="shared" si="20"/>
        <v>6.5189904761904769</v>
      </c>
    </row>
    <row r="1353" spans="1:7" x14ac:dyDescent="0.2">
      <c r="A1353" s="75">
        <v>40683</v>
      </c>
      <c r="B1353" s="76" t="s">
        <v>35</v>
      </c>
      <c r="C1353" s="76" t="s">
        <v>536</v>
      </c>
      <c r="D1353" s="79">
        <v>2192.104953</v>
      </c>
      <c r="E1353" s="79">
        <v>6.4703999999999997</v>
      </c>
      <c r="F1353" s="79">
        <v>6.4875999999999996</v>
      </c>
      <c r="G1353" s="83">
        <f t="shared" si="20"/>
        <v>6.5181063492063487</v>
      </c>
    </row>
    <row r="1354" spans="1:7" x14ac:dyDescent="0.2">
      <c r="A1354" s="75">
        <v>40686</v>
      </c>
      <c r="B1354" s="76" t="s">
        <v>35</v>
      </c>
      <c r="C1354" s="76" t="s">
        <v>536</v>
      </c>
      <c r="D1354" s="79">
        <v>2191.8877990000001</v>
      </c>
      <c r="E1354" s="79">
        <v>6.4873000000000003</v>
      </c>
      <c r="F1354" s="79">
        <v>6.4984999999999999</v>
      </c>
      <c r="G1354" s="83">
        <f t="shared" si="20"/>
        <v>6.5183777777777783</v>
      </c>
    </row>
    <row r="1355" spans="1:7" x14ac:dyDescent="0.2">
      <c r="A1355" s="75">
        <v>40687</v>
      </c>
      <c r="B1355" s="76" t="s">
        <v>35</v>
      </c>
      <c r="C1355" s="76" t="s">
        <v>536</v>
      </c>
      <c r="D1355" s="79">
        <v>2189.3468720000001</v>
      </c>
      <c r="E1355" s="79">
        <v>6.4983000000000004</v>
      </c>
      <c r="F1355" s="79">
        <v>6.5328999999999997</v>
      </c>
      <c r="G1355" s="83">
        <f t="shared" si="20"/>
        <v>6.5193507936507942</v>
      </c>
    </row>
    <row r="1356" spans="1:7" x14ac:dyDescent="0.2">
      <c r="A1356" s="75">
        <v>40688</v>
      </c>
      <c r="B1356" s="76" t="s">
        <v>35</v>
      </c>
      <c r="C1356" s="76" t="s">
        <v>536</v>
      </c>
      <c r="D1356" s="79">
        <v>2193.7255839999998</v>
      </c>
      <c r="E1356" s="79">
        <v>6.5327000000000002</v>
      </c>
      <c r="F1356" s="79">
        <v>6.5</v>
      </c>
      <c r="G1356" s="83">
        <f t="shared" si="20"/>
        <v>6.5205666666666664</v>
      </c>
    </row>
    <row r="1357" spans="1:7" x14ac:dyDescent="0.2">
      <c r="A1357" s="75">
        <v>40689</v>
      </c>
      <c r="B1357" s="76" t="s">
        <v>35</v>
      </c>
      <c r="C1357" s="76" t="s">
        <v>536</v>
      </c>
      <c r="D1357" s="79">
        <v>2195.9156659999999</v>
      </c>
      <c r="E1357" s="79">
        <v>6.4996999999999998</v>
      </c>
      <c r="F1357" s="79">
        <v>6.4882999999999997</v>
      </c>
      <c r="G1357" s="83">
        <f t="shared" si="20"/>
        <v>6.5202650793650783</v>
      </c>
    </row>
    <row r="1358" spans="1:7" x14ac:dyDescent="0.2">
      <c r="A1358" s="75">
        <v>40690</v>
      </c>
      <c r="B1358" s="76" t="s">
        <v>35</v>
      </c>
      <c r="C1358" s="76" t="s">
        <v>536</v>
      </c>
      <c r="D1358" s="79">
        <v>2199.3142210000001</v>
      </c>
      <c r="E1358" s="79">
        <v>6.4880000000000004</v>
      </c>
      <c r="F1358" s="79">
        <v>6.4649000000000001</v>
      </c>
      <c r="G1358" s="83">
        <f t="shared" si="20"/>
        <v>6.5198460317460327</v>
      </c>
    </row>
    <row r="1359" spans="1:7" x14ac:dyDescent="0.2">
      <c r="A1359" s="75">
        <v>40693</v>
      </c>
      <c r="B1359" s="76" t="s">
        <v>35</v>
      </c>
      <c r="C1359" s="76" t="s">
        <v>536</v>
      </c>
      <c r="D1359" s="79">
        <v>2201.4454000000001</v>
      </c>
      <c r="E1359" s="79">
        <v>6.4645999999999999</v>
      </c>
      <c r="F1359" s="79">
        <v>6.4538000000000002</v>
      </c>
      <c r="G1359" s="83">
        <f t="shared" si="20"/>
        <v>6.5189857142857139</v>
      </c>
    </row>
    <row r="1360" spans="1:7" x14ac:dyDescent="0.2">
      <c r="A1360" s="75">
        <v>40694</v>
      </c>
      <c r="B1360" s="76" t="s">
        <v>35</v>
      </c>
      <c r="C1360" s="76" t="s">
        <v>536</v>
      </c>
      <c r="D1360" s="79">
        <v>2203.61922</v>
      </c>
      <c r="E1360" s="79">
        <v>6.4535</v>
      </c>
      <c r="F1360" s="79">
        <v>6.4423000000000004</v>
      </c>
      <c r="G1360" s="83">
        <f t="shared" si="20"/>
        <v>6.5171666666666672</v>
      </c>
    </row>
    <row r="1361" spans="1:7" x14ac:dyDescent="0.2">
      <c r="A1361" s="75">
        <v>40695</v>
      </c>
      <c r="B1361" s="76" t="s">
        <v>35</v>
      </c>
      <c r="C1361" s="76" t="s">
        <v>536</v>
      </c>
      <c r="D1361" s="79">
        <v>2204.8006169999999</v>
      </c>
      <c r="E1361" s="79">
        <v>6.4420000000000002</v>
      </c>
      <c r="F1361" s="79">
        <v>6.4404000000000003</v>
      </c>
      <c r="G1361" s="83">
        <f t="shared" si="20"/>
        <v>6.5153238095238093</v>
      </c>
    </row>
    <row r="1362" spans="1:7" x14ac:dyDescent="0.2">
      <c r="A1362" s="75">
        <v>40696</v>
      </c>
      <c r="B1362" s="76" t="s">
        <v>35</v>
      </c>
      <c r="C1362" s="76" t="s">
        <v>536</v>
      </c>
      <c r="D1362" s="79">
        <v>2202.4550049999998</v>
      </c>
      <c r="E1362" s="79">
        <v>6.4401000000000002</v>
      </c>
      <c r="F1362" s="79">
        <v>6.4725999999999999</v>
      </c>
      <c r="G1362" s="83">
        <f t="shared" si="20"/>
        <v>6.5136650793650794</v>
      </c>
    </row>
    <row r="1363" spans="1:7" x14ac:dyDescent="0.2">
      <c r="A1363" s="75">
        <v>40697</v>
      </c>
      <c r="B1363" s="76" t="s">
        <v>35</v>
      </c>
      <c r="C1363" s="76" t="s">
        <v>536</v>
      </c>
      <c r="D1363" s="79">
        <v>2201.0756019999999</v>
      </c>
      <c r="E1363" s="79">
        <v>6.4722999999999997</v>
      </c>
      <c r="F1363" s="79">
        <v>6.4954999999999998</v>
      </c>
      <c r="G1363" s="83">
        <f t="shared" si="20"/>
        <v>6.5133380952380966</v>
      </c>
    </row>
    <row r="1364" spans="1:7" x14ac:dyDescent="0.2">
      <c r="A1364" s="75">
        <v>40700</v>
      </c>
      <c r="B1364" s="76" t="s">
        <v>35</v>
      </c>
      <c r="C1364" s="76" t="s">
        <v>536</v>
      </c>
      <c r="D1364" s="79">
        <v>2197.5547240000001</v>
      </c>
      <c r="E1364" s="79">
        <v>6.4951999999999996</v>
      </c>
      <c r="F1364" s="79">
        <v>6.5392000000000001</v>
      </c>
      <c r="G1364" s="83">
        <f t="shared" si="20"/>
        <v>6.513007936507937</v>
      </c>
    </row>
    <row r="1365" spans="1:7" x14ac:dyDescent="0.2">
      <c r="A1365" s="75">
        <v>40701</v>
      </c>
      <c r="B1365" s="76" t="s">
        <v>35</v>
      </c>
      <c r="C1365" s="76" t="s">
        <v>536</v>
      </c>
      <c r="D1365" s="79">
        <v>2199.2893290000002</v>
      </c>
      <c r="E1365" s="79">
        <v>6.5388999999999999</v>
      </c>
      <c r="F1365" s="79">
        <v>6.532</v>
      </c>
      <c r="G1365" s="83">
        <f t="shared" si="20"/>
        <v>6.512846031746033</v>
      </c>
    </row>
    <row r="1366" spans="1:7" x14ac:dyDescent="0.2">
      <c r="A1366" s="75">
        <v>40702</v>
      </c>
      <c r="B1366" s="76" t="s">
        <v>35</v>
      </c>
      <c r="C1366" s="76" t="s">
        <v>536</v>
      </c>
      <c r="D1366" s="79">
        <v>2204.0602079999999</v>
      </c>
      <c r="E1366" s="79">
        <v>6.5316999999999998</v>
      </c>
      <c r="F1366" s="79">
        <v>6.4954000000000001</v>
      </c>
      <c r="G1366" s="83">
        <f t="shared" si="20"/>
        <v>6.5128857142857139</v>
      </c>
    </row>
    <row r="1367" spans="1:7" x14ac:dyDescent="0.2">
      <c r="A1367" s="75">
        <v>40703</v>
      </c>
      <c r="B1367" s="76" t="s">
        <v>35</v>
      </c>
      <c r="C1367" s="76" t="s">
        <v>536</v>
      </c>
      <c r="D1367" s="79">
        <v>2204.90488</v>
      </c>
      <c r="E1367" s="79">
        <v>6.4950999999999999</v>
      </c>
      <c r="F1367" s="79">
        <v>6.4968000000000004</v>
      </c>
      <c r="G1367" s="83">
        <f t="shared" si="20"/>
        <v>6.512360317460316</v>
      </c>
    </row>
    <row r="1368" spans="1:7" x14ac:dyDescent="0.2">
      <c r="A1368" s="75">
        <v>40704</v>
      </c>
      <c r="B1368" s="76" t="s">
        <v>35</v>
      </c>
      <c r="C1368" s="76" t="s">
        <v>536</v>
      </c>
      <c r="D1368" s="79">
        <v>2205.3775179999998</v>
      </c>
      <c r="E1368" s="79">
        <v>6.4965000000000002</v>
      </c>
      <c r="F1368" s="79">
        <v>6.5018000000000002</v>
      </c>
      <c r="G1368" s="83">
        <f t="shared" si="20"/>
        <v>6.5131507936507953</v>
      </c>
    </row>
    <row r="1369" spans="1:7" x14ac:dyDescent="0.2">
      <c r="A1369" s="75">
        <v>40707</v>
      </c>
      <c r="B1369" s="76" t="s">
        <v>35</v>
      </c>
      <c r="C1369" s="76" t="s">
        <v>536</v>
      </c>
      <c r="D1369" s="79">
        <v>2206.4302290000001</v>
      </c>
      <c r="E1369" s="79">
        <v>6.5015000000000001</v>
      </c>
      <c r="F1369" s="79">
        <v>6.5011999999999999</v>
      </c>
      <c r="G1369" s="83">
        <f t="shared" si="20"/>
        <v>6.5136666666666674</v>
      </c>
    </row>
    <row r="1370" spans="1:7" x14ac:dyDescent="0.2">
      <c r="A1370" s="75">
        <v>40708</v>
      </c>
      <c r="B1370" s="76" t="s">
        <v>35</v>
      </c>
      <c r="C1370" s="76" t="s">
        <v>536</v>
      </c>
      <c r="D1370" s="79">
        <v>2206.6447920000001</v>
      </c>
      <c r="E1370" s="79">
        <v>6.5008999999999997</v>
      </c>
      <c r="F1370" s="79">
        <v>6.5087000000000002</v>
      </c>
      <c r="G1370" s="83">
        <f t="shared" si="20"/>
        <v>6.5137031746031751</v>
      </c>
    </row>
    <row r="1371" spans="1:7" x14ac:dyDescent="0.2">
      <c r="A1371" s="75">
        <v>40709</v>
      </c>
      <c r="B1371" s="76" t="s">
        <v>35</v>
      </c>
      <c r="C1371" s="76" t="s">
        <v>536</v>
      </c>
      <c r="D1371" s="79">
        <v>2209.6258560000001</v>
      </c>
      <c r="E1371" s="79">
        <v>6.5084</v>
      </c>
      <c r="F1371" s="79">
        <v>6.4894999999999996</v>
      </c>
      <c r="G1371" s="83">
        <f t="shared" si="20"/>
        <v>6.5134238095238111</v>
      </c>
    </row>
    <row r="1372" spans="1:7" x14ac:dyDescent="0.2">
      <c r="A1372" s="75">
        <v>40710</v>
      </c>
      <c r="B1372" s="76" t="s">
        <v>35</v>
      </c>
      <c r="C1372" s="76" t="s">
        <v>536</v>
      </c>
      <c r="D1372" s="79">
        <v>2209.0482400000001</v>
      </c>
      <c r="E1372" s="79">
        <v>6.4892000000000003</v>
      </c>
      <c r="F1372" s="79">
        <v>6.5007000000000001</v>
      </c>
      <c r="G1372" s="83">
        <f t="shared" si="20"/>
        <v>6.5130031746031749</v>
      </c>
    </row>
    <row r="1373" spans="1:7" x14ac:dyDescent="0.2">
      <c r="A1373" s="75">
        <v>40711</v>
      </c>
      <c r="B1373" s="76" t="s">
        <v>35</v>
      </c>
      <c r="C1373" s="76" t="s">
        <v>536</v>
      </c>
      <c r="D1373" s="79">
        <v>2209.6842360000001</v>
      </c>
      <c r="E1373" s="79">
        <v>6.5004999999999997</v>
      </c>
      <c r="F1373" s="79">
        <v>6.5003000000000002</v>
      </c>
      <c r="G1373" s="83">
        <f t="shared" si="20"/>
        <v>6.5126031746031741</v>
      </c>
    </row>
    <row r="1374" spans="1:7" x14ac:dyDescent="0.2">
      <c r="A1374" s="75">
        <v>40714</v>
      </c>
      <c r="B1374" s="76" t="s">
        <v>35</v>
      </c>
      <c r="C1374" s="76" t="s">
        <v>536</v>
      </c>
      <c r="D1374" s="79">
        <v>2209.3770469999999</v>
      </c>
      <c r="E1374" s="79">
        <v>6.5</v>
      </c>
      <c r="F1374" s="79">
        <v>6.5088999999999997</v>
      </c>
      <c r="G1374" s="83">
        <f t="shared" si="20"/>
        <v>6.5125555555555561</v>
      </c>
    </row>
    <row r="1375" spans="1:7" x14ac:dyDescent="0.2">
      <c r="A1375" s="75">
        <v>40715</v>
      </c>
      <c r="B1375" s="76" t="s">
        <v>35</v>
      </c>
      <c r="C1375" s="76" t="s">
        <v>536</v>
      </c>
      <c r="D1375" s="79">
        <v>2206.502888</v>
      </c>
      <c r="E1375" s="79">
        <v>6.5087000000000002</v>
      </c>
      <c r="F1375" s="79">
        <v>6.5423999999999998</v>
      </c>
      <c r="G1375" s="83">
        <f t="shared" si="20"/>
        <v>6.5123952380952392</v>
      </c>
    </row>
    <row r="1376" spans="1:7" x14ac:dyDescent="0.2">
      <c r="A1376" s="75">
        <v>40716</v>
      </c>
      <c r="B1376" s="76" t="s">
        <v>35</v>
      </c>
      <c r="C1376" s="76" t="s">
        <v>536</v>
      </c>
      <c r="D1376" s="79">
        <v>2205.0425369999998</v>
      </c>
      <c r="E1376" s="79">
        <v>6.5423</v>
      </c>
      <c r="F1376" s="79">
        <v>6.5629</v>
      </c>
      <c r="G1376" s="83">
        <f t="shared" si="20"/>
        <v>6.5134333333333352</v>
      </c>
    </row>
    <row r="1377" spans="1:7" x14ac:dyDescent="0.2">
      <c r="A1377" s="75">
        <v>40718</v>
      </c>
      <c r="B1377" s="76" t="s">
        <v>35</v>
      </c>
      <c r="C1377" s="76" t="s">
        <v>536</v>
      </c>
      <c r="D1377" s="79">
        <v>2203.4400009999999</v>
      </c>
      <c r="E1377" s="79">
        <v>6.5627000000000004</v>
      </c>
      <c r="F1377" s="79">
        <v>6.5842999999999998</v>
      </c>
      <c r="G1377" s="83">
        <f t="shared" si="20"/>
        <v>6.5152698412698431</v>
      </c>
    </row>
    <row r="1378" spans="1:7" x14ac:dyDescent="0.2">
      <c r="A1378" s="75">
        <v>40721</v>
      </c>
      <c r="B1378" s="76" t="s">
        <v>35</v>
      </c>
      <c r="C1378" s="76" t="s">
        <v>536</v>
      </c>
      <c r="D1378" s="79">
        <v>2200.118395</v>
      </c>
      <c r="E1378" s="79">
        <v>6.5841000000000003</v>
      </c>
      <c r="F1378" s="79">
        <v>6.6223999999999998</v>
      </c>
      <c r="G1378" s="83">
        <f t="shared" si="20"/>
        <v>6.5167746031746043</v>
      </c>
    </row>
    <row r="1379" spans="1:7" x14ac:dyDescent="0.2">
      <c r="A1379" s="75">
        <v>40722</v>
      </c>
      <c r="B1379" s="76" t="s">
        <v>35</v>
      </c>
      <c r="C1379" s="76" t="s">
        <v>536</v>
      </c>
      <c r="D1379" s="79">
        <v>2196.8783640000001</v>
      </c>
      <c r="E1379" s="79">
        <v>6.6223000000000001</v>
      </c>
      <c r="F1379" s="79">
        <v>6.6599000000000004</v>
      </c>
      <c r="G1379" s="83">
        <f t="shared" si="20"/>
        <v>6.5185650793650805</v>
      </c>
    </row>
    <row r="1380" spans="1:7" x14ac:dyDescent="0.2">
      <c r="A1380" s="75">
        <v>40723</v>
      </c>
      <c r="B1380" s="76" t="s">
        <v>35</v>
      </c>
      <c r="C1380" s="76" t="s">
        <v>536</v>
      </c>
      <c r="D1380" s="79">
        <v>2197.3181669999999</v>
      </c>
      <c r="E1380" s="79">
        <v>6.6597999999999997</v>
      </c>
      <c r="F1380" s="79">
        <v>6.6616999999999997</v>
      </c>
      <c r="G1380" s="83">
        <f t="shared" si="20"/>
        <v>6.5210269841269852</v>
      </c>
    </row>
    <row r="1381" spans="1:7" x14ac:dyDescent="0.2">
      <c r="A1381" s="75">
        <v>40724</v>
      </c>
      <c r="B1381" s="76" t="s">
        <v>35</v>
      </c>
      <c r="C1381" s="76" t="s">
        <v>536</v>
      </c>
      <c r="D1381" s="79">
        <v>2194.1896179999999</v>
      </c>
      <c r="E1381" s="79">
        <v>6.6615000000000002</v>
      </c>
      <c r="F1381" s="79">
        <v>6.6981000000000002</v>
      </c>
      <c r="G1381" s="83">
        <f t="shared" si="20"/>
        <v>6.5229809523809541</v>
      </c>
    </row>
    <row r="1382" spans="1:7" x14ac:dyDescent="0.2">
      <c r="A1382" s="75">
        <v>40725</v>
      </c>
      <c r="B1382" s="76" t="s">
        <v>35</v>
      </c>
      <c r="C1382" s="76" t="s">
        <v>536</v>
      </c>
      <c r="D1382" s="79">
        <v>2195.3720899999998</v>
      </c>
      <c r="E1382" s="79">
        <v>6.6980000000000004</v>
      </c>
      <c r="F1382" s="79">
        <v>6.6927000000000003</v>
      </c>
      <c r="G1382" s="83">
        <f t="shared" si="20"/>
        <v>6.5266825396825405</v>
      </c>
    </row>
    <row r="1383" spans="1:7" x14ac:dyDescent="0.2">
      <c r="A1383" s="75">
        <v>40728</v>
      </c>
      <c r="B1383" s="76" t="s">
        <v>35</v>
      </c>
      <c r="C1383" s="76" t="s">
        <v>536</v>
      </c>
      <c r="D1383" s="79">
        <v>2197.285245</v>
      </c>
      <c r="E1383" s="79">
        <v>6.6924999999999999</v>
      </c>
      <c r="F1383" s="79">
        <v>6.6801000000000004</v>
      </c>
      <c r="G1383" s="83">
        <f t="shared" si="20"/>
        <v>6.5308555555555552</v>
      </c>
    </row>
    <row r="1384" spans="1:7" x14ac:dyDescent="0.2">
      <c r="A1384" s="75">
        <v>40729</v>
      </c>
      <c r="B1384" s="76" t="s">
        <v>35</v>
      </c>
      <c r="C1384" s="76" t="s">
        <v>536</v>
      </c>
      <c r="D1384" s="79">
        <v>2196.512741</v>
      </c>
      <c r="E1384" s="79">
        <v>6.68</v>
      </c>
      <c r="F1384" s="79">
        <v>6.6936999999999998</v>
      </c>
      <c r="G1384" s="83">
        <f t="shared" si="20"/>
        <v>6.535560317460317</v>
      </c>
    </row>
    <row r="1385" spans="1:7" x14ac:dyDescent="0.2">
      <c r="A1385" s="75">
        <v>40730</v>
      </c>
      <c r="B1385" s="76" t="s">
        <v>35</v>
      </c>
      <c r="C1385" s="76" t="s">
        <v>536</v>
      </c>
      <c r="D1385" s="79">
        <v>2197.3976939999998</v>
      </c>
      <c r="E1385" s="79">
        <v>6.6935000000000002</v>
      </c>
      <c r="F1385" s="79">
        <v>6.6910999999999996</v>
      </c>
      <c r="G1385" s="83">
        <f t="shared" si="20"/>
        <v>6.54040634920635</v>
      </c>
    </row>
    <row r="1386" spans="1:7" x14ac:dyDescent="0.2">
      <c r="A1386" s="75">
        <v>40731</v>
      </c>
      <c r="B1386" s="76" t="s">
        <v>35</v>
      </c>
      <c r="C1386" s="76" t="s">
        <v>536</v>
      </c>
      <c r="D1386" s="79">
        <v>2196.3879470000002</v>
      </c>
      <c r="E1386" s="79">
        <v>6.6909000000000001</v>
      </c>
      <c r="F1386" s="79">
        <v>6.7191000000000001</v>
      </c>
      <c r="G1386" s="83">
        <f t="shared" si="20"/>
        <v>6.5441587301587303</v>
      </c>
    </row>
    <row r="1387" spans="1:7" x14ac:dyDescent="0.2">
      <c r="A1387" s="75">
        <v>40732</v>
      </c>
      <c r="B1387" s="76" t="s">
        <v>35</v>
      </c>
      <c r="C1387" s="76" t="s">
        <v>536</v>
      </c>
      <c r="D1387" s="79">
        <v>2195.332977</v>
      </c>
      <c r="E1387" s="79">
        <v>6.7188999999999997</v>
      </c>
      <c r="F1387" s="79">
        <v>6.7362000000000002</v>
      </c>
      <c r="G1387" s="83">
        <f t="shared" si="20"/>
        <v>6.5482000000000005</v>
      </c>
    </row>
    <row r="1388" spans="1:7" x14ac:dyDescent="0.2">
      <c r="A1388" s="75">
        <v>40735</v>
      </c>
      <c r="B1388" s="76" t="s">
        <v>35</v>
      </c>
      <c r="C1388" s="76" t="s">
        <v>536</v>
      </c>
      <c r="D1388" s="79">
        <v>2195.4820829999999</v>
      </c>
      <c r="E1388" s="79">
        <v>6.7359999999999998</v>
      </c>
      <c r="F1388" s="79">
        <v>6.7416</v>
      </c>
      <c r="G1388" s="83">
        <f t="shared" si="20"/>
        <v>6.5520999999999994</v>
      </c>
    </row>
    <row r="1389" spans="1:7" x14ac:dyDescent="0.2">
      <c r="A1389" s="75">
        <v>40736</v>
      </c>
      <c r="B1389" s="76" t="s">
        <v>35</v>
      </c>
      <c r="C1389" s="76" t="s">
        <v>536</v>
      </c>
      <c r="D1389" s="79">
        <v>2195.5494720000002</v>
      </c>
      <c r="E1389" s="79">
        <v>6.7415000000000003</v>
      </c>
      <c r="F1389" s="79">
        <v>6.7478999999999996</v>
      </c>
      <c r="G1389" s="83">
        <f t="shared" si="20"/>
        <v>6.5560888888888886</v>
      </c>
    </row>
    <row r="1390" spans="1:7" x14ac:dyDescent="0.2">
      <c r="A1390" s="75">
        <v>40737</v>
      </c>
      <c r="B1390" s="76" t="s">
        <v>35</v>
      </c>
      <c r="C1390" s="76" t="s">
        <v>536</v>
      </c>
      <c r="D1390" s="79">
        <v>2198.6923280000001</v>
      </c>
      <c r="E1390" s="79">
        <v>6.7477999999999998</v>
      </c>
      <c r="F1390" s="79">
        <v>6.7243000000000004</v>
      </c>
      <c r="G1390" s="83">
        <f t="shared" si="20"/>
        <v>6.5596539682539676</v>
      </c>
    </row>
    <row r="1391" spans="1:7" x14ac:dyDescent="0.2">
      <c r="A1391" s="75">
        <v>40738</v>
      </c>
      <c r="B1391" s="76" t="s">
        <v>35</v>
      </c>
      <c r="C1391" s="76" t="s">
        <v>536</v>
      </c>
      <c r="D1391" s="79">
        <v>2201.3950249999998</v>
      </c>
      <c r="E1391" s="79">
        <v>6.7241999999999997</v>
      </c>
      <c r="F1391" s="79">
        <v>6.7050000000000001</v>
      </c>
      <c r="G1391" s="83">
        <f t="shared" si="20"/>
        <v>6.5631190476190477</v>
      </c>
    </row>
    <row r="1392" spans="1:7" x14ac:dyDescent="0.2">
      <c r="A1392" s="75">
        <v>40739</v>
      </c>
      <c r="B1392" s="76" t="s">
        <v>35</v>
      </c>
      <c r="C1392" s="76" t="s">
        <v>536</v>
      </c>
      <c r="D1392" s="79">
        <v>2202.6656699999999</v>
      </c>
      <c r="E1392" s="79">
        <v>6.7049000000000003</v>
      </c>
      <c r="F1392" s="79">
        <v>6.6996000000000002</v>
      </c>
      <c r="G1392" s="83">
        <f t="shared" si="20"/>
        <v>6.5663968253968248</v>
      </c>
    </row>
    <row r="1393" spans="1:7" x14ac:dyDescent="0.2">
      <c r="A1393" s="75">
        <v>40742</v>
      </c>
      <c r="B1393" s="76" t="s">
        <v>35</v>
      </c>
      <c r="C1393" s="76" t="s">
        <v>536</v>
      </c>
      <c r="D1393" s="79">
        <v>2205.8066490000001</v>
      </c>
      <c r="E1393" s="79">
        <v>6.6993999999999998</v>
      </c>
      <c r="F1393" s="79">
        <v>6.6767000000000003</v>
      </c>
      <c r="G1393" s="83">
        <f t="shared" si="20"/>
        <v>6.5694873015872997</v>
      </c>
    </row>
    <row r="1394" spans="1:7" x14ac:dyDescent="0.2">
      <c r="A1394" s="75">
        <v>40743</v>
      </c>
      <c r="B1394" s="76" t="s">
        <v>35</v>
      </c>
      <c r="C1394" s="76" t="s">
        <v>536</v>
      </c>
      <c r="D1394" s="79">
        <v>2207.492319</v>
      </c>
      <c r="E1394" s="79">
        <v>6.6765999999999996</v>
      </c>
      <c r="F1394" s="79">
        <v>6.6680000000000001</v>
      </c>
      <c r="G1394" s="83">
        <f t="shared" si="20"/>
        <v>6.5721253968253972</v>
      </c>
    </row>
    <row r="1395" spans="1:7" x14ac:dyDescent="0.2">
      <c r="A1395" s="75">
        <v>40744</v>
      </c>
      <c r="B1395" s="76" t="s">
        <v>35</v>
      </c>
      <c r="C1395" s="76" t="s">
        <v>536</v>
      </c>
      <c r="D1395" s="79">
        <v>2207.2342349999999</v>
      </c>
      <c r="E1395" s="79">
        <v>6.6679000000000004</v>
      </c>
      <c r="F1395" s="79">
        <v>6.6780999999999997</v>
      </c>
      <c r="G1395" s="83">
        <f t="shared" si="20"/>
        <v>6.574233333333332</v>
      </c>
    </row>
    <row r="1396" spans="1:7" x14ac:dyDescent="0.2">
      <c r="A1396" s="75">
        <v>40745</v>
      </c>
      <c r="B1396" s="76" t="s">
        <v>35</v>
      </c>
      <c r="C1396" s="76" t="s">
        <v>536</v>
      </c>
      <c r="D1396" s="79">
        <v>2208.4227470000001</v>
      </c>
      <c r="E1396" s="79">
        <v>6.6779999999999999</v>
      </c>
      <c r="F1396" s="79">
        <v>6.673</v>
      </c>
      <c r="G1396" s="83">
        <f t="shared" si="20"/>
        <v>6.5762650793650792</v>
      </c>
    </row>
    <row r="1397" spans="1:7" x14ac:dyDescent="0.2">
      <c r="A1397" s="75">
        <v>40746</v>
      </c>
      <c r="B1397" s="76" t="s">
        <v>35</v>
      </c>
      <c r="C1397" s="76" t="s">
        <v>536</v>
      </c>
      <c r="D1397" s="79">
        <v>2209.0954729999999</v>
      </c>
      <c r="E1397" s="79">
        <v>6.6727999999999996</v>
      </c>
      <c r="F1397" s="79">
        <v>6.6737000000000002</v>
      </c>
      <c r="G1397" s="83">
        <f t="shared" si="20"/>
        <v>6.5776492063492054</v>
      </c>
    </row>
    <row r="1398" spans="1:7" x14ac:dyDescent="0.2">
      <c r="A1398" s="75">
        <v>40749</v>
      </c>
      <c r="B1398" s="76" t="s">
        <v>35</v>
      </c>
      <c r="C1398" s="76" t="s">
        <v>536</v>
      </c>
      <c r="D1398" s="79">
        <v>2206.7179430000001</v>
      </c>
      <c r="E1398" s="79">
        <v>6.6734999999999998</v>
      </c>
      <c r="F1398" s="79">
        <v>6.7039</v>
      </c>
      <c r="G1398" s="83">
        <f t="shared" si="20"/>
        <v>6.577225396825396</v>
      </c>
    </row>
    <row r="1399" spans="1:7" x14ac:dyDescent="0.2">
      <c r="A1399" s="75">
        <v>40750</v>
      </c>
      <c r="B1399" s="76" t="s">
        <v>35</v>
      </c>
      <c r="C1399" s="76" t="s">
        <v>536</v>
      </c>
      <c r="D1399" s="79">
        <v>2211.0032609999998</v>
      </c>
      <c r="E1399" s="79">
        <v>6.7037000000000004</v>
      </c>
      <c r="F1399" s="79">
        <v>6.6696999999999997</v>
      </c>
      <c r="G1399" s="83">
        <f t="shared" si="20"/>
        <v>6.5777063492063483</v>
      </c>
    </row>
    <row r="1400" spans="1:7" x14ac:dyDescent="0.2">
      <c r="A1400" s="75">
        <v>40751</v>
      </c>
      <c r="B1400" s="76" t="s">
        <v>35</v>
      </c>
      <c r="C1400" s="76" t="s">
        <v>536</v>
      </c>
      <c r="D1400" s="79">
        <v>2213.3657389999998</v>
      </c>
      <c r="E1400" s="79">
        <v>6.6696</v>
      </c>
      <c r="F1400" s="79">
        <v>6.6542000000000003</v>
      </c>
      <c r="G1400" s="83">
        <f t="shared" si="20"/>
        <v>6.5779396825396823</v>
      </c>
    </row>
    <row r="1401" spans="1:7" x14ac:dyDescent="0.2">
      <c r="A1401" s="75">
        <v>40752</v>
      </c>
      <c r="B1401" s="76" t="s">
        <v>35</v>
      </c>
      <c r="C1401" s="76" t="s">
        <v>536</v>
      </c>
      <c r="D1401" s="79">
        <v>2215.4701879999998</v>
      </c>
      <c r="E1401" s="79">
        <v>6.6539999999999999</v>
      </c>
      <c r="F1401" s="79">
        <v>6.6410999999999998</v>
      </c>
      <c r="G1401" s="83">
        <f t="shared" si="20"/>
        <v>6.5782587301587307</v>
      </c>
    </row>
    <row r="1402" spans="1:7" x14ac:dyDescent="0.2">
      <c r="A1402" s="75">
        <v>40753</v>
      </c>
      <c r="B1402" s="76" t="s">
        <v>35</v>
      </c>
      <c r="C1402" s="76" t="s">
        <v>536</v>
      </c>
      <c r="D1402" s="79">
        <v>2217.2432669999998</v>
      </c>
      <c r="E1402" s="79">
        <v>6.641</v>
      </c>
      <c r="F1402" s="79">
        <v>6.6313000000000004</v>
      </c>
      <c r="G1402" s="83">
        <f t="shared" si="20"/>
        <v>6.5786063492063498</v>
      </c>
    </row>
    <row r="1403" spans="1:7" x14ac:dyDescent="0.2">
      <c r="A1403" s="75">
        <v>40756</v>
      </c>
      <c r="B1403" s="76" t="s">
        <v>35</v>
      </c>
      <c r="C1403" s="76" t="s">
        <v>536</v>
      </c>
      <c r="D1403" s="79">
        <v>2220.9208229999999</v>
      </c>
      <c r="E1403" s="79">
        <v>6.6311999999999998</v>
      </c>
      <c r="F1403" s="79">
        <v>6.6032000000000002</v>
      </c>
      <c r="G1403" s="83">
        <f t="shared" si="20"/>
        <v>6.5793396825396826</v>
      </c>
    </row>
    <row r="1404" spans="1:7" x14ac:dyDescent="0.2">
      <c r="A1404" s="75">
        <v>40757</v>
      </c>
      <c r="B1404" s="76" t="s">
        <v>35</v>
      </c>
      <c r="C1404" s="76" t="s">
        <v>536</v>
      </c>
      <c r="D1404" s="79">
        <v>2224.926234</v>
      </c>
      <c r="E1404" s="79">
        <v>6.6031000000000004</v>
      </c>
      <c r="F1404" s="79">
        <v>6.5720000000000001</v>
      </c>
      <c r="G1404" s="83">
        <f t="shared" si="20"/>
        <v>6.5800571428571422</v>
      </c>
    </row>
    <row r="1405" spans="1:7" x14ac:dyDescent="0.2">
      <c r="A1405" s="75">
        <v>40758</v>
      </c>
      <c r="B1405" s="76" t="s">
        <v>35</v>
      </c>
      <c r="C1405" s="76" t="s">
        <v>536</v>
      </c>
      <c r="D1405" s="79">
        <v>2224.1980050000002</v>
      </c>
      <c r="E1405" s="79">
        <v>6.5720000000000001</v>
      </c>
      <c r="F1405" s="79">
        <v>6.5862999999999996</v>
      </c>
      <c r="G1405" s="83">
        <f t="shared" si="20"/>
        <v>6.5804809523809515</v>
      </c>
    </row>
    <row r="1406" spans="1:7" x14ac:dyDescent="0.2">
      <c r="A1406" s="75">
        <v>40759</v>
      </c>
      <c r="B1406" s="76" t="s">
        <v>35</v>
      </c>
      <c r="C1406" s="76" t="s">
        <v>536</v>
      </c>
      <c r="D1406" s="79">
        <v>2226.2871180000002</v>
      </c>
      <c r="E1406" s="79">
        <v>6.5861999999999998</v>
      </c>
      <c r="F1406" s="79">
        <v>6.5735000000000001</v>
      </c>
      <c r="G1406" s="83">
        <f t="shared" si="20"/>
        <v>6.5812539682539697</v>
      </c>
    </row>
    <row r="1407" spans="1:7" x14ac:dyDescent="0.2">
      <c r="A1407" s="75">
        <v>40760</v>
      </c>
      <c r="B1407" s="76" t="s">
        <v>35</v>
      </c>
      <c r="C1407" s="76" t="s">
        <v>536</v>
      </c>
      <c r="D1407" s="79">
        <v>2225.1028139999999</v>
      </c>
      <c r="E1407" s="79">
        <v>6.5735000000000001</v>
      </c>
      <c r="F1407" s="79">
        <v>6.5876000000000001</v>
      </c>
      <c r="G1407" s="83">
        <f t="shared" si="20"/>
        <v>6.5812920634920635</v>
      </c>
    </row>
    <row r="1408" spans="1:7" x14ac:dyDescent="0.2">
      <c r="A1408" s="75">
        <v>40763</v>
      </c>
      <c r="B1408" s="76" t="s">
        <v>35</v>
      </c>
      <c r="C1408" s="76" t="s">
        <v>536</v>
      </c>
      <c r="D1408" s="79">
        <v>2228.3621210000001</v>
      </c>
      <c r="E1408" s="79">
        <v>6.5876000000000001</v>
      </c>
      <c r="F1408" s="79">
        <v>6.5633999999999997</v>
      </c>
      <c r="G1408" s="83">
        <f t="shared" si="20"/>
        <v>6.5817904761904771</v>
      </c>
    </row>
    <row r="1409" spans="1:7" x14ac:dyDescent="0.2">
      <c r="A1409" s="75">
        <v>40764</v>
      </c>
      <c r="B1409" s="76" t="s">
        <v>35</v>
      </c>
      <c r="C1409" s="76" t="s">
        <v>536</v>
      </c>
      <c r="D1409" s="79">
        <v>2231.896882</v>
      </c>
      <c r="E1409" s="79">
        <v>6.5635000000000003</v>
      </c>
      <c r="F1409" s="79">
        <v>6.5366999999999997</v>
      </c>
      <c r="G1409" s="83">
        <f t="shared" si="20"/>
        <v>6.5816777777777782</v>
      </c>
    </row>
    <row r="1410" spans="1:7" x14ac:dyDescent="0.2">
      <c r="A1410" s="75">
        <v>40765</v>
      </c>
      <c r="B1410" s="76" t="s">
        <v>35</v>
      </c>
      <c r="C1410" s="76" t="s">
        <v>536</v>
      </c>
      <c r="D1410" s="79">
        <v>2232.8266229999999</v>
      </c>
      <c r="E1410" s="79">
        <v>6.5368000000000004</v>
      </c>
      <c r="F1410" s="79">
        <v>6.5349000000000004</v>
      </c>
      <c r="G1410" s="83">
        <f t="shared" si="20"/>
        <v>6.5815793650793655</v>
      </c>
    </row>
    <row r="1411" spans="1:7" x14ac:dyDescent="0.2">
      <c r="A1411" s="75">
        <v>40766</v>
      </c>
      <c r="B1411" s="76" t="s">
        <v>35</v>
      </c>
      <c r="C1411" s="76" t="s">
        <v>536</v>
      </c>
      <c r="D1411" s="79">
        <v>2230.8362219999999</v>
      </c>
      <c r="E1411" s="79">
        <v>6.5350000000000001</v>
      </c>
      <c r="F1411" s="79">
        <v>6.5609999999999999</v>
      </c>
      <c r="G1411" s="83">
        <f t="shared" ref="G1411:G1474" si="21">+AVERAGE(E1349:E1411)</f>
        <v>6.5814190476190477</v>
      </c>
    </row>
    <row r="1412" spans="1:7" x14ac:dyDescent="0.2">
      <c r="A1412" s="75">
        <v>40767</v>
      </c>
      <c r="B1412" s="76" t="s">
        <v>35</v>
      </c>
      <c r="C1412" s="76" t="s">
        <v>536</v>
      </c>
      <c r="D1412" s="79">
        <v>2243.2079309999999</v>
      </c>
      <c r="E1412" s="79">
        <v>6.5612000000000004</v>
      </c>
      <c r="F1412" s="79">
        <v>6.4503000000000004</v>
      </c>
      <c r="G1412" s="83">
        <f t="shared" si="21"/>
        <v>6.5822761904761906</v>
      </c>
    </row>
    <row r="1413" spans="1:7" x14ac:dyDescent="0.2">
      <c r="A1413" s="75">
        <v>40770</v>
      </c>
      <c r="B1413" s="76" t="s">
        <v>35</v>
      </c>
      <c r="C1413" s="76" t="s">
        <v>536</v>
      </c>
      <c r="D1413" s="79">
        <v>2251.2054859999998</v>
      </c>
      <c r="E1413" s="79">
        <v>6.4504999999999999</v>
      </c>
      <c r="F1413" s="79">
        <v>6.3815999999999997</v>
      </c>
      <c r="G1413" s="83">
        <f t="shared" si="21"/>
        <v>6.5820015873015878</v>
      </c>
    </row>
    <row r="1414" spans="1:7" x14ac:dyDescent="0.2">
      <c r="A1414" s="75">
        <v>40771</v>
      </c>
      <c r="B1414" s="76" t="s">
        <v>35</v>
      </c>
      <c r="C1414" s="76" t="s">
        <v>536</v>
      </c>
      <c r="D1414" s="79">
        <v>2262.5761600000001</v>
      </c>
      <c r="E1414" s="79">
        <v>6.3818000000000001</v>
      </c>
      <c r="F1414" s="79">
        <v>6.2824999999999998</v>
      </c>
      <c r="G1414" s="83">
        <f t="shared" si="21"/>
        <v>6.580803174603175</v>
      </c>
    </row>
    <row r="1415" spans="1:7" x14ac:dyDescent="0.2">
      <c r="A1415" s="75">
        <v>40772</v>
      </c>
      <c r="B1415" s="76" t="s">
        <v>35</v>
      </c>
      <c r="C1415" s="76" t="s">
        <v>536</v>
      </c>
      <c r="D1415" s="79">
        <v>2277.6256149999999</v>
      </c>
      <c r="E1415" s="79">
        <v>6.2826000000000004</v>
      </c>
      <c r="F1415" s="79">
        <v>6.1494999999999997</v>
      </c>
      <c r="G1415" s="83">
        <f t="shared" si="21"/>
        <v>6.5774269841269852</v>
      </c>
    </row>
    <row r="1416" spans="1:7" x14ac:dyDescent="0.2">
      <c r="A1416" s="75">
        <v>40773</v>
      </c>
      <c r="B1416" s="76" t="s">
        <v>35</v>
      </c>
      <c r="C1416" s="76" t="s">
        <v>536</v>
      </c>
      <c r="D1416" s="79">
        <v>2288.2922840000001</v>
      </c>
      <c r="E1416" s="79">
        <v>6.1497000000000002</v>
      </c>
      <c r="F1416" s="79">
        <v>6.0582000000000003</v>
      </c>
      <c r="G1416" s="83">
        <f t="shared" si="21"/>
        <v>6.5723365079365079</v>
      </c>
    </row>
    <row r="1417" spans="1:7" x14ac:dyDescent="0.2">
      <c r="A1417" s="75">
        <v>40774</v>
      </c>
      <c r="B1417" s="76" t="s">
        <v>35</v>
      </c>
      <c r="C1417" s="76" t="s">
        <v>536</v>
      </c>
      <c r="D1417" s="79">
        <v>2293.7922239999998</v>
      </c>
      <c r="E1417" s="79">
        <v>6.0583</v>
      </c>
      <c r="F1417" s="79">
        <v>6.0149999999999997</v>
      </c>
      <c r="G1417" s="83">
        <f t="shared" si="21"/>
        <v>6.5655269841269837</v>
      </c>
    </row>
    <row r="1418" spans="1:7" x14ac:dyDescent="0.2">
      <c r="A1418" s="75">
        <v>40777</v>
      </c>
      <c r="B1418" s="76" t="s">
        <v>35</v>
      </c>
      <c r="C1418" s="76" t="s">
        <v>536</v>
      </c>
      <c r="D1418" s="79">
        <v>2294.5166199999999</v>
      </c>
      <c r="E1418" s="79">
        <v>6.0152000000000001</v>
      </c>
      <c r="F1418" s="79">
        <v>6.0190000000000001</v>
      </c>
      <c r="G1418" s="83">
        <f t="shared" si="21"/>
        <v>6.5578587301587294</v>
      </c>
    </row>
    <row r="1419" spans="1:7" x14ac:dyDescent="0.2">
      <c r="A1419" s="75">
        <v>40778</v>
      </c>
      <c r="B1419" s="76" t="s">
        <v>35</v>
      </c>
      <c r="C1419" s="76" t="s">
        <v>536</v>
      </c>
      <c r="D1419" s="79">
        <v>2302.805175</v>
      </c>
      <c r="E1419" s="79">
        <v>6.0191999999999997</v>
      </c>
      <c r="F1419" s="79">
        <v>5.9508999999999999</v>
      </c>
      <c r="G1419" s="83">
        <f t="shared" si="21"/>
        <v>6.5497079365079367</v>
      </c>
    </row>
    <row r="1420" spans="1:7" x14ac:dyDescent="0.2">
      <c r="A1420" s="75">
        <v>40779</v>
      </c>
      <c r="B1420" s="76" t="s">
        <v>35</v>
      </c>
      <c r="C1420" s="76" t="s">
        <v>536</v>
      </c>
      <c r="D1420" s="79">
        <v>2306.384763</v>
      </c>
      <c r="E1420" s="79">
        <v>5.9512</v>
      </c>
      <c r="F1420" s="79">
        <v>5.9264000000000001</v>
      </c>
      <c r="G1420" s="83">
        <f t="shared" si="21"/>
        <v>6.5410015873015883</v>
      </c>
    </row>
    <row r="1421" spans="1:7" x14ac:dyDescent="0.2">
      <c r="A1421" s="75">
        <v>40780</v>
      </c>
      <c r="B1421" s="76" t="s">
        <v>35</v>
      </c>
      <c r="C1421" s="76" t="s">
        <v>536</v>
      </c>
      <c r="D1421" s="79">
        <v>2311.3638040000001</v>
      </c>
      <c r="E1421" s="79">
        <v>5.9265999999999996</v>
      </c>
      <c r="F1421" s="79">
        <v>5.8890000000000002</v>
      </c>
      <c r="G1421" s="83">
        <f t="shared" si="21"/>
        <v>6.5320904761904766</v>
      </c>
    </row>
    <row r="1422" spans="1:7" x14ac:dyDescent="0.2">
      <c r="A1422" s="75">
        <v>40781</v>
      </c>
      <c r="B1422" s="76" t="s">
        <v>35</v>
      </c>
      <c r="C1422" s="76" t="s">
        <v>536</v>
      </c>
      <c r="D1422" s="79">
        <v>2331.288888</v>
      </c>
      <c r="E1422" s="79">
        <v>5.8893000000000004</v>
      </c>
      <c r="F1422" s="79">
        <v>5.7156000000000002</v>
      </c>
      <c r="G1422" s="83">
        <f t="shared" si="21"/>
        <v>6.52295873015873</v>
      </c>
    </row>
    <row r="1423" spans="1:7" x14ac:dyDescent="0.2">
      <c r="A1423" s="75">
        <v>40784</v>
      </c>
      <c r="B1423" s="76" t="s">
        <v>35</v>
      </c>
      <c r="C1423" s="76" t="s">
        <v>536</v>
      </c>
      <c r="D1423" s="79">
        <v>2354.9002930000001</v>
      </c>
      <c r="E1423" s="79">
        <v>5.7159000000000004</v>
      </c>
      <c r="F1423" s="79">
        <v>5.5107999999999997</v>
      </c>
      <c r="G1423" s="83">
        <f t="shared" si="21"/>
        <v>6.5112507936507935</v>
      </c>
    </row>
    <row r="1424" spans="1:7" x14ac:dyDescent="0.2">
      <c r="A1424" s="75">
        <v>40785</v>
      </c>
      <c r="B1424" s="76" t="s">
        <v>35</v>
      </c>
      <c r="C1424" s="76" t="s">
        <v>536</v>
      </c>
      <c r="D1424" s="79">
        <v>2353.3348599999999</v>
      </c>
      <c r="E1424" s="79">
        <v>5.5110999999999999</v>
      </c>
      <c r="F1424" s="79">
        <v>5.5328999999999997</v>
      </c>
      <c r="G1424" s="83">
        <f t="shared" si="21"/>
        <v>6.4964746031746028</v>
      </c>
    </row>
    <row r="1425" spans="1:7" x14ac:dyDescent="0.2">
      <c r="A1425" s="75">
        <v>40786</v>
      </c>
      <c r="B1425" s="76" t="s">
        <v>35</v>
      </c>
      <c r="C1425" s="76" t="s">
        <v>536</v>
      </c>
      <c r="D1425" s="79">
        <v>2360.7876120000001</v>
      </c>
      <c r="E1425" s="79">
        <v>5.5331000000000001</v>
      </c>
      <c r="F1425" s="79">
        <v>5.4741</v>
      </c>
      <c r="G1425" s="83">
        <f t="shared" si="21"/>
        <v>6.4820777777777767</v>
      </c>
    </row>
    <row r="1426" spans="1:7" x14ac:dyDescent="0.2">
      <c r="A1426" s="75">
        <v>40787</v>
      </c>
      <c r="B1426" s="76" t="s">
        <v>35</v>
      </c>
      <c r="C1426" s="76" t="s">
        <v>536</v>
      </c>
      <c r="D1426" s="79">
        <v>2402.132517</v>
      </c>
      <c r="E1426" s="79">
        <v>5.4744999999999999</v>
      </c>
      <c r="F1426" s="79">
        <v>5.1162999999999998</v>
      </c>
      <c r="G1426" s="83">
        <f t="shared" si="21"/>
        <v>6.4662396825396815</v>
      </c>
    </row>
    <row r="1427" spans="1:7" x14ac:dyDescent="0.2">
      <c r="A1427" s="75">
        <v>40788</v>
      </c>
      <c r="B1427" s="76" t="s">
        <v>35</v>
      </c>
      <c r="C1427" s="76" t="s">
        <v>536</v>
      </c>
      <c r="D1427" s="79">
        <v>2383.3630539999999</v>
      </c>
      <c r="E1427" s="79">
        <v>5.1169000000000002</v>
      </c>
      <c r="F1427" s="79">
        <v>5.2895000000000003</v>
      </c>
      <c r="G1427" s="83">
        <f t="shared" si="21"/>
        <v>6.4443619047619034</v>
      </c>
    </row>
    <row r="1428" spans="1:7" x14ac:dyDescent="0.2">
      <c r="A1428" s="75">
        <v>40791</v>
      </c>
      <c r="B1428" s="76" t="s">
        <v>35</v>
      </c>
      <c r="C1428" s="76" t="s">
        <v>536</v>
      </c>
      <c r="D1428" s="79">
        <v>2386.5050339999998</v>
      </c>
      <c r="E1428" s="79">
        <v>5.2900999999999998</v>
      </c>
      <c r="F1428" s="79">
        <v>5.2698999999999998</v>
      </c>
      <c r="G1428" s="83">
        <f t="shared" si="21"/>
        <v>6.424539682539681</v>
      </c>
    </row>
    <row r="1429" spans="1:7" x14ac:dyDescent="0.2">
      <c r="A1429" s="75">
        <v>40792</v>
      </c>
      <c r="B1429" s="76" t="s">
        <v>35</v>
      </c>
      <c r="C1429" s="76" t="s">
        <v>536</v>
      </c>
      <c r="D1429" s="79">
        <v>2388.9207419999998</v>
      </c>
      <c r="E1429" s="79">
        <v>5.2705000000000002</v>
      </c>
      <c r="F1429" s="79">
        <v>5.2613000000000003</v>
      </c>
      <c r="G1429" s="83">
        <f t="shared" si="21"/>
        <v>6.4045206349206341</v>
      </c>
    </row>
    <row r="1430" spans="1:7" x14ac:dyDescent="0.2">
      <c r="A1430" s="75">
        <v>40794</v>
      </c>
      <c r="B1430" s="76" t="s">
        <v>35</v>
      </c>
      <c r="C1430" s="76" t="s">
        <v>536</v>
      </c>
      <c r="D1430" s="79">
        <v>2379.129218</v>
      </c>
      <c r="E1430" s="79">
        <v>5.2618999999999998</v>
      </c>
      <c r="F1430" s="79">
        <v>5.3563000000000001</v>
      </c>
      <c r="G1430" s="83">
        <f t="shared" si="21"/>
        <v>6.3849460317460318</v>
      </c>
    </row>
    <row r="1431" spans="1:7" x14ac:dyDescent="0.2">
      <c r="A1431" s="75">
        <v>40795</v>
      </c>
      <c r="B1431" s="76" t="s">
        <v>35</v>
      </c>
      <c r="C1431" s="76" t="s">
        <v>536</v>
      </c>
      <c r="D1431" s="79">
        <v>2384.9142710000001</v>
      </c>
      <c r="E1431" s="79">
        <v>5.3569000000000004</v>
      </c>
      <c r="F1431" s="79">
        <v>5.3136000000000001</v>
      </c>
      <c r="G1431" s="83">
        <f t="shared" si="21"/>
        <v>6.3668571428571434</v>
      </c>
    </row>
    <row r="1432" spans="1:7" x14ac:dyDescent="0.2">
      <c r="A1432" s="75">
        <v>40798</v>
      </c>
      <c r="B1432" s="76" t="s">
        <v>35</v>
      </c>
      <c r="C1432" s="76" t="s">
        <v>536</v>
      </c>
      <c r="D1432" s="79">
        <v>2389.4865399999999</v>
      </c>
      <c r="E1432" s="79">
        <v>5.3141999999999996</v>
      </c>
      <c r="F1432" s="79">
        <v>5.2816999999999998</v>
      </c>
      <c r="G1432" s="83">
        <f t="shared" si="21"/>
        <v>6.3480111111111102</v>
      </c>
    </row>
    <row r="1433" spans="1:7" x14ac:dyDescent="0.2">
      <c r="A1433" s="75">
        <v>40799</v>
      </c>
      <c r="B1433" s="76" t="s">
        <v>35</v>
      </c>
      <c r="C1433" s="76" t="s">
        <v>536</v>
      </c>
      <c r="D1433" s="79">
        <v>2384.7123190000002</v>
      </c>
      <c r="E1433" s="79">
        <v>5.2823000000000002</v>
      </c>
      <c r="F1433" s="79">
        <v>5.3323</v>
      </c>
      <c r="G1433" s="83">
        <f t="shared" si="21"/>
        <v>6.3286682539682531</v>
      </c>
    </row>
    <row r="1434" spans="1:7" x14ac:dyDescent="0.2">
      <c r="A1434" s="75">
        <v>40800</v>
      </c>
      <c r="B1434" s="76" t="s">
        <v>35</v>
      </c>
      <c r="C1434" s="76" t="s">
        <v>536</v>
      </c>
      <c r="D1434" s="79">
        <v>2381.1173880000001</v>
      </c>
      <c r="E1434" s="79">
        <v>5.3330000000000002</v>
      </c>
      <c r="F1434" s="79">
        <v>5.3727</v>
      </c>
      <c r="G1434" s="83">
        <f t="shared" si="21"/>
        <v>6.3100111111111117</v>
      </c>
    </row>
    <row r="1435" spans="1:7" x14ac:dyDescent="0.2">
      <c r="A1435" s="75">
        <v>40801</v>
      </c>
      <c r="B1435" s="76" t="s">
        <v>35</v>
      </c>
      <c r="C1435" s="76" t="s">
        <v>536</v>
      </c>
      <c r="D1435" s="79">
        <v>2380.8488430000002</v>
      </c>
      <c r="E1435" s="79">
        <v>5.3733000000000004</v>
      </c>
      <c r="F1435" s="79">
        <v>5.3836000000000004</v>
      </c>
      <c r="G1435" s="83">
        <f t="shared" si="21"/>
        <v>6.2922984126984112</v>
      </c>
    </row>
    <row r="1436" spans="1:7" x14ac:dyDescent="0.2">
      <c r="A1436" s="75">
        <v>40802</v>
      </c>
      <c r="B1436" s="76" t="s">
        <v>35</v>
      </c>
      <c r="C1436" s="76" t="s">
        <v>536</v>
      </c>
      <c r="D1436" s="79">
        <v>2381.6616039999999</v>
      </c>
      <c r="E1436" s="79">
        <v>5.3841999999999999</v>
      </c>
      <c r="F1436" s="79">
        <v>5.3860999999999999</v>
      </c>
      <c r="G1436" s="83">
        <f t="shared" si="21"/>
        <v>6.2745793650793642</v>
      </c>
    </row>
    <row r="1437" spans="1:7" x14ac:dyDescent="0.2">
      <c r="A1437" s="75">
        <v>40805</v>
      </c>
      <c r="B1437" s="76" t="s">
        <v>35</v>
      </c>
      <c r="C1437" s="76" t="s">
        <v>536</v>
      </c>
      <c r="D1437" s="79">
        <v>2376.5767380000002</v>
      </c>
      <c r="E1437" s="79">
        <v>5.3868</v>
      </c>
      <c r="F1437" s="79">
        <v>5.4409999999999998</v>
      </c>
      <c r="G1437" s="83">
        <f t="shared" si="21"/>
        <v>6.2569095238095223</v>
      </c>
    </row>
    <row r="1438" spans="1:7" x14ac:dyDescent="0.2">
      <c r="A1438" s="75">
        <v>40806</v>
      </c>
      <c r="B1438" s="76" t="s">
        <v>35</v>
      </c>
      <c r="C1438" s="76" t="s">
        <v>536</v>
      </c>
      <c r="D1438" s="79">
        <v>2371.1065290000001</v>
      </c>
      <c r="E1438" s="79">
        <v>5.4417</v>
      </c>
      <c r="F1438" s="79">
        <v>5.4995000000000003</v>
      </c>
      <c r="G1438" s="83">
        <f t="shared" si="21"/>
        <v>6.2399730158730158</v>
      </c>
    </row>
    <row r="1439" spans="1:7" x14ac:dyDescent="0.2">
      <c r="A1439" s="75">
        <v>40807</v>
      </c>
      <c r="B1439" s="76" t="s">
        <v>35</v>
      </c>
      <c r="C1439" s="76" t="s">
        <v>536</v>
      </c>
      <c r="D1439" s="79">
        <v>2357.6131679999999</v>
      </c>
      <c r="E1439" s="79">
        <v>5.5002000000000004</v>
      </c>
      <c r="F1439" s="79">
        <v>5.6327999999999996</v>
      </c>
      <c r="G1439" s="83">
        <f t="shared" si="21"/>
        <v>6.2234317460317463</v>
      </c>
    </row>
    <row r="1440" spans="1:7" x14ac:dyDescent="0.2">
      <c r="A1440" s="75">
        <v>40808</v>
      </c>
      <c r="B1440" s="76" t="s">
        <v>35</v>
      </c>
      <c r="C1440" s="76" t="s">
        <v>536</v>
      </c>
      <c r="D1440" s="79">
        <v>2345.3227569999999</v>
      </c>
      <c r="E1440" s="79">
        <v>5.6334</v>
      </c>
      <c r="F1440" s="79">
        <v>5.7539999999999996</v>
      </c>
      <c r="G1440" s="83">
        <f t="shared" si="21"/>
        <v>6.2086809523809521</v>
      </c>
    </row>
    <row r="1441" spans="1:7" x14ac:dyDescent="0.2">
      <c r="A1441" s="75">
        <v>40809</v>
      </c>
      <c r="B1441" s="76" t="s">
        <v>35</v>
      </c>
      <c r="C1441" s="76" t="s">
        <v>536</v>
      </c>
      <c r="D1441" s="79">
        <v>2361.3780630000001</v>
      </c>
      <c r="E1441" s="79">
        <v>5.7546999999999997</v>
      </c>
      <c r="F1441" s="79">
        <v>5.6204999999999998</v>
      </c>
      <c r="G1441" s="83">
        <f t="shared" si="21"/>
        <v>6.1955158730158741</v>
      </c>
    </row>
    <row r="1442" spans="1:7" x14ac:dyDescent="0.2">
      <c r="A1442" s="75">
        <v>40812</v>
      </c>
      <c r="B1442" s="76" t="s">
        <v>35</v>
      </c>
      <c r="C1442" s="76" t="s">
        <v>536</v>
      </c>
      <c r="D1442" s="79">
        <v>2375.1983959999998</v>
      </c>
      <c r="E1442" s="79">
        <v>5.6212999999999997</v>
      </c>
      <c r="F1442" s="79">
        <v>5.508</v>
      </c>
      <c r="G1442" s="83">
        <f t="shared" si="21"/>
        <v>6.1796269841269851</v>
      </c>
    </row>
    <row r="1443" spans="1:7" x14ac:dyDescent="0.2">
      <c r="A1443" s="75">
        <v>40813</v>
      </c>
      <c r="B1443" s="76" t="s">
        <v>35</v>
      </c>
      <c r="C1443" s="76" t="s">
        <v>536</v>
      </c>
      <c r="D1443" s="79">
        <v>2370.0331660000002</v>
      </c>
      <c r="E1443" s="79">
        <v>5.5087999999999999</v>
      </c>
      <c r="F1443" s="79">
        <v>5.5647000000000002</v>
      </c>
      <c r="G1443" s="83">
        <f t="shared" si="21"/>
        <v>6.1613571428571436</v>
      </c>
    </row>
    <row r="1444" spans="1:7" x14ac:dyDescent="0.2">
      <c r="A1444" s="75">
        <v>40814</v>
      </c>
      <c r="B1444" s="76" t="s">
        <v>35</v>
      </c>
      <c r="C1444" s="76" t="s">
        <v>536</v>
      </c>
      <c r="D1444" s="79">
        <v>2376.0718750000001</v>
      </c>
      <c r="E1444" s="79">
        <v>5.5655000000000001</v>
      </c>
      <c r="F1444" s="79">
        <v>5.5217000000000001</v>
      </c>
      <c r="G1444" s="83">
        <f t="shared" si="21"/>
        <v>6.1439603174603192</v>
      </c>
    </row>
    <row r="1445" spans="1:7" x14ac:dyDescent="0.2">
      <c r="A1445" s="75">
        <v>40815</v>
      </c>
      <c r="B1445" s="76" t="s">
        <v>35</v>
      </c>
      <c r="C1445" s="76" t="s">
        <v>536</v>
      </c>
      <c r="D1445" s="79">
        <v>2377.0532669999998</v>
      </c>
      <c r="E1445" s="79">
        <v>5.5225</v>
      </c>
      <c r="F1445" s="79">
        <v>5.5236999999999998</v>
      </c>
      <c r="G1445" s="83">
        <f t="shared" si="21"/>
        <v>6.125301587301589</v>
      </c>
    </row>
    <row r="1446" spans="1:7" x14ac:dyDescent="0.2">
      <c r="A1446" s="75">
        <v>40816</v>
      </c>
      <c r="B1446" s="76" t="s">
        <v>35</v>
      </c>
      <c r="C1446" s="76" t="s">
        <v>536</v>
      </c>
      <c r="D1446" s="79">
        <v>2386.4293950000001</v>
      </c>
      <c r="E1446" s="79">
        <v>5.5244999999999997</v>
      </c>
      <c r="F1446" s="79">
        <v>5.4512999999999998</v>
      </c>
      <c r="G1446" s="83">
        <f t="shared" si="21"/>
        <v>6.1067619047619068</v>
      </c>
    </row>
    <row r="1447" spans="1:7" x14ac:dyDescent="0.2">
      <c r="A1447" s="75">
        <v>40819</v>
      </c>
      <c r="B1447" s="76" t="s">
        <v>35</v>
      </c>
      <c r="C1447" s="76" t="s">
        <v>536</v>
      </c>
      <c r="D1447" s="79">
        <v>2403.8200649999999</v>
      </c>
      <c r="E1447" s="79">
        <v>5.452</v>
      </c>
      <c r="F1447" s="79">
        <v>5.3087</v>
      </c>
      <c r="G1447" s="83">
        <f t="shared" si="21"/>
        <v>6.0872698412698423</v>
      </c>
    </row>
    <row r="1448" spans="1:7" x14ac:dyDescent="0.2">
      <c r="A1448" s="75">
        <v>40820</v>
      </c>
      <c r="B1448" s="76" t="s">
        <v>35</v>
      </c>
      <c r="C1448" s="76" t="s">
        <v>536</v>
      </c>
      <c r="D1448" s="79">
        <v>2402.524332</v>
      </c>
      <c r="E1448" s="79">
        <v>5.3094000000000001</v>
      </c>
      <c r="F1448" s="79">
        <v>5.3304999999999998</v>
      </c>
      <c r="G1448" s="83">
        <f t="shared" si="21"/>
        <v>6.0653000000000006</v>
      </c>
    </row>
    <row r="1449" spans="1:7" x14ac:dyDescent="0.2">
      <c r="A1449" s="75">
        <v>40821</v>
      </c>
      <c r="B1449" s="76" t="s">
        <v>35</v>
      </c>
      <c r="C1449" s="76" t="s">
        <v>536</v>
      </c>
      <c r="D1449" s="79">
        <v>2409.7789560000001</v>
      </c>
      <c r="E1449" s="79">
        <v>5.3311999999999999</v>
      </c>
      <c r="F1449" s="79">
        <v>5.2774000000000001</v>
      </c>
      <c r="G1449" s="83">
        <f t="shared" si="21"/>
        <v>6.0437174603174624</v>
      </c>
    </row>
    <row r="1450" spans="1:7" x14ac:dyDescent="0.2">
      <c r="A1450" s="75">
        <v>40822</v>
      </c>
      <c r="B1450" s="76" t="s">
        <v>35</v>
      </c>
      <c r="C1450" s="76" t="s">
        <v>536</v>
      </c>
      <c r="D1450" s="79">
        <v>2407.8594760000001</v>
      </c>
      <c r="E1450" s="79">
        <v>5.2781000000000002</v>
      </c>
      <c r="F1450" s="79">
        <v>5.3045999999999998</v>
      </c>
      <c r="G1450" s="83">
        <f t="shared" si="21"/>
        <v>6.0208476190476219</v>
      </c>
    </row>
    <row r="1451" spans="1:7" x14ac:dyDescent="0.2">
      <c r="A1451" s="75">
        <v>40823</v>
      </c>
      <c r="B1451" s="76" t="s">
        <v>35</v>
      </c>
      <c r="C1451" s="76" t="s">
        <v>536</v>
      </c>
      <c r="D1451" s="79">
        <v>2413.8478559999999</v>
      </c>
      <c r="E1451" s="79">
        <v>5.3052999999999999</v>
      </c>
      <c r="F1451" s="79">
        <v>5.2610999999999999</v>
      </c>
      <c r="G1451" s="83">
        <f t="shared" si="21"/>
        <v>5.9981380952380965</v>
      </c>
    </row>
    <row r="1452" spans="1:7" x14ac:dyDescent="0.2">
      <c r="A1452" s="75">
        <v>40826</v>
      </c>
      <c r="B1452" s="76" t="s">
        <v>35</v>
      </c>
      <c r="C1452" s="76" t="s">
        <v>536</v>
      </c>
      <c r="D1452" s="79">
        <v>2414.087544</v>
      </c>
      <c r="E1452" s="79">
        <v>5.2618</v>
      </c>
      <c r="F1452" s="79">
        <v>5.2693000000000003</v>
      </c>
      <c r="G1452" s="83">
        <f t="shared" si="21"/>
        <v>5.9746507936507944</v>
      </c>
    </row>
    <row r="1453" spans="1:7" x14ac:dyDescent="0.2">
      <c r="A1453" s="75">
        <v>40827</v>
      </c>
      <c r="B1453" s="76" t="s">
        <v>35</v>
      </c>
      <c r="C1453" s="76" t="s">
        <v>536</v>
      </c>
      <c r="D1453" s="79">
        <v>2421.8466819999999</v>
      </c>
      <c r="E1453" s="79">
        <v>5.27</v>
      </c>
      <c r="F1453" s="79">
        <v>5.2119999999999997</v>
      </c>
      <c r="G1453" s="83">
        <f t="shared" si="21"/>
        <v>5.9511936507936518</v>
      </c>
    </row>
    <row r="1454" spans="1:7" x14ac:dyDescent="0.2">
      <c r="A1454" s="75">
        <v>40829</v>
      </c>
      <c r="B1454" s="76" t="s">
        <v>35</v>
      </c>
      <c r="C1454" s="76" t="s">
        <v>536</v>
      </c>
      <c r="D1454" s="79">
        <v>2415.0562559999998</v>
      </c>
      <c r="E1454" s="79">
        <v>5.2126999999999999</v>
      </c>
      <c r="F1454" s="79">
        <v>5.2813999999999997</v>
      </c>
      <c r="G1454" s="83">
        <f t="shared" si="21"/>
        <v>5.927201587301588</v>
      </c>
    </row>
    <row r="1455" spans="1:7" x14ac:dyDescent="0.2">
      <c r="A1455" s="75">
        <v>40830</v>
      </c>
      <c r="B1455" s="76" t="s">
        <v>35</v>
      </c>
      <c r="C1455" s="76" t="s">
        <v>536</v>
      </c>
      <c r="D1455" s="79">
        <v>2405.3177049999999</v>
      </c>
      <c r="E1455" s="79">
        <v>5.282</v>
      </c>
      <c r="F1455" s="79">
        <v>5.3768000000000002</v>
      </c>
      <c r="G1455" s="83">
        <f t="shared" si="21"/>
        <v>5.9046158730158727</v>
      </c>
    </row>
    <row r="1456" spans="1:7" x14ac:dyDescent="0.2">
      <c r="A1456" s="75">
        <v>40833</v>
      </c>
      <c r="B1456" s="76" t="s">
        <v>35</v>
      </c>
      <c r="C1456" s="76" t="s">
        <v>536</v>
      </c>
      <c r="D1456" s="79">
        <v>2403.0492210000002</v>
      </c>
      <c r="E1456" s="79">
        <v>5.3773999999999997</v>
      </c>
      <c r="F1456" s="79">
        <v>5.407</v>
      </c>
      <c r="G1456" s="83">
        <f t="shared" si="21"/>
        <v>5.8836317460317451</v>
      </c>
    </row>
    <row r="1457" spans="1:7" x14ac:dyDescent="0.2">
      <c r="A1457" s="75">
        <v>40834</v>
      </c>
      <c r="B1457" s="76" t="s">
        <v>35</v>
      </c>
      <c r="C1457" s="76" t="s">
        <v>536</v>
      </c>
      <c r="D1457" s="79">
        <v>2408.4948909999998</v>
      </c>
      <c r="E1457" s="79">
        <v>5.4076000000000004</v>
      </c>
      <c r="F1457" s="79">
        <v>5.3691000000000004</v>
      </c>
      <c r="G1457" s="83">
        <f t="shared" si="21"/>
        <v>5.8634888888888881</v>
      </c>
    </row>
    <row r="1458" spans="1:7" x14ac:dyDescent="0.2">
      <c r="A1458" s="75">
        <v>40835</v>
      </c>
      <c r="B1458" s="76" t="s">
        <v>35</v>
      </c>
      <c r="C1458" s="76" t="s">
        <v>536</v>
      </c>
      <c r="D1458" s="79">
        <v>2408.359903</v>
      </c>
      <c r="E1458" s="79">
        <v>5.3697999999999997</v>
      </c>
      <c r="F1458" s="79">
        <v>5.3802000000000003</v>
      </c>
      <c r="G1458" s="83">
        <f t="shared" si="21"/>
        <v>5.8428841269841261</v>
      </c>
    </row>
    <row r="1459" spans="1:7" x14ac:dyDescent="0.2">
      <c r="A1459" s="75">
        <v>40836</v>
      </c>
      <c r="B1459" s="76" t="s">
        <v>35</v>
      </c>
      <c r="C1459" s="76" t="s">
        <v>536</v>
      </c>
      <c r="D1459" s="79">
        <v>2392.8166860000001</v>
      </c>
      <c r="E1459" s="79">
        <v>5.3808999999999996</v>
      </c>
      <c r="F1459" s="79">
        <v>5.5267999999999997</v>
      </c>
      <c r="G1459" s="83">
        <f t="shared" si="21"/>
        <v>5.8222952380952364</v>
      </c>
    </row>
    <row r="1460" spans="1:7" x14ac:dyDescent="0.2">
      <c r="A1460" s="75">
        <v>40837</v>
      </c>
      <c r="B1460" s="76" t="s">
        <v>35</v>
      </c>
      <c r="C1460" s="76" t="s">
        <v>536</v>
      </c>
      <c r="D1460" s="79">
        <v>2399.6720380000002</v>
      </c>
      <c r="E1460" s="79">
        <v>5.5274000000000001</v>
      </c>
      <c r="F1460" s="79">
        <v>5.4755000000000003</v>
      </c>
      <c r="G1460" s="83">
        <f t="shared" si="21"/>
        <v>5.8041142857142836</v>
      </c>
    </row>
    <row r="1461" spans="1:7" x14ac:dyDescent="0.2">
      <c r="A1461" s="75">
        <v>40840</v>
      </c>
      <c r="B1461" s="76" t="s">
        <v>35</v>
      </c>
      <c r="C1461" s="76" t="s">
        <v>536</v>
      </c>
      <c r="D1461" s="79">
        <v>2396.3448969999999</v>
      </c>
      <c r="E1461" s="79">
        <v>5.4760999999999997</v>
      </c>
      <c r="F1461" s="79">
        <v>5.5145</v>
      </c>
      <c r="G1461" s="83">
        <f t="shared" si="21"/>
        <v>5.7851079365079343</v>
      </c>
    </row>
    <row r="1462" spans="1:7" x14ac:dyDescent="0.2">
      <c r="A1462" s="75">
        <v>40841</v>
      </c>
      <c r="B1462" s="76" t="s">
        <v>35</v>
      </c>
      <c r="C1462" s="76" t="s">
        <v>536</v>
      </c>
      <c r="D1462" s="79">
        <v>2394.6818589999998</v>
      </c>
      <c r="E1462" s="79">
        <v>5.5151000000000003</v>
      </c>
      <c r="F1462" s="79">
        <v>5.5388999999999999</v>
      </c>
      <c r="G1462" s="83">
        <f t="shared" si="21"/>
        <v>5.7662412698412666</v>
      </c>
    </row>
    <row r="1463" spans="1:7" x14ac:dyDescent="0.2">
      <c r="A1463" s="75">
        <v>40842</v>
      </c>
      <c r="B1463" s="76" t="s">
        <v>35</v>
      </c>
      <c r="C1463" s="76" t="s">
        <v>536</v>
      </c>
      <c r="D1463" s="79">
        <v>2402.137984</v>
      </c>
      <c r="E1463" s="79">
        <v>5.5395000000000003</v>
      </c>
      <c r="F1463" s="79">
        <v>5.4829999999999997</v>
      </c>
      <c r="G1463" s="83">
        <f t="shared" si="21"/>
        <v>5.7483031746031727</v>
      </c>
    </row>
    <row r="1464" spans="1:7" x14ac:dyDescent="0.2">
      <c r="A1464" s="75">
        <v>40843</v>
      </c>
      <c r="B1464" s="76" t="s">
        <v>35</v>
      </c>
      <c r="C1464" s="76" t="s">
        <v>536</v>
      </c>
      <c r="D1464" s="79">
        <v>2402.741927</v>
      </c>
      <c r="E1464" s="79">
        <v>5.4836</v>
      </c>
      <c r="F1464" s="79">
        <v>5.4874000000000001</v>
      </c>
      <c r="G1464" s="83">
        <f t="shared" si="21"/>
        <v>5.7297253968253949</v>
      </c>
    </row>
    <row r="1465" spans="1:7" x14ac:dyDescent="0.2">
      <c r="A1465" s="75">
        <v>40844</v>
      </c>
      <c r="B1465" s="76" t="s">
        <v>35</v>
      </c>
      <c r="C1465" s="76" t="s">
        <v>536</v>
      </c>
      <c r="D1465" s="79">
        <v>2406.6955760000001</v>
      </c>
      <c r="E1465" s="79">
        <v>5.4880000000000004</v>
      </c>
      <c r="F1465" s="79">
        <v>5.4623999999999997</v>
      </c>
      <c r="G1465" s="83">
        <f t="shared" si="21"/>
        <v>5.7114238095238079</v>
      </c>
    </row>
    <row r="1466" spans="1:7" x14ac:dyDescent="0.2">
      <c r="A1466" s="75">
        <v>40847</v>
      </c>
      <c r="B1466" s="76" t="s">
        <v>35</v>
      </c>
      <c r="C1466" s="76" t="s">
        <v>536</v>
      </c>
      <c r="D1466" s="79">
        <v>2411.4310380000002</v>
      </c>
      <c r="E1466" s="79">
        <v>5.4629000000000003</v>
      </c>
      <c r="F1466" s="79">
        <v>5.4305000000000003</v>
      </c>
      <c r="G1466" s="83">
        <f t="shared" si="21"/>
        <v>5.6928793650793637</v>
      </c>
    </row>
    <row r="1467" spans="1:7" x14ac:dyDescent="0.2">
      <c r="A1467" s="75">
        <v>40848</v>
      </c>
      <c r="B1467" s="76" t="s">
        <v>35</v>
      </c>
      <c r="C1467" s="76" t="s">
        <v>536</v>
      </c>
      <c r="D1467" s="79">
        <v>2405.3230469999999</v>
      </c>
      <c r="E1467" s="79">
        <v>5.431</v>
      </c>
      <c r="F1467" s="79">
        <v>5.4935999999999998</v>
      </c>
      <c r="G1467" s="83">
        <f t="shared" si="21"/>
        <v>5.6742746031746014</v>
      </c>
    </row>
    <row r="1468" spans="1:7" x14ac:dyDescent="0.2">
      <c r="A1468" s="75">
        <v>40850</v>
      </c>
      <c r="B1468" s="76" t="s">
        <v>35</v>
      </c>
      <c r="C1468" s="76" t="s">
        <v>536</v>
      </c>
      <c r="D1468" s="79">
        <v>2404.6644729999998</v>
      </c>
      <c r="E1468" s="79">
        <v>5.4939999999999998</v>
      </c>
      <c r="F1468" s="79">
        <v>5.5088999999999997</v>
      </c>
      <c r="G1468" s="83">
        <f t="shared" si="21"/>
        <v>5.6571634920634901</v>
      </c>
    </row>
    <row r="1469" spans="1:7" x14ac:dyDescent="0.2">
      <c r="A1469" s="75">
        <v>40851</v>
      </c>
      <c r="B1469" s="76" t="s">
        <v>35</v>
      </c>
      <c r="C1469" s="76" t="s">
        <v>536</v>
      </c>
      <c r="D1469" s="79">
        <v>2410.060551</v>
      </c>
      <c r="E1469" s="79">
        <v>5.5094000000000003</v>
      </c>
      <c r="F1469" s="79">
        <v>5.4711999999999996</v>
      </c>
      <c r="G1469" s="83">
        <f t="shared" si="21"/>
        <v>5.640071428571428</v>
      </c>
    </row>
    <row r="1470" spans="1:7" x14ac:dyDescent="0.2">
      <c r="A1470" s="75">
        <v>40854</v>
      </c>
      <c r="B1470" s="76" t="s">
        <v>35</v>
      </c>
      <c r="C1470" s="76" t="s">
        <v>536</v>
      </c>
      <c r="D1470" s="79">
        <v>2415.8331739999999</v>
      </c>
      <c r="E1470" s="79">
        <v>5.4717000000000002</v>
      </c>
      <c r="F1470" s="79">
        <v>5.4302999999999999</v>
      </c>
      <c r="G1470" s="83">
        <f t="shared" si="21"/>
        <v>5.6225825396825391</v>
      </c>
    </row>
    <row r="1471" spans="1:7" x14ac:dyDescent="0.2">
      <c r="A1471" s="75">
        <v>40855</v>
      </c>
      <c r="B1471" s="76" t="s">
        <v>35</v>
      </c>
      <c r="C1471" s="76" t="s">
        <v>536</v>
      </c>
      <c r="D1471" s="79">
        <v>2421.1586000000002</v>
      </c>
      <c r="E1471" s="79">
        <v>5.4307999999999996</v>
      </c>
      <c r="F1471" s="79">
        <v>5.3933999999999997</v>
      </c>
      <c r="G1471" s="83">
        <f t="shared" si="21"/>
        <v>5.6042206349206349</v>
      </c>
    </row>
    <row r="1472" spans="1:7" x14ac:dyDescent="0.2">
      <c r="A1472" s="75">
        <v>40856</v>
      </c>
      <c r="B1472" s="76" t="s">
        <v>35</v>
      </c>
      <c r="C1472" s="76" t="s">
        <v>536</v>
      </c>
      <c r="D1472" s="79">
        <v>2433.6867229999998</v>
      </c>
      <c r="E1472" s="79">
        <v>5.3937999999999997</v>
      </c>
      <c r="F1472" s="79">
        <v>5.2939999999999996</v>
      </c>
      <c r="G1472" s="83">
        <f t="shared" si="21"/>
        <v>5.5856539682539683</v>
      </c>
    </row>
    <row r="1473" spans="1:7" x14ac:dyDescent="0.2">
      <c r="A1473" s="75">
        <v>40857</v>
      </c>
      <c r="B1473" s="76" t="s">
        <v>35</v>
      </c>
      <c r="C1473" s="76" t="s">
        <v>536</v>
      </c>
      <c r="D1473" s="79">
        <v>2432.3756440000002</v>
      </c>
      <c r="E1473" s="79">
        <v>5.2944000000000004</v>
      </c>
      <c r="F1473" s="79">
        <v>5.3147000000000002</v>
      </c>
      <c r="G1473" s="83">
        <f t="shared" si="21"/>
        <v>5.5659333333333318</v>
      </c>
    </row>
    <row r="1474" spans="1:7" x14ac:dyDescent="0.2">
      <c r="A1474" s="75">
        <v>40858</v>
      </c>
      <c r="B1474" s="76" t="s">
        <v>35</v>
      </c>
      <c r="C1474" s="76" t="s">
        <v>536</v>
      </c>
      <c r="D1474" s="79">
        <v>2438.78874</v>
      </c>
      <c r="E1474" s="79">
        <v>5.3151000000000002</v>
      </c>
      <c r="F1474" s="79">
        <v>5.2667000000000002</v>
      </c>
      <c r="G1474" s="83">
        <f t="shared" si="21"/>
        <v>5.5465698412698403</v>
      </c>
    </row>
    <row r="1475" spans="1:7" x14ac:dyDescent="0.2">
      <c r="A1475" s="75">
        <v>40861</v>
      </c>
      <c r="B1475" s="76" t="s">
        <v>35</v>
      </c>
      <c r="C1475" s="76" t="s">
        <v>536</v>
      </c>
      <c r="D1475" s="79">
        <v>2442.7871909999999</v>
      </c>
      <c r="E1475" s="79">
        <v>5.2671999999999999</v>
      </c>
      <c r="F1475" s="79">
        <v>5.2415000000000003</v>
      </c>
      <c r="G1475" s="83">
        <f t="shared" ref="G1475:G1538" si="22">+AVERAGE(E1413:E1475)</f>
        <v>5.5260301587301583</v>
      </c>
    </row>
    <row r="1476" spans="1:7" x14ac:dyDescent="0.2">
      <c r="A1476" s="75">
        <v>40863</v>
      </c>
      <c r="B1476" s="76" t="s">
        <v>35</v>
      </c>
      <c r="C1476" s="76" t="s">
        <v>536</v>
      </c>
      <c r="D1476" s="79">
        <v>2447.0694440000002</v>
      </c>
      <c r="E1476" s="79">
        <v>5.242</v>
      </c>
      <c r="F1476" s="79">
        <v>5.2138999999999998</v>
      </c>
      <c r="G1476" s="83">
        <f t="shared" si="22"/>
        <v>5.5068476190476181</v>
      </c>
    </row>
    <row r="1477" spans="1:7" x14ac:dyDescent="0.2">
      <c r="A1477" s="75">
        <v>40864</v>
      </c>
      <c r="B1477" s="76" t="s">
        <v>35</v>
      </c>
      <c r="C1477" s="76" t="s">
        <v>536</v>
      </c>
      <c r="D1477" s="79">
        <v>2446.9706799999999</v>
      </c>
      <c r="E1477" s="79">
        <v>5.2144000000000004</v>
      </c>
      <c r="F1477" s="79">
        <v>5.2244999999999999</v>
      </c>
      <c r="G1477" s="83">
        <f t="shared" si="22"/>
        <v>5.4883174603174592</v>
      </c>
    </row>
    <row r="1478" spans="1:7" x14ac:dyDescent="0.2">
      <c r="A1478" s="75">
        <v>40865</v>
      </c>
      <c r="B1478" s="76" t="s">
        <v>35</v>
      </c>
      <c r="C1478" s="76" t="s">
        <v>536</v>
      </c>
      <c r="D1478" s="79">
        <v>2448.2209800000001</v>
      </c>
      <c r="E1478" s="79">
        <v>5.2249999999999996</v>
      </c>
      <c r="F1478" s="79">
        <v>5.2234999999999996</v>
      </c>
      <c r="G1478" s="83">
        <f t="shared" si="22"/>
        <v>5.4715301587301584</v>
      </c>
    </row>
    <row r="1479" spans="1:7" x14ac:dyDescent="0.2">
      <c r="A1479" s="75">
        <v>40868</v>
      </c>
      <c r="B1479" s="76" t="s">
        <v>35</v>
      </c>
      <c r="C1479" s="76" t="s">
        <v>536</v>
      </c>
      <c r="D1479" s="79">
        <v>2444.697388</v>
      </c>
      <c r="E1479" s="79">
        <v>5.2240000000000002</v>
      </c>
      <c r="F1479" s="79">
        <v>5.2636000000000003</v>
      </c>
      <c r="G1479" s="83">
        <f t="shared" si="22"/>
        <v>5.456836507936508</v>
      </c>
    </row>
    <row r="1480" spans="1:7" x14ac:dyDescent="0.2">
      <c r="A1480" s="75">
        <v>40869</v>
      </c>
      <c r="B1480" s="76" t="s">
        <v>35</v>
      </c>
      <c r="C1480" s="76" t="s">
        <v>536</v>
      </c>
      <c r="D1480" s="79">
        <v>2440.825296</v>
      </c>
      <c r="E1480" s="79">
        <v>5.2641</v>
      </c>
      <c r="F1480" s="79">
        <v>5.3068</v>
      </c>
      <c r="G1480" s="83">
        <f t="shared" si="22"/>
        <v>5.444230158730158</v>
      </c>
    </row>
    <row r="1481" spans="1:7" x14ac:dyDescent="0.2">
      <c r="A1481" s="75">
        <v>40870</v>
      </c>
      <c r="B1481" s="76" t="s">
        <v>35</v>
      </c>
      <c r="C1481" s="76" t="s">
        <v>536</v>
      </c>
      <c r="D1481" s="79">
        <v>2439.5788630000002</v>
      </c>
      <c r="E1481" s="79">
        <v>5.3072999999999997</v>
      </c>
      <c r="F1481" s="79">
        <v>5.3273999999999999</v>
      </c>
      <c r="G1481" s="83">
        <f t="shared" si="22"/>
        <v>5.4329936507936516</v>
      </c>
    </row>
    <row r="1482" spans="1:7" x14ac:dyDescent="0.2">
      <c r="A1482" s="75">
        <v>40871</v>
      </c>
      <c r="B1482" s="76" t="s">
        <v>35</v>
      </c>
      <c r="C1482" s="76" t="s">
        <v>536</v>
      </c>
      <c r="D1482" s="79">
        <v>2443.4646250000001</v>
      </c>
      <c r="E1482" s="79">
        <v>5.3277999999999999</v>
      </c>
      <c r="F1482" s="79">
        <v>5.3029999999999999</v>
      </c>
      <c r="G1482" s="83">
        <f t="shared" si="22"/>
        <v>5.422019047619048</v>
      </c>
    </row>
    <row r="1483" spans="1:7" x14ac:dyDescent="0.2">
      <c r="A1483" s="75">
        <v>40872</v>
      </c>
      <c r="B1483" s="76" t="s">
        <v>35</v>
      </c>
      <c r="C1483" s="76" t="s">
        <v>536</v>
      </c>
      <c r="D1483" s="79">
        <v>2448.3074780000002</v>
      </c>
      <c r="E1483" s="79">
        <v>5.3034999999999997</v>
      </c>
      <c r="F1483" s="79">
        <v>5.2709999999999999</v>
      </c>
      <c r="G1483" s="83">
        <f t="shared" si="22"/>
        <v>5.4117380952380953</v>
      </c>
    </row>
    <row r="1484" spans="1:7" x14ac:dyDescent="0.2">
      <c r="A1484" s="75">
        <v>40875</v>
      </c>
      <c r="B1484" s="76" t="s">
        <v>35</v>
      </c>
      <c r="C1484" s="76" t="s">
        <v>536</v>
      </c>
      <c r="D1484" s="79">
        <v>2449.5510709999999</v>
      </c>
      <c r="E1484" s="79">
        <v>5.2714999999999996</v>
      </c>
      <c r="F1484" s="79">
        <v>5.27</v>
      </c>
      <c r="G1484" s="83">
        <f t="shared" si="22"/>
        <v>5.4013396825396827</v>
      </c>
    </row>
    <row r="1485" spans="1:7" x14ac:dyDescent="0.2">
      <c r="A1485" s="75">
        <v>40876</v>
      </c>
      <c r="B1485" s="76" t="s">
        <v>35</v>
      </c>
      <c r="C1485" s="76" t="s">
        <v>536</v>
      </c>
      <c r="D1485" s="79">
        <v>2452.761857</v>
      </c>
      <c r="E1485" s="79">
        <v>5.2705000000000002</v>
      </c>
      <c r="F1485" s="79">
        <v>5.2521000000000004</v>
      </c>
      <c r="G1485" s="83">
        <f t="shared" si="22"/>
        <v>5.3915174603174609</v>
      </c>
    </row>
    <row r="1486" spans="1:7" x14ac:dyDescent="0.2">
      <c r="A1486" s="75">
        <v>40877</v>
      </c>
      <c r="B1486" s="76" t="s">
        <v>35</v>
      </c>
      <c r="C1486" s="76" t="s">
        <v>536</v>
      </c>
      <c r="D1486" s="79">
        <v>2463.3227550000001</v>
      </c>
      <c r="E1486" s="79">
        <v>5.2526000000000002</v>
      </c>
      <c r="F1486" s="79">
        <v>5.1712999999999996</v>
      </c>
      <c r="G1486" s="83">
        <f t="shared" si="22"/>
        <v>5.3841634920634913</v>
      </c>
    </row>
    <row r="1487" spans="1:7" x14ac:dyDescent="0.2">
      <c r="A1487" s="75">
        <v>40878</v>
      </c>
      <c r="B1487" s="76" t="s">
        <v>35</v>
      </c>
      <c r="C1487" s="76" t="s">
        <v>536</v>
      </c>
      <c r="D1487" s="79">
        <v>2457.9489830000002</v>
      </c>
      <c r="E1487" s="79">
        <v>5.1718000000000002</v>
      </c>
      <c r="F1487" s="79">
        <v>5.2268999999999997</v>
      </c>
      <c r="G1487" s="83">
        <f t="shared" si="22"/>
        <v>5.3787777777777777</v>
      </c>
    </row>
    <row r="1488" spans="1:7" x14ac:dyDescent="0.2">
      <c r="A1488" s="75">
        <v>40879</v>
      </c>
      <c r="B1488" s="76" t="s">
        <v>35</v>
      </c>
      <c r="C1488" s="76" t="s">
        <v>536</v>
      </c>
      <c r="D1488" s="79">
        <v>2459.170106</v>
      </c>
      <c r="E1488" s="79">
        <v>5.2274000000000003</v>
      </c>
      <c r="F1488" s="79">
        <v>5.2260999999999997</v>
      </c>
      <c r="G1488" s="83">
        <f t="shared" si="22"/>
        <v>5.3739253968253964</v>
      </c>
    </row>
    <row r="1489" spans="1:7" x14ac:dyDescent="0.2">
      <c r="A1489" s="75">
        <v>40882</v>
      </c>
      <c r="B1489" s="76" t="s">
        <v>35</v>
      </c>
      <c r="C1489" s="76" t="s">
        <v>536</v>
      </c>
      <c r="D1489" s="79">
        <v>2454.174814</v>
      </c>
      <c r="E1489" s="79">
        <v>5.2266000000000004</v>
      </c>
      <c r="F1489" s="79">
        <v>5.2786</v>
      </c>
      <c r="G1489" s="83">
        <f t="shared" si="22"/>
        <v>5.3699904761904769</v>
      </c>
    </row>
    <row r="1490" spans="1:7" x14ac:dyDescent="0.2">
      <c r="A1490" s="75">
        <v>40883</v>
      </c>
      <c r="B1490" s="76" t="s">
        <v>35</v>
      </c>
      <c r="C1490" s="76" t="s">
        <v>536</v>
      </c>
      <c r="D1490" s="79">
        <v>2458.628999</v>
      </c>
      <c r="E1490" s="79">
        <v>5.2790999999999997</v>
      </c>
      <c r="F1490" s="79">
        <v>5.2500999999999998</v>
      </c>
      <c r="G1490" s="83">
        <f t="shared" si="22"/>
        <v>5.3725650793650805</v>
      </c>
    </row>
    <row r="1491" spans="1:7" x14ac:dyDescent="0.2">
      <c r="A1491" s="75">
        <v>40884</v>
      </c>
      <c r="B1491" s="76" t="s">
        <v>35</v>
      </c>
      <c r="C1491" s="76" t="s">
        <v>536</v>
      </c>
      <c r="D1491" s="79">
        <v>2465.8397070000001</v>
      </c>
      <c r="E1491" s="79">
        <v>5.2506000000000004</v>
      </c>
      <c r="F1491" s="79">
        <v>5.1981000000000002</v>
      </c>
      <c r="G1491" s="83">
        <f t="shared" si="22"/>
        <v>5.3719380952380957</v>
      </c>
    </row>
    <row r="1492" spans="1:7" x14ac:dyDescent="0.2">
      <c r="A1492" s="75">
        <v>40885</v>
      </c>
      <c r="B1492" s="76" t="s">
        <v>35</v>
      </c>
      <c r="C1492" s="76" t="s">
        <v>536</v>
      </c>
      <c r="D1492" s="79">
        <v>2466.0299009999999</v>
      </c>
      <c r="E1492" s="79">
        <v>5.1985999999999999</v>
      </c>
      <c r="F1492" s="79">
        <v>5.2108999999999996</v>
      </c>
      <c r="G1492" s="83">
        <f t="shared" si="22"/>
        <v>5.3707968253968268</v>
      </c>
    </row>
    <row r="1493" spans="1:7" x14ac:dyDescent="0.2">
      <c r="A1493" s="75">
        <v>40886</v>
      </c>
      <c r="B1493" s="76" t="s">
        <v>35</v>
      </c>
      <c r="C1493" s="76" t="s">
        <v>536</v>
      </c>
      <c r="D1493" s="79">
        <v>2466.3983929999999</v>
      </c>
      <c r="E1493" s="79">
        <v>5.2114000000000003</v>
      </c>
      <c r="F1493" s="79">
        <v>5.2176999999999998</v>
      </c>
      <c r="G1493" s="83">
        <f t="shared" si="22"/>
        <v>5.369995238095238</v>
      </c>
    </row>
    <row r="1494" spans="1:7" x14ac:dyDescent="0.2">
      <c r="A1494" s="75">
        <v>40889</v>
      </c>
      <c r="B1494" s="76" t="s">
        <v>35</v>
      </c>
      <c r="C1494" s="76" t="s">
        <v>536</v>
      </c>
      <c r="D1494" s="79">
        <v>2473.113668</v>
      </c>
      <c r="E1494" s="79">
        <v>5.2180999999999997</v>
      </c>
      <c r="F1494" s="79">
        <v>5.1703000000000001</v>
      </c>
      <c r="G1494" s="83">
        <f t="shared" si="22"/>
        <v>5.3677920634920637</v>
      </c>
    </row>
    <row r="1495" spans="1:7" x14ac:dyDescent="0.2">
      <c r="A1495" s="75">
        <v>40890</v>
      </c>
      <c r="B1495" s="76" t="s">
        <v>35</v>
      </c>
      <c r="C1495" s="76" t="s">
        <v>536</v>
      </c>
      <c r="D1495" s="79">
        <v>2472.997468</v>
      </c>
      <c r="E1495" s="79">
        <v>5.1707000000000001</v>
      </c>
      <c r="F1495" s="79">
        <v>5.1810999999999998</v>
      </c>
      <c r="G1495" s="83">
        <f t="shared" si="22"/>
        <v>5.3655142857142861</v>
      </c>
    </row>
    <row r="1496" spans="1:7" x14ac:dyDescent="0.2">
      <c r="A1496" s="75">
        <v>40891</v>
      </c>
      <c r="B1496" s="76" t="s">
        <v>35</v>
      </c>
      <c r="C1496" s="76" t="s">
        <v>536</v>
      </c>
      <c r="D1496" s="79">
        <v>2471.227054</v>
      </c>
      <c r="E1496" s="79">
        <v>5.1814999999999998</v>
      </c>
      <c r="F1496" s="79">
        <v>5.2060000000000004</v>
      </c>
      <c r="G1496" s="83">
        <f t="shared" si="22"/>
        <v>5.3639142857142854</v>
      </c>
    </row>
    <row r="1497" spans="1:7" x14ac:dyDescent="0.2">
      <c r="A1497" s="75">
        <v>40892</v>
      </c>
      <c r="B1497" s="76" t="s">
        <v>35</v>
      </c>
      <c r="C1497" s="76" t="s">
        <v>536</v>
      </c>
      <c r="D1497" s="79">
        <v>2467.6327409999999</v>
      </c>
      <c r="E1497" s="79">
        <v>5.2064000000000004</v>
      </c>
      <c r="F1497" s="79">
        <v>5.2465000000000002</v>
      </c>
      <c r="G1497" s="83">
        <f t="shared" si="22"/>
        <v>5.3619047619047624</v>
      </c>
    </row>
    <row r="1498" spans="1:7" x14ac:dyDescent="0.2">
      <c r="A1498" s="75">
        <v>40893</v>
      </c>
      <c r="B1498" s="76" t="s">
        <v>35</v>
      </c>
      <c r="C1498" s="76" t="s">
        <v>536</v>
      </c>
      <c r="D1498" s="79">
        <v>2463.2622679999999</v>
      </c>
      <c r="E1498" s="79">
        <v>5.2469000000000001</v>
      </c>
      <c r="F1498" s="79">
        <v>5.2934000000000001</v>
      </c>
      <c r="G1498" s="83">
        <f t="shared" si="22"/>
        <v>5.3598984126984108</v>
      </c>
    </row>
    <row r="1499" spans="1:7" x14ac:dyDescent="0.2">
      <c r="A1499" s="75">
        <v>40896</v>
      </c>
      <c r="B1499" s="76" t="s">
        <v>35</v>
      </c>
      <c r="C1499" s="76" t="s">
        <v>536</v>
      </c>
      <c r="D1499" s="79">
        <v>2461.847229</v>
      </c>
      <c r="E1499" s="79">
        <v>5.2938000000000001</v>
      </c>
      <c r="F1499" s="79">
        <v>5.3151000000000002</v>
      </c>
      <c r="G1499" s="83">
        <f t="shared" si="22"/>
        <v>5.3584634920634908</v>
      </c>
    </row>
    <row r="1500" spans="1:7" x14ac:dyDescent="0.2">
      <c r="A1500" s="75">
        <v>40897</v>
      </c>
      <c r="B1500" s="76" t="s">
        <v>35</v>
      </c>
      <c r="C1500" s="76" t="s">
        <v>536</v>
      </c>
      <c r="D1500" s="79">
        <v>2465.3426300000001</v>
      </c>
      <c r="E1500" s="79">
        <v>5.3154000000000003</v>
      </c>
      <c r="F1500" s="79">
        <v>5.2946999999999997</v>
      </c>
      <c r="G1500" s="83">
        <f t="shared" si="22"/>
        <v>5.3573301587301581</v>
      </c>
    </row>
    <row r="1501" spans="1:7" x14ac:dyDescent="0.2">
      <c r="A1501" s="75">
        <v>40898</v>
      </c>
      <c r="B1501" s="76" t="s">
        <v>35</v>
      </c>
      <c r="C1501" s="76" t="s">
        <v>536</v>
      </c>
      <c r="D1501" s="79">
        <v>2469.755658</v>
      </c>
      <c r="E1501" s="79">
        <v>5.2950999999999997</v>
      </c>
      <c r="F1501" s="79">
        <v>5.2666000000000004</v>
      </c>
      <c r="G1501" s="83">
        <f t="shared" si="22"/>
        <v>5.3550031746031737</v>
      </c>
    </row>
    <row r="1502" spans="1:7" x14ac:dyDescent="0.2">
      <c r="A1502" s="75">
        <v>40899</v>
      </c>
      <c r="B1502" s="76" t="s">
        <v>35</v>
      </c>
      <c r="C1502" s="76" t="s">
        <v>536</v>
      </c>
      <c r="D1502" s="79">
        <v>2456.2998149999999</v>
      </c>
      <c r="E1502" s="79">
        <v>5.2668999999999997</v>
      </c>
      <c r="F1502" s="79">
        <v>5.3921999999999999</v>
      </c>
      <c r="G1502" s="83">
        <f t="shared" si="22"/>
        <v>5.3513000000000002</v>
      </c>
    </row>
    <row r="1503" spans="1:7" x14ac:dyDescent="0.2">
      <c r="A1503" s="75">
        <v>40900</v>
      </c>
      <c r="B1503" s="76" t="s">
        <v>35</v>
      </c>
      <c r="C1503" s="76" t="s">
        <v>536</v>
      </c>
      <c r="D1503" s="79">
        <v>2450.1344309999999</v>
      </c>
      <c r="E1503" s="79">
        <v>5.3925000000000001</v>
      </c>
      <c r="F1503" s="79">
        <v>5.4550000000000001</v>
      </c>
      <c r="G1503" s="83">
        <f t="shared" si="22"/>
        <v>5.3474761904761898</v>
      </c>
    </row>
    <row r="1504" spans="1:7" x14ac:dyDescent="0.2">
      <c r="A1504" s="75">
        <v>40903</v>
      </c>
      <c r="B1504" s="76" t="s">
        <v>35</v>
      </c>
      <c r="C1504" s="76" t="s">
        <v>536</v>
      </c>
      <c r="D1504" s="79">
        <v>2445.7195320000001</v>
      </c>
      <c r="E1504" s="79">
        <v>5.4553000000000003</v>
      </c>
      <c r="F1504" s="79">
        <v>5.5029000000000003</v>
      </c>
      <c r="G1504" s="83">
        <f t="shared" si="22"/>
        <v>5.3427238095238083</v>
      </c>
    </row>
    <row r="1505" spans="1:7" x14ac:dyDescent="0.2">
      <c r="A1505" s="75">
        <v>40904</v>
      </c>
      <c r="B1505" s="76" t="s">
        <v>35</v>
      </c>
      <c r="C1505" s="76" t="s">
        <v>536</v>
      </c>
      <c r="D1505" s="79">
        <v>2451.7692889999998</v>
      </c>
      <c r="E1505" s="79">
        <v>5.5030999999999999</v>
      </c>
      <c r="F1505" s="79">
        <v>5.4604999999999997</v>
      </c>
      <c r="G1505" s="83">
        <f t="shared" si="22"/>
        <v>5.3408476190476195</v>
      </c>
    </row>
    <row r="1506" spans="1:7" x14ac:dyDescent="0.2">
      <c r="A1506" s="75">
        <v>40905</v>
      </c>
      <c r="B1506" s="76" t="s">
        <v>35</v>
      </c>
      <c r="C1506" s="76" t="s">
        <v>536</v>
      </c>
      <c r="D1506" s="79">
        <v>2457.401143</v>
      </c>
      <c r="E1506" s="79">
        <v>5.4607000000000001</v>
      </c>
      <c r="F1506" s="79">
        <v>5.4218000000000002</v>
      </c>
      <c r="G1506" s="83">
        <f t="shared" si="22"/>
        <v>5.3400841269841264</v>
      </c>
    </row>
    <row r="1507" spans="1:7" x14ac:dyDescent="0.2">
      <c r="A1507" s="75">
        <v>40906</v>
      </c>
      <c r="B1507" s="76" t="s">
        <v>35</v>
      </c>
      <c r="C1507" s="76" t="s">
        <v>536</v>
      </c>
      <c r="D1507" s="79">
        <v>2462.1801059999998</v>
      </c>
      <c r="E1507" s="79">
        <v>5.4219999999999997</v>
      </c>
      <c r="F1507" s="79">
        <v>5.3905000000000003</v>
      </c>
      <c r="G1507" s="83">
        <f t="shared" si="22"/>
        <v>5.3378063492063479</v>
      </c>
    </row>
    <row r="1508" spans="1:7" x14ac:dyDescent="0.2">
      <c r="A1508" s="75">
        <v>40907</v>
      </c>
      <c r="B1508" s="76" t="s">
        <v>35</v>
      </c>
      <c r="C1508" s="76" t="s">
        <v>536</v>
      </c>
      <c r="D1508" s="79">
        <v>2463.2966310000002</v>
      </c>
      <c r="E1508" s="79">
        <v>5.3907999999999996</v>
      </c>
      <c r="F1508" s="79">
        <v>5.3906999999999998</v>
      </c>
      <c r="G1508" s="83">
        <f t="shared" si="22"/>
        <v>5.3357158730158734</v>
      </c>
    </row>
    <row r="1509" spans="1:7" x14ac:dyDescent="0.2">
      <c r="A1509" s="75">
        <v>40910</v>
      </c>
      <c r="B1509" s="76" t="s">
        <v>35</v>
      </c>
      <c r="C1509" s="76" t="s">
        <v>536</v>
      </c>
      <c r="D1509" s="79">
        <v>2468.7992939999999</v>
      </c>
      <c r="E1509" s="79">
        <v>5.391</v>
      </c>
      <c r="F1509" s="79">
        <v>5.3533999999999997</v>
      </c>
      <c r="G1509" s="83">
        <f t="shared" si="22"/>
        <v>5.3335968253968264</v>
      </c>
    </row>
    <row r="1510" spans="1:7" x14ac:dyDescent="0.2">
      <c r="A1510" s="75">
        <v>40911</v>
      </c>
      <c r="B1510" s="76" t="s">
        <v>35</v>
      </c>
      <c r="C1510" s="76" t="s">
        <v>536</v>
      </c>
      <c r="D1510" s="79">
        <v>2467.8081510000002</v>
      </c>
      <c r="E1510" s="79">
        <v>5.3536000000000001</v>
      </c>
      <c r="F1510" s="79">
        <v>5.3715000000000002</v>
      </c>
      <c r="G1510" s="83">
        <f t="shared" si="22"/>
        <v>5.3320349206349196</v>
      </c>
    </row>
    <row r="1511" spans="1:7" x14ac:dyDescent="0.2">
      <c r="A1511" s="75">
        <v>40912</v>
      </c>
      <c r="B1511" s="76" t="s">
        <v>35</v>
      </c>
      <c r="C1511" s="76" t="s">
        <v>536</v>
      </c>
      <c r="D1511" s="79">
        <v>2458.7081290000001</v>
      </c>
      <c r="E1511" s="79">
        <v>5.3716999999999997</v>
      </c>
      <c r="F1511" s="79">
        <v>5.4591000000000003</v>
      </c>
      <c r="G1511" s="83">
        <f t="shared" si="22"/>
        <v>5.3330238095238087</v>
      </c>
    </row>
    <row r="1512" spans="1:7" x14ac:dyDescent="0.2">
      <c r="A1512" s="75">
        <v>40913</v>
      </c>
      <c r="B1512" s="76" t="s">
        <v>35</v>
      </c>
      <c r="C1512" s="76" t="s">
        <v>536</v>
      </c>
      <c r="D1512" s="79">
        <v>2451.676782</v>
      </c>
      <c r="E1512" s="79">
        <v>5.4593999999999996</v>
      </c>
      <c r="F1512" s="79">
        <v>5.5293999999999999</v>
      </c>
      <c r="G1512" s="83">
        <f t="shared" si="22"/>
        <v>5.33505873015873</v>
      </c>
    </row>
    <row r="1513" spans="1:7" x14ac:dyDescent="0.2">
      <c r="A1513" s="75">
        <v>40914</v>
      </c>
      <c r="B1513" s="76" t="s">
        <v>35</v>
      </c>
      <c r="C1513" s="76" t="s">
        <v>536</v>
      </c>
      <c r="D1513" s="79">
        <v>2455.834163</v>
      </c>
      <c r="E1513" s="79">
        <v>5.5297000000000001</v>
      </c>
      <c r="F1513" s="79">
        <v>5.4988999999999999</v>
      </c>
      <c r="G1513" s="83">
        <f t="shared" si="22"/>
        <v>5.3390523809523804</v>
      </c>
    </row>
    <row r="1514" spans="1:7" x14ac:dyDescent="0.2">
      <c r="A1514" s="75">
        <v>40917</v>
      </c>
      <c r="B1514" s="76" t="s">
        <v>35</v>
      </c>
      <c r="C1514" s="76" t="s">
        <v>536</v>
      </c>
      <c r="D1514" s="79">
        <v>2453.3090529999999</v>
      </c>
      <c r="E1514" s="79">
        <v>5.4992000000000001</v>
      </c>
      <c r="F1514" s="79">
        <v>5.5301999999999998</v>
      </c>
      <c r="G1514" s="83">
        <f t="shared" si="22"/>
        <v>5.3421301587301588</v>
      </c>
    </row>
    <row r="1515" spans="1:7" x14ac:dyDescent="0.2">
      <c r="A1515" s="75">
        <v>40918</v>
      </c>
      <c r="B1515" s="76" t="s">
        <v>35</v>
      </c>
      <c r="C1515" s="76" t="s">
        <v>536</v>
      </c>
      <c r="D1515" s="79">
        <v>2457.7967669999998</v>
      </c>
      <c r="E1515" s="79">
        <v>5.5305</v>
      </c>
      <c r="F1515" s="79">
        <v>5.5011999999999999</v>
      </c>
      <c r="G1515" s="83">
        <f t="shared" si="22"/>
        <v>5.3463952380952398</v>
      </c>
    </row>
    <row r="1516" spans="1:7" x14ac:dyDescent="0.2">
      <c r="A1516" s="75">
        <v>40919</v>
      </c>
      <c r="B1516" s="76" t="s">
        <v>35</v>
      </c>
      <c r="C1516" s="76" t="s">
        <v>536</v>
      </c>
      <c r="D1516" s="79">
        <v>2456.8862399999998</v>
      </c>
      <c r="E1516" s="79">
        <v>5.5015000000000001</v>
      </c>
      <c r="F1516" s="79">
        <v>5.5186000000000002</v>
      </c>
      <c r="G1516" s="83">
        <f t="shared" si="22"/>
        <v>5.3500698412698418</v>
      </c>
    </row>
    <row r="1517" spans="1:7" x14ac:dyDescent="0.2">
      <c r="A1517" s="75">
        <v>40920</v>
      </c>
      <c r="B1517" s="76" t="s">
        <v>35</v>
      </c>
      <c r="C1517" s="76" t="s">
        <v>536</v>
      </c>
      <c r="D1517" s="79">
        <v>2453.8398259999999</v>
      </c>
      <c r="E1517" s="79">
        <v>5.5189000000000004</v>
      </c>
      <c r="F1517" s="79">
        <v>5.5544000000000002</v>
      </c>
      <c r="G1517" s="83">
        <f t="shared" si="22"/>
        <v>5.3549301587301583</v>
      </c>
    </row>
    <row r="1518" spans="1:7" x14ac:dyDescent="0.2">
      <c r="A1518" s="75">
        <v>40921</v>
      </c>
      <c r="B1518" s="76" t="s">
        <v>35</v>
      </c>
      <c r="C1518" s="76" t="s">
        <v>536</v>
      </c>
      <c r="D1518" s="79">
        <v>2457.7713800000001</v>
      </c>
      <c r="E1518" s="79">
        <v>5.5547000000000004</v>
      </c>
      <c r="F1518" s="79">
        <v>5.5301999999999998</v>
      </c>
      <c r="G1518" s="83">
        <f t="shared" si="22"/>
        <v>5.3592587301587313</v>
      </c>
    </row>
    <row r="1519" spans="1:7" x14ac:dyDescent="0.2">
      <c r="A1519" s="75">
        <v>40924</v>
      </c>
      <c r="B1519" s="76" t="s">
        <v>35</v>
      </c>
      <c r="C1519" s="76" t="s">
        <v>536</v>
      </c>
      <c r="D1519" s="79">
        <v>2460.2161019999999</v>
      </c>
      <c r="E1519" s="79">
        <v>5.5305</v>
      </c>
      <c r="F1519" s="79">
        <v>5.5187999999999997</v>
      </c>
      <c r="G1519" s="83">
        <f t="shared" si="22"/>
        <v>5.3616888888888887</v>
      </c>
    </row>
    <row r="1520" spans="1:7" x14ac:dyDescent="0.2">
      <c r="A1520" s="75">
        <v>40925</v>
      </c>
      <c r="B1520" s="76" t="s">
        <v>35</v>
      </c>
      <c r="C1520" s="76" t="s">
        <v>536</v>
      </c>
      <c r="D1520" s="79">
        <v>2458.4639910000001</v>
      </c>
      <c r="E1520" s="79">
        <v>5.5190999999999999</v>
      </c>
      <c r="F1520" s="79">
        <v>5.5442999999999998</v>
      </c>
      <c r="G1520" s="83">
        <f t="shared" si="22"/>
        <v>5.3634587301587304</v>
      </c>
    </row>
    <row r="1521" spans="1:7" x14ac:dyDescent="0.2">
      <c r="A1521" s="75">
        <v>40926</v>
      </c>
      <c r="B1521" s="76" t="s">
        <v>35</v>
      </c>
      <c r="C1521" s="76" t="s">
        <v>536</v>
      </c>
      <c r="D1521" s="79">
        <v>2463.4238930000001</v>
      </c>
      <c r="E1521" s="79">
        <v>5.5446</v>
      </c>
      <c r="F1521" s="79">
        <v>5.5122</v>
      </c>
      <c r="G1521" s="83">
        <f t="shared" si="22"/>
        <v>5.3662333333333345</v>
      </c>
    </row>
    <row r="1522" spans="1:7" x14ac:dyDescent="0.2">
      <c r="A1522" s="75">
        <v>40927</v>
      </c>
      <c r="B1522" s="76" t="s">
        <v>35</v>
      </c>
      <c r="C1522" s="76" t="s">
        <v>536</v>
      </c>
      <c r="D1522" s="79">
        <v>2467.5737340000001</v>
      </c>
      <c r="E1522" s="79">
        <v>5.5125000000000002</v>
      </c>
      <c r="F1522" s="79">
        <v>5.4870999999999999</v>
      </c>
      <c r="G1522" s="83">
        <f t="shared" si="22"/>
        <v>5.3683222222222211</v>
      </c>
    </row>
    <row r="1523" spans="1:7" x14ac:dyDescent="0.2">
      <c r="A1523" s="75">
        <v>40928</v>
      </c>
      <c r="B1523" s="76" t="s">
        <v>35</v>
      </c>
      <c r="C1523" s="76" t="s">
        <v>536</v>
      </c>
      <c r="D1523" s="79">
        <v>2479.1190139999999</v>
      </c>
      <c r="E1523" s="79">
        <v>5.4874000000000001</v>
      </c>
      <c r="F1523" s="79">
        <v>5.399</v>
      </c>
      <c r="G1523" s="83">
        <f t="shared" si="22"/>
        <v>5.367687301587301</v>
      </c>
    </row>
    <row r="1524" spans="1:7" x14ac:dyDescent="0.2">
      <c r="A1524" s="75">
        <v>40931</v>
      </c>
      <c r="B1524" s="76" t="s">
        <v>35</v>
      </c>
      <c r="C1524" s="76" t="s">
        <v>536</v>
      </c>
      <c r="D1524" s="79">
        <v>2474.066045</v>
      </c>
      <c r="E1524" s="79">
        <v>5.3993000000000002</v>
      </c>
      <c r="F1524" s="79">
        <v>5.4523999999999999</v>
      </c>
      <c r="G1524" s="83">
        <f t="shared" si="22"/>
        <v>5.3664682539682529</v>
      </c>
    </row>
    <row r="1525" spans="1:7" x14ac:dyDescent="0.2">
      <c r="A1525" s="75">
        <v>40932</v>
      </c>
      <c r="B1525" s="76" t="s">
        <v>35</v>
      </c>
      <c r="C1525" s="76" t="s">
        <v>536</v>
      </c>
      <c r="D1525" s="79">
        <v>2474.826994</v>
      </c>
      <c r="E1525" s="79">
        <v>5.4527000000000001</v>
      </c>
      <c r="F1525" s="79">
        <v>5.4562999999999997</v>
      </c>
      <c r="G1525" s="83">
        <f t="shared" si="22"/>
        <v>5.3654777777777758</v>
      </c>
    </row>
    <row r="1526" spans="1:7" x14ac:dyDescent="0.2">
      <c r="A1526" s="75">
        <v>40933</v>
      </c>
      <c r="B1526" s="76" t="s">
        <v>35</v>
      </c>
      <c r="C1526" s="76" t="s">
        <v>536</v>
      </c>
      <c r="D1526" s="79">
        <v>2475.8541479999999</v>
      </c>
      <c r="E1526" s="79">
        <v>5.4565999999999999</v>
      </c>
      <c r="F1526" s="79">
        <v>5.4565999999999999</v>
      </c>
      <c r="G1526" s="83">
        <f t="shared" si="22"/>
        <v>5.3641619047619029</v>
      </c>
    </row>
    <row r="1527" spans="1:7" x14ac:dyDescent="0.2">
      <c r="A1527" s="75">
        <v>40934</v>
      </c>
      <c r="B1527" s="76" t="s">
        <v>35</v>
      </c>
      <c r="C1527" s="76" t="s">
        <v>536</v>
      </c>
      <c r="D1527" s="79">
        <v>2498.3422430000001</v>
      </c>
      <c r="E1527" s="79">
        <v>5.4569999999999999</v>
      </c>
      <c r="F1527" s="79">
        <v>5.2762000000000002</v>
      </c>
      <c r="G1527" s="83">
        <f t="shared" si="22"/>
        <v>5.3637396825396815</v>
      </c>
    </row>
    <row r="1528" spans="1:7" x14ac:dyDescent="0.2">
      <c r="A1528" s="75">
        <v>40935</v>
      </c>
      <c r="B1528" s="76" t="s">
        <v>35</v>
      </c>
      <c r="C1528" s="76" t="s">
        <v>536</v>
      </c>
      <c r="D1528" s="79">
        <v>2508.6155720000002</v>
      </c>
      <c r="E1528" s="79">
        <v>5.2766000000000002</v>
      </c>
      <c r="F1528" s="79">
        <v>5.1999000000000004</v>
      </c>
      <c r="G1528" s="83">
        <f t="shared" si="22"/>
        <v>5.3603841269841253</v>
      </c>
    </row>
    <row r="1529" spans="1:7" x14ac:dyDescent="0.2">
      <c r="A1529" s="75">
        <v>40938</v>
      </c>
      <c r="B1529" s="76" t="s">
        <v>35</v>
      </c>
      <c r="C1529" s="76" t="s">
        <v>536</v>
      </c>
      <c r="D1529" s="79">
        <v>2520.1879159999999</v>
      </c>
      <c r="E1529" s="79">
        <v>5.2003000000000004</v>
      </c>
      <c r="F1529" s="79">
        <v>5.1131000000000002</v>
      </c>
      <c r="G1529" s="83">
        <f t="shared" si="22"/>
        <v>5.3562158730158718</v>
      </c>
    </row>
    <row r="1530" spans="1:7" x14ac:dyDescent="0.2">
      <c r="A1530" s="75">
        <v>40939</v>
      </c>
      <c r="B1530" s="76" t="s">
        <v>35</v>
      </c>
      <c r="C1530" s="76" t="s">
        <v>536</v>
      </c>
      <c r="D1530" s="79">
        <v>2514.5780399999999</v>
      </c>
      <c r="E1530" s="79">
        <v>5.1135999999999999</v>
      </c>
      <c r="F1530" s="79">
        <v>5.1700999999999997</v>
      </c>
      <c r="G1530" s="83">
        <f t="shared" si="22"/>
        <v>5.3511777777777771</v>
      </c>
    </row>
    <row r="1531" spans="1:7" x14ac:dyDescent="0.2">
      <c r="A1531" s="75">
        <v>40940</v>
      </c>
      <c r="B1531" s="76" t="s">
        <v>35</v>
      </c>
      <c r="C1531" s="76" t="s">
        <v>536</v>
      </c>
      <c r="D1531" s="79">
        <v>2516.878596</v>
      </c>
      <c r="E1531" s="79">
        <v>5.1706000000000003</v>
      </c>
      <c r="F1531" s="79">
        <v>5.1609999999999996</v>
      </c>
      <c r="G1531" s="83">
        <f t="shared" si="22"/>
        <v>5.346044444444443</v>
      </c>
    </row>
    <row r="1532" spans="1:7" x14ac:dyDescent="0.2">
      <c r="A1532" s="75">
        <v>40941</v>
      </c>
      <c r="B1532" s="76" t="s">
        <v>35</v>
      </c>
      <c r="C1532" s="76" t="s">
        <v>536</v>
      </c>
      <c r="D1532" s="79">
        <v>2520.5334600000001</v>
      </c>
      <c r="E1532" s="79">
        <v>5.1616</v>
      </c>
      <c r="F1532" s="79">
        <v>5.1406999999999998</v>
      </c>
      <c r="G1532" s="83">
        <f t="shared" si="22"/>
        <v>5.340523809523809</v>
      </c>
    </row>
    <row r="1533" spans="1:7" x14ac:dyDescent="0.2">
      <c r="A1533" s="75">
        <v>40942</v>
      </c>
      <c r="B1533" s="76" t="s">
        <v>35</v>
      </c>
      <c r="C1533" s="76" t="s">
        <v>536</v>
      </c>
      <c r="D1533" s="79">
        <v>2520.057401</v>
      </c>
      <c r="E1533" s="79">
        <v>5.1413000000000002</v>
      </c>
      <c r="F1533" s="79">
        <v>5.1548999999999996</v>
      </c>
      <c r="G1533" s="83">
        <f t="shared" si="22"/>
        <v>5.335279365079364</v>
      </c>
    </row>
    <row r="1534" spans="1:7" x14ac:dyDescent="0.2">
      <c r="A1534" s="75">
        <v>40945</v>
      </c>
      <c r="B1534" s="76" t="s">
        <v>35</v>
      </c>
      <c r="C1534" s="76" t="s">
        <v>536</v>
      </c>
      <c r="D1534" s="79">
        <v>2516.712368</v>
      </c>
      <c r="E1534" s="79">
        <v>5.1555999999999997</v>
      </c>
      <c r="F1534" s="79">
        <v>5.1932</v>
      </c>
      <c r="G1534" s="83">
        <f t="shared" si="22"/>
        <v>5.33091111111111</v>
      </c>
    </row>
    <row r="1535" spans="1:7" x14ac:dyDescent="0.2">
      <c r="A1535" s="75">
        <v>40946</v>
      </c>
      <c r="B1535" s="76" t="s">
        <v>35</v>
      </c>
      <c r="C1535" s="76" t="s">
        <v>536</v>
      </c>
      <c r="D1535" s="79">
        <v>2522.1659380000001</v>
      </c>
      <c r="E1535" s="79">
        <v>5.1939000000000002</v>
      </c>
      <c r="F1535" s="79">
        <v>5.1580000000000004</v>
      </c>
      <c r="G1535" s="83">
        <f t="shared" si="22"/>
        <v>5.3277380952380931</v>
      </c>
    </row>
    <row r="1536" spans="1:7" x14ac:dyDescent="0.2">
      <c r="A1536" s="75">
        <v>40947</v>
      </c>
      <c r="B1536" s="76" t="s">
        <v>35</v>
      </c>
      <c r="C1536" s="76" t="s">
        <v>536</v>
      </c>
      <c r="D1536" s="79">
        <v>2529.2277140000001</v>
      </c>
      <c r="E1536" s="79">
        <v>5.1588000000000003</v>
      </c>
      <c r="F1536" s="79">
        <v>5.1096000000000004</v>
      </c>
      <c r="G1536" s="83">
        <f t="shared" si="22"/>
        <v>5.3255857142857117</v>
      </c>
    </row>
    <row r="1537" spans="1:7" x14ac:dyDescent="0.2">
      <c r="A1537" s="75">
        <v>40948</v>
      </c>
      <c r="B1537" s="76" t="s">
        <v>35</v>
      </c>
      <c r="C1537" s="76" t="s">
        <v>536</v>
      </c>
      <c r="D1537" s="79">
        <v>2539.9408539999999</v>
      </c>
      <c r="E1537" s="79">
        <v>5.1104000000000003</v>
      </c>
      <c r="F1537" s="79">
        <v>5.0311000000000003</v>
      </c>
      <c r="G1537" s="83">
        <f t="shared" si="22"/>
        <v>5.3223365079365061</v>
      </c>
    </row>
    <row r="1538" spans="1:7" x14ac:dyDescent="0.2">
      <c r="A1538" s="75">
        <v>40949</v>
      </c>
      <c r="B1538" s="76" t="s">
        <v>35</v>
      </c>
      <c r="C1538" s="76" t="s">
        <v>536</v>
      </c>
      <c r="D1538" s="79">
        <v>2552.6658900000002</v>
      </c>
      <c r="E1538" s="79">
        <v>5.0317999999999996</v>
      </c>
      <c r="F1538" s="79">
        <v>4.9344999999999999</v>
      </c>
      <c r="G1538" s="83">
        <f t="shared" si="22"/>
        <v>5.3185999999999982</v>
      </c>
    </row>
    <row r="1539" spans="1:7" x14ac:dyDescent="0.2">
      <c r="A1539" s="75">
        <v>40952</v>
      </c>
      <c r="B1539" s="76" t="s">
        <v>35</v>
      </c>
      <c r="C1539" s="76" t="s">
        <v>536</v>
      </c>
      <c r="D1539" s="79">
        <v>2554.4344040000001</v>
      </c>
      <c r="E1539" s="79">
        <v>4.9352999999999998</v>
      </c>
      <c r="F1539" s="79">
        <v>4.9301000000000004</v>
      </c>
      <c r="G1539" s="83">
        <f t="shared" ref="G1539:G1602" si="23">+AVERAGE(E1477:E1539)</f>
        <v>5.3137317460317446</v>
      </c>
    </row>
    <row r="1540" spans="1:7" x14ac:dyDescent="0.2">
      <c r="A1540" s="75">
        <v>40953</v>
      </c>
      <c r="B1540" s="76" t="s">
        <v>35</v>
      </c>
      <c r="C1540" s="76" t="s">
        <v>536</v>
      </c>
      <c r="D1540" s="79">
        <v>2563.8000099999999</v>
      </c>
      <c r="E1540" s="79">
        <v>4.9307999999999996</v>
      </c>
      <c r="F1540" s="79">
        <v>4.8632999999999997</v>
      </c>
      <c r="G1540" s="83">
        <f t="shared" si="23"/>
        <v>5.3092301587301574</v>
      </c>
    </row>
    <row r="1541" spans="1:7" x14ac:dyDescent="0.2">
      <c r="A1541" s="75">
        <v>40954</v>
      </c>
      <c r="B1541" s="76" t="s">
        <v>35</v>
      </c>
      <c r="C1541" s="76" t="s">
        <v>536</v>
      </c>
      <c r="D1541" s="79">
        <v>2565.2397340000002</v>
      </c>
      <c r="E1541" s="79">
        <v>4.8639999999999999</v>
      </c>
      <c r="F1541" s="79">
        <v>4.8615000000000004</v>
      </c>
      <c r="G1541" s="83">
        <f t="shared" si="23"/>
        <v>5.3034999999999979</v>
      </c>
    </row>
    <row r="1542" spans="1:7" x14ac:dyDescent="0.2">
      <c r="A1542" s="75">
        <v>40955</v>
      </c>
      <c r="B1542" s="76" t="s">
        <v>35</v>
      </c>
      <c r="C1542" s="76" t="s">
        <v>536</v>
      </c>
      <c r="D1542" s="79">
        <v>2571.7699729999999</v>
      </c>
      <c r="E1542" s="79">
        <v>4.8620999999999999</v>
      </c>
      <c r="F1542" s="79">
        <v>4.8181000000000003</v>
      </c>
      <c r="G1542" s="83">
        <f t="shared" si="23"/>
        <v>5.297755555555554</v>
      </c>
    </row>
    <row r="1543" spans="1:7" x14ac:dyDescent="0.2">
      <c r="A1543" s="75">
        <v>40956</v>
      </c>
      <c r="B1543" s="76" t="s">
        <v>35</v>
      </c>
      <c r="C1543" s="76" t="s">
        <v>536</v>
      </c>
      <c r="D1543" s="79">
        <v>2579.9136960000001</v>
      </c>
      <c r="E1543" s="79">
        <v>4.8186999999999998</v>
      </c>
      <c r="F1543" s="79">
        <v>4.7617000000000003</v>
      </c>
      <c r="G1543" s="83">
        <f t="shared" si="23"/>
        <v>5.2906857142857122</v>
      </c>
    </row>
    <row r="1544" spans="1:7" x14ac:dyDescent="0.2">
      <c r="A1544" s="75">
        <v>40961</v>
      </c>
      <c r="B1544" s="76" t="s">
        <v>35</v>
      </c>
      <c r="C1544" s="76" t="s">
        <v>536</v>
      </c>
      <c r="D1544" s="79">
        <v>2582.615542</v>
      </c>
      <c r="E1544" s="79">
        <v>4.7622999999999998</v>
      </c>
      <c r="F1544" s="79">
        <v>4.7483000000000004</v>
      </c>
      <c r="G1544" s="83">
        <f t="shared" si="23"/>
        <v>5.2820349206349189</v>
      </c>
    </row>
    <row r="1545" spans="1:7" x14ac:dyDescent="0.2">
      <c r="A1545" s="75">
        <v>40962</v>
      </c>
      <c r="B1545" s="76" t="s">
        <v>35</v>
      </c>
      <c r="C1545" s="76" t="s">
        <v>536</v>
      </c>
      <c r="D1545" s="79">
        <v>2579.4788990000002</v>
      </c>
      <c r="E1545" s="79">
        <v>4.7488999999999999</v>
      </c>
      <c r="F1545" s="79">
        <v>4.7831999999999999</v>
      </c>
      <c r="G1545" s="83">
        <f t="shared" si="23"/>
        <v>5.2728460317460293</v>
      </c>
    </row>
    <row r="1546" spans="1:7" x14ac:dyDescent="0.2">
      <c r="A1546" s="75">
        <v>40963</v>
      </c>
      <c r="B1546" s="76" t="s">
        <v>35</v>
      </c>
      <c r="C1546" s="76" t="s">
        <v>536</v>
      </c>
      <c r="D1546" s="79">
        <v>2563.8130019999999</v>
      </c>
      <c r="E1546" s="79">
        <v>4.7836999999999996</v>
      </c>
      <c r="F1546" s="79">
        <v>4.9203999999999999</v>
      </c>
      <c r="G1546" s="83">
        <f t="shared" si="23"/>
        <v>5.2645952380952359</v>
      </c>
    </row>
    <row r="1547" spans="1:7" x14ac:dyDescent="0.2">
      <c r="A1547" s="75">
        <v>40966</v>
      </c>
      <c r="B1547" s="76" t="s">
        <v>35</v>
      </c>
      <c r="C1547" s="76" t="s">
        <v>536</v>
      </c>
      <c r="D1547" s="79">
        <v>2561.5517869999999</v>
      </c>
      <c r="E1547" s="79">
        <v>4.9210000000000003</v>
      </c>
      <c r="F1547" s="79">
        <v>4.9485000000000001</v>
      </c>
      <c r="G1547" s="83">
        <f t="shared" si="23"/>
        <v>5.2590317460317433</v>
      </c>
    </row>
    <row r="1548" spans="1:7" x14ac:dyDescent="0.2">
      <c r="A1548" s="75">
        <v>40967</v>
      </c>
      <c r="B1548" s="76" t="s">
        <v>35</v>
      </c>
      <c r="C1548" s="76" t="s">
        <v>536</v>
      </c>
      <c r="D1548" s="79">
        <v>2570.996776</v>
      </c>
      <c r="E1548" s="79">
        <v>4.9490999999999996</v>
      </c>
      <c r="F1548" s="79">
        <v>4.8807999999999998</v>
      </c>
      <c r="G1548" s="83">
        <f t="shared" si="23"/>
        <v>5.2539301587301557</v>
      </c>
    </row>
    <row r="1549" spans="1:7" x14ac:dyDescent="0.2">
      <c r="A1549" s="75">
        <v>40968</v>
      </c>
      <c r="B1549" s="76" t="s">
        <v>35</v>
      </c>
      <c r="C1549" s="76" t="s">
        <v>536</v>
      </c>
      <c r="D1549" s="79">
        <v>2572.666737</v>
      </c>
      <c r="E1549" s="79">
        <v>4.8814000000000002</v>
      </c>
      <c r="F1549" s="79">
        <v>4.8766999999999996</v>
      </c>
      <c r="G1549" s="83">
        <f t="shared" si="23"/>
        <v>5.2480380952380923</v>
      </c>
    </row>
    <row r="1550" spans="1:7" x14ac:dyDescent="0.2">
      <c r="A1550" s="75">
        <v>40969</v>
      </c>
      <c r="B1550" s="76" t="s">
        <v>35</v>
      </c>
      <c r="C1550" s="76" t="s">
        <v>536</v>
      </c>
      <c r="D1550" s="79">
        <v>2575.5027920000002</v>
      </c>
      <c r="E1550" s="79">
        <v>4.8773</v>
      </c>
      <c r="F1550" s="79">
        <v>4.8631000000000002</v>
      </c>
      <c r="G1550" s="83">
        <f t="shared" si="23"/>
        <v>5.2433634920634891</v>
      </c>
    </row>
    <row r="1551" spans="1:7" x14ac:dyDescent="0.2">
      <c r="A1551" s="75">
        <v>40970</v>
      </c>
      <c r="B1551" s="76" t="s">
        <v>35</v>
      </c>
      <c r="C1551" s="76" t="s">
        <v>536</v>
      </c>
      <c r="D1551" s="79">
        <v>2587.6983140000002</v>
      </c>
      <c r="E1551" s="79">
        <v>4.8638000000000003</v>
      </c>
      <c r="F1551" s="79">
        <v>4.7736000000000001</v>
      </c>
      <c r="G1551" s="83">
        <f t="shared" si="23"/>
        <v>5.2375920634920616</v>
      </c>
    </row>
    <row r="1552" spans="1:7" x14ac:dyDescent="0.2">
      <c r="A1552" s="75">
        <v>40973</v>
      </c>
      <c r="B1552" s="76" t="s">
        <v>35</v>
      </c>
      <c r="C1552" s="76" t="s">
        <v>536</v>
      </c>
      <c r="D1552" s="79">
        <v>2593.0272169999998</v>
      </c>
      <c r="E1552" s="79">
        <v>4.7743000000000002</v>
      </c>
      <c r="F1552" s="79">
        <v>4.74</v>
      </c>
      <c r="G1552" s="83">
        <f t="shared" si="23"/>
        <v>5.230412698412696</v>
      </c>
    </row>
    <row r="1553" spans="1:7" x14ac:dyDescent="0.2">
      <c r="A1553" s="75">
        <v>40974</v>
      </c>
      <c r="B1553" s="76" t="s">
        <v>35</v>
      </c>
      <c r="C1553" s="76" t="s">
        <v>536</v>
      </c>
      <c r="D1553" s="79">
        <v>2594.9459999999999</v>
      </c>
      <c r="E1553" s="79">
        <v>4.7407000000000004</v>
      </c>
      <c r="F1553" s="79">
        <v>4.734</v>
      </c>
      <c r="G1553" s="83">
        <f t="shared" si="23"/>
        <v>5.2218666666666644</v>
      </c>
    </row>
    <row r="1554" spans="1:7" x14ac:dyDescent="0.2">
      <c r="A1554" s="75">
        <v>40975</v>
      </c>
      <c r="B1554" s="76" t="s">
        <v>35</v>
      </c>
      <c r="C1554" s="76" t="s">
        <v>536</v>
      </c>
      <c r="D1554" s="79">
        <v>2599.9153310000002</v>
      </c>
      <c r="E1554" s="79">
        <v>4.7347000000000001</v>
      </c>
      <c r="F1554" s="79">
        <v>4.7034000000000002</v>
      </c>
      <c r="G1554" s="83">
        <f t="shared" si="23"/>
        <v>5.2136777777777761</v>
      </c>
    </row>
    <row r="1555" spans="1:7" x14ac:dyDescent="0.2">
      <c r="A1555" s="75">
        <v>40976</v>
      </c>
      <c r="B1555" s="76" t="s">
        <v>35</v>
      </c>
      <c r="C1555" s="76" t="s">
        <v>536</v>
      </c>
      <c r="D1555" s="79">
        <v>2618.8496810000001</v>
      </c>
      <c r="E1555" s="79">
        <v>4.7042000000000002</v>
      </c>
      <c r="F1555" s="79">
        <v>4.5609999999999999</v>
      </c>
      <c r="G1555" s="83">
        <f t="shared" si="23"/>
        <v>5.2058301587301585</v>
      </c>
    </row>
    <row r="1556" spans="1:7" x14ac:dyDescent="0.2">
      <c r="A1556" s="75">
        <v>40977</v>
      </c>
      <c r="B1556" s="76" t="s">
        <v>35</v>
      </c>
      <c r="C1556" s="76" t="s">
        <v>536</v>
      </c>
      <c r="D1556" s="79">
        <v>2631.7548710000001</v>
      </c>
      <c r="E1556" s="79">
        <v>4.5618999999999996</v>
      </c>
      <c r="F1556" s="79">
        <v>4.4676999999999998</v>
      </c>
      <c r="G1556" s="83">
        <f t="shared" si="23"/>
        <v>5.1955206349206344</v>
      </c>
    </row>
    <row r="1557" spans="1:7" x14ac:dyDescent="0.2">
      <c r="A1557" s="75">
        <v>40980</v>
      </c>
      <c r="B1557" s="76" t="s">
        <v>35</v>
      </c>
      <c r="C1557" s="76" t="s">
        <v>536</v>
      </c>
      <c r="D1557" s="79">
        <v>2628.0037870000001</v>
      </c>
      <c r="E1557" s="79">
        <v>4.4684999999999997</v>
      </c>
      <c r="F1557" s="79">
        <v>4.5068999999999999</v>
      </c>
      <c r="G1557" s="83">
        <f t="shared" si="23"/>
        <v>5.1836222222222217</v>
      </c>
    </row>
    <row r="1558" spans="1:7" x14ac:dyDescent="0.2">
      <c r="A1558" s="75">
        <v>40981</v>
      </c>
      <c r="B1558" s="76" t="s">
        <v>35</v>
      </c>
      <c r="C1558" s="76" t="s">
        <v>536</v>
      </c>
      <c r="D1558" s="79">
        <v>2623.285817</v>
      </c>
      <c r="E1558" s="79">
        <v>4.5077999999999996</v>
      </c>
      <c r="F1558" s="79">
        <v>4.5540000000000003</v>
      </c>
      <c r="G1558" s="83">
        <f t="shared" si="23"/>
        <v>5.1730999999999989</v>
      </c>
    </row>
    <row r="1559" spans="1:7" x14ac:dyDescent="0.2">
      <c r="A1559" s="75">
        <v>40982</v>
      </c>
      <c r="B1559" s="76" t="s">
        <v>35</v>
      </c>
      <c r="C1559" s="76" t="s">
        <v>536</v>
      </c>
      <c r="D1559" s="79">
        <v>2613.386841</v>
      </c>
      <c r="E1559" s="79">
        <v>4.5548000000000002</v>
      </c>
      <c r="F1559" s="79">
        <v>4.6425999999999998</v>
      </c>
      <c r="G1559" s="83">
        <f t="shared" si="23"/>
        <v>5.1631523809523809</v>
      </c>
    </row>
    <row r="1560" spans="1:7" x14ac:dyDescent="0.2">
      <c r="A1560" s="75">
        <v>40983</v>
      </c>
      <c r="B1560" s="76" t="s">
        <v>35</v>
      </c>
      <c r="C1560" s="76" t="s">
        <v>536</v>
      </c>
      <c r="D1560" s="79">
        <v>2613.4768770000001</v>
      </c>
      <c r="E1560" s="79">
        <v>4.6433999999999997</v>
      </c>
      <c r="F1560" s="79">
        <v>4.6513999999999998</v>
      </c>
      <c r="G1560" s="83">
        <f t="shared" si="23"/>
        <v>5.1542158730158727</v>
      </c>
    </row>
    <row r="1561" spans="1:7" x14ac:dyDescent="0.2">
      <c r="A1561" s="75">
        <v>40984</v>
      </c>
      <c r="B1561" s="76" t="s">
        <v>35</v>
      </c>
      <c r="C1561" s="76" t="s">
        <v>536</v>
      </c>
      <c r="D1561" s="79">
        <v>2609.732242</v>
      </c>
      <c r="E1561" s="79">
        <v>4.6520000000000001</v>
      </c>
      <c r="F1561" s="79">
        <v>4.6902999999999997</v>
      </c>
      <c r="G1561" s="83">
        <f t="shared" si="23"/>
        <v>5.1447730158730156</v>
      </c>
    </row>
    <row r="1562" spans="1:7" x14ac:dyDescent="0.2">
      <c r="A1562" s="75">
        <v>40987</v>
      </c>
      <c r="B1562" s="76" t="s">
        <v>35</v>
      </c>
      <c r="C1562" s="76" t="s">
        <v>536</v>
      </c>
      <c r="D1562" s="79">
        <v>2601.7883160000001</v>
      </c>
      <c r="E1562" s="79">
        <v>4.6909000000000001</v>
      </c>
      <c r="F1562" s="79">
        <v>4.7630999999999997</v>
      </c>
      <c r="G1562" s="83">
        <f t="shared" si="23"/>
        <v>5.1352031746031743</v>
      </c>
    </row>
    <row r="1563" spans="1:7" x14ac:dyDescent="0.2">
      <c r="A1563" s="75">
        <v>40988</v>
      </c>
      <c r="B1563" s="76" t="s">
        <v>35</v>
      </c>
      <c r="C1563" s="76" t="s">
        <v>536</v>
      </c>
      <c r="D1563" s="79">
        <v>2602.8128499999998</v>
      </c>
      <c r="E1563" s="79">
        <v>4.7636000000000003</v>
      </c>
      <c r="F1563" s="79">
        <v>4.7637</v>
      </c>
      <c r="G1563" s="83">
        <f t="shared" si="23"/>
        <v>5.1264444444444432</v>
      </c>
    </row>
    <row r="1564" spans="1:7" x14ac:dyDescent="0.2">
      <c r="A1564" s="75">
        <v>40989</v>
      </c>
      <c r="B1564" s="76" t="s">
        <v>35</v>
      </c>
      <c r="C1564" s="76" t="s">
        <v>536</v>
      </c>
      <c r="D1564" s="79">
        <v>2605.3160050000001</v>
      </c>
      <c r="E1564" s="79">
        <v>4.7641999999999998</v>
      </c>
      <c r="F1564" s="79">
        <v>4.7523999999999997</v>
      </c>
      <c r="G1564" s="83">
        <f t="shared" si="23"/>
        <v>5.1180174603174597</v>
      </c>
    </row>
    <row r="1565" spans="1:7" x14ac:dyDescent="0.2">
      <c r="A1565" s="75">
        <v>40990</v>
      </c>
      <c r="B1565" s="76" t="s">
        <v>35</v>
      </c>
      <c r="C1565" s="76" t="s">
        <v>536</v>
      </c>
      <c r="D1565" s="79">
        <v>2608.305793</v>
      </c>
      <c r="E1565" s="79">
        <v>4.7530000000000001</v>
      </c>
      <c r="F1565" s="79">
        <v>4.7373000000000003</v>
      </c>
      <c r="G1565" s="83">
        <f t="shared" si="23"/>
        <v>5.1098603174603161</v>
      </c>
    </row>
    <row r="1566" spans="1:7" x14ac:dyDescent="0.2">
      <c r="A1566" s="75">
        <v>40991</v>
      </c>
      <c r="B1566" s="76" t="s">
        <v>35</v>
      </c>
      <c r="C1566" s="76" t="s">
        <v>536</v>
      </c>
      <c r="D1566" s="79">
        <v>2611.2515250000001</v>
      </c>
      <c r="E1566" s="79">
        <v>4.7378999999999998</v>
      </c>
      <c r="F1566" s="79">
        <v>4.7178000000000004</v>
      </c>
      <c r="G1566" s="83">
        <f t="shared" si="23"/>
        <v>5.0994698412698414</v>
      </c>
    </row>
    <row r="1567" spans="1:7" x14ac:dyDescent="0.2">
      <c r="A1567" s="75">
        <v>40994</v>
      </c>
      <c r="B1567" s="76" t="s">
        <v>35</v>
      </c>
      <c r="C1567" s="76" t="s">
        <v>536</v>
      </c>
      <c r="D1567" s="79">
        <v>2610.6687630000001</v>
      </c>
      <c r="E1567" s="79">
        <v>4.7183999999999999</v>
      </c>
      <c r="F1567" s="79">
        <v>4.7305999999999999</v>
      </c>
      <c r="G1567" s="83">
        <f t="shared" si="23"/>
        <v>5.0877730158730152</v>
      </c>
    </row>
    <row r="1568" spans="1:7" x14ac:dyDescent="0.2">
      <c r="A1568" s="75">
        <v>40995</v>
      </c>
      <c r="B1568" s="76" t="s">
        <v>35</v>
      </c>
      <c r="C1568" s="76" t="s">
        <v>536</v>
      </c>
      <c r="D1568" s="79">
        <v>2615.622214</v>
      </c>
      <c r="E1568" s="79">
        <v>4.7312000000000003</v>
      </c>
      <c r="F1568" s="79">
        <v>4.6989999999999998</v>
      </c>
      <c r="G1568" s="83">
        <f t="shared" si="23"/>
        <v>5.0755206349206343</v>
      </c>
    </row>
    <row r="1569" spans="1:7" x14ac:dyDescent="0.2">
      <c r="A1569" s="75">
        <v>40996</v>
      </c>
      <c r="B1569" s="76" t="s">
        <v>35</v>
      </c>
      <c r="C1569" s="76" t="s">
        <v>536</v>
      </c>
      <c r="D1569" s="79">
        <v>2619.9703009999998</v>
      </c>
      <c r="E1569" s="79">
        <v>4.6996000000000002</v>
      </c>
      <c r="F1569" s="79">
        <v>4.6722999999999999</v>
      </c>
      <c r="G1569" s="83">
        <f t="shared" si="23"/>
        <v>5.0634396825396824</v>
      </c>
    </row>
    <row r="1570" spans="1:7" x14ac:dyDescent="0.2">
      <c r="A1570" s="75">
        <v>40997</v>
      </c>
      <c r="B1570" s="76" t="s">
        <v>35</v>
      </c>
      <c r="C1570" s="76" t="s">
        <v>536</v>
      </c>
      <c r="D1570" s="79">
        <v>2617.8808279999998</v>
      </c>
      <c r="E1570" s="79">
        <v>4.6729000000000003</v>
      </c>
      <c r="F1570" s="79">
        <v>4.6970999999999998</v>
      </c>
      <c r="G1570" s="83">
        <f t="shared" si="23"/>
        <v>5.0515492063492058</v>
      </c>
    </row>
    <row r="1571" spans="1:7" x14ac:dyDescent="0.2">
      <c r="A1571" s="75">
        <v>40998</v>
      </c>
      <c r="B1571" s="76" t="s">
        <v>35</v>
      </c>
      <c r="C1571" s="76" t="s">
        <v>536</v>
      </c>
      <c r="D1571" s="79">
        <v>2618.6433350000002</v>
      </c>
      <c r="E1571" s="79">
        <v>4.6976000000000004</v>
      </c>
      <c r="F1571" s="79">
        <v>4.6989999999999998</v>
      </c>
      <c r="G1571" s="83">
        <f t="shared" si="23"/>
        <v>5.0405460317460324</v>
      </c>
    </row>
    <row r="1572" spans="1:7" x14ac:dyDescent="0.2">
      <c r="A1572" s="75">
        <v>41001</v>
      </c>
      <c r="B1572" s="76" t="s">
        <v>35</v>
      </c>
      <c r="C1572" s="76" t="s">
        <v>536</v>
      </c>
      <c r="D1572" s="79">
        <v>2625.7399580000001</v>
      </c>
      <c r="E1572" s="79">
        <v>4.6994999999999996</v>
      </c>
      <c r="F1572" s="79">
        <v>4.6502999999999997</v>
      </c>
      <c r="G1572" s="83">
        <f t="shared" si="23"/>
        <v>5.0295698412698426</v>
      </c>
    </row>
    <row r="1573" spans="1:7" x14ac:dyDescent="0.2">
      <c r="A1573" s="75">
        <v>41002</v>
      </c>
      <c r="B1573" s="76" t="s">
        <v>35</v>
      </c>
      <c r="C1573" s="76" t="s">
        <v>536</v>
      </c>
      <c r="D1573" s="79">
        <v>2619.4770669999998</v>
      </c>
      <c r="E1573" s="79">
        <v>4.6508000000000003</v>
      </c>
      <c r="F1573" s="79">
        <v>4.7083000000000004</v>
      </c>
      <c r="G1573" s="83">
        <f t="shared" si="23"/>
        <v>5.0184142857142868</v>
      </c>
    </row>
    <row r="1574" spans="1:7" x14ac:dyDescent="0.2">
      <c r="A1574" s="75">
        <v>41003</v>
      </c>
      <c r="B1574" s="76" t="s">
        <v>35</v>
      </c>
      <c r="C1574" s="76" t="s">
        <v>536</v>
      </c>
      <c r="D1574" s="79">
        <v>2626.0372499999999</v>
      </c>
      <c r="E1574" s="79">
        <v>4.7088000000000001</v>
      </c>
      <c r="F1574" s="79">
        <v>4.6638999999999999</v>
      </c>
      <c r="G1574" s="83">
        <f t="shared" si="23"/>
        <v>5.0078920634920649</v>
      </c>
    </row>
    <row r="1575" spans="1:7" x14ac:dyDescent="0.2">
      <c r="A1575" s="75">
        <v>41004</v>
      </c>
      <c r="B1575" s="76" t="s">
        <v>35</v>
      </c>
      <c r="C1575" s="76" t="s">
        <v>536</v>
      </c>
      <c r="D1575" s="79">
        <v>2628.470992</v>
      </c>
      <c r="E1575" s="79">
        <v>4.6645000000000003</v>
      </c>
      <c r="F1575" s="79">
        <v>4.6287000000000003</v>
      </c>
      <c r="G1575" s="83">
        <f t="shared" si="23"/>
        <v>4.9952746031746038</v>
      </c>
    </row>
    <row r="1576" spans="1:7" x14ac:dyDescent="0.2">
      <c r="A1576" s="75">
        <v>41008</v>
      </c>
      <c r="B1576" s="76" t="s">
        <v>35</v>
      </c>
      <c r="C1576" s="76" t="s">
        <v>536</v>
      </c>
      <c r="D1576" s="79">
        <v>2637.986206</v>
      </c>
      <c r="E1576" s="79">
        <v>4.6292999999999997</v>
      </c>
      <c r="F1576" s="79">
        <v>4.5594999999999999</v>
      </c>
      <c r="G1576" s="83">
        <f t="shared" si="23"/>
        <v>4.9809825396825405</v>
      </c>
    </row>
    <row r="1577" spans="1:7" x14ac:dyDescent="0.2">
      <c r="A1577" s="75">
        <v>41009</v>
      </c>
      <c r="B1577" s="76" t="s">
        <v>35</v>
      </c>
      <c r="C1577" s="76" t="s">
        <v>536</v>
      </c>
      <c r="D1577" s="79">
        <v>2645.6747030000001</v>
      </c>
      <c r="E1577" s="79">
        <v>4.5599999999999996</v>
      </c>
      <c r="F1577" s="79">
        <v>4.5049000000000001</v>
      </c>
      <c r="G1577" s="83">
        <f t="shared" si="23"/>
        <v>4.9660746031746035</v>
      </c>
    </row>
    <row r="1578" spans="1:7" x14ac:dyDescent="0.2">
      <c r="A1578" s="75">
        <v>41010</v>
      </c>
      <c r="B1578" s="76" t="s">
        <v>35</v>
      </c>
      <c r="C1578" s="76" t="s">
        <v>536</v>
      </c>
      <c r="D1578" s="79">
        <v>2646.3890959999999</v>
      </c>
      <c r="E1578" s="79">
        <v>4.5053999999999998</v>
      </c>
      <c r="F1578" s="79">
        <v>4.5054999999999996</v>
      </c>
      <c r="G1578" s="83">
        <f t="shared" si="23"/>
        <v>4.9498031746031748</v>
      </c>
    </row>
    <row r="1579" spans="1:7" x14ac:dyDescent="0.2">
      <c r="A1579" s="75">
        <v>41011</v>
      </c>
      <c r="B1579" s="76" t="s">
        <v>35</v>
      </c>
      <c r="C1579" s="76" t="s">
        <v>536</v>
      </c>
      <c r="D1579" s="79">
        <v>2651.6261279999999</v>
      </c>
      <c r="E1579" s="79">
        <v>4.5060000000000002</v>
      </c>
      <c r="F1579" s="79">
        <v>4.4703999999999997</v>
      </c>
      <c r="G1579" s="83">
        <f t="shared" si="23"/>
        <v>4.9340015873015863</v>
      </c>
    </row>
    <row r="1580" spans="1:7" x14ac:dyDescent="0.2">
      <c r="A1580" s="75">
        <v>41012</v>
      </c>
      <c r="B1580" s="76" t="s">
        <v>35</v>
      </c>
      <c r="C1580" s="76" t="s">
        <v>536</v>
      </c>
      <c r="D1580" s="79">
        <v>2652.7699499999999</v>
      </c>
      <c r="E1580" s="79">
        <v>4.4709000000000003</v>
      </c>
      <c r="F1580" s="79">
        <v>4.4676</v>
      </c>
      <c r="G1580" s="83">
        <f t="shared" si="23"/>
        <v>4.917366666666668</v>
      </c>
    </row>
    <row r="1581" spans="1:7" x14ac:dyDescent="0.2">
      <c r="A1581" s="75">
        <v>41015</v>
      </c>
      <c r="B1581" s="76" t="s">
        <v>35</v>
      </c>
      <c r="C1581" s="76" t="s">
        <v>536</v>
      </c>
      <c r="D1581" s="79">
        <v>2654.028229</v>
      </c>
      <c r="E1581" s="79">
        <v>4.4680999999999997</v>
      </c>
      <c r="F1581" s="79">
        <v>4.4638999999999998</v>
      </c>
      <c r="G1581" s="83">
        <f t="shared" si="23"/>
        <v>4.9001190476190484</v>
      </c>
    </row>
    <row r="1582" spans="1:7" x14ac:dyDescent="0.2">
      <c r="A1582" s="75">
        <v>41016</v>
      </c>
      <c r="B1582" s="76" t="s">
        <v>35</v>
      </c>
      <c r="C1582" s="76" t="s">
        <v>536</v>
      </c>
      <c r="D1582" s="79">
        <v>2657.401586</v>
      </c>
      <c r="E1582" s="79">
        <v>4.4644000000000004</v>
      </c>
      <c r="F1582" s="79">
        <v>4.4471999999999996</v>
      </c>
      <c r="G1582" s="83">
        <f t="shared" si="23"/>
        <v>4.8831968253968272</v>
      </c>
    </row>
    <row r="1583" spans="1:7" x14ac:dyDescent="0.2">
      <c r="A1583" s="75">
        <v>41017</v>
      </c>
      <c r="B1583" s="76" t="s">
        <v>35</v>
      </c>
      <c r="C1583" s="76" t="s">
        <v>536</v>
      </c>
      <c r="D1583" s="79">
        <v>2661.1598049999998</v>
      </c>
      <c r="E1583" s="79">
        <v>4.4477000000000002</v>
      </c>
      <c r="F1583" s="79">
        <v>4.4275000000000002</v>
      </c>
      <c r="G1583" s="83">
        <f t="shared" si="23"/>
        <v>4.866190476190476</v>
      </c>
    </row>
    <row r="1584" spans="1:7" x14ac:dyDescent="0.2">
      <c r="A1584" s="75">
        <v>41018</v>
      </c>
      <c r="B1584" s="76" t="s">
        <v>35</v>
      </c>
      <c r="C1584" s="76" t="s">
        <v>536</v>
      </c>
      <c r="D1584" s="79">
        <v>2675.5312279999998</v>
      </c>
      <c r="E1584" s="79">
        <v>4.4279000000000002</v>
      </c>
      <c r="F1584" s="79">
        <v>4.3247</v>
      </c>
      <c r="G1584" s="83">
        <f t="shared" si="23"/>
        <v>4.8484650793650808</v>
      </c>
    </row>
    <row r="1585" spans="1:7" x14ac:dyDescent="0.2">
      <c r="A1585" s="75">
        <v>41019</v>
      </c>
      <c r="B1585" s="76" t="s">
        <v>35</v>
      </c>
      <c r="C1585" s="76" t="s">
        <v>536</v>
      </c>
      <c r="D1585" s="79">
        <v>2675.8048760000001</v>
      </c>
      <c r="E1585" s="79">
        <v>4.3251999999999997</v>
      </c>
      <c r="F1585" s="79">
        <v>4.3323</v>
      </c>
      <c r="G1585" s="83">
        <f t="shared" si="23"/>
        <v>4.8296190476190484</v>
      </c>
    </row>
    <row r="1586" spans="1:7" x14ac:dyDescent="0.2">
      <c r="A1586" s="75">
        <v>41022</v>
      </c>
      <c r="B1586" s="76" t="s">
        <v>35</v>
      </c>
      <c r="C1586" s="76" t="s">
        <v>536</v>
      </c>
      <c r="D1586" s="79">
        <v>2677.5278069999999</v>
      </c>
      <c r="E1586" s="79">
        <v>4.3327999999999998</v>
      </c>
      <c r="F1586" s="79">
        <v>4.3285999999999998</v>
      </c>
      <c r="G1586" s="83">
        <f t="shared" si="23"/>
        <v>4.8112920634920648</v>
      </c>
    </row>
    <row r="1587" spans="1:7" x14ac:dyDescent="0.2">
      <c r="A1587" s="75">
        <v>41023</v>
      </c>
      <c r="B1587" s="76" t="s">
        <v>35</v>
      </c>
      <c r="C1587" s="76" t="s">
        <v>536</v>
      </c>
      <c r="D1587" s="79">
        <v>2690.5324390000001</v>
      </c>
      <c r="E1587" s="79">
        <v>4.3289999999999997</v>
      </c>
      <c r="F1587" s="79">
        <v>4.2370999999999999</v>
      </c>
      <c r="G1587" s="83">
        <f t="shared" si="23"/>
        <v>4.7943031746031766</v>
      </c>
    </row>
    <row r="1588" spans="1:7" x14ac:dyDescent="0.2">
      <c r="A1588" s="75">
        <v>41024</v>
      </c>
      <c r="B1588" s="76" t="s">
        <v>35</v>
      </c>
      <c r="C1588" s="76" t="s">
        <v>536</v>
      </c>
      <c r="D1588" s="79">
        <v>2698.979562</v>
      </c>
      <c r="E1588" s="79">
        <v>4.2375999999999996</v>
      </c>
      <c r="F1588" s="79">
        <v>4.1849999999999996</v>
      </c>
      <c r="G1588" s="83">
        <f t="shared" si="23"/>
        <v>4.7750158730158745</v>
      </c>
    </row>
    <row r="1589" spans="1:7" x14ac:dyDescent="0.2">
      <c r="A1589" s="75">
        <v>41025</v>
      </c>
      <c r="B1589" s="76" t="s">
        <v>35</v>
      </c>
      <c r="C1589" s="76" t="s">
        <v>536</v>
      </c>
      <c r="D1589" s="79">
        <v>2697.7544630000002</v>
      </c>
      <c r="E1589" s="79">
        <v>4.1853999999999996</v>
      </c>
      <c r="F1589" s="79">
        <v>4.2045000000000003</v>
      </c>
      <c r="G1589" s="83">
        <f t="shared" si="23"/>
        <v>4.754838095238096</v>
      </c>
    </row>
    <row r="1590" spans="1:7" x14ac:dyDescent="0.2">
      <c r="A1590" s="75">
        <v>41026</v>
      </c>
      <c r="B1590" s="76" t="s">
        <v>35</v>
      </c>
      <c r="C1590" s="76" t="s">
        <v>536</v>
      </c>
      <c r="D1590" s="79">
        <v>2705.1576020000002</v>
      </c>
      <c r="E1590" s="79">
        <v>4.2050000000000001</v>
      </c>
      <c r="F1590" s="79">
        <v>4.1574999999999998</v>
      </c>
      <c r="G1590" s="83">
        <f t="shared" si="23"/>
        <v>4.7349650793650797</v>
      </c>
    </row>
    <row r="1591" spans="1:7" x14ac:dyDescent="0.2">
      <c r="A1591" s="75">
        <v>41029</v>
      </c>
      <c r="B1591" s="76" t="s">
        <v>35</v>
      </c>
      <c r="C1591" s="76" t="s">
        <v>536</v>
      </c>
      <c r="D1591" s="79">
        <v>2704.1337109999999</v>
      </c>
      <c r="E1591" s="79">
        <v>4.1580000000000004</v>
      </c>
      <c r="F1591" s="79">
        <v>4.1755000000000004</v>
      </c>
      <c r="G1591" s="83">
        <f t="shared" si="23"/>
        <v>4.7172095238095242</v>
      </c>
    </row>
    <row r="1592" spans="1:7" x14ac:dyDescent="0.2">
      <c r="A1592" s="75">
        <v>41031</v>
      </c>
      <c r="B1592" s="76" t="s">
        <v>35</v>
      </c>
      <c r="C1592" s="76" t="s">
        <v>536</v>
      </c>
      <c r="D1592" s="79">
        <v>2729.8012309999999</v>
      </c>
      <c r="E1592" s="79">
        <v>4.1760000000000002</v>
      </c>
      <c r="F1592" s="79">
        <v>3.9887999999999999</v>
      </c>
      <c r="G1592" s="83">
        <f t="shared" si="23"/>
        <v>4.7009507936507946</v>
      </c>
    </row>
    <row r="1593" spans="1:7" x14ac:dyDescent="0.2">
      <c r="A1593" s="75">
        <v>41032</v>
      </c>
      <c r="B1593" s="76" t="s">
        <v>35</v>
      </c>
      <c r="C1593" s="76" t="s">
        <v>536</v>
      </c>
      <c r="D1593" s="79">
        <v>2731.999781</v>
      </c>
      <c r="E1593" s="79">
        <v>3.9893000000000001</v>
      </c>
      <c r="F1593" s="79">
        <v>3.9820000000000002</v>
      </c>
      <c r="G1593" s="83">
        <f t="shared" si="23"/>
        <v>4.6831047619047625</v>
      </c>
    </row>
    <row r="1594" spans="1:7" x14ac:dyDescent="0.2">
      <c r="A1594" s="75">
        <v>41033</v>
      </c>
      <c r="B1594" s="76" t="s">
        <v>35</v>
      </c>
      <c r="C1594" s="76" t="s">
        <v>536</v>
      </c>
      <c r="D1594" s="79">
        <v>2767.948793</v>
      </c>
      <c r="E1594" s="79">
        <v>3.9826000000000001</v>
      </c>
      <c r="F1594" s="79">
        <v>3.7202999999999999</v>
      </c>
      <c r="G1594" s="83">
        <f t="shared" si="23"/>
        <v>4.6642476190476199</v>
      </c>
    </row>
    <row r="1595" spans="1:7" x14ac:dyDescent="0.2">
      <c r="A1595" s="75">
        <v>41036</v>
      </c>
      <c r="B1595" s="76" t="s">
        <v>35</v>
      </c>
      <c r="C1595" s="76" t="s">
        <v>536</v>
      </c>
      <c r="D1595" s="79">
        <v>2798.0488350000001</v>
      </c>
      <c r="E1595" s="79">
        <v>3.7206999999999999</v>
      </c>
      <c r="F1595" s="79">
        <v>3.5055999999999998</v>
      </c>
      <c r="G1595" s="83">
        <f t="shared" si="23"/>
        <v>4.6413761904761905</v>
      </c>
    </row>
    <row r="1596" spans="1:7" x14ac:dyDescent="0.2">
      <c r="A1596" s="75">
        <v>41037</v>
      </c>
      <c r="B1596" s="76" t="s">
        <v>35</v>
      </c>
      <c r="C1596" s="76" t="s">
        <v>536</v>
      </c>
      <c r="D1596" s="79">
        <v>2767.225089</v>
      </c>
      <c r="E1596" s="79">
        <v>3.5059999999999998</v>
      </c>
      <c r="F1596" s="79">
        <v>3.7448000000000001</v>
      </c>
      <c r="G1596" s="83">
        <f t="shared" si="23"/>
        <v>4.6154190476190475</v>
      </c>
    </row>
    <row r="1597" spans="1:7" x14ac:dyDescent="0.2">
      <c r="A1597" s="75">
        <v>41038</v>
      </c>
      <c r="B1597" s="76" t="s">
        <v>35</v>
      </c>
      <c r="C1597" s="76" t="s">
        <v>536</v>
      </c>
      <c r="D1597" s="79">
        <v>2741.0389709999999</v>
      </c>
      <c r="E1597" s="79">
        <v>3.7452000000000001</v>
      </c>
      <c r="F1597" s="79">
        <v>3.9586999999999999</v>
      </c>
      <c r="G1597" s="83">
        <f t="shared" si="23"/>
        <v>4.5930317460317456</v>
      </c>
    </row>
    <row r="1598" spans="1:7" x14ac:dyDescent="0.2">
      <c r="A1598" s="75">
        <v>41039</v>
      </c>
      <c r="B1598" s="76" t="s">
        <v>35</v>
      </c>
      <c r="C1598" s="76" t="s">
        <v>536</v>
      </c>
      <c r="D1598" s="79">
        <v>2774.319297</v>
      </c>
      <c r="E1598" s="79">
        <v>3.9592000000000001</v>
      </c>
      <c r="F1598" s="79">
        <v>3.7181999999999999</v>
      </c>
      <c r="G1598" s="83">
        <f t="shared" si="23"/>
        <v>4.5734333333333339</v>
      </c>
    </row>
    <row r="1599" spans="1:7" x14ac:dyDescent="0.2">
      <c r="A1599" s="75">
        <v>41040</v>
      </c>
      <c r="B1599" s="76" t="s">
        <v>35</v>
      </c>
      <c r="C1599" s="76" t="s">
        <v>536</v>
      </c>
      <c r="D1599" s="79">
        <v>2772.6536329999999</v>
      </c>
      <c r="E1599" s="79">
        <v>3.7185999999999999</v>
      </c>
      <c r="F1599" s="79">
        <v>3.7406999999999999</v>
      </c>
      <c r="G1599" s="83">
        <f t="shared" si="23"/>
        <v>4.5505730158730158</v>
      </c>
    </row>
    <row r="1600" spans="1:7" x14ac:dyDescent="0.2">
      <c r="A1600" s="75">
        <v>41043</v>
      </c>
      <c r="B1600" s="76" t="s">
        <v>35</v>
      </c>
      <c r="C1600" s="76" t="s">
        <v>536</v>
      </c>
      <c r="D1600" s="79">
        <v>2775.9337730000002</v>
      </c>
      <c r="E1600" s="79">
        <v>3.7410999999999999</v>
      </c>
      <c r="F1600" s="79">
        <v>3.7262</v>
      </c>
      <c r="G1600" s="83">
        <f t="shared" si="23"/>
        <v>4.5288380952380942</v>
      </c>
    </row>
    <row r="1601" spans="1:7" x14ac:dyDescent="0.2">
      <c r="A1601" s="75">
        <v>41044</v>
      </c>
      <c r="B1601" s="76" t="s">
        <v>35</v>
      </c>
      <c r="C1601" s="76" t="s">
        <v>536</v>
      </c>
      <c r="D1601" s="79">
        <v>2775.631304</v>
      </c>
      <c r="E1601" s="79">
        <v>3.7267000000000001</v>
      </c>
      <c r="F1601" s="79">
        <v>3.7385999999999999</v>
      </c>
      <c r="G1601" s="83">
        <f t="shared" si="23"/>
        <v>4.5081222222222213</v>
      </c>
    </row>
    <row r="1602" spans="1:7" x14ac:dyDescent="0.2">
      <c r="A1602" s="75">
        <v>41045</v>
      </c>
      <c r="B1602" s="76" t="s">
        <v>35</v>
      </c>
      <c r="C1602" s="76" t="s">
        <v>536</v>
      </c>
      <c r="D1602" s="79">
        <v>2779.5585580000002</v>
      </c>
      <c r="E1602" s="79">
        <v>3.7391000000000001</v>
      </c>
      <c r="F1602" s="79">
        <v>3.7170999999999998</v>
      </c>
      <c r="G1602" s="83">
        <f t="shared" si="23"/>
        <v>4.4891349206349203</v>
      </c>
    </row>
    <row r="1603" spans="1:7" x14ac:dyDescent="0.2">
      <c r="A1603" s="75">
        <v>41046</v>
      </c>
      <c r="B1603" s="76" t="s">
        <v>35</v>
      </c>
      <c r="C1603" s="76" t="s">
        <v>536</v>
      </c>
      <c r="D1603" s="79">
        <v>2786.1062700000002</v>
      </c>
      <c r="E1603" s="79">
        <v>3.7176</v>
      </c>
      <c r="F1603" s="79">
        <v>3.6760999999999999</v>
      </c>
      <c r="G1603" s="83">
        <f t="shared" ref="G1603:G1666" si="24">+AVERAGE(E1541:E1603)</f>
        <v>4.4698777777777767</v>
      </c>
    </row>
    <row r="1604" spans="1:7" x14ac:dyDescent="0.2">
      <c r="A1604" s="75">
        <v>41047</v>
      </c>
      <c r="B1604" s="76" t="s">
        <v>35</v>
      </c>
      <c r="C1604" s="76" t="s">
        <v>536</v>
      </c>
      <c r="D1604" s="79">
        <v>2791.0522500000002</v>
      </c>
      <c r="E1604" s="79">
        <v>3.6766000000000001</v>
      </c>
      <c r="F1604" s="79">
        <v>3.6471</v>
      </c>
      <c r="G1604" s="83">
        <f t="shared" si="24"/>
        <v>4.4510301587301582</v>
      </c>
    </row>
    <row r="1605" spans="1:7" x14ac:dyDescent="0.2">
      <c r="A1605" s="75">
        <v>41050</v>
      </c>
      <c r="B1605" s="76" t="s">
        <v>35</v>
      </c>
      <c r="C1605" s="76" t="s">
        <v>536</v>
      </c>
      <c r="D1605" s="79">
        <v>2778.3177759999999</v>
      </c>
      <c r="E1605" s="79">
        <v>3.6476000000000002</v>
      </c>
      <c r="F1605" s="79">
        <v>3.7498</v>
      </c>
      <c r="G1605" s="83">
        <f t="shared" si="24"/>
        <v>4.4317523809523811</v>
      </c>
    </row>
    <row r="1606" spans="1:7" x14ac:dyDescent="0.2">
      <c r="A1606" s="75">
        <v>41051</v>
      </c>
      <c r="B1606" s="76" t="s">
        <v>35</v>
      </c>
      <c r="C1606" s="76" t="s">
        <v>536</v>
      </c>
      <c r="D1606" s="79">
        <v>2728.9996169999999</v>
      </c>
      <c r="E1606" s="79">
        <v>3.7503000000000002</v>
      </c>
      <c r="F1606" s="79">
        <v>4.1303000000000001</v>
      </c>
      <c r="G1606" s="83">
        <f t="shared" si="24"/>
        <v>4.4147936507936505</v>
      </c>
    </row>
    <row r="1607" spans="1:7" x14ac:dyDescent="0.2">
      <c r="A1607" s="75">
        <v>41052</v>
      </c>
      <c r="B1607" s="76" t="s">
        <v>35</v>
      </c>
      <c r="C1607" s="76" t="s">
        <v>536</v>
      </c>
      <c r="D1607" s="79">
        <v>2733.4203459999999</v>
      </c>
      <c r="E1607" s="79">
        <v>4.1307999999999998</v>
      </c>
      <c r="F1607" s="79">
        <v>4.1025</v>
      </c>
      <c r="G1607" s="83">
        <f t="shared" si="24"/>
        <v>4.4047698412698413</v>
      </c>
    </row>
    <row r="1608" spans="1:7" x14ac:dyDescent="0.2">
      <c r="A1608" s="75">
        <v>41053</v>
      </c>
      <c r="B1608" s="76" t="s">
        <v>35</v>
      </c>
      <c r="C1608" s="76" t="s">
        <v>536</v>
      </c>
      <c r="D1608" s="79">
        <v>2711.3852240000001</v>
      </c>
      <c r="E1608" s="79">
        <v>4.1029999999999998</v>
      </c>
      <c r="F1608" s="79">
        <v>4.2790999999999997</v>
      </c>
      <c r="G1608" s="83">
        <f t="shared" si="24"/>
        <v>4.3945174603174602</v>
      </c>
    </row>
    <row r="1609" spans="1:7" x14ac:dyDescent="0.2">
      <c r="A1609" s="75">
        <v>41054</v>
      </c>
      <c r="B1609" s="76" t="s">
        <v>35</v>
      </c>
      <c r="C1609" s="76" t="s">
        <v>536</v>
      </c>
      <c r="D1609" s="79">
        <v>2721.2327270000001</v>
      </c>
      <c r="E1609" s="79">
        <v>4.2794999999999996</v>
      </c>
      <c r="F1609" s="79">
        <v>4.2112999999999996</v>
      </c>
      <c r="G1609" s="83">
        <f t="shared" si="24"/>
        <v>4.3865142857142851</v>
      </c>
    </row>
    <row r="1610" spans="1:7" x14ac:dyDescent="0.2">
      <c r="A1610" s="75">
        <v>41057</v>
      </c>
      <c r="B1610" s="76" t="s">
        <v>35</v>
      </c>
      <c r="C1610" s="76" t="s">
        <v>536</v>
      </c>
      <c r="D1610" s="79">
        <v>2729.1372339999998</v>
      </c>
      <c r="E1610" s="79">
        <v>4.2117000000000004</v>
      </c>
      <c r="F1610" s="79">
        <v>4.1585999999999999</v>
      </c>
      <c r="G1610" s="83">
        <f t="shared" si="24"/>
        <v>4.3752555555555555</v>
      </c>
    </row>
    <row r="1611" spans="1:7" x14ac:dyDescent="0.2">
      <c r="A1611" s="75">
        <v>41058</v>
      </c>
      <c r="B1611" s="76" t="s">
        <v>35</v>
      </c>
      <c r="C1611" s="76" t="s">
        <v>536</v>
      </c>
      <c r="D1611" s="79">
        <v>2741.809452</v>
      </c>
      <c r="E1611" s="79">
        <v>4.1589999999999998</v>
      </c>
      <c r="F1611" s="79">
        <v>4.0697999999999999</v>
      </c>
      <c r="G1611" s="83">
        <f t="shared" si="24"/>
        <v>4.3627142857142855</v>
      </c>
    </row>
    <row r="1612" spans="1:7" x14ac:dyDescent="0.2">
      <c r="A1612" s="75">
        <v>41059</v>
      </c>
      <c r="B1612" s="76" t="s">
        <v>35</v>
      </c>
      <c r="C1612" s="76" t="s">
        <v>536</v>
      </c>
      <c r="D1612" s="79">
        <v>2747.788176</v>
      </c>
      <c r="E1612" s="79">
        <v>4.0701999999999998</v>
      </c>
      <c r="F1612" s="79">
        <v>4.0320999999999998</v>
      </c>
      <c r="G1612" s="83">
        <f t="shared" si="24"/>
        <v>4.3498380952380948</v>
      </c>
    </row>
    <row r="1613" spans="1:7" x14ac:dyDescent="0.2">
      <c r="A1613" s="75">
        <v>41060</v>
      </c>
      <c r="B1613" s="76" t="s">
        <v>35</v>
      </c>
      <c r="C1613" s="76" t="s">
        <v>536</v>
      </c>
      <c r="D1613" s="79">
        <v>2741.1651440000001</v>
      </c>
      <c r="E1613" s="79">
        <v>4.0324</v>
      </c>
      <c r="F1613" s="79">
        <v>4.0899000000000001</v>
      </c>
      <c r="G1613" s="83">
        <f t="shared" si="24"/>
        <v>4.3364269841269838</v>
      </c>
    </row>
    <row r="1614" spans="1:7" x14ac:dyDescent="0.2">
      <c r="A1614" s="75">
        <v>41061</v>
      </c>
      <c r="B1614" s="76" t="s">
        <v>35</v>
      </c>
      <c r="C1614" s="76" t="s">
        <v>536</v>
      </c>
      <c r="D1614" s="79">
        <v>2736.7469230000002</v>
      </c>
      <c r="E1614" s="79">
        <v>4.0903</v>
      </c>
      <c r="F1614" s="79">
        <v>4.1311999999999998</v>
      </c>
      <c r="G1614" s="83">
        <f t="shared" si="24"/>
        <v>4.3241492063492064</v>
      </c>
    </row>
    <row r="1615" spans="1:7" x14ac:dyDescent="0.2">
      <c r="A1615" s="75">
        <v>41064</v>
      </c>
      <c r="B1615" s="76" t="s">
        <v>35</v>
      </c>
      <c r="C1615" s="76" t="s">
        <v>536</v>
      </c>
      <c r="D1615" s="79">
        <v>2698.4218249999999</v>
      </c>
      <c r="E1615" s="79">
        <v>4.1317000000000004</v>
      </c>
      <c r="F1615" s="79">
        <v>4.4333999999999998</v>
      </c>
      <c r="G1615" s="83">
        <f t="shared" si="24"/>
        <v>4.3139492063492071</v>
      </c>
    </row>
    <row r="1616" spans="1:7" x14ac:dyDescent="0.2">
      <c r="A1616" s="75">
        <v>41065</v>
      </c>
      <c r="B1616" s="76" t="s">
        <v>35</v>
      </c>
      <c r="C1616" s="76" t="s">
        <v>536</v>
      </c>
      <c r="D1616" s="79">
        <v>2701.9590039999998</v>
      </c>
      <c r="E1616" s="79">
        <v>4.4339000000000004</v>
      </c>
      <c r="F1616" s="79">
        <v>4.4141000000000004</v>
      </c>
      <c r="G1616" s="83">
        <f t="shared" si="24"/>
        <v>4.3090793650793664</v>
      </c>
    </row>
    <row r="1617" spans="1:7" x14ac:dyDescent="0.2">
      <c r="A1617" s="75">
        <v>41066</v>
      </c>
      <c r="B1617" s="76" t="s">
        <v>35</v>
      </c>
      <c r="C1617" s="76" t="s">
        <v>536</v>
      </c>
      <c r="D1617" s="79">
        <v>2699.0477599999999</v>
      </c>
      <c r="E1617" s="79">
        <v>4.4146000000000001</v>
      </c>
      <c r="F1617" s="79">
        <v>4.4356</v>
      </c>
      <c r="G1617" s="83">
        <f t="shared" si="24"/>
        <v>4.3039984126984132</v>
      </c>
    </row>
    <row r="1618" spans="1:7" x14ac:dyDescent="0.2">
      <c r="A1618" s="75">
        <v>41068</v>
      </c>
      <c r="B1618" s="76" t="s">
        <v>35</v>
      </c>
      <c r="C1618" s="76" t="s">
        <v>536</v>
      </c>
      <c r="D1618" s="79">
        <v>2716.9895110000002</v>
      </c>
      <c r="E1618" s="79">
        <v>4.4360999999999997</v>
      </c>
      <c r="F1618" s="79">
        <v>4.3047000000000004</v>
      </c>
      <c r="G1618" s="83">
        <f t="shared" si="24"/>
        <v>4.2997428571428573</v>
      </c>
    </row>
    <row r="1619" spans="1:7" x14ac:dyDescent="0.2">
      <c r="A1619" s="75">
        <v>41071</v>
      </c>
      <c r="B1619" s="76" t="s">
        <v>35</v>
      </c>
      <c r="C1619" s="76" t="s">
        <v>536</v>
      </c>
      <c r="D1619" s="79">
        <v>2701.1693580000001</v>
      </c>
      <c r="E1619" s="79">
        <v>4.3052000000000001</v>
      </c>
      <c r="F1619" s="79">
        <v>4.4340999999999999</v>
      </c>
      <c r="G1619" s="83">
        <f t="shared" si="24"/>
        <v>4.2956682539682545</v>
      </c>
    </row>
    <row r="1620" spans="1:7" x14ac:dyDescent="0.2">
      <c r="A1620" s="75">
        <v>41072</v>
      </c>
      <c r="B1620" s="76" t="s">
        <v>35</v>
      </c>
      <c r="C1620" s="76" t="s">
        <v>536</v>
      </c>
      <c r="D1620" s="79">
        <v>2705.8793049999999</v>
      </c>
      <c r="E1620" s="79">
        <v>4.4345999999999997</v>
      </c>
      <c r="F1620" s="79">
        <v>4.4051999999999998</v>
      </c>
      <c r="G1620" s="83">
        <f t="shared" si="24"/>
        <v>4.2951301587301591</v>
      </c>
    </row>
    <row r="1621" spans="1:7" x14ac:dyDescent="0.2">
      <c r="A1621" s="75">
        <v>41073</v>
      </c>
      <c r="B1621" s="76" t="s">
        <v>35</v>
      </c>
      <c r="C1621" s="76" t="s">
        <v>536</v>
      </c>
      <c r="D1621" s="79">
        <v>2711.7895060000001</v>
      </c>
      <c r="E1621" s="79">
        <v>4.4057000000000004</v>
      </c>
      <c r="F1621" s="79">
        <v>4.3670999999999998</v>
      </c>
      <c r="G1621" s="83">
        <f t="shared" si="24"/>
        <v>4.2935095238095249</v>
      </c>
    </row>
    <row r="1622" spans="1:7" x14ac:dyDescent="0.2">
      <c r="A1622" s="75">
        <v>41074</v>
      </c>
      <c r="B1622" s="76" t="s">
        <v>35</v>
      </c>
      <c r="C1622" s="76" t="s">
        <v>536</v>
      </c>
      <c r="D1622" s="79">
        <v>2716.9818249999998</v>
      </c>
      <c r="E1622" s="79">
        <v>4.3676000000000004</v>
      </c>
      <c r="F1622" s="79">
        <v>4.3346</v>
      </c>
      <c r="G1622" s="83">
        <f t="shared" si="24"/>
        <v>4.2905380952380963</v>
      </c>
    </row>
    <row r="1623" spans="1:7" x14ac:dyDescent="0.2">
      <c r="A1623" s="75">
        <v>41075</v>
      </c>
      <c r="B1623" s="76" t="s">
        <v>35</v>
      </c>
      <c r="C1623" s="76" t="s">
        <v>536</v>
      </c>
      <c r="D1623" s="79">
        <v>2707.4696690000001</v>
      </c>
      <c r="E1623" s="79">
        <v>4.3352000000000004</v>
      </c>
      <c r="F1623" s="79">
        <v>4.4154</v>
      </c>
      <c r="G1623" s="83">
        <f t="shared" si="24"/>
        <v>4.2856460317460314</v>
      </c>
    </row>
    <row r="1624" spans="1:7" x14ac:dyDescent="0.2">
      <c r="A1624" s="75">
        <v>41078</v>
      </c>
      <c r="B1624" s="76" t="s">
        <v>35</v>
      </c>
      <c r="C1624" s="76" t="s">
        <v>536</v>
      </c>
      <c r="D1624" s="79">
        <v>2712.238151</v>
      </c>
      <c r="E1624" s="79">
        <v>4.4160000000000004</v>
      </c>
      <c r="F1624" s="79">
        <v>4.3848000000000003</v>
      </c>
      <c r="G1624" s="83">
        <f t="shared" si="24"/>
        <v>4.2819000000000003</v>
      </c>
    </row>
    <row r="1625" spans="1:7" x14ac:dyDescent="0.2">
      <c r="A1625" s="75">
        <v>41079</v>
      </c>
      <c r="B1625" s="76" t="s">
        <v>35</v>
      </c>
      <c r="C1625" s="76" t="s">
        <v>536</v>
      </c>
      <c r="D1625" s="79">
        <v>2721.4531019999999</v>
      </c>
      <c r="E1625" s="79">
        <v>4.3853999999999997</v>
      </c>
      <c r="F1625" s="79">
        <v>4.3201000000000001</v>
      </c>
      <c r="G1625" s="83">
        <f t="shared" si="24"/>
        <v>4.277050793650794</v>
      </c>
    </row>
    <row r="1626" spans="1:7" x14ac:dyDescent="0.2">
      <c r="A1626" s="75">
        <v>41080</v>
      </c>
      <c r="B1626" s="76" t="s">
        <v>35</v>
      </c>
      <c r="C1626" s="76" t="s">
        <v>536</v>
      </c>
      <c r="D1626" s="79">
        <v>2726.9976689999999</v>
      </c>
      <c r="E1626" s="79">
        <v>4.3207000000000004</v>
      </c>
      <c r="F1626" s="79">
        <v>4.2836999999999996</v>
      </c>
      <c r="G1626" s="83">
        <f t="shared" si="24"/>
        <v>4.2700206349206358</v>
      </c>
    </row>
    <row r="1627" spans="1:7" x14ac:dyDescent="0.2">
      <c r="A1627" s="75">
        <v>41081</v>
      </c>
      <c r="B1627" s="76" t="s">
        <v>35</v>
      </c>
      <c r="C1627" s="76" t="s">
        <v>536</v>
      </c>
      <c r="D1627" s="79">
        <v>2734.7525799999999</v>
      </c>
      <c r="E1627" s="79">
        <v>4.2843</v>
      </c>
      <c r="F1627" s="79">
        <v>4.2305000000000001</v>
      </c>
      <c r="G1627" s="83">
        <f t="shared" si="24"/>
        <v>4.2624031746031745</v>
      </c>
    </row>
    <row r="1628" spans="1:7" x14ac:dyDescent="0.2">
      <c r="A1628" s="75">
        <v>41082</v>
      </c>
      <c r="B1628" s="76" t="s">
        <v>35</v>
      </c>
      <c r="C1628" s="76" t="s">
        <v>536</v>
      </c>
      <c r="D1628" s="79">
        <v>2734.2739529999999</v>
      </c>
      <c r="E1628" s="79">
        <v>4.2310999999999996</v>
      </c>
      <c r="F1628" s="79">
        <v>4.2362000000000002</v>
      </c>
      <c r="G1628" s="83">
        <f t="shared" si="24"/>
        <v>4.2541190476190485</v>
      </c>
    </row>
    <row r="1629" spans="1:7" x14ac:dyDescent="0.2">
      <c r="A1629" s="75">
        <v>41085</v>
      </c>
      <c r="B1629" s="76" t="s">
        <v>35</v>
      </c>
      <c r="C1629" s="76" t="s">
        <v>536</v>
      </c>
      <c r="D1629" s="79">
        <v>2743.890386</v>
      </c>
      <c r="E1629" s="79">
        <v>4.2367999999999997</v>
      </c>
      <c r="F1629" s="79">
        <v>4.1681999999999997</v>
      </c>
      <c r="G1629" s="83">
        <f t="shared" si="24"/>
        <v>4.2461650793650811</v>
      </c>
    </row>
    <row r="1630" spans="1:7" x14ac:dyDescent="0.2">
      <c r="A1630" s="75">
        <v>41086</v>
      </c>
      <c r="B1630" s="76" t="s">
        <v>35</v>
      </c>
      <c r="C1630" s="76" t="s">
        <v>536</v>
      </c>
      <c r="D1630" s="79">
        <v>2744.1891369999998</v>
      </c>
      <c r="E1630" s="79">
        <v>4.1688000000000001</v>
      </c>
      <c r="F1630" s="79">
        <v>4.1711</v>
      </c>
      <c r="G1630" s="83">
        <f t="shared" si="24"/>
        <v>4.2374412698412707</v>
      </c>
    </row>
    <row r="1631" spans="1:7" x14ac:dyDescent="0.2">
      <c r="A1631" s="75">
        <v>41087</v>
      </c>
      <c r="B1631" s="76" t="s">
        <v>35</v>
      </c>
      <c r="C1631" s="76" t="s">
        <v>536</v>
      </c>
      <c r="D1631" s="79">
        <v>2741.5023590000001</v>
      </c>
      <c r="E1631" s="79">
        <v>4.1715999999999998</v>
      </c>
      <c r="F1631" s="79">
        <v>4.1966000000000001</v>
      </c>
      <c r="G1631" s="83">
        <f t="shared" si="24"/>
        <v>4.2285587301587313</v>
      </c>
    </row>
    <row r="1632" spans="1:7" x14ac:dyDescent="0.2">
      <c r="A1632" s="75">
        <v>41088</v>
      </c>
      <c r="B1632" s="76" t="s">
        <v>35</v>
      </c>
      <c r="C1632" s="76" t="s">
        <v>536</v>
      </c>
      <c r="D1632" s="79">
        <v>2739.8197049999999</v>
      </c>
      <c r="E1632" s="79">
        <v>4.1971999999999996</v>
      </c>
      <c r="F1632" s="79">
        <v>4.2145999999999999</v>
      </c>
      <c r="G1632" s="83">
        <f t="shared" si="24"/>
        <v>4.2205841269841278</v>
      </c>
    </row>
    <row r="1633" spans="1:7" x14ac:dyDescent="0.2">
      <c r="A1633" s="75">
        <v>41089</v>
      </c>
      <c r="B1633" s="76" t="s">
        <v>35</v>
      </c>
      <c r="C1633" s="76" t="s">
        <v>536</v>
      </c>
      <c r="D1633" s="79">
        <v>2749.613535</v>
      </c>
      <c r="E1633" s="79">
        <v>4.2152000000000003</v>
      </c>
      <c r="F1633" s="79">
        <v>4.1454000000000004</v>
      </c>
      <c r="G1633" s="83">
        <f t="shared" si="24"/>
        <v>4.2133190476190485</v>
      </c>
    </row>
    <row r="1634" spans="1:7" x14ac:dyDescent="0.2">
      <c r="A1634" s="75">
        <v>41092</v>
      </c>
      <c r="B1634" s="76" t="s">
        <v>35</v>
      </c>
      <c r="C1634" s="76" t="s">
        <v>536</v>
      </c>
      <c r="D1634" s="79">
        <v>2758.0375629999999</v>
      </c>
      <c r="E1634" s="79">
        <v>4.1460999999999997</v>
      </c>
      <c r="F1634" s="79">
        <v>4.0869</v>
      </c>
      <c r="G1634" s="83">
        <f t="shared" si="24"/>
        <v>4.2045650793650795</v>
      </c>
    </row>
    <row r="1635" spans="1:7" x14ac:dyDescent="0.2">
      <c r="A1635" s="75">
        <v>41093</v>
      </c>
      <c r="B1635" s="76" t="s">
        <v>35</v>
      </c>
      <c r="C1635" s="76" t="s">
        <v>536</v>
      </c>
      <c r="D1635" s="79">
        <v>2760.2628220000001</v>
      </c>
      <c r="E1635" s="79">
        <v>4.0876000000000001</v>
      </c>
      <c r="F1635" s="79">
        <v>4.0753000000000004</v>
      </c>
      <c r="G1635" s="83">
        <f t="shared" si="24"/>
        <v>4.1948523809523817</v>
      </c>
    </row>
    <row r="1636" spans="1:7" x14ac:dyDescent="0.2">
      <c r="A1636" s="75">
        <v>41094</v>
      </c>
      <c r="B1636" s="76" t="s">
        <v>35</v>
      </c>
      <c r="C1636" s="76" t="s">
        <v>536</v>
      </c>
      <c r="D1636" s="79">
        <v>2752.880345</v>
      </c>
      <c r="E1636" s="79">
        <v>4.0759999999999996</v>
      </c>
      <c r="F1636" s="79">
        <v>4.1363000000000003</v>
      </c>
      <c r="G1636" s="83">
        <f t="shared" si="24"/>
        <v>4.1857285714285721</v>
      </c>
    </row>
    <row r="1637" spans="1:7" x14ac:dyDescent="0.2">
      <c r="A1637" s="75">
        <v>41095</v>
      </c>
      <c r="B1637" s="76" t="s">
        <v>35</v>
      </c>
      <c r="C1637" s="76" t="s">
        <v>536</v>
      </c>
      <c r="D1637" s="79">
        <v>2743.5154109999999</v>
      </c>
      <c r="E1637" s="79">
        <v>4.1369999999999996</v>
      </c>
      <c r="F1637" s="79">
        <v>4.2126000000000001</v>
      </c>
      <c r="G1637" s="83">
        <f t="shared" si="24"/>
        <v>4.1766523809523806</v>
      </c>
    </row>
    <row r="1638" spans="1:7" x14ac:dyDescent="0.2">
      <c r="A1638" s="75">
        <v>41096</v>
      </c>
      <c r="B1638" s="76" t="s">
        <v>35</v>
      </c>
      <c r="C1638" s="76" t="s">
        <v>536</v>
      </c>
      <c r="D1638" s="79">
        <v>2752.019499</v>
      </c>
      <c r="E1638" s="79">
        <v>4.2131999999999996</v>
      </c>
      <c r="F1638" s="79">
        <v>4.1473000000000004</v>
      </c>
      <c r="G1638" s="83">
        <f t="shared" si="24"/>
        <v>4.169488888888889</v>
      </c>
    </row>
    <row r="1639" spans="1:7" x14ac:dyDescent="0.2">
      <c r="A1639" s="75">
        <v>41099</v>
      </c>
      <c r="B1639" s="76" t="s">
        <v>35</v>
      </c>
      <c r="C1639" s="76" t="s">
        <v>536</v>
      </c>
      <c r="D1639" s="79">
        <v>2750.8389510000002</v>
      </c>
      <c r="E1639" s="79">
        <v>4.1479999999999997</v>
      </c>
      <c r="F1639" s="79">
        <v>4.1611000000000002</v>
      </c>
      <c r="G1639" s="83">
        <f t="shared" si="24"/>
        <v>4.1618492063492063</v>
      </c>
    </row>
    <row r="1640" spans="1:7" x14ac:dyDescent="0.2">
      <c r="A1640" s="75">
        <v>41100</v>
      </c>
      <c r="B1640" s="76" t="s">
        <v>35</v>
      </c>
      <c r="C1640" s="76" t="s">
        <v>536</v>
      </c>
      <c r="D1640" s="79">
        <v>2763.2568660000002</v>
      </c>
      <c r="E1640" s="79">
        <v>4.1618000000000004</v>
      </c>
      <c r="F1640" s="79">
        <v>4.0720999999999998</v>
      </c>
      <c r="G1640" s="83">
        <f t="shared" si="24"/>
        <v>4.1555285714285723</v>
      </c>
    </row>
    <row r="1641" spans="1:7" x14ac:dyDescent="0.2">
      <c r="A1641" s="75">
        <v>41101</v>
      </c>
      <c r="B1641" s="76" t="s">
        <v>35</v>
      </c>
      <c r="C1641" s="76" t="s">
        <v>536</v>
      </c>
      <c r="D1641" s="79">
        <v>2779.0280889999999</v>
      </c>
      <c r="E1641" s="79">
        <v>4.0728999999999997</v>
      </c>
      <c r="F1641" s="79">
        <v>3.9584999999999999</v>
      </c>
      <c r="G1641" s="83">
        <f t="shared" si="24"/>
        <v>4.1486634920634931</v>
      </c>
    </row>
    <row r="1642" spans="1:7" x14ac:dyDescent="0.2">
      <c r="A1642" s="75">
        <v>41102</v>
      </c>
      <c r="B1642" s="76" t="s">
        <v>35</v>
      </c>
      <c r="C1642" s="76" t="s">
        <v>536</v>
      </c>
      <c r="D1642" s="79">
        <v>2776.6784969999999</v>
      </c>
      <c r="E1642" s="79">
        <v>3.9592000000000001</v>
      </c>
      <c r="F1642" s="79">
        <v>3.9807999999999999</v>
      </c>
      <c r="G1642" s="83">
        <f t="shared" si="24"/>
        <v>4.1399841269841264</v>
      </c>
    </row>
    <row r="1643" spans="1:7" x14ac:dyDescent="0.2">
      <c r="A1643" s="75">
        <v>41103</v>
      </c>
      <c r="B1643" s="76" t="s">
        <v>35</v>
      </c>
      <c r="C1643" s="76" t="s">
        <v>536</v>
      </c>
      <c r="D1643" s="79">
        <v>2787.3644530000001</v>
      </c>
      <c r="E1643" s="79">
        <v>3.9815999999999998</v>
      </c>
      <c r="F1643" s="79">
        <v>3.9056999999999999</v>
      </c>
      <c r="G1643" s="83">
        <f t="shared" si="24"/>
        <v>4.1322174603174604</v>
      </c>
    </row>
    <row r="1644" spans="1:7" x14ac:dyDescent="0.2">
      <c r="A1644" s="75">
        <v>41106</v>
      </c>
      <c r="B1644" s="76" t="s">
        <v>35</v>
      </c>
      <c r="C1644" s="76" t="s">
        <v>536</v>
      </c>
      <c r="D1644" s="79">
        <v>2807.3182200000001</v>
      </c>
      <c r="E1644" s="79">
        <v>3.9064999999999999</v>
      </c>
      <c r="F1644" s="79">
        <v>3.7622</v>
      </c>
      <c r="G1644" s="83">
        <f t="shared" si="24"/>
        <v>4.1233031746031745</v>
      </c>
    </row>
    <row r="1645" spans="1:7" x14ac:dyDescent="0.2">
      <c r="A1645" s="75">
        <v>41107</v>
      </c>
      <c r="B1645" s="76" t="s">
        <v>35</v>
      </c>
      <c r="C1645" s="76" t="s">
        <v>536</v>
      </c>
      <c r="D1645" s="79">
        <v>2806.9551190000002</v>
      </c>
      <c r="E1645" s="79">
        <v>3.7629999999999999</v>
      </c>
      <c r="F1645" s="79">
        <v>3.7709000000000001</v>
      </c>
      <c r="G1645" s="83">
        <f t="shared" si="24"/>
        <v>4.1121698412698411</v>
      </c>
    </row>
    <row r="1646" spans="1:7" x14ac:dyDescent="0.2">
      <c r="A1646" s="75">
        <v>41108</v>
      </c>
      <c r="B1646" s="76" t="s">
        <v>35</v>
      </c>
      <c r="C1646" s="76" t="s">
        <v>536</v>
      </c>
      <c r="D1646" s="79">
        <v>2814.0495989999999</v>
      </c>
      <c r="E1646" s="79">
        <v>3.7715999999999998</v>
      </c>
      <c r="F1646" s="79">
        <v>3.7244000000000002</v>
      </c>
      <c r="G1646" s="83">
        <f t="shared" si="24"/>
        <v>4.1014380952380955</v>
      </c>
    </row>
    <row r="1647" spans="1:7" x14ac:dyDescent="0.2">
      <c r="A1647" s="75">
        <v>41109</v>
      </c>
      <c r="B1647" s="76" t="s">
        <v>35</v>
      </c>
      <c r="C1647" s="76" t="s">
        <v>536</v>
      </c>
      <c r="D1647" s="79">
        <v>2822.043682</v>
      </c>
      <c r="E1647" s="79">
        <v>3.7250999999999999</v>
      </c>
      <c r="F1647" s="79">
        <v>3.6714000000000002</v>
      </c>
      <c r="G1647" s="83">
        <f t="shared" si="24"/>
        <v>4.0902825396825397</v>
      </c>
    </row>
    <row r="1648" spans="1:7" x14ac:dyDescent="0.2">
      <c r="A1648" s="75">
        <v>41110</v>
      </c>
      <c r="B1648" s="76" t="s">
        <v>35</v>
      </c>
      <c r="C1648" s="76" t="s">
        <v>536</v>
      </c>
      <c r="D1648" s="79">
        <v>2838.6570230000002</v>
      </c>
      <c r="E1648" s="79">
        <v>3.6722000000000001</v>
      </c>
      <c r="F1648" s="79">
        <v>3.5556000000000001</v>
      </c>
      <c r="G1648" s="83">
        <f t="shared" si="24"/>
        <v>4.0799174603174597</v>
      </c>
    </row>
    <row r="1649" spans="1:7" x14ac:dyDescent="0.2">
      <c r="A1649" s="75">
        <v>41113</v>
      </c>
      <c r="B1649" s="76" t="s">
        <v>35</v>
      </c>
      <c r="C1649" s="76" t="s">
        <v>536</v>
      </c>
      <c r="D1649" s="79">
        <v>2845.4153620000002</v>
      </c>
      <c r="E1649" s="79">
        <v>3.5564</v>
      </c>
      <c r="F1649" s="79">
        <v>3.5192000000000001</v>
      </c>
      <c r="G1649" s="83">
        <f t="shared" si="24"/>
        <v>4.0675936507936514</v>
      </c>
    </row>
    <row r="1650" spans="1:7" x14ac:dyDescent="0.2">
      <c r="A1650" s="75">
        <v>41114</v>
      </c>
      <c r="B1650" s="76" t="s">
        <v>35</v>
      </c>
      <c r="C1650" s="76" t="s">
        <v>536</v>
      </c>
      <c r="D1650" s="79">
        <v>2837.0835910000001</v>
      </c>
      <c r="E1650" s="79">
        <v>3.5200999999999998</v>
      </c>
      <c r="F1650" s="79">
        <v>3.5872999999999999</v>
      </c>
      <c r="G1650" s="83">
        <f t="shared" si="24"/>
        <v>4.0547539682539675</v>
      </c>
    </row>
    <row r="1651" spans="1:7" x14ac:dyDescent="0.2">
      <c r="A1651" s="75">
        <v>41115</v>
      </c>
      <c r="B1651" s="76" t="s">
        <v>35</v>
      </c>
      <c r="C1651" s="76" t="s">
        <v>536</v>
      </c>
      <c r="D1651" s="79">
        <v>2841.7093540000001</v>
      </c>
      <c r="E1651" s="79">
        <v>3.5880999999999998</v>
      </c>
      <c r="F1651" s="79">
        <v>3.5608</v>
      </c>
      <c r="G1651" s="83">
        <f t="shared" si="24"/>
        <v>4.0444444444444443</v>
      </c>
    </row>
    <row r="1652" spans="1:7" x14ac:dyDescent="0.2">
      <c r="A1652" s="75">
        <v>41116</v>
      </c>
      <c r="B1652" s="76" t="s">
        <v>35</v>
      </c>
      <c r="C1652" s="76" t="s">
        <v>536</v>
      </c>
      <c r="D1652" s="79">
        <v>2836.8277990000001</v>
      </c>
      <c r="E1652" s="79">
        <v>3.5617000000000001</v>
      </c>
      <c r="F1652" s="79">
        <v>3.6038000000000001</v>
      </c>
      <c r="G1652" s="83">
        <f t="shared" si="24"/>
        <v>4.0345444444444452</v>
      </c>
    </row>
    <row r="1653" spans="1:7" x14ac:dyDescent="0.2">
      <c r="A1653" s="75">
        <v>41117</v>
      </c>
      <c r="B1653" s="76" t="s">
        <v>35</v>
      </c>
      <c r="C1653" s="76" t="s">
        <v>536</v>
      </c>
      <c r="D1653" s="79">
        <v>2821.0934510000002</v>
      </c>
      <c r="E1653" s="79">
        <v>3.6046</v>
      </c>
      <c r="F1653" s="79">
        <v>3.7265000000000001</v>
      </c>
      <c r="G1653" s="83">
        <f t="shared" si="24"/>
        <v>4.0250142857142857</v>
      </c>
    </row>
    <row r="1654" spans="1:7" x14ac:dyDescent="0.2">
      <c r="A1654" s="75">
        <v>41120</v>
      </c>
      <c r="B1654" s="76" t="s">
        <v>35</v>
      </c>
      <c r="C1654" s="76" t="s">
        <v>536</v>
      </c>
      <c r="D1654" s="79">
        <v>2822.1391330000001</v>
      </c>
      <c r="E1654" s="79">
        <v>3.7271999999999998</v>
      </c>
      <c r="F1654" s="79">
        <v>3.7261000000000002</v>
      </c>
      <c r="G1654" s="83">
        <f t="shared" si="24"/>
        <v>4.0181761904761908</v>
      </c>
    </row>
    <row r="1655" spans="1:7" x14ac:dyDescent="0.2">
      <c r="A1655" s="75">
        <v>41121</v>
      </c>
      <c r="B1655" s="76" t="s">
        <v>35</v>
      </c>
      <c r="C1655" s="76" t="s">
        <v>536</v>
      </c>
      <c r="D1655" s="79">
        <v>2826.8731389999998</v>
      </c>
      <c r="E1655" s="79">
        <v>3.7269000000000001</v>
      </c>
      <c r="F1655" s="79">
        <v>3.6987000000000001</v>
      </c>
      <c r="G1655" s="83">
        <f t="shared" si="24"/>
        <v>4.0110476190476199</v>
      </c>
    </row>
    <row r="1656" spans="1:7" x14ac:dyDescent="0.2">
      <c r="A1656" s="75">
        <v>41122</v>
      </c>
      <c r="B1656" s="76" t="s">
        <v>35</v>
      </c>
      <c r="C1656" s="76" t="s">
        <v>536</v>
      </c>
      <c r="D1656" s="79">
        <v>2836.1479089999998</v>
      </c>
      <c r="E1656" s="79">
        <v>3.6995</v>
      </c>
      <c r="F1656" s="79">
        <v>3.6381000000000001</v>
      </c>
      <c r="G1656" s="83">
        <f t="shared" si="24"/>
        <v>4.006447619047619</v>
      </c>
    </row>
    <row r="1657" spans="1:7" x14ac:dyDescent="0.2">
      <c r="A1657" s="75">
        <v>41123</v>
      </c>
      <c r="B1657" s="76" t="s">
        <v>35</v>
      </c>
      <c r="C1657" s="76" t="s">
        <v>536</v>
      </c>
      <c r="D1657" s="79">
        <v>2838.899973</v>
      </c>
      <c r="E1657" s="79">
        <v>3.6389</v>
      </c>
      <c r="F1657" s="79">
        <v>3.6253000000000002</v>
      </c>
      <c r="G1657" s="83">
        <f t="shared" si="24"/>
        <v>4.0009920634920642</v>
      </c>
    </row>
    <row r="1658" spans="1:7" x14ac:dyDescent="0.2">
      <c r="A1658" s="75">
        <v>41124</v>
      </c>
      <c r="B1658" s="76" t="s">
        <v>35</v>
      </c>
      <c r="C1658" s="76" t="s">
        <v>536</v>
      </c>
      <c r="D1658" s="79">
        <v>2836.520861</v>
      </c>
      <c r="E1658" s="79">
        <v>3.6261000000000001</v>
      </c>
      <c r="F1658" s="79">
        <v>3.65</v>
      </c>
      <c r="G1658" s="83">
        <f t="shared" si="24"/>
        <v>3.999490476190477</v>
      </c>
    </row>
    <row r="1659" spans="1:7" x14ac:dyDescent="0.2">
      <c r="A1659" s="75">
        <v>41127</v>
      </c>
      <c r="B1659" s="76" t="s">
        <v>35</v>
      </c>
      <c r="C1659" s="76" t="s">
        <v>536</v>
      </c>
      <c r="D1659" s="79">
        <v>2840.1915909999998</v>
      </c>
      <c r="E1659" s="79">
        <v>3.6507999999999998</v>
      </c>
      <c r="F1659" s="79">
        <v>3.6305000000000001</v>
      </c>
      <c r="G1659" s="83">
        <f t="shared" si="24"/>
        <v>4.00178888888889</v>
      </c>
    </row>
    <row r="1660" spans="1:7" x14ac:dyDescent="0.2">
      <c r="A1660" s="75">
        <v>41128</v>
      </c>
      <c r="B1660" s="76" t="s">
        <v>35</v>
      </c>
      <c r="C1660" s="76" t="s">
        <v>536</v>
      </c>
      <c r="D1660" s="79">
        <v>2846.2115330000001</v>
      </c>
      <c r="E1660" s="79">
        <v>3.6313</v>
      </c>
      <c r="F1660" s="79">
        <v>3.5939000000000001</v>
      </c>
      <c r="G1660" s="83">
        <f t="shared" si="24"/>
        <v>3.9999809523809535</v>
      </c>
    </row>
    <row r="1661" spans="1:7" x14ac:dyDescent="0.2">
      <c r="A1661" s="75">
        <v>41129</v>
      </c>
      <c r="B1661" s="76" t="s">
        <v>35</v>
      </c>
      <c r="C1661" s="76" t="s">
        <v>536</v>
      </c>
      <c r="D1661" s="79">
        <v>2852.8057279999998</v>
      </c>
      <c r="E1661" s="79">
        <v>3.5945999999999998</v>
      </c>
      <c r="F1661" s="79">
        <v>3.5611000000000002</v>
      </c>
      <c r="G1661" s="83">
        <f t="shared" si="24"/>
        <v>3.994193650793652</v>
      </c>
    </row>
    <row r="1662" spans="1:7" x14ac:dyDescent="0.2">
      <c r="A1662" s="75">
        <v>41130</v>
      </c>
      <c r="B1662" s="76" t="s">
        <v>35</v>
      </c>
      <c r="C1662" s="76" t="s">
        <v>536</v>
      </c>
      <c r="D1662" s="79">
        <v>2850.1406529999999</v>
      </c>
      <c r="E1662" s="79">
        <v>3.5617999999999999</v>
      </c>
      <c r="F1662" s="79">
        <v>3.5880999999999998</v>
      </c>
      <c r="G1662" s="83">
        <f t="shared" si="24"/>
        <v>3.9917047619047636</v>
      </c>
    </row>
    <row r="1663" spans="1:7" x14ac:dyDescent="0.2">
      <c r="A1663" s="75">
        <v>41131</v>
      </c>
      <c r="B1663" s="76" t="s">
        <v>35</v>
      </c>
      <c r="C1663" s="76" t="s">
        <v>536</v>
      </c>
      <c r="D1663" s="79">
        <v>2838.8616280000001</v>
      </c>
      <c r="E1663" s="79">
        <v>3.5888</v>
      </c>
      <c r="F1663" s="79">
        <v>3.6779999999999999</v>
      </c>
      <c r="G1663" s="83">
        <f t="shared" si="24"/>
        <v>3.9892873015873027</v>
      </c>
    </row>
    <row r="1664" spans="1:7" x14ac:dyDescent="0.2">
      <c r="A1664" s="75">
        <v>41134</v>
      </c>
      <c r="B1664" s="76" t="s">
        <v>35</v>
      </c>
      <c r="C1664" s="76" t="s">
        <v>536</v>
      </c>
      <c r="D1664" s="79">
        <v>2840.6711909999999</v>
      </c>
      <c r="E1664" s="79">
        <v>3.6787000000000001</v>
      </c>
      <c r="F1664" s="79">
        <v>3.6724999999999999</v>
      </c>
      <c r="G1664" s="83">
        <f t="shared" si="24"/>
        <v>3.988525396825398</v>
      </c>
    </row>
    <row r="1665" spans="1:7" x14ac:dyDescent="0.2">
      <c r="A1665" s="75">
        <v>41135</v>
      </c>
      <c r="B1665" s="76" t="s">
        <v>35</v>
      </c>
      <c r="C1665" s="76" t="s">
        <v>536</v>
      </c>
      <c r="D1665" s="79">
        <v>2836.7075129999998</v>
      </c>
      <c r="E1665" s="79">
        <v>3.6732</v>
      </c>
      <c r="F1665" s="79">
        <v>3.7092000000000001</v>
      </c>
      <c r="G1665" s="83">
        <f t="shared" si="24"/>
        <v>3.9874793650793663</v>
      </c>
    </row>
    <row r="1666" spans="1:7" x14ac:dyDescent="0.2">
      <c r="A1666" s="75">
        <v>41136</v>
      </c>
      <c r="B1666" s="76" t="s">
        <v>35</v>
      </c>
      <c r="C1666" s="76" t="s">
        <v>536</v>
      </c>
      <c r="D1666" s="79">
        <v>2840.6256960000001</v>
      </c>
      <c r="E1666" s="79">
        <v>3.7098</v>
      </c>
      <c r="F1666" s="79">
        <v>3.6882000000000001</v>
      </c>
      <c r="G1666" s="83">
        <f t="shared" si="24"/>
        <v>3.9873555555555567</v>
      </c>
    </row>
    <row r="1667" spans="1:7" x14ac:dyDescent="0.2">
      <c r="A1667" s="75">
        <v>41137</v>
      </c>
      <c r="B1667" s="76" t="s">
        <v>35</v>
      </c>
      <c r="C1667" s="76" t="s">
        <v>536</v>
      </c>
      <c r="D1667" s="79">
        <v>2826.8793970000002</v>
      </c>
      <c r="E1667" s="79">
        <v>3.6888000000000001</v>
      </c>
      <c r="F1667" s="79">
        <v>3.7959999999999998</v>
      </c>
      <c r="G1667" s="83">
        <f t="shared" ref="G1667:G1730" si="25">+AVERAGE(E1605:E1667)</f>
        <v>3.9875492063492071</v>
      </c>
    </row>
    <row r="1668" spans="1:7" x14ac:dyDescent="0.2">
      <c r="A1668" s="75">
        <v>41138</v>
      </c>
      <c r="B1668" s="76" t="s">
        <v>35</v>
      </c>
      <c r="C1668" s="76" t="s">
        <v>536</v>
      </c>
      <c r="D1668" s="79">
        <v>2830.5367209999999</v>
      </c>
      <c r="E1668" s="79">
        <v>3.7965</v>
      </c>
      <c r="F1668" s="79">
        <v>3.7761999999999998</v>
      </c>
      <c r="G1668" s="83">
        <f t="shared" si="25"/>
        <v>3.9899126984126991</v>
      </c>
    </row>
    <row r="1669" spans="1:7" x14ac:dyDescent="0.2">
      <c r="A1669" s="75">
        <v>41141</v>
      </c>
      <c r="B1669" s="76" t="s">
        <v>35</v>
      </c>
      <c r="C1669" s="76" t="s">
        <v>536</v>
      </c>
      <c r="D1669" s="79">
        <v>2819.260068</v>
      </c>
      <c r="E1669" s="79">
        <v>3.7766999999999999</v>
      </c>
      <c r="F1669" s="79">
        <v>3.8662000000000001</v>
      </c>
      <c r="G1669" s="83">
        <f t="shared" si="25"/>
        <v>3.9903317460317473</v>
      </c>
    </row>
    <row r="1670" spans="1:7" x14ac:dyDescent="0.2">
      <c r="A1670" s="75">
        <v>41142</v>
      </c>
      <c r="B1670" s="76" t="s">
        <v>35</v>
      </c>
      <c r="C1670" s="76" t="s">
        <v>536</v>
      </c>
      <c r="D1670" s="79">
        <v>2828.6514099999999</v>
      </c>
      <c r="E1670" s="79">
        <v>3.8668</v>
      </c>
      <c r="F1670" s="79">
        <v>3.8043</v>
      </c>
      <c r="G1670" s="83">
        <f t="shared" si="25"/>
        <v>3.986141269841271</v>
      </c>
    </row>
    <row r="1671" spans="1:7" x14ac:dyDescent="0.2">
      <c r="A1671" s="75">
        <v>41143</v>
      </c>
      <c r="B1671" s="76" t="s">
        <v>35</v>
      </c>
      <c r="C1671" s="76" t="s">
        <v>536</v>
      </c>
      <c r="D1671" s="79">
        <v>2826.9322849999999</v>
      </c>
      <c r="E1671" s="79">
        <v>3.8048000000000002</v>
      </c>
      <c r="F1671" s="79">
        <v>3.8239999999999998</v>
      </c>
      <c r="G1671" s="83">
        <f t="shared" si="25"/>
        <v>3.9814079365079373</v>
      </c>
    </row>
    <row r="1672" spans="1:7" x14ac:dyDescent="0.2">
      <c r="A1672" s="75">
        <v>41144</v>
      </c>
      <c r="B1672" s="76" t="s">
        <v>35</v>
      </c>
      <c r="C1672" s="76" t="s">
        <v>536</v>
      </c>
      <c r="D1672" s="79">
        <v>2825.82377</v>
      </c>
      <c r="E1672" s="79">
        <v>3.8245</v>
      </c>
      <c r="F1672" s="79">
        <v>3.8397999999999999</v>
      </c>
      <c r="G1672" s="83">
        <f t="shared" si="25"/>
        <v>3.9741857142857153</v>
      </c>
    </row>
    <row r="1673" spans="1:7" x14ac:dyDescent="0.2">
      <c r="A1673" s="75">
        <v>41145</v>
      </c>
      <c r="B1673" s="76" t="s">
        <v>35</v>
      </c>
      <c r="C1673" s="76" t="s">
        <v>536</v>
      </c>
      <c r="D1673" s="79">
        <v>2831.2123740000002</v>
      </c>
      <c r="E1673" s="79">
        <v>3.8403999999999998</v>
      </c>
      <c r="F1673" s="79">
        <v>3.8075000000000001</v>
      </c>
      <c r="G1673" s="83">
        <f t="shared" si="25"/>
        <v>3.9682920634920644</v>
      </c>
    </row>
    <row r="1674" spans="1:7" x14ac:dyDescent="0.2">
      <c r="A1674" s="75">
        <v>41148</v>
      </c>
      <c r="B1674" s="76" t="s">
        <v>35</v>
      </c>
      <c r="C1674" s="76" t="s">
        <v>536</v>
      </c>
      <c r="D1674" s="79">
        <v>2839.0001999999999</v>
      </c>
      <c r="E1674" s="79">
        <v>3.8081</v>
      </c>
      <c r="F1674" s="79">
        <v>3.7576999999999998</v>
      </c>
      <c r="G1674" s="83">
        <f t="shared" si="25"/>
        <v>3.9627222222222231</v>
      </c>
    </row>
    <row r="1675" spans="1:7" x14ac:dyDescent="0.2">
      <c r="A1675" s="75">
        <v>41149</v>
      </c>
      <c r="B1675" s="76" t="s">
        <v>35</v>
      </c>
      <c r="C1675" s="76" t="s">
        <v>536</v>
      </c>
      <c r="D1675" s="79">
        <v>2846.9170549999999</v>
      </c>
      <c r="E1675" s="79">
        <v>3.7582</v>
      </c>
      <c r="F1675" s="79">
        <v>3.7069999999999999</v>
      </c>
      <c r="G1675" s="83">
        <f t="shared" si="25"/>
        <v>3.9577698412698421</v>
      </c>
    </row>
    <row r="1676" spans="1:7" x14ac:dyDescent="0.2">
      <c r="A1676" s="75">
        <v>41150</v>
      </c>
      <c r="B1676" s="76" t="s">
        <v>35</v>
      </c>
      <c r="C1676" s="76" t="s">
        <v>536</v>
      </c>
      <c r="D1676" s="79">
        <v>2845.0222290000002</v>
      </c>
      <c r="E1676" s="79">
        <v>3.7075999999999998</v>
      </c>
      <c r="F1676" s="79">
        <v>3.7280000000000002</v>
      </c>
      <c r="G1676" s="83">
        <f t="shared" si="25"/>
        <v>3.9526142857142865</v>
      </c>
    </row>
    <row r="1677" spans="1:7" x14ac:dyDescent="0.2">
      <c r="A1677" s="75">
        <v>41151</v>
      </c>
      <c r="B1677" s="76" t="s">
        <v>35</v>
      </c>
      <c r="C1677" s="76" t="s">
        <v>536</v>
      </c>
      <c r="D1677" s="79">
        <v>2851.1131460000001</v>
      </c>
      <c r="E1677" s="79">
        <v>3.7284999999999999</v>
      </c>
      <c r="F1677" s="79">
        <v>3.6907000000000001</v>
      </c>
      <c r="G1677" s="83">
        <f t="shared" si="25"/>
        <v>3.9468714285714293</v>
      </c>
    </row>
    <row r="1678" spans="1:7" x14ac:dyDescent="0.2">
      <c r="A1678" s="75">
        <v>41152</v>
      </c>
      <c r="B1678" s="76" t="s">
        <v>35</v>
      </c>
      <c r="C1678" s="76" t="s">
        <v>536</v>
      </c>
      <c r="D1678" s="79">
        <v>2860.4672129999999</v>
      </c>
      <c r="E1678" s="79">
        <v>3.6911</v>
      </c>
      <c r="F1678" s="79">
        <v>3.6297000000000001</v>
      </c>
      <c r="G1678" s="83">
        <f t="shared" si="25"/>
        <v>3.9398777777777783</v>
      </c>
    </row>
    <row r="1679" spans="1:7" x14ac:dyDescent="0.2">
      <c r="A1679" s="75">
        <v>41155</v>
      </c>
      <c r="B1679" s="76" t="s">
        <v>35</v>
      </c>
      <c r="C1679" s="76" t="s">
        <v>536</v>
      </c>
      <c r="D1679" s="79">
        <v>2864.6506519999998</v>
      </c>
      <c r="E1679" s="79">
        <v>3.6301000000000001</v>
      </c>
      <c r="F1679" s="79">
        <v>3.6063000000000001</v>
      </c>
      <c r="G1679" s="83">
        <f t="shared" si="25"/>
        <v>3.9271190476190481</v>
      </c>
    </row>
    <row r="1680" spans="1:7" x14ac:dyDescent="0.2">
      <c r="A1680" s="75">
        <v>41156</v>
      </c>
      <c r="B1680" s="76" t="s">
        <v>35</v>
      </c>
      <c r="C1680" s="76" t="s">
        <v>536</v>
      </c>
      <c r="D1680" s="79">
        <v>2867.1508600000002</v>
      </c>
      <c r="E1680" s="79">
        <v>3.6067</v>
      </c>
      <c r="F1680" s="79">
        <v>3.5951</v>
      </c>
      <c r="G1680" s="83">
        <f t="shared" si="25"/>
        <v>3.9142952380952383</v>
      </c>
    </row>
    <row r="1681" spans="1:7" x14ac:dyDescent="0.2">
      <c r="A1681" s="75">
        <v>41157</v>
      </c>
      <c r="B1681" s="76" t="s">
        <v>35</v>
      </c>
      <c r="C1681" s="76" t="s">
        <v>536</v>
      </c>
      <c r="D1681" s="79">
        <v>2872.9237830000002</v>
      </c>
      <c r="E1681" s="79">
        <v>3.5956000000000001</v>
      </c>
      <c r="F1681" s="79">
        <v>3.5646</v>
      </c>
      <c r="G1681" s="83">
        <f t="shared" si="25"/>
        <v>3.900953968253968</v>
      </c>
    </row>
    <row r="1682" spans="1:7" x14ac:dyDescent="0.2">
      <c r="A1682" s="75">
        <v>41158</v>
      </c>
      <c r="B1682" s="76" t="s">
        <v>35</v>
      </c>
      <c r="C1682" s="76" t="s">
        <v>536</v>
      </c>
      <c r="D1682" s="79">
        <v>2867.8344950000001</v>
      </c>
      <c r="E1682" s="79">
        <v>3.5651000000000002</v>
      </c>
      <c r="F1682" s="79">
        <v>3.6086</v>
      </c>
      <c r="G1682" s="83">
        <f t="shared" si="25"/>
        <v>3.8892063492063498</v>
      </c>
    </row>
    <row r="1683" spans="1:7" x14ac:dyDescent="0.2">
      <c r="A1683" s="75">
        <v>41162</v>
      </c>
      <c r="B1683" s="76" t="s">
        <v>35</v>
      </c>
      <c r="C1683" s="76" t="s">
        <v>536</v>
      </c>
      <c r="D1683" s="79">
        <v>2863.0927670000001</v>
      </c>
      <c r="E1683" s="79">
        <v>3.609</v>
      </c>
      <c r="F1683" s="79">
        <v>3.6501000000000001</v>
      </c>
      <c r="G1683" s="83">
        <f t="shared" si="25"/>
        <v>3.8761015873015872</v>
      </c>
    </row>
    <row r="1684" spans="1:7" x14ac:dyDescent="0.2">
      <c r="A1684" s="75">
        <v>41163</v>
      </c>
      <c r="B1684" s="76" t="s">
        <v>35</v>
      </c>
      <c r="C1684" s="76" t="s">
        <v>536</v>
      </c>
      <c r="D1684" s="79">
        <v>2867.140868</v>
      </c>
      <c r="E1684" s="79">
        <v>3.6505999999999998</v>
      </c>
      <c r="F1684" s="79">
        <v>3.6280999999999999</v>
      </c>
      <c r="G1684" s="83">
        <f t="shared" si="25"/>
        <v>3.8641158730158733</v>
      </c>
    </row>
    <row r="1685" spans="1:7" x14ac:dyDescent="0.2">
      <c r="A1685" s="75">
        <v>41164</v>
      </c>
      <c r="B1685" s="76" t="s">
        <v>35</v>
      </c>
      <c r="C1685" s="76" t="s">
        <v>536</v>
      </c>
      <c r="D1685" s="79">
        <v>2873.7834069999999</v>
      </c>
      <c r="E1685" s="79">
        <v>3.6286</v>
      </c>
      <c r="F1685" s="79">
        <v>3.5874000000000001</v>
      </c>
      <c r="G1685" s="83">
        <f t="shared" si="25"/>
        <v>3.852385714285715</v>
      </c>
    </row>
    <row r="1686" spans="1:7" x14ac:dyDescent="0.2">
      <c r="A1686" s="75">
        <v>41165</v>
      </c>
      <c r="B1686" s="76" t="s">
        <v>35</v>
      </c>
      <c r="C1686" s="76" t="s">
        <v>536</v>
      </c>
      <c r="D1686" s="79">
        <v>2875.1221249999999</v>
      </c>
      <c r="E1686" s="79">
        <v>3.5880000000000001</v>
      </c>
      <c r="F1686" s="79">
        <v>3.5851000000000002</v>
      </c>
      <c r="G1686" s="83">
        <f t="shared" si="25"/>
        <v>3.840525396825397</v>
      </c>
    </row>
    <row r="1687" spans="1:7" x14ac:dyDescent="0.2">
      <c r="A1687" s="75">
        <v>41166</v>
      </c>
      <c r="B1687" s="76" t="s">
        <v>35</v>
      </c>
      <c r="C1687" s="76" t="s">
        <v>536</v>
      </c>
      <c r="D1687" s="79">
        <v>2873.5494899999999</v>
      </c>
      <c r="E1687" s="79">
        <v>3.5857000000000001</v>
      </c>
      <c r="F1687" s="79">
        <v>3.6038000000000001</v>
      </c>
      <c r="G1687" s="83">
        <f t="shared" si="25"/>
        <v>3.8273460317460319</v>
      </c>
    </row>
    <row r="1688" spans="1:7" x14ac:dyDescent="0.2">
      <c r="A1688" s="75">
        <v>41169</v>
      </c>
      <c r="B1688" s="76" t="s">
        <v>35</v>
      </c>
      <c r="C1688" s="76" t="s">
        <v>536</v>
      </c>
      <c r="D1688" s="79">
        <v>2880.4000740000001</v>
      </c>
      <c r="E1688" s="79">
        <v>3.6044</v>
      </c>
      <c r="F1688" s="79">
        <v>3.5617999999999999</v>
      </c>
      <c r="G1688" s="83">
        <f t="shared" si="25"/>
        <v>3.8149492063492065</v>
      </c>
    </row>
    <row r="1689" spans="1:7" x14ac:dyDescent="0.2">
      <c r="A1689" s="75">
        <v>41170</v>
      </c>
      <c r="B1689" s="76" t="s">
        <v>35</v>
      </c>
      <c r="C1689" s="76" t="s">
        <v>536</v>
      </c>
      <c r="D1689" s="79">
        <v>2878.9282429999998</v>
      </c>
      <c r="E1689" s="79">
        <v>3.5623</v>
      </c>
      <c r="F1689" s="79">
        <v>3.581</v>
      </c>
      <c r="G1689" s="83">
        <f t="shared" si="25"/>
        <v>3.8029111111111114</v>
      </c>
    </row>
    <row r="1690" spans="1:7" x14ac:dyDescent="0.2">
      <c r="A1690" s="75">
        <v>41171</v>
      </c>
      <c r="B1690" s="76" t="s">
        <v>35</v>
      </c>
      <c r="C1690" s="76" t="s">
        <v>536</v>
      </c>
      <c r="D1690" s="79">
        <v>2878.7228399999999</v>
      </c>
      <c r="E1690" s="79">
        <v>3.5815000000000001</v>
      </c>
      <c r="F1690" s="79">
        <v>3.5911</v>
      </c>
      <c r="G1690" s="83">
        <f t="shared" si="25"/>
        <v>3.7917555555555555</v>
      </c>
    </row>
    <row r="1691" spans="1:7" x14ac:dyDescent="0.2">
      <c r="A1691" s="75">
        <v>41172</v>
      </c>
      <c r="B1691" s="76" t="s">
        <v>35</v>
      </c>
      <c r="C1691" s="76" t="s">
        <v>536</v>
      </c>
      <c r="D1691" s="79">
        <v>2885.984543</v>
      </c>
      <c r="E1691" s="79">
        <v>3.5916999999999999</v>
      </c>
      <c r="F1691" s="79">
        <v>3.5476000000000001</v>
      </c>
      <c r="G1691" s="83">
        <f t="shared" si="25"/>
        <v>3.7816063492063492</v>
      </c>
    </row>
    <row r="1692" spans="1:7" x14ac:dyDescent="0.2">
      <c r="A1692" s="75">
        <v>41173</v>
      </c>
      <c r="B1692" s="76" t="s">
        <v>35</v>
      </c>
      <c r="C1692" s="76" t="s">
        <v>536</v>
      </c>
      <c r="D1692" s="79">
        <v>2890.3737940000001</v>
      </c>
      <c r="E1692" s="79">
        <v>3.5482</v>
      </c>
      <c r="F1692" s="79">
        <v>3.5274000000000001</v>
      </c>
      <c r="G1692" s="83">
        <f t="shared" si="25"/>
        <v>3.7706761904761907</v>
      </c>
    </row>
    <row r="1693" spans="1:7" x14ac:dyDescent="0.2">
      <c r="A1693" s="75">
        <v>41176</v>
      </c>
      <c r="B1693" s="76" t="s">
        <v>35</v>
      </c>
      <c r="C1693" s="76" t="s">
        <v>536</v>
      </c>
      <c r="D1693" s="79">
        <v>2898.550209</v>
      </c>
      <c r="E1693" s="79">
        <v>3.5280999999999998</v>
      </c>
      <c r="F1693" s="79">
        <v>3.4782999999999999</v>
      </c>
      <c r="G1693" s="83">
        <f t="shared" si="25"/>
        <v>3.7605063492063495</v>
      </c>
    </row>
    <row r="1694" spans="1:7" x14ac:dyDescent="0.2">
      <c r="A1694" s="75">
        <v>41177</v>
      </c>
      <c r="B1694" s="76" t="s">
        <v>35</v>
      </c>
      <c r="C1694" s="76" t="s">
        <v>536</v>
      </c>
      <c r="D1694" s="79">
        <v>2909.487087</v>
      </c>
      <c r="E1694" s="79">
        <v>3.4790000000000001</v>
      </c>
      <c r="F1694" s="79">
        <v>3.4097</v>
      </c>
      <c r="G1694" s="83">
        <f t="shared" si="25"/>
        <v>3.749512698412699</v>
      </c>
    </row>
    <row r="1695" spans="1:7" x14ac:dyDescent="0.2">
      <c r="A1695" s="75">
        <v>41178</v>
      </c>
      <c r="B1695" s="76" t="s">
        <v>35</v>
      </c>
      <c r="C1695" s="76" t="s">
        <v>536</v>
      </c>
      <c r="D1695" s="79">
        <v>2908.394076</v>
      </c>
      <c r="E1695" s="79">
        <v>3.4104000000000001</v>
      </c>
      <c r="F1695" s="79">
        <v>3.4268000000000001</v>
      </c>
      <c r="G1695" s="83">
        <f t="shared" si="25"/>
        <v>3.7370238095238095</v>
      </c>
    </row>
    <row r="1696" spans="1:7" x14ac:dyDescent="0.2">
      <c r="A1696" s="75">
        <v>41179</v>
      </c>
      <c r="B1696" s="76" t="s">
        <v>35</v>
      </c>
      <c r="C1696" s="76" t="s">
        <v>536</v>
      </c>
      <c r="D1696" s="79">
        <v>2911.5339159999999</v>
      </c>
      <c r="E1696" s="79">
        <v>3.4275000000000002</v>
      </c>
      <c r="F1696" s="79">
        <v>3.4138000000000002</v>
      </c>
      <c r="G1696" s="83">
        <f t="shared" si="25"/>
        <v>3.7245206349206352</v>
      </c>
    </row>
    <row r="1697" spans="1:7" x14ac:dyDescent="0.2">
      <c r="A1697" s="75">
        <v>41180</v>
      </c>
      <c r="B1697" s="76" t="s">
        <v>35</v>
      </c>
      <c r="C1697" s="76" t="s">
        <v>536</v>
      </c>
      <c r="D1697" s="79">
        <v>2916.7188110000002</v>
      </c>
      <c r="E1697" s="79">
        <v>3.4144999999999999</v>
      </c>
      <c r="F1697" s="79">
        <v>3.3862999999999999</v>
      </c>
      <c r="G1697" s="83">
        <f t="shared" si="25"/>
        <v>3.7129079365079374</v>
      </c>
    </row>
    <row r="1698" spans="1:7" x14ac:dyDescent="0.2">
      <c r="A1698" s="75">
        <v>41183</v>
      </c>
      <c r="B1698" s="76" t="s">
        <v>35</v>
      </c>
      <c r="C1698" s="76" t="s">
        <v>536</v>
      </c>
      <c r="D1698" s="79">
        <v>2922.7160869999998</v>
      </c>
      <c r="E1698" s="79">
        <v>3.3868999999999998</v>
      </c>
      <c r="F1698" s="79">
        <v>3.3530000000000002</v>
      </c>
      <c r="G1698" s="83">
        <f t="shared" si="25"/>
        <v>3.7017857142857147</v>
      </c>
    </row>
    <row r="1699" spans="1:7" x14ac:dyDescent="0.2">
      <c r="A1699" s="75">
        <v>41184</v>
      </c>
      <c r="B1699" s="76" t="s">
        <v>35</v>
      </c>
      <c r="C1699" s="76" t="s">
        <v>536</v>
      </c>
      <c r="D1699" s="79">
        <v>2930.763661</v>
      </c>
      <c r="E1699" s="79">
        <v>3.3536999999999999</v>
      </c>
      <c r="F1699" s="79">
        <v>3.3054000000000001</v>
      </c>
      <c r="G1699" s="83">
        <f t="shared" si="25"/>
        <v>3.690320634920635</v>
      </c>
    </row>
    <row r="1700" spans="1:7" x14ac:dyDescent="0.2">
      <c r="A1700" s="75">
        <v>41185</v>
      </c>
      <c r="B1700" s="76" t="s">
        <v>35</v>
      </c>
      <c r="C1700" s="76" t="s">
        <v>536</v>
      </c>
      <c r="D1700" s="79">
        <v>2934.5691200000001</v>
      </c>
      <c r="E1700" s="79">
        <v>3.3060999999999998</v>
      </c>
      <c r="F1700" s="79">
        <v>3.2877999999999998</v>
      </c>
      <c r="G1700" s="83">
        <f t="shared" si="25"/>
        <v>3.6771317460317459</v>
      </c>
    </row>
    <row r="1701" spans="1:7" x14ac:dyDescent="0.2">
      <c r="A1701" s="75">
        <v>41186</v>
      </c>
      <c r="B1701" s="76" t="s">
        <v>35</v>
      </c>
      <c r="C1701" s="76" t="s">
        <v>536</v>
      </c>
      <c r="D1701" s="79">
        <v>2941.421961</v>
      </c>
      <c r="E1701" s="79">
        <v>3.2886000000000002</v>
      </c>
      <c r="F1701" s="79">
        <v>3.2488999999999999</v>
      </c>
      <c r="G1701" s="83">
        <f t="shared" si="25"/>
        <v>3.6624555555555562</v>
      </c>
    </row>
    <row r="1702" spans="1:7" x14ac:dyDescent="0.2">
      <c r="A1702" s="75">
        <v>41187</v>
      </c>
      <c r="B1702" s="76" t="s">
        <v>35</v>
      </c>
      <c r="C1702" s="76" t="s">
        <v>536</v>
      </c>
      <c r="D1702" s="79">
        <v>2977.3504619999999</v>
      </c>
      <c r="E1702" s="79">
        <v>3.2496999999999998</v>
      </c>
      <c r="F1702" s="79">
        <v>3.0121000000000002</v>
      </c>
      <c r="G1702" s="83">
        <f t="shared" si="25"/>
        <v>3.648196825396826</v>
      </c>
    </row>
    <row r="1703" spans="1:7" x14ac:dyDescent="0.2">
      <c r="A1703" s="75">
        <v>41190</v>
      </c>
      <c r="B1703" s="76" t="s">
        <v>35</v>
      </c>
      <c r="C1703" s="76" t="s">
        <v>536</v>
      </c>
      <c r="D1703" s="79">
        <v>2967.2060929999998</v>
      </c>
      <c r="E1703" s="79">
        <v>3.0129000000000001</v>
      </c>
      <c r="F1703" s="79">
        <v>3.0918999999999999</v>
      </c>
      <c r="G1703" s="83">
        <f t="shared" si="25"/>
        <v>3.6299603174603181</v>
      </c>
    </row>
    <row r="1704" spans="1:7" x14ac:dyDescent="0.2">
      <c r="A1704" s="75">
        <v>41191</v>
      </c>
      <c r="B1704" s="76" t="s">
        <v>35</v>
      </c>
      <c r="C1704" s="76" t="s">
        <v>536</v>
      </c>
      <c r="D1704" s="79">
        <v>2972.2101739999998</v>
      </c>
      <c r="E1704" s="79">
        <v>3.0926999999999998</v>
      </c>
      <c r="F1704" s="79">
        <v>3.0666000000000002</v>
      </c>
      <c r="G1704" s="83">
        <f t="shared" si="25"/>
        <v>3.6144015873015878</v>
      </c>
    </row>
    <row r="1705" spans="1:7" x14ac:dyDescent="0.2">
      <c r="A1705" s="75">
        <v>41192</v>
      </c>
      <c r="B1705" s="76" t="s">
        <v>35</v>
      </c>
      <c r="C1705" s="76" t="s">
        <v>536</v>
      </c>
      <c r="D1705" s="79">
        <v>2974.3786110000001</v>
      </c>
      <c r="E1705" s="79">
        <v>3.0674999999999999</v>
      </c>
      <c r="F1705" s="79">
        <v>3.0611000000000002</v>
      </c>
      <c r="G1705" s="83">
        <f t="shared" si="25"/>
        <v>3.6002476190476198</v>
      </c>
    </row>
    <row r="1706" spans="1:7" x14ac:dyDescent="0.2">
      <c r="A1706" s="75">
        <v>41193</v>
      </c>
      <c r="B1706" s="76" t="s">
        <v>35</v>
      </c>
      <c r="C1706" s="76" t="s">
        <v>536</v>
      </c>
      <c r="D1706" s="79">
        <v>2985.5977050000001</v>
      </c>
      <c r="E1706" s="79">
        <v>3.0619000000000001</v>
      </c>
      <c r="F1706" s="79">
        <v>2.9929000000000001</v>
      </c>
      <c r="G1706" s="83">
        <f t="shared" si="25"/>
        <v>3.5856492063492071</v>
      </c>
    </row>
    <row r="1707" spans="1:7" x14ac:dyDescent="0.2">
      <c r="A1707" s="75">
        <v>41197</v>
      </c>
      <c r="B1707" s="76" t="s">
        <v>35</v>
      </c>
      <c r="C1707" s="76" t="s">
        <v>536</v>
      </c>
      <c r="D1707" s="79">
        <v>2985.5370050000001</v>
      </c>
      <c r="E1707" s="79">
        <v>2.9937</v>
      </c>
      <c r="F1707" s="79">
        <v>3.0026999999999999</v>
      </c>
      <c r="G1707" s="83">
        <f t="shared" si="25"/>
        <v>3.5711603174603179</v>
      </c>
    </row>
    <row r="1708" spans="1:7" x14ac:dyDescent="0.2">
      <c r="A1708" s="75">
        <v>41198</v>
      </c>
      <c r="B1708" s="76" t="s">
        <v>35</v>
      </c>
      <c r="C1708" s="76" t="s">
        <v>536</v>
      </c>
      <c r="D1708" s="79">
        <v>2988.5770069999999</v>
      </c>
      <c r="E1708" s="79">
        <v>3.0034999999999998</v>
      </c>
      <c r="F1708" s="79">
        <v>2.9897999999999998</v>
      </c>
      <c r="G1708" s="83">
        <f t="shared" si="25"/>
        <v>3.5591047619047624</v>
      </c>
    </row>
    <row r="1709" spans="1:7" x14ac:dyDescent="0.2">
      <c r="A1709" s="75">
        <v>41199</v>
      </c>
      <c r="B1709" s="76" t="s">
        <v>35</v>
      </c>
      <c r="C1709" s="76" t="s">
        <v>536</v>
      </c>
      <c r="D1709" s="79">
        <v>2978.4314490000002</v>
      </c>
      <c r="E1709" s="79">
        <v>2.9904999999999999</v>
      </c>
      <c r="F1709" s="79">
        <v>3.0678999999999998</v>
      </c>
      <c r="G1709" s="83">
        <f t="shared" si="25"/>
        <v>3.5467063492063495</v>
      </c>
    </row>
    <row r="1710" spans="1:7" x14ac:dyDescent="0.2">
      <c r="A1710" s="75">
        <v>41200</v>
      </c>
      <c r="B1710" s="76" t="s">
        <v>35</v>
      </c>
      <c r="C1710" s="76" t="s">
        <v>536</v>
      </c>
      <c r="D1710" s="79">
        <v>2987.4760860000001</v>
      </c>
      <c r="E1710" s="79">
        <v>3.0686</v>
      </c>
      <c r="F1710" s="79">
        <v>3.0133999999999999</v>
      </c>
      <c r="G1710" s="83">
        <f t="shared" si="25"/>
        <v>3.5362857142857149</v>
      </c>
    </row>
    <row r="1711" spans="1:7" x14ac:dyDescent="0.2">
      <c r="A1711" s="75">
        <v>41201</v>
      </c>
      <c r="B1711" s="76" t="s">
        <v>35</v>
      </c>
      <c r="C1711" s="76" t="s">
        <v>536</v>
      </c>
      <c r="D1711" s="79">
        <v>2994.554881</v>
      </c>
      <c r="E1711" s="79">
        <v>3.0142000000000002</v>
      </c>
      <c r="F1711" s="79">
        <v>2.9727000000000001</v>
      </c>
      <c r="G1711" s="83">
        <f t="shared" si="25"/>
        <v>3.52584126984127</v>
      </c>
    </row>
    <row r="1712" spans="1:7" x14ac:dyDescent="0.2">
      <c r="A1712" s="75">
        <v>41204</v>
      </c>
      <c r="B1712" s="76" t="s">
        <v>35</v>
      </c>
      <c r="C1712" s="76" t="s">
        <v>536</v>
      </c>
      <c r="D1712" s="79">
        <v>3001.239384</v>
      </c>
      <c r="E1712" s="79">
        <v>2.9735</v>
      </c>
      <c r="F1712" s="79">
        <v>2.9376000000000002</v>
      </c>
      <c r="G1712" s="83">
        <f t="shared" si="25"/>
        <v>3.5165888888888892</v>
      </c>
    </row>
    <row r="1713" spans="1:7" x14ac:dyDescent="0.2">
      <c r="A1713" s="75">
        <v>41205</v>
      </c>
      <c r="B1713" s="76" t="s">
        <v>35</v>
      </c>
      <c r="C1713" s="76" t="s">
        <v>536</v>
      </c>
      <c r="D1713" s="79">
        <v>3006.6028449999999</v>
      </c>
      <c r="E1713" s="79">
        <v>2.9384000000000001</v>
      </c>
      <c r="F1713" s="79">
        <v>2.9094000000000002</v>
      </c>
      <c r="G1713" s="83">
        <f t="shared" si="25"/>
        <v>3.5073555555555558</v>
      </c>
    </row>
    <row r="1714" spans="1:7" x14ac:dyDescent="0.2">
      <c r="A1714" s="75">
        <v>41206</v>
      </c>
      <c r="B1714" s="76" t="s">
        <v>35</v>
      </c>
      <c r="C1714" s="76" t="s">
        <v>536</v>
      </c>
      <c r="D1714" s="79">
        <v>3005.721438</v>
      </c>
      <c r="E1714" s="79">
        <v>2.9102000000000001</v>
      </c>
      <c r="F1714" s="79">
        <v>2.9239999999999999</v>
      </c>
      <c r="G1714" s="83">
        <f t="shared" si="25"/>
        <v>3.4965952380952388</v>
      </c>
    </row>
    <row r="1715" spans="1:7" x14ac:dyDescent="0.2">
      <c r="A1715" s="75">
        <v>41207</v>
      </c>
      <c r="B1715" s="76" t="s">
        <v>35</v>
      </c>
      <c r="C1715" s="76" t="s">
        <v>536</v>
      </c>
      <c r="D1715" s="79">
        <v>3002.2040019999999</v>
      </c>
      <c r="E1715" s="79">
        <v>2.9247999999999998</v>
      </c>
      <c r="F1715" s="79">
        <v>2.9567000000000001</v>
      </c>
      <c r="G1715" s="83">
        <f t="shared" si="25"/>
        <v>3.4864857142857146</v>
      </c>
    </row>
    <row r="1716" spans="1:7" x14ac:dyDescent="0.2">
      <c r="A1716" s="75">
        <v>41208</v>
      </c>
      <c r="B1716" s="76" t="s">
        <v>35</v>
      </c>
      <c r="C1716" s="76" t="s">
        <v>536</v>
      </c>
      <c r="D1716" s="79">
        <v>3005.2943</v>
      </c>
      <c r="E1716" s="79">
        <v>2.9575</v>
      </c>
      <c r="F1716" s="79">
        <v>2.9441000000000002</v>
      </c>
      <c r="G1716" s="83">
        <f t="shared" si="25"/>
        <v>3.4762142857142866</v>
      </c>
    </row>
    <row r="1717" spans="1:7" x14ac:dyDescent="0.2">
      <c r="A1717" s="75">
        <v>41211</v>
      </c>
      <c r="B1717" s="76" t="s">
        <v>35</v>
      </c>
      <c r="C1717" s="76" t="s">
        <v>536</v>
      </c>
      <c r="D1717" s="79">
        <v>3006.9705680000002</v>
      </c>
      <c r="E1717" s="79">
        <v>2.9449000000000001</v>
      </c>
      <c r="F1717" s="79">
        <v>2.9411999999999998</v>
      </c>
      <c r="G1717" s="83">
        <f t="shared" si="25"/>
        <v>3.4637968253968259</v>
      </c>
    </row>
    <row r="1718" spans="1:7" x14ac:dyDescent="0.2">
      <c r="A1718" s="75">
        <v>41212</v>
      </c>
      <c r="B1718" s="76" t="s">
        <v>35</v>
      </c>
      <c r="C1718" s="76" t="s">
        <v>536</v>
      </c>
      <c r="D1718" s="79">
        <v>3009.26082</v>
      </c>
      <c r="E1718" s="79">
        <v>2.9420000000000002</v>
      </c>
      <c r="F1718" s="79">
        <v>2.9340999999999999</v>
      </c>
      <c r="G1718" s="83">
        <f t="shared" si="25"/>
        <v>3.4513380952380959</v>
      </c>
    </row>
    <row r="1719" spans="1:7" x14ac:dyDescent="0.2">
      <c r="A1719" s="75">
        <v>41213</v>
      </c>
      <c r="B1719" s="76" t="s">
        <v>35</v>
      </c>
      <c r="C1719" s="76" t="s">
        <v>536</v>
      </c>
      <c r="D1719" s="79">
        <v>3013.014291</v>
      </c>
      <c r="E1719" s="79">
        <v>2.9348999999999998</v>
      </c>
      <c r="F1719" s="79">
        <v>2.9169999999999998</v>
      </c>
      <c r="G1719" s="83">
        <f t="shared" si="25"/>
        <v>3.439201587301588</v>
      </c>
    </row>
    <row r="1720" spans="1:7" x14ac:dyDescent="0.2">
      <c r="A1720" s="75">
        <v>41214</v>
      </c>
      <c r="B1720" s="76" t="s">
        <v>35</v>
      </c>
      <c r="C1720" s="76" t="s">
        <v>536</v>
      </c>
      <c r="D1720" s="79">
        <v>3012.716895</v>
      </c>
      <c r="E1720" s="79">
        <v>2.9177</v>
      </c>
      <c r="F1720" s="79">
        <v>2.9275000000000002</v>
      </c>
      <c r="G1720" s="83">
        <f t="shared" si="25"/>
        <v>3.4277539682539686</v>
      </c>
    </row>
    <row r="1721" spans="1:7" x14ac:dyDescent="0.2">
      <c r="A1721" s="75">
        <v>41218</v>
      </c>
      <c r="B1721" s="76" t="s">
        <v>35</v>
      </c>
      <c r="C1721" s="76" t="s">
        <v>536</v>
      </c>
      <c r="D1721" s="79">
        <v>3015.8883689999998</v>
      </c>
      <c r="E1721" s="79">
        <v>2.9281999999999999</v>
      </c>
      <c r="F1721" s="79">
        <v>2.9142999999999999</v>
      </c>
      <c r="G1721" s="83">
        <f t="shared" si="25"/>
        <v>3.4166761904761911</v>
      </c>
    </row>
    <row r="1722" spans="1:7" x14ac:dyDescent="0.2">
      <c r="A1722" s="75">
        <v>41219</v>
      </c>
      <c r="B1722" s="76" t="s">
        <v>35</v>
      </c>
      <c r="C1722" s="76" t="s">
        <v>536</v>
      </c>
      <c r="D1722" s="79">
        <v>3013.8782930000002</v>
      </c>
      <c r="E1722" s="79">
        <v>2.915</v>
      </c>
      <c r="F1722" s="79">
        <v>2.9365000000000001</v>
      </c>
      <c r="G1722" s="83">
        <f t="shared" si="25"/>
        <v>3.4049968253968257</v>
      </c>
    </row>
    <row r="1723" spans="1:7" x14ac:dyDescent="0.2">
      <c r="A1723" s="75">
        <v>41220</v>
      </c>
      <c r="B1723" s="76" t="s">
        <v>35</v>
      </c>
      <c r="C1723" s="76" t="s">
        <v>536</v>
      </c>
      <c r="D1723" s="79">
        <v>3017.3437760000002</v>
      </c>
      <c r="E1723" s="79">
        <v>2.9373</v>
      </c>
      <c r="F1723" s="79">
        <v>2.9228999999999998</v>
      </c>
      <c r="G1723" s="83">
        <f t="shared" si="25"/>
        <v>3.3939809523809519</v>
      </c>
    </row>
    <row r="1724" spans="1:7" x14ac:dyDescent="0.2">
      <c r="A1724" s="75">
        <v>41221</v>
      </c>
      <c r="B1724" s="76" t="s">
        <v>35</v>
      </c>
      <c r="C1724" s="76" t="s">
        <v>536</v>
      </c>
      <c r="D1724" s="79">
        <v>3016.1965679999998</v>
      </c>
      <c r="E1724" s="79">
        <v>2.9237000000000002</v>
      </c>
      <c r="F1724" s="79">
        <v>2.9394</v>
      </c>
      <c r="G1724" s="83">
        <f t="shared" si="25"/>
        <v>3.3833317460317454</v>
      </c>
    </row>
    <row r="1725" spans="1:7" x14ac:dyDescent="0.2">
      <c r="A1725" s="75">
        <v>41222</v>
      </c>
      <c r="B1725" s="76" t="s">
        <v>35</v>
      </c>
      <c r="C1725" s="76" t="s">
        <v>536</v>
      </c>
      <c r="D1725" s="79">
        <v>3012.8876369999998</v>
      </c>
      <c r="E1725" s="79">
        <v>2.9401000000000002</v>
      </c>
      <c r="F1725" s="79">
        <v>2.9706000000000001</v>
      </c>
      <c r="G1725" s="83">
        <f t="shared" si="25"/>
        <v>3.3734634920634914</v>
      </c>
    </row>
    <row r="1726" spans="1:7" x14ac:dyDescent="0.2">
      <c r="A1726" s="75">
        <v>41225</v>
      </c>
      <c r="B1726" s="76" t="s">
        <v>35</v>
      </c>
      <c r="C1726" s="76" t="s">
        <v>536</v>
      </c>
      <c r="D1726" s="79">
        <v>3008.0258450000001</v>
      </c>
      <c r="E1726" s="79">
        <v>2.9714</v>
      </c>
      <c r="F1726" s="79">
        <v>3.0125999999999999</v>
      </c>
      <c r="G1726" s="83">
        <f t="shared" si="25"/>
        <v>3.3636634920634911</v>
      </c>
    </row>
    <row r="1727" spans="1:7" x14ac:dyDescent="0.2">
      <c r="A1727" s="75">
        <v>41226</v>
      </c>
      <c r="B1727" s="76" t="s">
        <v>35</v>
      </c>
      <c r="C1727" s="76" t="s">
        <v>536</v>
      </c>
      <c r="D1727" s="79">
        <v>2998.8733750000001</v>
      </c>
      <c r="E1727" s="79">
        <v>3.0133999999999999</v>
      </c>
      <c r="F1727" s="79">
        <v>3.0842000000000001</v>
      </c>
      <c r="G1727" s="83">
        <f t="shared" si="25"/>
        <v>3.3531031746031736</v>
      </c>
    </row>
    <row r="1728" spans="1:7" x14ac:dyDescent="0.2">
      <c r="A1728" s="75">
        <v>41227</v>
      </c>
      <c r="B1728" s="76" t="s">
        <v>35</v>
      </c>
      <c r="C1728" s="76" t="s">
        <v>536</v>
      </c>
      <c r="D1728" s="79">
        <v>2983.6466049999999</v>
      </c>
      <c r="E1728" s="79">
        <v>3.085</v>
      </c>
      <c r="F1728" s="79">
        <v>3.1981000000000002</v>
      </c>
      <c r="G1728" s="83">
        <f t="shared" si="25"/>
        <v>3.3437666666666654</v>
      </c>
    </row>
    <row r="1729" spans="1:7" x14ac:dyDescent="0.2">
      <c r="A1729" s="75">
        <v>41229</v>
      </c>
      <c r="B1729" s="76" t="s">
        <v>35</v>
      </c>
      <c r="C1729" s="76" t="s">
        <v>536</v>
      </c>
      <c r="D1729" s="79">
        <v>2994.691945</v>
      </c>
      <c r="E1729" s="79">
        <v>3.1989000000000001</v>
      </c>
      <c r="F1729" s="79">
        <v>3.1307</v>
      </c>
      <c r="G1729" s="83">
        <f t="shared" si="25"/>
        <v>3.3356571428571424</v>
      </c>
    </row>
    <row r="1730" spans="1:7" x14ac:dyDescent="0.2">
      <c r="A1730" s="75">
        <v>41232</v>
      </c>
      <c r="B1730" s="76" t="s">
        <v>35</v>
      </c>
      <c r="C1730" s="76" t="s">
        <v>536</v>
      </c>
      <c r="D1730" s="79">
        <v>3000.113468</v>
      </c>
      <c r="E1730" s="79">
        <v>3.1315</v>
      </c>
      <c r="F1730" s="79">
        <v>3.1013999999999999</v>
      </c>
      <c r="G1730" s="83">
        <f t="shared" si="25"/>
        <v>3.3268111111111103</v>
      </c>
    </row>
    <row r="1731" spans="1:7" x14ac:dyDescent="0.2">
      <c r="A1731" s="75">
        <v>41233</v>
      </c>
      <c r="B1731" s="76" t="s">
        <v>35</v>
      </c>
      <c r="C1731" s="76" t="s">
        <v>536</v>
      </c>
      <c r="D1731" s="79">
        <v>3001.1760039999999</v>
      </c>
      <c r="E1731" s="79">
        <v>3.1021999999999998</v>
      </c>
      <c r="F1731" s="79">
        <v>3.1021000000000001</v>
      </c>
      <c r="G1731" s="83">
        <f t="shared" ref="G1731:G1794" si="26">+AVERAGE(E1669:E1731)</f>
        <v>3.3157904761904757</v>
      </c>
    </row>
    <row r="1732" spans="1:7" x14ac:dyDescent="0.2">
      <c r="A1732" s="75">
        <v>41234</v>
      </c>
      <c r="B1732" s="76" t="s">
        <v>35</v>
      </c>
      <c r="C1732" s="76" t="s">
        <v>536</v>
      </c>
      <c r="D1732" s="79">
        <v>2997.283081</v>
      </c>
      <c r="E1732" s="79">
        <v>3.1029</v>
      </c>
      <c r="F1732" s="79">
        <v>3.1368999999999998</v>
      </c>
      <c r="G1732" s="83">
        <f t="shared" si="26"/>
        <v>3.3050952380952379</v>
      </c>
    </row>
    <row r="1733" spans="1:7" x14ac:dyDescent="0.2">
      <c r="A1733" s="75">
        <v>41235</v>
      </c>
      <c r="B1733" s="76" t="s">
        <v>35</v>
      </c>
      <c r="C1733" s="76" t="s">
        <v>536</v>
      </c>
      <c r="D1733" s="79">
        <v>2997.041874</v>
      </c>
      <c r="E1733" s="79">
        <v>3.1377000000000002</v>
      </c>
      <c r="F1733" s="79">
        <v>3.1465999999999998</v>
      </c>
      <c r="G1733" s="83">
        <f t="shared" si="26"/>
        <v>3.2935222222222214</v>
      </c>
    </row>
    <row r="1734" spans="1:7" x14ac:dyDescent="0.2">
      <c r="A1734" s="75">
        <v>41236</v>
      </c>
      <c r="B1734" s="76" t="s">
        <v>35</v>
      </c>
      <c r="C1734" s="76" t="s">
        <v>536</v>
      </c>
      <c r="D1734" s="79">
        <v>3002.9036599999999</v>
      </c>
      <c r="E1734" s="79">
        <v>3.1473</v>
      </c>
      <c r="F1734" s="79">
        <v>3.1147</v>
      </c>
      <c r="G1734" s="83">
        <f t="shared" si="26"/>
        <v>3.2830857142857135</v>
      </c>
    </row>
    <row r="1735" spans="1:7" x14ac:dyDescent="0.2">
      <c r="A1735" s="75">
        <v>41239</v>
      </c>
      <c r="B1735" s="76" t="s">
        <v>35</v>
      </c>
      <c r="C1735" s="76" t="s">
        <v>536</v>
      </c>
      <c r="D1735" s="79">
        <v>3008.775983</v>
      </c>
      <c r="E1735" s="79">
        <v>3.1154000000000002</v>
      </c>
      <c r="F1735" s="79">
        <v>3.0823999999999998</v>
      </c>
      <c r="G1735" s="83">
        <f t="shared" si="26"/>
        <v>3.2718301587301579</v>
      </c>
    </row>
    <row r="1736" spans="1:7" x14ac:dyDescent="0.2">
      <c r="A1736" s="75">
        <v>41240</v>
      </c>
      <c r="B1736" s="76" t="s">
        <v>35</v>
      </c>
      <c r="C1736" s="76" t="s">
        <v>536</v>
      </c>
      <c r="D1736" s="79">
        <v>3018.738601</v>
      </c>
      <c r="E1736" s="79">
        <v>3.0832000000000002</v>
      </c>
      <c r="F1736" s="79">
        <v>3.0223</v>
      </c>
      <c r="G1736" s="83">
        <f t="shared" si="26"/>
        <v>3.2598111111111105</v>
      </c>
    </row>
    <row r="1737" spans="1:7" x14ac:dyDescent="0.2">
      <c r="A1737" s="75">
        <v>41241</v>
      </c>
      <c r="B1737" s="76" t="s">
        <v>35</v>
      </c>
      <c r="C1737" s="76" t="s">
        <v>536</v>
      </c>
      <c r="D1737" s="79">
        <v>3019.051465</v>
      </c>
      <c r="E1737" s="79">
        <v>3.0230999999999999</v>
      </c>
      <c r="F1737" s="79">
        <v>3.0282</v>
      </c>
      <c r="G1737" s="83">
        <f t="shared" si="26"/>
        <v>3.247350793650793</v>
      </c>
    </row>
    <row r="1738" spans="1:7" x14ac:dyDescent="0.2">
      <c r="A1738" s="75">
        <v>41242</v>
      </c>
      <c r="B1738" s="76" t="s">
        <v>35</v>
      </c>
      <c r="C1738" s="76" t="s">
        <v>536</v>
      </c>
      <c r="D1738" s="79">
        <v>3020.6831029999998</v>
      </c>
      <c r="E1738" s="79">
        <v>3.0291000000000001</v>
      </c>
      <c r="F1738" s="79">
        <v>3.0251999999999999</v>
      </c>
      <c r="G1738" s="83">
        <f t="shared" si="26"/>
        <v>3.2357777777777774</v>
      </c>
    </row>
    <row r="1739" spans="1:7" x14ac:dyDescent="0.2">
      <c r="A1739" s="75">
        <v>41243</v>
      </c>
      <c r="B1739" s="76" t="s">
        <v>35</v>
      </c>
      <c r="C1739" s="76" t="s">
        <v>536</v>
      </c>
      <c r="D1739" s="79">
        <v>3030.6246249999999</v>
      </c>
      <c r="E1739" s="79">
        <v>3.0261</v>
      </c>
      <c r="F1739" s="79">
        <v>2.9655999999999998</v>
      </c>
      <c r="G1739" s="83">
        <f t="shared" si="26"/>
        <v>3.2249603174603179</v>
      </c>
    </row>
    <row r="1740" spans="1:7" x14ac:dyDescent="0.2">
      <c r="A1740" s="75">
        <v>41246</v>
      </c>
      <c r="B1740" s="76" t="s">
        <v>35</v>
      </c>
      <c r="C1740" s="76" t="s">
        <v>536</v>
      </c>
      <c r="D1740" s="79">
        <v>3037.0714090000001</v>
      </c>
      <c r="E1740" s="79">
        <v>2.9666000000000001</v>
      </c>
      <c r="F1740" s="79">
        <v>2.93</v>
      </c>
      <c r="G1740" s="83">
        <f t="shared" si="26"/>
        <v>3.2128666666666668</v>
      </c>
    </row>
    <row r="1741" spans="1:7" x14ac:dyDescent="0.2">
      <c r="A1741" s="75">
        <v>41247</v>
      </c>
      <c r="B1741" s="76" t="s">
        <v>35</v>
      </c>
      <c r="C1741" s="76" t="s">
        <v>536</v>
      </c>
      <c r="D1741" s="79">
        <v>3051.7594079999999</v>
      </c>
      <c r="E1741" s="79">
        <v>2.931</v>
      </c>
      <c r="F1741" s="79">
        <v>2.8388</v>
      </c>
      <c r="G1741" s="83">
        <f t="shared" si="26"/>
        <v>3.2008015873015876</v>
      </c>
    </row>
    <row r="1742" spans="1:7" x14ac:dyDescent="0.2">
      <c r="A1742" s="75">
        <v>41248</v>
      </c>
      <c r="B1742" s="76" t="s">
        <v>35</v>
      </c>
      <c r="C1742" s="76" t="s">
        <v>536</v>
      </c>
      <c r="D1742" s="79">
        <v>3055.8214659999999</v>
      </c>
      <c r="E1742" s="79">
        <v>2.8397999999999999</v>
      </c>
      <c r="F1742" s="79">
        <v>2.8195000000000001</v>
      </c>
      <c r="G1742" s="83">
        <f t="shared" si="26"/>
        <v>3.1882571428571431</v>
      </c>
    </row>
    <row r="1743" spans="1:7" x14ac:dyDescent="0.2">
      <c r="A1743" s="75">
        <v>41249</v>
      </c>
      <c r="B1743" s="76" t="s">
        <v>35</v>
      </c>
      <c r="C1743" s="76" t="s">
        <v>536</v>
      </c>
      <c r="D1743" s="79">
        <v>3086.7057260000001</v>
      </c>
      <c r="E1743" s="79">
        <v>2.8205</v>
      </c>
      <c r="F1743" s="79">
        <v>2.6208</v>
      </c>
      <c r="G1743" s="83">
        <f t="shared" si="26"/>
        <v>3.1757777777777778</v>
      </c>
    </row>
    <row r="1744" spans="1:7" x14ac:dyDescent="0.2">
      <c r="A1744" s="75">
        <v>41250</v>
      </c>
      <c r="B1744" s="76" t="s">
        <v>35</v>
      </c>
      <c r="C1744" s="76" t="s">
        <v>536</v>
      </c>
      <c r="D1744" s="79">
        <v>3083.4859499999998</v>
      </c>
      <c r="E1744" s="79">
        <v>2.6219000000000001</v>
      </c>
      <c r="F1744" s="79">
        <v>2.6663000000000001</v>
      </c>
      <c r="G1744" s="83">
        <f t="shared" si="26"/>
        <v>3.1603222222222227</v>
      </c>
    </row>
    <row r="1745" spans="1:7" x14ac:dyDescent="0.2">
      <c r="A1745" s="75">
        <v>41253</v>
      </c>
      <c r="B1745" s="76" t="s">
        <v>35</v>
      </c>
      <c r="C1745" s="76" t="s">
        <v>536</v>
      </c>
      <c r="D1745" s="79">
        <v>3077.446762</v>
      </c>
      <c r="E1745" s="79">
        <v>2.6674000000000002</v>
      </c>
      <c r="F1745" s="79">
        <v>2.7157</v>
      </c>
      <c r="G1745" s="83">
        <f t="shared" si="26"/>
        <v>3.1460730158730161</v>
      </c>
    </row>
    <row r="1746" spans="1:7" x14ac:dyDescent="0.2">
      <c r="A1746" s="75">
        <v>41254</v>
      </c>
      <c r="B1746" s="76" t="s">
        <v>35</v>
      </c>
      <c r="C1746" s="76" t="s">
        <v>536</v>
      </c>
      <c r="D1746" s="79">
        <v>3073.3407539999998</v>
      </c>
      <c r="E1746" s="79">
        <v>2.7168000000000001</v>
      </c>
      <c r="F1746" s="79">
        <v>2.7523</v>
      </c>
      <c r="G1746" s="83">
        <f t="shared" si="26"/>
        <v>3.131911111111112</v>
      </c>
    </row>
    <row r="1747" spans="1:7" x14ac:dyDescent="0.2">
      <c r="A1747" s="75">
        <v>41255</v>
      </c>
      <c r="B1747" s="76" t="s">
        <v>35</v>
      </c>
      <c r="C1747" s="76" t="s">
        <v>536</v>
      </c>
      <c r="D1747" s="79">
        <v>3084.1480419999998</v>
      </c>
      <c r="E1747" s="79">
        <v>2.7532999999999999</v>
      </c>
      <c r="F1747" s="79">
        <v>2.6892</v>
      </c>
      <c r="G1747" s="83">
        <f t="shared" si="26"/>
        <v>3.1176682539682541</v>
      </c>
    </row>
    <row r="1748" spans="1:7" x14ac:dyDescent="0.2">
      <c r="A1748" s="75">
        <v>41256</v>
      </c>
      <c r="B1748" s="76" t="s">
        <v>35</v>
      </c>
      <c r="C1748" s="76" t="s">
        <v>536</v>
      </c>
      <c r="D1748" s="79">
        <v>3095.0369230000001</v>
      </c>
      <c r="E1748" s="79">
        <v>2.6903000000000001</v>
      </c>
      <c r="F1748" s="79">
        <v>2.6259000000000001</v>
      </c>
      <c r="G1748" s="83">
        <f t="shared" si="26"/>
        <v>3.1027746031746037</v>
      </c>
    </row>
    <row r="1749" spans="1:7" x14ac:dyDescent="0.2">
      <c r="A1749" s="75">
        <v>41257</v>
      </c>
      <c r="B1749" s="76" t="s">
        <v>35</v>
      </c>
      <c r="C1749" s="76" t="s">
        <v>536</v>
      </c>
      <c r="D1749" s="79">
        <v>3096.7951539999999</v>
      </c>
      <c r="E1749" s="79">
        <v>2.6269999999999998</v>
      </c>
      <c r="F1749" s="79">
        <v>2.6233</v>
      </c>
      <c r="G1749" s="83">
        <f t="shared" si="26"/>
        <v>3.0875206349206357</v>
      </c>
    </row>
    <row r="1750" spans="1:7" x14ac:dyDescent="0.2">
      <c r="A1750" s="75">
        <v>41260</v>
      </c>
      <c r="B1750" s="76" t="s">
        <v>35</v>
      </c>
      <c r="C1750" s="76" t="s">
        <v>536</v>
      </c>
      <c r="D1750" s="79">
        <v>3096.6842099999999</v>
      </c>
      <c r="E1750" s="79">
        <v>2.6244000000000001</v>
      </c>
      <c r="F1750" s="79">
        <v>2.6331000000000002</v>
      </c>
      <c r="G1750" s="83">
        <f t="shared" si="26"/>
        <v>3.0722619047619064</v>
      </c>
    </row>
    <row r="1751" spans="1:7" x14ac:dyDescent="0.2">
      <c r="A1751" s="75">
        <v>41261</v>
      </c>
      <c r="B1751" s="76" t="s">
        <v>35</v>
      </c>
      <c r="C1751" s="76" t="s">
        <v>536</v>
      </c>
      <c r="D1751" s="79">
        <v>3095.1325959999999</v>
      </c>
      <c r="E1751" s="79">
        <v>2.6341000000000001</v>
      </c>
      <c r="F1751" s="79">
        <v>2.6532</v>
      </c>
      <c r="G1751" s="83">
        <f t="shared" si="26"/>
        <v>3.0568603174603184</v>
      </c>
    </row>
    <row r="1752" spans="1:7" x14ac:dyDescent="0.2">
      <c r="A1752" s="75">
        <v>41262</v>
      </c>
      <c r="B1752" s="76" t="s">
        <v>35</v>
      </c>
      <c r="C1752" s="76" t="s">
        <v>536</v>
      </c>
      <c r="D1752" s="79">
        <v>3097.3357080000001</v>
      </c>
      <c r="E1752" s="79">
        <v>2.6541999999999999</v>
      </c>
      <c r="F1752" s="79">
        <v>2.6484000000000001</v>
      </c>
      <c r="G1752" s="83">
        <f t="shared" si="26"/>
        <v>3.0424460317460333</v>
      </c>
    </row>
    <row r="1753" spans="1:7" x14ac:dyDescent="0.2">
      <c r="A1753" s="75">
        <v>41263</v>
      </c>
      <c r="B1753" s="76" t="s">
        <v>35</v>
      </c>
      <c r="C1753" s="76" t="s">
        <v>536</v>
      </c>
      <c r="D1753" s="79">
        <v>3087.1338219999998</v>
      </c>
      <c r="E1753" s="79">
        <v>2.6494</v>
      </c>
      <c r="F1753" s="79">
        <v>2.7299000000000002</v>
      </c>
      <c r="G1753" s="83">
        <f t="shared" si="26"/>
        <v>3.0276507936507939</v>
      </c>
    </row>
    <row r="1754" spans="1:7" x14ac:dyDescent="0.2">
      <c r="A1754" s="75">
        <v>41264</v>
      </c>
      <c r="B1754" s="76" t="s">
        <v>35</v>
      </c>
      <c r="C1754" s="76" t="s">
        <v>536</v>
      </c>
      <c r="D1754" s="79">
        <v>3086.6501870000002</v>
      </c>
      <c r="E1754" s="79">
        <v>2.7309000000000001</v>
      </c>
      <c r="F1754" s="79">
        <v>2.7443</v>
      </c>
      <c r="G1754" s="83">
        <f t="shared" si="26"/>
        <v>3.0139873015873024</v>
      </c>
    </row>
    <row r="1755" spans="1:7" x14ac:dyDescent="0.2">
      <c r="A1755" s="75">
        <v>41267</v>
      </c>
      <c r="B1755" s="76" t="s">
        <v>35</v>
      </c>
      <c r="C1755" s="76" t="s">
        <v>536</v>
      </c>
      <c r="D1755" s="79">
        <v>3088.1950529999999</v>
      </c>
      <c r="E1755" s="79">
        <v>2.7452999999999999</v>
      </c>
      <c r="F1755" s="79">
        <v>2.7452000000000001</v>
      </c>
      <c r="G1755" s="83">
        <f t="shared" si="26"/>
        <v>3.001242857142858</v>
      </c>
    </row>
    <row r="1756" spans="1:7" x14ac:dyDescent="0.2">
      <c r="A1756" s="75">
        <v>41269</v>
      </c>
      <c r="B1756" s="76" t="s">
        <v>35</v>
      </c>
      <c r="C1756" s="76" t="s">
        <v>536</v>
      </c>
      <c r="D1756" s="79">
        <v>3090.401934</v>
      </c>
      <c r="E1756" s="79">
        <v>2.7462</v>
      </c>
      <c r="F1756" s="79">
        <v>2.7416999999999998</v>
      </c>
      <c r="G1756" s="83">
        <f t="shared" si="26"/>
        <v>2.9888317460317464</v>
      </c>
    </row>
    <row r="1757" spans="1:7" x14ac:dyDescent="0.2">
      <c r="A1757" s="75">
        <v>41270</v>
      </c>
      <c r="B1757" s="76" t="s">
        <v>35</v>
      </c>
      <c r="C1757" s="76" t="s">
        <v>536</v>
      </c>
      <c r="D1757" s="79">
        <v>3091.813056</v>
      </c>
      <c r="E1757" s="79">
        <v>2.7427000000000001</v>
      </c>
      <c r="F1757" s="79">
        <v>2.7435</v>
      </c>
      <c r="G1757" s="83">
        <f t="shared" si="26"/>
        <v>2.9771444444444444</v>
      </c>
    </row>
    <row r="1758" spans="1:7" x14ac:dyDescent="0.2">
      <c r="A1758" s="75">
        <v>41271</v>
      </c>
      <c r="B1758" s="76" t="s">
        <v>35</v>
      </c>
      <c r="C1758" s="76" t="s">
        <v>536</v>
      </c>
      <c r="D1758" s="79">
        <v>3092.0671459999999</v>
      </c>
      <c r="E1758" s="79">
        <v>2.7444999999999999</v>
      </c>
      <c r="F1758" s="79">
        <v>2.7530000000000001</v>
      </c>
      <c r="G1758" s="83">
        <f t="shared" si="26"/>
        <v>2.9665746031746032</v>
      </c>
    </row>
    <row r="1759" spans="1:7" x14ac:dyDescent="0.2">
      <c r="A1759" s="75">
        <v>41274</v>
      </c>
      <c r="B1759" s="76" t="s">
        <v>35</v>
      </c>
      <c r="C1759" s="76" t="s">
        <v>536</v>
      </c>
      <c r="D1759" s="79">
        <v>3093.675917</v>
      </c>
      <c r="E1759" s="79">
        <v>2.7538999999999998</v>
      </c>
      <c r="F1759" s="79">
        <v>2.7534000000000001</v>
      </c>
      <c r="G1759" s="83">
        <f t="shared" si="26"/>
        <v>2.9558825396825394</v>
      </c>
    </row>
    <row r="1760" spans="1:7" x14ac:dyDescent="0.2">
      <c r="A1760" s="75">
        <v>41276</v>
      </c>
      <c r="B1760" s="76" t="s">
        <v>35</v>
      </c>
      <c r="C1760" s="76" t="s">
        <v>536</v>
      </c>
      <c r="D1760" s="79">
        <v>3102.489376</v>
      </c>
      <c r="E1760" s="79">
        <v>2.7543000000000002</v>
      </c>
      <c r="F1760" s="79">
        <v>2.706</v>
      </c>
      <c r="G1760" s="83">
        <f t="shared" si="26"/>
        <v>2.9454031746031748</v>
      </c>
    </row>
    <row r="1761" spans="1:7" x14ac:dyDescent="0.2">
      <c r="A1761" s="75">
        <v>41277</v>
      </c>
      <c r="B1761" s="76" t="s">
        <v>35</v>
      </c>
      <c r="C1761" s="76" t="s">
        <v>536</v>
      </c>
      <c r="D1761" s="79">
        <v>3114.7802339999998</v>
      </c>
      <c r="E1761" s="79">
        <v>2.7069999999999999</v>
      </c>
      <c r="F1761" s="79">
        <v>2.6358999999999999</v>
      </c>
      <c r="G1761" s="83">
        <f t="shared" si="26"/>
        <v>2.9346111111111108</v>
      </c>
    </row>
    <row r="1762" spans="1:7" x14ac:dyDescent="0.2">
      <c r="A1762" s="75">
        <v>41278</v>
      </c>
      <c r="B1762" s="76" t="s">
        <v>35</v>
      </c>
      <c r="C1762" s="76" t="s">
        <v>536</v>
      </c>
      <c r="D1762" s="79">
        <v>3112.9758919999999</v>
      </c>
      <c r="E1762" s="79">
        <v>2.6368999999999998</v>
      </c>
      <c r="F1762" s="79">
        <v>2.6589</v>
      </c>
      <c r="G1762" s="83">
        <f t="shared" si="26"/>
        <v>2.9232333333333331</v>
      </c>
    </row>
    <row r="1763" spans="1:7" x14ac:dyDescent="0.2">
      <c r="A1763" s="75">
        <v>41281</v>
      </c>
      <c r="B1763" s="76" t="s">
        <v>35</v>
      </c>
      <c r="C1763" s="76" t="s">
        <v>536</v>
      </c>
      <c r="D1763" s="79">
        <v>3117.207856</v>
      </c>
      <c r="E1763" s="79">
        <v>2.6598000000000002</v>
      </c>
      <c r="F1763" s="79">
        <v>2.6419999999999999</v>
      </c>
      <c r="G1763" s="83">
        <f t="shared" si="26"/>
        <v>2.9129746031746024</v>
      </c>
    </row>
    <row r="1764" spans="1:7" x14ac:dyDescent="0.2">
      <c r="A1764" s="75">
        <v>41282</v>
      </c>
      <c r="B1764" s="76" t="s">
        <v>35</v>
      </c>
      <c r="C1764" s="76" t="s">
        <v>536</v>
      </c>
      <c r="D1764" s="79">
        <v>3109.6786480000001</v>
      </c>
      <c r="E1764" s="79">
        <v>2.6429999999999998</v>
      </c>
      <c r="F1764" s="79">
        <v>2.7027999999999999</v>
      </c>
      <c r="G1764" s="83">
        <f t="shared" si="26"/>
        <v>2.9027269841269829</v>
      </c>
    </row>
    <row r="1765" spans="1:7" x14ac:dyDescent="0.2">
      <c r="A1765" s="75">
        <v>41283</v>
      </c>
      <c r="B1765" s="76" t="s">
        <v>35</v>
      </c>
      <c r="C1765" s="76" t="s">
        <v>536</v>
      </c>
      <c r="D1765" s="79">
        <v>3119.0209289999998</v>
      </c>
      <c r="E1765" s="79">
        <v>2.7037</v>
      </c>
      <c r="F1765" s="79">
        <v>2.6522000000000001</v>
      </c>
      <c r="G1765" s="83">
        <f t="shared" si="26"/>
        <v>2.8940603174603159</v>
      </c>
    </row>
    <row r="1766" spans="1:7" x14ac:dyDescent="0.2">
      <c r="A1766" s="75">
        <v>41284</v>
      </c>
      <c r="B1766" s="76" t="s">
        <v>35</v>
      </c>
      <c r="C1766" s="76" t="s">
        <v>536</v>
      </c>
      <c r="D1766" s="79">
        <v>3124.887921</v>
      </c>
      <c r="E1766" s="79">
        <v>2.6530999999999998</v>
      </c>
      <c r="F1766" s="79">
        <v>2.6332</v>
      </c>
      <c r="G1766" s="83">
        <f t="shared" si="26"/>
        <v>2.8883492063492056</v>
      </c>
    </row>
    <row r="1767" spans="1:7" x14ac:dyDescent="0.2">
      <c r="A1767" s="75">
        <v>41285</v>
      </c>
      <c r="B1767" s="76" t="s">
        <v>35</v>
      </c>
      <c r="C1767" s="76" t="s">
        <v>536</v>
      </c>
      <c r="D1767" s="79">
        <v>3127.4945539999999</v>
      </c>
      <c r="E1767" s="79">
        <v>2.6341999999999999</v>
      </c>
      <c r="F1767" s="79">
        <v>2.6276999999999999</v>
      </c>
      <c r="G1767" s="83">
        <f t="shared" si="26"/>
        <v>2.8810714285714272</v>
      </c>
    </row>
    <row r="1768" spans="1:7" x14ac:dyDescent="0.2">
      <c r="A1768" s="75">
        <v>41288</v>
      </c>
      <c r="B1768" s="76" t="s">
        <v>35</v>
      </c>
      <c r="C1768" s="76" t="s">
        <v>536</v>
      </c>
      <c r="D1768" s="79">
        <v>3128.2595419999998</v>
      </c>
      <c r="E1768" s="79">
        <v>2.6286999999999998</v>
      </c>
      <c r="F1768" s="79">
        <v>2.6343000000000001</v>
      </c>
      <c r="G1768" s="83">
        <f t="shared" si="26"/>
        <v>2.8741063492063481</v>
      </c>
    </row>
    <row r="1769" spans="1:7" x14ac:dyDescent="0.2">
      <c r="A1769" s="75">
        <v>41289</v>
      </c>
      <c r="B1769" s="76" t="s">
        <v>35</v>
      </c>
      <c r="C1769" s="76" t="s">
        <v>536</v>
      </c>
      <c r="D1769" s="79">
        <v>3125.7378589999998</v>
      </c>
      <c r="E1769" s="79">
        <v>2.6353</v>
      </c>
      <c r="F1769" s="79">
        <v>2.6625000000000001</v>
      </c>
      <c r="G1769" s="83">
        <f t="shared" si="26"/>
        <v>2.867334920634919</v>
      </c>
    </row>
    <row r="1770" spans="1:7" x14ac:dyDescent="0.2">
      <c r="A1770" s="75">
        <v>41290</v>
      </c>
      <c r="B1770" s="76" t="s">
        <v>35</v>
      </c>
      <c r="C1770" s="76" t="s">
        <v>536</v>
      </c>
      <c r="D1770" s="79">
        <v>3124.3760109999998</v>
      </c>
      <c r="E1770" s="79">
        <v>2.6634000000000002</v>
      </c>
      <c r="F1770" s="79">
        <v>2.6821999999999999</v>
      </c>
      <c r="G1770" s="83">
        <f t="shared" si="26"/>
        <v>2.8620920634920619</v>
      </c>
    </row>
    <row r="1771" spans="1:7" x14ac:dyDescent="0.2">
      <c r="A1771" s="75">
        <v>41291</v>
      </c>
      <c r="B1771" s="76" t="s">
        <v>35</v>
      </c>
      <c r="C1771" s="76" t="s">
        <v>536</v>
      </c>
      <c r="D1771" s="79">
        <v>3115.6598760000002</v>
      </c>
      <c r="E1771" s="79">
        <v>2.6831</v>
      </c>
      <c r="F1771" s="79">
        <v>2.7504</v>
      </c>
      <c r="G1771" s="83">
        <f t="shared" si="26"/>
        <v>2.857006349206348</v>
      </c>
    </row>
    <row r="1772" spans="1:7" x14ac:dyDescent="0.2">
      <c r="A1772" s="75">
        <v>41292</v>
      </c>
      <c r="B1772" s="76" t="s">
        <v>35</v>
      </c>
      <c r="C1772" s="76" t="s">
        <v>536</v>
      </c>
      <c r="D1772" s="79">
        <v>3111.1985009999999</v>
      </c>
      <c r="E1772" s="79">
        <v>2.7513000000000001</v>
      </c>
      <c r="F1772" s="79">
        <v>2.7907000000000002</v>
      </c>
      <c r="G1772" s="83">
        <f t="shared" si="26"/>
        <v>2.8532095238095221</v>
      </c>
    </row>
    <row r="1773" spans="1:7" x14ac:dyDescent="0.2">
      <c r="A1773" s="75">
        <v>41295</v>
      </c>
      <c r="B1773" s="76" t="s">
        <v>35</v>
      </c>
      <c r="C1773" s="76" t="s">
        <v>536</v>
      </c>
      <c r="D1773" s="79">
        <v>3121.2057749999999</v>
      </c>
      <c r="E1773" s="79">
        <v>2.7915000000000001</v>
      </c>
      <c r="F1773" s="79">
        <v>2.7353999999999998</v>
      </c>
      <c r="G1773" s="83">
        <f t="shared" si="26"/>
        <v>2.8488111111111096</v>
      </c>
    </row>
    <row r="1774" spans="1:7" x14ac:dyDescent="0.2">
      <c r="A1774" s="75">
        <v>41296</v>
      </c>
      <c r="B1774" s="76" t="s">
        <v>35</v>
      </c>
      <c r="C1774" s="76" t="s">
        <v>536</v>
      </c>
      <c r="D1774" s="79">
        <v>3117.7035940000001</v>
      </c>
      <c r="E1774" s="79">
        <v>2.7362000000000002</v>
      </c>
      <c r="F1774" s="79">
        <v>2.7692000000000001</v>
      </c>
      <c r="G1774" s="83">
        <f t="shared" si="26"/>
        <v>2.8443984126984119</v>
      </c>
    </row>
    <row r="1775" spans="1:7" x14ac:dyDescent="0.2">
      <c r="A1775" s="75">
        <v>41297</v>
      </c>
      <c r="B1775" s="76" t="s">
        <v>35</v>
      </c>
      <c r="C1775" s="76" t="s">
        <v>536</v>
      </c>
      <c r="D1775" s="79">
        <v>3121.5009580000001</v>
      </c>
      <c r="E1775" s="79">
        <v>2.77</v>
      </c>
      <c r="F1775" s="79">
        <v>2.7549000000000001</v>
      </c>
      <c r="G1775" s="83">
        <f t="shared" si="26"/>
        <v>2.8411682539682532</v>
      </c>
    </row>
    <row r="1776" spans="1:7" x14ac:dyDescent="0.2">
      <c r="A1776" s="75">
        <v>41298</v>
      </c>
      <c r="B1776" s="76" t="s">
        <v>35</v>
      </c>
      <c r="C1776" s="76" t="s">
        <v>536</v>
      </c>
      <c r="D1776" s="79">
        <v>3095.1117559999998</v>
      </c>
      <c r="E1776" s="79">
        <v>2.7557</v>
      </c>
      <c r="F1776" s="79">
        <v>2.9479000000000002</v>
      </c>
      <c r="G1776" s="83">
        <f t="shared" si="26"/>
        <v>2.8382682539682533</v>
      </c>
    </row>
    <row r="1777" spans="1:7" x14ac:dyDescent="0.2">
      <c r="A1777" s="75">
        <v>41299</v>
      </c>
      <c r="B1777" s="76" t="s">
        <v>35</v>
      </c>
      <c r="C1777" s="76" t="s">
        <v>536</v>
      </c>
      <c r="D1777" s="79">
        <v>3096.51917</v>
      </c>
      <c r="E1777" s="79">
        <v>2.9485999999999999</v>
      </c>
      <c r="F1777" s="79">
        <v>2.9504000000000001</v>
      </c>
      <c r="G1777" s="83">
        <f t="shared" si="26"/>
        <v>2.8388777777777769</v>
      </c>
    </row>
    <row r="1778" spans="1:7" x14ac:dyDescent="0.2">
      <c r="A1778" s="75">
        <v>41302</v>
      </c>
      <c r="B1778" s="76" t="s">
        <v>35</v>
      </c>
      <c r="C1778" s="76" t="s">
        <v>536</v>
      </c>
      <c r="D1778" s="79">
        <v>3095.3580940000002</v>
      </c>
      <c r="E1778" s="79">
        <v>2.9510999999999998</v>
      </c>
      <c r="F1778" s="79">
        <v>2.97</v>
      </c>
      <c r="G1778" s="83">
        <f t="shared" si="26"/>
        <v>2.8392952380952372</v>
      </c>
    </row>
    <row r="1779" spans="1:7" x14ac:dyDescent="0.2">
      <c r="A1779" s="75">
        <v>41303</v>
      </c>
      <c r="B1779" s="76" t="s">
        <v>35</v>
      </c>
      <c r="C1779" s="76" t="s">
        <v>536</v>
      </c>
      <c r="D1779" s="79">
        <v>3096.332629</v>
      </c>
      <c r="E1779" s="79">
        <v>2.9706999999999999</v>
      </c>
      <c r="F1779" s="79">
        <v>2.9754</v>
      </c>
      <c r="G1779" s="83">
        <f t="shared" si="26"/>
        <v>2.8395047619047609</v>
      </c>
    </row>
    <row r="1780" spans="1:7" x14ac:dyDescent="0.2">
      <c r="A1780" s="75">
        <v>41304</v>
      </c>
      <c r="B1780" s="76" t="s">
        <v>35</v>
      </c>
      <c r="C1780" s="76" t="s">
        <v>536</v>
      </c>
      <c r="D1780" s="79">
        <v>3092.5191970000001</v>
      </c>
      <c r="E1780" s="79">
        <v>2.9761000000000002</v>
      </c>
      <c r="F1780" s="79">
        <v>3.0127000000000002</v>
      </c>
      <c r="G1780" s="83">
        <f t="shared" si="26"/>
        <v>2.8399999999999994</v>
      </c>
    </row>
    <row r="1781" spans="1:7" x14ac:dyDescent="0.2">
      <c r="A1781" s="75">
        <v>41305</v>
      </c>
      <c r="B1781" s="76" t="s">
        <v>35</v>
      </c>
      <c r="C1781" s="76" t="s">
        <v>536</v>
      </c>
      <c r="D1781" s="79">
        <v>3085.8134519999999</v>
      </c>
      <c r="E1781" s="79">
        <v>3.0133999999999999</v>
      </c>
      <c r="F1781" s="79">
        <v>3.0693999999999999</v>
      </c>
      <c r="G1781" s="83">
        <f t="shared" si="26"/>
        <v>2.8411333333333326</v>
      </c>
    </row>
    <row r="1782" spans="1:7" x14ac:dyDescent="0.2">
      <c r="A1782" s="75">
        <v>41306</v>
      </c>
      <c r="B1782" s="76" t="s">
        <v>35</v>
      </c>
      <c r="C1782" s="76" t="s">
        <v>536</v>
      </c>
      <c r="D1782" s="79">
        <v>3083.478126</v>
      </c>
      <c r="E1782" s="79">
        <v>3.0701000000000001</v>
      </c>
      <c r="F1782" s="79">
        <v>3.097</v>
      </c>
      <c r="G1782" s="83">
        <f t="shared" si="26"/>
        <v>2.843279365079364</v>
      </c>
    </row>
    <row r="1783" spans="1:7" x14ac:dyDescent="0.2">
      <c r="A1783" s="75">
        <v>41309</v>
      </c>
      <c r="B1783" s="76" t="s">
        <v>35</v>
      </c>
      <c r="C1783" s="76" t="s">
        <v>536</v>
      </c>
      <c r="D1783" s="79">
        <v>3071.7917849999999</v>
      </c>
      <c r="E1783" s="79">
        <v>3.0977000000000001</v>
      </c>
      <c r="F1783" s="79">
        <v>3.1873999999999998</v>
      </c>
      <c r="G1783" s="83">
        <f t="shared" si="26"/>
        <v>2.8461365079365075</v>
      </c>
    </row>
    <row r="1784" spans="1:7" x14ac:dyDescent="0.2">
      <c r="A1784" s="75">
        <v>41310</v>
      </c>
      <c r="B1784" s="76" t="s">
        <v>35</v>
      </c>
      <c r="C1784" s="76" t="s">
        <v>536</v>
      </c>
      <c r="D1784" s="79">
        <v>3055.040383</v>
      </c>
      <c r="E1784" s="79">
        <v>3.1880999999999999</v>
      </c>
      <c r="F1784" s="79">
        <v>3.3125</v>
      </c>
      <c r="G1784" s="83">
        <f t="shared" si="26"/>
        <v>2.8502619047619042</v>
      </c>
    </row>
    <row r="1785" spans="1:7" x14ac:dyDescent="0.2">
      <c r="A1785" s="75">
        <v>41311</v>
      </c>
      <c r="B1785" s="76" t="s">
        <v>35</v>
      </c>
      <c r="C1785" s="76" t="s">
        <v>536</v>
      </c>
      <c r="D1785" s="79">
        <v>3047.488096</v>
      </c>
      <c r="E1785" s="79">
        <v>3.3132000000000001</v>
      </c>
      <c r="F1785" s="79">
        <v>3.3759000000000001</v>
      </c>
      <c r="G1785" s="83">
        <f t="shared" si="26"/>
        <v>2.8565825396825391</v>
      </c>
    </row>
    <row r="1786" spans="1:7" x14ac:dyDescent="0.2">
      <c r="A1786" s="75">
        <v>41312</v>
      </c>
      <c r="B1786" s="76" t="s">
        <v>35</v>
      </c>
      <c r="C1786" s="76" t="s">
        <v>536</v>
      </c>
      <c r="D1786" s="79">
        <v>3036.6584029999999</v>
      </c>
      <c r="E1786" s="79">
        <v>3.3767</v>
      </c>
      <c r="F1786" s="79">
        <v>3.4552999999999998</v>
      </c>
      <c r="G1786" s="83">
        <f t="shared" si="26"/>
        <v>2.8635571428571414</v>
      </c>
    </row>
    <row r="1787" spans="1:7" x14ac:dyDescent="0.2">
      <c r="A1787" s="75">
        <v>41313</v>
      </c>
      <c r="B1787" s="76" t="s">
        <v>35</v>
      </c>
      <c r="C1787" s="76" t="s">
        <v>536</v>
      </c>
      <c r="D1787" s="79">
        <v>3032.707852</v>
      </c>
      <c r="E1787" s="79">
        <v>3.4561000000000002</v>
      </c>
      <c r="F1787" s="79">
        <v>3.4943</v>
      </c>
      <c r="G1787" s="83">
        <f t="shared" si="26"/>
        <v>2.8720079365079356</v>
      </c>
    </row>
    <row r="1788" spans="1:7" x14ac:dyDescent="0.2">
      <c r="A1788" s="75">
        <v>41318</v>
      </c>
      <c r="B1788" s="76" t="s">
        <v>35</v>
      </c>
      <c r="C1788" s="76" t="s">
        <v>536</v>
      </c>
      <c r="D1788" s="79">
        <v>3041.3696989999999</v>
      </c>
      <c r="E1788" s="79">
        <v>3.4950999999999999</v>
      </c>
      <c r="F1788" s="79">
        <v>3.4472999999999998</v>
      </c>
      <c r="G1788" s="83">
        <f t="shared" si="26"/>
        <v>2.8808174603174597</v>
      </c>
    </row>
    <row r="1789" spans="1:7" x14ac:dyDescent="0.2">
      <c r="A1789" s="75">
        <v>41319</v>
      </c>
      <c r="B1789" s="76" t="s">
        <v>35</v>
      </c>
      <c r="C1789" s="76" t="s">
        <v>536</v>
      </c>
      <c r="D1789" s="79">
        <v>3037.7636080000002</v>
      </c>
      <c r="E1789" s="79">
        <v>3.4481000000000002</v>
      </c>
      <c r="F1789" s="79">
        <v>3.4839000000000002</v>
      </c>
      <c r="G1789" s="83">
        <f t="shared" si="26"/>
        <v>2.8883841269841266</v>
      </c>
    </row>
    <row r="1790" spans="1:7" x14ac:dyDescent="0.2">
      <c r="A1790" s="75">
        <v>41320</v>
      </c>
      <c r="B1790" s="76" t="s">
        <v>35</v>
      </c>
      <c r="C1790" s="76" t="s">
        <v>536</v>
      </c>
      <c r="D1790" s="79">
        <v>3041.7204499999998</v>
      </c>
      <c r="E1790" s="79">
        <v>3.4845999999999999</v>
      </c>
      <c r="F1790" s="79">
        <v>3.4689000000000001</v>
      </c>
      <c r="G1790" s="83">
        <f t="shared" si="26"/>
        <v>2.8958634920634916</v>
      </c>
    </row>
    <row r="1791" spans="1:7" x14ac:dyDescent="0.2">
      <c r="A1791" s="75">
        <v>41323</v>
      </c>
      <c r="B1791" s="76" t="s">
        <v>35</v>
      </c>
      <c r="C1791" s="76" t="s">
        <v>536</v>
      </c>
      <c r="D1791" s="79">
        <v>3037.1480110000002</v>
      </c>
      <c r="E1791" s="79">
        <v>3.4695999999999998</v>
      </c>
      <c r="F1791" s="79">
        <v>3.5076999999999998</v>
      </c>
      <c r="G1791" s="83">
        <f t="shared" si="26"/>
        <v>2.9019682539682541</v>
      </c>
    </row>
    <row r="1792" spans="1:7" x14ac:dyDescent="0.2">
      <c r="A1792" s="75">
        <v>41324</v>
      </c>
      <c r="B1792" s="76" t="s">
        <v>35</v>
      </c>
      <c r="C1792" s="76" t="s">
        <v>536</v>
      </c>
      <c r="D1792" s="79">
        <v>3039.0646710000001</v>
      </c>
      <c r="E1792" s="79">
        <v>3.5084</v>
      </c>
      <c r="F1792" s="79">
        <v>3.5023</v>
      </c>
      <c r="G1792" s="83">
        <f t="shared" si="26"/>
        <v>2.906880952380952</v>
      </c>
    </row>
    <row r="1793" spans="1:7" x14ac:dyDescent="0.2">
      <c r="A1793" s="75">
        <v>41325</v>
      </c>
      <c r="B1793" s="76" t="s">
        <v>35</v>
      </c>
      <c r="C1793" s="76" t="s">
        <v>536</v>
      </c>
      <c r="D1793" s="79">
        <v>3034.545838</v>
      </c>
      <c r="E1793" s="79">
        <v>3.5030000000000001</v>
      </c>
      <c r="F1793" s="79">
        <v>3.5407999999999999</v>
      </c>
      <c r="G1793" s="83">
        <f t="shared" si="26"/>
        <v>2.912777777777777</v>
      </c>
    </row>
    <row r="1794" spans="1:7" x14ac:dyDescent="0.2">
      <c r="A1794" s="75">
        <v>41326</v>
      </c>
      <c r="B1794" s="76" t="s">
        <v>35</v>
      </c>
      <c r="C1794" s="76" t="s">
        <v>536</v>
      </c>
      <c r="D1794" s="79">
        <v>3039.939378</v>
      </c>
      <c r="E1794" s="79">
        <v>3.5413000000000001</v>
      </c>
      <c r="F1794" s="79">
        <v>3.5114999999999998</v>
      </c>
      <c r="G1794" s="83">
        <f t="shared" si="26"/>
        <v>2.9197476190476186</v>
      </c>
    </row>
    <row r="1795" spans="1:7" x14ac:dyDescent="0.2">
      <c r="A1795" s="75">
        <v>41327</v>
      </c>
      <c r="B1795" s="76" t="s">
        <v>35</v>
      </c>
      <c r="C1795" s="76" t="s">
        <v>536</v>
      </c>
      <c r="D1795" s="79">
        <v>3026.8824530000002</v>
      </c>
      <c r="E1795" s="79">
        <v>3.5121000000000002</v>
      </c>
      <c r="F1795" s="79">
        <v>3.6082999999999998</v>
      </c>
      <c r="G1795" s="83">
        <f t="shared" ref="G1795:G1858" si="27">+AVERAGE(E1733:E1795)</f>
        <v>2.9262428571428569</v>
      </c>
    </row>
    <row r="1796" spans="1:7" x14ac:dyDescent="0.2">
      <c r="A1796" s="75">
        <v>41330</v>
      </c>
      <c r="B1796" s="76" t="s">
        <v>35</v>
      </c>
      <c r="C1796" s="76" t="s">
        <v>536</v>
      </c>
      <c r="D1796" s="79">
        <v>3038.27873</v>
      </c>
      <c r="E1796" s="79">
        <v>3.6088</v>
      </c>
      <c r="F1796" s="79">
        <v>3.5428999999999999</v>
      </c>
      <c r="G1796" s="83">
        <f t="shared" si="27"/>
        <v>2.933720634920634</v>
      </c>
    </row>
    <row r="1797" spans="1:7" x14ac:dyDescent="0.2">
      <c r="A1797" s="75">
        <v>41331</v>
      </c>
      <c r="B1797" s="76" t="s">
        <v>35</v>
      </c>
      <c r="C1797" s="76" t="s">
        <v>536</v>
      </c>
      <c r="D1797" s="79">
        <v>3042.0673609999999</v>
      </c>
      <c r="E1797" s="79">
        <v>3.5434000000000001</v>
      </c>
      <c r="F1797" s="79">
        <v>3.5253999999999999</v>
      </c>
      <c r="G1797" s="83">
        <f t="shared" si="27"/>
        <v>2.9400079365079357</v>
      </c>
    </row>
    <row r="1798" spans="1:7" x14ac:dyDescent="0.2">
      <c r="A1798" s="75">
        <v>41332</v>
      </c>
      <c r="B1798" s="76" t="s">
        <v>35</v>
      </c>
      <c r="C1798" s="76" t="s">
        <v>536</v>
      </c>
      <c r="D1798" s="79">
        <v>3046.344317</v>
      </c>
      <c r="E1798" s="79">
        <v>3.5259</v>
      </c>
      <c r="F1798" s="79">
        <v>3.5045999999999999</v>
      </c>
      <c r="G1798" s="83">
        <f t="shared" si="27"/>
        <v>2.9465238095238084</v>
      </c>
    </row>
    <row r="1799" spans="1:7" x14ac:dyDescent="0.2">
      <c r="A1799" s="75">
        <v>41333</v>
      </c>
      <c r="B1799" s="76" t="s">
        <v>35</v>
      </c>
      <c r="C1799" s="76" t="s">
        <v>536</v>
      </c>
      <c r="D1799" s="79">
        <v>3045.9022100000002</v>
      </c>
      <c r="E1799" s="79">
        <v>3.5051000000000001</v>
      </c>
      <c r="F1799" s="79">
        <v>3.5158999999999998</v>
      </c>
      <c r="G1799" s="83">
        <f t="shared" si="27"/>
        <v>2.9532206349206342</v>
      </c>
    </row>
    <row r="1800" spans="1:7" x14ac:dyDescent="0.2">
      <c r="A1800" s="75">
        <v>41334</v>
      </c>
      <c r="B1800" s="76" t="s">
        <v>35</v>
      </c>
      <c r="C1800" s="76" t="s">
        <v>536</v>
      </c>
      <c r="D1800" s="79">
        <v>3055.44571</v>
      </c>
      <c r="E1800" s="79">
        <v>3.5164</v>
      </c>
      <c r="F1800" s="79">
        <v>3.4594</v>
      </c>
      <c r="G1800" s="83">
        <f t="shared" si="27"/>
        <v>2.9610507936507933</v>
      </c>
    </row>
    <row r="1801" spans="1:7" x14ac:dyDescent="0.2">
      <c r="A1801" s="75">
        <v>41337</v>
      </c>
      <c r="B1801" s="76" t="s">
        <v>35</v>
      </c>
      <c r="C1801" s="76" t="s">
        <v>536</v>
      </c>
      <c r="D1801" s="79">
        <v>3060.8591409999999</v>
      </c>
      <c r="E1801" s="79">
        <v>3.4599000000000002</v>
      </c>
      <c r="F1801" s="79">
        <v>3.431</v>
      </c>
      <c r="G1801" s="83">
        <f t="shared" si="27"/>
        <v>2.967888888888889</v>
      </c>
    </row>
    <row r="1802" spans="1:7" x14ac:dyDescent="0.2">
      <c r="A1802" s="75">
        <v>41338</v>
      </c>
      <c r="B1802" s="76" t="s">
        <v>35</v>
      </c>
      <c r="C1802" s="76" t="s">
        <v>536</v>
      </c>
      <c r="D1802" s="79">
        <v>3070.8026129999998</v>
      </c>
      <c r="E1802" s="79">
        <v>3.4315000000000002</v>
      </c>
      <c r="F1802" s="79">
        <v>3.3721000000000001</v>
      </c>
      <c r="G1802" s="83">
        <f t="shared" si="27"/>
        <v>2.9743238095238098</v>
      </c>
    </row>
    <row r="1803" spans="1:7" x14ac:dyDescent="0.2">
      <c r="A1803" s="75">
        <v>41339</v>
      </c>
      <c r="B1803" s="76" t="s">
        <v>35</v>
      </c>
      <c r="C1803" s="76" t="s">
        <v>536</v>
      </c>
      <c r="D1803" s="79">
        <v>3076.0283709999999</v>
      </c>
      <c r="E1803" s="79">
        <v>3.3725000000000001</v>
      </c>
      <c r="F1803" s="79">
        <v>3.3450000000000002</v>
      </c>
      <c r="G1803" s="83">
        <f t="shared" si="27"/>
        <v>2.9807666666666663</v>
      </c>
    </row>
    <row r="1804" spans="1:7" x14ac:dyDescent="0.2">
      <c r="A1804" s="75">
        <v>41340</v>
      </c>
      <c r="B1804" s="76" t="s">
        <v>35</v>
      </c>
      <c r="C1804" s="76" t="s">
        <v>536</v>
      </c>
      <c r="D1804" s="79">
        <v>3069.709883</v>
      </c>
      <c r="E1804" s="79">
        <v>3.3454999999999999</v>
      </c>
      <c r="F1804" s="79">
        <v>3.3957000000000002</v>
      </c>
      <c r="G1804" s="83">
        <f t="shared" si="27"/>
        <v>2.9873460317460316</v>
      </c>
    </row>
    <row r="1805" spans="1:7" x14ac:dyDescent="0.2">
      <c r="A1805" s="75">
        <v>41341</v>
      </c>
      <c r="B1805" s="76" t="s">
        <v>35</v>
      </c>
      <c r="C1805" s="76" t="s">
        <v>536</v>
      </c>
      <c r="D1805" s="79">
        <v>3059.3247769999998</v>
      </c>
      <c r="E1805" s="79">
        <v>3.3961000000000001</v>
      </c>
      <c r="F1805" s="79">
        <v>3.4925000000000002</v>
      </c>
      <c r="G1805" s="83">
        <f t="shared" si="27"/>
        <v>2.9961761904761897</v>
      </c>
    </row>
    <row r="1806" spans="1:7" x14ac:dyDescent="0.2">
      <c r="A1806" s="75">
        <v>41344</v>
      </c>
      <c r="B1806" s="76" t="s">
        <v>35</v>
      </c>
      <c r="C1806" s="76" t="s">
        <v>536</v>
      </c>
      <c r="D1806" s="79">
        <v>3058.2201799999998</v>
      </c>
      <c r="E1806" s="79">
        <v>3.4929000000000001</v>
      </c>
      <c r="F1806" s="79">
        <v>3.5093999999999999</v>
      </c>
      <c r="G1806" s="83">
        <f t="shared" si="27"/>
        <v>3.006849206349206</v>
      </c>
    </row>
    <row r="1807" spans="1:7" x14ac:dyDescent="0.2">
      <c r="A1807" s="75">
        <v>41345</v>
      </c>
      <c r="B1807" s="76" t="s">
        <v>35</v>
      </c>
      <c r="C1807" s="76" t="s">
        <v>536</v>
      </c>
      <c r="D1807" s="79">
        <v>3053.6242480000001</v>
      </c>
      <c r="E1807" s="79">
        <v>3.5097999999999998</v>
      </c>
      <c r="F1807" s="79">
        <v>3.55</v>
      </c>
      <c r="G1807" s="83">
        <f t="shared" si="27"/>
        <v>3.0209428571428565</v>
      </c>
    </row>
    <row r="1808" spans="1:7" x14ac:dyDescent="0.2">
      <c r="A1808" s="75">
        <v>41346</v>
      </c>
      <c r="B1808" s="76" t="s">
        <v>35</v>
      </c>
      <c r="C1808" s="76" t="s">
        <v>536</v>
      </c>
      <c r="D1808" s="79">
        <v>3040.1612749999999</v>
      </c>
      <c r="E1808" s="79">
        <v>3.5505</v>
      </c>
      <c r="F1808" s="79">
        <v>3.6511999999999998</v>
      </c>
      <c r="G1808" s="83">
        <f t="shared" si="27"/>
        <v>3.0349603174603166</v>
      </c>
    </row>
    <row r="1809" spans="1:7" x14ac:dyDescent="0.2">
      <c r="A1809" s="75">
        <v>41347</v>
      </c>
      <c r="B1809" s="76" t="s">
        <v>35</v>
      </c>
      <c r="C1809" s="76" t="s">
        <v>536</v>
      </c>
      <c r="D1809" s="79">
        <v>3047.4625529999998</v>
      </c>
      <c r="E1809" s="79">
        <v>3.6516000000000002</v>
      </c>
      <c r="F1809" s="79">
        <v>3.6110000000000002</v>
      </c>
      <c r="G1809" s="83">
        <f t="shared" si="27"/>
        <v>3.0497984126984123</v>
      </c>
    </row>
    <row r="1810" spans="1:7" x14ac:dyDescent="0.2">
      <c r="A1810" s="75">
        <v>41348</v>
      </c>
      <c r="B1810" s="76" t="s">
        <v>35</v>
      </c>
      <c r="C1810" s="76" t="s">
        <v>536</v>
      </c>
      <c r="D1810" s="79">
        <v>3057.786822</v>
      </c>
      <c r="E1810" s="79">
        <v>3.6114000000000002</v>
      </c>
      <c r="F1810" s="79">
        <v>3.5503999999999998</v>
      </c>
      <c r="G1810" s="83">
        <f t="shared" si="27"/>
        <v>3.0634190476190479</v>
      </c>
    </row>
    <row r="1811" spans="1:7" x14ac:dyDescent="0.2">
      <c r="A1811" s="75">
        <v>41351</v>
      </c>
      <c r="B1811" s="76" t="s">
        <v>35</v>
      </c>
      <c r="C1811" s="76" t="s">
        <v>536</v>
      </c>
      <c r="D1811" s="79">
        <v>3058.103282</v>
      </c>
      <c r="E1811" s="79">
        <v>3.5508000000000002</v>
      </c>
      <c r="F1811" s="79">
        <v>3.5569000000000002</v>
      </c>
      <c r="G1811" s="83">
        <f t="shared" si="27"/>
        <v>3.0770777777777778</v>
      </c>
    </row>
    <row r="1812" spans="1:7" x14ac:dyDescent="0.2">
      <c r="A1812" s="75">
        <v>41352</v>
      </c>
      <c r="B1812" s="76" t="s">
        <v>35</v>
      </c>
      <c r="C1812" s="76" t="s">
        <v>536</v>
      </c>
      <c r="D1812" s="79">
        <v>3066.015562</v>
      </c>
      <c r="E1812" s="79">
        <v>3.5573999999999999</v>
      </c>
      <c r="F1812" s="79">
        <v>3.5121000000000002</v>
      </c>
      <c r="G1812" s="83">
        <f t="shared" si="27"/>
        <v>3.0918460317460319</v>
      </c>
    </row>
    <row r="1813" spans="1:7" x14ac:dyDescent="0.2">
      <c r="A1813" s="75">
        <v>41353</v>
      </c>
      <c r="B1813" s="76" t="s">
        <v>35</v>
      </c>
      <c r="C1813" s="76" t="s">
        <v>536</v>
      </c>
      <c r="D1813" s="79">
        <v>3062.9118269999999</v>
      </c>
      <c r="E1813" s="79">
        <v>3.5125999999999999</v>
      </c>
      <c r="F1813" s="79">
        <v>3.5417999999999998</v>
      </c>
      <c r="G1813" s="83">
        <f t="shared" si="27"/>
        <v>3.1059444444444444</v>
      </c>
    </row>
    <row r="1814" spans="1:7" x14ac:dyDescent="0.2">
      <c r="A1814" s="75">
        <v>41354</v>
      </c>
      <c r="B1814" s="76" t="s">
        <v>35</v>
      </c>
      <c r="C1814" s="76" t="s">
        <v>536</v>
      </c>
      <c r="D1814" s="79">
        <v>3046.0381109999998</v>
      </c>
      <c r="E1814" s="79">
        <v>3.5421999999999998</v>
      </c>
      <c r="F1814" s="79">
        <v>3.665</v>
      </c>
      <c r="G1814" s="83">
        <f t="shared" si="27"/>
        <v>3.1203587301587303</v>
      </c>
    </row>
    <row r="1815" spans="1:7" x14ac:dyDescent="0.2">
      <c r="A1815" s="75">
        <v>41355</v>
      </c>
      <c r="B1815" s="76" t="s">
        <v>35</v>
      </c>
      <c r="C1815" s="76" t="s">
        <v>536</v>
      </c>
      <c r="D1815" s="79">
        <v>3050.1728899999998</v>
      </c>
      <c r="E1815" s="79">
        <v>3.6655000000000002</v>
      </c>
      <c r="F1815" s="79">
        <v>3.6457000000000002</v>
      </c>
      <c r="G1815" s="83">
        <f t="shared" si="27"/>
        <v>3.1364111111111113</v>
      </c>
    </row>
    <row r="1816" spans="1:7" x14ac:dyDescent="0.2">
      <c r="A1816" s="75">
        <v>41358</v>
      </c>
      <c r="B1816" s="76" t="s">
        <v>35</v>
      </c>
      <c r="C1816" s="76" t="s">
        <v>536</v>
      </c>
      <c r="D1816" s="79">
        <v>3057.931016</v>
      </c>
      <c r="E1816" s="79">
        <v>3.6461999999999999</v>
      </c>
      <c r="F1816" s="79">
        <v>3.6006</v>
      </c>
      <c r="G1816" s="83">
        <f t="shared" si="27"/>
        <v>3.1522333333333337</v>
      </c>
    </row>
    <row r="1817" spans="1:7" x14ac:dyDescent="0.2">
      <c r="A1817" s="75">
        <v>41359</v>
      </c>
      <c r="B1817" s="76" t="s">
        <v>35</v>
      </c>
      <c r="C1817" s="76" t="s">
        <v>536</v>
      </c>
      <c r="D1817" s="79">
        <v>3060.2888050000001</v>
      </c>
      <c r="E1817" s="79">
        <v>3.601</v>
      </c>
      <c r="F1817" s="79">
        <v>3.5931000000000002</v>
      </c>
      <c r="G1817" s="83">
        <f t="shared" si="27"/>
        <v>3.1660444444444451</v>
      </c>
    </row>
    <row r="1818" spans="1:7" x14ac:dyDescent="0.2">
      <c r="A1818" s="75">
        <v>41360</v>
      </c>
      <c r="B1818" s="76" t="s">
        <v>35</v>
      </c>
      <c r="C1818" s="76" t="s">
        <v>536</v>
      </c>
      <c r="D1818" s="79">
        <v>3067.4528529999998</v>
      </c>
      <c r="E1818" s="79">
        <v>3.5935000000000001</v>
      </c>
      <c r="F1818" s="79">
        <v>3.5531000000000001</v>
      </c>
      <c r="G1818" s="83">
        <f t="shared" si="27"/>
        <v>3.1795079365079371</v>
      </c>
    </row>
    <row r="1819" spans="1:7" x14ac:dyDescent="0.2">
      <c r="A1819" s="75">
        <v>41361</v>
      </c>
      <c r="B1819" s="76" t="s">
        <v>35</v>
      </c>
      <c r="C1819" s="76" t="s">
        <v>536</v>
      </c>
      <c r="D1819" s="79">
        <v>3054.042817</v>
      </c>
      <c r="E1819" s="79">
        <v>3.5535000000000001</v>
      </c>
      <c r="F1819" s="79">
        <v>3.6524000000000001</v>
      </c>
      <c r="G1819" s="83">
        <f t="shared" si="27"/>
        <v>3.1923222222222232</v>
      </c>
    </row>
    <row r="1820" spans="1:7" x14ac:dyDescent="0.2">
      <c r="A1820" s="75">
        <v>41365</v>
      </c>
      <c r="B1820" s="76" t="s">
        <v>35</v>
      </c>
      <c r="C1820" s="76" t="s">
        <v>536</v>
      </c>
      <c r="D1820" s="79">
        <v>3044.6880209999999</v>
      </c>
      <c r="E1820" s="79">
        <v>3.6528999999999998</v>
      </c>
      <c r="F1820" s="79">
        <v>3.7246999999999999</v>
      </c>
      <c r="G1820" s="83">
        <f t="shared" si="27"/>
        <v>3.2067698412698418</v>
      </c>
    </row>
    <row r="1821" spans="1:7" x14ac:dyDescent="0.2">
      <c r="A1821" s="75">
        <v>41366</v>
      </c>
      <c r="B1821" s="76" t="s">
        <v>35</v>
      </c>
      <c r="C1821" s="76" t="s">
        <v>536</v>
      </c>
      <c r="D1821" s="79">
        <v>3052.5587449999998</v>
      </c>
      <c r="E1821" s="79">
        <v>3.7252000000000001</v>
      </c>
      <c r="F1821" s="79">
        <v>3.6798000000000002</v>
      </c>
      <c r="G1821" s="83">
        <f t="shared" si="27"/>
        <v>3.2223365079365087</v>
      </c>
    </row>
    <row r="1822" spans="1:7" x14ac:dyDescent="0.2">
      <c r="A1822" s="75">
        <v>41367</v>
      </c>
      <c r="B1822" s="76" t="s">
        <v>35</v>
      </c>
      <c r="C1822" s="76" t="s">
        <v>536</v>
      </c>
      <c r="D1822" s="79">
        <v>3044.3137879999999</v>
      </c>
      <c r="E1822" s="79">
        <v>3.6804000000000001</v>
      </c>
      <c r="F1822" s="79">
        <v>3.7446999999999999</v>
      </c>
      <c r="G1822" s="83">
        <f t="shared" si="27"/>
        <v>3.2370428571428573</v>
      </c>
    </row>
    <row r="1823" spans="1:7" x14ac:dyDescent="0.2">
      <c r="A1823" s="75">
        <v>41368</v>
      </c>
      <c r="B1823" s="76" t="s">
        <v>35</v>
      </c>
      <c r="C1823" s="76" t="s">
        <v>536</v>
      </c>
      <c r="D1823" s="79">
        <v>3050.8909090000002</v>
      </c>
      <c r="E1823" s="79">
        <v>3.7452999999999999</v>
      </c>
      <c r="F1823" s="79">
        <v>3.7086999999999999</v>
      </c>
      <c r="G1823" s="83">
        <f t="shared" si="27"/>
        <v>3.2527730158730157</v>
      </c>
    </row>
    <row r="1824" spans="1:7" x14ac:dyDescent="0.2">
      <c r="A1824" s="75">
        <v>41369</v>
      </c>
      <c r="B1824" s="76" t="s">
        <v>35</v>
      </c>
      <c r="C1824" s="76" t="s">
        <v>536</v>
      </c>
      <c r="D1824" s="79">
        <v>3075.5339669999998</v>
      </c>
      <c r="E1824" s="79">
        <v>3.7092999999999998</v>
      </c>
      <c r="F1824" s="79">
        <v>3.5506000000000002</v>
      </c>
      <c r="G1824" s="83">
        <f t="shared" si="27"/>
        <v>3.2686825396825401</v>
      </c>
    </row>
    <row r="1825" spans="1:7" x14ac:dyDescent="0.2">
      <c r="A1825" s="75">
        <v>41372</v>
      </c>
      <c r="B1825" s="76" t="s">
        <v>35</v>
      </c>
      <c r="C1825" s="76" t="s">
        <v>536</v>
      </c>
      <c r="D1825" s="79">
        <v>3074.3975479999999</v>
      </c>
      <c r="E1825" s="79">
        <v>3.5510999999999999</v>
      </c>
      <c r="F1825" s="79">
        <v>3.5668000000000002</v>
      </c>
      <c r="G1825" s="83">
        <f t="shared" si="27"/>
        <v>3.2831936507936512</v>
      </c>
    </row>
    <row r="1826" spans="1:7" x14ac:dyDescent="0.2">
      <c r="A1826" s="75">
        <v>41373</v>
      </c>
      <c r="B1826" s="76" t="s">
        <v>35</v>
      </c>
      <c r="C1826" s="76" t="s">
        <v>536</v>
      </c>
      <c r="D1826" s="79">
        <v>3072.6117049999998</v>
      </c>
      <c r="E1826" s="79">
        <v>3.5674000000000001</v>
      </c>
      <c r="F1826" s="79">
        <v>3.5874999999999999</v>
      </c>
      <c r="G1826" s="83">
        <f t="shared" si="27"/>
        <v>3.2975999999999996</v>
      </c>
    </row>
    <row r="1827" spans="1:7" x14ac:dyDescent="0.2">
      <c r="A1827" s="75">
        <v>41374</v>
      </c>
      <c r="B1827" s="76" t="s">
        <v>35</v>
      </c>
      <c r="C1827" s="76" t="s">
        <v>536</v>
      </c>
      <c r="D1827" s="79">
        <v>3071.8577249999998</v>
      </c>
      <c r="E1827" s="79">
        <v>3.5880999999999998</v>
      </c>
      <c r="F1827" s="79">
        <v>3.5960000000000001</v>
      </c>
      <c r="G1827" s="83">
        <f t="shared" si="27"/>
        <v>3.3126015873015877</v>
      </c>
    </row>
    <row r="1828" spans="1:7" x14ac:dyDescent="0.2">
      <c r="A1828" s="75">
        <v>41375</v>
      </c>
      <c r="B1828" s="76" t="s">
        <v>35</v>
      </c>
      <c r="C1828" s="76" t="s">
        <v>536</v>
      </c>
      <c r="D1828" s="79">
        <v>3065.4914509999999</v>
      </c>
      <c r="E1828" s="79">
        <v>3.5966</v>
      </c>
      <c r="F1828" s="79">
        <v>3.6474000000000002</v>
      </c>
      <c r="G1828" s="83">
        <f t="shared" si="27"/>
        <v>3.3267746031746035</v>
      </c>
    </row>
    <row r="1829" spans="1:7" x14ac:dyDescent="0.2">
      <c r="A1829" s="75">
        <v>41376</v>
      </c>
      <c r="B1829" s="76" t="s">
        <v>35</v>
      </c>
      <c r="C1829" s="76" t="s">
        <v>536</v>
      </c>
      <c r="D1829" s="79">
        <v>3046.959155</v>
      </c>
      <c r="E1829" s="79">
        <v>3.6480000000000001</v>
      </c>
      <c r="F1829" s="79">
        <v>3.7816999999999998</v>
      </c>
      <c r="G1829" s="83">
        <f t="shared" si="27"/>
        <v>3.3425666666666669</v>
      </c>
    </row>
    <row r="1830" spans="1:7" x14ac:dyDescent="0.2">
      <c r="A1830" s="75">
        <v>41379</v>
      </c>
      <c r="B1830" s="76" t="s">
        <v>35</v>
      </c>
      <c r="C1830" s="76" t="s">
        <v>536</v>
      </c>
      <c r="D1830" s="79">
        <v>3038.8658580000001</v>
      </c>
      <c r="E1830" s="79">
        <v>3.7822</v>
      </c>
      <c r="F1830" s="79">
        <v>3.8454000000000002</v>
      </c>
      <c r="G1830" s="83">
        <f t="shared" si="27"/>
        <v>3.360788888888889</v>
      </c>
    </row>
    <row r="1831" spans="1:7" x14ac:dyDescent="0.2">
      <c r="A1831" s="75">
        <v>41380</v>
      </c>
      <c r="B1831" s="76" t="s">
        <v>35</v>
      </c>
      <c r="C1831" s="76" t="s">
        <v>536</v>
      </c>
      <c r="D1831" s="79">
        <v>3038.4210419999999</v>
      </c>
      <c r="E1831" s="79">
        <v>3.8458000000000001</v>
      </c>
      <c r="F1831" s="79">
        <v>3.8563999999999998</v>
      </c>
      <c r="G1831" s="83">
        <f t="shared" si="27"/>
        <v>3.3801079365079363</v>
      </c>
    </row>
    <row r="1832" spans="1:7" x14ac:dyDescent="0.2">
      <c r="A1832" s="75">
        <v>41381</v>
      </c>
      <c r="B1832" s="76" t="s">
        <v>35</v>
      </c>
      <c r="C1832" s="76" t="s">
        <v>536</v>
      </c>
      <c r="D1832" s="79">
        <v>3043.390218</v>
      </c>
      <c r="E1832" s="79">
        <v>3.8569</v>
      </c>
      <c r="F1832" s="79">
        <v>3.8304999999999998</v>
      </c>
      <c r="G1832" s="83">
        <f t="shared" si="27"/>
        <v>3.3994984126984127</v>
      </c>
    </row>
    <row r="1833" spans="1:7" x14ac:dyDescent="0.2">
      <c r="A1833" s="75">
        <v>41382</v>
      </c>
      <c r="B1833" s="76" t="s">
        <v>35</v>
      </c>
      <c r="C1833" s="76" t="s">
        <v>536</v>
      </c>
      <c r="D1833" s="79">
        <v>3089.4073320000002</v>
      </c>
      <c r="E1833" s="79">
        <v>3.831</v>
      </c>
      <c r="F1833" s="79">
        <v>3.5270999999999999</v>
      </c>
      <c r="G1833" s="83">
        <f t="shared" si="27"/>
        <v>3.4180317460317458</v>
      </c>
    </row>
    <row r="1834" spans="1:7" x14ac:dyDescent="0.2">
      <c r="A1834" s="75">
        <v>41383</v>
      </c>
      <c r="B1834" s="76" t="s">
        <v>35</v>
      </c>
      <c r="C1834" s="76" t="s">
        <v>536</v>
      </c>
      <c r="D1834" s="79">
        <v>3092.6863830000002</v>
      </c>
      <c r="E1834" s="79">
        <v>3.5276999999999998</v>
      </c>
      <c r="F1834" s="79">
        <v>3.5129999999999999</v>
      </c>
      <c r="G1834" s="83">
        <f t="shared" si="27"/>
        <v>3.4314380952380952</v>
      </c>
    </row>
    <row r="1835" spans="1:7" x14ac:dyDescent="0.2">
      <c r="A1835" s="75">
        <v>41386</v>
      </c>
      <c r="B1835" s="76" t="s">
        <v>35</v>
      </c>
      <c r="C1835" s="76" t="s">
        <v>536</v>
      </c>
      <c r="D1835" s="79">
        <v>3101.3341180000002</v>
      </c>
      <c r="E1835" s="79">
        <v>3.5135999999999998</v>
      </c>
      <c r="F1835" s="79">
        <v>3.4645000000000001</v>
      </c>
      <c r="G1835" s="83">
        <f t="shared" si="27"/>
        <v>3.4435380952380954</v>
      </c>
    </row>
    <row r="1836" spans="1:7" x14ac:dyDescent="0.2">
      <c r="A1836" s="75">
        <v>41387</v>
      </c>
      <c r="B1836" s="76" t="s">
        <v>35</v>
      </c>
      <c r="C1836" s="76" t="s">
        <v>536</v>
      </c>
      <c r="D1836" s="79">
        <v>3103.8693130000001</v>
      </c>
      <c r="E1836" s="79">
        <v>3.4651000000000001</v>
      </c>
      <c r="F1836" s="79">
        <v>3.4557000000000002</v>
      </c>
      <c r="G1836" s="83">
        <f t="shared" si="27"/>
        <v>3.4542301587301583</v>
      </c>
    </row>
    <row r="1837" spans="1:7" x14ac:dyDescent="0.2">
      <c r="A1837" s="75">
        <v>41388</v>
      </c>
      <c r="B1837" s="76" t="s">
        <v>35</v>
      </c>
      <c r="C1837" s="76" t="s">
        <v>536</v>
      </c>
      <c r="D1837" s="79">
        <v>3099.7530700000002</v>
      </c>
      <c r="E1837" s="79">
        <v>3.4563000000000001</v>
      </c>
      <c r="F1837" s="79">
        <v>3.4912999999999998</v>
      </c>
      <c r="G1837" s="83">
        <f t="shared" si="27"/>
        <v>3.4656603174603173</v>
      </c>
    </row>
    <row r="1838" spans="1:7" x14ac:dyDescent="0.2">
      <c r="A1838" s="75">
        <v>41389</v>
      </c>
      <c r="B1838" s="76" t="s">
        <v>35</v>
      </c>
      <c r="C1838" s="76" t="s">
        <v>536</v>
      </c>
      <c r="D1838" s="79">
        <v>3089.5007519999999</v>
      </c>
      <c r="E1838" s="79">
        <v>3.4918999999999998</v>
      </c>
      <c r="F1838" s="79">
        <v>3.5680999999999998</v>
      </c>
      <c r="G1838" s="83">
        <f t="shared" si="27"/>
        <v>3.4771190476190474</v>
      </c>
    </row>
    <row r="1839" spans="1:7" x14ac:dyDescent="0.2">
      <c r="A1839" s="75">
        <v>41390</v>
      </c>
      <c r="B1839" s="76" t="s">
        <v>35</v>
      </c>
      <c r="C1839" s="76" t="s">
        <v>536</v>
      </c>
      <c r="D1839" s="79">
        <v>3095.1118809999998</v>
      </c>
      <c r="E1839" s="79">
        <v>3.5687000000000002</v>
      </c>
      <c r="F1839" s="79">
        <v>3.5387</v>
      </c>
      <c r="G1839" s="83">
        <f t="shared" si="27"/>
        <v>3.4900238095238096</v>
      </c>
    </row>
    <row r="1840" spans="1:7" x14ac:dyDescent="0.2">
      <c r="A1840" s="75">
        <v>41393</v>
      </c>
      <c r="B1840" s="76" t="s">
        <v>35</v>
      </c>
      <c r="C1840" s="76" t="s">
        <v>536</v>
      </c>
      <c r="D1840" s="79">
        <v>3098.80107</v>
      </c>
      <c r="E1840" s="79">
        <v>3.5392999999999999</v>
      </c>
      <c r="F1840" s="79">
        <v>3.5222000000000002</v>
      </c>
      <c r="G1840" s="83">
        <f t="shared" si="27"/>
        <v>3.4993999999999996</v>
      </c>
    </row>
    <row r="1841" spans="1:7" x14ac:dyDescent="0.2">
      <c r="A1841" s="75">
        <v>41394</v>
      </c>
      <c r="B1841" s="76" t="s">
        <v>35</v>
      </c>
      <c r="C1841" s="76" t="s">
        <v>536</v>
      </c>
      <c r="D1841" s="79">
        <v>3101.3702079999998</v>
      </c>
      <c r="E1841" s="79">
        <v>3.5228000000000002</v>
      </c>
      <c r="F1841" s="79">
        <v>3.5131999999999999</v>
      </c>
      <c r="G1841" s="83">
        <f t="shared" si="27"/>
        <v>3.5084746031746024</v>
      </c>
    </row>
    <row r="1842" spans="1:7" x14ac:dyDescent="0.2">
      <c r="A1842" s="75">
        <v>41396</v>
      </c>
      <c r="B1842" s="76" t="s">
        <v>35</v>
      </c>
      <c r="C1842" s="76" t="s">
        <v>536</v>
      </c>
      <c r="D1842" s="79">
        <v>3119.2225920000001</v>
      </c>
      <c r="E1842" s="79">
        <v>3.5137999999999998</v>
      </c>
      <c r="F1842" s="79">
        <v>3.4024999999999999</v>
      </c>
      <c r="G1842" s="83">
        <f t="shared" si="27"/>
        <v>3.5170952380952376</v>
      </c>
    </row>
    <row r="1843" spans="1:7" x14ac:dyDescent="0.2">
      <c r="A1843" s="75">
        <v>41397</v>
      </c>
      <c r="B1843" s="76" t="s">
        <v>35</v>
      </c>
      <c r="C1843" s="76" t="s">
        <v>536</v>
      </c>
      <c r="D1843" s="79">
        <v>3110.942642</v>
      </c>
      <c r="E1843" s="79">
        <v>3.4030999999999998</v>
      </c>
      <c r="F1843" s="79">
        <v>3.4655999999999998</v>
      </c>
      <c r="G1843" s="83">
        <f t="shared" si="27"/>
        <v>3.5238730158730154</v>
      </c>
    </row>
    <row r="1844" spans="1:7" x14ac:dyDescent="0.2">
      <c r="A1844" s="75">
        <v>41400</v>
      </c>
      <c r="B1844" s="76" t="s">
        <v>35</v>
      </c>
      <c r="C1844" s="76" t="s">
        <v>536</v>
      </c>
      <c r="D1844" s="79">
        <v>3117.2774800000002</v>
      </c>
      <c r="E1844" s="79">
        <v>3.4662000000000002</v>
      </c>
      <c r="F1844" s="79">
        <v>3.4316</v>
      </c>
      <c r="G1844" s="83">
        <f t="shared" si="27"/>
        <v>3.5310603174603163</v>
      </c>
    </row>
    <row r="1845" spans="1:7" x14ac:dyDescent="0.2">
      <c r="A1845" s="75">
        <v>41401</v>
      </c>
      <c r="B1845" s="76" t="s">
        <v>35</v>
      </c>
      <c r="C1845" s="76" t="s">
        <v>536</v>
      </c>
      <c r="D1845" s="79">
        <v>3121.7821749999998</v>
      </c>
      <c r="E1845" s="79">
        <v>3.4321999999999999</v>
      </c>
      <c r="F1845" s="79">
        <v>3.4098000000000002</v>
      </c>
      <c r="G1845" s="83">
        <f t="shared" si="27"/>
        <v>3.5368079365079348</v>
      </c>
    </row>
    <row r="1846" spans="1:7" x14ac:dyDescent="0.2">
      <c r="A1846" s="75">
        <v>41402</v>
      </c>
      <c r="B1846" s="76" t="s">
        <v>35</v>
      </c>
      <c r="C1846" s="76" t="s">
        <v>536</v>
      </c>
      <c r="D1846" s="79">
        <v>3125.5345040000002</v>
      </c>
      <c r="E1846" s="79">
        <v>3.4104000000000001</v>
      </c>
      <c r="F1846" s="79">
        <v>3.4039999999999999</v>
      </c>
      <c r="G1846" s="83">
        <f t="shared" si="27"/>
        <v>3.541771428571427</v>
      </c>
    </row>
    <row r="1847" spans="1:7" x14ac:dyDescent="0.2">
      <c r="A1847" s="75">
        <v>41403</v>
      </c>
      <c r="B1847" s="76" t="s">
        <v>35</v>
      </c>
      <c r="C1847" s="76" t="s">
        <v>536</v>
      </c>
      <c r="D1847" s="79">
        <v>3114.949345</v>
      </c>
      <c r="E1847" s="79">
        <v>3.4047000000000001</v>
      </c>
      <c r="F1847" s="79">
        <v>3.4830999999999999</v>
      </c>
      <c r="G1847" s="83">
        <f t="shared" si="27"/>
        <v>3.5452095238095223</v>
      </c>
    </row>
    <row r="1848" spans="1:7" x14ac:dyDescent="0.2">
      <c r="A1848" s="75">
        <v>41404</v>
      </c>
      <c r="B1848" s="76" t="s">
        <v>35</v>
      </c>
      <c r="C1848" s="76" t="s">
        <v>536</v>
      </c>
      <c r="D1848" s="79">
        <v>3099.5258220000001</v>
      </c>
      <c r="E1848" s="79">
        <v>3.4838</v>
      </c>
      <c r="F1848" s="79">
        <v>3.5949</v>
      </c>
      <c r="G1848" s="83">
        <f t="shared" si="27"/>
        <v>3.5479174603174588</v>
      </c>
    </row>
    <row r="1849" spans="1:7" x14ac:dyDescent="0.2">
      <c r="A1849" s="75">
        <v>41407</v>
      </c>
      <c r="B1849" s="76" t="s">
        <v>35</v>
      </c>
      <c r="C1849" s="76" t="s">
        <v>536</v>
      </c>
      <c r="D1849" s="79">
        <v>3104.3915499999998</v>
      </c>
      <c r="E1849" s="79">
        <v>3.5956000000000001</v>
      </c>
      <c r="F1849" s="79">
        <v>3.5714000000000001</v>
      </c>
      <c r="G1849" s="83">
        <f t="shared" si="27"/>
        <v>3.5513920634920622</v>
      </c>
    </row>
    <row r="1850" spans="1:7" x14ac:dyDescent="0.2">
      <c r="A1850" s="75">
        <v>41408</v>
      </c>
      <c r="B1850" s="76" t="s">
        <v>35</v>
      </c>
      <c r="C1850" s="76" t="s">
        <v>536</v>
      </c>
      <c r="D1850" s="79">
        <v>3087.958513</v>
      </c>
      <c r="E1850" s="79">
        <v>3.5720999999999998</v>
      </c>
      <c r="F1850" s="79">
        <v>3.6905000000000001</v>
      </c>
      <c r="G1850" s="83">
        <f t="shared" si="27"/>
        <v>3.5532333333333321</v>
      </c>
    </row>
    <row r="1851" spans="1:7" x14ac:dyDescent="0.2">
      <c r="A1851" s="75">
        <v>41409</v>
      </c>
      <c r="B1851" s="76" t="s">
        <v>35</v>
      </c>
      <c r="C1851" s="76" t="s">
        <v>536</v>
      </c>
      <c r="D1851" s="79">
        <v>3103.0893000000001</v>
      </c>
      <c r="E1851" s="79">
        <v>3.6913</v>
      </c>
      <c r="F1851" s="79">
        <v>3.5983000000000001</v>
      </c>
      <c r="G1851" s="83">
        <f t="shared" si="27"/>
        <v>3.5563476190476178</v>
      </c>
    </row>
    <row r="1852" spans="1:7" x14ac:dyDescent="0.2">
      <c r="A1852" s="75">
        <v>41410</v>
      </c>
      <c r="B1852" s="76" t="s">
        <v>35</v>
      </c>
      <c r="C1852" s="76" t="s">
        <v>536</v>
      </c>
      <c r="D1852" s="79">
        <v>3106.6994020000002</v>
      </c>
      <c r="E1852" s="79">
        <v>3.5991</v>
      </c>
      <c r="F1852" s="79">
        <v>3.5811000000000002</v>
      </c>
      <c r="G1852" s="83">
        <f t="shared" si="27"/>
        <v>3.5587444444444434</v>
      </c>
    </row>
    <row r="1853" spans="1:7" x14ac:dyDescent="0.2">
      <c r="A1853" s="75">
        <v>41411</v>
      </c>
      <c r="B1853" s="76" t="s">
        <v>35</v>
      </c>
      <c r="C1853" s="76" t="s">
        <v>536</v>
      </c>
      <c r="D1853" s="79">
        <v>3096.5745040000002</v>
      </c>
      <c r="E1853" s="79">
        <v>3.5817999999999999</v>
      </c>
      <c r="F1853" s="79">
        <v>3.6556000000000002</v>
      </c>
      <c r="G1853" s="83">
        <f t="shared" si="27"/>
        <v>3.5602873015873002</v>
      </c>
    </row>
    <row r="1854" spans="1:7" x14ac:dyDescent="0.2">
      <c r="A1854" s="75">
        <v>41414</v>
      </c>
      <c r="B1854" s="76" t="s">
        <v>35</v>
      </c>
      <c r="C1854" s="76" t="s">
        <v>536</v>
      </c>
      <c r="D1854" s="79">
        <v>3087.837544</v>
      </c>
      <c r="E1854" s="79">
        <v>3.6562000000000001</v>
      </c>
      <c r="F1854" s="79">
        <v>3.7210000000000001</v>
      </c>
      <c r="G1854" s="83">
        <f t="shared" si="27"/>
        <v>3.5632492063492056</v>
      </c>
    </row>
    <row r="1855" spans="1:7" x14ac:dyDescent="0.2">
      <c r="A1855" s="75">
        <v>41415</v>
      </c>
      <c r="B1855" s="76" t="s">
        <v>35</v>
      </c>
      <c r="C1855" s="76" t="s">
        <v>536</v>
      </c>
      <c r="D1855" s="79">
        <v>3091.3965509999998</v>
      </c>
      <c r="E1855" s="79">
        <v>3.7216</v>
      </c>
      <c r="F1855" s="79">
        <v>3.7039</v>
      </c>
      <c r="G1855" s="83">
        <f t="shared" si="27"/>
        <v>3.5666333333333324</v>
      </c>
    </row>
    <row r="1856" spans="1:7" x14ac:dyDescent="0.2">
      <c r="A1856" s="75">
        <v>41416</v>
      </c>
      <c r="B1856" s="76" t="s">
        <v>35</v>
      </c>
      <c r="C1856" s="76" t="s">
        <v>536</v>
      </c>
      <c r="D1856" s="79">
        <v>3089.2230629999999</v>
      </c>
      <c r="E1856" s="79">
        <v>3.7044999999999999</v>
      </c>
      <c r="F1856" s="79">
        <v>3.7252999999999998</v>
      </c>
      <c r="G1856" s="83">
        <f t="shared" si="27"/>
        <v>3.5698317460317455</v>
      </c>
    </row>
    <row r="1857" spans="1:7" x14ac:dyDescent="0.2">
      <c r="A1857" s="75">
        <v>41417</v>
      </c>
      <c r="B1857" s="76" t="s">
        <v>35</v>
      </c>
      <c r="C1857" s="76" t="s">
        <v>536</v>
      </c>
      <c r="D1857" s="79">
        <v>3086.6317119999999</v>
      </c>
      <c r="E1857" s="79">
        <v>3.7259000000000002</v>
      </c>
      <c r="F1857" s="79">
        <v>3.7517999999999998</v>
      </c>
      <c r="G1857" s="83">
        <f t="shared" si="27"/>
        <v>3.5727619047619039</v>
      </c>
    </row>
    <row r="1858" spans="1:7" x14ac:dyDescent="0.2">
      <c r="A1858" s="75">
        <v>41418</v>
      </c>
      <c r="B1858" s="76" t="s">
        <v>35</v>
      </c>
      <c r="C1858" s="76" t="s">
        <v>536</v>
      </c>
      <c r="D1858" s="79">
        <v>3073.2040870000001</v>
      </c>
      <c r="E1858" s="79">
        <v>3.7524000000000002</v>
      </c>
      <c r="F1858" s="79">
        <v>3.8496000000000001</v>
      </c>
      <c r="G1858" s="83">
        <f t="shared" si="27"/>
        <v>3.5765761904761901</v>
      </c>
    </row>
    <row r="1859" spans="1:7" x14ac:dyDescent="0.2">
      <c r="A1859" s="75">
        <v>41421</v>
      </c>
      <c r="B1859" s="76" t="s">
        <v>35</v>
      </c>
      <c r="C1859" s="76" t="s">
        <v>536</v>
      </c>
      <c r="D1859" s="79">
        <v>3066.7665390000002</v>
      </c>
      <c r="E1859" s="79">
        <v>3.8502000000000001</v>
      </c>
      <c r="F1859" s="79">
        <v>3.9005000000000001</v>
      </c>
      <c r="G1859" s="83">
        <f t="shared" ref="G1859:G1922" si="28">+AVERAGE(E1797:E1859)</f>
        <v>3.5804079365079358</v>
      </c>
    </row>
    <row r="1860" spans="1:7" x14ac:dyDescent="0.2">
      <c r="A1860" s="75">
        <v>41422</v>
      </c>
      <c r="B1860" s="76" t="s">
        <v>35</v>
      </c>
      <c r="C1860" s="76" t="s">
        <v>536</v>
      </c>
      <c r="D1860" s="79">
        <v>3054.886407</v>
      </c>
      <c r="E1860" s="79">
        <v>3.9011999999999998</v>
      </c>
      <c r="F1860" s="79">
        <v>3.9887000000000001</v>
      </c>
      <c r="G1860" s="83">
        <f t="shared" si="28"/>
        <v>3.5860873015873009</v>
      </c>
    </row>
    <row r="1861" spans="1:7" x14ac:dyDescent="0.2">
      <c r="A1861" s="75">
        <v>41423</v>
      </c>
      <c r="B1861" s="76" t="s">
        <v>35</v>
      </c>
      <c r="C1861" s="76" t="s">
        <v>536</v>
      </c>
      <c r="D1861" s="79">
        <v>3066.2737929999998</v>
      </c>
      <c r="E1861" s="79">
        <v>3.9893000000000001</v>
      </c>
      <c r="F1861" s="79">
        <v>3.9186999999999999</v>
      </c>
      <c r="G1861" s="83">
        <f t="shared" si="28"/>
        <v>3.5934428571428567</v>
      </c>
    </row>
    <row r="1862" spans="1:7" x14ac:dyDescent="0.2">
      <c r="A1862" s="75">
        <v>41425</v>
      </c>
      <c r="B1862" s="76" t="s">
        <v>35</v>
      </c>
      <c r="C1862" s="76" t="s">
        <v>536</v>
      </c>
      <c r="D1862" s="79">
        <v>3000.7452539999999</v>
      </c>
      <c r="E1862" s="79">
        <v>3.9194</v>
      </c>
      <c r="F1862" s="79">
        <v>4.3765000000000001</v>
      </c>
      <c r="G1862" s="83">
        <f t="shared" si="28"/>
        <v>3.6000190476190466</v>
      </c>
    </row>
    <row r="1863" spans="1:7" x14ac:dyDescent="0.2">
      <c r="A1863" s="75">
        <v>41428</v>
      </c>
      <c r="B1863" s="76" t="s">
        <v>35</v>
      </c>
      <c r="C1863" s="76" t="s">
        <v>536</v>
      </c>
      <c r="D1863" s="79">
        <v>2998.800452</v>
      </c>
      <c r="E1863" s="79">
        <v>4.3769999999999998</v>
      </c>
      <c r="F1863" s="79">
        <v>4.3977000000000004</v>
      </c>
      <c r="G1863" s="83">
        <f t="shared" si="28"/>
        <v>3.6136793650793648</v>
      </c>
    </row>
    <row r="1864" spans="1:7" x14ac:dyDescent="0.2">
      <c r="A1864" s="75">
        <v>41429</v>
      </c>
      <c r="B1864" s="76" t="s">
        <v>35</v>
      </c>
      <c r="C1864" s="76" t="s">
        <v>536</v>
      </c>
      <c r="D1864" s="79">
        <v>3013.519597</v>
      </c>
      <c r="E1864" s="79">
        <v>4.3982000000000001</v>
      </c>
      <c r="F1864" s="79">
        <v>4.3030999999999997</v>
      </c>
      <c r="G1864" s="83">
        <f t="shared" si="28"/>
        <v>3.6285730158730152</v>
      </c>
    </row>
    <row r="1865" spans="1:7" x14ac:dyDescent="0.2">
      <c r="A1865" s="75">
        <v>41430</v>
      </c>
      <c r="B1865" s="76" t="s">
        <v>35</v>
      </c>
      <c r="C1865" s="76" t="s">
        <v>536</v>
      </c>
      <c r="D1865" s="79">
        <v>3008.860514</v>
      </c>
      <c r="E1865" s="79">
        <v>4.3036000000000003</v>
      </c>
      <c r="F1865" s="79">
        <v>4.343</v>
      </c>
      <c r="G1865" s="83">
        <f t="shared" si="28"/>
        <v>3.6424158730158718</v>
      </c>
    </row>
    <row r="1866" spans="1:7" x14ac:dyDescent="0.2">
      <c r="A1866" s="75">
        <v>41431</v>
      </c>
      <c r="B1866" s="76" t="s">
        <v>35</v>
      </c>
      <c r="C1866" s="76" t="s">
        <v>536</v>
      </c>
      <c r="D1866" s="79">
        <v>2997.0935549999999</v>
      </c>
      <c r="E1866" s="79">
        <v>4.3434999999999997</v>
      </c>
      <c r="F1866" s="79">
        <v>4.4325000000000001</v>
      </c>
      <c r="G1866" s="83">
        <f t="shared" si="28"/>
        <v>3.6578285714285705</v>
      </c>
    </row>
    <row r="1867" spans="1:7" x14ac:dyDescent="0.2">
      <c r="A1867" s="75">
        <v>41432</v>
      </c>
      <c r="B1867" s="76" t="s">
        <v>35</v>
      </c>
      <c r="C1867" s="76" t="s">
        <v>536</v>
      </c>
      <c r="D1867" s="79">
        <v>2984.5480130000001</v>
      </c>
      <c r="E1867" s="79">
        <v>4.4329000000000001</v>
      </c>
      <c r="F1867" s="79">
        <v>4.5263</v>
      </c>
      <c r="G1867" s="83">
        <f t="shared" si="28"/>
        <v>3.6750888888888884</v>
      </c>
    </row>
    <row r="1868" spans="1:7" x14ac:dyDescent="0.2">
      <c r="A1868" s="75">
        <v>41435</v>
      </c>
      <c r="B1868" s="76" t="s">
        <v>35</v>
      </c>
      <c r="C1868" s="76" t="s">
        <v>536</v>
      </c>
      <c r="D1868" s="79">
        <v>2938.924716</v>
      </c>
      <c r="E1868" s="79">
        <v>4.5266999999999999</v>
      </c>
      <c r="F1868" s="79">
        <v>4.8567</v>
      </c>
      <c r="G1868" s="83">
        <f t="shared" si="28"/>
        <v>3.6930349206349193</v>
      </c>
    </row>
    <row r="1869" spans="1:7" x14ac:dyDescent="0.2">
      <c r="A1869" s="75">
        <v>41436</v>
      </c>
      <c r="B1869" s="76" t="s">
        <v>35</v>
      </c>
      <c r="C1869" s="76" t="s">
        <v>536</v>
      </c>
      <c r="D1869" s="79">
        <v>2924.3883540000002</v>
      </c>
      <c r="E1869" s="79">
        <v>4.8571999999999997</v>
      </c>
      <c r="F1869" s="79">
        <v>4.9687999999999999</v>
      </c>
      <c r="G1869" s="83">
        <f t="shared" si="28"/>
        <v>3.7146904761904755</v>
      </c>
    </row>
    <row r="1870" spans="1:7" x14ac:dyDescent="0.2">
      <c r="A1870" s="75">
        <v>41437</v>
      </c>
      <c r="B1870" s="76" t="s">
        <v>35</v>
      </c>
      <c r="C1870" s="76" t="s">
        <v>536</v>
      </c>
      <c r="D1870" s="79">
        <v>2903.4036809999998</v>
      </c>
      <c r="E1870" s="79">
        <v>4.9692999999999996</v>
      </c>
      <c r="F1870" s="79">
        <v>5.1283000000000003</v>
      </c>
      <c r="G1870" s="83">
        <f t="shared" si="28"/>
        <v>3.7378571428571425</v>
      </c>
    </row>
    <row r="1871" spans="1:7" x14ac:dyDescent="0.2">
      <c r="A1871" s="75">
        <v>41438</v>
      </c>
      <c r="B1871" s="76" t="s">
        <v>35</v>
      </c>
      <c r="C1871" s="76" t="s">
        <v>536</v>
      </c>
      <c r="D1871" s="79">
        <v>2940.006245</v>
      </c>
      <c r="E1871" s="79">
        <v>5.1288</v>
      </c>
      <c r="F1871" s="79">
        <v>4.8731999999999998</v>
      </c>
      <c r="G1871" s="83">
        <f t="shared" si="28"/>
        <v>3.7629095238095238</v>
      </c>
    </row>
    <row r="1872" spans="1:7" x14ac:dyDescent="0.2">
      <c r="A1872" s="75">
        <v>41439</v>
      </c>
      <c r="B1872" s="76" t="s">
        <v>35</v>
      </c>
      <c r="C1872" s="76" t="s">
        <v>536</v>
      </c>
      <c r="D1872" s="79">
        <v>2915.4241670000001</v>
      </c>
      <c r="E1872" s="79">
        <v>4.8737000000000004</v>
      </c>
      <c r="F1872" s="79">
        <v>5.0575999999999999</v>
      </c>
      <c r="G1872" s="83">
        <f t="shared" si="28"/>
        <v>3.7823079365079364</v>
      </c>
    </row>
    <row r="1873" spans="1:7" x14ac:dyDescent="0.2">
      <c r="A1873" s="75">
        <v>41442</v>
      </c>
      <c r="B1873" s="76" t="s">
        <v>35</v>
      </c>
      <c r="C1873" s="76" t="s">
        <v>536</v>
      </c>
      <c r="D1873" s="79">
        <v>2894.1334409999999</v>
      </c>
      <c r="E1873" s="79">
        <v>5.0579999999999998</v>
      </c>
      <c r="F1873" s="79">
        <v>5.2199</v>
      </c>
      <c r="G1873" s="83">
        <f t="shared" si="28"/>
        <v>3.8052698412698409</v>
      </c>
    </row>
    <row r="1874" spans="1:7" x14ac:dyDescent="0.2">
      <c r="A1874" s="75">
        <v>41443</v>
      </c>
      <c r="B1874" s="76" t="s">
        <v>35</v>
      </c>
      <c r="C1874" s="76" t="s">
        <v>536</v>
      </c>
      <c r="D1874" s="79">
        <v>2857.470894</v>
      </c>
      <c r="E1874" s="79">
        <v>5.2202000000000002</v>
      </c>
      <c r="F1874" s="79">
        <v>5.4970999999999997</v>
      </c>
      <c r="G1874" s="83">
        <f t="shared" si="28"/>
        <v>3.8317682539682538</v>
      </c>
    </row>
    <row r="1875" spans="1:7" x14ac:dyDescent="0.2">
      <c r="A1875" s="75">
        <v>41444</v>
      </c>
      <c r="B1875" s="76" t="s">
        <v>35</v>
      </c>
      <c r="C1875" s="76" t="s">
        <v>536</v>
      </c>
      <c r="D1875" s="79">
        <v>2815.6361870000001</v>
      </c>
      <c r="E1875" s="79">
        <v>5.4973000000000001</v>
      </c>
      <c r="F1875" s="79">
        <v>5.8174999999999999</v>
      </c>
      <c r="G1875" s="83">
        <f t="shared" si="28"/>
        <v>3.8625603174603169</v>
      </c>
    </row>
    <row r="1876" spans="1:7" x14ac:dyDescent="0.2">
      <c r="A1876" s="75">
        <v>41445</v>
      </c>
      <c r="B1876" s="76" t="s">
        <v>35</v>
      </c>
      <c r="C1876" s="76" t="s">
        <v>536</v>
      </c>
      <c r="D1876" s="79">
        <v>2821.7265809999999</v>
      </c>
      <c r="E1876" s="79">
        <v>5.8177000000000003</v>
      </c>
      <c r="F1876" s="79">
        <v>5.7805</v>
      </c>
      <c r="G1876" s="83">
        <f t="shared" si="28"/>
        <v>3.8991492063492061</v>
      </c>
    </row>
    <row r="1877" spans="1:7" x14ac:dyDescent="0.2">
      <c r="A1877" s="75">
        <v>41446</v>
      </c>
      <c r="B1877" s="76" t="s">
        <v>35</v>
      </c>
      <c r="C1877" s="76" t="s">
        <v>536</v>
      </c>
      <c r="D1877" s="79">
        <v>2866.7448490000002</v>
      </c>
      <c r="E1877" s="79">
        <v>5.7805</v>
      </c>
      <c r="F1877" s="79">
        <v>5.4543999999999997</v>
      </c>
      <c r="G1877" s="83">
        <f t="shared" si="28"/>
        <v>3.9346777777777779</v>
      </c>
    </row>
    <row r="1878" spans="1:7" x14ac:dyDescent="0.2">
      <c r="A1878" s="75">
        <v>41449</v>
      </c>
      <c r="B1878" s="76" t="s">
        <v>35</v>
      </c>
      <c r="C1878" s="76" t="s">
        <v>536</v>
      </c>
      <c r="D1878" s="79">
        <v>2915.1750430000002</v>
      </c>
      <c r="E1878" s="79">
        <v>5.4542999999999999</v>
      </c>
      <c r="F1878" s="79">
        <v>5.1074000000000002</v>
      </c>
      <c r="G1878" s="83">
        <f t="shared" si="28"/>
        <v>3.9630714285714284</v>
      </c>
    </row>
    <row r="1879" spans="1:7" x14ac:dyDescent="0.2">
      <c r="A1879" s="75">
        <v>41450</v>
      </c>
      <c r="B1879" s="76" t="s">
        <v>35</v>
      </c>
      <c r="C1879" s="76" t="s">
        <v>536</v>
      </c>
      <c r="D1879" s="79">
        <v>2936.2739889999998</v>
      </c>
      <c r="E1879" s="79">
        <v>5.1075999999999997</v>
      </c>
      <c r="F1879" s="79">
        <v>4.9634999999999998</v>
      </c>
      <c r="G1879" s="83">
        <f t="shared" si="28"/>
        <v>3.9862682539682543</v>
      </c>
    </row>
    <row r="1880" spans="1:7" x14ac:dyDescent="0.2">
      <c r="A1880" s="75">
        <v>41451</v>
      </c>
      <c r="B1880" s="76" t="s">
        <v>35</v>
      </c>
      <c r="C1880" s="76" t="s">
        <v>536</v>
      </c>
      <c r="D1880" s="79">
        <v>2934.9740069999998</v>
      </c>
      <c r="E1880" s="79">
        <v>4.9638</v>
      </c>
      <c r="F1880" s="79">
        <v>4.9805000000000001</v>
      </c>
      <c r="G1880" s="83">
        <f t="shared" si="28"/>
        <v>4.0079000000000002</v>
      </c>
    </row>
    <row r="1881" spans="1:7" x14ac:dyDescent="0.2">
      <c r="A1881" s="75">
        <v>41452</v>
      </c>
      <c r="B1881" s="76" t="s">
        <v>35</v>
      </c>
      <c r="C1881" s="76" t="s">
        <v>536</v>
      </c>
      <c r="D1881" s="79">
        <v>2950.3026629999999</v>
      </c>
      <c r="E1881" s="79">
        <v>4.9808000000000003</v>
      </c>
      <c r="F1881" s="79">
        <v>4.8788</v>
      </c>
      <c r="G1881" s="83">
        <f t="shared" si="28"/>
        <v>4.0299206349206349</v>
      </c>
    </row>
    <row r="1882" spans="1:7" x14ac:dyDescent="0.2">
      <c r="A1882" s="75">
        <v>41453</v>
      </c>
      <c r="B1882" s="76" t="s">
        <v>35</v>
      </c>
      <c r="C1882" s="76" t="s">
        <v>536</v>
      </c>
      <c r="D1882" s="79">
        <v>2924.750333</v>
      </c>
      <c r="E1882" s="79">
        <v>4.8791000000000002</v>
      </c>
      <c r="F1882" s="79">
        <v>5.0692000000000004</v>
      </c>
      <c r="G1882" s="83">
        <f t="shared" si="28"/>
        <v>4.0509619047619037</v>
      </c>
    </row>
    <row r="1883" spans="1:7" x14ac:dyDescent="0.2">
      <c r="A1883" s="75">
        <v>41456</v>
      </c>
      <c r="B1883" s="76" t="s">
        <v>35</v>
      </c>
      <c r="C1883" s="76" t="s">
        <v>536</v>
      </c>
      <c r="D1883" s="79">
        <v>2933.6926020000001</v>
      </c>
      <c r="E1883" s="79">
        <v>5.0694999999999997</v>
      </c>
      <c r="F1883" s="79">
        <v>5.0128000000000004</v>
      </c>
      <c r="G1883" s="83">
        <f t="shared" si="28"/>
        <v>4.0734476190476183</v>
      </c>
    </row>
    <row r="1884" spans="1:7" x14ac:dyDescent="0.2">
      <c r="A1884" s="75">
        <v>41457</v>
      </c>
      <c r="B1884" s="76" t="s">
        <v>35</v>
      </c>
      <c r="C1884" s="76" t="s">
        <v>536</v>
      </c>
      <c r="D1884" s="79">
        <v>2949.0137580000001</v>
      </c>
      <c r="E1884" s="79">
        <v>5.0130999999999997</v>
      </c>
      <c r="F1884" s="79">
        <v>4.9111000000000002</v>
      </c>
      <c r="G1884" s="83">
        <f t="shared" si="28"/>
        <v>4.0938904761904764</v>
      </c>
    </row>
    <row r="1885" spans="1:7" x14ac:dyDescent="0.2">
      <c r="A1885" s="75">
        <v>41458</v>
      </c>
      <c r="B1885" s="76" t="s">
        <v>35</v>
      </c>
      <c r="C1885" s="76" t="s">
        <v>536</v>
      </c>
      <c r="D1885" s="79">
        <v>2945.0919749999998</v>
      </c>
      <c r="E1885" s="79">
        <v>4.9114000000000004</v>
      </c>
      <c r="F1885" s="79">
        <v>4.9466999999999999</v>
      </c>
      <c r="G1885" s="83">
        <f t="shared" si="28"/>
        <v>4.1134301587301589</v>
      </c>
    </row>
    <row r="1886" spans="1:7" x14ac:dyDescent="0.2">
      <c r="A1886" s="75">
        <v>41459</v>
      </c>
      <c r="B1886" s="76" t="s">
        <v>35</v>
      </c>
      <c r="C1886" s="76" t="s">
        <v>536</v>
      </c>
      <c r="D1886" s="79">
        <v>2921.5107929999999</v>
      </c>
      <c r="E1886" s="79">
        <v>4.9470000000000001</v>
      </c>
      <c r="F1886" s="79">
        <v>5.1234000000000002</v>
      </c>
      <c r="G1886" s="83">
        <f t="shared" si="28"/>
        <v>4.1325047619047623</v>
      </c>
    </row>
    <row r="1887" spans="1:7" x14ac:dyDescent="0.2">
      <c r="A1887" s="75">
        <v>41460</v>
      </c>
      <c r="B1887" s="76" t="s">
        <v>35</v>
      </c>
      <c r="C1887" s="76" t="s">
        <v>536</v>
      </c>
      <c r="D1887" s="79">
        <v>2911.8296869999999</v>
      </c>
      <c r="E1887" s="79">
        <v>5.1237000000000004</v>
      </c>
      <c r="F1887" s="79">
        <v>5.1923000000000004</v>
      </c>
      <c r="G1887" s="83">
        <f t="shared" si="28"/>
        <v>4.1549555555555546</v>
      </c>
    </row>
    <row r="1888" spans="1:7" x14ac:dyDescent="0.2">
      <c r="A1888" s="75">
        <v>41463</v>
      </c>
      <c r="B1888" s="76" t="s">
        <v>35</v>
      </c>
      <c r="C1888" s="76" t="s">
        <v>536</v>
      </c>
      <c r="D1888" s="79">
        <v>2925.4981250000001</v>
      </c>
      <c r="E1888" s="79">
        <v>5.1924999999999999</v>
      </c>
      <c r="F1888" s="79">
        <v>5.1009000000000002</v>
      </c>
      <c r="G1888" s="83">
        <f t="shared" si="28"/>
        <v>4.1810095238095233</v>
      </c>
    </row>
    <row r="1889" spans="1:7" x14ac:dyDescent="0.2">
      <c r="A1889" s="75">
        <v>41464</v>
      </c>
      <c r="B1889" s="76" t="s">
        <v>35</v>
      </c>
      <c r="C1889" s="76" t="s">
        <v>536</v>
      </c>
      <c r="D1889" s="79">
        <v>2926.5810449999999</v>
      </c>
      <c r="E1889" s="79">
        <v>5.1012000000000004</v>
      </c>
      <c r="F1889" s="79">
        <v>5.1002999999999998</v>
      </c>
      <c r="G1889" s="83">
        <f t="shared" si="28"/>
        <v>4.2053555555555562</v>
      </c>
    </row>
    <row r="1890" spans="1:7" x14ac:dyDescent="0.2">
      <c r="A1890" s="75">
        <v>41465</v>
      </c>
      <c r="B1890" s="76" t="s">
        <v>35</v>
      </c>
      <c r="C1890" s="76" t="s">
        <v>536</v>
      </c>
      <c r="D1890" s="79">
        <v>2925.2578490000001</v>
      </c>
      <c r="E1890" s="79">
        <v>5.1006</v>
      </c>
      <c r="F1890" s="79">
        <v>5.117</v>
      </c>
      <c r="G1890" s="83">
        <f t="shared" si="28"/>
        <v>4.2293634920634924</v>
      </c>
    </row>
    <row r="1891" spans="1:7" x14ac:dyDescent="0.2">
      <c r="A1891" s="75">
        <v>41466</v>
      </c>
      <c r="B1891" s="76" t="s">
        <v>35</v>
      </c>
      <c r="C1891" s="76" t="s">
        <v>536</v>
      </c>
      <c r="D1891" s="79">
        <v>2920.7576319999998</v>
      </c>
      <c r="E1891" s="79">
        <v>5.1173000000000002</v>
      </c>
      <c r="F1891" s="79">
        <v>5.1566000000000001</v>
      </c>
      <c r="G1891" s="83">
        <f t="shared" si="28"/>
        <v>4.253501587301586</v>
      </c>
    </row>
    <row r="1892" spans="1:7" x14ac:dyDescent="0.2">
      <c r="A1892" s="75">
        <v>41467</v>
      </c>
      <c r="B1892" s="76" t="s">
        <v>35</v>
      </c>
      <c r="C1892" s="76" t="s">
        <v>536</v>
      </c>
      <c r="D1892" s="79">
        <v>2923.1223409999998</v>
      </c>
      <c r="E1892" s="79">
        <v>5.1569000000000003</v>
      </c>
      <c r="F1892" s="79">
        <v>5.1467999999999998</v>
      </c>
      <c r="G1892" s="83">
        <f t="shared" si="28"/>
        <v>4.2774523809523801</v>
      </c>
    </row>
    <row r="1893" spans="1:7" x14ac:dyDescent="0.2">
      <c r="A1893" s="75">
        <v>41470</v>
      </c>
      <c r="B1893" s="76" t="s">
        <v>35</v>
      </c>
      <c r="C1893" s="76" t="s">
        <v>536</v>
      </c>
      <c r="D1893" s="79">
        <v>2940.7160469999999</v>
      </c>
      <c r="E1893" s="79">
        <v>5.1473000000000004</v>
      </c>
      <c r="F1893" s="79">
        <v>5.0279999999999996</v>
      </c>
      <c r="G1893" s="83">
        <f t="shared" si="28"/>
        <v>4.2991206349206355</v>
      </c>
    </row>
    <row r="1894" spans="1:7" x14ac:dyDescent="0.2">
      <c r="A1894" s="75">
        <v>41471</v>
      </c>
      <c r="B1894" s="76" t="s">
        <v>35</v>
      </c>
      <c r="C1894" s="76" t="s">
        <v>536</v>
      </c>
      <c r="D1894" s="79">
        <v>2942.9383619999999</v>
      </c>
      <c r="E1894" s="79">
        <v>5.0284000000000004</v>
      </c>
      <c r="F1894" s="79">
        <v>5.0178000000000003</v>
      </c>
      <c r="G1894" s="83">
        <f t="shared" si="28"/>
        <v>4.3178920634920637</v>
      </c>
    </row>
    <row r="1895" spans="1:7" x14ac:dyDescent="0.2">
      <c r="A1895" s="75">
        <v>41472</v>
      </c>
      <c r="B1895" s="76" t="s">
        <v>35</v>
      </c>
      <c r="C1895" s="76" t="s">
        <v>536</v>
      </c>
      <c r="D1895" s="79">
        <v>2957.8613650000002</v>
      </c>
      <c r="E1895" s="79">
        <v>5.0182000000000002</v>
      </c>
      <c r="F1895" s="79">
        <v>4.9172000000000002</v>
      </c>
      <c r="G1895" s="83">
        <f t="shared" si="28"/>
        <v>4.3363253968253952</v>
      </c>
    </row>
    <row r="1896" spans="1:7" x14ac:dyDescent="0.2">
      <c r="A1896" s="75">
        <v>41473</v>
      </c>
      <c r="B1896" s="76" t="s">
        <v>35</v>
      </c>
      <c r="C1896" s="76" t="s">
        <v>536</v>
      </c>
      <c r="D1896" s="79">
        <v>2973.330097</v>
      </c>
      <c r="E1896" s="79">
        <v>4.9176000000000002</v>
      </c>
      <c r="F1896" s="79">
        <v>4.8132999999999999</v>
      </c>
      <c r="G1896" s="83">
        <f t="shared" si="28"/>
        <v>4.3535730158730148</v>
      </c>
    </row>
    <row r="1897" spans="1:7" x14ac:dyDescent="0.2">
      <c r="A1897" s="75">
        <v>41474</v>
      </c>
      <c r="B1897" s="76" t="s">
        <v>35</v>
      </c>
      <c r="C1897" s="76" t="s">
        <v>536</v>
      </c>
      <c r="D1897" s="79">
        <v>2989.6957120000002</v>
      </c>
      <c r="E1897" s="79">
        <v>4.8136999999999999</v>
      </c>
      <c r="F1897" s="79">
        <v>4.7037000000000004</v>
      </c>
      <c r="G1897" s="83">
        <f t="shared" si="28"/>
        <v>4.3739857142857135</v>
      </c>
    </row>
    <row r="1898" spans="1:7" x14ac:dyDescent="0.2">
      <c r="A1898" s="75">
        <v>41477</v>
      </c>
      <c r="B1898" s="76" t="s">
        <v>35</v>
      </c>
      <c r="C1898" s="76" t="s">
        <v>536</v>
      </c>
      <c r="D1898" s="79">
        <v>3002.5612590000001</v>
      </c>
      <c r="E1898" s="79">
        <v>4.7041000000000004</v>
      </c>
      <c r="F1898" s="79">
        <v>4.6146000000000003</v>
      </c>
      <c r="G1898" s="83">
        <f t="shared" si="28"/>
        <v>4.3928825396825388</v>
      </c>
    </row>
    <row r="1899" spans="1:7" x14ac:dyDescent="0.2">
      <c r="A1899" s="75">
        <v>41478</v>
      </c>
      <c r="B1899" s="76" t="s">
        <v>35</v>
      </c>
      <c r="C1899" s="76" t="s">
        <v>536</v>
      </c>
      <c r="D1899" s="79">
        <v>3018.300158</v>
      </c>
      <c r="E1899" s="79">
        <v>4.6150000000000002</v>
      </c>
      <c r="F1899" s="79">
        <v>4.5095999999999998</v>
      </c>
      <c r="G1899" s="83">
        <f t="shared" si="28"/>
        <v>4.4111349206349209</v>
      </c>
    </row>
    <row r="1900" spans="1:7" x14ac:dyDescent="0.2">
      <c r="A1900" s="75">
        <v>41479</v>
      </c>
      <c r="B1900" s="76" t="s">
        <v>35</v>
      </c>
      <c r="C1900" s="76" t="s">
        <v>536</v>
      </c>
      <c r="D1900" s="79">
        <v>3006.4730599999998</v>
      </c>
      <c r="E1900" s="79">
        <v>4.5101000000000004</v>
      </c>
      <c r="F1900" s="79">
        <v>4.5961999999999996</v>
      </c>
      <c r="G1900" s="83">
        <f t="shared" si="28"/>
        <v>4.4278619047619063</v>
      </c>
    </row>
    <row r="1901" spans="1:7" x14ac:dyDescent="0.2">
      <c r="A1901" s="75">
        <v>41480</v>
      </c>
      <c r="B1901" s="76" t="s">
        <v>35</v>
      </c>
      <c r="C1901" s="76" t="s">
        <v>536</v>
      </c>
      <c r="D1901" s="79">
        <v>2998.6029079999998</v>
      </c>
      <c r="E1901" s="79">
        <v>4.5967000000000002</v>
      </c>
      <c r="F1901" s="79">
        <v>4.6555999999999997</v>
      </c>
      <c r="G1901" s="83">
        <f t="shared" si="28"/>
        <v>4.4453984126984141</v>
      </c>
    </row>
    <row r="1902" spans="1:7" x14ac:dyDescent="0.2">
      <c r="A1902" s="75">
        <v>41481</v>
      </c>
      <c r="B1902" s="76" t="s">
        <v>35</v>
      </c>
      <c r="C1902" s="76" t="s">
        <v>536</v>
      </c>
      <c r="D1902" s="79">
        <v>2992.7633529999998</v>
      </c>
      <c r="E1902" s="79">
        <v>4.6561000000000003</v>
      </c>
      <c r="F1902" s="79">
        <v>4.7009999999999996</v>
      </c>
      <c r="G1902" s="83">
        <f t="shared" si="28"/>
        <v>4.462658730158731</v>
      </c>
    </row>
    <row r="1903" spans="1:7" x14ac:dyDescent="0.2">
      <c r="A1903" s="75">
        <v>41484</v>
      </c>
      <c r="B1903" s="76" t="s">
        <v>35</v>
      </c>
      <c r="C1903" s="76" t="s">
        <v>536</v>
      </c>
      <c r="D1903" s="79">
        <v>2970.6132149999999</v>
      </c>
      <c r="E1903" s="79">
        <v>4.7015000000000002</v>
      </c>
      <c r="F1903" s="79">
        <v>4.8613999999999997</v>
      </c>
      <c r="G1903" s="83">
        <f t="shared" si="28"/>
        <v>4.4811063492063496</v>
      </c>
    </row>
    <row r="1904" spans="1:7" x14ac:dyDescent="0.2">
      <c r="A1904" s="75">
        <v>41485</v>
      </c>
      <c r="B1904" s="76" t="s">
        <v>35</v>
      </c>
      <c r="C1904" s="76" t="s">
        <v>536</v>
      </c>
      <c r="D1904" s="79">
        <v>2951.977942</v>
      </c>
      <c r="E1904" s="79">
        <v>4.8620000000000001</v>
      </c>
      <c r="F1904" s="79">
        <v>4.9984000000000002</v>
      </c>
      <c r="G1904" s="83">
        <f t="shared" si="28"/>
        <v>4.502363492063493</v>
      </c>
    </row>
    <row r="1905" spans="1:7" x14ac:dyDescent="0.2">
      <c r="A1905" s="75">
        <v>41486</v>
      </c>
      <c r="B1905" s="76" t="s">
        <v>35</v>
      </c>
      <c r="C1905" s="76" t="s">
        <v>536</v>
      </c>
      <c r="D1905" s="79">
        <v>2965.6599430000001</v>
      </c>
      <c r="E1905" s="79">
        <v>4.9988000000000001</v>
      </c>
      <c r="F1905" s="79">
        <v>4.9059999999999997</v>
      </c>
      <c r="G1905" s="83">
        <f t="shared" si="28"/>
        <v>4.5259349206349224</v>
      </c>
    </row>
    <row r="1906" spans="1:7" x14ac:dyDescent="0.2">
      <c r="A1906" s="75">
        <v>41487</v>
      </c>
      <c r="B1906" s="76" t="s">
        <v>35</v>
      </c>
      <c r="C1906" s="76" t="s">
        <v>536</v>
      </c>
      <c r="D1906" s="79">
        <v>2936.5926030000001</v>
      </c>
      <c r="E1906" s="79">
        <v>4.9063999999999997</v>
      </c>
      <c r="F1906" s="79">
        <v>5.1177000000000001</v>
      </c>
      <c r="G1906" s="83">
        <f t="shared" si="28"/>
        <v>4.5497968253968271</v>
      </c>
    </row>
    <row r="1907" spans="1:7" x14ac:dyDescent="0.2">
      <c r="A1907" s="75">
        <v>41488</v>
      </c>
      <c r="B1907" s="76" t="s">
        <v>35</v>
      </c>
      <c r="C1907" s="76" t="s">
        <v>536</v>
      </c>
      <c r="D1907" s="79">
        <v>2949.93516</v>
      </c>
      <c r="E1907" s="79">
        <v>5.1180000000000003</v>
      </c>
      <c r="F1907" s="79">
        <v>5.0270999999999999</v>
      </c>
      <c r="G1907" s="83">
        <f t="shared" si="28"/>
        <v>4.5760158730158746</v>
      </c>
    </row>
    <row r="1908" spans="1:7" x14ac:dyDescent="0.2">
      <c r="A1908" s="75">
        <v>41491</v>
      </c>
      <c r="B1908" s="76" t="s">
        <v>35</v>
      </c>
      <c r="C1908" s="76" t="s">
        <v>536</v>
      </c>
      <c r="D1908" s="79">
        <v>2958.6737629999998</v>
      </c>
      <c r="E1908" s="79">
        <v>5.0274000000000001</v>
      </c>
      <c r="F1908" s="79">
        <v>4.9695999999999998</v>
      </c>
      <c r="G1908" s="83">
        <f t="shared" si="28"/>
        <v>4.6013365079365105</v>
      </c>
    </row>
    <row r="1909" spans="1:7" x14ac:dyDescent="0.2">
      <c r="A1909" s="75">
        <v>41492</v>
      </c>
      <c r="B1909" s="76" t="s">
        <v>35</v>
      </c>
      <c r="C1909" s="76" t="s">
        <v>536</v>
      </c>
      <c r="D1909" s="79">
        <v>2948.1800710000002</v>
      </c>
      <c r="E1909" s="79">
        <v>4.97</v>
      </c>
      <c r="F1909" s="79">
        <v>5.0490000000000004</v>
      </c>
      <c r="G1909" s="83">
        <f t="shared" si="28"/>
        <v>4.6260920634920657</v>
      </c>
    </row>
    <row r="1910" spans="1:7" x14ac:dyDescent="0.2">
      <c r="A1910" s="75">
        <v>41493</v>
      </c>
      <c r="B1910" s="76" t="s">
        <v>35</v>
      </c>
      <c r="C1910" s="76" t="s">
        <v>536</v>
      </c>
      <c r="D1910" s="79">
        <v>2950.4755690000002</v>
      </c>
      <c r="E1910" s="79">
        <v>5.0495000000000001</v>
      </c>
      <c r="F1910" s="79">
        <v>5.0374999999999996</v>
      </c>
      <c r="G1910" s="83">
        <f t="shared" si="28"/>
        <v>4.6522000000000023</v>
      </c>
    </row>
    <row r="1911" spans="1:7" x14ac:dyDescent="0.2">
      <c r="A1911" s="75">
        <v>41494</v>
      </c>
      <c r="B1911" s="76" t="s">
        <v>35</v>
      </c>
      <c r="C1911" s="76" t="s">
        <v>536</v>
      </c>
      <c r="D1911" s="79">
        <v>2957.3436470000001</v>
      </c>
      <c r="E1911" s="79">
        <v>5.0380000000000003</v>
      </c>
      <c r="F1911" s="79">
        <v>4.9935</v>
      </c>
      <c r="G1911" s="83">
        <f t="shared" si="28"/>
        <v>4.676869841269844</v>
      </c>
    </row>
    <row r="1912" spans="1:7" x14ac:dyDescent="0.2">
      <c r="A1912" s="75">
        <v>41495</v>
      </c>
      <c r="B1912" s="76" t="s">
        <v>35</v>
      </c>
      <c r="C1912" s="76" t="s">
        <v>536</v>
      </c>
      <c r="D1912" s="79">
        <v>2965.5663159999999</v>
      </c>
      <c r="E1912" s="79">
        <v>4.9939999999999998</v>
      </c>
      <c r="F1912" s="79">
        <v>4.9400000000000004</v>
      </c>
      <c r="G1912" s="83">
        <f t="shared" si="28"/>
        <v>4.6990666666666705</v>
      </c>
    </row>
    <row r="1913" spans="1:7" x14ac:dyDescent="0.2">
      <c r="A1913" s="75">
        <v>41498</v>
      </c>
      <c r="B1913" s="76" t="s">
        <v>35</v>
      </c>
      <c r="C1913" s="76" t="s">
        <v>536</v>
      </c>
      <c r="D1913" s="79">
        <v>2931.857524</v>
      </c>
      <c r="E1913" s="79">
        <v>4.9405000000000001</v>
      </c>
      <c r="F1913" s="79">
        <v>5.1852</v>
      </c>
      <c r="G1913" s="83">
        <f t="shared" si="28"/>
        <v>4.7207873015873032</v>
      </c>
    </row>
    <row r="1914" spans="1:7" x14ac:dyDescent="0.2">
      <c r="A1914" s="75">
        <v>41499</v>
      </c>
      <c r="B1914" s="76" t="s">
        <v>35</v>
      </c>
      <c r="C1914" s="76" t="s">
        <v>536</v>
      </c>
      <c r="D1914" s="79">
        <v>2921.726952</v>
      </c>
      <c r="E1914" s="79">
        <v>5.1856999999999998</v>
      </c>
      <c r="F1914" s="79">
        <v>5.2630999999999997</v>
      </c>
      <c r="G1914" s="83">
        <f t="shared" si="28"/>
        <v>4.7445079365079392</v>
      </c>
    </row>
    <row r="1915" spans="1:7" x14ac:dyDescent="0.2">
      <c r="A1915" s="75">
        <v>41500</v>
      </c>
      <c r="B1915" s="76" t="s">
        <v>35</v>
      </c>
      <c r="C1915" s="76" t="s">
        <v>536</v>
      </c>
      <c r="D1915" s="79">
        <v>2894.5299</v>
      </c>
      <c r="E1915" s="79">
        <v>5.2634999999999996</v>
      </c>
      <c r="F1915" s="79">
        <v>5.4653</v>
      </c>
      <c r="G1915" s="83">
        <f t="shared" si="28"/>
        <v>4.7709269841269863</v>
      </c>
    </row>
    <row r="1916" spans="1:7" x14ac:dyDescent="0.2">
      <c r="A1916" s="75">
        <v>41501</v>
      </c>
      <c r="B1916" s="76" t="s">
        <v>35</v>
      </c>
      <c r="C1916" s="76" t="s">
        <v>536</v>
      </c>
      <c r="D1916" s="79">
        <v>2897.4290810000002</v>
      </c>
      <c r="E1916" s="79">
        <v>5.4657</v>
      </c>
      <c r="F1916" s="79">
        <v>5.4493</v>
      </c>
      <c r="G1916" s="83">
        <f t="shared" si="28"/>
        <v>4.8008301587301609</v>
      </c>
    </row>
    <row r="1917" spans="1:7" x14ac:dyDescent="0.2">
      <c r="A1917" s="75">
        <v>41502</v>
      </c>
      <c r="B1917" s="76" t="s">
        <v>35</v>
      </c>
      <c r="C1917" s="76" t="s">
        <v>536</v>
      </c>
      <c r="D1917" s="79">
        <v>2888.7999049999999</v>
      </c>
      <c r="E1917" s="79">
        <v>5.4496000000000002</v>
      </c>
      <c r="F1917" s="79">
        <v>5.5198</v>
      </c>
      <c r="G1917" s="83">
        <f t="shared" si="28"/>
        <v>4.8292968253968294</v>
      </c>
    </row>
    <row r="1918" spans="1:7" x14ac:dyDescent="0.2">
      <c r="A1918" s="75">
        <v>41505</v>
      </c>
      <c r="B1918" s="76" t="s">
        <v>35</v>
      </c>
      <c r="C1918" s="76" t="s">
        <v>536</v>
      </c>
      <c r="D1918" s="79">
        <v>2874.1129470000001</v>
      </c>
      <c r="E1918" s="79">
        <v>5.52</v>
      </c>
      <c r="F1918" s="79">
        <v>5.6349999999999998</v>
      </c>
      <c r="G1918" s="83">
        <f t="shared" si="28"/>
        <v>4.8578428571428596</v>
      </c>
    </row>
    <row r="1919" spans="1:7" x14ac:dyDescent="0.2">
      <c r="A1919" s="75">
        <v>41506</v>
      </c>
      <c r="B1919" s="76" t="s">
        <v>35</v>
      </c>
      <c r="C1919" s="76" t="s">
        <v>536</v>
      </c>
      <c r="D1919" s="79">
        <v>2915.8589529999999</v>
      </c>
      <c r="E1919" s="79">
        <v>5.6352000000000002</v>
      </c>
      <c r="F1919" s="79">
        <v>5.3380999999999998</v>
      </c>
      <c r="G1919" s="83">
        <f t="shared" si="28"/>
        <v>4.8884888888888902</v>
      </c>
    </row>
    <row r="1920" spans="1:7" x14ac:dyDescent="0.2">
      <c r="A1920" s="75">
        <v>41507</v>
      </c>
      <c r="B1920" s="76" t="s">
        <v>35</v>
      </c>
      <c r="C1920" s="76" t="s">
        <v>536</v>
      </c>
      <c r="D1920" s="79">
        <v>2879.1785249999998</v>
      </c>
      <c r="E1920" s="79">
        <v>5.3384</v>
      </c>
      <c r="F1920" s="79">
        <v>5.6128</v>
      </c>
      <c r="G1920" s="83">
        <f t="shared" si="28"/>
        <v>4.9140841269841271</v>
      </c>
    </row>
    <row r="1921" spans="1:7" x14ac:dyDescent="0.2">
      <c r="A1921" s="75">
        <v>41508</v>
      </c>
      <c r="B1921" s="76" t="s">
        <v>35</v>
      </c>
      <c r="C1921" s="76" t="s">
        <v>536</v>
      </c>
      <c r="D1921" s="79">
        <v>2890.334895</v>
      </c>
      <c r="E1921" s="79">
        <v>5.6131000000000002</v>
      </c>
      <c r="F1921" s="79">
        <v>5.5373000000000001</v>
      </c>
      <c r="G1921" s="83">
        <f t="shared" si="28"/>
        <v>4.9436190476190482</v>
      </c>
    </row>
    <row r="1922" spans="1:7" x14ac:dyDescent="0.2">
      <c r="A1922" s="75">
        <v>41509</v>
      </c>
      <c r="B1922" s="76" t="s">
        <v>35</v>
      </c>
      <c r="C1922" s="76" t="s">
        <v>536</v>
      </c>
      <c r="D1922" s="79">
        <v>2934.0169369999999</v>
      </c>
      <c r="E1922" s="79">
        <v>5.5374999999999996</v>
      </c>
      <c r="F1922" s="79">
        <v>5.2281000000000004</v>
      </c>
      <c r="G1922" s="83">
        <f t="shared" si="28"/>
        <v>4.9704015873015868</v>
      </c>
    </row>
    <row r="1923" spans="1:7" x14ac:dyDescent="0.2">
      <c r="A1923" s="75">
        <v>41512</v>
      </c>
      <c r="B1923" s="76" t="s">
        <v>35</v>
      </c>
      <c r="C1923" s="76" t="s">
        <v>536</v>
      </c>
      <c r="D1923" s="79">
        <v>2920.1336369999999</v>
      </c>
      <c r="E1923" s="79">
        <v>5.2283999999999997</v>
      </c>
      <c r="F1923" s="79">
        <v>5.3350999999999997</v>
      </c>
      <c r="G1923" s="83">
        <f t="shared" ref="G1923:G1986" si="29">+AVERAGE(E1861:E1923)</f>
        <v>4.9914682539682547</v>
      </c>
    </row>
    <row r="1924" spans="1:7" x14ac:dyDescent="0.2">
      <c r="A1924" s="75">
        <v>41513</v>
      </c>
      <c r="B1924" s="76" t="s">
        <v>35</v>
      </c>
      <c r="C1924" s="76" t="s">
        <v>536</v>
      </c>
      <c r="D1924" s="79">
        <v>2923.0211960000001</v>
      </c>
      <c r="E1924" s="79">
        <v>5.3353999999999999</v>
      </c>
      <c r="F1924" s="79">
        <v>5.3213999999999997</v>
      </c>
      <c r="G1924" s="83">
        <f t="shared" si="29"/>
        <v>5.0128349206349219</v>
      </c>
    </row>
    <row r="1925" spans="1:7" x14ac:dyDescent="0.2">
      <c r="A1925" s="75">
        <v>41514</v>
      </c>
      <c r="B1925" s="76" t="s">
        <v>35</v>
      </c>
      <c r="C1925" s="76" t="s">
        <v>536</v>
      </c>
      <c r="D1925" s="79">
        <v>2930.3702880000001</v>
      </c>
      <c r="E1925" s="79">
        <v>5.3217999999999996</v>
      </c>
      <c r="F1925" s="79">
        <v>5.2756999999999996</v>
      </c>
      <c r="G1925" s="83">
        <f t="shared" si="29"/>
        <v>5.0350952380952396</v>
      </c>
    </row>
    <row r="1926" spans="1:7" x14ac:dyDescent="0.2">
      <c r="A1926" s="75">
        <v>41515</v>
      </c>
      <c r="B1926" s="76" t="s">
        <v>35</v>
      </c>
      <c r="C1926" s="76" t="s">
        <v>536</v>
      </c>
      <c r="D1926" s="79">
        <v>2894.5210900000002</v>
      </c>
      <c r="E1926" s="79">
        <v>5.2759999999999998</v>
      </c>
      <c r="F1926" s="79">
        <v>5.5425000000000004</v>
      </c>
      <c r="G1926" s="83">
        <f t="shared" si="29"/>
        <v>5.0493650793650806</v>
      </c>
    </row>
    <row r="1927" spans="1:7" x14ac:dyDescent="0.2">
      <c r="A1927" s="75">
        <v>41516</v>
      </c>
      <c r="B1927" s="76" t="s">
        <v>35</v>
      </c>
      <c r="C1927" s="76" t="s">
        <v>536</v>
      </c>
      <c r="D1927" s="79">
        <v>2894.4136749999998</v>
      </c>
      <c r="E1927" s="79">
        <v>5.5427999999999997</v>
      </c>
      <c r="F1927" s="79">
        <v>5.5506000000000002</v>
      </c>
      <c r="G1927" s="83">
        <f t="shared" si="29"/>
        <v>5.0675333333333334</v>
      </c>
    </row>
    <row r="1928" spans="1:7" x14ac:dyDescent="0.2">
      <c r="A1928" s="75">
        <v>41519</v>
      </c>
      <c r="B1928" s="76" t="s">
        <v>35</v>
      </c>
      <c r="C1928" s="76" t="s">
        <v>536</v>
      </c>
      <c r="D1928" s="79">
        <v>2893.8278260000002</v>
      </c>
      <c r="E1928" s="79">
        <v>5.5509000000000004</v>
      </c>
      <c r="F1928" s="79">
        <v>5.5621999999999998</v>
      </c>
      <c r="G1928" s="83">
        <f t="shared" si="29"/>
        <v>5.0873317460317464</v>
      </c>
    </row>
    <row r="1929" spans="1:7" x14ac:dyDescent="0.2">
      <c r="A1929" s="75">
        <v>41520</v>
      </c>
      <c r="B1929" s="76" t="s">
        <v>35</v>
      </c>
      <c r="C1929" s="76" t="s">
        <v>536</v>
      </c>
      <c r="D1929" s="79">
        <v>2893.2709220000002</v>
      </c>
      <c r="E1929" s="79">
        <v>5.5625999999999998</v>
      </c>
      <c r="F1929" s="79">
        <v>5.5736999999999997</v>
      </c>
      <c r="G1929" s="83">
        <f t="shared" si="29"/>
        <v>5.1066825396825388</v>
      </c>
    </row>
    <row r="1930" spans="1:7" x14ac:dyDescent="0.2">
      <c r="A1930" s="75">
        <v>41521</v>
      </c>
      <c r="B1930" s="76" t="s">
        <v>35</v>
      </c>
      <c r="C1930" s="76" t="s">
        <v>536</v>
      </c>
      <c r="D1930" s="79">
        <v>2894.1394749999999</v>
      </c>
      <c r="E1930" s="79">
        <v>5.5740999999999996</v>
      </c>
      <c r="F1930" s="79">
        <v>5.5747999999999998</v>
      </c>
      <c r="G1930" s="83">
        <f t="shared" si="29"/>
        <v>5.1247968253968246</v>
      </c>
    </row>
    <row r="1931" spans="1:7" x14ac:dyDescent="0.2">
      <c r="A1931" s="75">
        <v>41522</v>
      </c>
      <c r="B1931" s="76" t="s">
        <v>35</v>
      </c>
      <c r="C1931" s="76" t="s">
        <v>536</v>
      </c>
      <c r="D1931" s="79">
        <v>2891.1755469999998</v>
      </c>
      <c r="E1931" s="79">
        <v>5.5751999999999997</v>
      </c>
      <c r="F1931" s="79">
        <v>5.6039000000000003</v>
      </c>
      <c r="G1931" s="83">
        <f t="shared" si="29"/>
        <v>5.1414396825396826</v>
      </c>
    </row>
    <row r="1932" spans="1:7" x14ac:dyDescent="0.2">
      <c r="A1932" s="75">
        <v>41523</v>
      </c>
      <c r="B1932" s="76" t="s">
        <v>35</v>
      </c>
      <c r="C1932" s="76" t="s">
        <v>536</v>
      </c>
      <c r="D1932" s="79">
        <v>2901.5101340000001</v>
      </c>
      <c r="E1932" s="79">
        <v>5.6041999999999996</v>
      </c>
      <c r="F1932" s="79">
        <v>5.5327999999999999</v>
      </c>
      <c r="G1932" s="83">
        <f t="shared" si="29"/>
        <v>5.1532968253968248</v>
      </c>
    </row>
    <row r="1933" spans="1:7" x14ac:dyDescent="0.2">
      <c r="A1933" s="75">
        <v>41526</v>
      </c>
      <c r="B1933" s="76" t="s">
        <v>35</v>
      </c>
      <c r="C1933" s="76" t="s">
        <v>536</v>
      </c>
      <c r="D1933" s="79">
        <v>2905.9390790000002</v>
      </c>
      <c r="E1933" s="79">
        <v>5.5331999999999999</v>
      </c>
      <c r="F1933" s="79">
        <v>5.5077999999999996</v>
      </c>
      <c r="G1933" s="83">
        <f t="shared" si="29"/>
        <v>5.1622476190476201</v>
      </c>
    </row>
    <row r="1934" spans="1:7" x14ac:dyDescent="0.2">
      <c r="A1934" s="75">
        <v>41527</v>
      </c>
      <c r="B1934" s="76" t="s">
        <v>35</v>
      </c>
      <c r="C1934" s="76" t="s">
        <v>536</v>
      </c>
      <c r="D1934" s="79">
        <v>2912.0413800000001</v>
      </c>
      <c r="E1934" s="79">
        <v>5.5082000000000004</v>
      </c>
      <c r="F1934" s="79">
        <v>5.4706999999999999</v>
      </c>
      <c r="G1934" s="83">
        <f t="shared" si="29"/>
        <v>5.1682698412698418</v>
      </c>
    </row>
    <row r="1935" spans="1:7" x14ac:dyDescent="0.2">
      <c r="A1935" s="75">
        <v>41528</v>
      </c>
      <c r="B1935" s="76" t="s">
        <v>35</v>
      </c>
      <c r="C1935" s="76" t="s">
        <v>536</v>
      </c>
      <c r="D1935" s="79">
        <v>2917.0897289999998</v>
      </c>
      <c r="E1935" s="79">
        <v>5.4710000000000001</v>
      </c>
      <c r="F1935" s="79">
        <v>5.4412000000000003</v>
      </c>
      <c r="G1935" s="83">
        <f t="shared" si="29"/>
        <v>5.1777507936507936</v>
      </c>
    </row>
    <row r="1936" spans="1:7" x14ac:dyDescent="0.2">
      <c r="A1936" s="75">
        <v>41529</v>
      </c>
      <c r="B1936" s="76" t="s">
        <v>35</v>
      </c>
      <c r="C1936" s="76" t="s">
        <v>536</v>
      </c>
      <c r="D1936" s="79">
        <v>2907.1641540000001</v>
      </c>
      <c r="E1936" s="79">
        <v>5.4414999999999996</v>
      </c>
      <c r="F1936" s="79">
        <v>5.5202</v>
      </c>
      <c r="G1936" s="83">
        <f t="shared" si="29"/>
        <v>5.1838380952380954</v>
      </c>
    </row>
    <row r="1937" spans="1:7" x14ac:dyDescent="0.2">
      <c r="A1937" s="75">
        <v>41530</v>
      </c>
      <c r="B1937" s="76" t="s">
        <v>35</v>
      </c>
      <c r="C1937" s="76" t="s">
        <v>536</v>
      </c>
      <c r="D1937" s="79">
        <v>2909.657326</v>
      </c>
      <c r="E1937" s="79">
        <v>5.5205000000000002</v>
      </c>
      <c r="F1937" s="79">
        <v>5.5091999999999999</v>
      </c>
      <c r="G1937" s="83">
        <f t="shared" si="29"/>
        <v>5.1886047619047622</v>
      </c>
    </row>
    <row r="1938" spans="1:7" x14ac:dyDescent="0.2">
      <c r="A1938" s="75">
        <v>41533</v>
      </c>
      <c r="B1938" s="76" t="s">
        <v>35</v>
      </c>
      <c r="C1938" s="76" t="s">
        <v>536</v>
      </c>
      <c r="D1938" s="79">
        <v>2910.070056</v>
      </c>
      <c r="E1938" s="79">
        <v>5.5095000000000001</v>
      </c>
      <c r="F1938" s="79">
        <v>5.5133000000000001</v>
      </c>
      <c r="G1938" s="83">
        <f t="shared" si="29"/>
        <v>5.1887984126984135</v>
      </c>
    </row>
    <row r="1939" spans="1:7" x14ac:dyDescent="0.2">
      <c r="A1939" s="75">
        <v>41534</v>
      </c>
      <c r="B1939" s="76" t="s">
        <v>35</v>
      </c>
      <c r="C1939" s="76" t="s">
        <v>536</v>
      </c>
      <c r="D1939" s="79">
        <v>2914.484837</v>
      </c>
      <c r="E1939" s="79">
        <v>5.5137</v>
      </c>
      <c r="F1939" s="79">
        <v>5.4903000000000004</v>
      </c>
      <c r="G1939" s="83">
        <f t="shared" si="29"/>
        <v>5.1839730158730148</v>
      </c>
    </row>
    <row r="1940" spans="1:7" x14ac:dyDescent="0.2">
      <c r="A1940" s="75">
        <v>41535</v>
      </c>
      <c r="B1940" s="76" t="s">
        <v>35</v>
      </c>
      <c r="C1940" s="76" t="s">
        <v>536</v>
      </c>
      <c r="D1940" s="79">
        <v>2955.9780409999998</v>
      </c>
      <c r="E1940" s="79">
        <v>5.4907000000000004</v>
      </c>
      <c r="F1940" s="79">
        <v>5.2012</v>
      </c>
      <c r="G1940" s="83">
        <f t="shared" si="29"/>
        <v>5.1793730158730158</v>
      </c>
    </row>
    <row r="1941" spans="1:7" x14ac:dyDescent="0.2">
      <c r="A1941" s="75">
        <v>41536</v>
      </c>
      <c r="B1941" s="76" t="s">
        <v>35</v>
      </c>
      <c r="C1941" s="76" t="s">
        <v>536</v>
      </c>
      <c r="D1941" s="79">
        <v>2953.3181239999999</v>
      </c>
      <c r="E1941" s="79">
        <v>5.2016</v>
      </c>
      <c r="F1941" s="79">
        <v>5.2289000000000003</v>
      </c>
      <c r="G1941" s="83">
        <f t="shared" si="29"/>
        <v>5.1753619047619051</v>
      </c>
    </row>
    <row r="1942" spans="1:7" x14ac:dyDescent="0.2">
      <c r="A1942" s="75">
        <v>41537</v>
      </c>
      <c r="B1942" s="76" t="s">
        <v>35</v>
      </c>
      <c r="C1942" s="76" t="s">
        <v>536</v>
      </c>
      <c r="D1942" s="79">
        <v>2955.6416290000002</v>
      </c>
      <c r="E1942" s="79">
        <v>5.2291999999999996</v>
      </c>
      <c r="F1942" s="79">
        <v>5.2210000000000001</v>
      </c>
      <c r="G1942" s="83">
        <f t="shared" si="29"/>
        <v>5.1772920634920645</v>
      </c>
    </row>
    <row r="1943" spans="1:7" x14ac:dyDescent="0.2">
      <c r="A1943" s="75">
        <v>41540</v>
      </c>
      <c r="B1943" s="76" t="s">
        <v>35</v>
      </c>
      <c r="C1943" s="76" t="s">
        <v>536</v>
      </c>
      <c r="D1943" s="79">
        <v>2953.9386249999998</v>
      </c>
      <c r="E1943" s="79">
        <v>5.2213000000000003</v>
      </c>
      <c r="F1943" s="79">
        <v>5.2382999999999997</v>
      </c>
      <c r="G1943" s="83">
        <f t="shared" si="29"/>
        <v>5.1813793650793656</v>
      </c>
    </row>
    <row r="1944" spans="1:7" x14ac:dyDescent="0.2">
      <c r="A1944" s="75">
        <v>41541</v>
      </c>
      <c r="B1944" s="76" t="s">
        <v>35</v>
      </c>
      <c r="C1944" s="76" t="s">
        <v>536</v>
      </c>
      <c r="D1944" s="79">
        <v>2958.594654</v>
      </c>
      <c r="E1944" s="79">
        <v>5.2386999999999997</v>
      </c>
      <c r="F1944" s="79">
        <v>5.2131999999999996</v>
      </c>
      <c r="G1944" s="83">
        <f t="shared" si="29"/>
        <v>5.1854730158730158</v>
      </c>
    </row>
    <row r="1945" spans="1:7" x14ac:dyDescent="0.2">
      <c r="A1945" s="75">
        <v>41542</v>
      </c>
      <c r="B1945" s="76" t="s">
        <v>35</v>
      </c>
      <c r="C1945" s="76" t="s">
        <v>536</v>
      </c>
      <c r="D1945" s="79">
        <v>2949.6276360000002</v>
      </c>
      <c r="E1945" s="79">
        <v>5.2135999999999996</v>
      </c>
      <c r="F1945" s="79">
        <v>5.2851999999999997</v>
      </c>
      <c r="G1945" s="83">
        <f t="shared" si="29"/>
        <v>5.1907825396825391</v>
      </c>
    </row>
    <row r="1946" spans="1:7" x14ac:dyDescent="0.2">
      <c r="A1946" s="75">
        <v>41543</v>
      </c>
      <c r="B1946" s="76" t="s">
        <v>35</v>
      </c>
      <c r="C1946" s="76" t="s">
        <v>536</v>
      </c>
      <c r="D1946" s="79">
        <v>2941.7766160000001</v>
      </c>
      <c r="E1946" s="79">
        <v>5.2857000000000003</v>
      </c>
      <c r="F1946" s="79">
        <v>5.3495999999999997</v>
      </c>
      <c r="G1946" s="83">
        <f t="shared" si="29"/>
        <v>5.1942142857142848</v>
      </c>
    </row>
    <row r="1947" spans="1:7" x14ac:dyDescent="0.2">
      <c r="A1947" s="75">
        <v>41544</v>
      </c>
      <c r="B1947" s="76" t="s">
        <v>35</v>
      </c>
      <c r="C1947" s="76" t="s">
        <v>536</v>
      </c>
      <c r="D1947" s="79">
        <v>2940.6984809999999</v>
      </c>
      <c r="E1947" s="79">
        <v>5.35</v>
      </c>
      <c r="F1947" s="79">
        <v>5.3654999999999999</v>
      </c>
      <c r="G1947" s="83">
        <f t="shared" si="29"/>
        <v>5.1995619047619037</v>
      </c>
    </row>
    <row r="1948" spans="1:7" x14ac:dyDescent="0.2">
      <c r="A1948" s="75">
        <v>41547</v>
      </c>
      <c r="B1948" s="76" t="s">
        <v>35</v>
      </c>
      <c r="C1948" s="76" t="s">
        <v>536</v>
      </c>
      <c r="D1948" s="79">
        <v>2942.3698650000001</v>
      </c>
      <c r="E1948" s="79">
        <v>5.3659999999999997</v>
      </c>
      <c r="F1948" s="79">
        <v>5.3617999999999997</v>
      </c>
      <c r="G1948" s="83">
        <f t="shared" si="29"/>
        <v>5.2067777777777779</v>
      </c>
    </row>
    <row r="1949" spans="1:7" x14ac:dyDescent="0.2">
      <c r="A1949" s="75">
        <v>41548</v>
      </c>
      <c r="B1949" s="76" t="s">
        <v>35</v>
      </c>
      <c r="C1949" s="76" t="s">
        <v>536</v>
      </c>
      <c r="D1949" s="79">
        <v>2934.6365169999999</v>
      </c>
      <c r="E1949" s="79">
        <v>5.3621999999999996</v>
      </c>
      <c r="F1949" s="79">
        <v>5.4255000000000004</v>
      </c>
      <c r="G1949" s="83">
        <f t="shared" si="29"/>
        <v>5.2133682539682535</v>
      </c>
    </row>
    <row r="1950" spans="1:7" x14ac:dyDescent="0.2">
      <c r="A1950" s="75">
        <v>41549</v>
      </c>
      <c r="B1950" s="76" t="s">
        <v>35</v>
      </c>
      <c r="C1950" s="76" t="s">
        <v>536</v>
      </c>
      <c r="D1950" s="79">
        <v>2936.4638190000001</v>
      </c>
      <c r="E1950" s="79">
        <v>5.4259000000000004</v>
      </c>
      <c r="F1950" s="79">
        <v>5.4206000000000003</v>
      </c>
      <c r="G1950" s="83">
        <f t="shared" si="29"/>
        <v>5.2181650793650771</v>
      </c>
    </row>
    <row r="1951" spans="1:7" x14ac:dyDescent="0.2">
      <c r="A1951" s="75">
        <v>41550</v>
      </c>
      <c r="B1951" s="76" t="s">
        <v>35</v>
      </c>
      <c r="C1951" s="76" t="s">
        <v>536</v>
      </c>
      <c r="D1951" s="79">
        <v>2942.9752360000002</v>
      </c>
      <c r="E1951" s="79">
        <v>5.4210000000000003</v>
      </c>
      <c r="F1951" s="79">
        <v>5.3821000000000003</v>
      </c>
      <c r="G1951" s="83">
        <f t="shared" si="29"/>
        <v>5.2217920634920612</v>
      </c>
    </row>
    <row r="1952" spans="1:7" x14ac:dyDescent="0.2">
      <c r="A1952" s="75">
        <v>41551</v>
      </c>
      <c r="B1952" s="76" t="s">
        <v>35</v>
      </c>
      <c r="C1952" s="76" t="s">
        <v>536</v>
      </c>
      <c r="D1952" s="79">
        <v>2941.20379</v>
      </c>
      <c r="E1952" s="79">
        <v>5.3826000000000001</v>
      </c>
      <c r="F1952" s="79">
        <v>5.4031000000000002</v>
      </c>
      <c r="G1952" s="83">
        <f t="shared" si="29"/>
        <v>5.2262587301587295</v>
      </c>
    </row>
    <row r="1953" spans="1:7" x14ac:dyDescent="0.2">
      <c r="A1953" s="75">
        <v>41554</v>
      </c>
      <c r="B1953" s="76" t="s">
        <v>35</v>
      </c>
      <c r="C1953" s="76" t="s">
        <v>536</v>
      </c>
      <c r="D1953" s="79">
        <v>2944.8750110000001</v>
      </c>
      <c r="E1953" s="79">
        <v>5.4036</v>
      </c>
      <c r="F1953" s="79">
        <v>5.3851000000000004</v>
      </c>
      <c r="G1953" s="83">
        <f t="shared" si="29"/>
        <v>5.2310682539682531</v>
      </c>
    </row>
    <row r="1954" spans="1:7" x14ac:dyDescent="0.2">
      <c r="A1954" s="75">
        <v>41555</v>
      </c>
      <c r="B1954" s="76" t="s">
        <v>35</v>
      </c>
      <c r="C1954" s="76" t="s">
        <v>536</v>
      </c>
      <c r="D1954" s="79">
        <v>2950.4933430000001</v>
      </c>
      <c r="E1954" s="79">
        <v>5.3856000000000002</v>
      </c>
      <c r="F1954" s="79">
        <v>5.3532000000000002</v>
      </c>
      <c r="G1954" s="83">
        <f t="shared" si="29"/>
        <v>5.2353269841269832</v>
      </c>
    </row>
    <row r="1955" spans="1:7" x14ac:dyDescent="0.2">
      <c r="A1955" s="75">
        <v>41556</v>
      </c>
      <c r="B1955" s="76" t="s">
        <v>35</v>
      </c>
      <c r="C1955" s="76" t="s">
        <v>536</v>
      </c>
      <c r="D1955" s="79">
        <v>2963.9145600000002</v>
      </c>
      <c r="E1955" s="79">
        <v>5.3536999999999999</v>
      </c>
      <c r="F1955" s="79">
        <v>5.2675000000000001</v>
      </c>
      <c r="G1955" s="83">
        <f t="shared" si="29"/>
        <v>5.2384507936507925</v>
      </c>
    </row>
    <row r="1956" spans="1:7" x14ac:dyDescent="0.2">
      <c r="A1956" s="75">
        <v>41557</v>
      </c>
      <c r="B1956" s="76" t="s">
        <v>35</v>
      </c>
      <c r="C1956" s="76" t="s">
        <v>536</v>
      </c>
      <c r="D1956" s="79">
        <v>2950.7838360000001</v>
      </c>
      <c r="E1956" s="79">
        <v>5.2680999999999996</v>
      </c>
      <c r="F1956" s="79">
        <v>5.3695000000000004</v>
      </c>
      <c r="G1956" s="83">
        <f t="shared" si="29"/>
        <v>5.2403682539682537</v>
      </c>
    </row>
    <row r="1957" spans="1:7" x14ac:dyDescent="0.2">
      <c r="A1957" s="75">
        <v>41558</v>
      </c>
      <c r="B1957" s="76" t="s">
        <v>35</v>
      </c>
      <c r="C1957" s="76" t="s">
        <v>536</v>
      </c>
      <c r="D1957" s="79">
        <v>2948.0135700000001</v>
      </c>
      <c r="E1957" s="79">
        <v>5.37</v>
      </c>
      <c r="F1957" s="79">
        <v>5.3977000000000004</v>
      </c>
      <c r="G1957" s="83">
        <f t="shared" si="29"/>
        <v>5.2457904761904759</v>
      </c>
    </row>
    <row r="1958" spans="1:7" x14ac:dyDescent="0.2">
      <c r="A1958" s="75">
        <v>41561</v>
      </c>
      <c r="B1958" s="76" t="s">
        <v>35</v>
      </c>
      <c r="C1958" s="76" t="s">
        <v>536</v>
      </c>
      <c r="D1958" s="79">
        <v>2946.1853820000001</v>
      </c>
      <c r="E1958" s="79">
        <v>5.3982000000000001</v>
      </c>
      <c r="F1958" s="79">
        <v>5.4192</v>
      </c>
      <c r="G1958" s="83">
        <f t="shared" si="29"/>
        <v>5.2518222222222226</v>
      </c>
    </row>
    <row r="1959" spans="1:7" x14ac:dyDescent="0.2">
      <c r="A1959" s="75">
        <v>41562</v>
      </c>
      <c r="B1959" s="76" t="s">
        <v>35</v>
      </c>
      <c r="C1959" s="76" t="s">
        <v>536</v>
      </c>
      <c r="D1959" s="79">
        <v>2945.5893120000001</v>
      </c>
      <c r="E1959" s="79">
        <v>5.4196999999999997</v>
      </c>
      <c r="F1959" s="79">
        <v>5.4318999999999997</v>
      </c>
      <c r="G1959" s="83">
        <f t="shared" si="29"/>
        <v>5.2597920634920623</v>
      </c>
    </row>
    <row r="1960" spans="1:7" x14ac:dyDescent="0.2">
      <c r="A1960" s="75">
        <v>41563</v>
      </c>
      <c r="B1960" s="76" t="s">
        <v>35</v>
      </c>
      <c r="C1960" s="76" t="s">
        <v>536</v>
      </c>
      <c r="D1960" s="79">
        <v>2945.456099</v>
      </c>
      <c r="E1960" s="79">
        <v>5.4324000000000003</v>
      </c>
      <c r="F1960" s="79">
        <v>5.4429999999999996</v>
      </c>
      <c r="G1960" s="83">
        <f t="shared" si="29"/>
        <v>5.269612698412697</v>
      </c>
    </row>
    <row r="1961" spans="1:7" x14ac:dyDescent="0.2">
      <c r="A1961" s="75">
        <v>41564</v>
      </c>
      <c r="B1961" s="76" t="s">
        <v>35</v>
      </c>
      <c r="C1961" s="76" t="s">
        <v>536</v>
      </c>
      <c r="D1961" s="79">
        <v>2945.8266699999999</v>
      </c>
      <c r="E1961" s="79">
        <v>5.4435000000000002</v>
      </c>
      <c r="F1961" s="79">
        <v>5.4504999999999999</v>
      </c>
      <c r="G1961" s="83">
        <f t="shared" si="29"/>
        <v>5.2813492063492049</v>
      </c>
    </row>
    <row r="1962" spans="1:7" x14ac:dyDescent="0.2">
      <c r="A1962" s="75">
        <v>41565</v>
      </c>
      <c r="B1962" s="76" t="s">
        <v>35</v>
      </c>
      <c r="C1962" s="76" t="s">
        <v>536</v>
      </c>
      <c r="D1962" s="79">
        <v>2936.1971050000002</v>
      </c>
      <c r="E1962" s="79">
        <v>5.4508999999999999</v>
      </c>
      <c r="F1962" s="79">
        <v>5.5297000000000001</v>
      </c>
      <c r="G1962" s="83">
        <f t="shared" si="29"/>
        <v>5.2946174603174585</v>
      </c>
    </row>
    <row r="1963" spans="1:7" x14ac:dyDescent="0.2">
      <c r="A1963" s="75">
        <v>41568</v>
      </c>
      <c r="B1963" s="76" t="s">
        <v>35</v>
      </c>
      <c r="C1963" s="76" t="s">
        <v>536</v>
      </c>
      <c r="D1963" s="79">
        <v>2932.0395739999999</v>
      </c>
      <c r="E1963" s="79">
        <v>5.5301</v>
      </c>
      <c r="F1963" s="79">
        <v>5.5705</v>
      </c>
      <c r="G1963" s="83">
        <f t="shared" si="29"/>
        <v>5.3108079365079339</v>
      </c>
    </row>
    <row r="1964" spans="1:7" x14ac:dyDescent="0.2">
      <c r="A1964" s="75">
        <v>41569</v>
      </c>
      <c r="B1964" s="76" t="s">
        <v>35</v>
      </c>
      <c r="C1964" s="76" t="s">
        <v>536</v>
      </c>
      <c r="D1964" s="79">
        <v>2943.8404380000002</v>
      </c>
      <c r="E1964" s="79">
        <v>5.5709</v>
      </c>
      <c r="F1964" s="79">
        <v>5.4960000000000004</v>
      </c>
      <c r="G1964" s="83">
        <f t="shared" si="29"/>
        <v>5.3262714285714265</v>
      </c>
    </row>
    <row r="1965" spans="1:7" x14ac:dyDescent="0.2">
      <c r="A1965" s="75">
        <v>41570</v>
      </c>
      <c r="B1965" s="76" t="s">
        <v>35</v>
      </c>
      <c r="C1965" s="76" t="s">
        <v>536</v>
      </c>
      <c r="D1965" s="79">
        <v>2955.5618599999998</v>
      </c>
      <c r="E1965" s="79">
        <v>5.4965000000000002</v>
      </c>
      <c r="F1965" s="79">
        <v>5.4225000000000003</v>
      </c>
      <c r="G1965" s="83">
        <f t="shared" si="29"/>
        <v>5.3396111111111102</v>
      </c>
    </row>
    <row r="1966" spans="1:7" x14ac:dyDescent="0.2">
      <c r="A1966" s="75">
        <v>41571</v>
      </c>
      <c r="B1966" s="76" t="s">
        <v>35</v>
      </c>
      <c r="C1966" s="76" t="s">
        <v>536</v>
      </c>
      <c r="D1966" s="79">
        <v>2950.653679</v>
      </c>
      <c r="E1966" s="79">
        <v>5.423</v>
      </c>
      <c r="F1966" s="79">
        <v>5.4679000000000002</v>
      </c>
      <c r="G1966" s="83">
        <f t="shared" si="29"/>
        <v>5.3510634920634894</v>
      </c>
    </row>
    <row r="1967" spans="1:7" x14ac:dyDescent="0.2">
      <c r="A1967" s="75">
        <v>41572</v>
      </c>
      <c r="B1967" s="76" t="s">
        <v>35</v>
      </c>
      <c r="C1967" s="76" t="s">
        <v>536</v>
      </c>
      <c r="D1967" s="79">
        <v>2954.284498</v>
      </c>
      <c r="E1967" s="79">
        <v>5.4683999999999999</v>
      </c>
      <c r="F1967" s="79">
        <v>5.4523000000000001</v>
      </c>
      <c r="G1967" s="83">
        <f t="shared" si="29"/>
        <v>5.3606888888888866</v>
      </c>
    </row>
    <row r="1968" spans="1:7" x14ac:dyDescent="0.2">
      <c r="A1968" s="75">
        <v>41575</v>
      </c>
      <c r="B1968" s="76" t="s">
        <v>35</v>
      </c>
      <c r="C1968" s="76" t="s">
        <v>536</v>
      </c>
      <c r="D1968" s="79">
        <v>2952.332394</v>
      </c>
      <c r="E1968" s="79">
        <v>5.4527999999999999</v>
      </c>
      <c r="F1968" s="79">
        <v>5.4766000000000004</v>
      </c>
      <c r="G1968" s="83">
        <f t="shared" si="29"/>
        <v>5.3678952380952349</v>
      </c>
    </row>
    <row r="1969" spans="1:7" x14ac:dyDescent="0.2">
      <c r="A1969" s="75">
        <v>41576</v>
      </c>
      <c r="B1969" s="76" t="s">
        <v>35</v>
      </c>
      <c r="C1969" s="76" t="s">
        <v>536</v>
      </c>
      <c r="D1969" s="79">
        <v>2956.274144</v>
      </c>
      <c r="E1969" s="79">
        <v>5.4770000000000003</v>
      </c>
      <c r="F1969" s="79">
        <v>5.4587000000000003</v>
      </c>
      <c r="G1969" s="83">
        <f t="shared" si="29"/>
        <v>5.3769523809523783</v>
      </c>
    </row>
    <row r="1970" spans="1:7" x14ac:dyDescent="0.2">
      <c r="A1970" s="75">
        <v>41577</v>
      </c>
      <c r="B1970" s="76" t="s">
        <v>35</v>
      </c>
      <c r="C1970" s="76" t="s">
        <v>536</v>
      </c>
      <c r="D1970" s="79">
        <v>2959.8970169999998</v>
      </c>
      <c r="E1970" s="79">
        <v>5.4591000000000003</v>
      </c>
      <c r="F1970" s="79">
        <v>5.4431000000000003</v>
      </c>
      <c r="G1970" s="83">
        <f t="shared" si="29"/>
        <v>5.3823666666666643</v>
      </c>
    </row>
    <row r="1971" spans="1:7" x14ac:dyDescent="0.2">
      <c r="A1971" s="75">
        <v>41578</v>
      </c>
      <c r="B1971" s="76" t="s">
        <v>35</v>
      </c>
      <c r="C1971" s="76" t="s">
        <v>536</v>
      </c>
      <c r="D1971" s="79">
        <v>2946.1282160000001</v>
      </c>
      <c r="E1971" s="79">
        <v>5.4435000000000002</v>
      </c>
      <c r="F1971" s="79">
        <v>5.5518000000000001</v>
      </c>
      <c r="G1971" s="83">
        <f t="shared" si="29"/>
        <v>5.3889714285714261</v>
      </c>
    </row>
    <row r="1972" spans="1:7" x14ac:dyDescent="0.2">
      <c r="A1972" s="75">
        <v>41579</v>
      </c>
      <c r="B1972" s="76" t="s">
        <v>35</v>
      </c>
      <c r="C1972" s="76" t="s">
        <v>536</v>
      </c>
      <c r="D1972" s="79">
        <v>2929.8594149999999</v>
      </c>
      <c r="E1972" s="79">
        <v>5.5522</v>
      </c>
      <c r="F1972" s="79">
        <v>5.6791999999999998</v>
      </c>
      <c r="G1972" s="83">
        <f t="shared" si="29"/>
        <v>5.3982126984126975</v>
      </c>
    </row>
    <row r="1973" spans="1:7" x14ac:dyDescent="0.2">
      <c r="A1973" s="75">
        <v>41582</v>
      </c>
      <c r="B1973" s="76" t="s">
        <v>35</v>
      </c>
      <c r="C1973" s="76" t="s">
        <v>536</v>
      </c>
      <c r="D1973" s="79">
        <v>2926.3368850000002</v>
      </c>
      <c r="E1973" s="79">
        <v>5.6795999999999998</v>
      </c>
      <c r="F1973" s="79">
        <v>5.7150999999999996</v>
      </c>
      <c r="G1973" s="83">
        <f t="shared" si="29"/>
        <v>5.4082142857142852</v>
      </c>
    </row>
    <row r="1974" spans="1:7" x14ac:dyDescent="0.2">
      <c r="A1974" s="75">
        <v>41583</v>
      </c>
      <c r="B1974" s="76" t="s">
        <v>35</v>
      </c>
      <c r="C1974" s="76" t="s">
        <v>536</v>
      </c>
      <c r="D1974" s="79">
        <v>2911.9949350000002</v>
      </c>
      <c r="E1974" s="79">
        <v>5.7154999999999996</v>
      </c>
      <c r="F1974" s="79">
        <v>5.8296000000000001</v>
      </c>
      <c r="G1974" s="83">
        <f t="shared" si="29"/>
        <v>5.418968253968254</v>
      </c>
    </row>
    <row r="1975" spans="1:7" x14ac:dyDescent="0.2">
      <c r="A1975" s="75">
        <v>41584</v>
      </c>
      <c r="B1975" s="76" t="s">
        <v>35</v>
      </c>
      <c r="C1975" s="76" t="s">
        <v>536</v>
      </c>
      <c r="D1975" s="79">
        <v>2907.8721989999999</v>
      </c>
      <c r="E1975" s="79">
        <v>5.83</v>
      </c>
      <c r="F1975" s="79">
        <v>5.8701999999999996</v>
      </c>
      <c r="G1975" s="83">
        <f t="shared" si="29"/>
        <v>5.4322380952380964</v>
      </c>
    </row>
    <row r="1976" spans="1:7" x14ac:dyDescent="0.2">
      <c r="A1976" s="75">
        <v>41585</v>
      </c>
      <c r="B1976" s="76" t="s">
        <v>35</v>
      </c>
      <c r="C1976" s="76" t="s">
        <v>536</v>
      </c>
      <c r="D1976" s="79">
        <v>2882.4835240000002</v>
      </c>
      <c r="E1976" s="79">
        <v>5.8705999999999996</v>
      </c>
      <c r="F1976" s="79">
        <v>6.0636999999999999</v>
      </c>
      <c r="G1976" s="83">
        <f t="shared" si="29"/>
        <v>5.4470015873015898</v>
      </c>
    </row>
    <row r="1977" spans="1:7" x14ac:dyDescent="0.2">
      <c r="A1977" s="75">
        <v>41586</v>
      </c>
      <c r="B1977" s="76" t="s">
        <v>35</v>
      </c>
      <c r="C1977" s="76" t="s">
        <v>536</v>
      </c>
      <c r="D1977" s="79">
        <v>2874.2440889999998</v>
      </c>
      <c r="E1977" s="79">
        <v>6.0640000000000001</v>
      </c>
      <c r="F1977" s="79">
        <v>6.1349999999999998</v>
      </c>
      <c r="G1977" s="83">
        <f t="shared" si="29"/>
        <v>5.4609428571428582</v>
      </c>
    </row>
    <row r="1978" spans="1:7" x14ac:dyDescent="0.2">
      <c r="A1978" s="75">
        <v>41589</v>
      </c>
      <c r="B1978" s="76" t="s">
        <v>35</v>
      </c>
      <c r="C1978" s="76" t="s">
        <v>536</v>
      </c>
      <c r="D1978" s="79">
        <v>2872.4819269999998</v>
      </c>
      <c r="E1978" s="79">
        <v>6.1353999999999997</v>
      </c>
      <c r="F1978" s="79">
        <v>6.1586999999999996</v>
      </c>
      <c r="G1978" s="83">
        <f t="shared" si="29"/>
        <v>5.4747825396825407</v>
      </c>
    </row>
    <row r="1979" spans="1:7" x14ac:dyDescent="0.2">
      <c r="A1979" s="75">
        <v>41590</v>
      </c>
      <c r="B1979" s="76" t="s">
        <v>35</v>
      </c>
      <c r="C1979" s="76" t="s">
        <v>536</v>
      </c>
      <c r="D1979" s="79">
        <v>2896.553257</v>
      </c>
      <c r="E1979" s="79">
        <v>6.1590999999999996</v>
      </c>
      <c r="F1979" s="79">
        <v>5.9922000000000004</v>
      </c>
      <c r="G1979" s="83">
        <f t="shared" si="29"/>
        <v>5.4857888888888899</v>
      </c>
    </row>
    <row r="1980" spans="1:7" x14ac:dyDescent="0.2">
      <c r="A1980" s="75">
        <v>41591</v>
      </c>
      <c r="B1980" s="76" t="s">
        <v>35</v>
      </c>
      <c r="C1980" s="76" t="s">
        <v>536</v>
      </c>
      <c r="D1980" s="79">
        <v>2917.247856</v>
      </c>
      <c r="E1980" s="79">
        <v>5.9926000000000004</v>
      </c>
      <c r="F1980" s="79">
        <v>5.8517999999999999</v>
      </c>
      <c r="G1980" s="83">
        <f t="shared" si="29"/>
        <v>5.4944079365079368</v>
      </c>
    </row>
    <row r="1981" spans="1:7" x14ac:dyDescent="0.2">
      <c r="A1981" s="75">
        <v>41592</v>
      </c>
      <c r="B1981" s="76" t="s">
        <v>35</v>
      </c>
      <c r="C1981" s="76" t="s">
        <v>536</v>
      </c>
      <c r="D1981" s="79">
        <v>2938.3923799999998</v>
      </c>
      <c r="E1981" s="79">
        <v>5.8521000000000001</v>
      </c>
      <c r="F1981" s="79">
        <v>5.7092000000000001</v>
      </c>
      <c r="G1981" s="83">
        <f t="shared" si="29"/>
        <v>5.4996793650793663</v>
      </c>
    </row>
    <row r="1982" spans="1:7" x14ac:dyDescent="0.2">
      <c r="A1982" s="75">
        <v>41596</v>
      </c>
      <c r="B1982" s="76" t="s">
        <v>35</v>
      </c>
      <c r="C1982" s="76" t="s">
        <v>536</v>
      </c>
      <c r="D1982" s="79">
        <v>2953.112787</v>
      </c>
      <c r="E1982" s="79">
        <v>5.7096999999999998</v>
      </c>
      <c r="F1982" s="79">
        <v>5.6139000000000001</v>
      </c>
      <c r="G1982" s="83">
        <f t="shared" si="29"/>
        <v>5.500861904761905</v>
      </c>
    </row>
    <row r="1983" spans="1:7" x14ac:dyDescent="0.2">
      <c r="A1983" s="75">
        <v>41597</v>
      </c>
      <c r="B1983" s="76" t="s">
        <v>35</v>
      </c>
      <c r="C1983" s="76" t="s">
        <v>536</v>
      </c>
      <c r="D1983" s="79">
        <v>2934.5700649999999</v>
      </c>
      <c r="E1983" s="79">
        <v>5.6143000000000001</v>
      </c>
      <c r="F1983" s="79">
        <v>5.7592999999999996</v>
      </c>
      <c r="G1983" s="83">
        <f t="shared" si="29"/>
        <v>5.5052412698412709</v>
      </c>
    </row>
    <row r="1984" spans="1:7" x14ac:dyDescent="0.2">
      <c r="A1984" s="75">
        <v>41598</v>
      </c>
      <c r="B1984" s="76" t="s">
        <v>35</v>
      </c>
      <c r="C1984" s="76" t="s">
        <v>536</v>
      </c>
      <c r="D1984" s="79">
        <v>2936.635577</v>
      </c>
      <c r="E1984" s="79">
        <v>5.7596999999999996</v>
      </c>
      <c r="F1984" s="79">
        <v>5.7549999999999999</v>
      </c>
      <c r="G1984" s="83">
        <f t="shared" si="29"/>
        <v>5.5075682539682562</v>
      </c>
    </row>
    <row r="1985" spans="1:7" x14ac:dyDescent="0.2">
      <c r="A1985" s="75">
        <v>41599</v>
      </c>
      <c r="B1985" s="76" t="s">
        <v>35</v>
      </c>
      <c r="C1985" s="76" t="s">
        <v>536</v>
      </c>
      <c r="D1985" s="79">
        <v>2913.1989600000002</v>
      </c>
      <c r="E1985" s="79">
        <v>5.7553999999999998</v>
      </c>
      <c r="F1985" s="79">
        <v>5.9362000000000004</v>
      </c>
      <c r="G1985" s="83">
        <f t="shared" si="29"/>
        <v>5.5110269841269863</v>
      </c>
    </row>
    <row r="1986" spans="1:7" x14ac:dyDescent="0.2">
      <c r="A1986" s="75">
        <v>41600</v>
      </c>
      <c r="B1986" s="76" t="s">
        <v>35</v>
      </c>
      <c r="C1986" s="76" t="s">
        <v>536</v>
      </c>
      <c r="D1986" s="79">
        <v>2912.9922799999999</v>
      </c>
      <c r="E1986" s="79">
        <v>5.9366000000000003</v>
      </c>
      <c r="F1986" s="79">
        <v>5.9493</v>
      </c>
      <c r="G1986" s="83">
        <f t="shared" si="29"/>
        <v>5.5222682539682566</v>
      </c>
    </row>
    <row r="1987" spans="1:7" x14ac:dyDescent="0.2">
      <c r="A1987" s="75">
        <v>41603</v>
      </c>
      <c r="B1987" s="76" t="s">
        <v>35</v>
      </c>
      <c r="C1987" s="76" t="s">
        <v>536</v>
      </c>
      <c r="D1987" s="79">
        <v>2902.2217679999999</v>
      </c>
      <c r="E1987" s="79">
        <v>5.9497</v>
      </c>
      <c r="F1987" s="79">
        <v>6.0395000000000003</v>
      </c>
      <c r="G1987" s="83">
        <f t="shared" ref="G1987:G2050" si="30">+AVERAGE(E1925:E1987)</f>
        <v>5.5320190476190501</v>
      </c>
    </row>
    <row r="1988" spans="1:7" x14ac:dyDescent="0.2">
      <c r="A1988" s="75">
        <v>41604</v>
      </c>
      <c r="B1988" s="76" t="s">
        <v>35</v>
      </c>
      <c r="C1988" s="76" t="s">
        <v>536</v>
      </c>
      <c r="D1988" s="79">
        <v>2909.0248529999999</v>
      </c>
      <c r="E1988" s="79">
        <v>6.0399000000000003</v>
      </c>
      <c r="F1988" s="79">
        <v>6.0015000000000001</v>
      </c>
      <c r="G1988" s="83">
        <f t="shared" si="30"/>
        <v>5.5434174603174631</v>
      </c>
    </row>
    <row r="1989" spans="1:7" x14ac:dyDescent="0.2">
      <c r="A1989" s="75">
        <v>41605</v>
      </c>
      <c r="B1989" s="76" t="s">
        <v>35</v>
      </c>
      <c r="C1989" s="76" t="s">
        <v>536</v>
      </c>
      <c r="D1989" s="79">
        <v>2908.0180260000002</v>
      </c>
      <c r="E1989" s="79">
        <v>6.0019999999999998</v>
      </c>
      <c r="F1989" s="79">
        <v>6.0206</v>
      </c>
      <c r="G1989" s="83">
        <f t="shared" si="30"/>
        <v>5.5549412698412715</v>
      </c>
    </row>
    <row r="1990" spans="1:7" x14ac:dyDescent="0.2">
      <c r="A1990" s="75">
        <v>41606</v>
      </c>
      <c r="B1990" s="76" t="s">
        <v>35</v>
      </c>
      <c r="C1990" s="76" t="s">
        <v>536</v>
      </c>
      <c r="D1990" s="79">
        <v>2915.3420310000001</v>
      </c>
      <c r="E1990" s="79">
        <v>6.0209999999999999</v>
      </c>
      <c r="F1990" s="79">
        <v>5.9789000000000003</v>
      </c>
      <c r="G1990" s="83">
        <f t="shared" si="30"/>
        <v>5.5625317460317483</v>
      </c>
    </row>
    <row r="1991" spans="1:7" x14ac:dyDescent="0.2">
      <c r="A1991" s="75">
        <v>41607</v>
      </c>
      <c r="B1991" s="76" t="s">
        <v>35</v>
      </c>
      <c r="C1991" s="76" t="s">
        <v>536</v>
      </c>
      <c r="D1991" s="79">
        <v>2900.3867380000002</v>
      </c>
      <c r="E1991" s="79">
        <v>5.9794</v>
      </c>
      <c r="F1991" s="79">
        <v>6.0998000000000001</v>
      </c>
      <c r="G1991" s="83">
        <f t="shared" si="30"/>
        <v>5.5693333333333364</v>
      </c>
    </row>
    <row r="1992" spans="1:7" x14ac:dyDescent="0.2">
      <c r="A1992" s="75">
        <v>41610</v>
      </c>
      <c r="B1992" s="76" t="s">
        <v>35</v>
      </c>
      <c r="C1992" s="76" t="s">
        <v>536</v>
      </c>
      <c r="D1992" s="79">
        <v>2872.2625370000001</v>
      </c>
      <c r="E1992" s="79">
        <v>6.1002999999999998</v>
      </c>
      <c r="F1992" s="79">
        <v>6.3188000000000004</v>
      </c>
      <c r="G1992" s="83">
        <f t="shared" si="30"/>
        <v>5.5778682539682558</v>
      </c>
    </row>
    <row r="1993" spans="1:7" x14ac:dyDescent="0.2">
      <c r="A1993" s="75">
        <v>41611</v>
      </c>
      <c r="B1993" s="76" t="s">
        <v>35</v>
      </c>
      <c r="C1993" s="76" t="s">
        <v>536</v>
      </c>
      <c r="D1993" s="79">
        <v>2867.87248</v>
      </c>
      <c r="E1993" s="79">
        <v>6.3193000000000001</v>
      </c>
      <c r="F1993" s="79">
        <v>6.3634000000000004</v>
      </c>
      <c r="G1993" s="83">
        <f t="shared" si="30"/>
        <v>5.5896968253968264</v>
      </c>
    </row>
    <row r="1994" spans="1:7" x14ac:dyDescent="0.2">
      <c r="A1994" s="75">
        <v>41612</v>
      </c>
      <c r="B1994" s="76" t="s">
        <v>35</v>
      </c>
      <c r="C1994" s="76" t="s">
        <v>536</v>
      </c>
      <c r="D1994" s="79">
        <v>2872.264889</v>
      </c>
      <c r="E1994" s="79">
        <v>6.3639000000000001</v>
      </c>
      <c r="F1994" s="79">
        <v>6.3429000000000002</v>
      </c>
      <c r="G1994" s="83">
        <f t="shared" si="30"/>
        <v>5.602215873015874</v>
      </c>
    </row>
    <row r="1995" spans="1:7" x14ac:dyDescent="0.2">
      <c r="A1995" s="75">
        <v>41613</v>
      </c>
      <c r="B1995" s="76" t="s">
        <v>35</v>
      </c>
      <c r="C1995" s="76" t="s">
        <v>536</v>
      </c>
      <c r="D1995" s="79">
        <v>2889.850848</v>
      </c>
      <c r="E1995" s="79">
        <v>6.3433999999999999</v>
      </c>
      <c r="F1995" s="79">
        <v>6.2251000000000003</v>
      </c>
      <c r="G1995" s="83">
        <f t="shared" si="30"/>
        <v>5.6139492063492069</v>
      </c>
    </row>
    <row r="1996" spans="1:7" x14ac:dyDescent="0.2">
      <c r="A1996" s="75">
        <v>41614</v>
      </c>
      <c r="B1996" s="76" t="s">
        <v>35</v>
      </c>
      <c r="C1996" s="76" t="s">
        <v>536</v>
      </c>
      <c r="D1996" s="79">
        <v>2894.5843319999999</v>
      </c>
      <c r="E1996" s="79">
        <v>6.2256999999999998</v>
      </c>
      <c r="F1996" s="79">
        <v>6.1935000000000002</v>
      </c>
      <c r="G1996" s="83">
        <f t="shared" si="30"/>
        <v>5.62494126984127</v>
      </c>
    </row>
    <row r="1997" spans="1:7" x14ac:dyDescent="0.2">
      <c r="A1997" s="75">
        <v>41617</v>
      </c>
      <c r="B1997" s="76" t="s">
        <v>35</v>
      </c>
      <c r="C1997" s="76" t="s">
        <v>536</v>
      </c>
      <c r="D1997" s="79">
        <v>2903.163618</v>
      </c>
      <c r="E1997" s="79">
        <v>6.194</v>
      </c>
      <c r="F1997" s="79">
        <v>6.1418999999999997</v>
      </c>
      <c r="G1997" s="83">
        <f t="shared" si="30"/>
        <v>5.635826984126985</v>
      </c>
    </row>
    <row r="1998" spans="1:7" x14ac:dyDescent="0.2">
      <c r="A1998" s="75">
        <v>41618</v>
      </c>
      <c r="B1998" s="76" t="s">
        <v>35</v>
      </c>
      <c r="C1998" s="76" t="s">
        <v>536</v>
      </c>
      <c r="D1998" s="79">
        <v>2916.7350719999999</v>
      </c>
      <c r="E1998" s="79">
        <v>6.1424000000000003</v>
      </c>
      <c r="F1998" s="79">
        <v>6.0541</v>
      </c>
      <c r="G1998" s="83">
        <f t="shared" si="30"/>
        <v>5.646484126984129</v>
      </c>
    </row>
    <row r="1999" spans="1:7" x14ac:dyDescent="0.2">
      <c r="A1999" s="75">
        <v>41619</v>
      </c>
      <c r="B1999" s="76" t="s">
        <v>35</v>
      </c>
      <c r="C1999" s="76" t="s">
        <v>536</v>
      </c>
      <c r="D1999" s="79">
        <v>2922.8248149999999</v>
      </c>
      <c r="E1999" s="79">
        <v>6.0547000000000004</v>
      </c>
      <c r="F1999" s="79">
        <v>6.0210999999999997</v>
      </c>
      <c r="G1999" s="83">
        <f t="shared" si="30"/>
        <v>5.6562174603174622</v>
      </c>
    </row>
    <row r="2000" spans="1:7" x14ac:dyDescent="0.2">
      <c r="A2000" s="75">
        <v>41620</v>
      </c>
      <c r="B2000" s="76" t="s">
        <v>35</v>
      </c>
      <c r="C2000" s="76" t="s">
        <v>536</v>
      </c>
      <c r="D2000" s="79">
        <v>2931.4529539999999</v>
      </c>
      <c r="E2000" s="79">
        <v>6.0217000000000001</v>
      </c>
      <c r="F2000" s="79">
        <v>5.9698000000000002</v>
      </c>
      <c r="G2000" s="83">
        <f t="shared" si="30"/>
        <v>5.6641730158730175</v>
      </c>
    </row>
    <row r="2001" spans="1:7" x14ac:dyDescent="0.2">
      <c r="A2001" s="75">
        <v>41621</v>
      </c>
      <c r="B2001" s="76" t="s">
        <v>35</v>
      </c>
      <c r="C2001" s="76" t="s">
        <v>536</v>
      </c>
      <c r="D2001" s="79">
        <v>2931.9082400000002</v>
      </c>
      <c r="E2001" s="79">
        <v>5.9703999999999997</v>
      </c>
      <c r="F2001" s="79">
        <v>5.9776999999999996</v>
      </c>
      <c r="G2001" s="83">
        <f t="shared" si="30"/>
        <v>5.6714888888888906</v>
      </c>
    </row>
    <row r="2002" spans="1:7" x14ac:dyDescent="0.2">
      <c r="A2002" s="75">
        <v>41624</v>
      </c>
      <c r="B2002" s="76" t="s">
        <v>35</v>
      </c>
      <c r="C2002" s="76" t="s">
        <v>536</v>
      </c>
      <c r="D2002" s="79">
        <v>2935.3244110000001</v>
      </c>
      <c r="E2002" s="79">
        <v>5.9782999999999999</v>
      </c>
      <c r="F2002" s="79">
        <v>5.9641999999999999</v>
      </c>
      <c r="G2002" s="83">
        <f t="shared" si="30"/>
        <v>5.6788634920634937</v>
      </c>
    </row>
    <row r="2003" spans="1:7" x14ac:dyDescent="0.2">
      <c r="A2003" s="75">
        <v>41625</v>
      </c>
      <c r="B2003" s="76" t="s">
        <v>35</v>
      </c>
      <c r="C2003" s="76" t="s">
        <v>536</v>
      </c>
      <c r="D2003" s="79">
        <v>2933.6900430000001</v>
      </c>
      <c r="E2003" s="79">
        <v>5.9648000000000003</v>
      </c>
      <c r="F2003" s="79">
        <v>5.9890999999999996</v>
      </c>
      <c r="G2003" s="83">
        <f t="shared" si="30"/>
        <v>5.6863888888888905</v>
      </c>
    </row>
    <row r="2004" spans="1:7" x14ac:dyDescent="0.2">
      <c r="A2004" s="75">
        <v>41626</v>
      </c>
      <c r="B2004" s="76" t="s">
        <v>35</v>
      </c>
      <c r="C2004" s="76" t="s">
        <v>536</v>
      </c>
      <c r="D2004" s="79">
        <v>2939.6716689999998</v>
      </c>
      <c r="E2004" s="79">
        <v>5.9897999999999998</v>
      </c>
      <c r="F2004" s="79">
        <v>5.9591000000000003</v>
      </c>
      <c r="G2004" s="83">
        <f t="shared" si="30"/>
        <v>5.6989000000000019</v>
      </c>
    </row>
    <row r="2005" spans="1:7" x14ac:dyDescent="0.2">
      <c r="A2005" s="75">
        <v>41627</v>
      </c>
      <c r="B2005" s="76" t="s">
        <v>35</v>
      </c>
      <c r="C2005" s="76" t="s">
        <v>536</v>
      </c>
      <c r="D2005" s="79">
        <v>2924.3474799999999</v>
      </c>
      <c r="E2005" s="79">
        <v>5.9598000000000004</v>
      </c>
      <c r="F2005" s="79">
        <v>6.0831999999999997</v>
      </c>
      <c r="G2005" s="83">
        <f t="shared" si="30"/>
        <v>5.7104968253968265</v>
      </c>
    </row>
    <row r="2006" spans="1:7" x14ac:dyDescent="0.2">
      <c r="A2006" s="75">
        <v>41628</v>
      </c>
      <c r="B2006" s="76" t="s">
        <v>35</v>
      </c>
      <c r="C2006" s="76" t="s">
        <v>536</v>
      </c>
      <c r="D2006" s="79">
        <v>2909.0159199999998</v>
      </c>
      <c r="E2006" s="79">
        <v>6.0838000000000001</v>
      </c>
      <c r="F2006" s="79">
        <v>6.2122999999999999</v>
      </c>
      <c r="G2006" s="83">
        <f t="shared" si="30"/>
        <v>5.7241873015873024</v>
      </c>
    </row>
    <row r="2007" spans="1:7" x14ac:dyDescent="0.2">
      <c r="A2007" s="75">
        <v>41631</v>
      </c>
      <c r="B2007" s="76" t="s">
        <v>35</v>
      </c>
      <c r="C2007" s="76" t="s">
        <v>536</v>
      </c>
      <c r="D2007" s="79">
        <v>2915.1484759999998</v>
      </c>
      <c r="E2007" s="79">
        <v>6.2127999999999997</v>
      </c>
      <c r="F2007" s="79">
        <v>6.1818</v>
      </c>
      <c r="G2007" s="83">
        <f t="shared" si="30"/>
        <v>5.7396492063492079</v>
      </c>
    </row>
    <row r="2008" spans="1:7" x14ac:dyDescent="0.2">
      <c r="A2008" s="75">
        <v>41632</v>
      </c>
      <c r="B2008" s="76" t="s">
        <v>35</v>
      </c>
      <c r="C2008" s="76" t="s">
        <v>536</v>
      </c>
      <c r="D2008" s="79">
        <v>2916.9784679999998</v>
      </c>
      <c r="E2008" s="79">
        <v>6.1824000000000003</v>
      </c>
      <c r="F2008" s="79">
        <v>6.1828000000000003</v>
      </c>
      <c r="G2008" s="83">
        <f t="shared" si="30"/>
        <v>5.7550269841269852</v>
      </c>
    </row>
    <row r="2009" spans="1:7" x14ac:dyDescent="0.2">
      <c r="A2009" s="75">
        <v>41634</v>
      </c>
      <c r="B2009" s="76" t="s">
        <v>35</v>
      </c>
      <c r="C2009" s="76" t="s">
        <v>536</v>
      </c>
      <c r="D2009" s="79">
        <v>2911.377684</v>
      </c>
      <c r="E2009" s="79">
        <v>6.1833999999999998</v>
      </c>
      <c r="F2009" s="79">
        <v>6.2380000000000004</v>
      </c>
      <c r="G2009" s="83">
        <f t="shared" si="30"/>
        <v>5.7692761904761909</v>
      </c>
    </row>
    <row r="2010" spans="1:7" x14ac:dyDescent="0.2">
      <c r="A2010" s="75">
        <v>41635</v>
      </c>
      <c r="B2010" s="76" t="s">
        <v>35</v>
      </c>
      <c r="C2010" s="76" t="s">
        <v>536</v>
      </c>
      <c r="D2010" s="79">
        <v>2921.1291070000002</v>
      </c>
      <c r="E2010" s="79">
        <v>6.2385000000000002</v>
      </c>
      <c r="F2010" s="79">
        <v>6.1811999999999996</v>
      </c>
      <c r="G2010" s="83">
        <f t="shared" si="30"/>
        <v>5.7833793650793659</v>
      </c>
    </row>
    <row r="2011" spans="1:7" x14ac:dyDescent="0.2">
      <c r="A2011" s="75">
        <v>41638</v>
      </c>
      <c r="B2011" s="76" t="s">
        <v>35</v>
      </c>
      <c r="C2011" s="76" t="s">
        <v>536</v>
      </c>
      <c r="D2011" s="79">
        <v>2925.7700110000001</v>
      </c>
      <c r="E2011" s="79">
        <v>6.1818</v>
      </c>
      <c r="F2011" s="79">
        <v>6.1618000000000004</v>
      </c>
      <c r="G2011" s="83">
        <f t="shared" si="30"/>
        <v>5.7963285714285711</v>
      </c>
    </row>
    <row r="2012" spans="1:7" x14ac:dyDescent="0.2">
      <c r="A2012" s="75">
        <v>41639</v>
      </c>
      <c r="B2012" s="76" t="s">
        <v>35</v>
      </c>
      <c r="C2012" s="76" t="s">
        <v>536</v>
      </c>
      <c r="D2012" s="79">
        <v>2927.67335</v>
      </c>
      <c r="E2012" s="79">
        <v>6.1623000000000001</v>
      </c>
      <c r="F2012" s="79">
        <v>6.1622000000000003</v>
      </c>
      <c r="G2012" s="83">
        <f t="shared" si="30"/>
        <v>5.8090285714285734</v>
      </c>
    </row>
    <row r="2013" spans="1:7" x14ac:dyDescent="0.2">
      <c r="A2013" s="75">
        <v>41641</v>
      </c>
      <c r="B2013" s="76" t="s">
        <v>35</v>
      </c>
      <c r="C2013" s="76" t="s">
        <v>536</v>
      </c>
      <c r="D2013" s="79">
        <v>2920.7429649999999</v>
      </c>
      <c r="E2013" s="79">
        <v>6.1627000000000001</v>
      </c>
      <c r="F2013" s="79">
        <v>6.2267999999999999</v>
      </c>
      <c r="G2013" s="83">
        <f t="shared" si="30"/>
        <v>5.8207238095238107</v>
      </c>
    </row>
    <row r="2014" spans="1:7" x14ac:dyDescent="0.2">
      <c r="A2014" s="75">
        <v>41642</v>
      </c>
      <c r="B2014" s="76" t="s">
        <v>35</v>
      </c>
      <c r="C2014" s="76" t="s">
        <v>536</v>
      </c>
      <c r="D2014" s="79">
        <v>2922.2377879999999</v>
      </c>
      <c r="E2014" s="79">
        <v>6.2272999999999996</v>
      </c>
      <c r="F2014" s="79">
        <v>6.2302</v>
      </c>
      <c r="G2014" s="83">
        <f t="shared" si="30"/>
        <v>5.8335222222222232</v>
      </c>
    </row>
    <row r="2015" spans="1:7" x14ac:dyDescent="0.2">
      <c r="A2015" s="75">
        <v>41645</v>
      </c>
      <c r="B2015" s="76" t="s">
        <v>35</v>
      </c>
      <c r="C2015" s="76" t="s">
        <v>536</v>
      </c>
      <c r="D2015" s="79">
        <v>2920.7930470000001</v>
      </c>
      <c r="E2015" s="79">
        <v>6.2306999999999997</v>
      </c>
      <c r="F2015" s="79">
        <v>6.2549999999999999</v>
      </c>
      <c r="G2015" s="83">
        <f t="shared" si="30"/>
        <v>5.8469841269841272</v>
      </c>
    </row>
    <row r="2016" spans="1:7" x14ac:dyDescent="0.2">
      <c r="A2016" s="75">
        <v>41646</v>
      </c>
      <c r="B2016" s="76" t="s">
        <v>35</v>
      </c>
      <c r="C2016" s="76" t="s">
        <v>536</v>
      </c>
      <c r="D2016" s="79">
        <v>2930.066542</v>
      </c>
      <c r="E2016" s="79">
        <v>6.2553999999999998</v>
      </c>
      <c r="F2016" s="79">
        <v>6.2018000000000004</v>
      </c>
      <c r="G2016" s="83">
        <f t="shared" si="30"/>
        <v>5.8605047619047621</v>
      </c>
    </row>
    <row r="2017" spans="1:7" x14ac:dyDescent="0.2">
      <c r="A2017" s="75">
        <v>41647</v>
      </c>
      <c r="B2017" s="76" t="s">
        <v>35</v>
      </c>
      <c r="C2017" s="76" t="s">
        <v>536</v>
      </c>
      <c r="D2017" s="79">
        <v>2926.1496609999999</v>
      </c>
      <c r="E2017" s="79">
        <v>6.2023000000000001</v>
      </c>
      <c r="F2017" s="79">
        <v>6.2445000000000004</v>
      </c>
      <c r="G2017" s="83">
        <f t="shared" si="30"/>
        <v>5.8734682539682543</v>
      </c>
    </row>
    <row r="2018" spans="1:7" x14ac:dyDescent="0.2">
      <c r="A2018" s="75">
        <v>41648</v>
      </c>
      <c r="B2018" s="76" t="s">
        <v>35</v>
      </c>
      <c r="C2018" s="76" t="s">
        <v>536</v>
      </c>
      <c r="D2018" s="79">
        <v>2925.035018</v>
      </c>
      <c r="E2018" s="79">
        <v>6.2450000000000001</v>
      </c>
      <c r="F2018" s="79">
        <v>6.2668999999999997</v>
      </c>
      <c r="G2018" s="83">
        <f t="shared" si="30"/>
        <v>5.8876158730158723</v>
      </c>
    </row>
    <row r="2019" spans="1:7" x14ac:dyDescent="0.2">
      <c r="A2019" s="75">
        <v>41649</v>
      </c>
      <c r="B2019" s="76" t="s">
        <v>35</v>
      </c>
      <c r="C2019" s="76" t="s">
        <v>536</v>
      </c>
      <c r="D2019" s="79">
        <v>2938.2321820000002</v>
      </c>
      <c r="E2019" s="79">
        <v>6.2674000000000003</v>
      </c>
      <c r="F2019" s="79">
        <v>6.2034000000000002</v>
      </c>
      <c r="G2019" s="83">
        <f t="shared" si="30"/>
        <v>5.9034777777777778</v>
      </c>
    </row>
    <row r="2020" spans="1:7" x14ac:dyDescent="0.2">
      <c r="A2020" s="75">
        <v>41652</v>
      </c>
      <c r="B2020" s="76" t="s">
        <v>35</v>
      </c>
      <c r="C2020" s="76" t="s">
        <v>536</v>
      </c>
      <c r="D2020" s="79">
        <v>2934.505236</v>
      </c>
      <c r="E2020" s="79">
        <v>6.2039</v>
      </c>
      <c r="F2020" s="79">
        <v>6.2457000000000003</v>
      </c>
      <c r="G2020" s="83">
        <f t="shared" si="30"/>
        <v>5.9167142857142858</v>
      </c>
    </row>
    <row r="2021" spans="1:7" x14ac:dyDescent="0.2">
      <c r="A2021" s="75">
        <v>41653</v>
      </c>
      <c r="B2021" s="76" t="s">
        <v>35</v>
      </c>
      <c r="C2021" s="76" t="s">
        <v>536</v>
      </c>
      <c r="D2021" s="79">
        <v>2924.8459210000001</v>
      </c>
      <c r="E2021" s="79">
        <v>6.2462</v>
      </c>
      <c r="F2021" s="79">
        <v>6.3311999999999999</v>
      </c>
      <c r="G2021" s="83">
        <f t="shared" si="30"/>
        <v>5.9301746031746028</v>
      </c>
    </row>
    <row r="2022" spans="1:7" x14ac:dyDescent="0.2">
      <c r="A2022" s="75">
        <v>41654</v>
      </c>
      <c r="B2022" s="76" t="s">
        <v>35</v>
      </c>
      <c r="C2022" s="76" t="s">
        <v>536</v>
      </c>
      <c r="D2022" s="79">
        <v>2931.2204080000001</v>
      </c>
      <c r="E2022" s="79">
        <v>6.3315999999999999</v>
      </c>
      <c r="F2022" s="79">
        <v>6.3002000000000002</v>
      </c>
      <c r="G2022" s="83">
        <f t="shared" si="30"/>
        <v>5.9446492063492054</v>
      </c>
    </row>
    <row r="2023" spans="1:7" x14ac:dyDescent="0.2">
      <c r="A2023" s="75">
        <v>41655</v>
      </c>
      <c r="B2023" s="76" t="s">
        <v>35</v>
      </c>
      <c r="C2023" s="76" t="s">
        <v>536</v>
      </c>
      <c r="D2023" s="79">
        <v>2930.6540829999999</v>
      </c>
      <c r="E2023" s="79">
        <v>6.3007</v>
      </c>
      <c r="F2023" s="79">
        <v>6.3167</v>
      </c>
      <c r="G2023" s="83">
        <f t="shared" si="30"/>
        <v>5.9584317460317449</v>
      </c>
    </row>
    <row r="2024" spans="1:7" x14ac:dyDescent="0.2">
      <c r="A2024" s="75">
        <v>41656</v>
      </c>
      <c r="B2024" s="76" t="s">
        <v>35</v>
      </c>
      <c r="C2024" s="76" t="s">
        <v>536</v>
      </c>
      <c r="D2024" s="79">
        <v>2940.851881</v>
      </c>
      <c r="E2024" s="79">
        <v>6.3171999999999997</v>
      </c>
      <c r="F2024" s="79">
        <v>6.2552000000000003</v>
      </c>
      <c r="G2024" s="83">
        <f t="shared" si="30"/>
        <v>5.9722999999999997</v>
      </c>
    </row>
    <row r="2025" spans="1:7" x14ac:dyDescent="0.2">
      <c r="A2025" s="75">
        <v>41659</v>
      </c>
      <c r="B2025" s="76" t="s">
        <v>35</v>
      </c>
      <c r="C2025" s="76" t="s">
        <v>536</v>
      </c>
      <c r="D2025" s="79">
        <v>2929.8775409999998</v>
      </c>
      <c r="E2025" s="79">
        <v>6.2556000000000003</v>
      </c>
      <c r="F2025" s="79">
        <v>6.3470000000000004</v>
      </c>
      <c r="G2025" s="83">
        <f t="shared" si="30"/>
        <v>5.9850730158730157</v>
      </c>
    </row>
    <row r="2026" spans="1:7" x14ac:dyDescent="0.2">
      <c r="A2026" s="75">
        <v>41660</v>
      </c>
      <c r="B2026" s="76" t="s">
        <v>35</v>
      </c>
      <c r="C2026" s="76" t="s">
        <v>536</v>
      </c>
      <c r="D2026" s="79">
        <v>2915.7063079999998</v>
      </c>
      <c r="E2026" s="79">
        <v>6.3474000000000004</v>
      </c>
      <c r="F2026" s="79">
        <v>6.4626000000000001</v>
      </c>
      <c r="G2026" s="83">
        <f t="shared" si="30"/>
        <v>5.9980460317460302</v>
      </c>
    </row>
    <row r="2027" spans="1:7" x14ac:dyDescent="0.2">
      <c r="A2027" s="75">
        <v>41661</v>
      </c>
      <c r="B2027" s="76" t="s">
        <v>35</v>
      </c>
      <c r="C2027" s="76" t="s">
        <v>536</v>
      </c>
      <c r="D2027" s="79">
        <v>2914.247715</v>
      </c>
      <c r="E2027" s="79">
        <v>6.4630000000000001</v>
      </c>
      <c r="F2027" s="79">
        <v>6.4856999999999996</v>
      </c>
      <c r="G2027" s="83">
        <f t="shared" si="30"/>
        <v>6.0122063492063482</v>
      </c>
    </row>
    <row r="2028" spans="1:7" x14ac:dyDescent="0.2">
      <c r="A2028" s="75">
        <v>41662</v>
      </c>
      <c r="B2028" s="76" t="s">
        <v>35</v>
      </c>
      <c r="C2028" s="76" t="s">
        <v>536</v>
      </c>
      <c r="D2028" s="79">
        <v>2891.8427569999999</v>
      </c>
      <c r="E2028" s="79">
        <v>6.4861000000000004</v>
      </c>
      <c r="F2028" s="79">
        <v>6.6627999999999998</v>
      </c>
      <c r="G2028" s="83">
        <f t="shared" si="30"/>
        <v>6.0279142857142851</v>
      </c>
    </row>
    <row r="2029" spans="1:7" x14ac:dyDescent="0.2">
      <c r="A2029" s="75">
        <v>41663</v>
      </c>
      <c r="B2029" s="76" t="s">
        <v>35</v>
      </c>
      <c r="C2029" s="76" t="s">
        <v>536</v>
      </c>
      <c r="D2029" s="79">
        <v>2898.109567</v>
      </c>
      <c r="E2029" s="79">
        <v>6.6632999999999996</v>
      </c>
      <c r="F2029" s="79">
        <v>6.6234999999999999</v>
      </c>
      <c r="G2029" s="83">
        <f t="shared" si="30"/>
        <v>6.0476015873015871</v>
      </c>
    </row>
    <row r="2030" spans="1:7" x14ac:dyDescent="0.2">
      <c r="A2030" s="75">
        <v>41666</v>
      </c>
      <c r="B2030" s="76" t="s">
        <v>35</v>
      </c>
      <c r="C2030" s="76" t="s">
        <v>536</v>
      </c>
      <c r="D2030" s="79">
        <v>2889.5098979999998</v>
      </c>
      <c r="E2030" s="79">
        <v>6.6239999999999997</v>
      </c>
      <c r="F2030" s="79">
        <v>6.6988000000000003</v>
      </c>
      <c r="G2030" s="83">
        <f t="shared" si="30"/>
        <v>6.0659444444444439</v>
      </c>
    </row>
    <row r="2031" spans="1:7" x14ac:dyDescent="0.2">
      <c r="A2031" s="75">
        <v>41667</v>
      </c>
      <c r="B2031" s="76" t="s">
        <v>35</v>
      </c>
      <c r="C2031" s="76" t="s">
        <v>536</v>
      </c>
      <c r="D2031" s="79">
        <v>2880.9913790000001</v>
      </c>
      <c r="E2031" s="79">
        <v>6.6993</v>
      </c>
      <c r="F2031" s="79">
        <v>6.7737999999999996</v>
      </c>
      <c r="G2031" s="83">
        <f t="shared" si="30"/>
        <v>6.0857301587301587</v>
      </c>
    </row>
    <row r="2032" spans="1:7" x14ac:dyDescent="0.2">
      <c r="A2032" s="75">
        <v>41668</v>
      </c>
      <c r="B2032" s="76" t="s">
        <v>35</v>
      </c>
      <c r="C2032" s="76" t="s">
        <v>536</v>
      </c>
      <c r="D2032" s="79">
        <v>2877.8646290000001</v>
      </c>
      <c r="E2032" s="79">
        <v>6.7742000000000004</v>
      </c>
      <c r="F2032" s="79">
        <v>6.8089000000000004</v>
      </c>
      <c r="G2032" s="83">
        <f t="shared" si="30"/>
        <v>6.1063206349206354</v>
      </c>
    </row>
    <row r="2033" spans="1:7" x14ac:dyDescent="0.2">
      <c r="A2033" s="75">
        <v>41669</v>
      </c>
      <c r="B2033" s="76" t="s">
        <v>35</v>
      </c>
      <c r="C2033" s="76" t="s">
        <v>536</v>
      </c>
      <c r="D2033" s="79">
        <v>2873.0399860000002</v>
      </c>
      <c r="E2033" s="79">
        <v>6.8093000000000004</v>
      </c>
      <c r="F2033" s="79">
        <v>6.8567</v>
      </c>
      <c r="G2033" s="83">
        <f t="shared" si="30"/>
        <v>6.1277523809523808</v>
      </c>
    </row>
    <row r="2034" spans="1:7" x14ac:dyDescent="0.2">
      <c r="A2034" s="75">
        <v>41670</v>
      </c>
      <c r="B2034" s="76" t="s">
        <v>35</v>
      </c>
      <c r="C2034" s="76" t="s">
        <v>536</v>
      </c>
      <c r="D2034" s="79">
        <v>2875.5209669999999</v>
      </c>
      <c r="E2034" s="79">
        <v>6.8569000000000004</v>
      </c>
      <c r="F2034" s="79">
        <v>6.85</v>
      </c>
      <c r="G2034" s="83">
        <f t="shared" si="30"/>
        <v>6.1501873015873025</v>
      </c>
    </row>
    <row r="2035" spans="1:7" x14ac:dyDescent="0.2">
      <c r="A2035" s="75">
        <v>41673</v>
      </c>
      <c r="B2035" s="76" t="s">
        <v>35</v>
      </c>
      <c r="C2035" s="76" t="s">
        <v>536</v>
      </c>
      <c r="D2035" s="79">
        <v>2873.2441530000001</v>
      </c>
      <c r="E2035" s="79">
        <v>6.8502000000000001</v>
      </c>
      <c r="F2035" s="79">
        <v>6.8787000000000003</v>
      </c>
      <c r="G2035" s="83">
        <f t="shared" si="30"/>
        <v>6.1707904761904757</v>
      </c>
    </row>
    <row r="2036" spans="1:7" x14ac:dyDescent="0.2">
      <c r="A2036" s="75">
        <v>41674</v>
      </c>
      <c r="B2036" s="76" t="s">
        <v>35</v>
      </c>
      <c r="C2036" s="76" t="s">
        <v>536</v>
      </c>
      <c r="D2036" s="79">
        <v>2884.036419</v>
      </c>
      <c r="E2036" s="79">
        <v>6.8788999999999998</v>
      </c>
      <c r="F2036" s="79">
        <v>6.8102999999999998</v>
      </c>
      <c r="G2036" s="83">
        <f t="shared" si="30"/>
        <v>6.1898269841269835</v>
      </c>
    </row>
    <row r="2037" spans="1:7" x14ac:dyDescent="0.2">
      <c r="A2037" s="75">
        <v>41675</v>
      </c>
      <c r="B2037" s="76" t="s">
        <v>35</v>
      </c>
      <c r="C2037" s="76" t="s">
        <v>536</v>
      </c>
      <c r="D2037" s="79">
        <v>2903.3238569999999</v>
      </c>
      <c r="E2037" s="79">
        <v>6.8106</v>
      </c>
      <c r="F2037" s="79">
        <v>6.6797000000000004</v>
      </c>
      <c r="G2037" s="83">
        <f t="shared" si="30"/>
        <v>6.2072095238095244</v>
      </c>
    </row>
    <row r="2038" spans="1:7" x14ac:dyDescent="0.2">
      <c r="A2038" s="75">
        <v>41676</v>
      </c>
      <c r="B2038" s="76" t="s">
        <v>35</v>
      </c>
      <c r="C2038" s="76" t="s">
        <v>536</v>
      </c>
      <c r="D2038" s="79">
        <v>2910.8268760000001</v>
      </c>
      <c r="E2038" s="79">
        <v>6.6801000000000004</v>
      </c>
      <c r="F2038" s="79">
        <v>6.6364000000000001</v>
      </c>
      <c r="G2038" s="83">
        <f t="shared" si="30"/>
        <v>6.2207031746031749</v>
      </c>
    </row>
    <row r="2039" spans="1:7" x14ac:dyDescent="0.2">
      <c r="A2039" s="75">
        <v>41677</v>
      </c>
      <c r="B2039" s="76" t="s">
        <v>35</v>
      </c>
      <c r="C2039" s="76" t="s">
        <v>536</v>
      </c>
      <c r="D2039" s="79">
        <v>2929.8674740000001</v>
      </c>
      <c r="E2039" s="79">
        <v>6.6367000000000003</v>
      </c>
      <c r="F2039" s="79">
        <v>6.4949000000000003</v>
      </c>
      <c r="G2039" s="83">
        <f t="shared" si="30"/>
        <v>6.2328634920634922</v>
      </c>
    </row>
    <row r="2040" spans="1:7" x14ac:dyDescent="0.2">
      <c r="A2040" s="75">
        <v>41680</v>
      </c>
      <c r="B2040" s="76" t="s">
        <v>35</v>
      </c>
      <c r="C2040" s="76" t="s">
        <v>536</v>
      </c>
      <c r="D2040" s="79">
        <v>2927.7667430000001</v>
      </c>
      <c r="E2040" s="79">
        <v>6.4953000000000003</v>
      </c>
      <c r="F2040" s="79">
        <v>6.5209999999999999</v>
      </c>
      <c r="G2040" s="83">
        <f t="shared" si="30"/>
        <v>6.239709523809525</v>
      </c>
    </row>
    <row r="2041" spans="1:7" x14ac:dyDescent="0.2">
      <c r="A2041" s="75">
        <v>41681</v>
      </c>
      <c r="B2041" s="76" t="s">
        <v>35</v>
      </c>
      <c r="C2041" s="76" t="s">
        <v>536</v>
      </c>
      <c r="D2041" s="79">
        <v>2921.5591450000002</v>
      </c>
      <c r="E2041" s="79">
        <v>6.5214999999999996</v>
      </c>
      <c r="F2041" s="79">
        <v>6.5772000000000004</v>
      </c>
      <c r="G2041" s="83">
        <f t="shared" si="30"/>
        <v>6.2458380952380956</v>
      </c>
    </row>
    <row r="2042" spans="1:7" x14ac:dyDescent="0.2">
      <c r="A2042" s="75">
        <v>41682</v>
      </c>
      <c r="B2042" s="76" t="s">
        <v>35</v>
      </c>
      <c r="C2042" s="76" t="s">
        <v>536</v>
      </c>
      <c r="D2042" s="79">
        <v>2918.1355579999999</v>
      </c>
      <c r="E2042" s="79">
        <v>6.5777000000000001</v>
      </c>
      <c r="F2042" s="79">
        <v>6.6132</v>
      </c>
      <c r="G2042" s="83">
        <f t="shared" si="30"/>
        <v>6.2524825396825401</v>
      </c>
    </row>
    <row r="2043" spans="1:7" x14ac:dyDescent="0.2">
      <c r="A2043" s="75">
        <v>41683</v>
      </c>
      <c r="B2043" s="76" t="s">
        <v>35</v>
      </c>
      <c r="C2043" s="76" t="s">
        <v>536</v>
      </c>
      <c r="D2043" s="79">
        <v>2929.7052119999998</v>
      </c>
      <c r="E2043" s="79">
        <v>6.6135999999999999</v>
      </c>
      <c r="F2043" s="79">
        <v>6.5396999999999998</v>
      </c>
      <c r="G2043" s="83">
        <f t="shared" si="30"/>
        <v>6.2623396825396833</v>
      </c>
    </row>
    <row r="2044" spans="1:7" x14ac:dyDescent="0.2">
      <c r="A2044" s="75">
        <v>41684</v>
      </c>
      <c r="B2044" s="76" t="s">
        <v>35</v>
      </c>
      <c r="C2044" s="76" t="s">
        <v>536</v>
      </c>
      <c r="D2044" s="79">
        <v>2941.1264940000001</v>
      </c>
      <c r="E2044" s="79">
        <v>6.5400999999999998</v>
      </c>
      <c r="F2044" s="79">
        <v>6.4676</v>
      </c>
      <c r="G2044" s="83">
        <f t="shared" si="30"/>
        <v>6.273260317460319</v>
      </c>
    </row>
    <row r="2045" spans="1:7" x14ac:dyDescent="0.2">
      <c r="A2045" s="75">
        <v>41687</v>
      </c>
      <c r="B2045" s="76" t="s">
        <v>35</v>
      </c>
      <c r="C2045" s="76" t="s">
        <v>536</v>
      </c>
      <c r="D2045" s="79">
        <v>2954.8104979999998</v>
      </c>
      <c r="E2045" s="79">
        <v>6.468</v>
      </c>
      <c r="F2045" s="79">
        <v>6.3795000000000002</v>
      </c>
      <c r="G2045" s="83">
        <f t="shared" si="30"/>
        <v>6.2852968253968262</v>
      </c>
    </row>
    <row r="2046" spans="1:7" x14ac:dyDescent="0.2">
      <c r="A2046" s="75">
        <v>41688</v>
      </c>
      <c r="B2046" s="76" t="s">
        <v>35</v>
      </c>
      <c r="C2046" s="76" t="s">
        <v>536</v>
      </c>
      <c r="D2046" s="79">
        <v>2971.446175</v>
      </c>
      <c r="E2046" s="79">
        <v>6.38</v>
      </c>
      <c r="F2046" s="79">
        <v>6.2733999999999996</v>
      </c>
      <c r="G2046" s="83">
        <f t="shared" si="30"/>
        <v>6.2974507936507944</v>
      </c>
    </row>
    <row r="2047" spans="1:7" x14ac:dyDescent="0.2">
      <c r="A2047" s="75">
        <v>41689</v>
      </c>
      <c r="B2047" s="76" t="s">
        <v>35</v>
      </c>
      <c r="C2047" s="76" t="s">
        <v>536</v>
      </c>
      <c r="D2047" s="79">
        <v>2967.858307</v>
      </c>
      <c r="E2047" s="79">
        <v>6.274</v>
      </c>
      <c r="F2047" s="79">
        <v>6.3125</v>
      </c>
      <c r="G2047" s="83">
        <f t="shared" si="30"/>
        <v>6.3056142857142872</v>
      </c>
    </row>
    <row r="2048" spans="1:7" x14ac:dyDescent="0.2">
      <c r="A2048" s="75">
        <v>41690</v>
      </c>
      <c r="B2048" s="76" t="s">
        <v>35</v>
      </c>
      <c r="C2048" s="76" t="s">
        <v>536</v>
      </c>
      <c r="D2048" s="79">
        <v>2988.7145500000001</v>
      </c>
      <c r="E2048" s="79">
        <v>6.3131000000000004</v>
      </c>
      <c r="F2048" s="79">
        <v>6.1769999999999996</v>
      </c>
      <c r="G2048" s="83">
        <f t="shared" si="30"/>
        <v>6.3144666666666671</v>
      </c>
    </row>
    <row r="2049" spans="1:7" x14ac:dyDescent="0.2">
      <c r="A2049" s="75">
        <v>41691</v>
      </c>
      <c r="B2049" s="76" t="s">
        <v>35</v>
      </c>
      <c r="C2049" s="76" t="s">
        <v>536</v>
      </c>
      <c r="D2049" s="79">
        <v>3000.0886999999998</v>
      </c>
      <c r="E2049" s="79">
        <v>6.1775000000000002</v>
      </c>
      <c r="F2049" s="79">
        <v>6.1094999999999997</v>
      </c>
      <c r="G2049" s="83">
        <f t="shared" si="30"/>
        <v>6.3182904761904775</v>
      </c>
    </row>
    <row r="2050" spans="1:7" x14ac:dyDescent="0.2">
      <c r="A2050" s="75">
        <v>41694</v>
      </c>
      <c r="B2050" s="76" t="s">
        <v>35</v>
      </c>
      <c r="C2050" s="76" t="s">
        <v>536</v>
      </c>
      <c r="D2050" s="79">
        <v>3004.549845</v>
      </c>
      <c r="E2050" s="79">
        <v>6.1101000000000001</v>
      </c>
      <c r="F2050" s="79">
        <v>6.0906000000000002</v>
      </c>
      <c r="G2050" s="83">
        <f t="shared" si="30"/>
        <v>6.3208365079365088</v>
      </c>
    </row>
    <row r="2051" spans="1:7" x14ac:dyDescent="0.2">
      <c r="A2051" s="75">
        <v>41695</v>
      </c>
      <c r="B2051" s="76" t="s">
        <v>35</v>
      </c>
      <c r="C2051" s="76" t="s">
        <v>536</v>
      </c>
      <c r="D2051" s="79">
        <v>3004.3389889999999</v>
      </c>
      <c r="E2051" s="79">
        <v>6.0911999999999997</v>
      </c>
      <c r="F2051" s="79">
        <v>6.1052</v>
      </c>
      <c r="G2051" s="83">
        <f t="shared" ref="G2051:G2114" si="31">+AVERAGE(E1989:E2051)</f>
        <v>6.321650793650794</v>
      </c>
    </row>
    <row r="2052" spans="1:7" x14ac:dyDescent="0.2">
      <c r="A2052" s="75">
        <v>41696</v>
      </c>
      <c r="B2052" s="76" t="s">
        <v>35</v>
      </c>
      <c r="C2052" s="76" t="s">
        <v>536</v>
      </c>
      <c r="D2052" s="79">
        <v>3012.19049</v>
      </c>
      <c r="E2052" s="79">
        <v>6.1058000000000003</v>
      </c>
      <c r="F2052" s="79">
        <v>6.0629</v>
      </c>
      <c r="G2052" s="83">
        <f t="shared" si="31"/>
        <v>6.3232984126984135</v>
      </c>
    </row>
    <row r="2053" spans="1:7" x14ac:dyDescent="0.2">
      <c r="A2053" s="75">
        <v>41697</v>
      </c>
      <c r="B2053" s="76" t="s">
        <v>35</v>
      </c>
      <c r="C2053" s="76" t="s">
        <v>536</v>
      </c>
      <c r="D2053" s="79">
        <v>3029.3419520000002</v>
      </c>
      <c r="E2053" s="79">
        <v>6.0633999999999997</v>
      </c>
      <c r="F2053" s="79">
        <v>5.9554</v>
      </c>
      <c r="G2053" s="83">
        <f t="shared" si="31"/>
        <v>6.3239714285714292</v>
      </c>
    </row>
    <row r="2054" spans="1:7" x14ac:dyDescent="0.2">
      <c r="A2054" s="75">
        <v>41698</v>
      </c>
      <c r="B2054" s="76" t="s">
        <v>35</v>
      </c>
      <c r="C2054" s="76" t="s">
        <v>536</v>
      </c>
      <c r="D2054" s="79">
        <v>3013.9195540000001</v>
      </c>
      <c r="E2054" s="79">
        <v>5.9558999999999997</v>
      </c>
      <c r="F2054" s="79">
        <v>6.0766</v>
      </c>
      <c r="G2054" s="83">
        <f t="shared" si="31"/>
        <v>6.3235984126984128</v>
      </c>
    </row>
    <row r="2055" spans="1:7" x14ac:dyDescent="0.2">
      <c r="A2055" s="75">
        <v>41703</v>
      </c>
      <c r="B2055" s="76" t="s">
        <v>35</v>
      </c>
      <c r="C2055" s="76" t="s">
        <v>536</v>
      </c>
      <c r="D2055" s="79">
        <v>3014.1745700000001</v>
      </c>
      <c r="E2055" s="79">
        <v>6.0770999999999997</v>
      </c>
      <c r="F2055" s="79">
        <v>6.0877999999999997</v>
      </c>
      <c r="G2055" s="83">
        <f t="shared" si="31"/>
        <v>6.3232301587301585</v>
      </c>
    </row>
    <row r="2056" spans="1:7" x14ac:dyDescent="0.2">
      <c r="A2056" s="75">
        <v>41704</v>
      </c>
      <c r="B2056" s="76" t="s">
        <v>35</v>
      </c>
      <c r="C2056" s="76" t="s">
        <v>536</v>
      </c>
      <c r="D2056" s="79">
        <v>3009.921241</v>
      </c>
      <c r="E2056" s="79">
        <v>6.0883000000000003</v>
      </c>
      <c r="F2056" s="79">
        <v>6.1307999999999998</v>
      </c>
      <c r="G2056" s="83">
        <f t="shared" si="31"/>
        <v>6.3195634920634918</v>
      </c>
    </row>
    <row r="2057" spans="1:7" x14ac:dyDescent="0.2">
      <c r="A2057" s="75">
        <v>41705</v>
      </c>
      <c r="B2057" s="76" t="s">
        <v>35</v>
      </c>
      <c r="C2057" s="76" t="s">
        <v>536</v>
      </c>
      <c r="D2057" s="79">
        <v>2997.0263279999999</v>
      </c>
      <c r="E2057" s="79">
        <v>6.1313000000000004</v>
      </c>
      <c r="F2057" s="79">
        <v>6.2351000000000001</v>
      </c>
      <c r="G2057" s="83">
        <f t="shared" si="31"/>
        <v>6.3158714285714286</v>
      </c>
    </row>
    <row r="2058" spans="1:7" x14ac:dyDescent="0.2">
      <c r="A2058" s="75">
        <v>41708</v>
      </c>
      <c r="B2058" s="76" t="s">
        <v>35</v>
      </c>
      <c r="C2058" s="76" t="s">
        <v>536</v>
      </c>
      <c r="D2058" s="79">
        <v>2982.9650900000001</v>
      </c>
      <c r="E2058" s="79">
        <v>6.2355999999999998</v>
      </c>
      <c r="F2058" s="79">
        <v>6.3483000000000001</v>
      </c>
      <c r="G2058" s="83">
        <f t="shared" si="31"/>
        <v>6.3141603174603178</v>
      </c>
    </row>
    <row r="2059" spans="1:7" x14ac:dyDescent="0.2">
      <c r="A2059" s="75">
        <v>41709</v>
      </c>
      <c r="B2059" s="76" t="s">
        <v>35</v>
      </c>
      <c r="C2059" s="76" t="s">
        <v>536</v>
      </c>
      <c r="D2059" s="79">
        <v>2977.6106799999998</v>
      </c>
      <c r="E2059" s="79">
        <v>6.3487999999999998</v>
      </c>
      <c r="F2059" s="79">
        <v>6.3997999999999999</v>
      </c>
      <c r="G2059" s="83">
        <f t="shared" si="31"/>
        <v>6.316114285714284</v>
      </c>
    </row>
    <row r="2060" spans="1:7" x14ac:dyDescent="0.2">
      <c r="A2060" s="75">
        <v>41710</v>
      </c>
      <c r="B2060" s="76" t="s">
        <v>35</v>
      </c>
      <c r="C2060" s="76" t="s">
        <v>536</v>
      </c>
      <c r="D2060" s="79">
        <v>2989.6554799999999</v>
      </c>
      <c r="E2060" s="79">
        <v>6.4002999999999997</v>
      </c>
      <c r="F2060" s="79">
        <v>6.3358999999999996</v>
      </c>
      <c r="G2060" s="83">
        <f t="shared" si="31"/>
        <v>6.3193888888888878</v>
      </c>
    </row>
    <row r="2061" spans="1:7" x14ac:dyDescent="0.2">
      <c r="A2061" s="75">
        <v>41711</v>
      </c>
      <c r="B2061" s="76" t="s">
        <v>35</v>
      </c>
      <c r="C2061" s="76" t="s">
        <v>536</v>
      </c>
      <c r="D2061" s="79">
        <v>2999.4099040000001</v>
      </c>
      <c r="E2061" s="79">
        <v>6.3364000000000003</v>
      </c>
      <c r="F2061" s="79">
        <v>6.2804000000000002</v>
      </c>
      <c r="G2061" s="83">
        <f t="shared" si="31"/>
        <v>6.3224682539682542</v>
      </c>
    </row>
    <row r="2062" spans="1:7" x14ac:dyDescent="0.2">
      <c r="A2062" s="75">
        <v>41712</v>
      </c>
      <c r="B2062" s="76" t="s">
        <v>35</v>
      </c>
      <c r="C2062" s="76" t="s">
        <v>536</v>
      </c>
      <c r="D2062" s="79">
        <v>2996.981526</v>
      </c>
      <c r="E2062" s="79">
        <v>6.2808999999999999</v>
      </c>
      <c r="F2062" s="79">
        <v>6.3113999999999999</v>
      </c>
      <c r="G2062" s="83">
        <f t="shared" si="31"/>
        <v>6.3260587301587279</v>
      </c>
    </row>
    <row r="2063" spans="1:7" x14ac:dyDescent="0.2">
      <c r="A2063" s="75">
        <v>41715</v>
      </c>
      <c r="B2063" s="76" t="s">
        <v>35</v>
      </c>
      <c r="C2063" s="76" t="s">
        <v>536</v>
      </c>
      <c r="D2063" s="79">
        <v>2995.2211459999999</v>
      </c>
      <c r="E2063" s="79">
        <v>6.3118999999999996</v>
      </c>
      <c r="F2063" s="79">
        <v>6.3376999999999999</v>
      </c>
      <c r="G2063" s="83">
        <f t="shared" si="31"/>
        <v>6.3306650793650778</v>
      </c>
    </row>
    <row r="2064" spans="1:7" x14ac:dyDescent="0.2">
      <c r="A2064" s="75">
        <v>41716</v>
      </c>
      <c r="B2064" s="76" t="s">
        <v>35</v>
      </c>
      <c r="C2064" s="76" t="s">
        <v>536</v>
      </c>
      <c r="D2064" s="79">
        <v>2986.8302659999999</v>
      </c>
      <c r="E2064" s="79">
        <v>6.3383000000000003</v>
      </c>
      <c r="F2064" s="79">
        <v>6.4108999999999998</v>
      </c>
      <c r="G2064" s="83">
        <f t="shared" si="31"/>
        <v>6.3365047619047603</v>
      </c>
    </row>
    <row r="2065" spans="1:7" x14ac:dyDescent="0.2">
      <c r="A2065" s="75">
        <v>41717</v>
      </c>
      <c r="B2065" s="76" t="s">
        <v>35</v>
      </c>
      <c r="C2065" s="76" t="s">
        <v>536</v>
      </c>
      <c r="D2065" s="79">
        <v>2970.2745880000002</v>
      </c>
      <c r="E2065" s="79">
        <v>6.4114000000000004</v>
      </c>
      <c r="F2065" s="79">
        <v>6.5427999999999997</v>
      </c>
      <c r="G2065" s="83">
        <f t="shared" si="31"/>
        <v>6.3433793650793637</v>
      </c>
    </row>
    <row r="2066" spans="1:7" x14ac:dyDescent="0.2">
      <c r="A2066" s="75">
        <v>41718</v>
      </c>
      <c r="B2066" s="76" t="s">
        <v>35</v>
      </c>
      <c r="C2066" s="76" t="s">
        <v>536</v>
      </c>
      <c r="D2066" s="79">
        <v>2973.9334330000002</v>
      </c>
      <c r="E2066" s="79">
        <v>6.5433000000000003</v>
      </c>
      <c r="F2066" s="79">
        <v>6.5301</v>
      </c>
      <c r="G2066" s="83">
        <f t="shared" si="31"/>
        <v>6.3525619047619033</v>
      </c>
    </row>
    <row r="2067" spans="1:7" x14ac:dyDescent="0.2">
      <c r="A2067" s="75">
        <v>41719</v>
      </c>
      <c r="B2067" s="76" t="s">
        <v>35</v>
      </c>
      <c r="C2067" s="76" t="s">
        <v>536</v>
      </c>
      <c r="D2067" s="79">
        <v>2988.2605100000001</v>
      </c>
      <c r="E2067" s="79">
        <v>6.5305999999999997</v>
      </c>
      <c r="F2067" s="79">
        <v>6.4412000000000003</v>
      </c>
      <c r="G2067" s="83">
        <f t="shared" si="31"/>
        <v>6.3611460317460304</v>
      </c>
    </row>
    <row r="2068" spans="1:7" x14ac:dyDescent="0.2">
      <c r="A2068" s="75">
        <v>41722</v>
      </c>
      <c r="B2068" s="76" t="s">
        <v>35</v>
      </c>
      <c r="C2068" s="76" t="s">
        <v>536</v>
      </c>
      <c r="D2068" s="79">
        <v>2999.6296689999999</v>
      </c>
      <c r="E2068" s="79">
        <v>6.4416000000000002</v>
      </c>
      <c r="F2068" s="79">
        <v>6.3776999999999999</v>
      </c>
      <c r="G2068" s="83">
        <f t="shared" si="31"/>
        <v>6.3687936507936485</v>
      </c>
    </row>
    <row r="2069" spans="1:7" x14ac:dyDescent="0.2">
      <c r="A2069" s="75">
        <v>41723</v>
      </c>
      <c r="B2069" s="76" t="s">
        <v>35</v>
      </c>
      <c r="C2069" s="76" t="s">
        <v>536</v>
      </c>
      <c r="D2069" s="79">
        <v>3011.4908139999998</v>
      </c>
      <c r="E2069" s="79">
        <v>6.3781999999999996</v>
      </c>
      <c r="F2069" s="79">
        <v>6.3079000000000001</v>
      </c>
      <c r="G2069" s="83">
        <f t="shared" si="31"/>
        <v>6.3734666666666646</v>
      </c>
    </row>
    <row r="2070" spans="1:7" x14ac:dyDescent="0.2">
      <c r="A2070" s="75">
        <v>41724</v>
      </c>
      <c r="B2070" s="76" t="s">
        <v>35</v>
      </c>
      <c r="C2070" s="76" t="s">
        <v>536</v>
      </c>
      <c r="D2070" s="79">
        <v>3023.0136849999999</v>
      </c>
      <c r="E2070" s="79">
        <v>6.3083999999999998</v>
      </c>
      <c r="F2070" s="79">
        <v>6.2408000000000001</v>
      </c>
      <c r="G2070" s="83">
        <f t="shared" si="31"/>
        <v>6.374984126984125</v>
      </c>
    </row>
    <row r="2071" spans="1:7" x14ac:dyDescent="0.2">
      <c r="A2071" s="75">
        <v>41725</v>
      </c>
      <c r="B2071" s="76" t="s">
        <v>35</v>
      </c>
      <c r="C2071" s="76" t="s">
        <v>536</v>
      </c>
      <c r="D2071" s="79">
        <v>3041.385229</v>
      </c>
      <c r="E2071" s="79">
        <v>6.2412000000000001</v>
      </c>
      <c r="F2071" s="79">
        <v>6.1260000000000003</v>
      </c>
      <c r="G2071" s="83">
        <f t="shared" si="31"/>
        <v>6.3759174603174582</v>
      </c>
    </row>
    <row r="2072" spans="1:7" x14ac:dyDescent="0.2">
      <c r="A2072" s="75">
        <v>41726</v>
      </c>
      <c r="B2072" s="76" t="s">
        <v>35</v>
      </c>
      <c r="C2072" s="76" t="s">
        <v>536</v>
      </c>
      <c r="D2072" s="79">
        <v>3034.8333750000002</v>
      </c>
      <c r="E2072" s="79">
        <v>6.1264000000000003</v>
      </c>
      <c r="F2072" s="79">
        <v>6.1856999999999998</v>
      </c>
      <c r="G2072" s="83">
        <f t="shared" si="31"/>
        <v>6.3750126984126956</v>
      </c>
    </row>
    <row r="2073" spans="1:7" x14ac:dyDescent="0.2">
      <c r="A2073" s="75">
        <v>41729</v>
      </c>
      <c r="B2073" s="76" t="s">
        <v>35</v>
      </c>
      <c r="C2073" s="76" t="s">
        <v>536</v>
      </c>
      <c r="D2073" s="79">
        <v>3032.9679769999998</v>
      </c>
      <c r="E2073" s="79">
        <v>6.1860999999999997</v>
      </c>
      <c r="F2073" s="79">
        <v>6.2126999999999999</v>
      </c>
      <c r="G2073" s="83">
        <f t="shared" si="31"/>
        <v>6.3741809523809501</v>
      </c>
    </row>
    <row r="2074" spans="1:7" x14ac:dyDescent="0.2">
      <c r="A2074" s="75">
        <v>41730</v>
      </c>
      <c r="B2074" s="76" t="s">
        <v>35</v>
      </c>
      <c r="C2074" s="76" t="s">
        <v>536</v>
      </c>
      <c r="D2074" s="79">
        <v>3032.0344340000001</v>
      </c>
      <c r="E2074" s="79">
        <v>6.2130999999999998</v>
      </c>
      <c r="F2074" s="79">
        <v>6.2332000000000001</v>
      </c>
      <c r="G2074" s="83">
        <f t="shared" si="31"/>
        <v>6.3746777777777748</v>
      </c>
    </row>
    <row r="2075" spans="1:7" x14ac:dyDescent="0.2">
      <c r="A2075" s="75">
        <v>41731</v>
      </c>
      <c r="B2075" s="76" t="s">
        <v>35</v>
      </c>
      <c r="C2075" s="76" t="s">
        <v>536</v>
      </c>
      <c r="D2075" s="79">
        <v>3036.8256489999999</v>
      </c>
      <c r="E2075" s="79">
        <v>6.2335000000000003</v>
      </c>
      <c r="F2075" s="79">
        <v>6.2134999999999998</v>
      </c>
      <c r="G2075" s="83">
        <f t="shared" si="31"/>
        <v>6.3758079365079334</v>
      </c>
    </row>
    <row r="2076" spans="1:7" x14ac:dyDescent="0.2">
      <c r="A2076" s="75">
        <v>41732</v>
      </c>
      <c r="B2076" s="76" t="s">
        <v>35</v>
      </c>
      <c r="C2076" s="76" t="s">
        <v>536</v>
      </c>
      <c r="D2076" s="79">
        <v>3043.1400199999998</v>
      </c>
      <c r="E2076" s="79">
        <v>6.2138999999999998</v>
      </c>
      <c r="F2076" s="79">
        <v>6.1833</v>
      </c>
      <c r="G2076" s="83">
        <f t="shared" si="31"/>
        <v>6.3766206349206325</v>
      </c>
    </row>
    <row r="2077" spans="1:7" x14ac:dyDescent="0.2">
      <c r="A2077" s="75">
        <v>41733</v>
      </c>
      <c r="B2077" s="76" t="s">
        <v>35</v>
      </c>
      <c r="C2077" s="76" t="s">
        <v>536</v>
      </c>
      <c r="D2077" s="79">
        <v>3049.479687</v>
      </c>
      <c r="E2077" s="79">
        <v>6.1837999999999997</v>
      </c>
      <c r="F2077" s="79">
        <v>6.1531000000000002</v>
      </c>
      <c r="G2077" s="83">
        <f t="shared" si="31"/>
        <v>6.3759301587301564</v>
      </c>
    </row>
    <row r="2078" spans="1:7" x14ac:dyDescent="0.2">
      <c r="A2078" s="75">
        <v>41736</v>
      </c>
      <c r="B2078" s="76" t="s">
        <v>35</v>
      </c>
      <c r="C2078" s="76" t="s">
        <v>536</v>
      </c>
      <c r="D2078" s="79">
        <v>3053.5439839999999</v>
      </c>
      <c r="E2078" s="79">
        <v>6.1535000000000002</v>
      </c>
      <c r="F2078" s="79">
        <v>6.1387</v>
      </c>
      <c r="G2078" s="83">
        <f t="shared" si="31"/>
        <v>6.3747047619047592</v>
      </c>
    </row>
    <row r="2079" spans="1:7" x14ac:dyDescent="0.2">
      <c r="A2079" s="75">
        <v>41737</v>
      </c>
      <c r="B2079" s="76" t="s">
        <v>35</v>
      </c>
      <c r="C2079" s="76" t="s">
        <v>536</v>
      </c>
      <c r="D2079" s="79">
        <v>3061.4297059999999</v>
      </c>
      <c r="E2079" s="79">
        <v>6.1391</v>
      </c>
      <c r="F2079" s="79">
        <v>6.0978000000000003</v>
      </c>
      <c r="G2079" s="83">
        <f t="shared" si="31"/>
        <v>6.3728587301587281</v>
      </c>
    </row>
    <row r="2080" spans="1:7" x14ac:dyDescent="0.2">
      <c r="A2080" s="75">
        <v>41738</v>
      </c>
      <c r="B2080" s="76" t="s">
        <v>35</v>
      </c>
      <c r="C2080" s="76" t="s">
        <v>536</v>
      </c>
      <c r="D2080" s="79">
        <v>3063.3605889999999</v>
      </c>
      <c r="E2080" s="79">
        <v>6.0982000000000003</v>
      </c>
      <c r="F2080" s="79">
        <v>6.1119000000000003</v>
      </c>
      <c r="G2080" s="83">
        <f t="shared" si="31"/>
        <v>6.3712063492063482</v>
      </c>
    </row>
    <row r="2081" spans="1:7" x14ac:dyDescent="0.2">
      <c r="A2081" s="75">
        <v>41739</v>
      </c>
      <c r="B2081" s="76" t="s">
        <v>35</v>
      </c>
      <c r="C2081" s="76" t="s">
        <v>536</v>
      </c>
      <c r="D2081" s="79">
        <v>3061.7839899999999</v>
      </c>
      <c r="E2081" s="79">
        <v>6.1123000000000003</v>
      </c>
      <c r="F2081" s="79">
        <v>6.1375000000000002</v>
      </c>
      <c r="G2081" s="83">
        <f t="shared" si="31"/>
        <v>6.3690999999999987</v>
      </c>
    </row>
    <row r="2082" spans="1:7" x14ac:dyDescent="0.2">
      <c r="A2082" s="75">
        <v>41740</v>
      </c>
      <c r="B2082" s="76" t="s">
        <v>35</v>
      </c>
      <c r="C2082" s="76" t="s">
        <v>536</v>
      </c>
      <c r="D2082" s="79">
        <v>3061.5949139999998</v>
      </c>
      <c r="E2082" s="79">
        <v>6.1379000000000001</v>
      </c>
      <c r="F2082" s="79">
        <v>6.1535000000000002</v>
      </c>
      <c r="G2082" s="83">
        <f t="shared" si="31"/>
        <v>6.3670444444444438</v>
      </c>
    </row>
    <row r="2083" spans="1:7" x14ac:dyDescent="0.2">
      <c r="A2083" s="75">
        <v>41743</v>
      </c>
      <c r="B2083" s="76" t="s">
        <v>35</v>
      </c>
      <c r="C2083" s="76" t="s">
        <v>536</v>
      </c>
      <c r="D2083" s="79">
        <v>3059.4783299999999</v>
      </c>
      <c r="E2083" s="79">
        <v>6.1539000000000001</v>
      </c>
      <c r="F2083" s="79">
        <v>6.1829000000000001</v>
      </c>
      <c r="G2083" s="83">
        <f t="shared" si="31"/>
        <v>6.3662507936507939</v>
      </c>
    </row>
    <row r="2084" spans="1:7" x14ac:dyDescent="0.2">
      <c r="A2084" s="75">
        <v>41744</v>
      </c>
      <c r="B2084" s="76" t="s">
        <v>35</v>
      </c>
      <c r="C2084" s="76" t="s">
        <v>536</v>
      </c>
      <c r="D2084" s="79">
        <v>3064.9291069999999</v>
      </c>
      <c r="E2084" s="79">
        <v>6.1833</v>
      </c>
      <c r="F2084" s="79">
        <v>6.1597999999999997</v>
      </c>
      <c r="G2084" s="83">
        <f t="shared" si="31"/>
        <v>6.3652523809523807</v>
      </c>
    </row>
    <row r="2085" spans="1:7" x14ac:dyDescent="0.2">
      <c r="A2085" s="75">
        <v>41745</v>
      </c>
      <c r="B2085" s="76" t="s">
        <v>35</v>
      </c>
      <c r="C2085" s="76" t="s">
        <v>536</v>
      </c>
      <c r="D2085" s="79">
        <v>3065.8278909999999</v>
      </c>
      <c r="E2085" s="79">
        <v>6.1601999999999997</v>
      </c>
      <c r="F2085" s="79">
        <v>6.1677</v>
      </c>
      <c r="G2085" s="83">
        <f t="shared" si="31"/>
        <v>6.3625317460317445</v>
      </c>
    </row>
    <row r="2086" spans="1:7" x14ac:dyDescent="0.2">
      <c r="A2086" s="75">
        <v>41746</v>
      </c>
      <c r="B2086" s="76" t="s">
        <v>35</v>
      </c>
      <c r="C2086" s="76" t="s">
        <v>536</v>
      </c>
      <c r="D2086" s="79">
        <v>3068.8211780000001</v>
      </c>
      <c r="E2086" s="79">
        <v>6.1680999999999999</v>
      </c>
      <c r="F2086" s="79">
        <v>6.1611000000000002</v>
      </c>
      <c r="G2086" s="83">
        <f t="shared" si="31"/>
        <v>6.3604269841269829</v>
      </c>
    </row>
    <row r="2087" spans="1:7" x14ac:dyDescent="0.2">
      <c r="A2087" s="75">
        <v>41751</v>
      </c>
      <c r="B2087" s="76" t="s">
        <v>35</v>
      </c>
      <c r="C2087" s="76" t="s">
        <v>536</v>
      </c>
      <c r="D2087" s="79">
        <v>3066.5067519999998</v>
      </c>
      <c r="E2087" s="79">
        <v>6.1615000000000002</v>
      </c>
      <c r="F2087" s="79">
        <v>6.1916000000000002</v>
      </c>
      <c r="G2087" s="83">
        <f t="shared" si="31"/>
        <v>6.3579555555555549</v>
      </c>
    </row>
    <row r="2088" spans="1:7" x14ac:dyDescent="0.2">
      <c r="A2088" s="75">
        <v>41752</v>
      </c>
      <c r="B2088" s="76" t="s">
        <v>35</v>
      </c>
      <c r="C2088" s="76" t="s">
        <v>536</v>
      </c>
      <c r="D2088" s="79">
        <v>3082.869659</v>
      </c>
      <c r="E2088" s="79">
        <v>6.1919000000000004</v>
      </c>
      <c r="F2088" s="79">
        <v>6.0926999999999998</v>
      </c>
      <c r="G2088" s="83">
        <f t="shared" si="31"/>
        <v>6.3569444444444425</v>
      </c>
    </row>
    <row r="2089" spans="1:7" x14ac:dyDescent="0.2">
      <c r="A2089" s="75">
        <v>41753</v>
      </c>
      <c r="B2089" s="76" t="s">
        <v>35</v>
      </c>
      <c r="C2089" s="76" t="s">
        <v>536</v>
      </c>
      <c r="D2089" s="79">
        <v>3084.3477459999999</v>
      </c>
      <c r="E2089" s="79">
        <v>6.093</v>
      </c>
      <c r="F2089" s="79">
        <v>6.0965999999999996</v>
      </c>
      <c r="G2089" s="83">
        <f t="shared" si="31"/>
        <v>6.3529063492063482</v>
      </c>
    </row>
    <row r="2090" spans="1:7" x14ac:dyDescent="0.2">
      <c r="A2090" s="75">
        <v>41754</v>
      </c>
      <c r="B2090" s="76" t="s">
        <v>35</v>
      </c>
      <c r="C2090" s="76" t="s">
        <v>536</v>
      </c>
      <c r="D2090" s="79">
        <v>3087.2223119999999</v>
      </c>
      <c r="E2090" s="79">
        <v>6.0968999999999998</v>
      </c>
      <c r="F2090" s="79">
        <v>6.0909000000000004</v>
      </c>
      <c r="G2090" s="83">
        <f t="shared" si="31"/>
        <v>6.3470952380952372</v>
      </c>
    </row>
    <row r="2091" spans="1:7" x14ac:dyDescent="0.2">
      <c r="A2091" s="75">
        <v>41757</v>
      </c>
      <c r="B2091" s="76" t="s">
        <v>35</v>
      </c>
      <c r="C2091" s="76" t="s">
        <v>536</v>
      </c>
      <c r="D2091" s="79">
        <v>3084.2408919999998</v>
      </c>
      <c r="E2091" s="79">
        <v>6.0911999999999997</v>
      </c>
      <c r="F2091" s="79">
        <v>6.1254999999999997</v>
      </c>
      <c r="G2091" s="83">
        <f t="shared" si="31"/>
        <v>6.3408269841269833</v>
      </c>
    </row>
    <row r="2092" spans="1:7" x14ac:dyDescent="0.2">
      <c r="A2092" s="75">
        <v>41758</v>
      </c>
      <c r="B2092" s="76" t="s">
        <v>35</v>
      </c>
      <c r="C2092" s="76" t="s">
        <v>536</v>
      </c>
      <c r="D2092" s="79">
        <v>3083.4730500000001</v>
      </c>
      <c r="E2092" s="79">
        <v>6.1258999999999997</v>
      </c>
      <c r="F2092" s="79">
        <v>6.1449999999999996</v>
      </c>
      <c r="G2092" s="83">
        <f t="shared" si="31"/>
        <v>6.332296825396825</v>
      </c>
    </row>
    <row r="2093" spans="1:7" x14ac:dyDescent="0.2">
      <c r="A2093" s="75">
        <v>41759</v>
      </c>
      <c r="B2093" s="76" t="s">
        <v>35</v>
      </c>
      <c r="C2093" s="76" t="s">
        <v>536</v>
      </c>
      <c r="D2093" s="79">
        <v>3084.6092779999999</v>
      </c>
      <c r="E2093" s="79">
        <v>6.1454000000000004</v>
      </c>
      <c r="F2093" s="79">
        <v>6.1513999999999998</v>
      </c>
      <c r="G2093" s="83">
        <f t="shared" si="31"/>
        <v>6.3246999999999991</v>
      </c>
    </row>
    <row r="2094" spans="1:7" x14ac:dyDescent="0.2">
      <c r="A2094" s="75">
        <v>41761</v>
      </c>
      <c r="B2094" s="76" t="s">
        <v>35</v>
      </c>
      <c r="C2094" s="76" t="s">
        <v>536</v>
      </c>
      <c r="D2094" s="79">
        <v>3091.0091459999999</v>
      </c>
      <c r="E2094" s="79">
        <v>6.1517999999999997</v>
      </c>
      <c r="F2094" s="79">
        <v>6.1215999999999999</v>
      </c>
      <c r="G2094" s="83">
        <f t="shared" si="31"/>
        <v>6.3160095238095231</v>
      </c>
    </row>
    <row r="2095" spans="1:7" x14ac:dyDescent="0.2">
      <c r="A2095" s="75">
        <v>41764</v>
      </c>
      <c r="B2095" s="76" t="s">
        <v>35</v>
      </c>
      <c r="C2095" s="76" t="s">
        <v>536</v>
      </c>
      <c r="D2095" s="79">
        <v>3084.18064</v>
      </c>
      <c r="E2095" s="79">
        <v>6.1219000000000001</v>
      </c>
      <c r="F2095" s="79">
        <v>6.1826999999999996</v>
      </c>
      <c r="G2095" s="83">
        <f t="shared" si="31"/>
        <v>6.3056555555555551</v>
      </c>
    </row>
    <row r="2096" spans="1:7" x14ac:dyDescent="0.2">
      <c r="A2096" s="75">
        <v>41765</v>
      </c>
      <c r="B2096" s="76" t="s">
        <v>35</v>
      </c>
      <c r="C2096" s="76" t="s">
        <v>536</v>
      </c>
      <c r="D2096" s="79">
        <v>3097.4420679999998</v>
      </c>
      <c r="E2096" s="79">
        <v>6.1829999999999998</v>
      </c>
      <c r="F2096" s="79">
        <v>6.1056999999999997</v>
      </c>
      <c r="G2096" s="83">
        <f t="shared" si="31"/>
        <v>6.2957142857142845</v>
      </c>
    </row>
    <row r="2097" spans="1:7" x14ac:dyDescent="0.2">
      <c r="A2097" s="75">
        <v>41766</v>
      </c>
      <c r="B2097" s="76" t="s">
        <v>35</v>
      </c>
      <c r="C2097" s="76" t="s">
        <v>536</v>
      </c>
      <c r="D2097" s="79">
        <v>3101.0160540000002</v>
      </c>
      <c r="E2097" s="79">
        <v>6.1059999999999999</v>
      </c>
      <c r="F2097" s="79">
        <v>6.0952999999999999</v>
      </c>
      <c r="G2097" s="83">
        <f t="shared" si="31"/>
        <v>6.2837952380952373</v>
      </c>
    </row>
    <row r="2098" spans="1:7" x14ac:dyDescent="0.2">
      <c r="A2098" s="75">
        <v>41767</v>
      </c>
      <c r="B2098" s="76" t="s">
        <v>35</v>
      </c>
      <c r="C2098" s="76" t="s">
        <v>536</v>
      </c>
      <c r="D2098" s="79">
        <v>3095.9956539999998</v>
      </c>
      <c r="E2098" s="79">
        <v>6.0955000000000004</v>
      </c>
      <c r="F2098" s="79">
        <v>6.1436999999999999</v>
      </c>
      <c r="G2098" s="83">
        <f t="shared" si="31"/>
        <v>6.2718158730158731</v>
      </c>
    </row>
    <row r="2099" spans="1:7" x14ac:dyDescent="0.2">
      <c r="A2099" s="75">
        <v>41768</v>
      </c>
      <c r="B2099" s="76" t="s">
        <v>35</v>
      </c>
      <c r="C2099" s="76" t="s">
        <v>536</v>
      </c>
      <c r="D2099" s="79">
        <v>3094.676845</v>
      </c>
      <c r="E2099" s="79">
        <v>6.1439000000000004</v>
      </c>
      <c r="F2099" s="79">
        <v>6.1467999999999998</v>
      </c>
      <c r="G2099" s="83">
        <f t="shared" si="31"/>
        <v>6.2601492063492037</v>
      </c>
    </row>
    <row r="2100" spans="1:7" x14ac:dyDescent="0.2">
      <c r="A2100" s="75">
        <v>41771</v>
      </c>
      <c r="B2100" s="76" t="s">
        <v>35</v>
      </c>
      <c r="C2100" s="76" t="s">
        <v>536</v>
      </c>
      <c r="D2100" s="79">
        <v>3090.7181220000002</v>
      </c>
      <c r="E2100" s="79">
        <v>6.1470000000000002</v>
      </c>
      <c r="F2100" s="79">
        <v>6.1867000000000001</v>
      </c>
      <c r="G2100" s="83">
        <f t="shared" si="31"/>
        <v>6.2496158730158715</v>
      </c>
    </row>
    <row r="2101" spans="1:7" x14ac:dyDescent="0.2">
      <c r="A2101" s="75">
        <v>41772</v>
      </c>
      <c r="B2101" s="76" t="s">
        <v>35</v>
      </c>
      <c r="C2101" s="76" t="s">
        <v>536</v>
      </c>
      <c r="D2101" s="79">
        <v>3094.069442</v>
      </c>
      <c r="E2101" s="79">
        <v>6.1870000000000003</v>
      </c>
      <c r="F2101" s="79">
        <v>6.1764999999999999</v>
      </c>
      <c r="G2101" s="83">
        <f t="shared" si="31"/>
        <v>6.2417888888888866</v>
      </c>
    </row>
    <row r="2102" spans="1:7" x14ac:dyDescent="0.2">
      <c r="A2102" s="75">
        <v>41773</v>
      </c>
      <c r="B2102" s="76" t="s">
        <v>35</v>
      </c>
      <c r="C2102" s="76" t="s">
        <v>536</v>
      </c>
      <c r="D2102" s="79">
        <v>3108.2468319999998</v>
      </c>
      <c r="E2102" s="79">
        <v>6.1768000000000001</v>
      </c>
      <c r="F2102" s="79">
        <v>6.0922000000000001</v>
      </c>
      <c r="G2102" s="83">
        <f t="shared" si="31"/>
        <v>6.2344888888888876</v>
      </c>
    </row>
    <row r="2103" spans="1:7" x14ac:dyDescent="0.2">
      <c r="A2103" s="75">
        <v>41774</v>
      </c>
      <c r="B2103" s="76" t="s">
        <v>35</v>
      </c>
      <c r="C2103" s="76" t="s">
        <v>536</v>
      </c>
      <c r="D2103" s="79">
        <v>3104.3783520000002</v>
      </c>
      <c r="E2103" s="79">
        <v>6.0925000000000002</v>
      </c>
      <c r="F2103" s="79">
        <v>6.1314000000000002</v>
      </c>
      <c r="G2103" s="83">
        <f t="shared" si="31"/>
        <v>6.2280952380952366</v>
      </c>
    </row>
    <row r="2104" spans="1:7" x14ac:dyDescent="0.2">
      <c r="A2104" s="75">
        <v>41775</v>
      </c>
      <c r="B2104" s="76" t="s">
        <v>35</v>
      </c>
      <c r="C2104" s="76" t="s">
        <v>536</v>
      </c>
      <c r="D2104" s="79">
        <v>3106.1097110000001</v>
      </c>
      <c r="E2104" s="79">
        <v>6.1317000000000004</v>
      </c>
      <c r="F2104" s="79">
        <v>6.1294000000000004</v>
      </c>
      <c r="G2104" s="83">
        <f t="shared" si="31"/>
        <v>6.2219079365079342</v>
      </c>
    </row>
    <row r="2105" spans="1:7" x14ac:dyDescent="0.2">
      <c r="A2105" s="75">
        <v>41778</v>
      </c>
      <c r="B2105" s="76" t="s">
        <v>35</v>
      </c>
      <c r="C2105" s="76" t="s">
        <v>536</v>
      </c>
      <c r="D2105" s="79">
        <v>3112.0294920000001</v>
      </c>
      <c r="E2105" s="79">
        <v>6.1296999999999997</v>
      </c>
      <c r="F2105" s="79">
        <v>6.0987999999999998</v>
      </c>
      <c r="G2105" s="83">
        <f t="shared" si="31"/>
        <v>6.2147968253968235</v>
      </c>
    </row>
    <row r="2106" spans="1:7" x14ac:dyDescent="0.2">
      <c r="A2106" s="75">
        <v>41779</v>
      </c>
      <c r="B2106" s="76" t="s">
        <v>35</v>
      </c>
      <c r="C2106" s="76" t="s">
        <v>536</v>
      </c>
      <c r="D2106" s="79">
        <v>3112.4714469999999</v>
      </c>
      <c r="E2106" s="79">
        <v>6.0991</v>
      </c>
      <c r="F2106" s="79">
        <v>6.1055999999999999</v>
      </c>
      <c r="G2106" s="83">
        <f t="shared" si="31"/>
        <v>6.2066301587301576</v>
      </c>
    </row>
    <row r="2107" spans="1:7" x14ac:dyDescent="0.2">
      <c r="A2107" s="75">
        <v>41780</v>
      </c>
      <c r="B2107" s="76" t="s">
        <v>35</v>
      </c>
      <c r="C2107" s="76" t="s">
        <v>536</v>
      </c>
      <c r="D2107" s="79">
        <v>3126.9342529999999</v>
      </c>
      <c r="E2107" s="79">
        <v>6.1059000000000001</v>
      </c>
      <c r="F2107" s="79">
        <v>6.0170000000000003</v>
      </c>
      <c r="G2107" s="83">
        <f t="shared" si="31"/>
        <v>6.1997380952380947</v>
      </c>
    </row>
    <row r="2108" spans="1:7" x14ac:dyDescent="0.2">
      <c r="A2108" s="75">
        <v>41781</v>
      </c>
      <c r="B2108" s="76" t="s">
        <v>35</v>
      </c>
      <c r="C2108" s="76" t="s">
        <v>536</v>
      </c>
      <c r="D2108" s="79">
        <v>3137.4970440000002</v>
      </c>
      <c r="E2108" s="79">
        <v>6.0172999999999996</v>
      </c>
      <c r="F2108" s="79">
        <v>5.9551999999999996</v>
      </c>
      <c r="G2108" s="83">
        <f t="shared" si="31"/>
        <v>6.1925841269841264</v>
      </c>
    </row>
    <row r="2109" spans="1:7" x14ac:dyDescent="0.2">
      <c r="A2109" s="75">
        <v>41782</v>
      </c>
      <c r="B2109" s="76" t="s">
        <v>35</v>
      </c>
      <c r="C2109" s="76" t="s">
        <v>536</v>
      </c>
      <c r="D2109" s="79">
        <v>3135.5730880000001</v>
      </c>
      <c r="E2109" s="79">
        <v>5.9554999999999998</v>
      </c>
      <c r="F2109" s="79">
        <v>5.9779</v>
      </c>
      <c r="G2109" s="83">
        <f t="shared" si="31"/>
        <v>6.1858460317460313</v>
      </c>
    </row>
    <row r="2110" spans="1:7" x14ac:dyDescent="0.2">
      <c r="A2110" s="75">
        <v>41785</v>
      </c>
      <c r="B2110" s="76" t="s">
        <v>35</v>
      </c>
      <c r="C2110" s="76" t="s">
        <v>536</v>
      </c>
      <c r="D2110" s="79">
        <v>3138.1031130000001</v>
      </c>
      <c r="E2110" s="79">
        <v>5.9782000000000002</v>
      </c>
      <c r="F2110" s="79">
        <v>5.9705000000000004</v>
      </c>
      <c r="G2110" s="83">
        <f t="shared" si="31"/>
        <v>6.1811507936507928</v>
      </c>
    </row>
    <row r="2111" spans="1:7" x14ac:dyDescent="0.2">
      <c r="A2111" s="75">
        <v>41786</v>
      </c>
      <c r="B2111" s="76" t="s">
        <v>35</v>
      </c>
      <c r="C2111" s="76" t="s">
        <v>536</v>
      </c>
      <c r="D2111" s="79">
        <v>3131.2336070000001</v>
      </c>
      <c r="E2111" s="79">
        <v>5.9707999999999997</v>
      </c>
      <c r="F2111" s="79">
        <v>6.0266999999999999</v>
      </c>
      <c r="G2111" s="83">
        <f t="shared" si="31"/>
        <v>6.1757174603174594</v>
      </c>
    </row>
    <row r="2112" spans="1:7" x14ac:dyDescent="0.2">
      <c r="A2112" s="75">
        <v>41787</v>
      </c>
      <c r="B2112" s="76" t="s">
        <v>35</v>
      </c>
      <c r="C2112" s="76" t="s">
        <v>536</v>
      </c>
      <c r="D2112" s="79">
        <v>3147.7728269999998</v>
      </c>
      <c r="E2112" s="79">
        <v>6.0270000000000001</v>
      </c>
      <c r="F2112" s="79">
        <v>5.9246999999999996</v>
      </c>
      <c r="G2112" s="83">
        <f t="shared" si="31"/>
        <v>6.1733285714285699</v>
      </c>
    </row>
    <row r="2113" spans="1:7" x14ac:dyDescent="0.2">
      <c r="A2113" s="75">
        <v>41788</v>
      </c>
      <c r="B2113" s="76" t="s">
        <v>35</v>
      </c>
      <c r="C2113" s="76" t="s">
        <v>536</v>
      </c>
      <c r="D2113" s="79">
        <v>3170.040262</v>
      </c>
      <c r="E2113" s="79">
        <v>5.9249999999999998</v>
      </c>
      <c r="F2113" s="79">
        <v>5.7850000000000001</v>
      </c>
      <c r="G2113" s="83">
        <f t="shared" si="31"/>
        <v>6.170390476190474</v>
      </c>
    </row>
    <row r="2114" spans="1:7" x14ac:dyDescent="0.2">
      <c r="A2114" s="75">
        <v>41789</v>
      </c>
      <c r="B2114" s="76" t="s">
        <v>35</v>
      </c>
      <c r="C2114" s="76" t="s">
        <v>536</v>
      </c>
      <c r="D2114" s="79">
        <v>3174.615945</v>
      </c>
      <c r="E2114" s="79">
        <v>5.7853000000000003</v>
      </c>
      <c r="F2114" s="79">
        <v>5.7640000000000002</v>
      </c>
      <c r="G2114" s="83">
        <f t="shared" si="31"/>
        <v>6.1655349206349204</v>
      </c>
    </row>
    <row r="2115" spans="1:7" x14ac:dyDescent="0.2">
      <c r="A2115" s="75">
        <v>41792</v>
      </c>
      <c r="B2115" s="76" t="s">
        <v>35</v>
      </c>
      <c r="C2115" s="76" t="s">
        <v>536</v>
      </c>
      <c r="D2115" s="79">
        <v>3163.3370399999999</v>
      </c>
      <c r="E2115" s="79">
        <v>5.7641999999999998</v>
      </c>
      <c r="F2115" s="79">
        <v>5.8487999999999998</v>
      </c>
      <c r="G2115" s="83">
        <f t="shared" ref="G2115:G2178" si="32">+AVERAGE(E2053:E2115)</f>
        <v>6.160112698412699</v>
      </c>
    </row>
    <row r="2116" spans="1:7" x14ac:dyDescent="0.2">
      <c r="A2116" s="75">
        <v>41793</v>
      </c>
      <c r="B2116" s="76" t="s">
        <v>35</v>
      </c>
      <c r="C2116" s="76" t="s">
        <v>536</v>
      </c>
      <c r="D2116" s="79">
        <v>3146.7423640000002</v>
      </c>
      <c r="E2116" s="79">
        <v>5.8491</v>
      </c>
      <c r="F2116" s="79">
        <v>5.9699</v>
      </c>
      <c r="G2116" s="83">
        <f t="shared" si="32"/>
        <v>6.1567111111111119</v>
      </c>
    </row>
    <row r="2117" spans="1:7" x14ac:dyDescent="0.2">
      <c r="A2117" s="75">
        <v>41794</v>
      </c>
      <c r="B2117" s="76" t="s">
        <v>35</v>
      </c>
      <c r="C2117" s="76" t="s">
        <v>536</v>
      </c>
      <c r="D2117" s="79">
        <v>3149.9042679999998</v>
      </c>
      <c r="E2117" s="79">
        <v>5.9702999999999999</v>
      </c>
      <c r="F2117" s="79">
        <v>5.9584000000000001</v>
      </c>
      <c r="G2117" s="83">
        <f t="shared" si="32"/>
        <v>6.1569396825396838</v>
      </c>
    </row>
    <row r="2118" spans="1:7" x14ac:dyDescent="0.2">
      <c r="A2118" s="75">
        <v>41795</v>
      </c>
      <c r="B2118" s="76" t="s">
        <v>35</v>
      </c>
      <c r="C2118" s="76" t="s">
        <v>536</v>
      </c>
      <c r="D2118" s="79">
        <v>3158.6647269999999</v>
      </c>
      <c r="E2118" s="79">
        <v>5.9587000000000003</v>
      </c>
      <c r="F2118" s="79">
        <v>5.9092000000000002</v>
      </c>
      <c r="G2118" s="83">
        <f t="shared" si="32"/>
        <v>6.1550603174603191</v>
      </c>
    </row>
    <row r="2119" spans="1:7" x14ac:dyDescent="0.2">
      <c r="A2119" s="75">
        <v>41796</v>
      </c>
      <c r="B2119" s="76" t="s">
        <v>35</v>
      </c>
      <c r="C2119" s="76" t="s">
        <v>536</v>
      </c>
      <c r="D2119" s="79">
        <v>3188.5124000000001</v>
      </c>
      <c r="E2119" s="79">
        <v>5.9096000000000002</v>
      </c>
      <c r="F2119" s="79">
        <v>5.7182000000000004</v>
      </c>
      <c r="G2119" s="83">
        <f t="shared" si="32"/>
        <v>6.1522238095238109</v>
      </c>
    </row>
    <row r="2120" spans="1:7" x14ac:dyDescent="0.2">
      <c r="A2120" s="75">
        <v>41799</v>
      </c>
      <c r="B2120" s="76" t="s">
        <v>35</v>
      </c>
      <c r="C2120" s="76" t="s">
        <v>536</v>
      </c>
      <c r="D2120" s="79">
        <v>3185.1972890000002</v>
      </c>
      <c r="E2120" s="79">
        <v>5.7186000000000003</v>
      </c>
      <c r="F2120" s="79">
        <v>5.7496999999999998</v>
      </c>
      <c r="G2120" s="83">
        <f t="shared" si="32"/>
        <v>6.1456730158730171</v>
      </c>
    </row>
    <row r="2121" spans="1:7" x14ac:dyDescent="0.2">
      <c r="A2121" s="75">
        <v>41800</v>
      </c>
      <c r="B2121" s="76" t="s">
        <v>35</v>
      </c>
      <c r="C2121" s="76" t="s">
        <v>536</v>
      </c>
      <c r="D2121" s="79">
        <v>3181.8306689999999</v>
      </c>
      <c r="E2121" s="79">
        <v>5.7500999999999998</v>
      </c>
      <c r="F2121" s="79">
        <v>5.7816000000000001</v>
      </c>
      <c r="G2121" s="83">
        <f t="shared" si="32"/>
        <v>6.1379666666666681</v>
      </c>
    </row>
    <row r="2122" spans="1:7" x14ac:dyDescent="0.2">
      <c r="A2122" s="75">
        <v>41801</v>
      </c>
      <c r="B2122" s="76" t="s">
        <v>35</v>
      </c>
      <c r="C2122" s="76" t="s">
        <v>536</v>
      </c>
      <c r="D2122" s="79">
        <v>3186.4085610000002</v>
      </c>
      <c r="E2122" s="79">
        <v>5.782</v>
      </c>
      <c r="F2122" s="79">
        <v>5.7606999999999999</v>
      </c>
      <c r="G2122" s="83">
        <f t="shared" si="32"/>
        <v>6.1289698412698419</v>
      </c>
    </row>
    <row r="2123" spans="1:7" x14ac:dyDescent="0.2">
      <c r="A2123" s="75">
        <v>41802</v>
      </c>
      <c r="B2123" s="76" t="s">
        <v>35</v>
      </c>
      <c r="C2123" s="76" t="s">
        <v>536</v>
      </c>
      <c r="D2123" s="79">
        <v>3187.5408000000002</v>
      </c>
      <c r="E2123" s="79">
        <v>5.7610999999999999</v>
      </c>
      <c r="F2123" s="79">
        <v>5.7626999999999997</v>
      </c>
      <c r="G2123" s="83">
        <f t="shared" si="32"/>
        <v>6.1188238095238097</v>
      </c>
    </row>
    <row r="2124" spans="1:7" x14ac:dyDescent="0.2">
      <c r="A2124" s="75">
        <v>41803</v>
      </c>
      <c r="B2124" s="76" t="s">
        <v>35</v>
      </c>
      <c r="C2124" s="76" t="s">
        <v>536</v>
      </c>
      <c r="D2124" s="79">
        <v>3205.6730710000002</v>
      </c>
      <c r="E2124" s="79">
        <v>5.7630999999999997</v>
      </c>
      <c r="F2124" s="79">
        <v>5.6521999999999997</v>
      </c>
      <c r="G2124" s="83">
        <f t="shared" si="32"/>
        <v>6.1097238095238096</v>
      </c>
    </row>
    <row r="2125" spans="1:7" x14ac:dyDescent="0.2">
      <c r="A2125" s="75">
        <v>41806</v>
      </c>
      <c r="B2125" s="76" t="s">
        <v>35</v>
      </c>
      <c r="C2125" s="76" t="s">
        <v>536</v>
      </c>
      <c r="D2125" s="79">
        <v>3190.848767</v>
      </c>
      <c r="E2125" s="79">
        <v>5.6527000000000003</v>
      </c>
      <c r="F2125" s="79">
        <v>5.7598000000000003</v>
      </c>
      <c r="G2125" s="83">
        <f t="shared" si="32"/>
        <v>6.0997523809523813</v>
      </c>
    </row>
    <row r="2126" spans="1:7" x14ac:dyDescent="0.2">
      <c r="A2126" s="75">
        <v>41807</v>
      </c>
      <c r="B2126" s="76" t="s">
        <v>35</v>
      </c>
      <c r="C2126" s="76" t="s">
        <v>536</v>
      </c>
      <c r="D2126" s="79">
        <v>3182.3470969999998</v>
      </c>
      <c r="E2126" s="79">
        <v>5.7603</v>
      </c>
      <c r="F2126" s="79">
        <v>5.8251999999999997</v>
      </c>
      <c r="G2126" s="83">
        <f t="shared" si="32"/>
        <v>6.0909968253968252</v>
      </c>
    </row>
    <row r="2127" spans="1:7" x14ac:dyDescent="0.2">
      <c r="A2127" s="75">
        <v>41808</v>
      </c>
      <c r="B2127" s="76" t="s">
        <v>35</v>
      </c>
      <c r="C2127" s="76" t="s">
        <v>536</v>
      </c>
      <c r="D2127" s="79">
        <v>3195.820522</v>
      </c>
      <c r="E2127" s="79">
        <v>5.8257000000000003</v>
      </c>
      <c r="F2127" s="79">
        <v>5.7446999999999999</v>
      </c>
      <c r="G2127" s="83">
        <f t="shared" si="32"/>
        <v>6.0828603174603169</v>
      </c>
    </row>
    <row r="2128" spans="1:7" x14ac:dyDescent="0.2">
      <c r="A2128" s="75">
        <v>41810</v>
      </c>
      <c r="B2128" s="76" t="s">
        <v>35</v>
      </c>
      <c r="C2128" s="76" t="s">
        <v>536</v>
      </c>
      <c r="D2128" s="79">
        <v>3196.203865</v>
      </c>
      <c r="E2128" s="79">
        <v>5.7451999999999996</v>
      </c>
      <c r="F2128" s="79">
        <v>5.7519999999999998</v>
      </c>
      <c r="G2128" s="83">
        <f t="shared" si="32"/>
        <v>6.0722857142857132</v>
      </c>
    </row>
    <row r="2129" spans="1:7" x14ac:dyDescent="0.2">
      <c r="A2129" s="75">
        <v>41813</v>
      </c>
      <c r="B2129" s="76" t="s">
        <v>35</v>
      </c>
      <c r="C2129" s="76" t="s">
        <v>536</v>
      </c>
      <c r="D2129" s="79">
        <v>3201.5408699999998</v>
      </c>
      <c r="E2129" s="79">
        <v>5.7525000000000004</v>
      </c>
      <c r="F2129" s="79">
        <v>5.7259000000000002</v>
      </c>
      <c r="G2129" s="83">
        <f t="shared" si="32"/>
        <v>6.0597333333333321</v>
      </c>
    </row>
    <row r="2130" spans="1:7" x14ac:dyDescent="0.2">
      <c r="A2130" s="75">
        <v>41814</v>
      </c>
      <c r="B2130" s="76" t="s">
        <v>35</v>
      </c>
      <c r="C2130" s="76" t="s">
        <v>536</v>
      </c>
      <c r="D2130" s="79">
        <v>3210.2517800000001</v>
      </c>
      <c r="E2130" s="79">
        <v>5.7263999999999999</v>
      </c>
      <c r="F2130" s="79">
        <v>5.6776</v>
      </c>
      <c r="G2130" s="83">
        <f t="shared" si="32"/>
        <v>6.0469682539682541</v>
      </c>
    </row>
    <row r="2131" spans="1:7" x14ac:dyDescent="0.2">
      <c r="A2131" s="75">
        <v>41815</v>
      </c>
      <c r="B2131" s="76" t="s">
        <v>35</v>
      </c>
      <c r="C2131" s="76" t="s">
        <v>536</v>
      </c>
      <c r="D2131" s="79">
        <v>3219.288462</v>
      </c>
      <c r="E2131" s="79">
        <v>5.6779999999999999</v>
      </c>
      <c r="F2131" s="79">
        <v>5.6272000000000002</v>
      </c>
      <c r="G2131" s="83">
        <f t="shared" si="32"/>
        <v>6.0348476190476195</v>
      </c>
    </row>
    <row r="2132" spans="1:7" x14ac:dyDescent="0.2">
      <c r="A2132" s="75">
        <v>41816</v>
      </c>
      <c r="B2132" s="76" t="s">
        <v>35</v>
      </c>
      <c r="C2132" s="76" t="s">
        <v>536</v>
      </c>
      <c r="D2132" s="79">
        <v>3226.8361829999999</v>
      </c>
      <c r="E2132" s="79">
        <v>5.6276999999999999</v>
      </c>
      <c r="F2132" s="79">
        <v>5.5868000000000002</v>
      </c>
      <c r="G2132" s="83">
        <f t="shared" si="32"/>
        <v>6.0229349206349205</v>
      </c>
    </row>
    <row r="2133" spans="1:7" x14ac:dyDescent="0.2">
      <c r="A2133" s="75">
        <v>41817</v>
      </c>
      <c r="B2133" s="76" t="s">
        <v>35</v>
      </c>
      <c r="C2133" s="76" t="s">
        <v>536</v>
      </c>
      <c r="D2133" s="79">
        <v>3210.514721</v>
      </c>
      <c r="E2133" s="79">
        <v>5.5872999999999999</v>
      </c>
      <c r="F2133" s="79">
        <v>5.7031000000000001</v>
      </c>
      <c r="G2133" s="83">
        <f t="shared" si="32"/>
        <v>6.0114888888888895</v>
      </c>
    </row>
    <row r="2134" spans="1:7" x14ac:dyDescent="0.2">
      <c r="A2134" s="75">
        <v>41820</v>
      </c>
      <c r="B2134" s="76" t="s">
        <v>35</v>
      </c>
      <c r="C2134" s="76" t="s">
        <v>536</v>
      </c>
      <c r="D2134" s="79">
        <v>3205.401683</v>
      </c>
      <c r="E2134" s="79">
        <v>5.7035999999999998</v>
      </c>
      <c r="F2134" s="79">
        <v>5.7460000000000004</v>
      </c>
      <c r="G2134" s="83">
        <f t="shared" si="32"/>
        <v>6.0029555555555554</v>
      </c>
    </row>
    <row r="2135" spans="1:7" x14ac:dyDescent="0.2">
      <c r="A2135" s="75">
        <v>41821</v>
      </c>
      <c r="B2135" s="76" t="s">
        <v>35</v>
      </c>
      <c r="C2135" s="76" t="s">
        <v>536</v>
      </c>
      <c r="D2135" s="79">
        <v>3219.0965900000001</v>
      </c>
      <c r="E2135" s="79">
        <v>5.7464000000000004</v>
      </c>
      <c r="F2135" s="79">
        <v>5.6649000000000003</v>
      </c>
      <c r="G2135" s="83">
        <f t="shared" si="32"/>
        <v>5.9969238095238095</v>
      </c>
    </row>
    <row r="2136" spans="1:7" x14ac:dyDescent="0.2">
      <c r="A2136" s="75">
        <v>41822</v>
      </c>
      <c r="B2136" s="76" t="s">
        <v>35</v>
      </c>
      <c r="C2136" s="76" t="s">
        <v>536</v>
      </c>
      <c r="D2136" s="79">
        <v>3210.289479</v>
      </c>
      <c r="E2136" s="79">
        <v>5.6654</v>
      </c>
      <c r="F2136" s="79">
        <v>5.7320000000000002</v>
      </c>
      <c r="G2136" s="83">
        <f t="shared" si="32"/>
        <v>5.9886587301587291</v>
      </c>
    </row>
    <row r="2137" spans="1:7" x14ac:dyDescent="0.2">
      <c r="A2137" s="75">
        <v>41823</v>
      </c>
      <c r="B2137" s="76" t="s">
        <v>35</v>
      </c>
      <c r="C2137" s="76" t="s">
        <v>536</v>
      </c>
      <c r="D2137" s="79">
        <v>3216.666835</v>
      </c>
      <c r="E2137" s="79">
        <v>5.7324999999999999</v>
      </c>
      <c r="F2137" s="79">
        <v>5.6992000000000003</v>
      </c>
      <c r="G2137" s="83">
        <f t="shared" si="32"/>
        <v>5.9810301587301566</v>
      </c>
    </row>
    <row r="2138" spans="1:7" x14ac:dyDescent="0.2">
      <c r="A2138" s="75">
        <v>41824</v>
      </c>
      <c r="B2138" s="76" t="s">
        <v>35</v>
      </c>
      <c r="C2138" s="76" t="s">
        <v>536</v>
      </c>
      <c r="D2138" s="79">
        <v>3218.532299</v>
      </c>
      <c r="E2138" s="79">
        <v>5.6997</v>
      </c>
      <c r="F2138" s="79">
        <v>5.6961000000000004</v>
      </c>
      <c r="G2138" s="83">
        <f t="shared" si="32"/>
        <v>5.9725571428571405</v>
      </c>
    </row>
    <row r="2139" spans="1:7" x14ac:dyDescent="0.2">
      <c r="A2139" s="75">
        <v>41827</v>
      </c>
      <c r="B2139" s="76" t="s">
        <v>35</v>
      </c>
      <c r="C2139" s="76" t="s">
        <v>536</v>
      </c>
      <c r="D2139" s="79">
        <v>3222.2562750000002</v>
      </c>
      <c r="E2139" s="79">
        <v>5.6965000000000003</v>
      </c>
      <c r="F2139" s="79">
        <v>5.6806999999999999</v>
      </c>
      <c r="G2139" s="83">
        <f t="shared" si="32"/>
        <v>5.9643444444444436</v>
      </c>
    </row>
    <row r="2140" spans="1:7" x14ac:dyDescent="0.2">
      <c r="A2140" s="75">
        <v>41828</v>
      </c>
      <c r="B2140" s="76" t="s">
        <v>35</v>
      </c>
      <c r="C2140" s="76" t="s">
        <v>536</v>
      </c>
      <c r="D2140" s="79">
        <v>3225.305828</v>
      </c>
      <c r="E2140" s="79">
        <v>5.6810999999999998</v>
      </c>
      <c r="F2140" s="79">
        <v>5.6729000000000003</v>
      </c>
      <c r="G2140" s="83">
        <f t="shared" si="32"/>
        <v>5.956365079365078</v>
      </c>
    </row>
    <row r="2141" spans="1:7" x14ac:dyDescent="0.2">
      <c r="A2141" s="75">
        <v>41829</v>
      </c>
      <c r="B2141" s="76" t="s">
        <v>35</v>
      </c>
      <c r="C2141" s="76" t="s">
        <v>536</v>
      </c>
      <c r="D2141" s="79">
        <v>3226.6561419999998</v>
      </c>
      <c r="E2141" s="79">
        <v>5.6733000000000002</v>
      </c>
      <c r="F2141" s="79">
        <v>5.6733000000000002</v>
      </c>
      <c r="G2141" s="83">
        <f t="shared" si="32"/>
        <v>5.9487428571428564</v>
      </c>
    </row>
    <row r="2142" spans="1:7" x14ac:dyDescent="0.2">
      <c r="A2142" s="75">
        <v>41830</v>
      </c>
      <c r="B2142" s="76" t="s">
        <v>35</v>
      </c>
      <c r="C2142" s="76" t="s">
        <v>536</v>
      </c>
      <c r="D2142" s="79">
        <v>3216.9501420000001</v>
      </c>
      <c r="E2142" s="79">
        <v>5.6738</v>
      </c>
      <c r="F2142" s="79">
        <v>5.7464000000000004</v>
      </c>
      <c r="G2142" s="83">
        <f t="shared" si="32"/>
        <v>5.9413571428571421</v>
      </c>
    </row>
    <row r="2143" spans="1:7" x14ac:dyDescent="0.2">
      <c r="A2143" s="75">
        <v>41831</v>
      </c>
      <c r="B2143" s="76" t="s">
        <v>35</v>
      </c>
      <c r="C2143" s="76" t="s">
        <v>536</v>
      </c>
      <c r="D2143" s="79">
        <v>3212.473485</v>
      </c>
      <c r="E2143" s="79">
        <v>5.7468000000000004</v>
      </c>
      <c r="F2143" s="79">
        <v>5.7851999999999997</v>
      </c>
      <c r="G2143" s="83">
        <f t="shared" si="32"/>
        <v>5.935779365079366</v>
      </c>
    </row>
    <row r="2144" spans="1:7" x14ac:dyDescent="0.2">
      <c r="A2144" s="75">
        <v>41834</v>
      </c>
      <c r="B2144" s="76" t="s">
        <v>35</v>
      </c>
      <c r="C2144" s="76" t="s">
        <v>536</v>
      </c>
      <c r="D2144" s="79">
        <v>3217.2188639999999</v>
      </c>
      <c r="E2144" s="79">
        <v>5.7855999999999996</v>
      </c>
      <c r="F2144" s="79">
        <v>5.7633000000000001</v>
      </c>
      <c r="G2144" s="83">
        <f t="shared" si="32"/>
        <v>5.9305936507936492</v>
      </c>
    </row>
    <row r="2145" spans="1:7" x14ac:dyDescent="0.2">
      <c r="A2145" s="75">
        <v>41835</v>
      </c>
      <c r="B2145" s="76" t="s">
        <v>35</v>
      </c>
      <c r="C2145" s="76" t="s">
        <v>536</v>
      </c>
      <c r="D2145" s="79">
        <v>3212.7903139999999</v>
      </c>
      <c r="E2145" s="79">
        <v>5.7637</v>
      </c>
      <c r="F2145" s="79">
        <v>5.8018000000000001</v>
      </c>
      <c r="G2145" s="83">
        <f t="shared" si="32"/>
        <v>5.9246539682539678</v>
      </c>
    </row>
    <row r="2146" spans="1:7" x14ac:dyDescent="0.2">
      <c r="A2146" s="75">
        <v>41836</v>
      </c>
      <c r="B2146" s="76" t="s">
        <v>35</v>
      </c>
      <c r="C2146" s="76" t="s">
        <v>536</v>
      </c>
      <c r="D2146" s="79">
        <v>3218.9471269999999</v>
      </c>
      <c r="E2146" s="79">
        <v>5.8022</v>
      </c>
      <c r="F2146" s="79">
        <v>5.7686999999999999</v>
      </c>
      <c r="G2146" s="83">
        <f t="shared" si="32"/>
        <v>5.9190714285714305</v>
      </c>
    </row>
    <row r="2147" spans="1:7" x14ac:dyDescent="0.2">
      <c r="A2147" s="75">
        <v>41837</v>
      </c>
      <c r="B2147" s="76" t="s">
        <v>35</v>
      </c>
      <c r="C2147" s="76" t="s">
        <v>536</v>
      </c>
      <c r="D2147" s="79">
        <v>3225.0828550000001</v>
      </c>
      <c r="E2147" s="79">
        <v>5.7690999999999999</v>
      </c>
      <c r="F2147" s="79">
        <v>5.7358000000000002</v>
      </c>
      <c r="G2147" s="83">
        <f t="shared" si="32"/>
        <v>5.9124968253968264</v>
      </c>
    </row>
    <row r="2148" spans="1:7" x14ac:dyDescent="0.2">
      <c r="A2148" s="75">
        <v>41838</v>
      </c>
      <c r="B2148" s="76" t="s">
        <v>35</v>
      </c>
      <c r="C2148" s="76" t="s">
        <v>536</v>
      </c>
      <c r="D2148" s="79">
        <v>3244.4095309999998</v>
      </c>
      <c r="E2148" s="79">
        <v>5.7363</v>
      </c>
      <c r="F2148" s="79">
        <v>5.6169000000000002</v>
      </c>
      <c r="G2148" s="83">
        <f t="shared" si="32"/>
        <v>5.9057682539682554</v>
      </c>
    </row>
    <row r="2149" spans="1:7" x14ac:dyDescent="0.2">
      <c r="A2149" s="75">
        <v>41841</v>
      </c>
      <c r="B2149" s="76" t="s">
        <v>35</v>
      </c>
      <c r="C2149" s="76" t="s">
        <v>536</v>
      </c>
      <c r="D2149" s="79">
        <v>3255.3703759999999</v>
      </c>
      <c r="E2149" s="79">
        <v>5.6173000000000002</v>
      </c>
      <c r="F2149" s="79">
        <v>5.5529000000000002</v>
      </c>
      <c r="G2149" s="83">
        <f t="shared" si="32"/>
        <v>5.8970253968253994</v>
      </c>
    </row>
    <row r="2150" spans="1:7" x14ac:dyDescent="0.2">
      <c r="A2150" s="75">
        <v>41842</v>
      </c>
      <c r="B2150" s="76" t="s">
        <v>35</v>
      </c>
      <c r="C2150" s="76" t="s">
        <v>536</v>
      </c>
      <c r="D2150" s="79">
        <v>3268.1769960000001</v>
      </c>
      <c r="E2150" s="79">
        <v>5.5533000000000001</v>
      </c>
      <c r="F2150" s="79">
        <v>5.4771999999999998</v>
      </c>
      <c r="G2150" s="83">
        <f t="shared" si="32"/>
        <v>5.8873714285714298</v>
      </c>
    </row>
    <row r="2151" spans="1:7" x14ac:dyDescent="0.2">
      <c r="A2151" s="75">
        <v>41843</v>
      </c>
      <c r="B2151" s="76" t="s">
        <v>35</v>
      </c>
      <c r="C2151" s="76" t="s">
        <v>536</v>
      </c>
      <c r="D2151" s="79">
        <v>3257.580367</v>
      </c>
      <c r="E2151" s="79">
        <v>5.4775</v>
      </c>
      <c r="F2151" s="79">
        <v>5.5457000000000001</v>
      </c>
      <c r="G2151" s="83">
        <f t="shared" si="32"/>
        <v>5.8760317460317468</v>
      </c>
    </row>
    <row r="2152" spans="1:7" x14ac:dyDescent="0.2">
      <c r="A2152" s="75">
        <v>41844</v>
      </c>
      <c r="B2152" s="76" t="s">
        <v>35</v>
      </c>
      <c r="C2152" s="76" t="s">
        <v>536</v>
      </c>
      <c r="D2152" s="79">
        <v>3240.3853680000002</v>
      </c>
      <c r="E2152" s="79">
        <v>5.5461</v>
      </c>
      <c r="F2152" s="79">
        <v>5.6635999999999997</v>
      </c>
      <c r="G2152" s="83">
        <f t="shared" si="32"/>
        <v>5.8673507936507958</v>
      </c>
    </row>
    <row r="2153" spans="1:7" x14ac:dyDescent="0.2">
      <c r="A2153" s="75">
        <v>41845</v>
      </c>
      <c r="B2153" s="76" t="s">
        <v>35</v>
      </c>
      <c r="C2153" s="76" t="s">
        <v>536</v>
      </c>
      <c r="D2153" s="79">
        <v>3253.4895200000001</v>
      </c>
      <c r="E2153" s="79">
        <v>5.6638999999999999</v>
      </c>
      <c r="F2153" s="79">
        <v>5.5842999999999998</v>
      </c>
      <c r="G2153" s="83">
        <f t="shared" si="32"/>
        <v>5.8604777777777795</v>
      </c>
    </row>
    <row r="2154" spans="1:7" x14ac:dyDescent="0.2">
      <c r="A2154" s="75">
        <v>41848</v>
      </c>
      <c r="B2154" s="76" t="s">
        <v>35</v>
      </c>
      <c r="C2154" s="76" t="s">
        <v>536</v>
      </c>
      <c r="D2154" s="79">
        <v>3249.0688180000002</v>
      </c>
      <c r="E2154" s="79">
        <v>5.5846</v>
      </c>
      <c r="F2154" s="79">
        <v>5.6189999999999998</v>
      </c>
      <c r="G2154" s="83">
        <f t="shared" si="32"/>
        <v>5.8524365079365106</v>
      </c>
    </row>
    <row r="2155" spans="1:7" x14ac:dyDescent="0.2">
      <c r="A2155" s="75">
        <v>41849</v>
      </c>
      <c r="B2155" s="76" t="s">
        <v>35</v>
      </c>
      <c r="C2155" s="76" t="s">
        <v>536</v>
      </c>
      <c r="D2155" s="79">
        <v>3242.819559</v>
      </c>
      <c r="E2155" s="79">
        <v>5.6193</v>
      </c>
      <c r="F2155" s="79">
        <v>5.6657000000000002</v>
      </c>
      <c r="G2155" s="83">
        <f t="shared" si="32"/>
        <v>5.8443952380952409</v>
      </c>
    </row>
    <row r="2156" spans="1:7" x14ac:dyDescent="0.2">
      <c r="A2156" s="75">
        <v>41850</v>
      </c>
      <c r="B2156" s="76" t="s">
        <v>35</v>
      </c>
      <c r="C2156" s="76" t="s">
        <v>536</v>
      </c>
      <c r="D2156" s="79">
        <v>3235.7958629999998</v>
      </c>
      <c r="E2156" s="79">
        <v>5.6661000000000001</v>
      </c>
      <c r="F2156" s="79">
        <v>5.7176999999999998</v>
      </c>
      <c r="G2156" s="83">
        <f t="shared" si="32"/>
        <v>5.8367873015873046</v>
      </c>
    </row>
    <row r="2157" spans="1:7" x14ac:dyDescent="0.2">
      <c r="A2157" s="75">
        <v>41851</v>
      </c>
      <c r="B2157" s="76" t="s">
        <v>35</v>
      </c>
      <c r="C2157" s="76" t="s">
        <v>536</v>
      </c>
      <c r="D2157" s="79">
        <v>3229.6059930000001</v>
      </c>
      <c r="E2157" s="79">
        <v>5.7180999999999997</v>
      </c>
      <c r="F2157" s="79">
        <v>5.7644000000000002</v>
      </c>
      <c r="G2157" s="83">
        <f t="shared" si="32"/>
        <v>5.829903174603178</v>
      </c>
    </row>
    <row r="2158" spans="1:7" x14ac:dyDescent="0.2">
      <c r="A2158" s="75">
        <v>41852</v>
      </c>
      <c r="B2158" s="76" t="s">
        <v>35</v>
      </c>
      <c r="C2158" s="76" t="s">
        <v>536</v>
      </c>
      <c r="D2158" s="79">
        <v>3214.168584</v>
      </c>
      <c r="E2158" s="79">
        <v>5.7648000000000001</v>
      </c>
      <c r="F2158" s="79">
        <v>5.8720999999999997</v>
      </c>
      <c r="G2158" s="83">
        <f t="shared" si="32"/>
        <v>5.8242349206349218</v>
      </c>
    </row>
    <row r="2159" spans="1:7" x14ac:dyDescent="0.2">
      <c r="A2159" s="75">
        <v>41855</v>
      </c>
      <c r="B2159" s="76" t="s">
        <v>35</v>
      </c>
      <c r="C2159" s="76" t="s">
        <v>536</v>
      </c>
      <c r="D2159" s="79">
        <v>3222.0978249999998</v>
      </c>
      <c r="E2159" s="79">
        <v>5.8724999999999996</v>
      </c>
      <c r="F2159" s="79">
        <v>5.8262</v>
      </c>
      <c r="G2159" s="83">
        <f t="shared" si="32"/>
        <v>5.8193063492063501</v>
      </c>
    </row>
    <row r="2160" spans="1:7" x14ac:dyDescent="0.2">
      <c r="A2160" s="75">
        <v>41856</v>
      </c>
      <c r="B2160" s="76" t="s">
        <v>35</v>
      </c>
      <c r="C2160" s="76" t="s">
        <v>536</v>
      </c>
      <c r="D2160" s="79">
        <v>3197.2475939999999</v>
      </c>
      <c r="E2160" s="79">
        <v>5.8265000000000002</v>
      </c>
      <c r="F2160" s="79">
        <v>5.9965000000000002</v>
      </c>
      <c r="G2160" s="83">
        <f t="shared" si="32"/>
        <v>5.814869841269843</v>
      </c>
    </row>
    <row r="2161" spans="1:7" x14ac:dyDescent="0.2">
      <c r="A2161" s="75">
        <v>41857</v>
      </c>
      <c r="B2161" s="76" t="s">
        <v>35</v>
      </c>
      <c r="C2161" s="76" t="s">
        <v>536</v>
      </c>
      <c r="D2161" s="79">
        <v>3226.0498680000001</v>
      </c>
      <c r="E2161" s="79">
        <v>5.9968000000000004</v>
      </c>
      <c r="F2161" s="79">
        <v>5.8127000000000004</v>
      </c>
      <c r="G2161" s="83">
        <f t="shared" si="32"/>
        <v>5.8133031746031758</v>
      </c>
    </row>
    <row r="2162" spans="1:7" x14ac:dyDescent="0.2">
      <c r="A2162" s="75">
        <v>41858</v>
      </c>
      <c r="B2162" s="76" t="s">
        <v>35</v>
      </c>
      <c r="C2162" s="76" t="s">
        <v>536</v>
      </c>
      <c r="D2162" s="79">
        <v>3216.6615609999999</v>
      </c>
      <c r="E2162" s="79">
        <v>5.8129999999999997</v>
      </c>
      <c r="F2162" s="79">
        <v>5.8806000000000003</v>
      </c>
      <c r="G2162" s="83">
        <f t="shared" si="32"/>
        <v>5.8080507936507946</v>
      </c>
    </row>
    <row r="2163" spans="1:7" x14ac:dyDescent="0.2">
      <c r="A2163" s="75">
        <v>41859</v>
      </c>
      <c r="B2163" s="76" t="s">
        <v>35</v>
      </c>
      <c r="C2163" s="76" t="s">
        <v>536</v>
      </c>
      <c r="D2163" s="79">
        <v>3235.2902770000001</v>
      </c>
      <c r="E2163" s="79">
        <v>5.8808999999999996</v>
      </c>
      <c r="F2163" s="79">
        <v>5.7462999999999997</v>
      </c>
      <c r="G2163" s="83">
        <f t="shared" si="32"/>
        <v>5.8038269841269861</v>
      </c>
    </row>
    <row r="2164" spans="1:7" x14ac:dyDescent="0.2">
      <c r="A2164" s="75">
        <v>41862</v>
      </c>
      <c r="B2164" s="76" t="s">
        <v>35</v>
      </c>
      <c r="C2164" s="76" t="s">
        <v>536</v>
      </c>
      <c r="D2164" s="79">
        <v>3243.9224490000001</v>
      </c>
      <c r="E2164" s="79">
        <v>5.7466999999999997</v>
      </c>
      <c r="F2164" s="79">
        <v>5.6951000000000001</v>
      </c>
      <c r="G2164" s="83">
        <f t="shared" si="32"/>
        <v>5.7968380952380967</v>
      </c>
    </row>
    <row r="2165" spans="1:7" x14ac:dyDescent="0.2">
      <c r="A2165" s="75">
        <v>41863</v>
      </c>
      <c r="B2165" s="76" t="s">
        <v>35</v>
      </c>
      <c r="C2165" s="76" t="s">
        <v>536</v>
      </c>
      <c r="D2165" s="79">
        <v>3240.8183309999999</v>
      </c>
      <c r="E2165" s="79">
        <v>5.6955</v>
      </c>
      <c r="F2165" s="79">
        <v>5.7205000000000004</v>
      </c>
      <c r="G2165" s="83">
        <f t="shared" si="32"/>
        <v>5.7891984126984122</v>
      </c>
    </row>
    <row r="2166" spans="1:7" x14ac:dyDescent="0.2">
      <c r="A2166" s="75">
        <v>41864</v>
      </c>
      <c r="B2166" s="76" t="s">
        <v>35</v>
      </c>
      <c r="C2166" s="76" t="s">
        <v>536</v>
      </c>
      <c r="D2166" s="79">
        <v>3226.836597</v>
      </c>
      <c r="E2166" s="79">
        <v>5.7210000000000001</v>
      </c>
      <c r="F2166" s="79">
        <v>5.8173000000000004</v>
      </c>
      <c r="G2166" s="83">
        <f t="shared" si="32"/>
        <v>5.7833015873015876</v>
      </c>
    </row>
    <row r="2167" spans="1:7" x14ac:dyDescent="0.2">
      <c r="A2167" s="75">
        <v>41865</v>
      </c>
      <c r="B2167" s="76" t="s">
        <v>35</v>
      </c>
      <c r="C2167" s="76" t="s">
        <v>536</v>
      </c>
      <c r="D2167" s="79">
        <v>3237.7276900000002</v>
      </c>
      <c r="E2167" s="79">
        <v>5.8177000000000003</v>
      </c>
      <c r="F2167" s="79">
        <v>5.7511999999999999</v>
      </c>
      <c r="G2167" s="83">
        <f t="shared" si="32"/>
        <v>5.7783174603174601</v>
      </c>
    </row>
    <row r="2168" spans="1:7" x14ac:dyDescent="0.2">
      <c r="A2168" s="75">
        <v>41866</v>
      </c>
      <c r="B2168" s="76" t="s">
        <v>35</v>
      </c>
      <c r="C2168" s="76" t="s">
        <v>536</v>
      </c>
      <c r="D2168" s="79">
        <v>3257.3908919999999</v>
      </c>
      <c r="E2168" s="79">
        <v>5.7515000000000001</v>
      </c>
      <c r="F2168" s="79">
        <v>5.6281999999999996</v>
      </c>
      <c r="G2168" s="83">
        <f t="shared" si="32"/>
        <v>5.7723142857142866</v>
      </c>
    </row>
    <row r="2169" spans="1:7" x14ac:dyDescent="0.2">
      <c r="A2169" s="75">
        <v>41869</v>
      </c>
      <c r="B2169" s="76" t="s">
        <v>35</v>
      </c>
      <c r="C2169" s="76" t="s">
        <v>536</v>
      </c>
      <c r="D2169" s="79">
        <v>3270.085223</v>
      </c>
      <c r="E2169" s="79">
        <v>5.6284999999999998</v>
      </c>
      <c r="F2169" s="79">
        <v>5.5532000000000004</v>
      </c>
      <c r="G2169" s="83">
        <f t="shared" si="32"/>
        <v>5.7648444444444449</v>
      </c>
    </row>
    <row r="2170" spans="1:7" x14ac:dyDescent="0.2">
      <c r="A2170" s="75">
        <v>41870</v>
      </c>
      <c r="B2170" s="76" t="s">
        <v>35</v>
      </c>
      <c r="C2170" s="76" t="s">
        <v>536</v>
      </c>
      <c r="D2170" s="79">
        <v>3272.8481390000002</v>
      </c>
      <c r="E2170" s="79">
        <v>5.5534999999999997</v>
      </c>
      <c r="F2170" s="79">
        <v>5.5425000000000004</v>
      </c>
      <c r="G2170" s="83">
        <f t="shared" si="32"/>
        <v>5.7560761904761897</v>
      </c>
    </row>
    <row r="2171" spans="1:7" x14ac:dyDescent="0.2">
      <c r="A2171" s="75">
        <v>41871</v>
      </c>
      <c r="B2171" s="76" t="s">
        <v>35</v>
      </c>
      <c r="C2171" s="76" t="s">
        <v>536</v>
      </c>
      <c r="D2171" s="79">
        <v>3265.9528799999998</v>
      </c>
      <c r="E2171" s="79">
        <v>5.5429000000000004</v>
      </c>
      <c r="F2171" s="79">
        <v>5.5942999999999996</v>
      </c>
      <c r="G2171" s="83">
        <f t="shared" si="32"/>
        <v>5.7485460317460317</v>
      </c>
    </row>
    <row r="2172" spans="1:7" x14ac:dyDescent="0.2">
      <c r="A2172" s="75">
        <v>41872</v>
      </c>
      <c r="B2172" s="76" t="s">
        <v>35</v>
      </c>
      <c r="C2172" s="76" t="s">
        <v>536</v>
      </c>
      <c r="D2172" s="79">
        <v>3257.311099</v>
      </c>
      <c r="E2172" s="79">
        <v>5.5945999999999998</v>
      </c>
      <c r="F2172" s="79">
        <v>5.6582999999999997</v>
      </c>
      <c r="G2172" s="83">
        <f t="shared" si="32"/>
        <v>5.7428174603174593</v>
      </c>
    </row>
    <row r="2173" spans="1:7" x14ac:dyDescent="0.2">
      <c r="A2173" s="75">
        <v>41873</v>
      </c>
      <c r="B2173" s="76" t="s">
        <v>35</v>
      </c>
      <c r="C2173" s="76" t="s">
        <v>536</v>
      </c>
      <c r="D2173" s="79">
        <v>3273.4273210000001</v>
      </c>
      <c r="E2173" s="79">
        <v>5.6586999999999996</v>
      </c>
      <c r="F2173" s="79">
        <v>5.5614999999999997</v>
      </c>
      <c r="G2173" s="83">
        <f t="shared" si="32"/>
        <v>5.7377460317460294</v>
      </c>
    </row>
    <row r="2174" spans="1:7" x14ac:dyDescent="0.2">
      <c r="A2174" s="75">
        <v>41876</v>
      </c>
      <c r="B2174" s="76" t="s">
        <v>35</v>
      </c>
      <c r="C2174" s="76" t="s">
        <v>536</v>
      </c>
      <c r="D2174" s="79">
        <v>3279.8096230000001</v>
      </c>
      <c r="E2174" s="79">
        <v>5.5617999999999999</v>
      </c>
      <c r="F2174" s="79">
        <v>5.5277000000000003</v>
      </c>
      <c r="G2174" s="83">
        <f t="shared" si="32"/>
        <v>5.7312539682539665</v>
      </c>
    </row>
    <row r="2175" spans="1:7" x14ac:dyDescent="0.2">
      <c r="A2175" s="75">
        <v>41877</v>
      </c>
      <c r="B2175" s="76" t="s">
        <v>35</v>
      </c>
      <c r="C2175" s="76" t="s">
        <v>536</v>
      </c>
      <c r="D2175" s="79">
        <v>3281.5214470000001</v>
      </c>
      <c r="E2175" s="79">
        <v>5.5279999999999996</v>
      </c>
      <c r="F2175" s="79">
        <v>5.524</v>
      </c>
      <c r="G2175" s="83">
        <f t="shared" si="32"/>
        <v>5.7233333333333327</v>
      </c>
    </row>
    <row r="2176" spans="1:7" x14ac:dyDescent="0.2">
      <c r="A2176" s="75">
        <v>41878</v>
      </c>
      <c r="B2176" s="76" t="s">
        <v>35</v>
      </c>
      <c r="C2176" s="76" t="s">
        <v>536</v>
      </c>
      <c r="D2176" s="79">
        <v>3289.474393</v>
      </c>
      <c r="E2176" s="79">
        <v>5.5244</v>
      </c>
      <c r="F2176" s="79">
        <v>5.4802999999999997</v>
      </c>
      <c r="G2176" s="83">
        <f t="shared" si="32"/>
        <v>5.7169746031746023</v>
      </c>
    </row>
    <row r="2177" spans="1:7" x14ac:dyDescent="0.2">
      <c r="A2177" s="75">
        <v>41879</v>
      </c>
      <c r="B2177" s="76" t="s">
        <v>35</v>
      </c>
      <c r="C2177" s="76" t="s">
        <v>536</v>
      </c>
      <c r="D2177" s="79">
        <v>3295.8195519999999</v>
      </c>
      <c r="E2177" s="79">
        <v>5.4805999999999999</v>
      </c>
      <c r="F2177" s="79">
        <v>5.4469000000000003</v>
      </c>
      <c r="G2177" s="83">
        <f t="shared" si="32"/>
        <v>5.7121380952380942</v>
      </c>
    </row>
    <row r="2178" spans="1:7" x14ac:dyDescent="0.2">
      <c r="A2178" s="75">
        <v>41880</v>
      </c>
      <c r="B2178" s="76" t="s">
        <v>35</v>
      </c>
      <c r="C2178" s="76" t="s">
        <v>536</v>
      </c>
      <c r="D2178" s="79">
        <v>3304.2254520000001</v>
      </c>
      <c r="E2178" s="79">
        <v>5.4471999999999996</v>
      </c>
      <c r="F2178" s="79">
        <v>5.4004000000000003</v>
      </c>
      <c r="G2178" s="83">
        <f t="shared" si="32"/>
        <v>5.7071063492063487</v>
      </c>
    </row>
    <row r="2179" spans="1:7" x14ac:dyDescent="0.2">
      <c r="A2179" s="75">
        <v>41883</v>
      </c>
      <c r="B2179" s="76" t="s">
        <v>35</v>
      </c>
      <c r="C2179" s="76" t="s">
        <v>536</v>
      </c>
      <c r="D2179" s="79">
        <v>3313.2158159999999</v>
      </c>
      <c r="E2179" s="79">
        <v>5.4005999999999998</v>
      </c>
      <c r="F2179" s="79">
        <v>5.3502000000000001</v>
      </c>
      <c r="G2179" s="83">
        <f t="shared" ref="G2179:G2242" si="33">+AVERAGE(E2117:E2179)</f>
        <v>5.699987301587301</v>
      </c>
    </row>
    <row r="2180" spans="1:7" x14ac:dyDescent="0.2">
      <c r="A2180" s="75">
        <v>41884</v>
      </c>
      <c r="B2180" s="76" t="s">
        <v>35</v>
      </c>
      <c r="C2180" s="76" t="s">
        <v>536</v>
      </c>
      <c r="D2180" s="79">
        <v>3333.1256969999999</v>
      </c>
      <c r="E2180" s="79">
        <v>5.3503999999999996</v>
      </c>
      <c r="F2180" s="79">
        <v>5.2309999999999999</v>
      </c>
      <c r="G2180" s="83">
        <f t="shared" si="33"/>
        <v>5.6901476190476181</v>
      </c>
    </row>
    <row r="2181" spans="1:7" x14ac:dyDescent="0.2">
      <c r="A2181" s="75">
        <v>41885</v>
      </c>
      <c r="B2181" s="76" t="s">
        <v>35</v>
      </c>
      <c r="C2181" s="76" t="s">
        <v>536</v>
      </c>
      <c r="D2181" s="79">
        <v>3331.4436009999999</v>
      </c>
      <c r="E2181" s="79">
        <v>5.2312000000000003</v>
      </c>
      <c r="F2181" s="79">
        <v>5.2485999999999997</v>
      </c>
      <c r="G2181" s="83">
        <f t="shared" si="33"/>
        <v>5.6786000000000003</v>
      </c>
    </row>
    <row r="2182" spans="1:7" x14ac:dyDescent="0.2">
      <c r="A2182" s="75">
        <v>41886</v>
      </c>
      <c r="B2182" s="76" t="s">
        <v>35</v>
      </c>
      <c r="C2182" s="76" t="s">
        <v>536</v>
      </c>
      <c r="D2182" s="79">
        <v>3327.2060580000002</v>
      </c>
      <c r="E2182" s="79">
        <v>5.2488000000000001</v>
      </c>
      <c r="F2182" s="79">
        <v>5.2824</v>
      </c>
      <c r="G2182" s="83">
        <f t="shared" si="33"/>
        <v>5.6681111111111111</v>
      </c>
    </row>
    <row r="2183" spans="1:7" x14ac:dyDescent="0.2">
      <c r="A2183" s="75">
        <v>41887</v>
      </c>
      <c r="B2183" s="76" t="s">
        <v>35</v>
      </c>
      <c r="C2183" s="76" t="s">
        <v>536</v>
      </c>
      <c r="D2183" s="79">
        <v>3324.4166209999999</v>
      </c>
      <c r="E2183" s="79">
        <v>5.2826000000000004</v>
      </c>
      <c r="F2183" s="79">
        <v>5.3071000000000002</v>
      </c>
      <c r="G2183" s="83">
        <f t="shared" si="33"/>
        <v>5.6611904761904759</v>
      </c>
    </row>
    <row r="2184" spans="1:7" x14ac:dyDescent="0.2">
      <c r="A2184" s="75">
        <v>41890</v>
      </c>
      <c r="B2184" s="76" t="s">
        <v>35</v>
      </c>
      <c r="C2184" s="76" t="s">
        <v>536</v>
      </c>
      <c r="D2184" s="79">
        <v>3304.4180710000001</v>
      </c>
      <c r="E2184" s="79">
        <v>5.3074000000000003</v>
      </c>
      <c r="F2184" s="79">
        <v>5.4414999999999996</v>
      </c>
      <c r="G2184" s="83">
        <f t="shared" si="33"/>
        <v>5.6541634920634918</v>
      </c>
    </row>
    <row r="2185" spans="1:7" x14ac:dyDescent="0.2">
      <c r="A2185" s="75">
        <v>41891</v>
      </c>
      <c r="B2185" s="76" t="s">
        <v>35</v>
      </c>
      <c r="C2185" s="76" t="s">
        <v>536</v>
      </c>
      <c r="D2185" s="79">
        <v>3277.8145570000001</v>
      </c>
      <c r="E2185" s="79">
        <v>5.4417</v>
      </c>
      <c r="F2185" s="79">
        <v>5.6193999999999997</v>
      </c>
      <c r="G2185" s="83">
        <f t="shared" si="33"/>
        <v>5.6487619047619049</v>
      </c>
    </row>
    <row r="2186" spans="1:7" x14ac:dyDescent="0.2">
      <c r="A2186" s="75">
        <v>41892</v>
      </c>
      <c r="B2186" s="76" t="s">
        <v>35</v>
      </c>
      <c r="C2186" s="76" t="s">
        <v>536</v>
      </c>
      <c r="D2186" s="79">
        <v>3287.6929530000002</v>
      </c>
      <c r="E2186" s="79">
        <v>5.6196000000000002</v>
      </c>
      <c r="F2186" s="79">
        <v>5.5631000000000004</v>
      </c>
      <c r="G2186" s="83">
        <f t="shared" si="33"/>
        <v>5.6465158730158738</v>
      </c>
    </row>
    <row r="2187" spans="1:7" x14ac:dyDescent="0.2">
      <c r="A2187" s="75">
        <v>41893</v>
      </c>
      <c r="B2187" s="76" t="s">
        <v>35</v>
      </c>
      <c r="C2187" s="76" t="s">
        <v>536</v>
      </c>
      <c r="D2187" s="79">
        <v>3298.3797079999999</v>
      </c>
      <c r="E2187" s="79">
        <v>5.5632999999999999</v>
      </c>
      <c r="F2187" s="79">
        <v>5.5018000000000002</v>
      </c>
      <c r="G2187" s="83">
        <f t="shared" si="33"/>
        <v>5.6433444444444447</v>
      </c>
    </row>
    <row r="2188" spans="1:7" x14ac:dyDescent="0.2">
      <c r="A2188" s="75">
        <v>41894</v>
      </c>
      <c r="B2188" s="76" t="s">
        <v>35</v>
      </c>
      <c r="C2188" s="76" t="s">
        <v>536</v>
      </c>
      <c r="D2188" s="79">
        <v>3251.70642</v>
      </c>
      <c r="E2188" s="79">
        <v>5.5021000000000004</v>
      </c>
      <c r="F2188" s="79">
        <v>5.8105000000000002</v>
      </c>
      <c r="G2188" s="83">
        <f t="shared" si="33"/>
        <v>5.6409539682539691</v>
      </c>
    </row>
    <row r="2189" spans="1:7" x14ac:dyDescent="0.2">
      <c r="A2189" s="75">
        <v>41897</v>
      </c>
      <c r="B2189" s="76" t="s">
        <v>35</v>
      </c>
      <c r="C2189" s="76" t="s">
        <v>536</v>
      </c>
      <c r="D2189" s="79">
        <v>3257.895313</v>
      </c>
      <c r="E2189" s="79">
        <v>5.8108000000000004</v>
      </c>
      <c r="F2189" s="79">
        <v>5.7778</v>
      </c>
      <c r="G2189" s="83">
        <f t="shared" si="33"/>
        <v>5.6417555555555561</v>
      </c>
    </row>
    <row r="2190" spans="1:7" x14ac:dyDescent="0.2">
      <c r="A2190" s="75">
        <v>41898</v>
      </c>
      <c r="B2190" s="76" t="s">
        <v>35</v>
      </c>
      <c r="C2190" s="76" t="s">
        <v>536</v>
      </c>
      <c r="D2190" s="79">
        <v>3276.3376709999998</v>
      </c>
      <c r="E2190" s="79">
        <v>5.7781000000000002</v>
      </c>
      <c r="F2190" s="79">
        <v>5.6673</v>
      </c>
      <c r="G2190" s="83">
        <f t="shared" si="33"/>
        <v>5.6410000000000009</v>
      </c>
    </row>
    <row r="2191" spans="1:7" x14ac:dyDescent="0.2">
      <c r="A2191" s="75">
        <v>41899</v>
      </c>
      <c r="B2191" s="76" t="s">
        <v>35</v>
      </c>
      <c r="C2191" s="76" t="s">
        <v>536</v>
      </c>
      <c r="D2191" s="79">
        <v>3277.152666</v>
      </c>
      <c r="E2191" s="79">
        <v>5.6676000000000002</v>
      </c>
      <c r="F2191" s="79">
        <v>5.6708999999999996</v>
      </c>
      <c r="G2191" s="83">
        <f t="shared" si="33"/>
        <v>5.6397682539682554</v>
      </c>
    </row>
    <row r="2192" spans="1:7" x14ac:dyDescent="0.2">
      <c r="A2192" s="75">
        <v>41900</v>
      </c>
      <c r="B2192" s="76" t="s">
        <v>35</v>
      </c>
      <c r="C2192" s="76" t="s">
        <v>536</v>
      </c>
      <c r="D2192" s="79">
        <v>3265.3362179999999</v>
      </c>
      <c r="E2192" s="79">
        <v>5.6711999999999998</v>
      </c>
      <c r="F2192" s="79">
        <v>5.7561999999999998</v>
      </c>
      <c r="G2192" s="83">
        <f t="shared" si="33"/>
        <v>5.6384777777777781</v>
      </c>
    </row>
    <row r="2193" spans="1:7" x14ac:dyDescent="0.2">
      <c r="A2193" s="75">
        <v>41901</v>
      </c>
      <c r="B2193" s="76" t="s">
        <v>35</v>
      </c>
      <c r="C2193" s="76" t="s">
        <v>536</v>
      </c>
      <c r="D2193" s="79">
        <v>3271.441695</v>
      </c>
      <c r="E2193" s="79">
        <v>5.7565</v>
      </c>
      <c r="F2193" s="79">
        <v>5.7256</v>
      </c>
      <c r="G2193" s="83">
        <f t="shared" si="33"/>
        <v>5.6389555555555564</v>
      </c>
    </row>
    <row r="2194" spans="1:7" x14ac:dyDescent="0.2">
      <c r="A2194" s="75">
        <v>41904</v>
      </c>
      <c r="B2194" s="76" t="s">
        <v>35</v>
      </c>
      <c r="C2194" s="76" t="s">
        <v>536</v>
      </c>
      <c r="D2194" s="79">
        <v>3249.6393849999999</v>
      </c>
      <c r="E2194" s="79">
        <v>5.7259000000000002</v>
      </c>
      <c r="F2194" s="79">
        <v>5.8789999999999996</v>
      </c>
      <c r="G2194" s="83">
        <f t="shared" si="33"/>
        <v>5.6397158730158736</v>
      </c>
    </row>
    <row r="2195" spans="1:7" x14ac:dyDescent="0.2">
      <c r="A2195" s="75">
        <v>41905</v>
      </c>
      <c r="B2195" s="76" t="s">
        <v>35</v>
      </c>
      <c r="C2195" s="76" t="s">
        <v>536</v>
      </c>
      <c r="D2195" s="79">
        <v>3266.1908250000001</v>
      </c>
      <c r="E2195" s="79">
        <v>5.8792999999999997</v>
      </c>
      <c r="F2195" s="79">
        <v>5.7809999999999997</v>
      </c>
      <c r="G2195" s="83">
        <f t="shared" si="33"/>
        <v>5.643709523809525</v>
      </c>
    </row>
    <row r="2196" spans="1:7" x14ac:dyDescent="0.2">
      <c r="A2196" s="75">
        <v>41906</v>
      </c>
      <c r="B2196" s="76" t="s">
        <v>35</v>
      </c>
      <c r="C2196" s="76" t="s">
        <v>536</v>
      </c>
      <c r="D2196" s="79">
        <v>3288.312379</v>
      </c>
      <c r="E2196" s="79">
        <v>5.7812999999999999</v>
      </c>
      <c r="F2196" s="79">
        <v>5.6477000000000004</v>
      </c>
      <c r="G2196" s="83">
        <f t="shared" si="33"/>
        <v>5.6467888888888886</v>
      </c>
    </row>
    <row r="2197" spans="1:7" x14ac:dyDescent="0.2">
      <c r="A2197" s="75">
        <v>41907</v>
      </c>
      <c r="B2197" s="76" t="s">
        <v>35</v>
      </c>
      <c r="C2197" s="76" t="s">
        <v>536</v>
      </c>
      <c r="D2197" s="79">
        <v>3284.5083279999999</v>
      </c>
      <c r="E2197" s="79">
        <v>5.6479999999999997</v>
      </c>
      <c r="F2197" s="79">
        <v>5.6816000000000004</v>
      </c>
      <c r="G2197" s="83">
        <f t="shared" si="33"/>
        <v>5.645906349206351</v>
      </c>
    </row>
    <row r="2198" spans="1:7" x14ac:dyDescent="0.2">
      <c r="A2198" s="75">
        <v>41908</v>
      </c>
      <c r="B2198" s="76" t="s">
        <v>35</v>
      </c>
      <c r="C2198" s="76" t="s">
        <v>536</v>
      </c>
      <c r="D2198" s="79">
        <v>3292.4454479999999</v>
      </c>
      <c r="E2198" s="79">
        <v>5.6818</v>
      </c>
      <c r="F2198" s="79">
        <v>5.6398999999999999</v>
      </c>
      <c r="G2198" s="83">
        <f t="shared" si="33"/>
        <v>5.6448809523809542</v>
      </c>
    </row>
    <row r="2199" spans="1:7" x14ac:dyDescent="0.2">
      <c r="A2199" s="75">
        <v>41911</v>
      </c>
      <c r="B2199" s="76" t="s">
        <v>35</v>
      </c>
      <c r="C2199" s="76" t="s">
        <v>536</v>
      </c>
      <c r="D2199" s="79">
        <v>3243.5171420000001</v>
      </c>
      <c r="E2199" s="79">
        <v>5.6402000000000001</v>
      </c>
      <c r="F2199" s="79">
        <v>5.9664000000000001</v>
      </c>
      <c r="G2199" s="83">
        <f t="shared" si="33"/>
        <v>5.6444809523809543</v>
      </c>
    </row>
    <row r="2200" spans="1:7" x14ac:dyDescent="0.2">
      <c r="A2200" s="75">
        <v>41912</v>
      </c>
      <c r="B2200" s="76" t="s">
        <v>35</v>
      </c>
      <c r="C2200" s="76" t="s">
        <v>536</v>
      </c>
      <c r="D2200" s="79">
        <v>3262.60601</v>
      </c>
      <c r="E2200" s="79">
        <v>5.9665999999999997</v>
      </c>
      <c r="F2200" s="79">
        <v>5.8516000000000004</v>
      </c>
      <c r="G2200" s="83">
        <f t="shared" si="33"/>
        <v>5.648196825396826</v>
      </c>
    </row>
    <row r="2201" spans="1:7" x14ac:dyDescent="0.2">
      <c r="A2201" s="75">
        <v>41913</v>
      </c>
      <c r="B2201" s="76" t="s">
        <v>35</v>
      </c>
      <c r="C2201" s="76" t="s">
        <v>536</v>
      </c>
      <c r="D2201" s="79">
        <v>3254.1347700000001</v>
      </c>
      <c r="E2201" s="79">
        <v>5.8517999999999999</v>
      </c>
      <c r="F2201" s="79">
        <v>5.9161999999999999</v>
      </c>
      <c r="G2201" s="83">
        <f t="shared" si="33"/>
        <v>5.6506111111111119</v>
      </c>
    </row>
    <row r="2202" spans="1:7" x14ac:dyDescent="0.2">
      <c r="A2202" s="75">
        <v>41914</v>
      </c>
      <c r="B2202" s="76" t="s">
        <v>35</v>
      </c>
      <c r="C2202" s="76" t="s">
        <v>536</v>
      </c>
      <c r="D2202" s="79">
        <v>3266.8351160000002</v>
      </c>
      <c r="E2202" s="79">
        <v>5.9164000000000003</v>
      </c>
      <c r="F2202" s="79">
        <v>5.8432000000000004</v>
      </c>
      <c r="G2202" s="83">
        <f t="shared" si="33"/>
        <v>5.6541015873015876</v>
      </c>
    </row>
    <row r="2203" spans="1:7" x14ac:dyDescent="0.2">
      <c r="A2203" s="75">
        <v>41915</v>
      </c>
      <c r="B2203" s="76" t="s">
        <v>35</v>
      </c>
      <c r="C2203" s="76" t="s">
        <v>536</v>
      </c>
      <c r="D2203" s="79">
        <v>3289.4695069999998</v>
      </c>
      <c r="E2203" s="79">
        <v>5.8433999999999999</v>
      </c>
      <c r="F2203" s="79">
        <v>5.7065000000000001</v>
      </c>
      <c r="G2203" s="83">
        <f t="shared" si="33"/>
        <v>5.6566777777777792</v>
      </c>
    </row>
    <row r="2204" spans="1:7" x14ac:dyDescent="0.2">
      <c r="A2204" s="75">
        <v>41918</v>
      </c>
      <c r="B2204" s="76" t="s">
        <v>35</v>
      </c>
      <c r="C2204" s="76" t="s">
        <v>536</v>
      </c>
      <c r="D2204" s="79">
        <v>3305.3048220000001</v>
      </c>
      <c r="E2204" s="79">
        <v>5.7065999999999999</v>
      </c>
      <c r="F2204" s="79">
        <v>5.6142000000000003</v>
      </c>
      <c r="G2204" s="83">
        <f t="shared" si="33"/>
        <v>5.6572063492063487</v>
      </c>
    </row>
    <row r="2205" spans="1:7" x14ac:dyDescent="0.2">
      <c r="A2205" s="75">
        <v>41919</v>
      </c>
      <c r="B2205" s="76" t="s">
        <v>35</v>
      </c>
      <c r="C2205" s="76" t="s">
        <v>536</v>
      </c>
      <c r="D2205" s="79">
        <v>3323.7660999999998</v>
      </c>
      <c r="E2205" s="79">
        <v>5.6143000000000001</v>
      </c>
      <c r="F2205" s="79">
        <v>5.5057</v>
      </c>
      <c r="G2205" s="83">
        <f t="shared" si="33"/>
        <v>5.6562619047619034</v>
      </c>
    </row>
    <row r="2206" spans="1:7" x14ac:dyDescent="0.2">
      <c r="A2206" s="75">
        <v>41920</v>
      </c>
      <c r="B2206" s="76" t="s">
        <v>35</v>
      </c>
      <c r="C2206" s="76" t="s">
        <v>536</v>
      </c>
      <c r="D2206" s="79">
        <v>3327.5175359999998</v>
      </c>
      <c r="E2206" s="79">
        <v>5.5057999999999998</v>
      </c>
      <c r="F2206" s="79">
        <v>5.5072000000000001</v>
      </c>
      <c r="G2206" s="83">
        <f t="shared" si="33"/>
        <v>5.6524365079365086</v>
      </c>
    </row>
    <row r="2207" spans="1:7" x14ac:dyDescent="0.2">
      <c r="A2207" s="75">
        <v>41921</v>
      </c>
      <c r="B2207" s="76" t="s">
        <v>35</v>
      </c>
      <c r="C2207" s="76" t="s">
        <v>536</v>
      </c>
      <c r="D2207" s="79">
        <v>3324.3287740000001</v>
      </c>
      <c r="E2207" s="79">
        <v>5.5072999999999999</v>
      </c>
      <c r="F2207" s="79">
        <v>5.5374999999999996</v>
      </c>
      <c r="G2207" s="83">
        <f t="shared" si="33"/>
        <v>5.6480190476190497</v>
      </c>
    </row>
    <row r="2208" spans="1:7" x14ac:dyDescent="0.2">
      <c r="A2208" s="75">
        <v>41922</v>
      </c>
      <c r="B2208" s="76" t="s">
        <v>35</v>
      </c>
      <c r="C2208" s="76" t="s">
        <v>536</v>
      </c>
      <c r="D2208" s="79">
        <v>3316.8763920000001</v>
      </c>
      <c r="E2208" s="79">
        <v>5.5377000000000001</v>
      </c>
      <c r="F2208" s="79">
        <v>5.5951000000000004</v>
      </c>
      <c r="G2208" s="83">
        <f t="shared" si="33"/>
        <v>5.6444317460317457</v>
      </c>
    </row>
    <row r="2209" spans="1:7" x14ac:dyDescent="0.2">
      <c r="A2209" s="75">
        <v>41925</v>
      </c>
      <c r="B2209" s="76" t="s">
        <v>35</v>
      </c>
      <c r="C2209" s="76" t="s">
        <v>536</v>
      </c>
      <c r="D2209" s="79">
        <v>3344.3195580000001</v>
      </c>
      <c r="E2209" s="79">
        <v>5.5952000000000002</v>
      </c>
      <c r="F2209" s="79">
        <v>5.4311999999999996</v>
      </c>
      <c r="G2209" s="83">
        <f t="shared" si="33"/>
        <v>5.6411460317460316</v>
      </c>
    </row>
    <row r="2210" spans="1:7" x14ac:dyDescent="0.2">
      <c r="A2210" s="75">
        <v>41926</v>
      </c>
      <c r="B2210" s="76" t="s">
        <v>35</v>
      </c>
      <c r="C2210" s="76" t="s">
        <v>536</v>
      </c>
      <c r="D2210" s="79">
        <v>3338.47552</v>
      </c>
      <c r="E2210" s="79">
        <v>5.4313000000000002</v>
      </c>
      <c r="F2210" s="79">
        <v>5.4781000000000004</v>
      </c>
      <c r="G2210" s="83">
        <f t="shared" si="33"/>
        <v>5.6357841269841273</v>
      </c>
    </row>
    <row r="2211" spans="1:7" x14ac:dyDescent="0.2">
      <c r="A2211" s="75">
        <v>41927</v>
      </c>
      <c r="B2211" s="76" t="s">
        <v>35</v>
      </c>
      <c r="C2211" s="76" t="s">
        <v>536</v>
      </c>
      <c r="D2211" s="79">
        <v>3322.8383680000002</v>
      </c>
      <c r="E2211" s="79">
        <v>5.4782000000000002</v>
      </c>
      <c r="F2211" s="79">
        <v>5.5872999999999999</v>
      </c>
      <c r="G2211" s="83">
        <f t="shared" si="33"/>
        <v>5.6316873015873021</v>
      </c>
    </row>
    <row r="2212" spans="1:7" x14ac:dyDescent="0.2">
      <c r="A2212" s="75">
        <v>41928</v>
      </c>
      <c r="B2212" s="76" t="s">
        <v>35</v>
      </c>
      <c r="C2212" s="76" t="s">
        <v>536</v>
      </c>
      <c r="D2212" s="79">
        <v>3317.7548080000001</v>
      </c>
      <c r="E2212" s="79">
        <v>5.5873999999999997</v>
      </c>
      <c r="F2212" s="79">
        <v>5.6289999999999996</v>
      </c>
      <c r="G2212" s="83">
        <f t="shared" si="33"/>
        <v>5.6312126984126989</v>
      </c>
    </row>
    <row r="2213" spans="1:7" x14ac:dyDescent="0.2">
      <c r="A2213" s="75">
        <v>41929</v>
      </c>
      <c r="B2213" s="76" t="s">
        <v>35</v>
      </c>
      <c r="C2213" s="76" t="s">
        <v>536</v>
      </c>
      <c r="D2213" s="79">
        <v>3325.0247220000001</v>
      </c>
      <c r="E2213" s="79">
        <v>5.6289999999999996</v>
      </c>
      <c r="F2213" s="79">
        <v>5.5919999999999996</v>
      </c>
      <c r="G2213" s="83">
        <f t="shared" si="33"/>
        <v>5.6324142857142858</v>
      </c>
    </row>
    <row r="2214" spans="1:7" x14ac:dyDescent="0.2">
      <c r="A2214" s="75">
        <v>41932</v>
      </c>
      <c r="B2214" s="76" t="s">
        <v>35</v>
      </c>
      <c r="C2214" s="76" t="s">
        <v>536</v>
      </c>
      <c r="D2214" s="79">
        <v>3308.8752890000001</v>
      </c>
      <c r="E2214" s="79">
        <v>5.5919999999999996</v>
      </c>
      <c r="F2214" s="79">
        <v>5.7042000000000002</v>
      </c>
      <c r="G2214" s="83">
        <f t="shared" si="33"/>
        <v>5.6342317460317464</v>
      </c>
    </row>
    <row r="2215" spans="1:7" x14ac:dyDescent="0.2">
      <c r="A2215" s="75">
        <v>41933</v>
      </c>
      <c r="B2215" s="76" t="s">
        <v>35</v>
      </c>
      <c r="C2215" s="76" t="s">
        <v>536</v>
      </c>
      <c r="D2215" s="79">
        <v>3276.4218729999998</v>
      </c>
      <c r="E2215" s="79">
        <v>5.7042000000000002</v>
      </c>
      <c r="F2215" s="79">
        <v>5.9222999999999999</v>
      </c>
      <c r="G2215" s="83">
        <f t="shared" si="33"/>
        <v>5.63674126984127</v>
      </c>
    </row>
    <row r="2216" spans="1:7" x14ac:dyDescent="0.2">
      <c r="A2216" s="75">
        <v>41934</v>
      </c>
      <c r="B2216" s="76" t="s">
        <v>35</v>
      </c>
      <c r="C2216" s="76" t="s">
        <v>536</v>
      </c>
      <c r="D2216" s="79">
        <v>3279.4142729999999</v>
      </c>
      <c r="E2216" s="79">
        <v>5.9223999999999997</v>
      </c>
      <c r="F2216" s="79">
        <v>5.9112</v>
      </c>
      <c r="G2216" s="83">
        <f t="shared" si="33"/>
        <v>5.6408444444444443</v>
      </c>
    </row>
    <row r="2217" spans="1:7" x14ac:dyDescent="0.2">
      <c r="A2217" s="75">
        <v>41935</v>
      </c>
      <c r="B2217" s="76" t="s">
        <v>35</v>
      </c>
      <c r="C2217" s="76" t="s">
        <v>536</v>
      </c>
      <c r="D2217" s="79">
        <v>3273.5341950000002</v>
      </c>
      <c r="E2217" s="79">
        <v>5.9112</v>
      </c>
      <c r="F2217" s="79">
        <v>5.9584999999999999</v>
      </c>
      <c r="G2217" s="83">
        <f t="shared" si="33"/>
        <v>5.6460285714285714</v>
      </c>
    </row>
    <row r="2218" spans="1:7" x14ac:dyDescent="0.2">
      <c r="A2218" s="75">
        <v>41936</v>
      </c>
      <c r="B2218" s="76" t="s">
        <v>35</v>
      </c>
      <c r="C2218" s="76" t="s">
        <v>536</v>
      </c>
      <c r="D2218" s="79">
        <v>3300.8311250000002</v>
      </c>
      <c r="E2218" s="79">
        <v>5.9585999999999997</v>
      </c>
      <c r="F2218" s="79">
        <v>5.7919</v>
      </c>
      <c r="G2218" s="83">
        <f t="shared" si="33"/>
        <v>5.6514142857142851</v>
      </c>
    </row>
    <row r="2219" spans="1:7" x14ac:dyDescent="0.2">
      <c r="A2219" s="75">
        <v>41939</v>
      </c>
      <c r="B2219" s="76" t="s">
        <v>35</v>
      </c>
      <c r="C2219" s="76" t="s">
        <v>536</v>
      </c>
      <c r="D2219" s="79">
        <v>3301.8351189999998</v>
      </c>
      <c r="E2219" s="79">
        <v>5.7919</v>
      </c>
      <c r="F2219" s="79">
        <v>5.7946</v>
      </c>
      <c r="G2219" s="83">
        <f t="shared" si="33"/>
        <v>5.6534111111111098</v>
      </c>
    </row>
    <row r="2220" spans="1:7" x14ac:dyDescent="0.2">
      <c r="A2220" s="75">
        <v>41940</v>
      </c>
      <c r="B2220" s="76" t="s">
        <v>35</v>
      </c>
      <c r="C2220" s="76" t="s">
        <v>536</v>
      </c>
      <c r="D2220" s="79">
        <v>3324.4636070000001</v>
      </c>
      <c r="E2220" s="79">
        <v>5.7948000000000004</v>
      </c>
      <c r="F2220" s="79">
        <v>5.6593999999999998</v>
      </c>
      <c r="G2220" s="83">
        <f t="shared" si="33"/>
        <v>5.6546285714285709</v>
      </c>
    </row>
    <row r="2221" spans="1:7" x14ac:dyDescent="0.2">
      <c r="A2221" s="75">
        <v>41941</v>
      </c>
      <c r="B2221" s="76" t="s">
        <v>35</v>
      </c>
      <c r="C2221" s="76" t="s">
        <v>536</v>
      </c>
      <c r="D2221" s="79">
        <v>3313.0637649999999</v>
      </c>
      <c r="E2221" s="79">
        <v>5.6596000000000002</v>
      </c>
      <c r="F2221" s="79">
        <v>5.7412999999999998</v>
      </c>
      <c r="G2221" s="83">
        <f t="shared" si="33"/>
        <v>5.6529587301587298</v>
      </c>
    </row>
    <row r="2222" spans="1:7" x14ac:dyDescent="0.2">
      <c r="A2222" s="75">
        <v>41942</v>
      </c>
      <c r="B2222" s="76" t="s">
        <v>35</v>
      </c>
      <c r="C2222" s="76" t="s">
        <v>536</v>
      </c>
      <c r="D2222" s="79">
        <v>3293.4273010000002</v>
      </c>
      <c r="E2222" s="79">
        <v>5.7416</v>
      </c>
      <c r="F2222" s="79">
        <v>5.8765999999999998</v>
      </c>
      <c r="G2222" s="83">
        <f t="shared" si="33"/>
        <v>5.6508809523809518</v>
      </c>
    </row>
    <row r="2223" spans="1:7" x14ac:dyDescent="0.2">
      <c r="A2223" s="75">
        <v>41943</v>
      </c>
      <c r="B2223" s="76" t="s">
        <v>35</v>
      </c>
      <c r="C2223" s="76" t="s">
        <v>536</v>
      </c>
      <c r="D2223" s="79">
        <v>3309.8259039999998</v>
      </c>
      <c r="E2223" s="79">
        <v>5.8766999999999996</v>
      </c>
      <c r="F2223" s="79">
        <v>5.7807000000000004</v>
      </c>
      <c r="G2223" s="83">
        <f t="shared" si="33"/>
        <v>5.6516777777777776</v>
      </c>
    </row>
    <row r="2224" spans="1:7" x14ac:dyDescent="0.2">
      <c r="A2224" s="75">
        <v>41946</v>
      </c>
      <c r="B2224" s="76" t="s">
        <v>35</v>
      </c>
      <c r="C2224" s="76" t="s">
        <v>536</v>
      </c>
      <c r="D2224" s="79">
        <v>3297.1829889999999</v>
      </c>
      <c r="E2224" s="79">
        <v>5.7808000000000002</v>
      </c>
      <c r="F2224" s="79">
        <v>5.8710000000000004</v>
      </c>
      <c r="G2224" s="83">
        <f t="shared" si="33"/>
        <v>5.648249206349206</v>
      </c>
    </row>
    <row r="2225" spans="1:7" x14ac:dyDescent="0.2">
      <c r="A2225" s="75">
        <v>41947</v>
      </c>
      <c r="B2225" s="76" t="s">
        <v>35</v>
      </c>
      <c r="C2225" s="76" t="s">
        <v>536</v>
      </c>
      <c r="D2225" s="79">
        <v>3286.4084969999999</v>
      </c>
      <c r="E2225" s="79">
        <v>5.8712</v>
      </c>
      <c r="F2225" s="79">
        <v>5.9497999999999998</v>
      </c>
      <c r="G2225" s="83">
        <f t="shared" si="33"/>
        <v>5.649173015873016</v>
      </c>
    </row>
    <row r="2226" spans="1:7" x14ac:dyDescent="0.2">
      <c r="A2226" s="75">
        <v>41948</v>
      </c>
      <c r="B2226" s="76" t="s">
        <v>35</v>
      </c>
      <c r="C2226" s="76" t="s">
        <v>536</v>
      </c>
      <c r="D2226" s="79">
        <v>3300.4959229999999</v>
      </c>
      <c r="E2226" s="79">
        <v>5.95</v>
      </c>
      <c r="F2226" s="79">
        <v>5.8685999999999998</v>
      </c>
      <c r="G2226" s="83">
        <f t="shared" si="33"/>
        <v>5.6502698412698411</v>
      </c>
    </row>
    <row r="2227" spans="1:7" x14ac:dyDescent="0.2">
      <c r="A2227" s="75">
        <v>41949</v>
      </c>
      <c r="B2227" s="76" t="s">
        <v>35</v>
      </c>
      <c r="C2227" s="76" t="s">
        <v>536</v>
      </c>
      <c r="D2227" s="79">
        <v>3283.1713759999998</v>
      </c>
      <c r="E2227" s="79">
        <v>5.8686999999999996</v>
      </c>
      <c r="F2227" s="79">
        <v>5.9894999999999996</v>
      </c>
      <c r="G2227" s="83">
        <f t="shared" si="33"/>
        <v>5.6522063492063479</v>
      </c>
    </row>
    <row r="2228" spans="1:7" x14ac:dyDescent="0.2">
      <c r="A2228" s="75">
        <v>41950</v>
      </c>
      <c r="B2228" s="76" t="s">
        <v>35</v>
      </c>
      <c r="C2228" s="76" t="s">
        <v>536</v>
      </c>
      <c r="D2228" s="79">
        <v>3279.2487900000001</v>
      </c>
      <c r="E2228" s="79">
        <v>5.9897</v>
      </c>
      <c r="F2228" s="79">
        <v>6.0149999999999997</v>
      </c>
      <c r="G2228" s="83">
        <f t="shared" si="33"/>
        <v>5.6568761904761891</v>
      </c>
    </row>
    <row r="2229" spans="1:7" x14ac:dyDescent="0.2">
      <c r="A2229" s="75">
        <v>41953</v>
      </c>
      <c r="B2229" s="76" t="s">
        <v>35</v>
      </c>
      <c r="C2229" s="76" t="s">
        <v>536</v>
      </c>
      <c r="D2229" s="79">
        <v>3290.3638510000001</v>
      </c>
      <c r="E2229" s="79">
        <v>6.0152000000000001</v>
      </c>
      <c r="F2229" s="79">
        <v>5.9522000000000004</v>
      </c>
      <c r="G2229" s="83">
        <f t="shared" si="33"/>
        <v>5.6615460317460302</v>
      </c>
    </row>
    <row r="2230" spans="1:7" x14ac:dyDescent="0.2">
      <c r="A2230" s="75">
        <v>41954</v>
      </c>
      <c r="B2230" s="76" t="s">
        <v>35</v>
      </c>
      <c r="C2230" s="76" t="s">
        <v>536</v>
      </c>
      <c r="D2230" s="79">
        <v>3286.4927379999999</v>
      </c>
      <c r="E2230" s="79">
        <v>5.9523000000000001</v>
      </c>
      <c r="F2230" s="79">
        <v>5.9859999999999998</v>
      </c>
      <c r="G2230" s="83">
        <f t="shared" si="33"/>
        <v>5.6636825396825392</v>
      </c>
    </row>
    <row r="2231" spans="1:7" x14ac:dyDescent="0.2">
      <c r="A2231" s="75">
        <v>41955</v>
      </c>
      <c r="B2231" s="76" t="s">
        <v>35</v>
      </c>
      <c r="C2231" s="76" t="s">
        <v>536</v>
      </c>
      <c r="D2231" s="79">
        <v>3282.415442</v>
      </c>
      <c r="E2231" s="79">
        <v>5.9861000000000004</v>
      </c>
      <c r="F2231" s="79">
        <v>6.0212000000000003</v>
      </c>
      <c r="G2231" s="83">
        <f t="shared" si="33"/>
        <v>5.667406349206348</v>
      </c>
    </row>
    <row r="2232" spans="1:7" x14ac:dyDescent="0.2">
      <c r="A2232" s="75">
        <v>41956</v>
      </c>
      <c r="B2232" s="76" t="s">
        <v>35</v>
      </c>
      <c r="C2232" s="76" t="s">
        <v>536</v>
      </c>
      <c r="D2232" s="79">
        <v>3265.715048</v>
      </c>
      <c r="E2232" s="79">
        <v>6.0213999999999999</v>
      </c>
      <c r="F2232" s="79">
        <v>6.1384999999999996</v>
      </c>
      <c r="G2232" s="83">
        <f t="shared" si="33"/>
        <v>5.6736428571428563</v>
      </c>
    </row>
    <row r="2233" spans="1:7" x14ac:dyDescent="0.2">
      <c r="A2233" s="75">
        <v>41957</v>
      </c>
      <c r="B2233" s="76" t="s">
        <v>35</v>
      </c>
      <c r="C2233" s="76" t="s">
        <v>536</v>
      </c>
      <c r="D2233" s="79">
        <v>3277.5598169999998</v>
      </c>
      <c r="E2233" s="79">
        <v>6.1386000000000003</v>
      </c>
      <c r="F2233" s="79">
        <v>6.0705999999999998</v>
      </c>
      <c r="G2233" s="83">
        <f t="shared" si="33"/>
        <v>5.6829301587301577</v>
      </c>
    </row>
    <row r="2234" spans="1:7" x14ac:dyDescent="0.2">
      <c r="A2234" s="75">
        <v>41960</v>
      </c>
      <c r="B2234" s="76" t="s">
        <v>35</v>
      </c>
      <c r="C2234" s="76" t="s">
        <v>536</v>
      </c>
      <c r="D2234" s="79">
        <v>3273.5699399999999</v>
      </c>
      <c r="E2234" s="79">
        <v>6.0707000000000004</v>
      </c>
      <c r="F2234" s="79">
        <v>6.1054000000000004</v>
      </c>
      <c r="G2234" s="83">
        <f t="shared" si="33"/>
        <v>5.6913079365079353</v>
      </c>
    </row>
    <row r="2235" spans="1:7" x14ac:dyDescent="0.2">
      <c r="A2235" s="75">
        <v>41961</v>
      </c>
      <c r="B2235" s="76" t="s">
        <v>35</v>
      </c>
      <c r="C2235" s="76" t="s">
        <v>536</v>
      </c>
      <c r="D2235" s="79">
        <v>3285.5951839999998</v>
      </c>
      <c r="E2235" s="79">
        <v>6.1055999999999999</v>
      </c>
      <c r="F2235" s="79">
        <v>6.0392000000000001</v>
      </c>
      <c r="G2235" s="83">
        <f t="shared" si="33"/>
        <v>5.6994190476190481</v>
      </c>
    </row>
    <row r="2236" spans="1:7" x14ac:dyDescent="0.2">
      <c r="A2236" s="75">
        <v>41962</v>
      </c>
      <c r="B2236" s="76" t="s">
        <v>35</v>
      </c>
      <c r="C2236" s="76" t="s">
        <v>536</v>
      </c>
      <c r="D2236" s="79">
        <v>3304.7145350000001</v>
      </c>
      <c r="E2236" s="79">
        <v>6.0393999999999997</v>
      </c>
      <c r="F2236" s="79">
        <v>5.9276999999999997</v>
      </c>
      <c r="G2236" s="83">
        <f t="shared" si="33"/>
        <v>5.7054619047619033</v>
      </c>
    </row>
    <row r="2237" spans="1:7" x14ac:dyDescent="0.2">
      <c r="A2237" s="75">
        <v>41963</v>
      </c>
      <c r="B2237" s="76" t="s">
        <v>35</v>
      </c>
      <c r="C2237" s="76" t="s">
        <v>536</v>
      </c>
      <c r="D2237" s="79">
        <v>3306.1585399999999</v>
      </c>
      <c r="E2237" s="79">
        <v>5.9278000000000004</v>
      </c>
      <c r="F2237" s="79">
        <v>5.9272999999999998</v>
      </c>
      <c r="G2237" s="83">
        <f t="shared" si="33"/>
        <v>5.7112714285714263</v>
      </c>
    </row>
    <row r="2238" spans="1:7" x14ac:dyDescent="0.2">
      <c r="A2238" s="75">
        <v>41964</v>
      </c>
      <c r="B2238" s="76" t="s">
        <v>35</v>
      </c>
      <c r="C2238" s="76" t="s">
        <v>536</v>
      </c>
      <c r="D2238" s="79">
        <v>3346.483013</v>
      </c>
      <c r="E2238" s="79">
        <v>5.9273999999999996</v>
      </c>
      <c r="F2238" s="79">
        <v>5.6810999999999998</v>
      </c>
      <c r="G2238" s="83">
        <f t="shared" si="33"/>
        <v>5.7176111111111085</v>
      </c>
    </row>
    <row r="2239" spans="1:7" x14ac:dyDescent="0.2">
      <c r="A2239" s="75">
        <v>41967</v>
      </c>
      <c r="B2239" s="76" t="s">
        <v>35</v>
      </c>
      <c r="C2239" s="76" t="s">
        <v>536</v>
      </c>
      <c r="D2239" s="79">
        <v>3351.3799949999998</v>
      </c>
      <c r="E2239" s="79">
        <v>5.6811999999999996</v>
      </c>
      <c r="F2239" s="79">
        <v>5.6604999999999999</v>
      </c>
      <c r="G2239" s="83">
        <f t="shared" si="33"/>
        <v>5.7200999999999986</v>
      </c>
    </row>
    <row r="2240" spans="1:7" x14ac:dyDescent="0.2">
      <c r="A2240" s="75">
        <v>41968</v>
      </c>
      <c r="B2240" s="76" t="s">
        <v>35</v>
      </c>
      <c r="C2240" s="76" t="s">
        <v>536</v>
      </c>
      <c r="D2240" s="79">
        <v>3359.824079</v>
      </c>
      <c r="E2240" s="79">
        <v>5.6605999999999996</v>
      </c>
      <c r="F2240" s="79">
        <v>5.6176000000000004</v>
      </c>
      <c r="G2240" s="83">
        <f t="shared" si="33"/>
        <v>5.7229571428571413</v>
      </c>
    </row>
    <row r="2241" spans="1:7" x14ac:dyDescent="0.2">
      <c r="A2241" s="75">
        <v>41969</v>
      </c>
      <c r="B2241" s="76" t="s">
        <v>35</v>
      </c>
      <c r="C2241" s="76" t="s">
        <v>536</v>
      </c>
      <c r="D2241" s="79">
        <v>3372.4021980000002</v>
      </c>
      <c r="E2241" s="79">
        <v>5.6177000000000001</v>
      </c>
      <c r="F2241" s="79">
        <v>5.5488999999999997</v>
      </c>
      <c r="G2241" s="83">
        <f t="shared" si="33"/>
        <v>5.7256634920634903</v>
      </c>
    </row>
    <row r="2242" spans="1:7" x14ac:dyDescent="0.2">
      <c r="A2242" s="75">
        <v>41970</v>
      </c>
      <c r="B2242" s="76" t="s">
        <v>35</v>
      </c>
      <c r="C2242" s="76" t="s">
        <v>536</v>
      </c>
      <c r="D2242" s="79">
        <v>3372.4998479999999</v>
      </c>
      <c r="E2242" s="79">
        <v>5.5490000000000004</v>
      </c>
      <c r="F2242" s="79">
        <v>5.5585000000000004</v>
      </c>
      <c r="G2242" s="83">
        <f t="shared" si="33"/>
        <v>5.7280190476190462</v>
      </c>
    </row>
    <row r="2243" spans="1:7" x14ac:dyDescent="0.2">
      <c r="A2243" s="75">
        <v>41971</v>
      </c>
      <c r="B2243" s="76" t="s">
        <v>35</v>
      </c>
      <c r="C2243" s="76" t="s">
        <v>536</v>
      </c>
      <c r="D2243" s="79">
        <v>3358.286576</v>
      </c>
      <c r="E2243" s="79">
        <v>5.5586000000000002</v>
      </c>
      <c r="F2243" s="79">
        <v>5.6580000000000004</v>
      </c>
      <c r="G2243" s="83">
        <f t="shared" ref="G2243:G2306" si="34">+AVERAGE(E2181:E2243)</f>
        <v>5.7313238095238077</v>
      </c>
    </row>
    <row r="2244" spans="1:7" x14ac:dyDescent="0.2">
      <c r="A2244" s="75">
        <v>41974</v>
      </c>
      <c r="B2244" s="76" t="s">
        <v>35</v>
      </c>
      <c r="C2244" s="76" t="s">
        <v>536</v>
      </c>
      <c r="D2244" s="79">
        <v>3339.2201319999999</v>
      </c>
      <c r="E2244" s="79">
        <v>5.6581000000000001</v>
      </c>
      <c r="F2244" s="79">
        <v>5.7888000000000002</v>
      </c>
      <c r="G2244" s="83">
        <f t="shared" si="34"/>
        <v>5.7380999999999966</v>
      </c>
    </row>
    <row r="2245" spans="1:7" x14ac:dyDescent="0.2">
      <c r="A2245" s="75">
        <v>41975</v>
      </c>
      <c r="B2245" s="76" t="s">
        <v>35</v>
      </c>
      <c r="C2245" s="76" t="s">
        <v>536</v>
      </c>
      <c r="D2245" s="79">
        <v>3319.5049669999999</v>
      </c>
      <c r="E2245" s="79">
        <v>5.7888999999999999</v>
      </c>
      <c r="F2245" s="79">
        <v>5.9246999999999996</v>
      </c>
      <c r="G2245" s="83">
        <f t="shared" si="34"/>
        <v>5.7466730158730135</v>
      </c>
    </row>
    <row r="2246" spans="1:7" x14ac:dyDescent="0.2">
      <c r="A2246" s="75">
        <v>41976</v>
      </c>
      <c r="B2246" s="76" t="s">
        <v>35</v>
      </c>
      <c r="C2246" s="76" t="s">
        <v>536</v>
      </c>
      <c r="D2246" s="79">
        <v>3326.048245</v>
      </c>
      <c r="E2246" s="79">
        <v>5.9249000000000001</v>
      </c>
      <c r="F2246" s="79">
        <v>5.8936000000000002</v>
      </c>
      <c r="G2246" s="83">
        <f t="shared" si="34"/>
        <v>5.7568682539682516</v>
      </c>
    </row>
    <row r="2247" spans="1:7" x14ac:dyDescent="0.2">
      <c r="A2247" s="75">
        <v>41977</v>
      </c>
      <c r="B2247" s="76" t="s">
        <v>35</v>
      </c>
      <c r="C2247" s="76" t="s">
        <v>536</v>
      </c>
      <c r="D2247" s="79">
        <v>3342.7965079999999</v>
      </c>
      <c r="E2247" s="79">
        <v>5.8937999999999997</v>
      </c>
      <c r="F2247" s="79">
        <v>5.7977999999999996</v>
      </c>
      <c r="G2247" s="83">
        <f t="shared" si="34"/>
        <v>5.7661761904761892</v>
      </c>
    </row>
    <row r="2248" spans="1:7" x14ac:dyDescent="0.2">
      <c r="A2248" s="75">
        <v>41978</v>
      </c>
      <c r="B2248" s="76" t="s">
        <v>35</v>
      </c>
      <c r="C2248" s="76" t="s">
        <v>536</v>
      </c>
      <c r="D2248" s="79">
        <v>3348.2919040000002</v>
      </c>
      <c r="E2248" s="79">
        <v>5.798</v>
      </c>
      <c r="F2248" s="79">
        <v>5.7706</v>
      </c>
      <c r="G2248" s="83">
        <f t="shared" si="34"/>
        <v>5.7718317460317454</v>
      </c>
    </row>
    <row r="2249" spans="1:7" x14ac:dyDescent="0.2">
      <c r="A2249" s="75">
        <v>41981</v>
      </c>
      <c r="B2249" s="76" t="s">
        <v>35</v>
      </c>
      <c r="C2249" s="76" t="s">
        <v>536</v>
      </c>
      <c r="D2249" s="79">
        <v>3340.317035</v>
      </c>
      <c r="E2249" s="79">
        <v>5.7708000000000004</v>
      </c>
      <c r="F2249" s="79">
        <v>5.8314000000000004</v>
      </c>
      <c r="G2249" s="83">
        <f t="shared" si="34"/>
        <v>5.7742317460317434</v>
      </c>
    </row>
    <row r="2250" spans="1:7" x14ac:dyDescent="0.2">
      <c r="A2250" s="75">
        <v>41982</v>
      </c>
      <c r="B2250" s="76" t="s">
        <v>35</v>
      </c>
      <c r="C2250" s="76" t="s">
        <v>536</v>
      </c>
      <c r="D2250" s="79">
        <v>3337.1579019999999</v>
      </c>
      <c r="E2250" s="79">
        <v>5.8315000000000001</v>
      </c>
      <c r="F2250" s="79">
        <v>5.8616999999999999</v>
      </c>
      <c r="G2250" s="83">
        <f t="shared" si="34"/>
        <v>5.7784888888888872</v>
      </c>
    </row>
    <row r="2251" spans="1:7" x14ac:dyDescent="0.2">
      <c r="A2251" s="75">
        <v>41983</v>
      </c>
      <c r="B2251" s="76" t="s">
        <v>35</v>
      </c>
      <c r="C2251" s="76" t="s">
        <v>536</v>
      </c>
      <c r="D2251" s="79">
        <v>3328.6481720000002</v>
      </c>
      <c r="E2251" s="79">
        <v>5.8619000000000003</v>
      </c>
      <c r="F2251" s="79">
        <v>5.9261999999999997</v>
      </c>
      <c r="G2251" s="83">
        <f t="shared" si="34"/>
        <v>5.7841999999999985</v>
      </c>
    </row>
    <row r="2252" spans="1:7" x14ac:dyDescent="0.2">
      <c r="A2252" s="75">
        <v>41984</v>
      </c>
      <c r="B2252" s="76" t="s">
        <v>35</v>
      </c>
      <c r="C2252" s="76" t="s">
        <v>536</v>
      </c>
      <c r="D2252" s="79">
        <v>3313.0158110000002</v>
      </c>
      <c r="E2252" s="79">
        <v>5.9264000000000001</v>
      </c>
      <c r="F2252" s="79">
        <v>6.0365000000000002</v>
      </c>
      <c r="G2252" s="83">
        <f t="shared" si="34"/>
        <v>5.7860349206349184</v>
      </c>
    </row>
    <row r="2253" spans="1:7" x14ac:dyDescent="0.2">
      <c r="A2253" s="75">
        <v>41985</v>
      </c>
      <c r="B2253" s="76" t="s">
        <v>35</v>
      </c>
      <c r="C2253" s="76" t="s">
        <v>536</v>
      </c>
      <c r="D2253" s="79">
        <v>3308.4675259999999</v>
      </c>
      <c r="E2253" s="79">
        <v>6.0366999999999997</v>
      </c>
      <c r="F2253" s="79">
        <v>6.0762</v>
      </c>
      <c r="G2253" s="83">
        <f t="shared" si="34"/>
        <v>5.7901396825396816</v>
      </c>
    </row>
    <row r="2254" spans="1:7" x14ac:dyDescent="0.2">
      <c r="A2254" s="75">
        <v>41988</v>
      </c>
      <c r="B2254" s="76" t="s">
        <v>35</v>
      </c>
      <c r="C2254" s="76" t="s">
        <v>536</v>
      </c>
      <c r="D2254" s="79">
        <v>3290.77342</v>
      </c>
      <c r="E2254" s="79">
        <v>6.0763999999999996</v>
      </c>
      <c r="F2254" s="79">
        <v>6.2007000000000003</v>
      </c>
      <c r="G2254" s="83">
        <f t="shared" si="34"/>
        <v>5.7966285714285695</v>
      </c>
    </row>
    <row r="2255" spans="1:7" x14ac:dyDescent="0.2">
      <c r="A2255" s="75">
        <v>41989</v>
      </c>
      <c r="B2255" s="76" t="s">
        <v>35</v>
      </c>
      <c r="C2255" s="76" t="s">
        <v>536</v>
      </c>
      <c r="D2255" s="79">
        <v>3282.7887879999998</v>
      </c>
      <c r="E2255" s="79">
        <v>6.2008999999999999</v>
      </c>
      <c r="F2255" s="79">
        <v>6.2656000000000001</v>
      </c>
      <c r="G2255" s="83">
        <f t="shared" si="34"/>
        <v>5.8050365079365065</v>
      </c>
    </row>
    <row r="2256" spans="1:7" x14ac:dyDescent="0.2">
      <c r="A2256" s="75">
        <v>41990</v>
      </c>
      <c r="B2256" s="76" t="s">
        <v>35</v>
      </c>
      <c r="C2256" s="76" t="s">
        <v>536</v>
      </c>
      <c r="D2256" s="79">
        <v>3281.4774510000002</v>
      </c>
      <c r="E2256" s="79">
        <v>6.2656999999999998</v>
      </c>
      <c r="F2256" s="79">
        <v>6.2873000000000001</v>
      </c>
      <c r="G2256" s="83">
        <f t="shared" si="34"/>
        <v>5.813119047619046</v>
      </c>
    </row>
    <row r="2257" spans="1:7" x14ac:dyDescent="0.2">
      <c r="A2257" s="75">
        <v>41991</v>
      </c>
      <c r="B2257" s="76" t="s">
        <v>35</v>
      </c>
      <c r="C2257" s="76" t="s">
        <v>536</v>
      </c>
      <c r="D2257" s="79">
        <v>3282.3289789999999</v>
      </c>
      <c r="E2257" s="79">
        <v>6.2874999999999996</v>
      </c>
      <c r="F2257" s="79">
        <v>6.2950999999999997</v>
      </c>
      <c r="G2257" s="83">
        <f t="shared" si="34"/>
        <v>5.8220333333333318</v>
      </c>
    </row>
    <row r="2258" spans="1:7" x14ac:dyDescent="0.2">
      <c r="A2258" s="75">
        <v>41992</v>
      </c>
      <c r="B2258" s="76" t="s">
        <v>35</v>
      </c>
      <c r="C2258" s="76" t="s">
        <v>536</v>
      </c>
      <c r="D2258" s="79">
        <v>3289.9331339999999</v>
      </c>
      <c r="E2258" s="79">
        <v>6.2952000000000004</v>
      </c>
      <c r="F2258" s="79">
        <v>6.2591000000000001</v>
      </c>
      <c r="G2258" s="83">
        <f t="shared" si="34"/>
        <v>5.8286349206349195</v>
      </c>
    </row>
    <row r="2259" spans="1:7" x14ac:dyDescent="0.2">
      <c r="A2259" s="75">
        <v>41995</v>
      </c>
      <c r="B2259" s="76" t="s">
        <v>35</v>
      </c>
      <c r="C2259" s="76" t="s">
        <v>536</v>
      </c>
      <c r="D2259" s="79">
        <v>3304.0585420000002</v>
      </c>
      <c r="E2259" s="79">
        <v>6.2591000000000001</v>
      </c>
      <c r="F2259" s="79">
        <v>6.1810999999999998</v>
      </c>
      <c r="G2259" s="83">
        <f t="shared" si="34"/>
        <v>5.8362190476190472</v>
      </c>
    </row>
    <row r="2260" spans="1:7" x14ac:dyDescent="0.2">
      <c r="A2260" s="75">
        <v>41996</v>
      </c>
      <c r="B2260" s="76" t="s">
        <v>35</v>
      </c>
      <c r="C2260" s="76" t="s">
        <v>536</v>
      </c>
      <c r="D2260" s="79">
        <v>3304.6062099999999</v>
      </c>
      <c r="E2260" s="79">
        <v>6.1811999999999996</v>
      </c>
      <c r="F2260" s="79">
        <v>6.1906999999999996</v>
      </c>
      <c r="G2260" s="83">
        <f t="shared" si="34"/>
        <v>5.8446825396825384</v>
      </c>
    </row>
    <row r="2261" spans="1:7" x14ac:dyDescent="0.2">
      <c r="A2261" s="75">
        <v>41997</v>
      </c>
      <c r="B2261" s="76" t="s">
        <v>35</v>
      </c>
      <c r="C2261" s="76" t="s">
        <v>536</v>
      </c>
      <c r="D2261" s="79">
        <v>3306.6794709999999</v>
      </c>
      <c r="E2261" s="79">
        <v>6.1908000000000003</v>
      </c>
      <c r="F2261" s="79">
        <v>6.1905000000000001</v>
      </c>
      <c r="G2261" s="83">
        <f t="shared" si="34"/>
        <v>5.8527619047619037</v>
      </c>
    </row>
    <row r="2262" spans="1:7" x14ac:dyDescent="0.2">
      <c r="A2262" s="75">
        <v>41999</v>
      </c>
      <c r="B2262" s="76" t="s">
        <v>35</v>
      </c>
      <c r="C2262" s="76" t="s">
        <v>536</v>
      </c>
      <c r="D2262" s="79">
        <v>3307.4777979999999</v>
      </c>
      <c r="E2262" s="79">
        <v>6.1905000000000001</v>
      </c>
      <c r="F2262" s="79">
        <v>6.1984000000000004</v>
      </c>
      <c r="G2262" s="83">
        <f t="shared" si="34"/>
        <v>5.8614968253968245</v>
      </c>
    </row>
    <row r="2263" spans="1:7" x14ac:dyDescent="0.2">
      <c r="A2263" s="75">
        <v>42002</v>
      </c>
      <c r="B2263" s="76" t="s">
        <v>35</v>
      </c>
      <c r="C2263" s="76" t="s">
        <v>536</v>
      </c>
      <c r="D2263" s="79">
        <v>3304.234144</v>
      </c>
      <c r="E2263" s="79">
        <v>6.1985000000000001</v>
      </c>
      <c r="F2263" s="79">
        <v>6.2324000000000002</v>
      </c>
      <c r="G2263" s="83">
        <f t="shared" si="34"/>
        <v>5.8651777777777765</v>
      </c>
    </row>
    <row r="2264" spans="1:7" x14ac:dyDescent="0.2">
      <c r="A2264" s="75">
        <v>42003</v>
      </c>
      <c r="B2264" s="76" t="s">
        <v>35</v>
      </c>
      <c r="C2264" s="76" t="s">
        <v>536</v>
      </c>
      <c r="D2264" s="79">
        <v>3320.8425189999998</v>
      </c>
      <c r="E2264" s="79">
        <v>6.2324000000000002</v>
      </c>
      <c r="F2264" s="79">
        <v>6.1388999999999996</v>
      </c>
      <c r="G2264" s="83">
        <f t="shared" si="34"/>
        <v>5.8712190476190464</v>
      </c>
    </row>
    <row r="2265" spans="1:7" x14ac:dyDescent="0.2">
      <c r="A2265" s="75">
        <v>42004</v>
      </c>
      <c r="B2265" s="76" t="s">
        <v>35</v>
      </c>
      <c r="C2265" s="76" t="s">
        <v>536</v>
      </c>
      <c r="D2265" s="79">
        <v>3321.183908</v>
      </c>
      <c r="E2265" s="79">
        <v>6.1388999999999996</v>
      </c>
      <c r="F2265" s="79">
        <v>6.1497000000000002</v>
      </c>
      <c r="G2265" s="83">
        <f t="shared" si="34"/>
        <v>5.8747507936507928</v>
      </c>
    </row>
    <row r="2266" spans="1:7" x14ac:dyDescent="0.2">
      <c r="A2266" s="75">
        <v>42006</v>
      </c>
      <c r="B2266" s="76" t="s">
        <v>35</v>
      </c>
      <c r="C2266" s="76" t="s">
        <v>536</v>
      </c>
      <c r="D2266" s="79">
        <v>3324.5766520000002</v>
      </c>
      <c r="E2266" s="79">
        <v>6.1496000000000004</v>
      </c>
      <c r="F2266" s="79">
        <v>6.1409000000000002</v>
      </c>
      <c r="G2266" s="83">
        <f t="shared" si="34"/>
        <v>5.8796111111111102</v>
      </c>
    </row>
    <row r="2267" spans="1:7" x14ac:dyDescent="0.2">
      <c r="A2267" s="75">
        <v>42009</v>
      </c>
      <c r="B2267" s="76" t="s">
        <v>35</v>
      </c>
      <c r="C2267" s="76" t="s">
        <v>536</v>
      </c>
      <c r="D2267" s="79">
        <v>3336.978764</v>
      </c>
      <c r="E2267" s="79">
        <v>6.1409000000000002</v>
      </c>
      <c r="F2267" s="79">
        <v>6.0747999999999998</v>
      </c>
      <c r="G2267" s="83">
        <f t="shared" si="34"/>
        <v>5.886504761904761</v>
      </c>
    </row>
    <row r="2268" spans="1:7" x14ac:dyDescent="0.2">
      <c r="A2268" s="75">
        <v>42010</v>
      </c>
      <c r="B2268" s="76" t="s">
        <v>35</v>
      </c>
      <c r="C2268" s="76" t="s">
        <v>536</v>
      </c>
      <c r="D2268" s="79">
        <v>3356.4745109999999</v>
      </c>
      <c r="E2268" s="79">
        <v>6.0747999999999998</v>
      </c>
      <c r="F2268" s="79">
        <v>5.9641000000000002</v>
      </c>
      <c r="G2268" s="83">
        <f t="shared" si="34"/>
        <v>5.8938142857142859</v>
      </c>
    </row>
    <row r="2269" spans="1:7" x14ac:dyDescent="0.2">
      <c r="A2269" s="75">
        <v>42011</v>
      </c>
      <c r="B2269" s="76" t="s">
        <v>35</v>
      </c>
      <c r="C2269" s="76" t="s">
        <v>536</v>
      </c>
      <c r="D2269" s="79">
        <v>3355.3708790000001</v>
      </c>
      <c r="E2269" s="79">
        <v>5.9640000000000004</v>
      </c>
      <c r="F2269" s="79">
        <v>5.9837999999999996</v>
      </c>
      <c r="G2269" s="83">
        <f t="shared" si="34"/>
        <v>5.9010873015873022</v>
      </c>
    </row>
    <row r="2270" spans="1:7" x14ac:dyDescent="0.2">
      <c r="A2270" s="75">
        <v>42012</v>
      </c>
      <c r="B2270" s="76" t="s">
        <v>35</v>
      </c>
      <c r="C2270" s="76" t="s">
        <v>536</v>
      </c>
      <c r="D2270" s="79">
        <v>3359.3974739999999</v>
      </c>
      <c r="E2270" s="79">
        <v>5.9837999999999996</v>
      </c>
      <c r="F2270" s="79">
        <v>5.9711999999999996</v>
      </c>
      <c r="G2270" s="83">
        <f t="shared" si="34"/>
        <v>5.9086507936507928</v>
      </c>
    </row>
    <row r="2271" spans="1:7" x14ac:dyDescent="0.2">
      <c r="A2271" s="75">
        <v>42013</v>
      </c>
      <c r="B2271" s="76" t="s">
        <v>35</v>
      </c>
      <c r="C2271" s="76" t="s">
        <v>536</v>
      </c>
      <c r="D2271" s="79">
        <v>3378.6440859999998</v>
      </c>
      <c r="E2271" s="79">
        <v>5.9711999999999996</v>
      </c>
      <c r="F2271" s="79">
        <v>5.8612000000000002</v>
      </c>
      <c r="G2271" s="83">
        <f t="shared" si="34"/>
        <v>5.9155317460317454</v>
      </c>
    </row>
    <row r="2272" spans="1:7" x14ac:dyDescent="0.2">
      <c r="A2272" s="75">
        <v>42016</v>
      </c>
      <c r="B2272" s="76" t="s">
        <v>35</v>
      </c>
      <c r="C2272" s="76" t="s">
        <v>536</v>
      </c>
      <c r="D2272" s="79">
        <v>3366.4625860000001</v>
      </c>
      <c r="E2272" s="79">
        <v>5.8612000000000002</v>
      </c>
      <c r="F2272" s="79">
        <v>5.9504000000000001</v>
      </c>
      <c r="G2272" s="83">
        <f t="shared" si="34"/>
        <v>5.9197539682539686</v>
      </c>
    </row>
    <row r="2273" spans="1:7" x14ac:dyDescent="0.2">
      <c r="A2273" s="75">
        <v>42017</v>
      </c>
      <c r="B2273" s="76" t="s">
        <v>35</v>
      </c>
      <c r="C2273" s="76" t="s">
        <v>536</v>
      </c>
      <c r="D2273" s="79">
        <v>3384.2819650000001</v>
      </c>
      <c r="E2273" s="79">
        <v>5.9504000000000001</v>
      </c>
      <c r="F2273" s="79">
        <v>5.8512000000000004</v>
      </c>
      <c r="G2273" s="83">
        <f t="shared" si="34"/>
        <v>5.9279936507936508</v>
      </c>
    </row>
    <row r="2274" spans="1:7" x14ac:dyDescent="0.2">
      <c r="A2274" s="75">
        <v>42018</v>
      </c>
      <c r="B2274" s="76" t="s">
        <v>35</v>
      </c>
      <c r="C2274" s="76" t="s">
        <v>536</v>
      </c>
      <c r="D2274" s="79">
        <v>3387.0656090000002</v>
      </c>
      <c r="E2274" s="79">
        <v>5.8513999999999999</v>
      </c>
      <c r="F2274" s="79">
        <v>5.8465999999999996</v>
      </c>
      <c r="G2274" s="83">
        <f t="shared" si="34"/>
        <v>5.9339174603174607</v>
      </c>
    </row>
    <row r="2275" spans="1:7" x14ac:dyDescent="0.2">
      <c r="A2275" s="75">
        <v>42019</v>
      </c>
      <c r="B2275" s="76" t="s">
        <v>35</v>
      </c>
      <c r="C2275" s="76" t="s">
        <v>536</v>
      </c>
      <c r="D2275" s="79">
        <v>3396.1945089999999</v>
      </c>
      <c r="E2275" s="79">
        <v>5.8468</v>
      </c>
      <c r="F2275" s="79">
        <v>5.8023999999999996</v>
      </c>
      <c r="G2275" s="83">
        <f t="shared" si="34"/>
        <v>5.9380349206349212</v>
      </c>
    </row>
    <row r="2276" spans="1:7" x14ac:dyDescent="0.2">
      <c r="A2276" s="75">
        <v>42020</v>
      </c>
      <c r="B2276" s="76" t="s">
        <v>35</v>
      </c>
      <c r="C2276" s="76" t="s">
        <v>536</v>
      </c>
      <c r="D2276" s="79">
        <v>3411.13843</v>
      </c>
      <c r="E2276" s="79">
        <v>5.8026</v>
      </c>
      <c r="F2276" s="79">
        <v>5.7252999999999998</v>
      </c>
      <c r="G2276" s="83">
        <f t="shared" si="34"/>
        <v>5.9407904761904762</v>
      </c>
    </row>
    <row r="2277" spans="1:7" x14ac:dyDescent="0.2">
      <c r="A2277" s="75">
        <v>42023</v>
      </c>
      <c r="B2277" s="76" t="s">
        <v>35</v>
      </c>
      <c r="C2277" s="76" t="s">
        <v>536</v>
      </c>
      <c r="D2277" s="79">
        <v>3407.0445119999999</v>
      </c>
      <c r="E2277" s="79">
        <v>5.7255000000000003</v>
      </c>
      <c r="F2277" s="79">
        <v>5.7664999999999997</v>
      </c>
      <c r="G2277" s="83">
        <f t="shared" si="34"/>
        <v>5.9429095238095231</v>
      </c>
    </row>
    <row r="2278" spans="1:7" x14ac:dyDescent="0.2">
      <c r="A2278" s="75">
        <v>42024</v>
      </c>
      <c r="B2278" s="76" t="s">
        <v>35</v>
      </c>
      <c r="C2278" s="76" t="s">
        <v>536</v>
      </c>
      <c r="D2278" s="79">
        <v>3424.9004479999999</v>
      </c>
      <c r="E2278" s="79">
        <v>5.7667000000000002</v>
      </c>
      <c r="F2278" s="79">
        <v>5.6717000000000004</v>
      </c>
      <c r="G2278" s="83">
        <f t="shared" si="34"/>
        <v>5.9439015873015864</v>
      </c>
    </row>
    <row r="2279" spans="1:7" x14ac:dyDescent="0.2">
      <c r="A2279" s="75">
        <v>42025</v>
      </c>
      <c r="B2279" s="76" t="s">
        <v>35</v>
      </c>
      <c r="C2279" s="76" t="s">
        <v>536</v>
      </c>
      <c r="D2279" s="79">
        <v>3427.1727759999999</v>
      </c>
      <c r="E2279" s="79">
        <v>5.6718000000000002</v>
      </c>
      <c r="F2279" s="79">
        <v>5.6733000000000002</v>
      </c>
      <c r="G2279" s="83">
        <f t="shared" si="34"/>
        <v>5.9399238095238092</v>
      </c>
    </row>
    <row r="2280" spans="1:7" x14ac:dyDescent="0.2">
      <c r="A2280" s="75">
        <v>42026</v>
      </c>
      <c r="B2280" s="76" t="s">
        <v>35</v>
      </c>
      <c r="C2280" s="76" t="s">
        <v>536</v>
      </c>
      <c r="D2280" s="79">
        <v>3411.1680179999998</v>
      </c>
      <c r="E2280" s="79">
        <v>5.6734</v>
      </c>
      <c r="F2280" s="79">
        <v>5.7880000000000003</v>
      </c>
      <c r="G2280" s="83">
        <f t="shared" si="34"/>
        <v>5.9361492063492065</v>
      </c>
    </row>
    <row r="2281" spans="1:7" x14ac:dyDescent="0.2">
      <c r="A2281" s="75">
        <v>42027</v>
      </c>
      <c r="B2281" s="76" t="s">
        <v>35</v>
      </c>
      <c r="C2281" s="76" t="s">
        <v>536</v>
      </c>
      <c r="D2281" s="79">
        <v>3423.7012869999999</v>
      </c>
      <c r="E2281" s="79">
        <v>5.7880000000000003</v>
      </c>
      <c r="F2281" s="79">
        <v>5.726</v>
      </c>
      <c r="G2281" s="83">
        <f t="shared" si="34"/>
        <v>5.9334412698412704</v>
      </c>
    </row>
    <row r="2282" spans="1:7" x14ac:dyDescent="0.2">
      <c r="A2282" s="75">
        <v>42030</v>
      </c>
      <c r="B2282" s="76" t="s">
        <v>35</v>
      </c>
      <c r="C2282" s="76" t="s">
        <v>536</v>
      </c>
      <c r="D2282" s="79">
        <v>3417.6478579999998</v>
      </c>
      <c r="E2282" s="79">
        <v>5.7259000000000002</v>
      </c>
      <c r="F2282" s="79">
        <v>5.7855999999999996</v>
      </c>
      <c r="G2282" s="83">
        <f t="shared" si="34"/>
        <v>5.9323936507936512</v>
      </c>
    </row>
    <row r="2283" spans="1:7" x14ac:dyDescent="0.2">
      <c r="A2283" s="75">
        <v>42031</v>
      </c>
      <c r="B2283" s="76" t="s">
        <v>35</v>
      </c>
      <c r="C2283" s="76" t="s">
        <v>536</v>
      </c>
      <c r="D2283" s="79">
        <v>3416.564867</v>
      </c>
      <c r="E2283" s="79">
        <v>5.7854999999999999</v>
      </c>
      <c r="F2283" s="79">
        <v>5.8087999999999997</v>
      </c>
      <c r="G2283" s="83">
        <f t="shared" si="34"/>
        <v>5.9322460317460326</v>
      </c>
    </row>
    <row r="2284" spans="1:7" x14ac:dyDescent="0.2">
      <c r="A2284" s="75">
        <v>42032</v>
      </c>
      <c r="B2284" s="76" t="s">
        <v>35</v>
      </c>
      <c r="C2284" s="76" t="s">
        <v>536</v>
      </c>
      <c r="D2284" s="79">
        <v>3415.3248020000001</v>
      </c>
      <c r="E2284" s="79">
        <v>5.8087999999999997</v>
      </c>
      <c r="F2284" s="79">
        <v>5.8331</v>
      </c>
      <c r="G2284" s="83">
        <f t="shared" si="34"/>
        <v>5.9346142857142867</v>
      </c>
    </row>
    <row r="2285" spans="1:7" x14ac:dyDescent="0.2">
      <c r="A2285" s="75">
        <v>42033</v>
      </c>
      <c r="B2285" s="76" t="s">
        <v>35</v>
      </c>
      <c r="C2285" s="76" t="s">
        <v>536</v>
      </c>
      <c r="D2285" s="79">
        <v>3432.7770679999999</v>
      </c>
      <c r="E2285" s="79">
        <v>5.8330000000000002</v>
      </c>
      <c r="F2285" s="79">
        <v>5.7416999999999998</v>
      </c>
      <c r="G2285" s="83">
        <f t="shared" si="34"/>
        <v>5.9360650793650809</v>
      </c>
    </row>
    <row r="2286" spans="1:7" x14ac:dyDescent="0.2">
      <c r="A2286" s="75">
        <v>42034</v>
      </c>
      <c r="B2286" s="76" t="s">
        <v>35</v>
      </c>
      <c r="C2286" s="76" t="s">
        <v>536</v>
      </c>
      <c r="D2286" s="79">
        <v>3429.6726939999999</v>
      </c>
      <c r="E2286" s="79">
        <v>5.7416</v>
      </c>
      <c r="F2286" s="79">
        <v>5.7773000000000003</v>
      </c>
      <c r="G2286" s="83">
        <f t="shared" si="34"/>
        <v>5.9339206349206366</v>
      </c>
    </row>
    <row r="2287" spans="1:7" x14ac:dyDescent="0.2">
      <c r="A2287" s="75">
        <v>42037</v>
      </c>
      <c r="B2287" s="76" t="s">
        <v>35</v>
      </c>
      <c r="C2287" s="76" t="s">
        <v>536</v>
      </c>
      <c r="D2287" s="79">
        <v>3420.452475</v>
      </c>
      <c r="E2287" s="79">
        <v>5.7773000000000003</v>
      </c>
      <c r="F2287" s="79">
        <v>5.8509000000000002</v>
      </c>
      <c r="G2287" s="83">
        <f t="shared" si="34"/>
        <v>5.9338650793650816</v>
      </c>
    </row>
    <row r="2288" spans="1:7" x14ac:dyDescent="0.2">
      <c r="A2288" s="75">
        <v>42038</v>
      </c>
      <c r="B2288" s="76" t="s">
        <v>35</v>
      </c>
      <c r="C2288" s="76" t="s">
        <v>536</v>
      </c>
      <c r="D2288" s="79">
        <v>3429.5142489999998</v>
      </c>
      <c r="E2288" s="79">
        <v>5.8509000000000002</v>
      </c>
      <c r="F2288" s="79">
        <v>5.8114999999999997</v>
      </c>
      <c r="G2288" s="83">
        <f t="shared" si="34"/>
        <v>5.933542857142859</v>
      </c>
    </row>
    <row r="2289" spans="1:7" x14ac:dyDescent="0.2">
      <c r="A2289" s="75">
        <v>42039</v>
      </c>
      <c r="B2289" s="76" t="s">
        <v>35</v>
      </c>
      <c r="C2289" s="76" t="s">
        <v>536</v>
      </c>
      <c r="D2289" s="79">
        <v>3423.774508</v>
      </c>
      <c r="E2289" s="79">
        <v>5.8114999999999997</v>
      </c>
      <c r="F2289" s="79">
        <v>5.8635999999999999</v>
      </c>
      <c r="G2289" s="83">
        <f t="shared" si="34"/>
        <v>5.9313444444444476</v>
      </c>
    </row>
    <row r="2290" spans="1:7" x14ac:dyDescent="0.2">
      <c r="A2290" s="75">
        <v>42040</v>
      </c>
      <c r="B2290" s="76" t="s">
        <v>35</v>
      </c>
      <c r="C2290" s="76" t="s">
        <v>536</v>
      </c>
      <c r="D2290" s="79">
        <v>3424.0107819999998</v>
      </c>
      <c r="E2290" s="79">
        <v>5.8636999999999997</v>
      </c>
      <c r="F2290" s="79">
        <v>5.8788999999999998</v>
      </c>
      <c r="G2290" s="83">
        <f t="shared" si="34"/>
        <v>5.9312650793650823</v>
      </c>
    </row>
    <row r="2291" spans="1:7" x14ac:dyDescent="0.2">
      <c r="A2291" s="75">
        <v>42041</v>
      </c>
      <c r="B2291" s="76" t="s">
        <v>35</v>
      </c>
      <c r="C2291" s="76" t="s">
        <v>536</v>
      </c>
      <c r="D2291" s="79">
        <v>3425.072064</v>
      </c>
      <c r="E2291" s="79">
        <v>5.8789999999999996</v>
      </c>
      <c r="F2291" s="79">
        <v>5.8891</v>
      </c>
      <c r="G2291" s="83">
        <f t="shared" si="34"/>
        <v>5.9295079365079397</v>
      </c>
    </row>
    <row r="2292" spans="1:7" x14ac:dyDescent="0.2">
      <c r="A2292" s="75">
        <v>42044</v>
      </c>
      <c r="B2292" s="76" t="s">
        <v>35</v>
      </c>
      <c r="C2292" s="76" t="s">
        <v>536</v>
      </c>
      <c r="D2292" s="79">
        <v>3412.3982380000002</v>
      </c>
      <c r="E2292" s="79">
        <v>5.8891999999999998</v>
      </c>
      <c r="F2292" s="79">
        <v>5.9844999999999997</v>
      </c>
      <c r="G2292" s="83">
        <f t="shared" si="34"/>
        <v>5.9275079365079399</v>
      </c>
    </row>
    <row r="2293" spans="1:7" x14ac:dyDescent="0.2">
      <c r="A2293" s="75">
        <v>42045</v>
      </c>
      <c r="B2293" s="76" t="s">
        <v>35</v>
      </c>
      <c r="C2293" s="76" t="s">
        <v>536</v>
      </c>
      <c r="D2293" s="79">
        <v>3391.5311280000001</v>
      </c>
      <c r="E2293" s="79">
        <v>5.9847000000000001</v>
      </c>
      <c r="F2293" s="79">
        <v>6.1317000000000004</v>
      </c>
      <c r="G2293" s="83">
        <f t="shared" si="34"/>
        <v>5.928022222222225</v>
      </c>
    </row>
    <row r="2294" spans="1:7" x14ac:dyDescent="0.2">
      <c r="A2294" s="75">
        <v>42046</v>
      </c>
      <c r="B2294" s="76" t="s">
        <v>35</v>
      </c>
      <c r="C2294" s="76" t="s">
        <v>536</v>
      </c>
      <c r="D2294" s="79">
        <v>3365.127915</v>
      </c>
      <c r="E2294" s="79">
        <v>6.1317000000000004</v>
      </c>
      <c r="F2294" s="79">
        <v>6.3148</v>
      </c>
      <c r="G2294" s="83">
        <f t="shared" si="34"/>
        <v>5.930333333333337</v>
      </c>
    </row>
    <row r="2295" spans="1:7" x14ac:dyDescent="0.2">
      <c r="A2295" s="75">
        <v>42047</v>
      </c>
      <c r="B2295" s="76" t="s">
        <v>35</v>
      </c>
      <c r="C2295" s="76" t="s">
        <v>536</v>
      </c>
      <c r="D2295" s="79">
        <v>3383.830113</v>
      </c>
      <c r="E2295" s="79">
        <v>6.3147000000000002</v>
      </c>
      <c r="F2295" s="79">
        <v>6.2138999999999998</v>
      </c>
      <c r="G2295" s="83">
        <f t="shared" si="34"/>
        <v>5.934988888888892</v>
      </c>
    </row>
    <row r="2296" spans="1:7" x14ac:dyDescent="0.2">
      <c r="A2296" s="75">
        <v>42048</v>
      </c>
      <c r="B2296" s="76" t="s">
        <v>35</v>
      </c>
      <c r="C2296" s="76" t="s">
        <v>536</v>
      </c>
      <c r="D2296" s="79">
        <v>3390.9041550000002</v>
      </c>
      <c r="E2296" s="79">
        <v>6.2138</v>
      </c>
      <c r="F2296" s="79">
        <v>6.1863999999999999</v>
      </c>
      <c r="G2296" s="83">
        <f t="shared" si="34"/>
        <v>5.9361825396825436</v>
      </c>
    </row>
    <row r="2297" spans="1:7" x14ac:dyDescent="0.2">
      <c r="A2297" s="75">
        <v>42053</v>
      </c>
      <c r="B2297" s="76" t="s">
        <v>35</v>
      </c>
      <c r="C2297" s="76" t="s">
        <v>536</v>
      </c>
      <c r="D2297" s="79">
        <v>3382.0441729999998</v>
      </c>
      <c r="E2297" s="79">
        <v>6.1864999999999997</v>
      </c>
      <c r="F2297" s="79">
        <v>6.2591000000000001</v>
      </c>
      <c r="G2297" s="83">
        <f t="shared" si="34"/>
        <v>5.9380206349206395</v>
      </c>
    </row>
    <row r="2298" spans="1:7" x14ac:dyDescent="0.2">
      <c r="A2298" s="75">
        <v>42054</v>
      </c>
      <c r="B2298" s="76" t="s">
        <v>35</v>
      </c>
      <c r="C2298" s="76" t="s">
        <v>536</v>
      </c>
      <c r="D2298" s="79">
        <v>3384.0375680000002</v>
      </c>
      <c r="E2298" s="79">
        <v>6.2591000000000001</v>
      </c>
      <c r="F2298" s="79">
        <v>6.2637999999999998</v>
      </c>
      <c r="G2298" s="83">
        <f t="shared" si="34"/>
        <v>5.9404571428571478</v>
      </c>
    </row>
    <row r="2299" spans="1:7" x14ac:dyDescent="0.2">
      <c r="A2299" s="75">
        <v>42055</v>
      </c>
      <c r="B2299" s="76" t="s">
        <v>35</v>
      </c>
      <c r="C2299" s="76" t="s">
        <v>536</v>
      </c>
      <c r="D2299" s="79">
        <v>3385.2687489999998</v>
      </c>
      <c r="E2299" s="79">
        <v>6.2637</v>
      </c>
      <c r="F2299" s="79">
        <v>6.2732000000000001</v>
      </c>
      <c r="G2299" s="83">
        <f t="shared" si="34"/>
        <v>5.9440174603174647</v>
      </c>
    </row>
    <row r="2300" spans="1:7" x14ac:dyDescent="0.2">
      <c r="A2300" s="75">
        <v>42058</v>
      </c>
      <c r="B2300" s="76" t="s">
        <v>35</v>
      </c>
      <c r="C2300" s="76" t="s">
        <v>536</v>
      </c>
      <c r="D2300" s="79">
        <v>3386.8042059999998</v>
      </c>
      <c r="E2300" s="79">
        <v>6.2732999999999999</v>
      </c>
      <c r="F2300" s="79">
        <v>6.2808999999999999</v>
      </c>
      <c r="G2300" s="83">
        <f t="shared" si="34"/>
        <v>5.9495015873015911</v>
      </c>
    </row>
    <row r="2301" spans="1:7" x14ac:dyDescent="0.2">
      <c r="A2301" s="75">
        <v>42059</v>
      </c>
      <c r="B2301" s="76" t="s">
        <v>35</v>
      </c>
      <c r="C2301" s="76" t="s">
        <v>536</v>
      </c>
      <c r="D2301" s="79">
        <v>3396.2680839999998</v>
      </c>
      <c r="E2301" s="79">
        <v>6.2808000000000002</v>
      </c>
      <c r="F2301" s="79">
        <v>6.2386999999999997</v>
      </c>
      <c r="G2301" s="83">
        <f t="shared" si="34"/>
        <v>5.9551111111111164</v>
      </c>
    </row>
    <row r="2302" spans="1:7" x14ac:dyDescent="0.2">
      <c r="A2302" s="75">
        <v>42060</v>
      </c>
      <c r="B2302" s="76" t="s">
        <v>35</v>
      </c>
      <c r="C2302" s="76" t="s">
        <v>536</v>
      </c>
      <c r="D2302" s="79">
        <v>3400.4288499999998</v>
      </c>
      <c r="E2302" s="79">
        <v>6.2386999999999997</v>
      </c>
      <c r="F2302" s="79">
        <v>6.2328000000000001</v>
      </c>
      <c r="G2302" s="83">
        <f t="shared" si="34"/>
        <v>5.9639603174603204</v>
      </c>
    </row>
    <row r="2303" spans="1:7" x14ac:dyDescent="0.2">
      <c r="A2303" s="75">
        <v>42061</v>
      </c>
      <c r="B2303" s="76" t="s">
        <v>35</v>
      </c>
      <c r="C2303" s="76" t="s">
        <v>536</v>
      </c>
      <c r="D2303" s="79">
        <v>3408.6741470000002</v>
      </c>
      <c r="E2303" s="79">
        <v>6.2328000000000001</v>
      </c>
      <c r="F2303" s="79">
        <v>6.1990999999999996</v>
      </c>
      <c r="G2303" s="83">
        <f t="shared" si="34"/>
        <v>5.9730428571428593</v>
      </c>
    </row>
    <row r="2304" spans="1:7" x14ac:dyDescent="0.2">
      <c r="A2304" s="75">
        <v>42062</v>
      </c>
      <c r="B2304" s="76" t="s">
        <v>35</v>
      </c>
      <c r="C2304" s="76" t="s">
        <v>536</v>
      </c>
      <c r="D2304" s="79">
        <v>3454.4712490000002</v>
      </c>
      <c r="E2304" s="79">
        <v>6.1989999999999998</v>
      </c>
      <c r="F2304" s="79">
        <v>5.9333999999999998</v>
      </c>
      <c r="G2304" s="83">
        <f t="shared" si="34"/>
        <v>5.9822698412698454</v>
      </c>
    </row>
    <row r="2305" spans="1:7" x14ac:dyDescent="0.2">
      <c r="A2305" s="75">
        <v>42065</v>
      </c>
      <c r="B2305" s="76" t="s">
        <v>35</v>
      </c>
      <c r="C2305" s="76" t="s">
        <v>536</v>
      </c>
      <c r="D2305" s="79">
        <v>3445.608115</v>
      </c>
      <c r="E2305" s="79">
        <v>5.9333999999999998</v>
      </c>
      <c r="F2305" s="79">
        <v>6.0053999999999998</v>
      </c>
      <c r="G2305" s="83">
        <f t="shared" si="34"/>
        <v>5.9883714285714316</v>
      </c>
    </row>
    <row r="2306" spans="1:7" x14ac:dyDescent="0.2">
      <c r="A2306" s="75">
        <v>42066</v>
      </c>
      <c r="B2306" s="76" t="s">
        <v>35</v>
      </c>
      <c r="C2306" s="76" t="s">
        <v>536</v>
      </c>
      <c r="D2306" s="79">
        <v>3446.0098929999999</v>
      </c>
      <c r="E2306" s="79">
        <v>6.0053999999999998</v>
      </c>
      <c r="F2306" s="79">
        <v>6.0205000000000002</v>
      </c>
      <c r="G2306" s="83">
        <f t="shared" si="34"/>
        <v>5.9954634920634939</v>
      </c>
    </row>
    <row r="2307" spans="1:7" x14ac:dyDescent="0.2">
      <c r="A2307" s="75">
        <v>42067</v>
      </c>
      <c r="B2307" s="76" t="s">
        <v>35</v>
      </c>
      <c r="C2307" s="76" t="s">
        <v>536</v>
      </c>
      <c r="D2307" s="79">
        <v>3433.323378</v>
      </c>
      <c r="E2307" s="79">
        <v>6.0205000000000002</v>
      </c>
      <c r="F2307" s="79">
        <v>6.1163999999999996</v>
      </c>
      <c r="G2307" s="83">
        <f t="shared" ref="G2307:G2370" si="35">+AVERAGE(E2245:E2307)</f>
        <v>6.0012158730158758</v>
      </c>
    </row>
    <row r="2308" spans="1:7" x14ac:dyDescent="0.2">
      <c r="A2308" s="75">
        <v>42068</v>
      </c>
      <c r="B2308" s="76" t="s">
        <v>35</v>
      </c>
      <c r="C2308" s="76" t="s">
        <v>536</v>
      </c>
      <c r="D2308" s="79">
        <v>3419.7445389999998</v>
      </c>
      <c r="E2308" s="79">
        <v>6.1163999999999996</v>
      </c>
      <c r="F2308" s="79">
        <v>6.2183000000000002</v>
      </c>
      <c r="G2308" s="83">
        <f t="shared" si="35"/>
        <v>6.0064142857142881</v>
      </c>
    </row>
    <row r="2309" spans="1:7" x14ac:dyDescent="0.2">
      <c r="A2309" s="75">
        <v>42069</v>
      </c>
      <c r="B2309" s="76" t="s">
        <v>35</v>
      </c>
      <c r="C2309" s="76" t="s">
        <v>536</v>
      </c>
      <c r="D2309" s="79">
        <v>3419.4368960000002</v>
      </c>
      <c r="E2309" s="79">
        <v>6.2183999999999999</v>
      </c>
      <c r="F2309" s="79">
        <v>6.2576999999999998</v>
      </c>
      <c r="G2309" s="83">
        <f t="shared" si="35"/>
        <v>6.0110730158730181</v>
      </c>
    </row>
    <row r="2310" spans="1:7" x14ac:dyDescent="0.2">
      <c r="A2310" s="75">
        <v>42072</v>
      </c>
      <c r="B2310" s="76" t="s">
        <v>35</v>
      </c>
      <c r="C2310" s="76" t="s">
        <v>536</v>
      </c>
      <c r="D2310" s="79">
        <v>3387.4446720000001</v>
      </c>
      <c r="E2310" s="79">
        <v>6.2576999999999998</v>
      </c>
      <c r="F2310" s="79">
        <v>6.4772999999999996</v>
      </c>
      <c r="G2310" s="83">
        <f t="shared" si="35"/>
        <v>6.0168492063492076</v>
      </c>
    </row>
    <row r="2311" spans="1:7" x14ac:dyDescent="0.2">
      <c r="A2311" s="75">
        <v>42073</v>
      </c>
      <c r="B2311" s="76" t="s">
        <v>35</v>
      </c>
      <c r="C2311" s="76" t="s">
        <v>536</v>
      </c>
      <c r="D2311" s="79">
        <v>3401.4902820000002</v>
      </c>
      <c r="E2311" s="79">
        <v>6.4772999999999996</v>
      </c>
      <c r="F2311" s="79">
        <v>6.4088000000000003</v>
      </c>
      <c r="G2311" s="83">
        <f t="shared" si="35"/>
        <v>6.0276317460317479</v>
      </c>
    </row>
    <row r="2312" spans="1:7" x14ac:dyDescent="0.2">
      <c r="A2312" s="75">
        <v>42074</v>
      </c>
      <c r="B2312" s="76" t="s">
        <v>35</v>
      </c>
      <c r="C2312" s="76" t="s">
        <v>536</v>
      </c>
      <c r="D2312" s="79">
        <v>3407.6282820000001</v>
      </c>
      <c r="E2312" s="79">
        <v>6.4086999999999996</v>
      </c>
      <c r="F2312" s="79">
        <v>6.3898999999999999</v>
      </c>
      <c r="G2312" s="83">
        <f t="shared" si="35"/>
        <v>6.0377571428571439</v>
      </c>
    </row>
    <row r="2313" spans="1:7" x14ac:dyDescent="0.2">
      <c r="A2313" s="75">
        <v>42075</v>
      </c>
      <c r="B2313" s="76" t="s">
        <v>35</v>
      </c>
      <c r="C2313" s="76" t="s">
        <v>536</v>
      </c>
      <c r="D2313" s="79">
        <v>3404.5070569999998</v>
      </c>
      <c r="E2313" s="79">
        <v>6.3898999999999999</v>
      </c>
      <c r="F2313" s="79">
        <v>6.4290000000000003</v>
      </c>
      <c r="G2313" s="83">
        <f t="shared" si="35"/>
        <v>6.0466206349206368</v>
      </c>
    </row>
    <row r="2314" spans="1:7" x14ac:dyDescent="0.2">
      <c r="A2314" s="75">
        <v>42076</v>
      </c>
      <c r="B2314" s="76" t="s">
        <v>35</v>
      </c>
      <c r="C2314" s="76" t="s">
        <v>536</v>
      </c>
      <c r="D2314" s="79">
        <v>3414.9954149999999</v>
      </c>
      <c r="E2314" s="79">
        <v>6.4290000000000003</v>
      </c>
      <c r="F2314" s="79">
        <v>6.3830999999999998</v>
      </c>
      <c r="G2314" s="83">
        <f t="shared" si="35"/>
        <v>6.0556222222222233</v>
      </c>
    </row>
    <row r="2315" spans="1:7" x14ac:dyDescent="0.2">
      <c r="A2315" s="75">
        <v>42079</v>
      </c>
      <c r="B2315" s="76" t="s">
        <v>35</v>
      </c>
      <c r="C2315" s="76" t="s">
        <v>536</v>
      </c>
      <c r="D2315" s="79">
        <v>3425.3524710000002</v>
      </c>
      <c r="E2315" s="79">
        <v>6.3830999999999998</v>
      </c>
      <c r="F2315" s="79">
        <v>6.3381999999999996</v>
      </c>
      <c r="G2315" s="83">
        <f t="shared" si="35"/>
        <v>6.0628714285714294</v>
      </c>
    </row>
    <row r="2316" spans="1:7" x14ac:dyDescent="0.2">
      <c r="A2316" s="75">
        <v>42080</v>
      </c>
      <c r="B2316" s="76" t="s">
        <v>35</v>
      </c>
      <c r="C2316" s="76" t="s">
        <v>536</v>
      </c>
      <c r="D2316" s="79">
        <v>3451.5841879999998</v>
      </c>
      <c r="E2316" s="79">
        <v>6.3381999999999996</v>
      </c>
      <c r="F2316" s="79">
        <v>6.1951000000000001</v>
      </c>
      <c r="G2316" s="83">
        <f t="shared" si="35"/>
        <v>6.0676571428571426</v>
      </c>
    </row>
    <row r="2317" spans="1:7" x14ac:dyDescent="0.2">
      <c r="A2317" s="75">
        <v>42081</v>
      </c>
      <c r="B2317" s="76" t="s">
        <v>35</v>
      </c>
      <c r="C2317" s="76" t="s">
        <v>536</v>
      </c>
      <c r="D2317" s="79">
        <v>3464.6742810000001</v>
      </c>
      <c r="E2317" s="79">
        <v>6.1950000000000003</v>
      </c>
      <c r="F2317" s="79">
        <v>6.1336000000000004</v>
      </c>
      <c r="G2317" s="83">
        <f t="shared" si="35"/>
        <v>6.0695396825396823</v>
      </c>
    </row>
    <row r="2318" spans="1:7" x14ac:dyDescent="0.2">
      <c r="A2318" s="75">
        <v>42082</v>
      </c>
      <c r="B2318" s="76" t="s">
        <v>35</v>
      </c>
      <c r="C2318" s="76" t="s">
        <v>536</v>
      </c>
      <c r="D2318" s="79">
        <v>3439.8304629999998</v>
      </c>
      <c r="E2318" s="79">
        <v>6.1336000000000004</v>
      </c>
      <c r="F2318" s="79">
        <v>6.3056000000000001</v>
      </c>
      <c r="G2318" s="83">
        <f t="shared" si="35"/>
        <v>6.068471428571427</v>
      </c>
    </row>
    <row r="2319" spans="1:7" x14ac:dyDescent="0.2">
      <c r="A2319" s="75">
        <v>42083</v>
      </c>
      <c r="B2319" s="76" t="s">
        <v>35</v>
      </c>
      <c r="C2319" s="76" t="s">
        <v>536</v>
      </c>
      <c r="D2319" s="79">
        <v>3447.218781</v>
      </c>
      <c r="E2319" s="79">
        <v>6.3056000000000001</v>
      </c>
      <c r="F2319" s="79">
        <v>6.2790999999999997</v>
      </c>
      <c r="G2319" s="83">
        <f t="shared" si="35"/>
        <v>6.0691047619047609</v>
      </c>
    </row>
    <row r="2320" spans="1:7" x14ac:dyDescent="0.2">
      <c r="A2320" s="75">
        <v>42086</v>
      </c>
      <c r="B2320" s="76" t="s">
        <v>35</v>
      </c>
      <c r="C2320" s="76" t="s">
        <v>536</v>
      </c>
      <c r="D2320" s="79">
        <v>3455.7577040000001</v>
      </c>
      <c r="E2320" s="79">
        <v>6.2792000000000003</v>
      </c>
      <c r="F2320" s="79">
        <v>6.2466999999999997</v>
      </c>
      <c r="G2320" s="83">
        <f t="shared" si="35"/>
        <v>6.0689730158730155</v>
      </c>
    </row>
    <row r="2321" spans="1:7" x14ac:dyDescent="0.2">
      <c r="A2321" s="75">
        <v>42087</v>
      </c>
      <c r="B2321" s="76" t="s">
        <v>35</v>
      </c>
      <c r="C2321" s="76" t="s">
        <v>536</v>
      </c>
      <c r="D2321" s="79">
        <v>3453.9539289999998</v>
      </c>
      <c r="E2321" s="79">
        <v>6.2468000000000004</v>
      </c>
      <c r="F2321" s="79">
        <v>6.2771999999999997</v>
      </c>
      <c r="G2321" s="83">
        <f t="shared" si="35"/>
        <v>6.0682047619047621</v>
      </c>
    </row>
    <row r="2322" spans="1:7" x14ac:dyDescent="0.2">
      <c r="A2322" s="75">
        <v>42088</v>
      </c>
      <c r="B2322" s="76" t="s">
        <v>35</v>
      </c>
      <c r="C2322" s="76" t="s">
        <v>536</v>
      </c>
      <c r="D2322" s="79">
        <v>3453.9416259999998</v>
      </c>
      <c r="E2322" s="79">
        <v>6.2774000000000001</v>
      </c>
      <c r="F2322" s="79">
        <v>6.2968000000000002</v>
      </c>
      <c r="G2322" s="83">
        <f t="shared" si="35"/>
        <v>6.0684952380952382</v>
      </c>
    </row>
    <row r="2323" spans="1:7" x14ac:dyDescent="0.2">
      <c r="A2323" s="75">
        <v>42089</v>
      </c>
      <c r="B2323" s="76" t="s">
        <v>35</v>
      </c>
      <c r="C2323" s="76" t="s">
        <v>536</v>
      </c>
      <c r="D2323" s="79">
        <v>3448.9376969999998</v>
      </c>
      <c r="E2323" s="79">
        <v>6.2969999999999997</v>
      </c>
      <c r="F2323" s="79">
        <v>6.3472</v>
      </c>
      <c r="G2323" s="83">
        <f t="shared" si="35"/>
        <v>6.070333333333334</v>
      </c>
    </row>
    <row r="2324" spans="1:7" x14ac:dyDescent="0.2">
      <c r="A2324" s="75">
        <v>42090</v>
      </c>
      <c r="B2324" s="76" t="s">
        <v>35</v>
      </c>
      <c r="C2324" s="76" t="s">
        <v>536</v>
      </c>
      <c r="D2324" s="79">
        <v>3444.4526850000002</v>
      </c>
      <c r="E2324" s="79">
        <v>6.3472999999999997</v>
      </c>
      <c r="F2324" s="79">
        <v>6.3944000000000001</v>
      </c>
      <c r="G2324" s="83">
        <f t="shared" si="35"/>
        <v>6.0728174603174603</v>
      </c>
    </row>
    <row r="2325" spans="1:7" x14ac:dyDescent="0.2">
      <c r="A2325" s="75">
        <v>42093</v>
      </c>
      <c r="B2325" s="76" t="s">
        <v>35</v>
      </c>
      <c r="C2325" s="76" t="s">
        <v>536</v>
      </c>
      <c r="D2325" s="79">
        <v>3449.4926409999998</v>
      </c>
      <c r="E2325" s="79">
        <v>6.3944999999999999</v>
      </c>
      <c r="F2325" s="79">
        <v>6.3827999999999996</v>
      </c>
      <c r="G2325" s="83">
        <f t="shared" si="35"/>
        <v>6.0760555555555555</v>
      </c>
    </row>
    <row r="2326" spans="1:7" x14ac:dyDescent="0.2">
      <c r="A2326" s="75">
        <v>42094</v>
      </c>
      <c r="B2326" s="76" t="s">
        <v>35</v>
      </c>
      <c r="C2326" s="76" t="s">
        <v>536</v>
      </c>
      <c r="D2326" s="79">
        <v>3455.8207640000001</v>
      </c>
      <c r="E2326" s="79">
        <v>6.3829000000000002</v>
      </c>
      <c r="F2326" s="79">
        <v>6.3632999999999997</v>
      </c>
      <c r="G2326" s="83">
        <f t="shared" si="35"/>
        <v>6.0789825396825403</v>
      </c>
    </row>
    <row r="2327" spans="1:7" x14ac:dyDescent="0.2">
      <c r="A2327" s="75">
        <v>42095</v>
      </c>
      <c r="B2327" s="76" t="s">
        <v>35</v>
      </c>
      <c r="C2327" s="76" t="s">
        <v>536</v>
      </c>
      <c r="D2327" s="79">
        <v>3475.8864490000001</v>
      </c>
      <c r="E2327" s="79">
        <v>6.3632999999999997</v>
      </c>
      <c r="F2327" s="79">
        <v>6.2595000000000001</v>
      </c>
      <c r="G2327" s="83">
        <f t="shared" si="35"/>
        <v>6.0810603174603166</v>
      </c>
    </row>
    <row r="2328" spans="1:7" x14ac:dyDescent="0.2">
      <c r="A2328" s="75">
        <v>42096</v>
      </c>
      <c r="B2328" s="76" t="s">
        <v>35</v>
      </c>
      <c r="C2328" s="76" t="s">
        <v>536</v>
      </c>
      <c r="D2328" s="79">
        <v>3474.80933</v>
      </c>
      <c r="E2328" s="79">
        <v>6.2595000000000001</v>
      </c>
      <c r="F2328" s="79">
        <v>6.2854000000000001</v>
      </c>
      <c r="G2328" s="83">
        <f t="shared" si="35"/>
        <v>6.0829746031746028</v>
      </c>
    </row>
    <row r="2329" spans="1:7" x14ac:dyDescent="0.2">
      <c r="A2329" s="75">
        <v>42100</v>
      </c>
      <c r="B2329" s="76" t="s">
        <v>35</v>
      </c>
      <c r="C2329" s="76" t="s">
        <v>536</v>
      </c>
      <c r="D2329" s="79">
        <v>3479.1617940000001</v>
      </c>
      <c r="E2329" s="79">
        <v>6.2854999999999999</v>
      </c>
      <c r="F2329" s="79">
        <v>6.2782</v>
      </c>
      <c r="G2329" s="83">
        <f t="shared" si="35"/>
        <v>6.0851317460317462</v>
      </c>
    </row>
    <row r="2330" spans="1:7" x14ac:dyDescent="0.2">
      <c r="A2330" s="75">
        <v>42101</v>
      </c>
      <c r="B2330" s="76" t="s">
        <v>35</v>
      </c>
      <c r="C2330" s="76" t="s">
        <v>536</v>
      </c>
      <c r="D2330" s="79">
        <v>3480.196269</v>
      </c>
      <c r="E2330" s="79">
        <v>6.2782999999999998</v>
      </c>
      <c r="F2330" s="79">
        <v>6.2912999999999997</v>
      </c>
      <c r="G2330" s="83">
        <f t="shared" si="35"/>
        <v>6.0873126984126991</v>
      </c>
    </row>
    <row r="2331" spans="1:7" x14ac:dyDescent="0.2">
      <c r="A2331" s="75">
        <v>42102</v>
      </c>
      <c r="B2331" s="76" t="s">
        <v>35</v>
      </c>
      <c r="C2331" s="76" t="s">
        <v>536</v>
      </c>
      <c r="D2331" s="79">
        <v>3498.2711439999998</v>
      </c>
      <c r="E2331" s="79">
        <v>6.2911999999999999</v>
      </c>
      <c r="F2331" s="79">
        <v>6.1859999999999999</v>
      </c>
      <c r="G2331" s="83">
        <f t="shared" si="35"/>
        <v>6.0907476190476197</v>
      </c>
    </row>
    <row r="2332" spans="1:7" x14ac:dyDescent="0.2">
      <c r="A2332" s="75">
        <v>42103</v>
      </c>
      <c r="B2332" s="76" t="s">
        <v>35</v>
      </c>
      <c r="C2332" s="76" t="s">
        <v>536</v>
      </c>
      <c r="D2332" s="79">
        <v>3489.420674</v>
      </c>
      <c r="E2332" s="79">
        <v>6.1859999999999999</v>
      </c>
      <c r="F2332" s="79">
        <v>6.2582000000000004</v>
      </c>
      <c r="G2332" s="83">
        <f t="shared" si="35"/>
        <v>6.0942714285714281</v>
      </c>
    </row>
    <row r="2333" spans="1:7" x14ac:dyDescent="0.2">
      <c r="A2333" s="75">
        <v>42104</v>
      </c>
      <c r="B2333" s="76" t="s">
        <v>35</v>
      </c>
      <c r="C2333" s="76" t="s">
        <v>536</v>
      </c>
      <c r="D2333" s="79">
        <v>3500.8941460000001</v>
      </c>
      <c r="E2333" s="79">
        <v>6.2580999999999998</v>
      </c>
      <c r="F2333" s="79">
        <v>6.2066999999999997</v>
      </c>
      <c r="G2333" s="83">
        <f t="shared" si="35"/>
        <v>6.0986253968253976</v>
      </c>
    </row>
    <row r="2334" spans="1:7" x14ac:dyDescent="0.2">
      <c r="A2334" s="75">
        <v>42107</v>
      </c>
      <c r="B2334" s="76" t="s">
        <v>35</v>
      </c>
      <c r="C2334" s="76" t="s">
        <v>536</v>
      </c>
      <c r="D2334" s="79">
        <v>3498.9447930000001</v>
      </c>
      <c r="E2334" s="79">
        <v>6.2066999999999997</v>
      </c>
      <c r="F2334" s="79">
        <v>6.2369000000000003</v>
      </c>
      <c r="G2334" s="83">
        <f t="shared" si="35"/>
        <v>6.1023634920634926</v>
      </c>
    </row>
    <row r="2335" spans="1:7" x14ac:dyDescent="0.2">
      <c r="A2335" s="75">
        <v>42108</v>
      </c>
      <c r="B2335" s="76" t="s">
        <v>35</v>
      </c>
      <c r="C2335" s="76" t="s">
        <v>536</v>
      </c>
      <c r="D2335" s="79">
        <v>3515.3249719999999</v>
      </c>
      <c r="E2335" s="79">
        <v>6.2367999999999997</v>
      </c>
      <c r="F2335" s="79">
        <v>6.1558999999999999</v>
      </c>
      <c r="G2335" s="83">
        <f t="shared" si="35"/>
        <v>6.1083253968253981</v>
      </c>
    </row>
    <row r="2336" spans="1:7" x14ac:dyDescent="0.2">
      <c r="A2336" s="75">
        <v>42109</v>
      </c>
      <c r="B2336" s="76" t="s">
        <v>35</v>
      </c>
      <c r="C2336" s="76" t="s">
        <v>536</v>
      </c>
      <c r="D2336" s="79">
        <v>3529.4036489999999</v>
      </c>
      <c r="E2336" s="79">
        <v>6.1557000000000004</v>
      </c>
      <c r="F2336" s="79">
        <v>6.0891000000000002</v>
      </c>
      <c r="G2336" s="83">
        <f t="shared" si="35"/>
        <v>6.1115841269841296</v>
      </c>
    </row>
    <row r="2337" spans="1:7" x14ac:dyDescent="0.2">
      <c r="A2337" s="75">
        <v>42110</v>
      </c>
      <c r="B2337" s="76" t="s">
        <v>35</v>
      </c>
      <c r="C2337" s="76" t="s">
        <v>536</v>
      </c>
      <c r="D2337" s="79">
        <v>3530.9605710000001</v>
      </c>
      <c r="E2337" s="79">
        <v>6.0890000000000004</v>
      </c>
      <c r="F2337" s="79">
        <v>6.0915999999999997</v>
      </c>
      <c r="G2337" s="83">
        <f t="shared" si="35"/>
        <v>6.1153555555555581</v>
      </c>
    </row>
    <row r="2338" spans="1:7" x14ac:dyDescent="0.2">
      <c r="A2338" s="75">
        <v>42111</v>
      </c>
      <c r="B2338" s="76" t="s">
        <v>35</v>
      </c>
      <c r="C2338" s="76" t="s">
        <v>536</v>
      </c>
      <c r="D2338" s="79">
        <v>3521.1953990000002</v>
      </c>
      <c r="E2338" s="79">
        <v>6.0914999999999999</v>
      </c>
      <c r="F2338" s="79">
        <v>6.1623000000000001</v>
      </c>
      <c r="G2338" s="83">
        <f t="shared" si="35"/>
        <v>6.1192396825396846</v>
      </c>
    </row>
    <row r="2339" spans="1:7" x14ac:dyDescent="0.2">
      <c r="A2339" s="75">
        <v>42114</v>
      </c>
      <c r="B2339" s="76" t="s">
        <v>35</v>
      </c>
      <c r="C2339" s="76" t="s">
        <v>536</v>
      </c>
      <c r="D2339" s="79">
        <v>3478.8012370000001</v>
      </c>
      <c r="E2339" s="79">
        <v>6.1620999999999997</v>
      </c>
      <c r="F2339" s="79">
        <v>6.4344000000000001</v>
      </c>
      <c r="G2339" s="83">
        <f t="shared" si="35"/>
        <v>6.1249460317460347</v>
      </c>
    </row>
    <row r="2340" spans="1:7" x14ac:dyDescent="0.2">
      <c r="A2340" s="75">
        <v>42116</v>
      </c>
      <c r="B2340" s="76" t="s">
        <v>35</v>
      </c>
      <c r="C2340" s="76" t="s">
        <v>536</v>
      </c>
      <c r="D2340" s="79">
        <v>3480.405964</v>
      </c>
      <c r="E2340" s="79">
        <v>6.4340999999999999</v>
      </c>
      <c r="F2340" s="79">
        <v>6.4374000000000002</v>
      </c>
      <c r="G2340" s="83">
        <f t="shared" si="35"/>
        <v>6.1361936507936532</v>
      </c>
    </row>
    <row r="2341" spans="1:7" x14ac:dyDescent="0.2">
      <c r="A2341" s="75">
        <v>42117</v>
      </c>
      <c r="B2341" s="76" t="s">
        <v>35</v>
      </c>
      <c r="C2341" s="76" t="s">
        <v>536</v>
      </c>
      <c r="D2341" s="79">
        <v>3477.9451220000001</v>
      </c>
      <c r="E2341" s="79">
        <v>6.4371</v>
      </c>
      <c r="F2341" s="79">
        <v>6.4653</v>
      </c>
      <c r="G2341" s="83">
        <f t="shared" si="35"/>
        <v>6.1468349206349231</v>
      </c>
    </row>
    <row r="2342" spans="1:7" x14ac:dyDescent="0.2">
      <c r="A2342" s="75">
        <v>42118</v>
      </c>
      <c r="B2342" s="76" t="s">
        <v>35</v>
      </c>
      <c r="C2342" s="76" t="s">
        <v>536</v>
      </c>
      <c r="D2342" s="79">
        <v>3476.0126279999999</v>
      </c>
      <c r="E2342" s="79">
        <v>6.4649000000000001</v>
      </c>
      <c r="F2342" s="79">
        <v>6.4898999999999996</v>
      </c>
      <c r="G2342" s="83">
        <f t="shared" si="35"/>
        <v>6.159423809523811</v>
      </c>
    </row>
    <row r="2343" spans="1:7" x14ac:dyDescent="0.2">
      <c r="A2343" s="75">
        <v>42121</v>
      </c>
      <c r="B2343" s="76" t="s">
        <v>35</v>
      </c>
      <c r="C2343" s="76" t="s">
        <v>536</v>
      </c>
      <c r="D2343" s="79">
        <v>3495.4780150000001</v>
      </c>
      <c r="E2343" s="79">
        <v>6.4894999999999996</v>
      </c>
      <c r="F2343" s="79">
        <v>6.3837000000000002</v>
      </c>
      <c r="G2343" s="83">
        <f t="shared" si="35"/>
        <v>6.1723777777777808</v>
      </c>
    </row>
    <row r="2344" spans="1:7" x14ac:dyDescent="0.2">
      <c r="A2344" s="75">
        <v>42122</v>
      </c>
      <c r="B2344" s="76" t="s">
        <v>35</v>
      </c>
      <c r="C2344" s="76" t="s">
        <v>536</v>
      </c>
      <c r="D2344" s="79">
        <v>3499.0878200000002</v>
      </c>
      <c r="E2344" s="79">
        <v>6.3834</v>
      </c>
      <c r="F2344" s="79">
        <v>6.3745000000000003</v>
      </c>
      <c r="G2344" s="83">
        <f t="shared" si="35"/>
        <v>6.1818285714285741</v>
      </c>
    </row>
    <row r="2345" spans="1:7" x14ac:dyDescent="0.2">
      <c r="A2345" s="75">
        <v>42123</v>
      </c>
      <c r="B2345" s="76" t="s">
        <v>35</v>
      </c>
      <c r="C2345" s="76" t="s">
        <v>536</v>
      </c>
      <c r="D2345" s="79">
        <v>3509.2226919999998</v>
      </c>
      <c r="E2345" s="79">
        <v>6.3742000000000001</v>
      </c>
      <c r="F2345" s="79">
        <v>6.3257000000000003</v>
      </c>
      <c r="G2345" s="83">
        <f t="shared" si="35"/>
        <v>6.1921190476190491</v>
      </c>
    </row>
    <row r="2346" spans="1:7" x14ac:dyDescent="0.2">
      <c r="A2346" s="75">
        <v>42124</v>
      </c>
      <c r="B2346" s="76" t="s">
        <v>35</v>
      </c>
      <c r="C2346" s="76" t="s">
        <v>536</v>
      </c>
      <c r="D2346" s="79">
        <v>3484.1917490000001</v>
      </c>
      <c r="E2346" s="79">
        <v>6.3254000000000001</v>
      </c>
      <c r="F2346" s="79">
        <v>6.4908999999999999</v>
      </c>
      <c r="G2346" s="83">
        <f t="shared" si="35"/>
        <v>6.20068888888889</v>
      </c>
    </row>
    <row r="2347" spans="1:7" x14ac:dyDescent="0.2">
      <c r="A2347" s="75">
        <v>42128</v>
      </c>
      <c r="B2347" s="76" t="s">
        <v>35</v>
      </c>
      <c r="C2347" s="76" t="s">
        <v>536</v>
      </c>
      <c r="D2347" s="79">
        <v>3479.256339</v>
      </c>
      <c r="E2347" s="79">
        <v>6.4905999999999997</v>
      </c>
      <c r="F2347" s="79">
        <v>6.5339999999999998</v>
      </c>
      <c r="G2347" s="83">
        <f t="shared" si="35"/>
        <v>6.2115111111111112</v>
      </c>
    </row>
    <row r="2348" spans="1:7" x14ac:dyDescent="0.2">
      <c r="A2348" s="75">
        <v>42129</v>
      </c>
      <c r="B2348" s="76" t="s">
        <v>35</v>
      </c>
      <c r="C2348" s="76" t="s">
        <v>536</v>
      </c>
      <c r="D2348" s="79">
        <v>3486.05386</v>
      </c>
      <c r="E2348" s="79">
        <v>6.5335999999999999</v>
      </c>
      <c r="F2348" s="79">
        <v>6.5052000000000003</v>
      </c>
      <c r="G2348" s="83">
        <f t="shared" si="35"/>
        <v>6.2226317460317473</v>
      </c>
    </row>
    <row r="2349" spans="1:7" x14ac:dyDescent="0.2">
      <c r="A2349" s="75">
        <v>42130</v>
      </c>
      <c r="B2349" s="76" t="s">
        <v>35</v>
      </c>
      <c r="C2349" s="76" t="s">
        <v>536</v>
      </c>
      <c r="D2349" s="79">
        <v>3491.3711619999999</v>
      </c>
      <c r="E2349" s="79">
        <v>6.5049000000000001</v>
      </c>
      <c r="F2349" s="79">
        <v>6.4855999999999998</v>
      </c>
      <c r="G2349" s="83">
        <f t="shared" si="35"/>
        <v>6.2347476190476199</v>
      </c>
    </row>
    <row r="2350" spans="1:7" x14ac:dyDescent="0.2">
      <c r="A2350" s="75">
        <v>42131</v>
      </c>
      <c r="B2350" s="76" t="s">
        <v>35</v>
      </c>
      <c r="C2350" s="76" t="s">
        <v>536</v>
      </c>
      <c r="D2350" s="79">
        <v>3491.4321949999999</v>
      </c>
      <c r="E2350" s="79">
        <v>6.4852999999999996</v>
      </c>
      <c r="F2350" s="79">
        <v>6.4981</v>
      </c>
      <c r="G2350" s="83">
        <f t="shared" si="35"/>
        <v>6.2459857142857151</v>
      </c>
    </row>
    <row r="2351" spans="1:7" x14ac:dyDescent="0.2">
      <c r="A2351" s="75">
        <v>42132</v>
      </c>
      <c r="B2351" s="76" t="s">
        <v>35</v>
      </c>
      <c r="C2351" s="76" t="s">
        <v>536</v>
      </c>
      <c r="D2351" s="79">
        <v>3509.9697259999998</v>
      </c>
      <c r="E2351" s="79">
        <v>6.4977999999999998</v>
      </c>
      <c r="F2351" s="79">
        <v>6.3933999999999997</v>
      </c>
      <c r="G2351" s="83">
        <f t="shared" si="35"/>
        <v>6.2562539682539686</v>
      </c>
    </row>
    <row r="2352" spans="1:7" x14ac:dyDescent="0.2">
      <c r="A2352" s="75">
        <v>42135</v>
      </c>
      <c r="B2352" s="76" t="s">
        <v>35</v>
      </c>
      <c r="C2352" s="76" t="s">
        <v>536</v>
      </c>
      <c r="D2352" s="79">
        <v>3499.9457499999999</v>
      </c>
      <c r="E2352" s="79">
        <v>6.3930999999999996</v>
      </c>
      <c r="F2352" s="79">
        <v>6.4668000000000001</v>
      </c>
      <c r="G2352" s="83">
        <f t="shared" si="35"/>
        <v>6.265485714285715</v>
      </c>
    </row>
    <row r="2353" spans="1:7" x14ac:dyDescent="0.2">
      <c r="A2353" s="75">
        <v>42136</v>
      </c>
      <c r="B2353" s="76" t="s">
        <v>35</v>
      </c>
      <c r="C2353" s="76" t="s">
        <v>536</v>
      </c>
      <c r="D2353" s="79">
        <v>3493.8659080000002</v>
      </c>
      <c r="E2353" s="79">
        <v>6.4664999999999999</v>
      </c>
      <c r="F2353" s="79">
        <v>6.5164</v>
      </c>
      <c r="G2353" s="83">
        <f t="shared" si="35"/>
        <v>6.2750539682539692</v>
      </c>
    </row>
    <row r="2354" spans="1:7" x14ac:dyDescent="0.2">
      <c r="A2354" s="75">
        <v>42137</v>
      </c>
      <c r="B2354" s="76" t="s">
        <v>35</v>
      </c>
      <c r="C2354" s="76" t="s">
        <v>536</v>
      </c>
      <c r="D2354" s="79">
        <v>3497.0930119999998</v>
      </c>
      <c r="E2354" s="79">
        <v>6.5160999999999998</v>
      </c>
      <c r="F2354" s="79">
        <v>6.5092999999999996</v>
      </c>
      <c r="G2354" s="83">
        <f t="shared" si="35"/>
        <v>6.285166666666667</v>
      </c>
    </row>
    <row r="2355" spans="1:7" x14ac:dyDescent="0.2">
      <c r="A2355" s="75">
        <v>42138</v>
      </c>
      <c r="B2355" s="76" t="s">
        <v>35</v>
      </c>
      <c r="C2355" s="76" t="s">
        <v>536</v>
      </c>
      <c r="D2355" s="79">
        <v>3533.6968099999999</v>
      </c>
      <c r="E2355" s="79">
        <v>6.5090000000000003</v>
      </c>
      <c r="F2355" s="79">
        <v>6.3000999999999996</v>
      </c>
      <c r="G2355" s="83">
        <f t="shared" si="35"/>
        <v>6.295004761904762</v>
      </c>
    </row>
    <row r="2356" spans="1:7" x14ac:dyDescent="0.2">
      <c r="A2356" s="75">
        <v>42139</v>
      </c>
      <c r="B2356" s="76" t="s">
        <v>35</v>
      </c>
      <c r="C2356" s="76" t="s">
        <v>536</v>
      </c>
      <c r="D2356" s="79">
        <v>3548.3108830000001</v>
      </c>
      <c r="E2356" s="79">
        <v>6.2998000000000003</v>
      </c>
      <c r="F2356" s="79">
        <v>6.2247000000000003</v>
      </c>
      <c r="G2356" s="83">
        <f t="shared" si="35"/>
        <v>6.3000063492063498</v>
      </c>
    </row>
    <row r="2357" spans="1:7" x14ac:dyDescent="0.2">
      <c r="A2357" s="75">
        <v>42142</v>
      </c>
      <c r="B2357" s="76" t="s">
        <v>35</v>
      </c>
      <c r="C2357" s="76" t="s">
        <v>536</v>
      </c>
      <c r="D2357" s="79">
        <v>3520.6605209999998</v>
      </c>
      <c r="E2357" s="79">
        <v>6.2244999999999999</v>
      </c>
      <c r="F2357" s="79">
        <v>6.4017999999999997</v>
      </c>
      <c r="G2357" s="83">
        <f t="shared" si="35"/>
        <v>6.3014793650793655</v>
      </c>
    </row>
    <row r="2358" spans="1:7" x14ac:dyDescent="0.2">
      <c r="A2358" s="75">
        <v>42143</v>
      </c>
      <c r="B2358" s="76" t="s">
        <v>35</v>
      </c>
      <c r="C2358" s="76" t="s">
        <v>536</v>
      </c>
      <c r="D2358" s="79">
        <v>3512.832633</v>
      </c>
      <c r="E2358" s="79">
        <v>6.4015000000000004</v>
      </c>
      <c r="F2358" s="79">
        <v>6.4599000000000002</v>
      </c>
      <c r="G2358" s="83">
        <f t="shared" si="35"/>
        <v>6.3028571428571416</v>
      </c>
    </row>
    <row r="2359" spans="1:7" x14ac:dyDescent="0.2">
      <c r="A2359" s="75">
        <v>42144</v>
      </c>
      <c r="B2359" s="76" t="s">
        <v>35</v>
      </c>
      <c r="C2359" s="76" t="s">
        <v>536</v>
      </c>
      <c r="D2359" s="79">
        <v>3530.4788490000001</v>
      </c>
      <c r="E2359" s="79">
        <v>6.4596</v>
      </c>
      <c r="F2359" s="79">
        <v>6.3639000000000001</v>
      </c>
      <c r="G2359" s="83">
        <f t="shared" si="35"/>
        <v>6.3067587301587302</v>
      </c>
    </row>
    <row r="2360" spans="1:7" x14ac:dyDescent="0.2">
      <c r="A2360" s="75">
        <v>42145</v>
      </c>
      <c r="B2360" s="76" t="s">
        <v>35</v>
      </c>
      <c r="C2360" s="76" t="s">
        <v>536</v>
      </c>
      <c r="D2360" s="79">
        <v>3532.8584620000001</v>
      </c>
      <c r="E2360" s="79">
        <v>6.3635999999999999</v>
      </c>
      <c r="F2360" s="79">
        <v>6.3601999999999999</v>
      </c>
      <c r="G2360" s="83">
        <f t="shared" si="35"/>
        <v>6.3095698412698411</v>
      </c>
    </row>
    <row r="2361" spans="1:7" x14ac:dyDescent="0.2">
      <c r="A2361" s="75">
        <v>42146</v>
      </c>
      <c r="B2361" s="76" t="s">
        <v>35</v>
      </c>
      <c r="C2361" s="76" t="s">
        <v>536</v>
      </c>
      <c r="D2361" s="79">
        <v>3544.686866</v>
      </c>
      <c r="E2361" s="79">
        <v>6.36</v>
      </c>
      <c r="F2361" s="79">
        <v>6.2998000000000003</v>
      </c>
      <c r="G2361" s="83">
        <f t="shared" si="35"/>
        <v>6.311171428571428</v>
      </c>
    </row>
    <row r="2362" spans="1:7" x14ac:dyDescent="0.2">
      <c r="A2362" s="75">
        <v>42149</v>
      </c>
      <c r="B2362" s="76" t="s">
        <v>35</v>
      </c>
      <c r="C2362" s="76" t="s">
        <v>536</v>
      </c>
      <c r="D2362" s="79">
        <v>3539.354065</v>
      </c>
      <c r="E2362" s="79">
        <v>6.2995000000000001</v>
      </c>
      <c r="F2362" s="79">
        <v>6.3437000000000001</v>
      </c>
      <c r="G2362" s="83">
        <f t="shared" si="35"/>
        <v>6.3117396825396828</v>
      </c>
    </row>
    <row r="2363" spans="1:7" x14ac:dyDescent="0.2">
      <c r="A2363" s="75">
        <v>42150</v>
      </c>
      <c r="B2363" s="76" t="s">
        <v>35</v>
      </c>
      <c r="C2363" s="76" t="s">
        <v>536</v>
      </c>
      <c r="D2363" s="79">
        <v>3548.5358419999998</v>
      </c>
      <c r="E2363" s="79">
        <v>6.3434999999999997</v>
      </c>
      <c r="F2363" s="79">
        <v>6.2995000000000001</v>
      </c>
      <c r="G2363" s="83">
        <f t="shared" si="35"/>
        <v>6.3128539682539699</v>
      </c>
    </row>
    <row r="2364" spans="1:7" x14ac:dyDescent="0.2">
      <c r="A2364" s="75">
        <v>42151</v>
      </c>
      <c r="B2364" s="76" t="s">
        <v>35</v>
      </c>
      <c r="C2364" s="76" t="s">
        <v>536</v>
      </c>
      <c r="D2364" s="79">
        <v>3545.8020919999999</v>
      </c>
      <c r="E2364" s="79">
        <v>6.2994000000000003</v>
      </c>
      <c r="F2364" s="79">
        <v>6.3269000000000002</v>
      </c>
      <c r="G2364" s="83">
        <f t="shared" si="35"/>
        <v>6.3131492063492072</v>
      </c>
    </row>
    <row r="2365" spans="1:7" x14ac:dyDescent="0.2">
      <c r="A2365" s="75">
        <v>42152</v>
      </c>
      <c r="B2365" s="76" t="s">
        <v>35</v>
      </c>
      <c r="C2365" s="76" t="s">
        <v>536</v>
      </c>
      <c r="D2365" s="79">
        <v>3558.9124839999999</v>
      </c>
      <c r="E2365" s="79">
        <v>6.3266999999999998</v>
      </c>
      <c r="F2365" s="79">
        <v>6.2592999999999996</v>
      </c>
      <c r="G2365" s="83">
        <f t="shared" si="35"/>
        <v>6.3145460317460325</v>
      </c>
    </row>
    <row r="2366" spans="1:7" x14ac:dyDescent="0.2">
      <c r="A2366" s="75">
        <v>42153</v>
      </c>
      <c r="B2366" s="76" t="s">
        <v>35</v>
      </c>
      <c r="C2366" s="76" t="s">
        <v>536</v>
      </c>
      <c r="D2366" s="79">
        <v>3546.5342529999998</v>
      </c>
      <c r="E2366" s="79">
        <v>6.2590000000000003</v>
      </c>
      <c r="F2366" s="79">
        <v>6.3441999999999998</v>
      </c>
      <c r="G2366" s="83">
        <f t="shared" si="35"/>
        <v>6.3149619047619057</v>
      </c>
    </row>
    <row r="2367" spans="1:7" x14ac:dyDescent="0.2">
      <c r="A2367" s="75">
        <v>42156</v>
      </c>
      <c r="B2367" s="76" t="s">
        <v>35</v>
      </c>
      <c r="C2367" s="76" t="s">
        <v>536</v>
      </c>
      <c r="D2367" s="79">
        <v>3550.1915880000001</v>
      </c>
      <c r="E2367" s="79">
        <v>6.3440000000000003</v>
      </c>
      <c r="F2367" s="79">
        <v>6.3331999999999997</v>
      </c>
      <c r="G2367" s="83">
        <f t="shared" si="35"/>
        <v>6.3172634920634936</v>
      </c>
    </row>
    <row r="2368" spans="1:7" x14ac:dyDescent="0.2">
      <c r="A2368" s="75">
        <v>42157</v>
      </c>
      <c r="B2368" s="76" t="s">
        <v>35</v>
      </c>
      <c r="C2368" s="76" t="s">
        <v>536</v>
      </c>
      <c r="D2368" s="79">
        <v>3538.4945109999999</v>
      </c>
      <c r="E2368" s="79">
        <v>6.3329000000000004</v>
      </c>
      <c r="F2368" s="79">
        <v>6.4142999999999999</v>
      </c>
      <c r="G2368" s="83">
        <f t="shared" si="35"/>
        <v>6.3236047619047628</v>
      </c>
    </row>
    <row r="2369" spans="1:7" x14ac:dyDescent="0.2">
      <c r="A2369" s="75">
        <v>42158</v>
      </c>
      <c r="B2369" s="76" t="s">
        <v>35</v>
      </c>
      <c r="C2369" s="76" t="s">
        <v>536</v>
      </c>
      <c r="D2369" s="79">
        <v>3534.5109280000001</v>
      </c>
      <c r="E2369" s="79">
        <v>6.4139999999999997</v>
      </c>
      <c r="F2369" s="79">
        <v>6.4492000000000003</v>
      </c>
      <c r="G2369" s="83">
        <f t="shared" si="35"/>
        <v>6.3300904761904775</v>
      </c>
    </row>
    <row r="2370" spans="1:7" x14ac:dyDescent="0.2">
      <c r="A2370" s="75">
        <v>42160</v>
      </c>
      <c r="B2370" s="76" t="s">
        <v>35</v>
      </c>
      <c r="C2370" s="76" t="s">
        <v>536</v>
      </c>
      <c r="D2370" s="79">
        <v>3534.2345660000001</v>
      </c>
      <c r="E2370" s="79">
        <v>6.4489000000000001</v>
      </c>
      <c r="F2370" s="79">
        <v>6.4618000000000002</v>
      </c>
      <c r="G2370" s="83">
        <f t="shared" si="35"/>
        <v>6.3368904761904776</v>
      </c>
    </row>
    <row r="2371" spans="1:7" x14ac:dyDescent="0.2">
      <c r="A2371" s="75">
        <v>42163</v>
      </c>
      <c r="B2371" s="76" t="s">
        <v>35</v>
      </c>
      <c r="C2371" s="76" t="s">
        <v>536</v>
      </c>
      <c r="D2371" s="79">
        <v>3551.5064269999998</v>
      </c>
      <c r="E2371" s="79">
        <v>6.4615</v>
      </c>
      <c r="F2371" s="79">
        <v>6.3689</v>
      </c>
      <c r="G2371" s="83">
        <f t="shared" ref="G2371:G2434" si="36">+AVERAGE(E2309:E2371)</f>
        <v>6.3423682539682549</v>
      </c>
    </row>
    <row r="2372" spans="1:7" x14ac:dyDescent="0.2">
      <c r="A2372" s="75">
        <v>42164</v>
      </c>
      <c r="B2372" s="76" t="s">
        <v>35</v>
      </c>
      <c r="C2372" s="76" t="s">
        <v>536</v>
      </c>
      <c r="D2372" s="79">
        <v>3556.0068529999999</v>
      </c>
      <c r="E2372" s="79">
        <v>6.3685999999999998</v>
      </c>
      <c r="F2372" s="79">
        <v>6.3528000000000002</v>
      </c>
      <c r="G2372" s="83">
        <f t="shared" si="36"/>
        <v>6.3447523809523823</v>
      </c>
    </row>
    <row r="2373" spans="1:7" x14ac:dyDescent="0.2">
      <c r="A2373" s="75">
        <v>42165</v>
      </c>
      <c r="B2373" s="76" t="s">
        <v>35</v>
      </c>
      <c r="C2373" s="76" t="s">
        <v>536</v>
      </c>
      <c r="D2373" s="79">
        <v>3542.7610439999999</v>
      </c>
      <c r="E2373" s="79">
        <v>6.3525</v>
      </c>
      <c r="F2373" s="79">
        <v>6.4755000000000003</v>
      </c>
      <c r="G2373" s="83">
        <f t="shared" si="36"/>
        <v>6.3462571428571444</v>
      </c>
    </row>
    <row r="2374" spans="1:7" x14ac:dyDescent="0.2">
      <c r="A2374" s="75">
        <v>42166</v>
      </c>
      <c r="B2374" s="76" t="s">
        <v>35</v>
      </c>
      <c r="C2374" s="76" t="s">
        <v>536</v>
      </c>
      <c r="D2374" s="79">
        <v>3541.3256729999998</v>
      </c>
      <c r="E2374" s="79">
        <v>6.4751000000000003</v>
      </c>
      <c r="F2374" s="79">
        <v>6.4969000000000001</v>
      </c>
      <c r="G2374" s="83">
        <f t="shared" si="36"/>
        <v>6.3462222222222229</v>
      </c>
    </row>
    <row r="2375" spans="1:7" x14ac:dyDescent="0.2">
      <c r="A2375" s="75">
        <v>42167</v>
      </c>
      <c r="B2375" s="76" t="s">
        <v>35</v>
      </c>
      <c r="C2375" s="76" t="s">
        <v>536</v>
      </c>
      <c r="D2375" s="79">
        <v>3548.0745320000001</v>
      </c>
      <c r="E2375" s="79">
        <v>6.4965999999999999</v>
      </c>
      <c r="F2375" s="79">
        <v>6.4691999999999998</v>
      </c>
      <c r="G2375" s="83">
        <f t="shared" si="36"/>
        <v>6.347617460317462</v>
      </c>
    </row>
    <row r="2376" spans="1:7" x14ac:dyDescent="0.2">
      <c r="A2376" s="75">
        <v>42170</v>
      </c>
      <c r="B2376" s="76" t="s">
        <v>35</v>
      </c>
      <c r="C2376" s="76" t="s">
        <v>536</v>
      </c>
      <c r="D2376" s="79">
        <v>3537.0839310000001</v>
      </c>
      <c r="E2376" s="79">
        <v>6.4687999999999999</v>
      </c>
      <c r="F2376" s="79">
        <v>6.5480999999999998</v>
      </c>
      <c r="G2376" s="83">
        <f t="shared" si="36"/>
        <v>6.3488698412698428</v>
      </c>
    </row>
    <row r="2377" spans="1:7" x14ac:dyDescent="0.2">
      <c r="A2377" s="75">
        <v>42171</v>
      </c>
      <c r="B2377" s="76" t="s">
        <v>35</v>
      </c>
      <c r="C2377" s="76" t="s">
        <v>536</v>
      </c>
      <c r="D2377" s="79">
        <v>3544.0333609999998</v>
      </c>
      <c r="E2377" s="79">
        <v>6.5477999999999996</v>
      </c>
      <c r="F2377" s="79">
        <v>6.5174000000000003</v>
      </c>
      <c r="G2377" s="83">
        <f t="shared" si="36"/>
        <v>6.3507555555555566</v>
      </c>
    </row>
    <row r="2378" spans="1:7" x14ac:dyDescent="0.2">
      <c r="A2378" s="75">
        <v>42172</v>
      </c>
      <c r="B2378" s="76" t="s">
        <v>35</v>
      </c>
      <c r="C2378" s="76" t="s">
        <v>536</v>
      </c>
      <c r="D2378" s="79">
        <v>3555.5956249999999</v>
      </c>
      <c r="E2378" s="79">
        <v>6.5170000000000003</v>
      </c>
      <c r="F2378" s="79">
        <v>6.4589999999999996</v>
      </c>
      <c r="G2378" s="83">
        <f t="shared" si="36"/>
        <v>6.3528809523809526</v>
      </c>
    </row>
    <row r="2379" spans="1:7" x14ac:dyDescent="0.2">
      <c r="A2379" s="75">
        <v>42173</v>
      </c>
      <c r="B2379" s="76" t="s">
        <v>35</v>
      </c>
      <c r="C2379" s="76" t="s">
        <v>536</v>
      </c>
      <c r="D2379" s="79">
        <v>3562.92506</v>
      </c>
      <c r="E2379" s="79">
        <v>6.4585999999999997</v>
      </c>
      <c r="F2379" s="79">
        <v>6.4260999999999999</v>
      </c>
      <c r="G2379" s="83">
        <f t="shared" si="36"/>
        <v>6.3547920634920647</v>
      </c>
    </row>
    <row r="2380" spans="1:7" x14ac:dyDescent="0.2">
      <c r="A2380" s="75">
        <v>42174</v>
      </c>
      <c r="B2380" s="76" t="s">
        <v>35</v>
      </c>
      <c r="C2380" s="76" t="s">
        <v>536</v>
      </c>
      <c r="D2380" s="79">
        <v>3568.4065390000001</v>
      </c>
      <c r="E2380" s="79">
        <v>6.4257</v>
      </c>
      <c r="F2380" s="79">
        <v>6.4043000000000001</v>
      </c>
      <c r="G2380" s="83">
        <f t="shared" si="36"/>
        <v>6.3584539682539702</v>
      </c>
    </row>
    <row r="2381" spans="1:7" x14ac:dyDescent="0.2">
      <c r="A2381" s="75">
        <v>42177</v>
      </c>
      <c r="B2381" s="76" t="s">
        <v>35</v>
      </c>
      <c r="C2381" s="76" t="s">
        <v>536</v>
      </c>
      <c r="D2381" s="79">
        <v>3581.080743</v>
      </c>
      <c r="E2381" s="79">
        <v>6.4039000000000001</v>
      </c>
      <c r="F2381" s="79">
        <v>6.3479000000000001</v>
      </c>
      <c r="G2381" s="83">
        <f t="shared" si="36"/>
        <v>6.362744444444445</v>
      </c>
    </row>
    <row r="2382" spans="1:7" x14ac:dyDescent="0.2">
      <c r="A2382" s="75">
        <v>42178</v>
      </c>
      <c r="B2382" s="76" t="s">
        <v>35</v>
      </c>
      <c r="C2382" s="76" t="s">
        <v>536</v>
      </c>
      <c r="D2382" s="79">
        <v>3584.263175</v>
      </c>
      <c r="E2382" s="79">
        <v>6.3475999999999999</v>
      </c>
      <c r="F2382" s="79">
        <v>6.3415999999999997</v>
      </c>
      <c r="G2382" s="83">
        <f t="shared" si="36"/>
        <v>6.3634111111111125</v>
      </c>
    </row>
    <row r="2383" spans="1:7" x14ac:dyDescent="0.2">
      <c r="A2383" s="75">
        <v>42179</v>
      </c>
      <c r="B2383" s="76" t="s">
        <v>35</v>
      </c>
      <c r="C2383" s="76" t="s">
        <v>536</v>
      </c>
      <c r="D2383" s="79">
        <v>3581.7223819999999</v>
      </c>
      <c r="E2383" s="79">
        <v>6.3413000000000004</v>
      </c>
      <c r="F2383" s="79">
        <v>6.3693</v>
      </c>
      <c r="G2383" s="83">
        <f t="shared" si="36"/>
        <v>6.3643968253968257</v>
      </c>
    </row>
    <row r="2384" spans="1:7" x14ac:dyDescent="0.2">
      <c r="A2384" s="75">
        <v>42180</v>
      </c>
      <c r="B2384" s="76" t="s">
        <v>35</v>
      </c>
      <c r="C2384" s="76" t="s">
        <v>536</v>
      </c>
      <c r="D2384" s="79">
        <v>3566.0075189999998</v>
      </c>
      <c r="E2384" s="79">
        <v>6.3689999999999998</v>
      </c>
      <c r="F2384" s="79">
        <v>6.4756</v>
      </c>
      <c r="G2384" s="83">
        <f t="shared" si="36"/>
        <v>6.3663365079365084</v>
      </c>
    </row>
    <row r="2385" spans="1:7" x14ac:dyDescent="0.2">
      <c r="A2385" s="75">
        <v>42181</v>
      </c>
      <c r="B2385" s="76" t="s">
        <v>35</v>
      </c>
      <c r="C2385" s="76" t="s">
        <v>536</v>
      </c>
      <c r="D2385" s="79">
        <v>3568.1541339999999</v>
      </c>
      <c r="E2385" s="79">
        <v>6.4752999999999998</v>
      </c>
      <c r="F2385" s="79">
        <v>6.4755000000000003</v>
      </c>
      <c r="G2385" s="83">
        <f t="shared" si="36"/>
        <v>6.3694777777777771</v>
      </c>
    </row>
    <row r="2386" spans="1:7" x14ac:dyDescent="0.2">
      <c r="A2386" s="75">
        <v>42184</v>
      </c>
      <c r="B2386" s="76" t="s">
        <v>35</v>
      </c>
      <c r="C2386" s="76" t="s">
        <v>536</v>
      </c>
      <c r="D2386" s="79">
        <v>3555.4295229999998</v>
      </c>
      <c r="E2386" s="79">
        <v>6.4751000000000003</v>
      </c>
      <c r="F2386" s="79">
        <v>6.5643000000000002</v>
      </c>
      <c r="G2386" s="83">
        <f t="shared" si="36"/>
        <v>6.372304761904763</v>
      </c>
    </row>
    <row r="2387" spans="1:7" x14ac:dyDescent="0.2">
      <c r="A2387" s="75">
        <v>42185</v>
      </c>
      <c r="B2387" s="76" t="s">
        <v>35</v>
      </c>
      <c r="C2387" s="76" t="s">
        <v>536</v>
      </c>
      <c r="D2387" s="79">
        <v>3550.5846620000002</v>
      </c>
      <c r="E2387" s="79">
        <v>6.5640000000000001</v>
      </c>
      <c r="F2387" s="79">
        <v>6.6062000000000003</v>
      </c>
      <c r="G2387" s="83">
        <f t="shared" si="36"/>
        <v>6.3757444444444449</v>
      </c>
    </row>
    <row r="2388" spans="1:7" x14ac:dyDescent="0.2">
      <c r="A2388" s="75">
        <v>42186</v>
      </c>
      <c r="B2388" s="76" t="s">
        <v>35</v>
      </c>
      <c r="C2388" s="76" t="s">
        <v>536</v>
      </c>
      <c r="D2388" s="79">
        <v>3542.0030969999998</v>
      </c>
      <c r="E2388" s="79">
        <v>6.6058000000000003</v>
      </c>
      <c r="F2388" s="79">
        <v>6.6706000000000003</v>
      </c>
      <c r="G2388" s="83">
        <f t="shared" si="36"/>
        <v>6.3790984126984114</v>
      </c>
    </row>
    <row r="2389" spans="1:7" x14ac:dyDescent="0.2">
      <c r="A2389" s="75">
        <v>42187</v>
      </c>
      <c r="B2389" s="76" t="s">
        <v>35</v>
      </c>
      <c r="C2389" s="76" t="s">
        <v>536</v>
      </c>
      <c r="D2389" s="79">
        <v>3564.9166340000002</v>
      </c>
      <c r="E2389" s="79">
        <v>6.6702000000000004</v>
      </c>
      <c r="F2389" s="79">
        <v>6.5457999999999998</v>
      </c>
      <c r="G2389" s="83">
        <f t="shared" si="36"/>
        <v>6.3836587301587304</v>
      </c>
    </row>
    <row r="2390" spans="1:7" x14ac:dyDescent="0.2">
      <c r="A2390" s="75">
        <v>42188</v>
      </c>
      <c r="B2390" s="76" t="s">
        <v>35</v>
      </c>
      <c r="C2390" s="76" t="s">
        <v>536</v>
      </c>
      <c r="D2390" s="79">
        <v>3579.744005</v>
      </c>
      <c r="E2390" s="79">
        <v>6.5454999999999997</v>
      </c>
      <c r="F2390" s="79">
        <v>6.4701000000000004</v>
      </c>
      <c r="G2390" s="83">
        <f t="shared" si="36"/>
        <v>6.3865507936507937</v>
      </c>
    </row>
    <row r="2391" spans="1:7" x14ac:dyDescent="0.2">
      <c r="A2391" s="75">
        <v>42191</v>
      </c>
      <c r="B2391" s="76" t="s">
        <v>35</v>
      </c>
      <c r="C2391" s="76" t="s">
        <v>536</v>
      </c>
      <c r="D2391" s="79">
        <v>3578.337039</v>
      </c>
      <c r="E2391" s="79">
        <v>6.4699</v>
      </c>
      <c r="F2391" s="79">
        <v>6.4912999999999998</v>
      </c>
      <c r="G2391" s="83">
        <f t="shared" si="36"/>
        <v>6.3898904761904767</v>
      </c>
    </row>
    <row r="2392" spans="1:7" x14ac:dyDescent="0.2">
      <c r="A2392" s="75">
        <v>42192</v>
      </c>
      <c r="B2392" s="76" t="s">
        <v>35</v>
      </c>
      <c r="C2392" s="76" t="s">
        <v>536</v>
      </c>
      <c r="D2392" s="79">
        <v>3585.03206</v>
      </c>
      <c r="E2392" s="79">
        <v>6.4911000000000003</v>
      </c>
      <c r="F2392" s="79">
        <v>6.4642999999999997</v>
      </c>
      <c r="G2392" s="83">
        <f t="shared" si="36"/>
        <v>6.3931539682539693</v>
      </c>
    </row>
    <row r="2393" spans="1:7" x14ac:dyDescent="0.2">
      <c r="A2393" s="75">
        <v>42193</v>
      </c>
      <c r="B2393" s="76" t="s">
        <v>35</v>
      </c>
      <c r="C2393" s="76" t="s">
        <v>536</v>
      </c>
      <c r="D2393" s="79">
        <v>3582.9974099999999</v>
      </c>
      <c r="E2393" s="79">
        <v>6.4641000000000002</v>
      </c>
      <c r="F2393" s="79">
        <v>6.4875999999999996</v>
      </c>
      <c r="G2393" s="83">
        <f t="shared" si="36"/>
        <v>6.3961031746031747</v>
      </c>
    </row>
    <row r="2394" spans="1:7" x14ac:dyDescent="0.2">
      <c r="A2394" s="75">
        <v>42194</v>
      </c>
      <c r="B2394" s="76" t="s">
        <v>35</v>
      </c>
      <c r="C2394" s="76" t="s">
        <v>536</v>
      </c>
      <c r="D2394" s="79">
        <v>3585.173542</v>
      </c>
      <c r="E2394" s="79">
        <v>6.4874999999999998</v>
      </c>
      <c r="F2394" s="79">
        <v>6.4874999999999998</v>
      </c>
      <c r="G2394" s="83">
        <f t="shared" si="36"/>
        <v>6.3992190476190478</v>
      </c>
    </row>
    <row r="2395" spans="1:7" x14ac:dyDescent="0.2">
      <c r="A2395" s="75">
        <v>42195</v>
      </c>
      <c r="B2395" s="76" t="s">
        <v>35</v>
      </c>
      <c r="C2395" s="76" t="s">
        <v>536</v>
      </c>
      <c r="D2395" s="79">
        <v>3590.4494260000001</v>
      </c>
      <c r="E2395" s="79">
        <v>6.4874000000000001</v>
      </c>
      <c r="F2395" s="79">
        <v>6.4690000000000003</v>
      </c>
      <c r="G2395" s="83">
        <f t="shared" si="36"/>
        <v>6.404003174603174</v>
      </c>
    </row>
    <row r="2396" spans="1:7" x14ac:dyDescent="0.2">
      <c r="A2396" s="75">
        <v>42198</v>
      </c>
      <c r="B2396" s="76" t="s">
        <v>35</v>
      </c>
      <c r="C2396" s="76" t="s">
        <v>536</v>
      </c>
      <c r="D2396" s="79">
        <v>3586.6656889999999</v>
      </c>
      <c r="E2396" s="79">
        <v>6.4688999999999997</v>
      </c>
      <c r="F2396" s="79">
        <v>6.5042999999999997</v>
      </c>
      <c r="G2396" s="83">
        <f t="shared" si="36"/>
        <v>6.4073492063492052</v>
      </c>
    </row>
    <row r="2397" spans="1:7" x14ac:dyDescent="0.2">
      <c r="A2397" s="75">
        <v>42199</v>
      </c>
      <c r="B2397" s="76" t="s">
        <v>35</v>
      </c>
      <c r="C2397" s="76" t="s">
        <v>536</v>
      </c>
      <c r="D2397" s="79">
        <v>3587.684878</v>
      </c>
      <c r="E2397" s="79">
        <v>6.5041000000000002</v>
      </c>
      <c r="F2397" s="79">
        <v>6.5110000000000001</v>
      </c>
      <c r="G2397" s="83">
        <f t="shared" si="36"/>
        <v>6.4120698412698394</v>
      </c>
    </row>
    <row r="2398" spans="1:7" x14ac:dyDescent="0.2">
      <c r="A2398" s="75">
        <v>42200</v>
      </c>
      <c r="B2398" s="76" t="s">
        <v>35</v>
      </c>
      <c r="C2398" s="76" t="s">
        <v>536</v>
      </c>
      <c r="D2398" s="79">
        <v>3594.40004</v>
      </c>
      <c r="E2398" s="79">
        <v>6.5109000000000004</v>
      </c>
      <c r="F2398" s="79">
        <v>6.484</v>
      </c>
      <c r="G2398" s="83">
        <f t="shared" si="36"/>
        <v>6.4164206349206347</v>
      </c>
    </row>
    <row r="2399" spans="1:7" x14ac:dyDescent="0.2">
      <c r="A2399" s="75">
        <v>42201</v>
      </c>
      <c r="B2399" s="76" t="s">
        <v>35</v>
      </c>
      <c r="C2399" s="76" t="s">
        <v>536</v>
      </c>
      <c r="D2399" s="79">
        <v>3604.6058600000001</v>
      </c>
      <c r="E2399" s="79">
        <v>6.4839000000000002</v>
      </c>
      <c r="F2399" s="79">
        <v>6.4336000000000002</v>
      </c>
      <c r="G2399" s="83">
        <f t="shared" si="36"/>
        <v>6.4216301587301583</v>
      </c>
    </row>
    <row r="2400" spans="1:7" x14ac:dyDescent="0.2">
      <c r="A2400" s="75">
        <v>42202</v>
      </c>
      <c r="B2400" s="76" t="s">
        <v>35</v>
      </c>
      <c r="C2400" s="76" t="s">
        <v>536</v>
      </c>
      <c r="D2400" s="79">
        <v>3603.028691</v>
      </c>
      <c r="E2400" s="79">
        <v>6.4335000000000004</v>
      </c>
      <c r="F2400" s="79">
        <v>6.4528999999999996</v>
      </c>
      <c r="G2400" s="83">
        <f t="shared" si="36"/>
        <v>6.4270984126984123</v>
      </c>
    </row>
    <row r="2401" spans="1:7" x14ac:dyDescent="0.2">
      <c r="A2401" s="75">
        <v>42205</v>
      </c>
      <c r="B2401" s="76" t="s">
        <v>35</v>
      </c>
      <c r="C2401" s="76" t="s">
        <v>536</v>
      </c>
      <c r="D2401" s="79">
        <v>3623.590166</v>
      </c>
      <c r="E2401" s="79">
        <v>6.4527999999999999</v>
      </c>
      <c r="F2401" s="79">
        <v>6.3417000000000003</v>
      </c>
      <c r="G2401" s="83">
        <f t="shared" si="36"/>
        <v>6.4328333333333338</v>
      </c>
    </row>
    <row r="2402" spans="1:7" x14ac:dyDescent="0.2">
      <c r="A2402" s="75">
        <v>42206</v>
      </c>
      <c r="B2402" s="76" t="s">
        <v>35</v>
      </c>
      <c r="C2402" s="76" t="s">
        <v>536</v>
      </c>
      <c r="D2402" s="79">
        <v>3638.9995140000001</v>
      </c>
      <c r="E2402" s="79">
        <v>6.3417000000000003</v>
      </c>
      <c r="F2402" s="79">
        <v>6.2614000000000001</v>
      </c>
      <c r="G2402" s="83">
        <f t="shared" si="36"/>
        <v>6.4356841269841274</v>
      </c>
    </row>
    <row r="2403" spans="1:7" x14ac:dyDescent="0.2">
      <c r="A2403" s="75">
        <v>42207</v>
      </c>
      <c r="B2403" s="76" t="s">
        <v>35</v>
      </c>
      <c r="C2403" s="76" t="s">
        <v>536</v>
      </c>
      <c r="D2403" s="79">
        <v>3619.7841389999999</v>
      </c>
      <c r="E2403" s="79">
        <v>6.2614000000000001</v>
      </c>
      <c r="F2403" s="79">
        <v>6.3840000000000003</v>
      </c>
      <c r="G2403" s="83">
        <f t="shared" si="36"/>
        <v>6.432942857142856</v>
      </c>
    </row>
    <row r="2404" spans="1:7" x14ac:dyDescent="0.2">
      <c r="A2404" s="75">
        <v>42208</v>
      </c>
      <c r="B2404" s="76" t="s">
        <v>35</v>
      </c>
      <c r="C2404" s="76" t="s">
        <v>536</v>
      </c>
      <c r="D2404" s="79">
        <v>3564.50398</v>
      </c>
      <c r="E2404" s="79">
        <v>6.3840000000000003</v>
      </c>
      <c r="F2404" s="79">
        <v>6.7267000000000001</v>
      </c>
      <c r="G2404" s="83">
        <f t="shared" si="36"/>
        <v>6.4320999999999993</v>
      </c>
    </row>
    <row r="2405" spans="1:7" x14ac:dyDescent="0.2">
      <c r="A2405" s="75">
        <v>42209</v>
      </c>
      <c r="B2405" s="76" t="s">
        <v>35</v>
      </c>
      <c r="C2405" s="76" t="s">
        <v>536</v>
      </c>
      <c r="D2405" s="79">
        <v>3552.2290520000001</v>
      </c>
      <c r="E2405" s="79">
        <v>6.7267999999999999</v>
      </c>
      <c r="F2405" s="79">
        <v>6.8116000000000003</v>
      </c>
      <c r="G2405" s="83">
        <f t="shared" si="36"/>
        <v>6.4362571428571416</v>
      </c>
    </row>
    <row r="2406" spans="1:7" x14ac:dyDescent="0.2">
      <c r="A2406" s="75">
        <v>42212</v>
      </c>
      <c r="B2406" s="76" t="s">
        <v>35</v>
      </c>
      <c r="C2406" s="76" t="s">
        <v>536</v>
      </c>
      <c r="D2406" s="79">
        <v>3550.8424230000001</v>
      </c>
      <c r="E2406" s="79">
        <v>6.8116000000000003</v>
      </c>
      <c r="F2406" s="79">
        <v>6.8311000000000002</v>
      </c>
      <c r="G2406" s="83">
        <f t="shared" si="36"/>
        <v>6.4413698412698395</v>
      </c>
    </row>
    <row r="2407" spans="1:7" x14ac:dyDescent="0.2">
      <c r="A2407" s="75">
        <v>42213</v>
      </c>
      <c r="B2407" s="76" t="s">
        <v>35</v>
      </c>
      <c r="C2407" s="76" t="s">
        <v>536</v>
      </c>
      <c r="D2407" s="79">
        <v>3549.8744320000001</v>
      </c>
      <c r="E2407" s="79">
        <v>6.8311000000000002</v>
      </c>
      <c r="F2407" s="79">
        <v>6.8480999999999996</v>
      </c>
      <c r="G2407" s="83">
        <f t="shared" si="36"/>
        <v>6.4484761904761898</v>
      </c>
    </row>
    <row r="2408" spans="1:7" x14ac:dyDescent="0.2">
      <c r="A2408" s="75">
        <v>42214</v>
      </c>
      <c r="B2408" s="76" t="s">
        <v>35</v>
      </c>
      <c r="C2408" s="76" t="s">
        <v>536</v>
      </c>
      <c r="D2408" s="79">
        <v>3552.6780399999998</v>
      </c>
      <c r="E2408" s="79">
        <v>6.8479999999999999</v>
      </c>
      <c r="F2408" s="79">
        <v>6.8422999999999998</v>
      </c>
      <c r="G2408" s="83">
        <f t="shared" si="36"/>
        <v>6.4559968253968245</v>
      </c>
    </row>
    <row r="2409" spans="1:7" x14ac:dyDescent="0.2">
      <c r="A2409" s="75">
        <v>42215</v>
      </c>
      <c r="B2409" s="76" t="s">
        <v>35</v>
      </c>
      <c r="C2409" s="76" t="s">
        <v>536</v>
      </c>
      <c r="D2409" s="79">
        <v>3589.747852</v>
      </c>
      <c r="E2409" s="79">
        <v>6.8422999999999998</v>
      </c>
      <c r="F2409" s="79">
        <v>6.6317000000000004</v>
      </c>
      <c r="G2409" s="83">
        <f t="shared" si="36"/>
        <v>6.4642015873015879</v>
      </c>
    </row>
    <row r="2410" spans="1:7" x14ac:dyDescent="0.2">
      <c r="A2410" s="75">
        <v>42216</v>
      </c>
      <c r="B2410" s="76" t="s">
        <v>35</v>
      </c>
      <c r="C2410" s="76" t="s">
        <v>536</v>
      </c>
      <c r="D2410" s="79">
        <v>3603.923088</v>
      </c>
      <c r="E2410" s="79">
        <v>6.6318000000000001</v>
      </c>
      <c r="F2410" s="79">
        <v>6.5587</v>
      </c>
      <c r="G2410" s="83">
        <f t="shared" si="36"/>
        <v>6.4664428571428569</v>
      </c>
    </row>
    <row r="2411" spans="1:7" x14ac:dyDescent="0.2">
      <c r="A2411" s="75">
        <v>42219</v>
      </c>
      <c r="B2411" s="76" t="s">
        <v>35</v>
      </c>
      <c r="C2411" s="76" t="s">
        <v>536</v>
      </c>
      <c r="D2411" s="79">
        <v>3581.9595629999999</v>
      </c>
      <c r="E2411" s="79">
        <v>6.5589000000000004</v>
      </c>
      <c r="F2411" s="79">
        <v>6.7003000000000004</v>
      </c>
      <c r="G2411" s="83">
        <f t="shared" si="36"/>
        <v>6.4668444444444448</v>
      </c>
    </row>
    <row r="2412" spans="1:7" x14ac:dyDescent="0.2">
      <c r="A2412" s="75">
        <v>42220</v>
      </c>
      <c r="B2412" s="76" t="s">
        <v>35</v>
      </c>
      <c r="C2412" s="76" t="s">
        <v>536</v>
      </c>
      <c r="D2412" s="79">
        <v>3583.8303219999998</v>
      </c>
      <c r="E2412" s="79">
        <v>6.7004999999999999</v>
      </c>
      <c r="F2412" s="79">
        <v>6.7004000000000001</v>
      </c>
      <c r="G2412" s="83">
        <f t="shared" si="36"/>
        <v>6.4699492063492059</v>
      </c>
    </row>
    <row r="2413" spans="1:7" x14ac:dyDescent="0.2">
      <c r="A2413" s="75">
        <v>42221</v>
      </c>
      <c r="B2413" s="76" t="s">
        <v>35</v>
      </c>
      <c r="C2413" s="76" t="s">
        <v>536</v>
      </c>
      <c r="D2413" s="79">
        <v>3567.3908860000001</v>
      </c>
      <c r="E2413" s="79">
        <v>6.7005999999999997</v>
      </c>
      <c r="F2413" s="79">
        <v>6.8098999999999998</v>
      </c>
      <c r="G2413" s="83">
        <f t="shared" si="36"/>
        <v>6.4733666666666654</v>
      </c>
    </row>
    <row r="2414" spans="1:7" x14ac:dyDescent="0.2">
      <c r="A2414" s="75">
        <v>42222</v>
      </c>
      <c r="B2414" s="76" t="s">
        <v>35</v>
      </c>
      <c r="C2414" s="76" t="s">
        <v>536</v>
      </c>
      <c r="D2414" s="79">
        <v>3521.720397</v>
      </c>
      <c r="E2414" s="79">
        <v>6.8101000000000003</v>
      </c>
      <c r="F2414" s="79">
        <v>7.0971000000000002</v>
      </c>
      <c r="G2414" s="83">
        <f t="shared" si="36"/>
        <v>6.4783238095238085</v>
      </c>
    </row>
    <row r="2415" spans="1:7" x14ac:dyDescent="0.2">
      <c r="A2415" s="75">
        <v>42223</v>
      </c>
      <c r="B2415" s="76" t="s">
        <v>35</v>
      </c>
      <c r="C2415" s="76" t="s">
        <v>536</v>
      </c>
      <c r="D2415" s="79">
        <v>3501.49433</v>
      </c>
      <c r="E2415" s="79">
        <v>7.0972</v>
      </c>
      <c r="F2415" s="79">
        <v>7.2352999999999996</v>
      </c>
      <c r="G2415" s="83">
        <f t="shared" si="36"/>
        <v>6.4894999999999987</v>
      </c>
    </row>
    <row r="2416" spans="1:7" x14ac:dyDescent="0.2">
      <c r="A2416" s="75">
        <v>42226</v>
      </c>
      <c r="B2416" s="76" t="s">
        <v>35</v>
      </c>
      <c r="C2416" s="76" t="s">
        <v>536</v>
      </c>
      <c r="D2416" s="79">
        <v>3513.7729140000001</v>
      </c>
      <c r="E2416" s="79">
        <v>7.2352999999999996</v>
      </c>
      <c r="F2416" s="79">
        <v>7.1718999999999999</v>
      </c>
      <c r="G2416" s="83">
        <f t="shared" si="36"/>
        <v>6.5017031746031728</v>
      </c>
    </row>
    <row r="2417" spans="1:7" x14ac:dyDescent="0.2">
      <c r="A2417" s="75">
        <v>42227</v>
      </c>
      <c r="B2417" s="76" t="s">
        <v>35</v>
      </c>
      <c r="C2417" s="76" t="s">
        <v>536</v>
      </c>
      <c r="D2417" s="79">
        <v>3518.2903590000001</v>
      </c>
      <c r="E2417" s="79">
        <v>7.1719999999999997</v>
      </c>
      <c r="F2417" s="79">
        <v>7.1561000000000003</v>
      </c>
      <c r="G2417" s="83">
        <f t="shared" si="36"/>
        <v>6.5121142857142846</v>
      </c>
    </row>
    <row r="2418" spans="1:7" x14ac:dyDescent="0.2">
      <c r="A2418" s="75">
        <v>42228</v>
      </c>
      <c r="B2418" s="76" t="s">
        <v>35</v>
      </c>
      <c r="C2418" s="76" t="s">
        <v>536</v>
      </c>
      <c r="D2418" s="79">
        <v>3533.195784</v>
      </c>
      <c r="E2418" s="79">
        <v>7.1562000000000001</v>
      </c>
      <c r="F2418" s="79">
        <v>7.0772000000000004</v>
      </c>
      <c r="G2418" s="83">
        <f t="shared" si="36"/>
        <v>6.5223873015873011</v>
      </c>
    </row>
    <row r="2419" spans="1:7" x14ac:dyDescent="0.2">
      <c r="A2419" s="75">
        <v>42229</v>
      </c>
      <c r="B2419" s="76" t="s">
        <v>35</v>
      </c>
      <c r="C2419" s="76" t="s">
        <v>536</v>
      </c>
      <c r="D2419" s="79">
        <v>3529.1724359999998</v>
      </c>
      <c r="E2419" s="79">
        <v>7.0772000000000004</v>
      </c>
      <c r="F2419" s="79">
        <v>7.1132</v>
      </c>
      <c r="G2419" s="83">
        <f t="shared" si="36"/>
        <v>6.5347269841269835</v>
      </c>
    </row>
    <row r="2420" spans="1:7" x14ac:dyDescent="0.2">
      <c r="A2420" s="75">
        <v>42230</v>
      </c>
      <c r="B2420" s="76" t="s">
        <v>35</v>
      </c>
      <c r="C2420" s="76" t="s">
        <v>536</v>
      </c>
      <c r="D2420" s="79">
        <v>3532.7145260000002</v>
      </c>
      <c r="E2420" s="79">
        <v>7.1132999999999997</v>
      </c>
      <c r="F2420" s="79">
        <v>7.1033999999999997</v>
      </c>
      <c r="G2420" s="83">
        <f t="shared" si="36"/>
        <v>6.5488349206349206</v>
      </c>
    </row>
    <row r="2421" spans="1:7" x14ac:dyDescent="0.2">
      <c r="A2421" s="75">
        <v>42233</v>
      </c>
      <c r="B2421" s="76" t="s">
        <v>35</v>
      </c>
      <c r="C2421" s="76" t="s">
        <v>536</v>
      </c>
      <c r="D2421" s="79">
        <v>3535.186925</v>
      </c>
      <c r="E2421" s="79">
        <v>7.1035000000000004</v>
      </c>
      <c r="F2421" s="79">
        <v>7.1001000000000003</v>
      </c>
      <c r="G2421" s="83">
        <f t="shared" si="36"/>
        <v>6.5599777777777772</v>
      </c>
    </row>
    <row r="2422" spans="1:7" x14ac:dyDescent="0.2">
      <c r="A2422" s="75">
        <v>42234</v>
      </c>
      <c r="B2422" s="76" t="s">
        <v>35</v>
      </c>
      <c r="C2422" s="76" t="s">
        <v>536</v>
      </c>
      <c r="D2422" s="79">
        <v>3556.3428319999998</v>
      </c>
      <c r="E2422" s="79">
        <v>7.1</v>
      </c>
      <c r="F2422" s="79">
        <v>6.9810999999999996</v>
      </c>
      <c r="G2422" s="83">
        <f t="shared" si="36"/>
        <v>6.5701428571428568</v>
      </c>
    </row>
    <row r="2423" spans="1:7" x14ac:dyDescent="0.2">
      <c r="A2423" s="75">
        <v>42235</v>
      </c>
      <c r="B2423" s="76" t="s">
        <v>35</v>
      </c>
      <c r="C2423" s="76" t="s">
        <v>536</v>
      </c>
      <c r="D2423" s="79">
        <v>3558.7575900000002</v>
      </c>
      <c r="E2423" s="79">
        <v>6.9809999999999999</v>
      </c>
      <c r="F2423" s="79">
        <v>6.9752999999999998</v>
      </c>
      <c r="G2423" s="83">
        <f t="shared" si="36"/>
        <v>6.5799428571428571</v>
      </c>
    </row>
    <row r="2424" spans="1:7" x14ac:dyDescent="0.2">
      <c r="A2424" s="75">
        <v>42236</v>
      </c>
      <c r="B2424" s="76" t="s">
        <v>35</v>
      </c>
      <c r="C2424" s="76" t="s">
        <v>536</v>
      </c>
      <c r="D2424" s="79">
        <v>3562.837004</v>
      </c>
      <c r="E2424" s="79">
        <v>6.9752999999999998</v>
      </c>
      <c r="F2424" s="79">
        <v>6.9596</v>
      </c>
      <c r="G2424" s="83">
        <f t="shared" si="36"/>
        <v>6.5897095238095238</v>
      </c>
    </row>
    <row r="2425" spans="1:7" x14ac:dyDescent="0.2">
      <c r="A2425" s="75">
        <v>42237</v>
      </c>
      <c r="B2425" s="76" t="s">
        <v>35</v>
      </c>
      <c r="C2425" s="76" t="s">
        <v>536</v>
      </c>
      <c r="D2425" s="79">
        <v>3543.9300210000001</v>
      </c>
      <c r="E2425" s="79">
        <v>6.9596999999999998</v>
      </c>
      <c r="F2425" s="79">
        <v>7.0824999999999996</v>
      </c>
      <c r="G2425" s="83">
        <f t="shared" si="36"/>
        <v>6.6001888888888889</v>
      </c>
    </row>
    <row r="2426" spans="1:7" x14ac:dyDescent="0.2">
      <c r="A2426" s="75">
        <v>42240</v>
      </c>
      <c r="B2426" s="76" t="s">
        <v>35</v>
      </c>
      <c r="C2426" s="76" t="s">
        <v>536</v>
      </c>
      <c r="D2426" s="79">
        <v>3525.7688419999999</v>
      </c>
      <c r="E2426" s="79">
        <v>7.0826000000000002</v>
      </c>
      <c r="F2426" s="79">
        <v>7.1985000000000001</v>
      </c>
      <c r="G2426" s="83">
        <f t="shared" si="36"/>
        <v>6.6119206349206356</v>
      </c>
    </row>
    <row r="2427" spans="1:7" x14ac:dyDescent="0.2">
      <c r="A2427" s="75">
        <v>42241</v>
      </c>
      <c r="B2427" s="76" t="s">
        <v>35</v>
      </c>
      <c r="C2427" s="76" t="s">
        <v>536</v>
      </c>
      <c r="D2427" s="79">
        <v>3533.2681269999998</v>
      </c>
      <c r="E2427" s="79">
        <v>7.1985999999999999</v>
      </c>
      <c r="F2427" s="79">
        <v>7.1614000000000004</v>
      </c>
      <c r="G2427" s="83">
        <f t="shared" si="36"/>
        <v>6.6261936507936507</v>
      </c>
    </row>
    <row r="2428" spans="1:7" x14ac:dyDescent="0.2">
      <c r="A2428" s="75">
        <v>42242</v>
      </c>
      <c r="B2428" s="76" t="s">
        <v>35</v>
      </c>
      <c r="C2428" s="76" t="s">
        <v>536</v>
      </c>
      <c r="D2428" s="79">
        <v>3550.2911239999999</v>
      </c>
      <c r="E2428" s="79">
        <v>7.1615000000000002</v>
      </c>
      <c r="F2428" s="79">
        <v>7.0667999999999997</v>
      </c>
      <c r="G2428" s="83">
        <f t="shared" si="36"/>
        <v>6.6394444444444449</v>
      </c>
    </row>
    <row r="2429" spans="1:7" x14ac:dyDescent="0.2">
      <c r="A2429" s="75">
        <v>42243</v>
      </c>
      <c r="B2429" s="76" t="s">
        <v>35</v>
      </c>
      <c r="C2429" s="76" t="s">
        <v>536</v>
      </c>
      <c r="D2429" s="79">
        <v>3540.3304429999998</v>
      </c>
      <c r="E2429" s="79">
        <v>7.0669000000000004</v>
      </c>
      <c r="F2429" s="79">
        <v>7.1353999999999997</v>
      </c>
      <c r="G2429" s="83">
        <f t="shared" si="36"/>
        <v>6.6522682539682538</v>
      </c>
    </row>
    <row r="2430" spans="1:7" x14ac:dyDescent="0.2">
      <c r="A2430" s="75">
        <v>42244</v>
      </c>
      <c r="B2430" s="76" t="s">
        <v>35</v>
      </c>
      <c r="C2430" s="76" t="s">
        <v>536</v>
      </c>
      <c r="D2430" s="79">
        <v>3546.4992040000002</v>
      </c>
      <c r="E2430" s="79">
        <v>7.1353999999999997</v>
      </c>
      <c r="F2430" s="79">
        <v>7.1063999999999998</v>
      </c>
      <c r="G2430" s="83">
        <f t="shared" si="36"/>
        <v>6.664830158730159</v>
      </c>
    </row>
    <row r="2431" spans="1:7" x14ac:dyDescent="0.2">
      <c r="A2431" s="75">
        <v>42247</v>
      </c>
      <c r="B2431" s="76" t="s">
        <v>35</v>
      </c>
      <c r="C2431" s="76" t="s">
        <v>536</v>
      </c>
      <c r="D2431" s="79">
        <v>3526.0592059999999</v>
      </c>
      <c r="E2431" s="79">
        <v>7.1063000000000001</v>
      </c>
      <c r="F2431" s="79">
        <v>7.2385999999999999</v>
      </c>
      <c r="G2431" s="83">
        <f t="shared" si="36"/>
        <v>6.6771063492063485</v>
      </c>
    </row>
    <row r="2432" spans="1:7" x14ac:dyDescent="0.2">
      <c r="A2432" s="75">
        <v>42248</v>
      </c>
      <c r="B2432" s="76" t="s">
        <v>35</v>
      </c>
      <c r="C2432" s="76" t="s">
        <v>536</v>
      </c>
      <c r="D2432" s="79">
        <v>3514.9792710000002</v>
      </c>
      <c r="E2432" s="79">
        <v>7.2385000000000002</v>
      </c>
      <c r="F2432" s="79">
        <v>7.3144999999999998</v>
      </c>
      <c r="G2432" s="83">
        <f t="shared" si="36"/>
        <v>6.6901936507936508</v>
      </c>
    </row>
    <row r="2433" spans="1:7" x14ac:dyDescent="0.2">
      <c r="A2433" s="75">
        <v>42249</v>
      </c>
      <c r="B2433" s="76" t="s">
        <v>35</v>
      </c>
      <c r="C2433" s="76" t="s">
        <v>536</v>
      </c>
      <c r="D2433" s="79">
        <v>3484.570142</v>
      </c>
      <c r="E2433" s="79">
        <v>7.3144999999999998</v>
      </c>
      <c r="F2433" s="79">
        <v>7.5098000000000003</v>
      </c>
      <c r="G2433" s="83">
        <f t="shared" si="36"/>
        <v>6.7039333333333326</v>
      </c>
    </row>
    <row r="2434" spans="1:7" x14ac:dyDescent="0.2">
      <c r="A2434" s="75">
        <v>42250</v>
      </c>
      <c r="B2434" s="76" t="s">
        <v>35</v>
      </c>
      <c r="C2434" s="76" t="s">
        <v>536</v>
      </c>
      <c r="D2434" s="79">
        <v>3498.765261</v>
      </c>
      <c r="E2434" s="79">
        <v>7.5096999999999996</v>
      </c>
      <c r="F2434" s="79">
        <v>7.4309000000000003</v>
      </c>
      <c r="G2434" s="83">
        <f t="shared" si="36"/>
        <v>6.7205714285714278</v>
      </c>
    </row>
    <row r="2435" spans="1:7" x14ac:dyDescent="0.2">
      <c r="A2435" s="75">
        <v>42251</v>
      </c>
      <c r="B2435" s="76" t="s">
        <v>35</v>
      </c>
      <c r="C2435" s="76" t="s">
        <v>536</v>
      </c>
      <c r="D2435" s="79">
        <v>3471.8157970000002</v>
      </c>
      <c r="E2435" s="79">
        <v>7.4309000000000003</v>
      </c>
      <c r="F2435" s="79">
        <v>7.6059000000000001</v>
      </c>
      <c r="G2435" s="83">
        <f t="shared" ref="G2435:G2498" si="37">+AVERAGE(E2373:E2435)</f>
        <v>6.7374333333333327</v>
      </c>
    </row>
    <row r="2436" spans="1:7" x14ac:dyDescent="0.2">
      <c r="A2436" s="75">
        <v>42255</v>
      </c>
      <c r="B2436" s="76" t="s">
        <v>35</v>
      </c>
      <c r="C2436" s="76" t="s">
        <v>536</v>
      </c>
      <c r="D2436" s="79">
        <v>3490.7419009999999</v>
      </c>
      <c r="E2436" s="79">
        <v>7.6059999999999999</v>
      </c>
      <c r="F2436" s="79">
        <v>7.4977</v>
      </c>
      <c r="G2436" s="83">
        <f t="shared" si="37"/>
        <v>6.7573301587301584</v>
      </c>
    </row>
    <row r="2437" spans="1:7" x14ac:dyDescent="0.2">
      <c r="A2437" s="75">
        <v>42256</v>
      </c>
      <c r="B2437" s="76" t="s">
        <v>35</v>
      </c>
      <c r="C2437" s="76" t="s">
        <v>536</v>
      </c>
      <c r="D2437" s="79">
        <v>3502.8273290000002</v>
      </c>
      <c r="E2437" s="79">
        <v>7.4977999999999998</v>
      </c>
      <c r="F2437" s="79">
        <v>7.4321000000000002</v>
      </c>
      <c r="G2437" s="83">
        <f t="shared" si="37"/>
        <v>6.7735634920634924</v>
      </c>
    </row>
    <row r="2438" spans="1:7" x14ac:dyDescent="0.2">
      <c r="A2438" s="75">
        <v>42257</v>
      </c>
      <c r="B2438" s="76" t="s">
        <v>35</v>
      </c>
      <c r="C2438" s="76" t="s">
        <v>536</v>
      </c>
      <c r="D2438" s="79">
        <v>3484.4074810000002</v>
      </c>
      <c r="E2438" s="79">
        <v>7.4321999999999999</v>
      </c>
      <c r="F2438" s="79">
        <v>7.5523999999999996</v>
      </c>
      <c r="G2438" s="83">
        <f t="shared" si="37"/>
        <v>6.7884142857142855</v>
      </c>
    </row>
    <row r="2439" spans="1:7" x14ac:dyDescent="0.2">
      <c r="A2439" s="75">
        <v>42258</v>
      </c>
      <c r="B2439" s="76" t="s">
        <v>35</v>
      </c>
      <c r="C2439" s="76" t="s">
        <v>536</v>
      </c>
      <c r="D2439" s="79">
        <v>3499.9675710000001</v>
      </c>
      <c r="E2439" s="79">
        <v>7.5525000000000002</v>
      </c>
      <c r="F2439" s="79">
        <v>7.4652000000000003</v>
      </c>
      <c r="G2439" s="83">
        <f t="shared" si="37"/>
        <v>6.8056158730158733</v>
      </c>
    </row>
    <row r="2440" spans="1:7" x14ac:dyDescent="0.2">
      <c r="A2440" s="75">
        <v>42261</v>
      </c>
      <c r="B2440" s="76" t="s">
        <v>35</v>
      </c>
      <c r="C2440" s="76" t="s">
        <v>536</v>
      </c>
      <c r="D2440" s="79">
        <v>3523.1477880000002</v>
      </c>
      <c r="E2440" s="79">
        <v>7.4653999999999998</v>
      </c>
      <c r="F2440" s="79">
        <v>7.3319999999999999</v>
      </c>
      <c r="G2440" s="83">
        <f t="shared" si="37"/>
        <v>6.8201809523809525</v>
      </c>
    </row>
    <row r="2441" spans="1:7" x14ac:dyDescent="0.2">
      <c r="A2441" s="75">
        <v>42262</v>
      </c>
      <c r="B2441" s="76" t="s">
        <v>35</v>
      </c>
      <c r="C2441" s="76" t="s">
        <v>536</v>
      </c>
      <c r="D2441" s="79">
        <v>3524.3931109999999</v>
      </c>
      <c r="E2441" s="79">
        <v>7.3320999999999996</v>
      </c>
      <c r="F2441" s="79">
        <v>7.3329000000000004</v>
      </c>
      <c r="G2441" s="83">
        <f t="shared" si="37"/>
        <v>6.8331190476190482</v>
      </c>
    </row>
    <row r="2442" spans="1:7" x14ac:dyDescent="0.2">
      <c r="A2442" s="75">
        <v>42263</v>
      </c>
      <c r="B2442" s="76" t="s">
        <v>35</v>
      </c>
      <c r="C2442" s="76" t="s">
        <v>536</v>
      </c>
      <c r="D2442" s="79">
        <v>3530.045404</v>
      </c>
      <c r="E2442" s="79">
        <v>7.3330000000000002</v>
      </c>
      <c r="F2442" s="79">
        <v>7.3090999999999999</v>
      </c>
      <c r="G2442" s="83">
        <f t="shared" si="37"/>
        <v>6.8469984126984134</v>
      </c>
    </row>
    <row r="2443" spans="1:7" x14ac:dyDescent="0.2">
      <c r="A2443" s="75">
        <v>42264</v>
      </c>
      <c r="B2443" s="76" t="s">
        <v>35</v>
      </c>
      <c r="C2443" s="76" t="s">
        <v>536</v>
      </c>
      <c r="D2443" s="79">
        <v>3528.0746749999998</v>
      </c>
      <c r="E2443" s="79">
        <v>7.3091999999999997</v>
      </c>
      <c r="F2443" s="79">
        <v>7.3316999999999997</v>
      </c>
      <c r="G2443" s="83">
        <f t="shared" si="37"/>
        <v>6.8610222222222221</v>
      </c>
    </row>
    <row r="2444" spans="1:7" x14ac:dyDescent="0.2">
      <c r="A2444" s="75">
        <v>42265</v>
      </c>
      <c r="B2444" s="76" t="s">
        <v>35</v>
      </c>
      <c r="C2444" s="76" t="s">
        <v>536</v>
      </c>
      <c r="D2444" s="79">
        <v>3479.4687159999999</v>
      </c>
      <c r="E2444" s="79">
        <v>7.3318000000000003</v>
      </c>
      <c r="F2444" s="79">
        <v>7.6407999999999996</v>
      </c>
      <c r="G2444" s="83">
        <f t="shared" si="37"/>
        <v>6.875750793650794</v>
      </c>
    </row>
    <row r="2445" spans="1:7" x14ac:dyDescent="0.2">
      <c r="A2445" s="75">
        <v>42268</v>
      </c>
      <c r="B2445" s="76" t="s">
        <v>35</v>
      </c>
      <c r="C2445" s="76" t="s">
        <v>536</v>
      </c>
      <c r="D2445" s="79">
        <v>3466.530878</v>
      </c>
      <c r="E2445" s="79">
        <v>7.6409000000000002</v>
      </c>
      <c r="F2445" s="79">
        <v>7.7320000000000002</v>
      </c>
      <c r="G2445" s="83">
        <f t="shared" si="37"/>
        <v>6.8962793650793648</v>
      </c>
    </row>
    <row r="2446" spans="1:7" x14ac:dyDescent="0.2">
      <c r="A2446" s="75">
        <v>42269</v>
      </c>
      <c r="B2446" s="76" t="s">
        <v>35</v>
      </c>
      <c r="C2446" s="76" t="s">
        <v>536</v>
      </c>
      <c r="D2446" s="79">
        <v>3455.0416660000001</v>
      </c>
      <c r="E2446" s="79">
        <v>7.7321</v>
      </c>
      <c r="F2446" s="79">
        <v>7.8146000000000004</v>
      </c>
      <c r="G2446" s="83">
        <f t="shared" si="37"/>
        <v>6.9183555555555554</v>
      </c>
    </row>
    <row r="2447" spans="1:7" x14ac:dyDescent="0.2">
      <c r="A2447" s="75">
        <v>42270</v>
      </c>
      <c r="B2447" s="76" t="s">
        <v>35</v>
      </c>
      <c r="C2447" s="76" t="s">
        <v>536</v>
      </c>
      <c r="D2447" s="79">
        <v>3438.5609629999999</v>
      </c>
      <c r="E2447" s="79">
        <v>7.8147000000000002</v>
      </c>
      <c r="F2447" s="79">
        <v>7.9332000000000003</v>
      </c>
      <c r="G2447" s="83">
        <f t="shared" si="37"/>
        <v>6.9413031746031741</v>
      </c>
    </row>
    <row r="2448" spans="1:7" x14ac:dyDescent="0.2">
      <c r="A2448" s="75">
        <v>42271</v>
      </c>
      <c r="B2448" s="76" t="s">
        <v>35</v>
      </c>
      <c r="C2448" s="76" t="s">
        <v>536</v>
      </c>
      <c r="D2448" s="79">
        <v>3540.1043359999999</v>
      </c>
      <c r="E2448" s="79">
        <v>7.9332000000000003</v>
      </c>
      <c r="F2448" s="79">
        <v>7.3179999999999996</v>
      </c>
      <c r="G2448" s="83">
        <f t="shared" si="37"/>
        <v>6.9644444444444442</v>
      </c>
    </row>
    <row r="2449" spans="1:7" x14ac:dyDescent="0.2">
      <c r="A2449" s="75">
        <v>42272</v>
      </c>
      <c r="B2449" s="76" t="s">
        <v>35</v>
      </c>
      <c r="C2449" s="76" t="s">
        <v>536</v>
      </c>
      <c r="D2449" s="79">
        <v>3521.3985950000001</v>
      </c>
      <c r="E2449" s="79">
        <v>7.3178999999999998</v>
      </c>
      <c r="F2449" s="79">
        <v>7.4429999999999996</v>
      </c>
      <c r="G2449" s="83">
        <f t="shared" si="37"/>
        <v>6.9778222222222226</v>
      </c>
    </row>
    <row r="2450" spans="1:7" x14ac:dyDescent="0.2">
      <c r="A2450" s="75">
        <v>42275</v>
      </c>
      <c r="B2450" s="76" t="s">
        <v>35</v>
      </c>
      <c r="C2450" s="76" t="s">
        <v>536</v>
      </c>
      <c r="D2450" s="79">
        <v>3445.7233879999999</v>
      </c>
      <c r="E2450" s="79">
        <v>7.4428999999999998</v>
      </c>
      <c r="F2450" s="79">
        <v>7.9225000000000003</v>
      </c>
      <c r="G2450" s="83">
        <f t="shared" si="37"/>
        <v>6.991773015873016</v>
      </c>
    </row>
    <row r="2451" spans="1:7" x14ac:dyDescent="0.2">
      <c r="A2451" s="75">
        <v>42276</v>
      </c>
      <c r="B2451" s="76" t="s">
        <v>35</v>
      </c>
      <c r="C2451" s="76" t="s">
        <v>536</v>
      </c>
      <c r="D2451" s="79">
        <v>3480.0379600000001</v>
      </c>
      <c r="E2451" s="79">
        <v>7.9223999999999997</v>
      </c>
      <c r="F2451" s="79">
        <v>7.7202999999999999</v>
      </c>
      <c r="G2451" s="83">
        <f t="shared" si="37"/>
        <v>7.0126714285714282</v>
      </c>
    </row>
    <row r="2452" spans="1:7" x14ac:dyDescent="0.2">
      <c r="A2452" s="75">
        <v>42277</v>
      </c>
      <c r="B2452" s="76" t="s">
        <v>35</v>
      </c>
      <c r="C2452" s="76" t="s">
        <v>536</v>
      </c>
      <c r="D2452" s="79">
        <v>3515.1546010000002</v>
      </c>
      <c r="E2452" s="79">
        <v>7.7202000000000002</v>
      </c>
      <c r="F2452" s="79">
        <v>7.5155000000000003</v>
      </c>
      <c r="G2452" s="83">
        <f t="shared" si="37"/>
        <v>7.0293380952380948</v>
      </c>
    </row>
    <row r="2453" spans="1:7" x14ac:dyDescent="0.2">
      <c r="A2453" s="75">
        <v>42278</v>
      </c>
      <c r="B2453" s="76" t="s">
        <v>35</v>
      </c>
      <c r="C2453" s="76" t="s">
        <v>536</v>
      </c>
      <c r="D2453" s="79">
        <v>3525.1674819999998</v>
      </c>
      <c r="E2453" s="79">
        <v>7.5153999999999996</v>
      </c>
      <c r="F2453" s="79">
        <v>7.4656000000000002</v>
      </c>
      <c r="G2453" s="83">
        <f t="shared" si="37"/>
        <v>7.0447333333333333</v>
      </c>
    </row>
    <row r="2454" spans="1:7" x14ac:dyDescent="0.2">
      <c r="A2454" s="75">
        <v>42279</v>
      </c>
      <c r="B2454" s="76" t="s">
        <v>35</v>
      </c>
      <c r="C2454" s="76" t="s">
        <v>536</v>
      </c>
      <c r="D2454" s="79">
        <v>3585.5017339999999</v>
      </c>
      <c r="E2454" s="79">
        <v>7.4654999999999996</v>
      </c>
      <c r="F2454" s="79">
        <v>7.1124000000000001</v>
      </c>
      <c r="G2454" s="83">
        <f t="shared" si="37"/>
        <v>7.0605365079365079</v>
      </c>
    </row>
    <row r="2455" spans="1:7" x14ac:dyDescent="0.2">
      <c r="A2455" s="75">
        <v>42282</v>
      </c>
      <c r="B2455" s="76" t="s">
        <v>35</v>
      </c>
      <c r="C2455" s="76" t="s">
        <v>536</v>
      </c>
      <c r="D2455" s="79">
        <v>3579.3109049999998</v>
      </c>
      <c r="E2455" s="79">
        <v>7.1124999999999998</v>
      </c>
      <c r="F2455" s="79">
        <v>7.1605999999999996</v>
      </c>
      <c r="G2455" s="83">
        <f t="shared" si="37"/>
        <v>7.0704000000000002</v>
      </c>
    </row>
    <row r="2456" spans="1:7" x14ac:dyDescent="0.2">
      <c r="A2456" s="75">
        <v>42283</v>
      </c>
      <c r="B2456" s="76" t="s">
        <v>35</v>
      </c>
      <c r="C2456" s="76" t="s">
        <v>536</v>
      </c>
      <c r="D2456" s="79">
        <v>3570.1949479999998</v>
      </c>
      <c r="E2456" s="79">
        <v>7.1607000000000003</v>
      </c>
      <c r="F2456" s="79">
        <v>7.2264999999999997</v>
      </c>
      <c r="G2456" s="83">
        <f t="shared" si="37"/>
        <v>7.0814571428571433</v>
      </c>
    </row>
    <row r="2457" spans="1:7" x14ac:dyDescent="0.2">
      <c r="A2457" s="75">
        <v>42284</v>
      </c>
      <c r="B2457" s="76" t="s">
        <v>35</v>
      </c>
      <c r="C2457" s="76" t="s">
        <v>536</v>
      </c>
      <c r="D2457" s="79">
        <v>3544.974185</v>
      </c>
      <c r="E2457" s="79">
        <v>7.2266000000000004</v>
      </c>
      <c r="F2457" s="79">
        <v>7.3948999999999998</v>
      </c>
      <c r="G2457" s="83">
        <f t="shared" si="37"/>
        <v>7.0931888888888901</v>
      </c>
    </row>
    <row r="2458" spans="1:7" x14ac:dyDescent="0.2">
      <c r="A2458" s="75">
        <v>42285</v>
      </c>
      <c r="B2458" s="76" t="s">
        <v>35</v>
      </c>
      <c r="C2458" s="76" t="s">
        <v>536</v>
      </c>
      <c r="D2458" s="79">
        <v>3565.807374</v>
      </c>
      <c r="E2458" s="79">
        <v>7.3951000000000002</v>
      </c>
      <c r="F2458" s="79">
        <v>7.2808000000000002</v>
      </c>
      <c r="G2458" s="83">
        <f t="shared" si="37"/>
        <v>7.1075968253968274</v>
      </c>
    </row>
    <row r="2459" spans="1:7" x14ac:dyDescent="0.2">
      <c r="A2459" s="75">
        <v>42286</v>
      </c>
      <c r="B2459" s="76" t="s">
        <v>35</v>
      </c>
      <c r="C2459" s="76" t="s">
        <v>536</v>
      </c>
      <c r="D2459" s="79">
        <v>3548.9187200000001</v>
      </c>
      <c r="E2459" s="79">
        <v>7.2809999999999997</v>
      </c>
      <c r="F2459" s="79">
        <v>7.3944999999999999</v>
      </c>
      <c r="G2459" s="83">
        <f t="shared" si="37"/>
        <v>7.1204873015873043</v>
      </c>
    </row>
    <row r="2460" spans="1:7" x14ac:dyDescent="0.2">
      <c r="A2460" s="75">
        <v>42290</v>
      </c>
      <c r="B2460" s="76" t="s">
        <v>35</v>
      </c>
      <c r="C2460" s="76" t="s">
        <v>536</v>
      </c>
      <c r="D2460" s="79">
        <v>3529.453966</v>
      </c>
      <c r="E2460" s="79">
        <v>7.3948</v>
      </c>
      <c r="F2460" s="79">
        <v>7.5247000000000002</v>
      </c>
      <c r="G2460" s="83">
        <f t="shared" si="37"/>
        <v>7.1346253968253981</v>
      </c>
    </row>
    <row r="2461" spans="1:7" x14ac:dyDescent="0.2">
      <c r="A2461" s="75">
        <v>42291</v>
      </c>
      <c r="B2461" s="76" t="s">
        <v>35</v>
      </c>
      <c r="C2461" s="76" t="s">
        <v>536</v>
      </c>
      <c r="D2461" s="79">
        <v>3534.1171490000002</v>
      </c>
      <c r="E2461" s="79">
        <v>7.5250000000000004</v>
      </c>
      <c r="F2461" s="79">
        <v>7.5083000000000002</v>
      </c>
      <c r="G2461" s="83">
        <f t="shared" si="37"/>
        <v>7.1507222222222229</v>
      </c>
    </row>
    <row r="2462" spans="1:7" x14ac:dyDescent="0.2">
      <c r="A2462" s="75">
        <v>42292</v>
      </c>
      <c r="B2462" s="76" t="s">
        <v>35</v>
      </c>
      <c r="C2462" s="76" t="s">
        <v>536</v>
      </c>
      <c r="D2462" s="79">
        <v>3557.5782989999998</v>
      </c>
      <c r="E2462" s="79">
        <v>7.5084999999999997</v>
      </c>
      <c r="F2462" s="79">
        <v>7.3779000000000003</v>
      </c>
      <c r="G2462" s="83">
        <f t="shared" si="37"/>
        <v>7.1669857142857154</v>
      </c>
    </row>
    <row r="2463" spans="1:7" x14ac:dyDescent="0.2">
      <c r="A2463" s="75">
        <v>42293</v>
      </c>
      <c r="B2463" s="76" t="s">
        <v>35</v>
      </c>
      <c r="C2463" s="76" t="s">
        <v>536</v>
      </c>
      <c r="D2463" s="79">
        <v>3552.322647</v>
      </c>
      <c r="E2463" s="79">
        <v>7.3781999999999996</v>
      </c>
      <c r="F2463" s="79">
        <v>7.4234999999999998</v>
      </c>
      <c r="G2463" s="83">
        <f t="shared" si="37"/>
        <v>7.1819809523809539</v>
      </c>
    </row>
    <row r="2464" spans="1:7" x14ac:dyDescent="0.2">
      <c r="A2464" s="75">
        <v>42296</v>
      </c>
      <c r="B2464" s="76" t="s">
        <v>35</v>
      </c>
      <c r="C2464" s="76" t="s">
        <v>536</v>
      </c>
      <c r="D2464" s="79">
        <v>3542.3880749999998</v>
      </c>
      <c r="E2464" s="79">
        <v>7.4238</v>
      </c>
      <c r="F2464" s="79">
        <v>7.4976000000000003</v>
      </c>
      <c r="G2464" s="83">
        <f t="shared" si="37"/>
        <v>7.1973936507936518</v>
      </c>
    </row>
    <row r="2465" spans="1:7" x14ac:dyDescent="0.2">
      <c r="A2465" s="75">
        <v>42297</v>
      </c>
      <c r="B2465" s="76" t="s">
        <v>35</v>
      </c>
      <c r="C2465" s="76" t="s">
        <v>536</v>
      </c>
      <c r="D2465" s="79">
        <v>3544.4014189999998</v>
      </c>
      <c r="E2465" s="79">
        <v>7.4977999999999998</v>
      </c>
      <c r="F2465" s="79">
        <v>7.4992000000000001</v>
      </c>
      <c r="G2465" s="83">
        <f t="shared" si="37"/>
        <v>7.2157444444444447</v>
      </c>
    </row>
    <row r="2466" spans="1:7" x14ac:dyDescent="0.2">
      <c r="A2466" s="75">
        <v>42298</v>
      </c>
      <c r="B2466" s="76" t="s">
        <v>35</v>
      </c>
      <c r="C2466" s="76" t="s">
        <v>536</v>
      </c>
      <c r="D2466" s="79">
        <v>3544.9166759999998</v>
      </c>
      <c r="E2466" s="79">
        <v>7.4995000000000003</v>
      </c>
      <c r="F2466" s="79">
        <v>7.51</v>
      </c>
      <c r="G2466" s="83">
        <f t="shared" si="37"/>
        <v>7.2353968253968262</v>
      </c>
    </row>
    <row r="2467" spans="1:7" x14ac:dyDescent="0.2">
      <c r="A2467" s="75">
        <v>42299</v>
      </c>
      <c r="B2467" s="76" t="s">
        <v>35</v>
      </c>
      <c r="C2467" s="76" t="s">
        <v>536</v>
      </c>
      <c r="D2467" s="79">
        <v>3575.7753699999998</v>
      </c>
      <c r="E2467" s="79">
        <v>7.5103</v>
      </c>
      <c r="F2467" s="79">
        <v>7.3400999999999996</v>
      </c>
      <c r="G2467" s="83">
        <f t="shared" si="37"/>
        <v>7.2532746031746029</v>
      </c>
    </row>
    <row r="2468" spans="1:7" x14ac:dyDescent="0.2">
      <c r="A2468" s="75">
        <v>42300</v>
      </c>
      <c r="B2468" s="76" t="s">
        <v>35</v>
      </c>
      <c r="C2468" s="76" t="s">
        <v>536</v>
      </c>
      <c r="D2468" s="79">
        <v>3570.0048270000002</v>
      </c>
      <c r="E2468" s="79">
        <v>7.3403999999999998</v>
      </c>
      <c r="F2468" s="79">
        <v>7.3891</v>
      </c>
      <c r="G2468" s="83">
        <f t="shared" si="37"/>
        <v>7.2630142857142852</v>
      </c>
    </row>
    <row r="2469" spans="1:7" x14ac:dyDescent="0.2">
      <c r="A2469" s="75">
        <v>42303</v>
      </c>
      <c r="B2469" s="76" t="s">
        <v>35</v>
      </c>
      <c r="C2469" s="76" t="s">
        <v>536</v>
      </c>
      <c r="D2469" s="79">
        <v>3578.025682</v>
      </c>
      <c r="E2469" s="79">
        <v>7.3894000000000002</v>
      </c>
      <c r="F2469" s="79">
        <v>7.3552</v>
      </c>
      <c r="G2469" s="83">
        <f t="shared" si="37"/>
        <v>7.2721857142857145</v>
      </c>
    </row>
    <row r="2470" spans="1:7" x14ac:dyDescent="0.2">
      <c r="A2470" s="75">
        <v>42304</v>
      </c>
      <c r="B2470" s="76" t="s">
        <v>35</v>
      </c>
      <c r="C2470" s="76" t="s">
        <v>536</v>
      </c>
      <c r="D2470" s="79">
        <v>3593.4329429999998</v>
      </c>
      <c r="E2470" s="79">
        <v>7.3555999999999999</v>
      </c>
      <c r="F2470" s="79">
        <v>7.2773000000000003</v>
      </c>
      <c r="G2470" s="83">
        <f t="shared" si="37"/>
        <v>7.2805111111111112</v>
      </c>
    </row>
    <row r="2471" spans="1:7" x14ac:dyDescent="0.2">
      <c r="A2471" s="75">
        <v>42305</v>
      </c>
      <c r="B2471" s="76" t="s">
        <v>35</v>
      </c>
      <c r="C2471" s="76" t="s">
        <v>536</v>
      </c>
      <c r="D2471" s="79">
        <v>3583.76557</v>
      </c>
      <c r="E2471" s="79">
        <v>7.2778</v>
      </c>
      <c r="F2471" s="79">
        <v>7.3495999999999997</v>
      </c>
      <c r="G2471" s="83">
        <f t="shared" si="37"/>
        <v>7.2873333333333337</v>
      </c>
    </row>
    <row r="2472" spans="1:7" x14ac:dyDescent="0.2">
      <c r="A2472" s="75">
        <v>42306</v>
      </c>
      <c r="B2472" s="76" t="s">
        <v>35</v>
      </c>
      <c r="C2472" s="76" t="s">
        <v>536</v>
      </c>
      <c r="D2472" s="79">
        <v>3579.3159660000001</v>
      </c>
      <c r="E2472" s="79">
        <v>7.35</v>
      </c>
      <c r="F2472" s="79">
        <v>7.3906999999999998</v>
      </c>
      <c r="G2472" s="83">
        <f t="shared" si="37"/>
        <v>7.2953920634920637</v>
      </c>
    </row>
    <row r="2473" spans="1:7" x14ac:dyDescent="0.2">
      <c r="A2473" s="75">
        <v>42307</v>
      </c>
      <c r="B2473" s="76" t="s">
        <v>35</v>
      </c>
      <c r="C2473" s="76" t="s">
        <v>536</v>
      </c>
      <c r="D2473" s="79">
        <v>3575.611484</v>
      </c>
      <c r="E2473" s="79">
        <v>7.3910999999999998</v>
      </c>
      <c r="F2473" s="79">
        <v>7.4273999999999996</v>
      </c>
      <c r="G2473" s="83">
        <f t="shared" si="37"/>
        <v>7.3074444444444451</v>
      </c>
    </row>
    <row r="2474" spans="1:7" x14ac:dyDescent="0.2">
      <c r="A2474" s="75">
        <v>42311</v>
      </c>
      <c r="B2474" s="76" t="s">
        <v>35</v>
      </c>
      <c r="C2474" s="76" t="s">
        <v>536</v>
      </c>
      <c r="D2474" s="79">
        <v>3590.2070370000001</v>
      </c>
      <c r="E2474" s="79">
        <v>7.4279000000000002</v>
      </c>
      <c r="F2474" s="79">
        <v>7.3544</v>
      </c>
      <c r="G2474" s="83">
        <f t="shared" si="37"/>
        <v>7.3212380952380958</v>
      </c>
    </row>
    <row r="2475" spans="1:7" x14ac:dyDescent="0.2">
      <c r="A2475" s="75">
        <v>42312</v>
      </c>
      <c r="B2475" s="76" t="s">
        <v>35</v>
      </c>
      <c r="C2475" s="76" t="s">
        <v>536</v>
      </c>
      <c r="D2475" s="79">
        <v>3603.652368</v>
      </c>
      <c r="E2475" s="79">
        <v>7.3550000000000004</v>
      </c>
      <c r="F2475" s="79">
        <v>7.2887000000000004</v>
      </c>
      <c r="G2475" s="83">
        <f t="shared" si="37"/>
        <v>7.3316269841269852</v>
      </c>
    </row>
    <row r="2476" spans="1:7" x14ac:dyDescent="0.2">
      <c r="A2476" s="75">
        <v>42313</v>
      </c>
      <c r="B2476" s="76" t="s">
        <v>35</v>
      </c>
      <c r="C2476" s="76" t="s">
        <v>536</v>
      </c>
      <c r="D2476" s="79">
        <v>3596.3695830000001</v>
      </c>
      <c r="E2476" s="79">
        <v>7.2892000000000001</v>
      </c>
      <c r="F2476" s="79">
        <v>7.3465999999999996</v>
      </c>
      <c r="G2476" s="83">
        <f t="shared" si="37"/>
        <v>7.3409698412698416</v>
      </c>
    </row>
    <row r="2477" spans="1:7" x14ac:dyDescent="0.2">
      <c r="A2477" s="75">
        <v>42314</v>
      </c>
      <c r="B2477" s="76" t="s">
        <v>35</v>
      </c>
      <c r="C2477" s="76" t="s">
        <v>536</v>
      </c>
      <c r="D2477" s="79">
        <v>3597.7705190000001</v>
      </c>
      <c r="E2477" s="79">
        <v>7.3471000000000002</v>
      </c>
      <c r="F2477" s="79">
        <v>7.3587999999999996</v>
      </c>
      <c r="G2477" s="83">
        <f t="shared" si="37"/>
        <v>7.3494936507936526</v>
      </c>
    </row>
    <row r="2478" spans="1:7" x14ac:dyDescent="0.2">
      <c r="A2478" s="75">
        <v>42317</v>
      </c>
      <c r="B2478" s="76" t="s">
        <v>35</v>
      </c>
      <c r="C2478" s="76" t="s">
        <v>536</v>
      </c>
      <c r="D2478" s="79">
        <v>3605.4325520000002</v>
      </c>
      <c r="E2478" s="79">
        <v>7.3593000000000002</v>
      </c>
      <c r="F2478" s="79">
        <v>7.3280000000000003</v>
      </c>
      <c r="G2478" s="83">
        <f t="shared" si="37"/>
        <v>7.3536539682539699</v>
      </c>
    </row>
    <row r="2479" spans="1:7" x14ac:dyDescent="0.2">
      <c r="A2479" s="75">
        <v>42318</v>
      </c>
      <c r="B2479" s="76" t="s">
        <v>35</v>
      </c>
      <c r="C2479" s="76" t="s">
        <v>536</v>
      </c>
      <c r="D2479" s="79">
        <v>3615.0941320000002</v>
      </c>
      <c r="E2479" s="79">
        <v>7.3285</v>
      </c>
      <c r="F2479" s="79">
        <v>7.2854000000000001</v>
      </c>
      <c r="G2479" s="83">
        <f t="shared" si="37"/>
        <v>7.3551333333333346</v>
      </c>
    </row>
    <row r="2480" spans="1:7" x14ac:dyDescent="0.2">
      <c r="A2480" s="75">
        <v>42319</v>
      </c>
      <c r="B2480" s="76" t="s">
        <v>35</v>
      </c>
      <c r="C2480" s="76" t="s">
        <v>536</v>
      </c>
      <c r="D2480" s="79">
        <v>3640.795705</v>
      </c>
      <c r="E2480" s="79">
        <v>7.2858999999999998</v>
      </c>
      <c r="F2480" s="79">
        <v>7.1482000000000001</v>
      </c>
      <c r="G2480" s="83">
        <f t="shared" si="37"/>
        <v>7.3569412698412728</v>
      </c>
    </row>
    <row r="2481" spans="1:7" x14ac:dyDescent="0.2">
      <c r="A2481" s="75">
        <v>42320</v>
      </c>
      <c r="B2481" s="76" t="s">
        <v>35</v>
      </c>
      <c r="C2481" s="76" t="s">
        <v>536</v>
      </c>
      <c r="D2481" s="79">
        <v>3643.447541</v>
      </c>
      <c r="E2481" s="79">
        <v>7.1486000000000001</v>
      </c>
      <c r="F2481" s="79">
        <v>7.1471999999999998</v>
      </c>
      <c r="G2481" s="83">
        <f t="shared" si="37"/>
        <v>7.3568206349206369</v>
      </c>
    </row>
    <row r="2482" spans="1:7" x14ac:dyDescent="0.2">
      <c r="A2482" s="75">
        <v>42321</v>
      </c>
      <c r="B2482" s="76" t="s">
        <v>35</v>
      </c>
      <c r="C2482" s="76" t="s">
        <v>536</v>
      </c>
      <c r="D2482" s="79">
        <v>3642.6519290000001</v>
      </c>
      <c r="E2482" s="79">
        <v>7.1477000000000004</v>
      </c>
      <c r="F2482" s="79">
        <v>7.1665999999999999</v>
      </c>
      <c r="G2482" s="83">
        <f t="shared" si="37"/>
        <v>7.3579396825396834</v>
      </c>
    </row>
    <row r="2483" spans="1:7" x14ac:dyDescent="0.2">
      <c r="A2483" s="75">
        <v>42324</v>
      </c>
      <c r="B2483" s="76" t="s">
        <v>35</v>
      </c>
      <c r="C2483" s="76" t="s">
        <v>536</v>
      </c>
      <c r="D2483" s="79">
        <v>3646.956459</v>
      </c>
      <c r="E2483" s="79">
        <v>7.1669999999999998</v>
      </c>
      <c r="F2483" s="79">
        <v>7.1558999999999999</v>
      </c>
      <c r="G2483" s="83">
        <f t="shared" si="37"/>
        <v>7.3587920634920643</v>
      </c>
    </row>
    <row r="2484" spans="1:7" x14ac:dyDescent="0.2">
      <c r="A2484" s="75">
        <v>42325</v>
      </c>
      <c r="B2484" s="76" t="s">
        <v>35</v>
      </c>
      <c r="C2484" s="76" t="s">
        <v>536</v>
      </c>
      <c r="D2484" s="79">
        <v>3651.7377670000001</v>
      </c>
      <c r="E2484" s="79">
        <v>7.1562000000000001</v>
      </c>
      <c r="F2484" s="79">
        <v>7.1406000000000001</v>
      </c>
      <c r="G2484" s="83">
        <f t="shared" si="37"/>
        <v>7.3596285714285719</v>
      </c>
    </row>
    <row r="2485" spans="1:7" x14ac:dyDescent="0.2">
      <c r="A2485" s="75">
        <v>42326</v>
      </c>
      <c r="B2485" s="76" t="s">
        <v>35</v>
      </c>
      <c r="C2485" s="76" t="s">
        <v>536</v>
      </c>
      <c r="D2485" s="79">
        <v>3666.156759</v>
      </c>
      <c r="E2485" s="79">
        <v>7.1409000000000002</v>
      </c>
      <c r="F2485" s="79">
        <v>7.0689000000000002</v>
      </c>
      <c r="G2485" s="83">
        <f t="shared" si="37"/>
        <v>7.3602777777777773</v>
      </c>
    </row>
    <row r="2486" spans="1:7" x14ac:dyDescent="0.2">
      <c r="A2486" s="75">
        <v>42327</v>
      </c>
      <c r="B2486" s="76" t="s">
        <v>35</v>
      </c>
      <c r="C2486" s="76" t="s">
        <v>536</v>
      </c>
      <c r="D2486" s="79">
        <v>3695.9476829999999</v>
      </c>
      <c r="E2486" s="79">
        <v>7.0692000000000004</v>
      </c>
      <c r="F2486" s="79">
        <v>6.9082999999999997</v>
      </c>
      <c r="G2486" s="83">
        <f t="shared" si="37"/>
        <v>7.3616777777777784</v>
      </c>
    </row>
    <row r="2487" spans="1:7" x14ac:dyDescent="0.2">
      <c r="A2487" s="75">
        <v>42328</v>
      </c>
      <c r="B2487" s="76" t="s">
        <v>35</v>
      </c>
      <c r="C2487" s="76" t="s">
        <v>536</v>
      </c>
      <c r="D2487" s="79">
        <v>3699.6080470000002</v>
      </c>
      <c r="E2487" s="79">
        <v>6.9085999999999999</v>
      </c>
      <c r="F2487" s="79">
        <v>6.9093999999999998</v>
      </c>
      <c r="G2487" s="83">
        <f t="shared" si="37"/>
        <v>7.3606190476190463</v>
      </c>
    </row>
    <row r="2488" spans="1:7" x14ac:dyDescent="0.2">
      <c r="A2488" s="75">
        <v>42331</v>
      </c>
      <c r="B2488" s="76" t="s">
        <v>35</v>
      </c>
      <c r="C2488" s="76" t="s">
        <v>536</v>
      </c>
      <c r="D2488" s="79">
        <v>3703.4659419999998</v>
      </c>
      <c r="E2488" s="79">
        <v>6.9097</v>
      </c>
      <c r="F2488" s="79">
        <v>6.9020999999999999</v>
      </c>
      <c r="G2488" s="83">
        <f t="shared" si="37"/>
        <v>7.3598253968253973</v>
      </c>
    </row>
    <row r="2489" spans="1:7" x14ac:dyDescent="0.2">
      <c r="A2489" s="75">
        <v>42332</v>
      </c>
      <c r="B2489" s="76" t="s">
        <v>35</v>
      </c>
      <c r="C2489" s="76" t="s">
        <v>536</v>
      </c>
      <c r="D2489" s="79">
        <v>3681.5481599999998</v>
      </c>
      <c r="E2489" s="79">
        <v>6.9024000000000001</v>
      </c>
      <c r="F2489" s="79">
        <v>7.0442</v>
      </c>
      <c r="G2489" s="83">
        <f t="shared" si="37"/>
        <v>7.3569650793650805</v>
      </c>
    </row>
    <row r="2490" spans="1:7" x14ac:dyDescent="0.2">
      <c r="A2490" s="75">
        <v>42333</v>
      </c>
      <c r="B2490" s="76" t="s">
        <v>35</v>
      </c>
      <c r="C2490" s="76" t="s">
        <v>536</v>
      </c>
      <c r="D2490" s="79">
        <v>3653.336092</v>
      </c>
      <c r="E2490" s="79">
        <v>7.0444000000000004</v>
      </c>
      <c r="F2490" s="79">
        <v>7.2241999999999997</v>
      </c>
      <c r="G2490" s="83">
        <f t="shared" si="37"/>
        <v>7.354517460317461</v>
      </c>
    </row>
    <row r="2491" spans="1:7" x14ac:dyDescent="0.2">
      <c r="A2491" s="75">
        <v>42334</v>
      </c>
      <c r="B2491" s="76" t="s">
        <v>35</v>
      </c>
      <c r="C2491" s="76" t="s">
        <v>536</v>
      </c>
      <c r="D2491" s="79">
        <v>3621.6907630000001</v>
      </c>
      <c r="E2491" s="79">
        <v>7.2244999999999999</v>
      </c>
      <c r="F2491" s="79">
        <v>7.4264000000000001</v>
      </c>
      <c r="G2491" s="83">
        <f t="shared" si="37"/>
        <v>7.3555174603174613</v>
      </c>
    </row>
    <row r="2492" spans="1:7" x14ac:dyDescent="0.2">
      <c r="A2492" s="75">
        <v>42335</v>
      </c>
      <c r="B2492" s="76" t="s">
        <v>35</v>
      </c>
      <c r="C2492" s="76" t="s">
        <v>536</v>
      </c>
      <c r="D2492" s="79">
        <v>3602.2161540000002</v>
      </c>
      <c r="E2492" s="79">
        <v>7.4264999999999999</v>
      </c>
      <c r="F2492" s="79">
        <v>7.5576999999999996</v>
      </c>
      <c r="G2492" s="83">
        <f t="shared" si="37"/>
        <v>7.3612253968253967</v>
      </c>
    </row>
    <row r="2493" spans="1:7" x14ac:dyDescent="0.2">
      <c r="A2493" s="75">
        <v>42338</v>
      </c>
      <c r="B2493" s="76" t="s">
        <v>35</v>
      </c>
      <c r="C2493" s="76" t="s">
        <v>536</v>
      </c>
      <c r="D2493" s="79">
        <v>3600.1940540000001</v>
      </c>
      <c r="E2493" s="79">
        <v>7.5578000000000003</v>
      </c>
      <c r="F2493" s="79">
        <v>7.5852000000000004</v>
      </c>
      <c r="G2493" s="83">
        <f t="shared" si="37"/>
        <v>7.3679301587301591</v>
      </c>
    </row>
    <row r="2494" spans="1:7" x14ac:dyDescent="0.2">
      <c r="A2494" s="75">
        <v>42339</v>
      </c>
      <c r="B2494" s="76" t="s">
        <v>35</v>
      </c>
      <c r="C2494" s="76" t="s">
        <v>536</v>
      </c>
      <c r="D2494" s="79">
        <v>3613.048644</v>
      </c>
      <c r="E2494" s="79">
        <v>7.5853000000000002</v>
      </c>
      <c r="F2494" s="79">
        <v>7.5239000000000003</v>
      </c>
      <c r="G2494" s="83">
        <f t="shared" si="37"/>
        <v>7.3755333333333342</v>
      </c>
    </row>
    <row r="2495" spans="1:7" x14ac:dyDescent="0.2">
      <c r="A2495" s="75">
        <v>42340</v>
      </c>
      <c r="B2495" s="76" t="s">
        <v>35</v>
      </c>
      <c r="C2495" s="76" t="s">
        <v>536</v>
      </c>
      <c r="D2495" s="79">
        <v>3630.7549949999998</v>
      </c>
      <c r="E2495" s="79">
        <v>7.524</v>
      </c>
      <c r="F2495" s="79">
        <v>7.4340999999999999</v>
      </c>
      <c r="G2495" s="83">
        <f t="shared" si="37"/>
        <v>7.3800650793650799</v>
      </c>
    </row>
    <row r="2496" spans="1:7" x14ac:dyDescent="0.2">
      <c r="A2496" s="75">
        <v>42341</v>
      </c>
      <c r="B2496" s="76" t="s">
        <v>35</v>
      </c>
      <c r="C2496" s="76" t="s">
        <v>536</v>
      </c>
      <c r="D2496" s="79">
        <v>3625.626174</v>
      </c>
      <c r="E2496" s="79">
        <v>7.4341999999999997</v>
      </c>
      <c r="F2496" s="79">
        <v>7.4798</v>
      </c>
      <c r="G2496" s="83">
        <f t="shared" si="37"/>
        <v>7.3819650793650808</v>
      </c>
    </row>
    <row r="2497" spans="1:7" x14ac:dyDescent="0.2">
      <c r="A2497" s="75">
        <v>42342</v>
      </c>
      <c r="B2497" s="76" t="s">
        <v>35</v>
      </c>
      <c r="C2497" s="76" t="s">
        <v>536</v>
      </c>
      <c r="D2497" s="79">
        <v>3633.0895190000001</v>
      </c>
      <c r="E2497" s="79">
        <v>7.48</v>
      </c>
      <c r="F2497" s="79">
        <v>7.4509999999999996</v>
      </c>
      <c r="G2497" s="83">
        <f t="shared" si="37"/>
        <v>7.3814936507936508</v>
      </c>
    </row>
    <row r="2498" spans="1:7" x14ac:dyDescent="0.2">
      <c r="A2498" s="75">
        <v>42345</v>
      </c>
      <c r="B2498" s="76" t="s">
        <v>35</v>
      </c>
      <c r="C2498" s="76" t="s">
        <v>536</v>
      </c>
      <c r="D2498" s="79">
        <v>3634.1891230000001</v>
      </c>
      <c r="E2498" s="79">
        <v>7.4511000000000003</v>
      </c>
      <c r="F2498" s="79">
        <v>7.4598000000000004</v>
      </c>
      <c r="G2498" s="83">
        <f t="shared" si="37"/>
        <v>7.3818142857142863</v>
      </c>
    </row>
    <row r="2499" spans="1:7" x14ac:dyDescent="0.2">
      <c r="A2499" s="75">
        <v>42346</v>
      </c>
      <c r="B2499" s="76" t="s">
        <v>35</v>
      </c>
      <c r="C2499" s="76" t="s">
        <v>536</v>
      </c>
      <c r="D2499" s="79">
        <v>3635.20588</v>
      </c>
      <c r="E2499" s="79">
        <v>7.46</v>
      </c>
      <c r="F2499" s="79">
        <v>7.4691999999999998</v>
      </c>
      <c r="G2499" s="83">
        <f t="shared" ref="G2499:G2562" si="38">+AVERAGE(E2437:E2499)</f>
        <v>7.3794968253968252</v>
      </c>
    </row>
    <row r="2500" spans="1:7" x14ac:dyDescent="0.2">
      <c r="A2500" s="75">
        <v>42347</v>
      </c>
      <c r="B2500" s="76" t="s">
        <v>35</v>
      </c>
      <c r="C2500" s="76" t="s">
        <v>536</v>
      </c>
      <c r="D2500" s="79">
        <v>3646.381449</v>
      </c>
      <c r="E2500" s="79">
        <v>7.4694000000000003</v>
      </c>
      <c r="F2500" s="79">
        <v>7.4393000000000002</v>
      </c>
      <c r="G2500" s="83">
        <f t="shared" si="38"/>
        <v>7.3790460317460322</v>
      </c>
    </row>
    <row r="2501" spans="1:7" x14ac:dyDescent="0.2">
      <c r="A2501" s="75">
        <v>42348</v>
      </c>
      <c r="B2501" s="76" t="s">
        <v>35</v>
      </c>
      <c r="C2501" s="76" t="s">
        <v>536</v>
      </c>
      <c r="D2501" s="79">
        <v>3629.7139440000001</v>
      </c>
      <c r="E2501" s="79">
        <v>7.4394999999999998</v>
      </c>
      <c r="F2501" s="79">
        <v>7.5545</v>
      </c>
      <c r="G2501" s="83">
        <f t="shared" si="38"/>
        <v>7.3791619047619053</v>
      </c>
    </row>
    <row r="2502" spans="1:7" x14ac:dyDescent="0.2">
      <c r="A2502" s="75">
        <v>42349</v>
      </c>
      <c r="B2502" s="76" t="s">
        <v>35</v>
      </c>
      <c r="C2502" s="76" t="s">
        <v>536</v>
      </c>
      <c r="D2502" s="79">
        <v>3633.5135249999998</v>
      </c>
      <c r="E2502" s="79">
        <v>7.5545</v>
      </c>
      <c r="F2502" s="79">
        <v>7.5484999999999998</v>
      </c>
      <c r="G2502" s="83">
        <f t="shared" si="38"/>
        <v>7.3791936507936509</v>
      </c>
    </row>
    <row r="2503" spans="1:7" x14ac:dyDescent="0.2">
      <c r="A2503" s="75">
        <v>42352</v>
      </c>
      <c r="B2503" s="76" t="s">
        <v>35</v>
      </c>
      <c r="C2503" s="76" t="s">
        <v>536</v>
      </c>
      <c r="D2503" s="79">
        <v>3633.5336400000001</v>
      </c>
      <c r="E2503" s="79">
        <v>7.5486000000000004</v>
      </c>
      <c r="F2503" s="79">
        <v>7.5650000000000004</v>
      </c>
      <c r="G2503" s="83">
        <f t="shared" si="38"/>
        <v>7.3805142857142867</v>
      </c>
    </row>
    <row r="2504" spans="1:7" x14ac:dyDescent="0.2">
      <c r="A2504" s="75">
        <v>42353</v>
      </c>
      <c r="B2504" s="76" t="s">
        <v>35</v>
      </c>
      <c r="C2504" s="76" t="s">
        <v>536</v>
      </c>
      <c r="D2504" s="79">
        <v>3636.0041219999998</v>
      </c>
      <c r="E2504" s="79">
        <v>7.5651000000000002</v>
      </c>
      <c r="F2504" s="79">
        <v>7.5670000000000002</v>
      </c>
      <c r="G2504" s="83">
        <f t="shared" si="38"/>
        <v>7.3842126984126981</v>
      </c>
    </row>
    <row r="2505" spans="1:7" x14ac:dyDescent="0.2">
      <c r="A2505" s="75">
        <v>42354</v>
      </c>
      <c r="B2505" s="76" t="s">
        <v>35</v>
      </c>
      <c r="C2505" s="76" t="s">
        <v>536</v>
      </c>
      <c r="D2505" s="79">
        <v>3641.061385</v>
      </c>
      <c r="E2505" s="79">
        <v>7.5670999999999999</v>
      </c>
      <c r="F2505" s="79">
        <v>7.5529999999999999</v>
      </c>
      <c r="G2505" s="83">
        <f t="shared" si="38"/>
        <v>7.3879285714285707</v>
      </c>
    </row>
    <row r="2506" spans="1:7" x14ac:dyDescent="0.2">
      <c r="A2506" s="75">
        <v>42355</v>
      </c>
      <c r="B2506" s="76" t="s">
        <v>35</v>
      </c>
      <c r="C2506" s="76" t="s">
        <v>536</v>
      </c>
      <c r="D2506" s="79">
        <v>3666.4339610000002</v>
      </c>
      <c r="E2506" s="79">
        <v>7.5530999999999997</v>
      </c>
      <c r="F2506" s="79">
        <v>7.4195000000000002</v>
      </c>
      <c r="G2506" s="83">
        <f t="shared" si="38"/>
        <v>7.391799999999999</v>
      </c>
    </row>
    <row r="2507" spans="1:7" x14ac:dyDescent="0.2">
      <c r="A2507" s="75">
        <v>42356</v>
      </c>
      <c r="B2507" s="76" t="s">
        <v>35</v>
      </c>
      <c r="C2507" s="76" t="s">
        <v>536</v>
      </c>
      <c r="D2507" s="79">
        <v>3675.4473950000001</v>
      </c>
      <c r="E2507" s="79">
        <v>7.4196999999999997</v>
      </c>
      <c r="F2507" s="79">
        <v>7.3826000000000001</v>
      </c>
      <c r="G2507" s="83">
        <f t="shared" si="38"/>
        <v>7.3931952380952364</v>
      </c>
    </row>
    <row r="2508" spans="1:7" x14ac:dyDescent="0.2">
      <c r="A2508" s="75">
        <v>42359</v>
      </c>
      <c r="B2508" s="76" t="s">
        <v>35</v>
      </c>
      <c r="C2508" s="76" t="s">
        <v>536</v>
      </c>
      <c r="D2508" s="79">
        <v>3674.916839</v>
      </c>
      <c r="E2508" s="79">
        <v>7.3829000000000002</v>
      </c>
      <c r="F2508" s="79">
        <v>7.4048999999999996</v>
      </c>
      <c r="G2508" s="83">
        <f t="shared" si="38"/>
        <v>7.3890999999999973</v>
      </c>
    </row>
    <row r="2509" spans="1:7" x14ac:dyDescent="0.2">
      <c r="A2509" s="75">
        <v>42360</v>
      </c>
      <c r="B2509" s="76" t="s">
        <v>35</v>
      </c>
      <c r="C2509" s="76" t="s">
        <v>536</v>
      </c>
      <c r="D2509" s="79">
        <v>3671.7026879999999</v>
      </c>
      <c r="E2509" s="79">
        <v>7.4051</v>
      </c>
      <c r="F2509" s="79">
        <v>7.4404000000000003</v>
      </c>
      <c r="G2509" s="83">
        <f t="shared" si="38"/>
        <v>7.3839095238095211</v>
      </c>
    </row>
    <row r="2510" spans="1:7" x14ac:dyDescent="0.2">
      <c r="A2510" s="75">
        <v>42361</v>
      </c>
      <c r="B2510" s="76" t="s">
        <v>35</v>
      </c>
      <c r="C2510" s="76" t="s">
        <v>536</v>
      </c>
      <c r="D2510" s="79">
        <v>3689.133511</v>
      </c>
      <c r="E2510" s="79">
        <v>7.4405999999999999</v>
      </c>
      <c r="F2510" s="79">
        <v>7.3552999999999997</v>
      </c>
      <c r="G2510" s="83">
        <f t="shared" si="38"/>
        <v>7.377971428571426</v>
      </c>
    </row>
    <row r="2511" spans="1:7" x14ac:dyDescent="0.2">
      <c r="A2511" s="75">
        <v>42362</v>
      </c>
      <c r="B2511" s="76" t="s">
        <v>35</v>
      </c>
      <c r="C2511" s="76" t="s">
        <v>536</v>
      </c>
      <c r="D2511" s="79">
        <v>3692.5406410000001</v>
      </c>
      <c r="E2511" s="79">
        <v>7.3555000000000001</v>
      </c>
      <c r="F2511" s="79">
        <v>7.3521000000000001</v>
      </c>
      <c r="G2511" s="83">
        <f t="shared" si="38"/>
        <v>7.3688015873015846</v>
      </c>
    </row>
    <row r="2512" spans="1:7" x14ac:dyDescent="0.2">
      <c r="A2512" s="75">
        <v>42366</v>
      </c>
      <c r="B2512" s="76" t="s">
        <v>35</v>
      </c>
      <c r="C2512" s="76" t="s">
        <v>536</v>
      </c>
      <c r="D2512" s="79">
        <v>3698.583376</v>
      </c>
      <c r="E2512" s="79">
        <v>7.3522999999999996</v>
      </c>
      <c r="F2512" s="79">
        <v>7.3335999999999997</v>
      </c>
      <c r="G2512" s="83">
        <f t="shared" si="38"/>
        <v>7.369347619047617</v>
      </c>
    </row>
    <row r="2513" spans="1:7" x14ac:dyDescent="0.2">
      <c r="A2513" s="75">
        <v>42367</v>
      </c>
      <c r="B2513" s="76" t="s">
        <v>35</v>
      </c>
      <c r="C2513" s="76" t="s">
        <v>536</v>
      </c>
      <c r="D2513" s="79">
        <v>3709.207821</v>
      </c>
      <c r="E2513" s="79">
        <v>7.3338000000000001</v>
      </c>
      <c r="F2513" s="79">
        <v>7.2885999999999997</v>
      </c>
      <c r="G2513" s="83">
        <f t="shared" si="38"/>
        <v>7.3676158730158718</v>
      </c>
    </row>
    <row r="2514" spans="1:7" x14ac:dyDescent="0.2">
      <c r="A2514" s="75">
        <v>42368</v>
      </c>
      <c r="B2514" s="76" t="s">
        <v>35</v>
      </c>
      <c r="C2514" s="76" t="s">
        <v>536</v>
      </c>
      <c r="D2514" s="79">
        <v>3709.1343430000002</v>
      </c>
      <c r="E2514" s="79">
        <v>7.2888999999999999</v>
      </c>
      <c r="F2514" s="79">
        <v>7.3056999999999999</v>
      </c>
      <c r="G2514" s="83">
        <f t="shared" si="38"/>
        <v>7.3575603174603152</v>
      </c>
    </row>
    <row r="2515" spans="1:7" x14ac:dyDescent="0.2">
      <c r="A2515" s="75">
        <v>42369</v>
      </c>
      <c r="B2515" s="76" t="s">
        <v>35</v>
      </c>
      <c r="C2515" s="76" t="s">
        <v>536</v>
      </c>
      <c r="D2515" s="79">
        <v>3711.8620550000001</v>
      </c>
      <c r="E2515" s="79">
        <v>7.3059000000000003</v>
      </c>
      <c r="F2515" s="79">
        <v>7.3064999999999998</v>
      </c>
      <c r="G2515" s="83">
        <f t="shared" si="38"/>
        <v>7.350984126984125</v>
      </c>
    </row>
    <row r="2516" spans="1:7" x14ac:dyDescent="0.2">
      <c r="A2516" s="75">
        <v>42373</v>
      </c>
      <c r="B2516" s="76" t="s">
        <v>35</v>
      </c>
      <c r="C2516" s="76" t="s">
        <v>536</v>
      </c>
      <c r="D2516" s="79">
        <v>3718.8665759999999</v>
      </c>
      <c r="E2516" s="79">
        <v>7.3068</v>
      </c>
      <c r="F2516" s="79">
        <v>7.2827000000000002</v>
      </c>
      <c r="G2516" s="83">
        <f t="shared" si="38"/>
        <v>7.3476730158730144</v>
      </c>
    </row>
    <row r="2517" spans="1:7" x14ac:dyDescent="0.2">
      <c r="A2517" s="75">
        <v>42374</v>
      </c>
      <c r="B2517" s="76" t="s">
        <v>35</v>
      </c>
      <c r="C2517" s="76" t="s">
        <v>536</v>
      </c>
      <c r="D2517" s="79">
        <v>3747.1622229999998</v>
      </c>
      <c r="E2517" s="79">
        <v>7.2830000000000004</v>
      </c>
      <c r="F2517" s="79">
        <v>7.1367000000000003</v>
      </c>
      <c r="G2517" s="83">
        <f t="shared" si="38"/>
        <v>7.344776190476189</v>
      </c>
    </row>
    <row r="2518" spans="1:7" x14ac:dyDescent="0.2">
      <c r="A2518" s="75">
        <v>42375</v>
      </c>
      <c r="B2518" s="76" t="s">
        <v>35</v>
      </c>
      <c r="C2518" s="76" t="s">
        <v>536</v>
      </c>
      <c r="D2518" s="79">
        <v>3760.52664</v>
      </c>
      <c r="E2518" s="79">
        <v>7.1369999999999996</v>
      </c>
      <c r="F2518" s="79">
        <v>7.0769000000000002</v>
      </c>
      <c r="G2518" s="83">
        <f t="shared" si="38"/>
        <v>7.3451650793650787</v>
      </c>
    </row>
    <row r="2519" spans="1:7" x14ac:dyDescent="0.2">
      <c r="A2519" s="75">
        <v>42376</v>
      </c>
      <c r="B2519" s="76" t="s">
        <v>35</v>
      </c>
      <c r="C2519" s="76" t="s">
        <v>536</v>
      </c>
      <c r="D2519" s="79">
        <v>3762.3998219999999</v>
      </c>
      <c r="E2519" s="79">
        <v>7.0773000000000001</v>
      </c>
      <c r="F2519" s="79">
        <v>7.0827999999999998</v>
      </c>
      <c r="G2519" s="83">
        <f t="shared" si="38"/>
        <v>7.3438412698412687</v>
      </c>
    </row>
    <row r="2520" spans="1:7" x14ac:dyDescent="0.2">
      <c r="A2520" s="75">
        <v>42377</v>
      </c>
      <c r="B2520" s="76" t="s">
        <v>35</v>
      </c>
      <c r="C2520" s="76" t="s">
        <v>536</v>
      </c>
      <c r="D2520" s="79">
        <v>3761.357536</v>
      </c>
      <c r="E2520" s="79">
        <v>7.0831999999999997</v>
      </c>
      <c r="F2520" s="79">
        <v>7.0956000000000001</v>
      </c>
      <c r="G2520" s="83">
        <f t="shared" si="38"/>
        <v>7.3415650793650782</v>
      </c>
    </row>
    <row r="2521" spans="1:7" x14ac:dyDescent="0.2">
      <c r="A2521" s="75">
        <v>42380</v>
      </c>
      <c r="B2521" s="76" t="s">
        <v>35</v>
      </c>
      <c r="C2521" s="76" t="s">
        <v>536</v>
      </c>
      <c r="D2521" s="79">
        <v>3762.6533589999999</v>
      </c>
      <c r="E2521" s="79">
        <v>7.0960999999999999</v>
      </c>
      <c r="F2521" s="79">
        <v>7.1043000000000003</v>
      </c>
      <c r="G2521" s="83">
        <f t="shared" si="38"/>
        <v>7.3368190476190467</v>
      </c>
    </row>
    <row r="2522" spans="1:7" x14ac:dyDescent="0.2">
      <c r="A2522" s="75">
        <v>42381</v>
      </c>
      <c r="B2522" s="76" t="s">
        <v>35</v>
      </c>
      <c r="C2522" s="76" t="s">
        <v>536</v>
      </c>
      <c r="D2522" s="79">
        <v>3766.8138909999998</v>
      </c>
      <c r="E2522" s="79">
        <v>7.1047000000000002</v>
      </c>
      <c r="F2522" s="79">
        <v>7.0965999999999996</v>
      </c>
      <c r="G2522" s="83">
        <f t="shared" si="38"/>
        <v>7.3340206349206332</v>
      </c>
    </row>
    <row r="2523" spans="1:7" x14ac:dyDescent="0.2">
      <c r="A2523" s="75">
        <v>42382</v>
      </c>
      <c r="B2523" s="76" t="s">
        <v>35</v>
      </c>
      <c r="C2523" s="76" t="s">
        <v>536</v>
      </c>
      <c r="D2523" s="79">
        <v>3773.6533030000001</v>
      </c>
      <c r="E2523" s="79">
        <v>7.0971000000000002</v>
      </c>
      <c r="F2523" s="79">
        <v>7.0738000000000003</v>
      </c>
      <c r="G2523" s="83">
        <f t="shared" si="38"/>
        <v>7.329295238095237</v>
      </c>
    </row>
    <row r="2524" spans="1:7" x14ac:dyDescent="0.2">
      <c r="A2524" s="75">
        <v>42383</v>
      </c>
      <c r="B2524" s="76" t="s">
        <v>35</v>
      </c>
      <c r="C2524" s="76" t="s">
        <v>536</v>
      </c>
      <c r="D2524" s="79">
        <v>3772.098109</v>
      </c>
      <c r="E2524" s="79">
        <v>7.0743</v>
      </c>
      <c r="F2524" s="79">
        <v>7.0987</v>
      </c>
      <c r="G2524" s="83">
        <f t="shared" si="38"/>
        <v>7.3221412698412687</v>
      </c>
    </row>
    <row r="2525" spans="1:7" x14ac:dyDescent="0.2">
      <c r="A2525" s="75">
        <v>42384</v>
      </c>
      <c r="B2525" s="76" t="s">
        <v>35</v>
      </c>
      <c r="C2525" s="76" t="s">
        <v>536</v>
      </c>
      <c r="D2525" s="79">
        <v>3772.3070349999998</v>
      </c>
      <c r="E2525" s="79">
        <v>7.0991999999999997</v>
      </c>
      <c r="F2525" s="79">
        <v>7.1135999999999999</v>
      </c>
      <c r="G2525" s="83">
        <f t="shared" si="38"/>
        <v>7.3156444444444437</v>
      </c>
    </row>
    <row r="2526" spans="1:7" x14ac:dyDescent="0.2">
      <c r="A2526" s="75">
        <v>42387</v>
      </c>
      <c r="B2526" s="76" t="s">
        <v>35</v>
      </c>
      <c r="C2526" s="76" t="s">
        <v>536</v>
      </c>
      <c r="D2526" s="79">
        <v>3781.0656009999998</v>
      </c>
      <c r="E2526" s="79">
        <v>7.1140999999999996</v>
      </c>
      <c r="F2526" s="79">
        <v>7.0808999999999997</v>
      </c>
      <c r="G2526" s="83">
        <f t="shared" si="38"/>
        <v>7.3114523809523808</v>
      </c>
    </row>
    <row r="2527" spans="1:7" x14ac:dyDescent="0.2">
      <c r="A2527" s="75">
        <v>42388</v>
      </c>
      <c r="B2527" s="76" t="s">
        <v>35</v>
      </c>
      <c r="C2527" s="76" t="s">
        <v>536</v>
      </c>
      <c r="D2527" s="79">
        <v>3778.9649639999998</v>
      </c>
      <c r="E2527" s="79">
        <v>7.0814000000000004</v>
      </c>
      <c r="F2527" s="79">
        <v>7.1097999999999999</v>
      </c>
      <c r="G2527" s="83">
        <f t="shared" si="38"/>
        <v>7.3060174603174595</v>
      </c>
    </row>
    <row r="2528" spans="1:7" x14ac:dyDescent="0.2">
      <c r="A2528" s="75">
        <v>42389</v>
      </c>
      <c r="B2528" s="76" t="s">
        <v>35</v>
      </c>
      <c r="C2528" s="76" t="s">
        <v>536</v>
      </c>
      <c r="D2528" s="79">
        <v>3770.7654480000001</v>
      </c>
      <c r="E2528" s="79">
        <v>7.1104000000000003</v>
      </c>
      <c r="F2528" s="79">
        <v>7.1734999999999998</v>
      </c>
      <c r="G2528" s="83">
        <f t="shared" si="38"/>
        <v>7.2998682539682536</v>
      </c>
    </row>
    <row r="2529" spans="1:7" x14ac:dyDescent="0.2">
      <c r="A2529" s="75">
        <v>42390</v>
      </c>
      <c r="B2529" s="76" t="s">
        <v>35</v>
      </c>
      <c r="C2529" s="76" t="s">
        <v>536</v>
      </c>
      <c r="D2529" s="79">
        <v>3812.994154</v>
      </c>
      <c r="E2529" s="79">
        <v>7.1742999999999997</v>
      </c>
      <c r="F2529" s="79">
        <v>6.9522000000000004</v>
      </c>
      <c r="G2529" s="83">
        <f t="shared" si="38"/>
        <v>7.2947063492063489</v>
      </c>
    </row>
    <row r="2530" spans="1:7" x14ac:dyDescent="0.2">
      <c r="A2530" s="75">
        <v>42391</v>
      </c>
      <c r="B2530" s="76" t="s">
        <v>35</v>
      </c>
      <c r="C2530" s="76" t="s">
        <v>536</v>
      </c>
      <c r="D2530" s="79">
        <v>3815.6247109999999</v>
      </c>
      <c r="E2530" s="79">
        <v>6.9532999999999996</v>
      </c>
      <c r="F2530" s="79">
        <v>6.9549000000000003</v>
      </c>
      <c r="G2530" s="83">
        <f t="shared" si="38"/>
        <v>7.2858650793650783</v>
      </c>
    </row>
    <row r="2531" spans="1:7" x14ac:dyDescent="0.2">
      <c r="A2531" s="75">
        <v>42394</v>
      </c>
      <c r="B2531" s="76" t="s">
        <v>35</v>
      </c>
      <c r="C2531" s="76" t="s">
        <v>536</v>
      </c>
      <c r="D2531" s="79">
        <v>3819.6668129999998</v>
      </c>
      <c r="E2531" s="79">
        <v>6.9561000000000002</v>
      </c>
      <c r="F2531" s="79">
        <v>6.9584999999999999</v>
      </c>
      <c r="G2531" s="83">
        <f t="shared" si="38"/>
        <v>7.2797650793650783</v>
      </c>
    </row>
    <row r="2532" spans="1:7" x14ac:dyDescent="0.2">
      <c r="A2532" s="75">
        <v>42395</v>
      </c>
      <c r="B2532" s="76" t="s">
        <v>35</v>
      </c>
      <c r="C2532" s="76" t="s">
        <v>536</v>
      </c>
      <c r="D2532" s="79">
        <v>3829.1391159999998</v>
      </c>
      <c r="E2532" s="79">
        <v>6.9596</v>
      </c>
      <c r="F2532" s="79">
        <v>6.9244000000000003</v>
      </c>
      <c r="G2532" s="83">
        <f t="shared" si="38"/>
        <v>7.2729428571428567</v>
      </c>
    </row>
    <row r="2533" spans="1:7" x14ac:dyDescent="0.2">
      <c r="A2533" s="75">
        <v>42396</v>
      </c>
      <c r="B2533" s="76" t="s">
        <v>35</v>
      </c>
      <c r="C2533" s="76" t="s">
        <v>536</v>
      </c>
      <c r="D2533" s="79">
        <v>3800.980423</v>
      </c>
      <c r="E2533" s="79">
        <v>6.9256000000000002</v>
      </c>
      <c r="F2533" s="79">
        <v>7.1014999999999997</v>
      </c>
      <c r="G2533" s="83">
        <f t="shared" si="38"/>
        <v>7.2661174603174601</v>
      </c>
    </row>
    <row r="2534" spans="1:7" x14ac:dyDescent="0.2">
      <c r="A2534" s="75">
        <v>42397</v>
      </c>
      <c r="B2534" s="76" t="s">
        <v>35</v>
      </c>
      <c r="C2534" s="76" t="s">
        <v>536</v>
      </c>
      <c r="D2534" s="79">
        <v>3814.5815499999999</v>
      </c>
      <c r="E2534" s="79">
        <v>7.1025</v>
      </c>
      <c r="F2534" s="79">
        <v>7.0438999999999998</v>
      </c>
      <c r="G2534" s="83">
        <f t="shared" si="38"/>
        <v>7.2633349206349207</v>
      </c>
    </row>
    <row r="2535" spans="1:7" x14ac:dyDescent="0.2">
      <c r="A2535" s="75">
        <v>42398</v>
      </c>
      <c r="B2535" s="76" t="s">
        <v>35</v>
      </c>
      <c r="C2535" s="76" t="s">
        <v>536</v>
      </c>
      <c r="D2535" s="79">
        <v>3813.532103</v>
      </c>
      <c r="E2535" s="79">
        <v>7.0449000000000002</v>
      </c>
      <c r="F2535" s="79">
        <v>7.0686999999999998</v>
      </c>
      <c r="G2535" s="83">
        <f t="shared" si="38"/>
        <v>7.2584920634920644</v>
      </c>
    </row>
    <row r="2536" spans="1:7" x14ac:dyDescent="0.2">
      <c r="A2536" s="75">
        <v>42401</v>
      </c>
      <c r="B2536" s="76" t="s">
        <v>35</v>
      </c>
      <c r="C2536" s="76" t="s">
        <v>536</v>
      </c>
      <c r="D2536" s="79">
        <v>3843.5499340000001</v>
      </c>
      <c r="E2536" s="79">
        <v>7.0694999999999997</v>
      </c>
      <c r="F2536" s="79">
        <v>6.9195000000000002</v>
      </c>
      <c r="G2536" s="83">
        <f t="shared" si="38"/>
        <v>7.2533873015873018</v>
      </c>
    </row>
    <row r="2537" spans="1:7" x14ac:dyDescent="0.2">
      <c r="A2537" s="75">
        <v>42402</v>
      </c>
      <c r="B2537" s="76" t="s">
        <v>35</v>
      </c>
      <c r="C2537" s="76" t="s">
        <v>536</v>
      </c>
      <c r="D2537" s="79">
        <v>3823.302322</v>
      </c>
      <c r="E2537" s="79">
        <v>6.9203999999999999</v>
      </c>
      <c r="F2537" s="79">
        <v>7.0513000000000003</v>
      </c>
      <c r="G2537" s="83">
        <f t="shared" si="38"/>
        <v>7.2453317460317468</v>
      </c>
    </row>
    <row r="2538" spans="1:7" x14ac:dyDescent="0.2">
      <c r="A2538" s="75">
        <v>42403</v>
      </c>
      <c r="B2538" s="76" t="s">
        <v>35</v>
      </c>
      <c r="C2538" s="76" t="s">
        <v>536</v>
      </c>
      <c r="D2538" s="79">
        <v>3838.952542</v>
      </c>
      <c r="E2538" s="79">
        <v>7.0522</v>
      </c>
      <c r="F2538" s="79">
        <v>6.9825999999999997</v>
      </c>
      <c r="G2538" s="83">
        <f t="shared" si="38"/>
        <v>7.2405253968253973</v>
      </c>
    </row>
    <row r="2539" spans="1:7" x14ac:dyDescent="0.2">
      <c r="A2539" s="75">
        <v>42404</v>
      </c>
      <c r="B2539" s="76" t="s">
        <v>35</v>
      </c>
      <c r="C2539" s="76" t="s">
        <v>536</v>
      </c>
      <c r="D2539" s="79">
        <v>3805.7050760000002</v>
      </c>
      <c r="E2539" s="79">
        <v>6.9835000000000003</v>
      </c>
      <c r="F2539" s="79">
        <v>7.1878000000000002</v>
      </c>
      <c r="G2539" s="83">
        <f t="shared" si="38"/>
        <v>7.235673015873016</v>
      </c>
    </row>
    <row r="2540" spans="1:7" x14ac:dyDescent="0.2">
      <c r="A2540" s="75">
        <v>42405</v>
      </c>
      <c r="B2540" s="76" t="s">
        <v>35</v>
      </c>
      <c r="C2540" s="76" t="s">
        <v>536</v>
      </c>
      <c r="D2540" s="79">
        <v>3833.314723</v>
      </c>
      <c r="E2540" s="79">
        <v>7.1885000000000003</v>
      </c>
      <c r="F2540" s="79">
        <v>7.0833000000000004</v>
      </c>
      <c r="G2540" s="83">
        <f t="shared" si="38"/>
        <v>7.2331555555555562</v>
      </c>
    </row>
    <row r="2541" spans="1:7" x14ac:dyDescent="0.2">
      <c r="A2541" s="75">
        <v>42410</v>
      </c>
      <c r="B2541" s="76" t="s">
        <v>35</v>
      </c>
      <c r="C2541" s="76" t="s">
        <v>536</v>
      </c>
      <c r="D2541" s="79">
        <v>3848.2730430000001</v>
      </c>
      <c r="E2541" s="79">
        <v>7.0841000000000003</v>
      </c>
      <c r="F2541" s="79">
        <v>7.0206999999999997</v>
      </c>
      <c r="G2541" s="83">
        <f t="shared" si="38"/>
        <v>7.2287873015873014</v>
      </c>
    </row>
    <row r="2542" spans="1:7" x14ac:dyDescent="0.2">
      <c r="A2542" s="75">
        <v>42411</v>
      </c>
      <c r="B2542" s="76" t="s">
        <v>35</v>
      </c>
      <c r="C2542" s="76" t="s">
        <v>536</v>
      </c>
      <c r="D2542" s="79">
        <v>3846.8719420000002</v>
      </c>
      <c r="E2542" s="79">
        <v>7.0213999999999999</v>
      </c>
      <c r="F2542" s="79">
        <v>7.0491999999999999</v>
      </c>
      <c r="G2542" s="83">
        <f t="shared" si="38"/>
        <v>7.2239126984126978</v>
      </c>
    </row>
    <row r="2543" spans="1:7" x14ac:dyDescent="0.2">
      <c r="A2543" s="75">
        <v>42412</v>
      </c>
      <c r="B2543" s="76" t="s">
        <v>35</v>
      </c>
      <c r="C2543" s="76" t="s">
        <v>536</v>
      </c>
      <c r="D2543" s="79">
        <v>3872.6663319999998</v>
      </c>
      <c r="E2543" s="79">
        <v>7.0499000000000001</v>
      </c>
      <c r="F2543" s="79">
        <v>6.9268000000000001</v>
      </c>
      <c r="G2543" s="83">
        <f t="shared" si="38"/>
        <v>7.2201666666666666</v>
      </c>
    </row>
    <row r="2544" spans="1:7" x14ac:dyDescent="0.2">
      <c r="A2544" s="75">
        <v>42415</v>
      </c>
      <c r="B2544" s="76" t="s">
        <v>35</v>
      </c>
      <c r="C2544" s="76" t="s">
        <v>536</v>
      </c>
      <c r="D2544" s="79">
        <v>3886.663947</v>
      </c>
      <c r="E2544" s="79">
        <v>6.9275000000000002</v>
      </c>
      <c r="F2544" s="79">
        <v>6.8701999999999996</v>
      </c>
      <c r="G2544" s="83">
        <f t="shared" si="38"/>
        <v>7.2166571428571427</v>
      </c>
    </row>
    <row r="2545" spans="1:7" x14ac:dyDescent="0.2">
      <c r="A2545" s="75">
        <v>42416</v>
      </c>
      <c r="B2545" s="76" t="s">
        <v>35</v>
      </c>
      <c r="C2545" s="76" t="s">
        <v>536</v>
      </c>
      <c r="D2545" s="79">
        <v>3894.3342499999999</v>
      </c>
      <c r="E2545" s="79">
        <v>6.8710000000000004</v>
      </c>
      <c r="F2545" s="79">
        <v>6.8438999999999997</v>
      </c>
      <c r="G2545" s="83">
        <f t="shared" si="38"/>
        <v>7.2122650793650775</v>
      </c>
    </row>
    <row r="2546" spans="1:7" x14ac:dyDescent="0.2">
      <c r="A2546" s="75">
        <v>42417</v>
      </c>
      <c r="B2546" s="76" t="s">
        <v>35</v>
      </c>
      <c r="C2546" s="76" t="s">
        <v>536</v>
      </c>
      <c r="D2546" s="79">
        <v>3902.4551449999999</v>
      </c>
      <c r="E2546" s="79">
        <v>6.8448000000000002</v>
      </c>
      <c r="F2546" s="79">
        <v>6.8152999999999997</v>
      </c>
      <c r="G2546" s="83">
        <f t="shared" si="38"/>
        <v>7.2071507936507917</v>
      </c>
    </row>
    <row r="2547" spans="1:7" x14ac:dyDescent="0.2">
      <c r="A2547" s="75">
        <v>42418</v>
      </c>
      <c r="B2547" s="76" t="s">
        <v>35</v>
      </c>
      <c r="C2547" s="76" t="s">
        <v>536</v>
      </c>
      <c r="D2547" s="79">
        <v>3884.7316949999999</v>
      </c>
      <c r="E2547" s="79">
        <v>6.8162000000000003</v>
      </c>
      <c r="F2547" s="79">
        <v>6.9286000000000003</v>
      </c>
      <c r="G2547" s="83">
        <f t="shared" si="38"/>
        <v>7.2017539682539677</v>
      </c>
    </row>
    <row r="2548" spans="1:7" x14ac:dyDescent="0.2">
      <c r="A2548" s="75">
        <v>42419</v>
      </c>
      <c r="B2548" s="76" t="s">
        <v>35</v>
      </c>
      <c r="C2548" s="76" t="s">
        <v>536</v>
      </c>
      <c r="D2548" s="79">
        <v>3888.8222989999999</v>
      </c>
      <c r="E2548" s="79">
        <v>6.9295</v>
      </c>
      <c r="F2548" s="79">
        <v>6.9221000000000004</v>
      </c>
      <c r="G2548" s="83">
        <f t="shared" si="38"/>
        <v>7.1983984126984124</v>
      </c>
    </row>
    <row r="2549" spans="1:7" x14ac:dyDescent="0.2">
      <c r="A2549" s="75">
        <v>42422</v>
      </c>
      <c r="B2549" s="76" t="s">
        <v>35</v>
      </c>
      <c r="C2549" s="76" t="s">
        <v>536</v>
      </c>
      <c r="D2549" s="79">
        <v>3902.590232</v>
      </c>
      <c r="E2549" s="79">
        <v>6.923</v>
      </c>
      <c r="F2549" s="79">
        <v>6.8624999999999998</v>
      </c>
      <c r="G2549" s="83">
        <f t="shared" si="38"/>
        <v>7.1960777777777771</v>
      </c>
    </row>
    <row r="2550" spans="1:7" x14ac:dyDescent="0.2">
      <c r="A2550" s="75">
        <v>42423</v>
      </c>
      <c r="B2550" s="76" t="s">
        <v>35</v>
      </c>
      <c r="C2550" s="76" t="s">
        <v>536</v>
      </c>
      <c r="D2550" s="79">
        <v>3904.0251659999999</v>
      </c>
      <c r="E2550" s="79">
        <v>6.8632</v>
      </c>
      <c r="F2550" s="79">
        <v>6.8704000000000001</v>
      </c>
      <c r="G2550" s="83">
        <f t="shared" si="38"/>
        <v>7.1953571428571426</v>
      </c>
    </row>
    <row r="2551" spans="1:7" x14ac:dyDescent="0.2">
      <c r="A2551" s="75">
        <v>42424</v>
      </c>
      <c r="B2551" s="76" t="s">
        <v>35</v>
      </c>
      <c r="C2551" s="76" t="s">
        <v>536</v>
      </c>
      <c r="D2551" s="79">
        <v>3918.3633089999998</v>
      </c>
      <c r="E2551" s="79">
        <v>6.8711000000000002</v>
      </c>
      <c r="F2551" s="79">
        <v>6.8113000000000001</v>
      </c>
      <c r="G2551" s="83">
        <f t="shared" si="38"/>
        <v>7.1947444444444439</v>
      </c>
    </row>
    <row r="2552" spans="1:7" x14ac:dyDescent="0.2">
      <c r="A2552" s="75">
        <v>42425</v>
      </c>
      <c r="B2552" s="76" t="s">
        <v>35</v>
      </c>
      <c r="C2552" s="76" t="s">
        <v>536</v>
      </c>
      <c r="D2552" s="79">
        <v>3919.081819</v>
      </c>
      <c r="E2552" s="79">
        <v>6.8120000000000003</v>
      </c>
      <c r="F2552" s="79">
        <v>6.8235999999999999</v>
      </c>
      <c r="G2552" s="83">
        <f t="shared" si="38"/>
        <v>7.1933095238095248</v>
      </c>
    </row>
    <row r="2553" spans="1:7" x14ac:dyDescent="0.2">
      <c r="A2553" s="75">
        <v>42426</v>
      </c>
      <c r="B2553" s="76" t="s">
        <v>35</v>
      </c>
      <c r="C2553" s="76" t="s">
        <v>536</v>
      </c>
      <c r="D2553" s="79">
        <v>3922.259697</v>
      </c>
      <c r="E2553" s="79">
        <v>6.8243</v>
      </c>
      <c r="F2553" s="79">
        <v>6.8224999999999998</v>
      </c>
      <c r="G2553" s="83">
        <f t="shared" si="38"/>
        <v>7.1898158730158732</v>
      </c>
    </row>
    <row r="2554" spans="1:7" x14ac:dyDescent="0.2">
      <c r="A2554" s="75">
        <v>42429</v>
      </c>
      <c r="B2554" s="76" t="s">
        <v>35</v>
      </c>
      <c r="C2554" s="76" t="s">
        <v>536</v>
      </c>
      <c r="D2554" s="79">
        <v>3937.395313</v>
      </c>
      <c r="E2554" s="79">
        <v>6.8231000000000002</v>
      </c>
      <c r="F2554" s="79">
        <v>6.7563000000000004</v>
      </c>
      <c r="G2554" s="83">
        <f t="shared" si="38"/>
        <v>7.1834444444444445</v>
      </c>
    </row>
    <row r="2555" spans="1:7" x14ac:dyDescent="0.2">
      <c r="A2555" s="75">
        <v>42430</v>
      </c>
      <c r="B2555" s="76" t="s">
        <v>35</v>
      </c>
      <c r="C2555" s="76" t="s">
        <v>536</v>
      </c>
      <c r="D2555" s="79">
        <v>3955.735306</v>
      </c>
      <c r="E2555" s="79">
        <v>6.7569999999999997</v>
      </c>
      <c r="F2555" s="79">
        <v>6.6731999999999996</v>
      </c>
      <c r="G2555" s="83">
        <f t="shared" si="38"/>
        <v>7.1728174603174617</v>
      </c>
    </row>
    <row r="2556" spans="1:7" x14ac:dyDescent="0.2">
      <c r="A2556" s="75">
        <v>42431</v>
      </c>
      <c r="B2556" s="76" t="s">
        <v>35</v>
      </c>
      <c r="C2556" s="76" t="s">
        <v>536</v>
      </c>
      <c r="D2556" s="79">
        <v>3962.5759939999998</v>
      </c>
      <c r="E2556" s="79">
        <v>6.6738999999999997</v>
      </c>
      <c r="F2556" s="79">
        <v>6.6524000000000001</v>
      </c>
      <c r="G2556" s="83">
        <f t="shared" si="38"/>
        <v>7.1587873015873047</v>
      </c>
    </row>
    <row r="2557" spans="1:7" x14ac:dyDescent="0.2">
      <c r="A2557" s="75">
        <v>42432</v>
      </c>
      <c r="B2557" s="76" t="s">
        <v>35</v>
      </c>
      <c r="C2557" s="76" t="s">
        <v>536</v>
      </c>
      <c r="D2557" s="79">
        <v>3979.3351870000001</v>
      </c>
      <c r="E2557" s="79">
        <v>6.6531000000000002</v>
      </c>
      <c r="F2557" s="79">
        <v>6.5784000000000002</v>
      </c>
      <c r="G2557" s="83">
        <f t="shared" si="38"/>
        <v>7.1439904761904778</v>
      </c>
    </row>
    <row r="2558" spans="1:7" x14ac:dyDescent="0.2">
      <c r="A2558" s="75">
        <v>42433</v>
      </c>
      <c r="B2558" s="76" t="s">
        <v>35</v>
      </c>
      <c r="C2558" s="76" t="s">
        <v>536</v>
      </c>
      <c r="D2558" s="79">
        <v>3988.000861</v>
      </c>
      <c r="E2558" s="79">
        <v>6.5789</v>
      </c>
      <c r="F2558" s="79">
        <v>6.5477999999999996</v>
      </c>
      <c r="G2558" s="83">
        <f t="shared" si="38"/>
        <v>7.1289888888888902</v>
      </c>
    </row>
    <row r="2559" spans="1:7" x14ac:dyDescent="0.2">
      <c r="A2559" s="75">
        <v>42436</v>
      </c>
      <c r="B2559" s="76" t="s">
        <v>35</v>
      </c>
      <c r="C2559" s="76" t="s">
        <v>536</v>
      </c>
      <c r="D2559" s="79">
        <v>3956.084601</v>
      </c>
      <c r="E2559" s="79">
        <v>6.5481999999999996</v>
      </c>
      <c r="F2559" s="79">
        <v>6.7350000000000003</v>
      </c>
      <c r="G2559" s="83">
        <f t="shared" si="38"/>
        <v>7.1149253968253978</v>
      </c>
    </row>
    <row r="2560" spans="1:7" x14ac:dyDescent="0.2">
      <c r="A2560" s="75">
        <v>42437</v>
      </c>
      <c r="B2560" s="76" t="s">
        <v>35</v>
      </c>
      <c r="C2560" s="76" t="s">
        <v>536</v>
      </c>
      <c r="D2560" s="79">
        <v>3980.2137360000002</v>
      </c>
      <c r="E2560" s="79">
        <v>6.7354000000000003</v>
      </c>
      <c r="F2560" s="79">
        <v>6.6210000000000004</v>
      </c>
      <c r="G2560" s="83">
        <f t="shared" si="38"/>
        <v>7.1031063492063504</v>
      </c>
    </row>
    <row r="2561" spans="1:7" x14ac:dyDescent="0.2">
      <c r="A2561" s="75">
        <v>42438</v>
      </c>
      <c r="B2561" s="76" t="s">
        <v>35</v>
      </c>
      <c r="C2561" s="76" t="s">
        <v>536</v>
      </c>
      <c r="D2561" s="79">
        <v>3994.6879170000002</v>
      </c>
      <c r="E2561" s="79">
        <v>6.6212999999999997</v>
      </c>
      <c r="F2561" s="79">
        <v>6.5454999999999997</v>
      </c>
      <c r="G2561" s="83">
        <f t="shared" si="38"/>
        <v>7.0899349206349216</v>
      </c>
    </row>
    <row r="2562" spans="1:7" x14ac:dyDescent="0.2">
      <c r="A2562" s="75">
        <v>42439</v>
      </c>
      <c r="B2562" s="76" t="s">
        <v>35</v>
      </c>
      <c r="C2562" s="76" t="s">
        <v>536</v>
      </c>
      <c r="D2562" s="79">
        <v>4008.795361</v>
      </c>
      <c r="E2562" s="79">
        <v>6.5457999999999998</v>
      </c>
      <c r="F2562" s="79">
        <v>6.4851000000000001</v>
      </c>
      <c r="G2562" s="83">
        <f t="shared" si="38"/>
        <v>7.0754238095238096</v>
      </c>
    </row>
    <row r="2563" spans="1:7" x14ac:dyDescent="0.2">
      <c r="A2563" s="75">
        <v>42440</v>
      </c>
      <c r="B2563" s="76" t="s">
        <v>35</v>
      </c>
      <c r="C2563" s="76" t="s">
        <v>536</v>
      </c>
      <c r="D2563" s="79">
        <v>4035.8736909999998</v>
      </c>
      <c r="E2563" s="79">
        <v>6.4854000000000003</v>
      </c>
      <c r="F2563" s="79">
        <v>6.3563999999999998</v>
      </c>
      <c r="G2563" s="83">
        <f t="shared" ref="G2563:G2626" si="39">+AVERAGE(E2501:E2563)</f>
        <v>7.0598047619047621</v>
      </c>
    </row>
    <row r="2564" spans="1:7" x14ac:dyDescent="0.2">
      <c r="A2564" s="75">
        <v>42443</v>
      </c>
      <c r="B2564" s="76" t="s">
        <v>35</v>
      </c>
      <c r="C2564" s="76" t="s">
        <v>536</v>
      </c>
      <c r="D2564" s="79">
        <v>4021.4773</v>
      </c>
      <c r="E2564" s="79">
        <v>6.3567</v>
      </c>
      <c r="F2564" s="79">
        <v>6.4470999999999998</v>
      </c>
      <c r="G2564" s="83">
        <f t="shared" si="39"/>
        <v>7.0426174603174605</v>
      </c>
    </row>
    <row r="2565" spans="1:7" x14ac:dyDescent="0.2">
      <c r="A2565" s="75">
        <v>42444</v>
      </c>
      <c r="B2565" s="76" t="s">
        <v>35</v>
      </c>
      <c r="C2565" s="76" t="s">
        <v>536</v>
      </c>
      <c r="D2565" s="79">
        <v>3985.3773489999999</v>
      </c>
      <c r="E2565" s="79">
        <v>6.4474999999999998</v>
      </c>
      <c r="F2565" s="79">
        <v>6.6542000000000003</v>
      </c>
      <c r="G2565" s="83">
        <f t="shared" si="39"/>
        <v>7.025046031746033</v>
      </c>
    </row>
    <row r="2566" spans="1:7" x14ac:dyDescent="0.2">
      <c r="A2566" s="75">
        <v>42445</v>
      </c>
      <c r="B2566" s="76" t="s">
        <v>35</v>
      </c>
      <c r="C2566" s="76" t="s">
        <v>536</v>
      </c>
      <c r="D2566" s="79">
        <v>3986.4398700000002</v>
      </c>
      <c r="E2566" s="79">
        <v>6.6547000000000001</v>
      </c>
      <c r="F2566" s="79">
        <v>6.6595000000000004</v>
      </c>
      <c r="G2566" s="83">
        <f t="shared" si="39"/>
        <v>7.0108571428571427</v>
      </c>
    </row>
    <row r="2567" spans="1:7" x14ac:dyDescent="0.2">
      <c r="A2567" s="75">
        <v>42446</v>
      </c>
      <c r="B2567" s="76" t="s">
        <v>35</v>
      </c>
      <c r="C2567" s="76" t="s">
        <v>536</v>
      </c>
      <c r="D2567" s="79">
        <v>4045.4157460000001</v>
      </c>
      <c r="E2567" s="79">
        <v>6.66</v>
      </c>
      <c r="F2567" s="79">
        <v>6.3574000000000002</v>
      </c>
      <c r="G2567" s="83">
        <f t="shared" si="39"/>
        <v>6.9964904761904778</v>
      </c>
    </row>
    <row r="2568" spans="1:7" x14ac:dyDescent="0.2">
      <c r="A2568" s="75">
        <v>42447</v>
      </c>
      <c r="B2568" s="76" t="s">
        <v>35</v>
      </c>
      <c r="C2568" s="76" t="s">
        <v>536</v>
      </c>
      <c r="D2568" s="79">
        <v>4065.8324689999999</v>
      </c>
      <c r="E2568" s="79">
        <v>6.3578999999999999</v>
      </c>
      <c r="F2568" s="79">
        <v>6.2610000000000001</v>
      </c>
      <c r="G2568" s="83">
        <f t="shared" si="39"/>
        <v>6.9772968253968246</v>
      </c>
    </row>
    <row r="2569" spans="1:7" x14ac:dyDescent="0.2">
      <c r="A2569" s="75">
        <v>42450</v>
      </c>
      <c r="B2569" s="76" t="s">
        <v>35</v>
      </c>
      <c r="C2569" s="76" t="s">
        <v>536</v>
      </c>
      <c r="D2569" s="79">
        <v>4083.1637179999998</v>
      </c>
      <c r="E2569" s="79">
        <v>6.2614999999999998</v>
      </c>
      <c r="F2569" s="79">
        <v>6.1811999999999996</v>
      </c>
      <c r="G2569" s="83">
        <f t="shared" si="39"/>
        <v>6.9567952380952383</v>
      </c>
    </row>
    <row r="2570" spans="1:7" x14ac:dyDescent="0.2">
      <c r="A2570" s="75">
        <v>42451</v>
      </c>
      <c r="B2570" s="76" t="s">
        <v>35</v>
      </c>
      <c r="C2570" s="76" t="s">
        <v>536</v>
      </c>
      <c r="D2570" s="79">
        <v>4116.6901690000004</v>
      </c>
      <c r="E2570" s="79">
        <v>6.1816000000000004</v>
      </c>
      <c r="F2570" s="79">
        <v>6.0179999999999998</v>
      </c>
      <c r="G2570" s="83">
        <f t="shared" si="39"/>
        <v>6.9371428571428586</v>
      </c>
    </row>
    <row r="2571" spans="1:7" x14ac:dyDescent="0.2">
      <c r="A2571" s="75">
        <v>42452</v>
      </c>
      <c r="B2571" s="76" t="s">
        <v>35</v>
      </c>
      <c r="C2571" s="76" t="s">
        <v>536</v>
      </c>
      <c r="D2571" s="79">
        <v>4070.9711940000002</v>
      </c>
      <c r="E2571" s="79">
        <v>6.0183</v>
      </c>
      <c r="F2571" s="79">
        <v>6.2655000000000003</v>
      </c>
      <c r="G2571" s="83">
        <f t="shared" si="39"/>
        <v>6.9154825396825412</v>
      </c>
    </row>
    <row r="2572" spans="1:7" x14ac:dyDescent="0.2">
      <c r="A2572" s="75">
        <v>42453</v>
      </c>
      <c r="B2572" s="76" t="s">
        <v>35</v>
      </c>
      <c r="C2572" s="76" t="s">
        <v>536</v>
      </c>
      <c r="D2572" s="79">
        <v>4039.250747</v>
      </c>
      <c r="E2572" s="79">
        <v>6.2656999999999998</v>
      </c>
      <c r="F2572" s="79">
        <v>6.4390000000000001</v>
      </c>
      <c r="G2572" s="83">
        <f t="shared" si="39"/>
        <v>6.8973968253968261</v>
      </c>
    </row>
    <row r="2573" spans="1:7" x14ac:dyDescent="0.2">
      <c r="A2573" s="75">
        <v>42457</v>
      </c>
      <c r="B2573" s="76" t="s">
        <v>35</v>
      </c>
      <c r="C2573" s="76" t="s">
        <v>536</v>
      </c>
      <c r="D2573" s="79">
        <v>4077.8439819999999</v>
      </c>
      <c r="E2573" s="79">
        <v>6.4391999999999996</v>
      </c>
      <c r="F2573" s="79">
        <v>6.2465999999999999</v>
      </c>
      <c r="G2573" s="83">
        <f t="shared" si="39"/>
        <v>6.8815015873015888</v>
      </c>
    </row>
    <row r="2574" spans="1:7" x14ac:dyDescent="0.2">
      <c r="A2574" s="75">
        <v>42458</v>
      </c>
      <c r="B2574" s="76" t="s">
        <v>35</v>
      </c>
      <c r="C2574" s="76" t="s">
        <v>536</v>
      </c>
      <c r="D2574" s="79">
        <v>4080.5766309999999</v>
      </c>
      <c r="E2574" s="79">
        <v>6.2466999999999997</v>
      </c>
      <c r="F2574" s="79">
        <v>6.2420999999999998</v>
      </c>
      <c r="G2574" s="83">
        <f t="shared" si="39"/>
        <v>6.8639015873015881</v>
      </c>
    </row>
    <row r="2575" spans="1:7" x14ac:dyDescent="0.2">
      <c r="A2575" s="75">
        <v>42459</v>
      </c>
      <c r="B2575" s="76" t="s">
        <v>35</v>
      </c>
      <c r="C2575" s="76" t="s">
        <v>536</v>
      </c>
      <c r="D2575" s="79">
        <v>4052.363038</v>
      </c>
      <c r="E2575" s="79">
        <v>6.2422000000000004</v>
      </c>
      <c r="F2575" s="79">
        <v>6.3994999999999997</v>
      </c>
      <c r="G2575" s="83">
        <f t="shared" si="39"/>
        <v>6.8462809523809529</v>
      </c>
    </row>
    <row r="2576" spans="1:7" x14ac:dyDescent="0.2">
      <c r="A2576" s="75">
        <v>42460</v>
      </c>
      <c r="B2576" s="76" t="s">
        <v>35</v>
      </c>
      <c r="C2576" s="76" t="s">
        <v>536</v>
      </c>
      <c r="D2576" s="79">
        <v>4022.148631</v>
      </c>
      <c r="E2576" s="79">
        <v>6.3996000000000004</v>
      </c>
      <c r="F2576" s="79">
        <v>6.5689000000000002</v>
      </c>
      <c r="G2576" s="83">
        <f t="shared" si="39"/>
        <v>6.8314523809523822</v>
      </c>
    </row>
    <row r="2577" spans="1:7" x14ac:dyDescent="0.2">
      <c r="A2577" s="75">
        <v>42461</v>
      </c>
      <c r="B2577" s="76" t="s">
        <v>35</v>
      </c>
      <c r="C2577" s="76" t="s">
        <v>536</v>
      </c>
      <c r="D2577" s="79">
        <v>4043.69884</v>
      </c>
      <c r="E2577" s="79">
        <v>6.5689000000000002</v>
      </c>
      <c r="F2577" s="79">
        <v>6.4649000000000001</v>
      </c>
      <c r="G2577" s="83">
        <f t="shared" si="39"/>
        <v>6.8200238095238106</v>
      </c>
    </row>
    <row r="2578" spans="1:7" x14ac:dyDescent="0.2">
      <c r="A2578" s="75">
        <v>42464</v>
      </c>
      <c r="B2578" s="76" t="s">
        <v>35</v>
      </c>
      <c r="C2578" s="76" t="s">
        <v>536</v>
      </c>
      <c r="D2578" s="79">
        <v>4014.2741810000002</v>
      </c>
      <c r="E2578" s="79">
        <v>6.4649000000000001</v>
      </c>
      <c r="F2578" s="79">
        <v>6.6304999999999996</v>
      </c>
      <c r="G2578" s="83">
        <f t="shared" si="39"/>
        <v>6.8066746031746046</v>
      </c>
    </row>
    <row r="2579" spans="1:7" x14ac:dyDescent="0.2">
      <c r="A2579" s="75">
        <v>42465</v>
      </c>
      <c r="B2579" s="76" t="s">
        <v>35</v>
      </c>
      <c r="C2579" s="76" t="s">
        <v>536</v>
      </c>
      <c r="D2579" s="79">
        <v>4018.7883320000001</v>
      </c>
      <c r="E2579" s="79">
        <v>6.6306000000000003</v>
      </c>
      <c r="F2579" s="79">
        <v>6.6166</v>
      </c>
      <c r="G2579" s="83">
        <f t="shared" si="39"/>
        <v>6.795941269841272</v>
      </c>
    </row>
    <row r="2580" spans="1:7" x14ac:dyDescent="0.2">
      <c r="A2580" s="75">
        <v>42466</v>
      </c>
      <c r="B2580" s="76" t="s">
        <v>35</v>
      </c>
      <c r="C2580" s="76" t="s">
        <v>536</v>
      </c>
      <c r="D2580" s="79">
        <v>4010.0952929999999</v>
      </c>
      <c r="E2580" s="79">
        <v>6.6166999999999998</v>
      </c>
      <c r="F2580" s="79">
        <v>6.6729000000000003</v>
      </c>
      <c r="G2580" s="83">
        <f t="shared" si="39"/>
        <v>6.7853650793650813</v>
      </c>
    </row>
    <row r="2581" spans="1:7" x14ac:dyDescent="0.2">
      <c r="A2581" s="75">
        <v>42467</v>
      </c>
      <c r="B2581" s="76" t="s">
        <v>35</v>
      </c>
      <c r="C2581" s="76" t="s">
        <v>536</v>
      </c>
      <c r="D2581" s="79">
        <v>4006.9276610000002</v>
      </c>
      <c r="E2581" s="79">
        <v>6.673</v>
      </c>
      <c r="F2581" s="79">
        <v>6.6999000000000004</v>
      </c>
      <c r="G2581" s="83">
        <f t="shared" si="39"/>
        <v>6.7780000000000014</v>
      </c>
    </row>
    <row r="2582" spans="1:7" x14ac:dyDescent="0.2">
      <c r="A2582" s="75">
        <v>42468</v>
      </c>
      <c r="B2582" s="76" t="s">
        <v>35</v>
      </c>
      <c r="C2582" s="76" t="s">
        <v>536</v>
      </c>
      <c r="D2582" s="79">
        <v>4042.6072680000002</v>
      </c>
      <c r="E2582" s="79">
        <v>6.6999000000000004</v>
      </c>
      <c r="F2582" s="79">
        <v>6.5141999999999998</v>
      </c>
      <c r="G2582" s="83">
        <f t="shared" si="39"/>
        <v>6.7720095238095244</v>
      </c>
    </row>
    <row r="2583" spans="1:7" x14ac:dyDescent="0.2">
      <c r="A2583" s="75">
        <v>42471</v>
      </c>
      <c r="B2583" s="76" t="s">
        <v>35</v>
      </c>
      <c r="C2583" s="76" t="s">
        <v>536</v>
      </c>
      <c r="D2583" s="79">
        <v>4068.3577129999999</v>
      </c>
      <c r="E2583" s="79">
        <v>6.5141999999999998</v>
      </c>
      <c r="F2583" s="79">
        <v>6.3883999999999999</v>
      </c>
      <c r="G2583" s="83">
        <f t="shared" si="39"/>
        <v>6.7629777777777802</v>
      </c>
    </row>
    <row r="2584" spans="1:7" x14ac:dyDescent="0.2">
      <c r="A2584" s="75">
        <v>42472</v>
      </c>
      <c r="B2584" s="76" t="s">
        <v>35</v>
      </c>
      <c r="C2584" s="76" t="s">
        <v>536</v>
      </c>
      <c r="D2584" s="79">
        <v>4076.1390769999998</v>
      </c>
      <c r="E2584" s="79">
        <v>6.3883999999999999</v>
      </c>
      <c r="F2584" s="79">
        <v>6.3571</v>
      </c>
      <c r="G2584" s="83">
        <f t="shared" si="39"/>
        <v>6.751744444444447</v>
      </c>
    </row>
    <row r="2585" spans="1:7" x14ac:dyDescent="0.2">
      <c r="A2585" s="75">
        <v>42473</v>
      </c>
      <c r="B2585" s="76" t="s">
        <v>35</v>
      </c>
      <c r="C2585" s="76" t="s">
        <v>536</v>
      </c>
      <c r="D2585" s="79">
        <v>4108.0233779999999</v>
      </c>
      <c r="E2585" s="79">
        <v>6.3571</v>
      </c>
      <c r="F2585" s="79">
        <v>6.2007000000000003</v>
      </c>
      <c r="G2585" s="83">
        <f t="shared" si="39"/>
        <v>6.7398777777777807</v>
      </c>
    </row>
    <row r="2586" spans="1:7" x14ac:dyDescent="0.2">
      <c r="A2586" s="75">
        <v>42474</v>
      </c>
      <c r="B2586" s="76" t="s">
        <v>35</v>
      </c>
      <c r="C2586" s="76" t="s">
        <v>536</v>
      </c>
      <c r="D2586" s="79">
        <v>4110.714422</v>
      </c>
      <c r="E2586" s="79">
        <v>6.2007000000000003</v>
      </c>
      <c r="F2586" s="79">
        <v>6.1959999999999997</v>
      </c>
      <c r="G2586" s="83">
        <f t="shared" si="39"/>
        <v>6.7256492063492077</v>
      </c>
    </row>
    <row r="2587" spans="1:7" x14ac:dyDescent="0.2">
      <c r="A2587" s="75">
        <v>42475</v>
      </c>
      <c r="B2587" s="76" t="s">
        <v>35</v>
      </c>
      <c r="C2587" s="76" t="s">
        <v>536</v>
      </c>
      <c r="D2587" s="79">
        <v>4120.8071870000003</v>
      </c>
      <c r="E2587" s="79">
        <v>6.1959</v>
      </c>
      <c r="F2587" s="79">
        <v>6.1529999999999996</v>
      </c>
      <c r="G2587" s="83">
        <f t="shared" si="39"/>
        <v>6.7117063492063505</v>
      </c>
    </row>
    <row r="2588" spans="1:7" x14ac:dyDescent="0.2">
      <c r="A2588" s="75">
        <v>42478</v>
      </c>
      <c r="B2588" s="76" t="s">
        <v>35</v>
      </c>
      <c r="C2588" s="76" t="s">
        <v>536</v>
      </c>
      <c r="D2588" s="79">
        <v>4138.4370790000003</v>
      </c>
      <c r="E2588" s="79">
        <v>6.1528999999999998</v>
      </c>
      <c r="F2588" s="79">
        <v>6.0734000000000004</v>
      </c>
      <c r="G2588" s="83">
        <f t="shared" si="39"/>
        <v>6.6966857142857155</v>
      </c>
    </row>
    <row r="2589" spans="1:7" x14ac:dyDescent="0.2">
      <c r="A2589" s="75">
        <v>42479</v>
      </c>
      <c r="B2589" s="76" t="s">
        <v>35</v>
      </c>
      <c r="C2589" s="76" t="s">
        <v>536</v>
      </c>
      <c r="D2589" s="79">
        <v>4125.9680879999996</v>
      </c>
      <c r="E2589" s="79">
        <v>6.0732999999999997</v>
      </c>
      <c r="F2589" s="79">
        <v>6.1485000000000003</v>
      </c>
      <c r="G2589" s="83">
        <f t="shared" si="39"/>
        <v>6.6801650793650804</v>
      </c>
    </row>
    <row r="2590" spans="1:7" x14ac:dyDescent="0.2">
      <c r="A2590" s="75">
        <v>42480</v>
      </c>
      <c r="B2590" s="76" t="s">
        <v>35</v>
      </c>
      <c r="C2590" s="76" t="s">
        <v>536</v>
      </c>
      <c r="D2590" s="79">
        <v>4115.7261369999997</v>
      </c>
      <c r="E2590" s="79">
        <v>6.1485000000000003</v>
      </c>
      <c r="F2590" s="79">
        <v>6.2125000000000004</v>
      </c>
      <c r="G2590" s="83">
        <f t="shared" si="39"/>
        <v>6.6653571428571441</v>
      </c>
    </row>
    <row r="2591" spans="1:7" x14ac:dyDescent="0.2">
      <c r="A2591" s="75">
        <v>42482</v>
      </c>
      <c r="B2591" s="76" t="s">
        <v>35</v>
      </c>
      <c r="C2591" s="76" t="s">
        <v>536</v>
      </c>
      <c r="D2591" s="79">
        <v>4106.2811590000001</v>
      </c>
      <c r="E2591" s="79">
        <v>6.2125000000000004</v>
      </c>
      <c r="F2591" s="79">
        <v>6.2709000000000001</v>
      </c>
      <c r="G2591" s="83">
        <f t="shared" si="39"/>
        <v>6.6511047619047625</v>
      </c>
    </row>
    <row r="2592" spans="1:7" x14ac:dyDescent="0.2">
      <c r="A2592" s="75">
        <v>42485</v>
      </c>
      <c r="B2592" s="76" t="s">
        <v>35</v>
      </c>
      <c r="C2592" s="76" t="s">
        <v>536</v>
      </c>
      <c r="D2592" s="79">
        <v>4111.8955040000001</v>
      </c>
      <c r="E2592" s="79">
        <v>6.2709000000000001</v>
      </c>
      <c r="F2592" s="79">
        <v>6.2526999999999999</v>
      </c>
      <c r="G2592" s="83">
        <f t="shared" si="39"/>
        <v>6.6367650793650794</v>
      </c>
    </row>
    <row r="2593" spans="1:7" x14ac:dyDescent="0.2">
      <c r="A2593" s="75">
        <v>42486</v>
      </c>
      <c r="B2593" s="76" t="s">
        <v>35</v>
      </c>
      <c r="C2593" s="76" t="s">
        <v>536</v>
      </c>
      <c r="D2593" s="79">
        <v>4106.6307239999996</v>
      </c>
      <c r="E2593" s="79">
        <v>6.2527999999999997</v>
      </c>
      <c r="F2593" s="79">
        <v>6.2908999999999997</v>
      </c>
      <c r="G2593" s="83">
        <f t="shared" si="39"/>
        <v>6.6256460317460313</v>
      </c>
    </row>
    <row r="2594" spans="1:7" x14ac:dyDescent="0.2">
      <c r="A2594" s="75">
        <v>42487</v>
      </c>
      <c r="B2594" s="76" t="s">
        <v>35</v>
      </c>
      <c r="C2594" s="76" t="s">
        <v>536</v>
      </c>
      <c r="D2594" s="79">
        <v>4122.2961079999995</v>
      </c>
      <c r="E2594" s="79">
        <v>6.2908999999999997</v>
      </c>
      <c r="F2594" s="79">
        <v>6.2207999999999997</v>
      </c>
      <c r="G2594" s="83">
        <f t="shared" si="39"/>
        <v>6.6150873015873017</v>
      </c>
    </row>
    <row r="2595" spans="1:7" x14ac:dyDescent="0.2">
      <c r="A2595" s="75">
        <v>42488</v>
      </c>
      <c r="B2595" s="76" t="s">
        <v>35</v>
      </c>
      <c r="C2595" s="76" t="s">
        <v>536</v>
      </c>
      <c r="D2595" s="79">
        <v>4106.6703980000002</v>
      </c>
      <c r="E2595" s="79">
        <v>6.2207999999999997</v>
      </c>
      <c r="F2595" s="79">
        <v>6.3124000000000002</v>
      </c>
      <c r="G2595" s="83">
        <f t="shared" si="39"/>
        <v>6.603360317460317</v>
      </c>
    </row>
    <row r="2596" spans="1:7" x14ac:dyDescent="0.2">
      <c r="A2596" s="75">
        <v>42489</v>
      </c>
      <c r="B2596" s="76" t="s">
        <v>35</v>
      </c>
      <c r="C2596" s="76" t="s">
        <v>536</v>
      </c>
      <c r="D2596" s="79">
        <v>4153.1022050000001</v>
      </c>
      <c r="E2596" s="79">
        <v>6.3124000000000002</v>
      </c>
      <c r="F2596" s="79">
        <v>6.0842999999999998</v>
      </c>
      <c r="G2596" s="83">
        <f t="shared" si="39"/>
        <v>6.593626984126983</v>
      </c>
    </row>
    <row r="2597" spans="1:7" x14ac:dyDescent="0.2">
      <c r="A2597" s="75">
        <v>42492</v>
      </c>
      <c r="B2597" s="76" t="s">
        <v>35</v>
      </c>
      <c r="C2597" s="76" t="s">
        <v>536</v>
      </c>
      <c r="D2597" s="79">
        <v>4150.8724400000001</v>
      </c>
      <c r="E2597" s="79">
        <v>6.0842999999999998</v>
      </c>
      <c r="F2597" s="79">
        <v>6.1063999999999998</v>
      </c>
      <c r="G2597" s="83">
        <f t="shared" si="39"/>
        <v>6.5774650793650791</v>
      </c>
    </row>
    <row r="2598" spans="1:7" x14ac:dyDescent="0.2">
      <c r="A2598" s="75">
        <v>42493</v>
      </c>
      <c r="B2598" s="76" t="s">
        <v>35</v>
      </c>
      <c r="C2598" s="76" t="s">
        <v>536</v>
      </c>
      <c r="D2598" s="79">
        <v>4150.0741790000002</v>
      </c>
      <c r="E2598" s="79">
        <v>6.1063999999999998</v>
      </c>
      <c r="F2598" s="79">
        <v>6.1212</v>
      </c>
      <c r="G2598" s="83">
        <f t="shared" si="39"/>
        <v>6.562568253968255</v>
      </c>
    </row>
    <row r="2599" spans="1:7" x14ac:dyDescent="0.2">
      <c r="A2599" s="75">
        <v>42494</v>
      </c>
      <c r="B2599" s="76" t="s">
        <v>35</v>
      </c>
      <c r="C2599" s="76" t="s">
        <v>536</v>
      </c>
      <c r="D2599" s="79">
        <v>4146.3892969999997</v>
      </c>
      <c r="E2599" s="79">
        <v>6.1211000000000002</v>
      </c>
      <c r="F2599" s="79">
        <v>6.1506999999999996</v>
      </c>
      <c r="G2599" s="83">
        <f t="shared" si="39"/>
        <v>6.5475142857142865</v>
      </c>
    </row>
    <row r="2600" spans="1:7" x14ac:dyDescent="0.2">
      <c r="A2600" s="75">
        <v>42495</v>
      </c>
      <c r="B2600" s="76" t="s">
        <v>35</v>
      </c>
      <c r="C2600" s="76" t="s">
        <v>536</v>
      </c>
      <c r="D2600" s="79">
        <v>4163.5555109999996</v>
      </c>
      <c r="E2600" s="79">
        <v>6.1506999999999996</v>
      </c>
      <c r="F2600" s="79">
        <v>6.0736999999999997</v>
      </c>
      <c r="G2600" s="83">
        <f t="shared" si="39"/>
        <v>6.5352968253968244</v>
      </c>
    </row>
    <row r="2601" spans="1:7" x14ac:dyDescent="0.2">
      <c r="A2601" s="75">
        <v>42496</v>
      </c>
      <c r="B2601" s="76" t="s">
        <v>35</v>
      </c>
      <c r="C2601" s="76" t="s">
        <v>536</v>
      </c>
      <c r="D2601" s="79">
        <v>4161.3293219999996</v>
      </c>
      <c r="E2601" s="79">
        <v>6.0736999999999997</v>
      </c>
      <c r="F2601" s="79">
        <v>6.1060999999999996</v>
      </c>
      <c r="G2601" s="83">
        <f t="shared" si="39"/>
        <v>6.5197650793650785</v>
      </c>
    </row>
    <row r="2602" spans="1:7" x14ac:dyDescent="0.2">
      <c r="A2602" s="75">
        <v>42499</v>
      </c>
      <c r="B2602" s="76" t="s">
        <v>35</v>
      </c>
      <c r="C2602" s="76" t="s">
        <v>536</v>
      </c>
      <c r="D2602" s="79">
        <v>4146.4042060000002</v>
      </c>
      <c r="E2602" s="79">
        <v>6.1060999999999996</v>
      </c>
      <c r="F2602" s="79">
        <v>6.1939000000000002</v>
      </c>
      <c r="G2602" s="83">
        <f t="shared" si="39"/>
        <v>6.5058380952380954</v>
      </c>
    </row>
    <row r="2603" spans="1:7" x14ac:dyDescent="0.2">
      <c r="A2603" s="75">
        <v>42500</v>
      </c>
      <c r="B2603" s="76" t="s">
        <v>35</v>
      </c>
      <c r="C2603" s="76" t="s">
        <v>536</v>
      </c>
      <c r="D2603" s="79">
        <v>4179.965706</v>
      </c>
      <c r="E2603" s="79">
        <v>6.1939000000000002</v>
      </c>
      <c r="F2603" s="79">
        <v>6.0342000000000002</v>
      </c>
      <c r="G2603" s="83">
        <f t="shared" si="39"/>
        <v>6.4900507936507923</v>
      </c>
    </row>
    <row r="2604" spans="1:7" x14ac:dyDescent="0.2">
      <c r="A2604" s="75">
        <v>42501</v>
      </c>
      <c r="B2604" s="76" t="s">
        <v>35</v>
      </c>
      <c r="C2604" s="76" t="s">
        <v>536</v>
      </c>
      <c r="D2604" s="79">
        <v>4206.6704019999997</v>
      </c>
      <c r="E2604" s="79">
        <v>6.0340999999999996</v>
      </c>
      <c r="F2604" s="79">
        <v>5.9104000000000001</v>
      </c>
      <c r="G2604" s="83">
        <f t="shared" si="39"/>
        <v>6.4733841269841266</v>
      </c>
    </row>
    <row r="2605" spans="1:7" x14ac:dyDescent="0.2">
      <c r="A2605" s="75">
        <v>42502</v>
      </c>
      <c r="B2605" s="76" t="s">
        <v>35</v>
      </c>
      <c r="C2605" s="76" t="s">
        <v>536</v>
      </c>
      <c r="D2605" s="79">
        <v>4226.7236329999996</v>
      </c>
      <c r="E2605" s="79">
        <v>5.9103000000000003</v>
      </c>
      <c r="F2605" s="79">
        <v>5.8208000000000002</v>
      </c>
      <c r="G2605" s="83">
        <f t="shared" si="39"/>
        <v>6.4557476190476182</v>
      </c>
    </row>
    <row r="2606" spans="1:7" x14ac:dyDescent="0.2">
      <c r="A2606" s="75">
        <v>42503</v>
      </c>
      <c r="B2606" s="76" t="s">
        <v>35</v>
      </c>
      <c r="C2606" s="76" t="s">
        <v>536</v>
      </c>
      <c r="D2606" s="79">
        <v>4234.3334560000003</v>
      </c>
      <c r="E2606" s="79">
        <v>5.8207000000000004</v>
      </c>
      <c r="F2606" s="79">
        <v>5.7938000000000001</v>
      </c>
      <c r="G2606" s="83">
        <f t="shared" si="39"/>
        <v>6.4362365079365071</v>
      </c>
    </row>
    <row r="2607" spans="1:7" x14ac:dyDescent="0.2">
      <c r="A2607" s="75">
        <v>42506</v>
      </c>
      <c r="B2607" s="76" t="s">
        <v>35</v>
      </c>
      <c r="C2607" s="76" t="s">
        <v>536</v>
      </c>
      <c r="D2607" s="79">
        <v>4238.1089830000001</v>
      </c>
      <c r="E2607" s="79">
        <v>5.7938000000000001</v>
      </c>
      <c r="F2607" s="79">
        <v>5.7861000000000002</v>
      </c>
      <c r="G2607" s="83">
        <f t="shared" si="39"/>
        <v>6.4182412698412685</v>
      </c>
    </row>
    <row r="2608" spans="1:7" x14ac:dyDescent="0.2">
      <c r="A2608" s="75">
        <v>42507</v>
      </c>
      <c r="B2608" s="76" t="s">
        <v>35</v>
      </c>
      <c r="C2608" s="76" t="s">
        <v>536</v>
      </c>
      <c r="D2608" s="79">
        <v>4234.8002630000001</v>
      </c>
      <c r="E2608" s="79">
        <v>5.7859999999999996</v>
      </c>
      <c r="F2608" s="79">
        <v>5.8140000000000001</v>
      </c>
      <c r="G2608" s="83">
        <f t="shared" si="39"/>
        <v>6.4010190476190472</v>
      </c>
    </row>
    <row r="2609" spans="1:7" x14ac:dyDescent="0.2">
      <c r="A2609" s="75">
        <v>42508</v>
      </c>
      <c r="B2609" s="76" t="s">
        <v>35</v>
      </c>
      <c r="C2609" s="76" t="s">
        <v>536</v>
      </c>
      <c r="D2609" s="79">
        <v>4213.0526529999997</v>
      </c>
      <c r="E2609" s="79">
        <v>5.8139000000000003</v>
      </c>
      <c r="F2609" s="79">
        <v>5.9344999999999999</v>
      </c>
      <c r="G2609" s="83">
        <f t="shared" si="39"/>
        <v>6.3846555555555558</v>
      </c>
    </row>
    <row r="2610" spans="1:7" x14ac:dyDescent="0.2">
      <c r="A2610" s="75">
        <v>42509</v>
      </c>
      <c r="B2610" s="76" t="s">
        <v>35</v>
      </c>
      <c r="C2610" s="76" t="s">
        <v>536</v>
      </c>
      <c r="D2610" s="79">
        <v>4223.4773089999999</v>
      </c>
      <c r="E2610" s="79">
        <v>5.9344000000000001</v>
      </c>
      <c r="F2610" s="79">
        <v>5.8936000000000002</v>
      </c>
      <c r="G2610" s="83">
        <f t="shared" si="39"/>
        <v>6.3706587301587296</v>
      </c>
    </row>
    <row r="2611" spans="1:7" x14ac:dyDescent="0.2">
      <c r="A2611" s="75">
        <v>42510</v>
      </c>
      <c r="B2611" s="76" t="s">
        <v>35</v>
      </c>
      <c r="C2611" s="76" t="s">
        <v>536</v>
      </c>
      <c r="D2611" s="79">
        <v>4219.9837319999997</v>
      </c>
      <c r="E2611" s="79">
        <v>5.8935000000000004</v>
      </c>
      <c r="F2611" s="79">
        <v>5.9226000000000001</v>
      </c>
      <c r="G2611" s="83">
        <f t="shared" si="39"/>
        <v>6.3542142857142858</v>
      </c>
    </row>
    <row r="2612" spans="1:7" x14ac:dyDescent="0.2">
      <c r="A2612" s="75">
        <v>42513</v>
      </c>
      <c r="B2612" s="76" t="s">
        <v>35</v>
      </c>
      <c r="C2612" s="76" t="s">
        <v>536</v>
      </c>
      <c r="D2612" s="79">
        <v>4182.6478900000002</v>
      </c>
      <c r="E2612" s="79">
        <v>5.9225000000000003</v>
      </c>
      <c r="F2612" s="79">
        <v>6.1266999999999996</v>
      </c>
      <c r="G2612" s="83">
        <f t="shared" si="39"/>
        <v>6.3383333333333329</v>
      </c>
    </row>
    <row r="2613" spans="1:7" x14ac:dyDescent="0.2">
      <c r="A2613" s="75">
        <v>42514</v>
      </c>
      <c r="B2613" s="76" t="s">
        <v>35</v>
      </c>
      <c r="C2613" s="76" t="s">
        <v>536</v>
      </c>
      <c r="D2613" s="79">
        <v>4176.2102489999997</v>
      </c>
      <c r="E2613" s="79">
        <v>6.1266999999999996</v>
      </c>
      <c r="F2613" s="79">
        <v>6.1719999999999997</v>
      </c>
      <c r="G2613" s="83">
        <f t="shared" si="39"/>
        <v>6.3266428571428568</v>
      </c>
    </row>
    <row r="2614" spans="1:7" x14ac:dyDescent="0.2">
      <c r="A2614" s="75">
        <v>42515</v>
      </c>
      <c r="B2614" s="76" t="s">
        <v>35</v>
      </c>
      <c r="C2614" s="76" t="s">
        <v>536</v>
      </c>
      <c r="D2614" s="79">
        <v>4171.3038779999997</v>
      </c>
      <c r="E2614" s="79">
        <v>6.1718999999999999</v>
      </c>
      <c r="F2614" s="79">
        <v>6.2095000000000002</v>
      </c>
      <c r="G2614" s="83">
        <f t="shared" si="39"/>
        <v>6.3155444444444448</v>
      </c>
    </row>
    <row r="2615" spans="1:7" x14ac:dyDescent="0.2">
      <c r="A2615" s="75">
        <v>42517</v>
      </c>
      <c r="B2615" s="76" t="s">
        <v>35</v>
      </c>
      <c r="C2615" s="76" t="s">
        <v>536</v>
      </c>
      <c r="D2615" s="79">
        <v>4160.8912639999999</v>
      </c>
      <c r="E2615" s="79">
        <v>6.2093999999999996</v>
      </c>
      <c r="F2615" s="79">
        <v>6.2751999999999999</v>
      </c>
      <c r="G2615" s="83">
        <f t="shared" si="39"/>
        <v>6.3059793650793647</v>
      </c>
    </row>
    <row r="2616" spans="1:7" x14ac:dyDescent="0.2">
      <c r="A2616" s="75">
        <v>42520</v>
      </c>
      <c r="B2616" s="76" t="s">
        <v>35</v>
      </c>
      <c r="C2616" s="76" t="s">
        <v>536</v>
      </c>
      <c r="D2616" s="79">
        <v>4173.0791719999997</v>
      </c>
      <c r="E2616" s="79">
        <v>6.2751000000000001</v>
      </c>
      <c r="F2616" s="79">
        <v>6.2256</v>
      </c>
      <c r="G2616" s="83">
        <f t="shared" si="39"/>
        <v>6.2972619047619052</v>
      </c>
    </row>
    <row r="2617" spans="1:7" x14ac:dyDescent="0.2">
      <c r="A2617" s="75">
        <v>42521</v>
      </c>
      <c r="B2617" s="76" t="s">
        <v>35</v>
      </c>
      <c r="C2617" s="76" t="s">
        <v>536</v>
      </c>
      <c r="D2617" s="79">
        <v>4169.4429840000003</v>
      </c>
      <c r="E2617" s="79">
        <v>6.2255000000000003</v>
      </c>
      <c r="F2617" s="79">
        <v>6.2567000000000004</v>
      </c>
      <c r="G2617" s="83">
        <f t="shared" si="39"/>
        <v>6.2877761904761913</v>
      </c>
    </row>
    <row r="2618" spans="1:7" x14ac:dyDescent="0.2">
      <c r="A2618" s="75">
        <v>42522</v>
      </c>
      <c r="B2618" s="76" t="s">
        <v>35</v>
      </c>
      <c r="C2618" s="76" t="s">
        <v>536</v>
      </c>
      <c r="D2618" s="79">
        <v>4179.0395280000002</v>
      </c>
      <c r="E2618" s="79">
        <v>6.2565999999999997</v>
      </c>
      <c r="F2618" s="79">
        <v>6.2203999999999997</v>
      </c>
      <c r="G2618" s="83">
        <f t="shared" si="39"/>
        <v>6.2798333333333334</v>
      </c>
    </row>
    <row r="2619" spans="1:7" x14ac:dyDescent="0.2">
      <c r="A2619" s="75">
        <v>42523</v>
      </c>
      <c r="B2619" s="76" t="s">
        <v>35</v>
      </c>
      <c r="C2619" s="76" t="s">
        <v>536</v>
      </c>
      <c r="D2619" s="79">
        <v>4197.7916130000003</v>
      </c>
      <c r="E2619" s="79">
        <v>6.2202999999999999</v>
      </c>
      <c r="F2619" s="79">
        <v>6.1378000000000004</v>
      </c>
      <c r="G2619" s="83">
        <f t="shared" si="39"/>
        <v>6.2726333333333333</v>
      </c>
    </row>
    <row r="2620" spans="1:7" x14ac:dyDescent="0.2">
      <c r="A2620" s="75">
        <v>42524</v>
      </c>
      <c r="B2620" s="76" t="s">
        <v>35</v>
      </c>
      <c r="C2620" s="76" t="s">
        <v>536</v>
      </c>
      <c r="D2620" s="79">
        <v>4227.9282460000004</v>
      </c>
      <c r="E2620" s="79">
        <v>6.1376999999999997</v>
      </c>
      <c r="F2620" s="79">
        <v>5.9984000000000002</v>
      </c>
      <c r="G2620" s="83">
        <f t="shared" si="39"/>
        <v>6.2644523809523811</v>
      </c>
    </row>
    <row r="2621" spans="1:7" x14ac:dyDescent="0.2">
      <c r="A2621" s="75">
        <v>42527</v>
      </c>
      <c r="B2621" s="76" t="s">
        <v>35</v>
      </c>
      <c r="C2621" s="76" t="s">
        <v>536</v>
      </c>
      <c r="D2621" s="79">
        <v>4231.5074809999996</v>
      </c>
      <c r="E2621" s="79">
        <v>5.9983000000000004</v>
      </c>
      <c r="F2621" s="79">
        <v>5.9927999999999999</v>
      </c>
      <c r="G2621" s="83">
        <f t="shared" si="39"/>
        <v>6.2552365079365089</v>
      </c>
    </row>
    <row r="2622" spans="1:7" x14ac:dyDescent="0.2">
      <c r="A2622" s="75">
        <v>42528</v>
      </c>
      <c r="B2622" s="76" t="s">
        <v>35</v>
      </c>
      <c r="C2622" s="76" t="s">
        <v>536</v>
      </c>
      <c r="D2622" s="79">
        <v>4223.1908970000004</v>
      </c>
      <c r="E2622" s="79">
        <v>5.9927999999999999</v>
      </c>
      <c r="F2622" s="79">
        <v>6.0469999999999997</v>
      </c>
      <c r="G2622" s="83">
        <f t="shared" si="39"/>
        <v>6.2464206349206366</v>
      </c>
    </row>
    <row r="2623" spans="1:7" x14ac:dyDescent="0.2">
      <c r="A2623" s="75">
        <v>42529</v>
      </c>
      <c r="B2623" s="76" t="s">
        <v>35</v>
      </c>
      <c r="C2623" s="76" t="s">
        <v>536</v>
      </c>
      <c r="D2623" s="79">
        <v>4236.3842969999996</v>
      </c>
      <c r="E2623" s="79">
        <v>6.0469999999999997</v>
      </c>
      <c r="F2623" s="79">
        <v>5.9981</v>
      </c>
      <c r="G2623" s="83">
        <f t="shared" si="39"/>
        <v>6.2354936507936527</v>
      </c>
    </row>
    <row r="2624" spans="1:7" x14ac:dyDescent="0.2">
      <c r="A2624" s="75">
        <v>42530</v>
      </c>
      <c r="B2624" s="76" t="s">
        <v>35</v>
      </c>
      <c r="C2624" s="76" t="s">
        <v>536</v>
      </c>
      <c r="D2624" s="79">
        <v>4236.4948809999996</v>
      </c>
      <c r="E2624" s="79">
        <v>5.9981</v>
      </c>
      <c r="F2624" s="79">
        <v>6.0103</v>
      </c>
      <c r="G2624" s="83">
        <f t="shared" si="39"/>
        <v>6.2256015873015889</v>
      </c>
    </row>
    <row r="2625" spans="1:7" x14ac:dyDescent="0.2">
      <c r="A2625" s="75">
        <v>42531</v>
      </c>
      <c r="B2625" s="76" t="s">
        <v>35</v>
      </c>
      <c r="C2625" s="76" t="s">
        <v>536</v>
      </c>
      <c r="D2625" s="79">
        <v>4223.4163159999998</v>
      </c>
      <c r="E2625" s="79">
        <v>6.0103999999999997</v>
      </c>
      <c r="F2625" s="79">
        <v>6.0888</v>
      </c>
      <c r="G2625" s="83">
        <f t="shared" si="39"/>
        <v>6.2171031746031762</v>
      </c>
    </row>
    <row r="2626" spans="1:7" x14ac:dyDescent="0.2">
      <c r="A2626" s="75">
        <v>42534</v>
      </c>
      <c r="B2626" s="76" t="s">
        <v>35</v>
      </c>
      <c r="C2626" s="76" t="s">
        <v>536</v>
      </c>
      <c r="D2626" s="79">
        <v>4234.3784910000004</v>
      </c>
      <c r="E2626" s="79">
        <v>6.0888999999999998</v>
      </c>
      <c r="F2626" s="79">
        <v>6.0467000000000004</v>
      </c>
      <c r="G2626" s="83">
        <f t="shared" si="39"/>
        <v>6.2108095238095258</v>
      </c>
    </row>
    <row r="2627" spans="1:7" x14ac:dyDescent="0.2">
      <c r="A2627" s="75">
        <v>42535</v>
      </c>
      <c r="B2627" s="76" t="s">
        <v>35</v>
      </c>
      <c r="C2627" s="76" t="s">
        <v>536</v>
      </c>
      <c r="D2627" s="79">
        <v>4239.7078940000001</v>
      </c>
      <c r="E2627" s="79">
        <v>6.0468000000000002</v>
      </c>
      <c r="F2627" s="79">
        <v>6.0328999999999997</v>
      </c>
      <c r="G2627" s="83">
        <f t="shared" ref="G2627:G2690" si="40">+AVERAGE(E2565:E2627)</f>
        <v>6.2058904761904792</v>
      </c>
    </row>
    <row r="2628" spans="1:7" x14ac:dyDescent="0.2">
      <c r="A2628" s="75">
        <v>42536</v>
      </c>
      <c r="B2628" s="76" t="s">
        <v>35</v>
      </c>
      <c r="C2628" s="76" t="s">
        <v>536</v>
      </c>
      <c r="D2628" s="79">
        <v>4238.107473</v>
      </c>
      <c r="E2628" s="79">
        <v>6.0328999999999997</v>
      </c>
      <c r="F2628" s="79">
        <v>6.0537000000000001</v>
      </c>
      <c r="G2628" s="83">
        <f t="shared" si="40"/>
        <v>6.1993095238095268</v>
      </c>
    </row>
    <row r="2629" spans="1:7" x14ac:dyDescent="0.2">
      <c r="A2629" s="75">
        <v>42537</v>
      </c>
      <c r="B2629" s="76" t="s">
        <v>35</v>
      </c>
      <c r="C2629" s="76" t="s">
        <v>536</v>
      </c>
      <c r="D2629" s="79">
        <v>4228.841872</v>
      </c>
      <c r="E2629" s="79">
        <v>6.0537000000000001</v>
      </c>
      <c r="F2629" s="79">
        <v>6.1083999999999996</v>
      </c>
      <c r="G2629" s="83">
        <f t="shared" si="40"/>
        <v>6.1897698412698432</v>
      </c>
    </row>
    <row r="2630" spans="1:7" x14ac:dyDescent="0.2">
      <c r="A2630" s="75">
        <v>42538</v>
      </c>
      <c r="B2630" s="76" t="s">
        <v>35</v>
      </c>
      <c r="C2630" s="76" t="s">
        <v>536</v>
      </c>
      <c r="D2630" s="79">
        <v>4224.1411850000004</v>
      </c>
      <c r="E2630" s="79">
        <v>6.1083999999999996</v>
      </c>
      <c r="F2630" s="79">
        <v>6.1402999999999999</v>
      </c>
      <c r="G2630" s="83">
        <f t="shared" si="40"/>
        <v>6.1810142857142889</v>
      </c>
    </row>
    <row r="2631" spans="1:7" x14ac:dyDescent="0.2">
      <c r="A2631" s="75">
        <v>42541</v>
      </c>
      <c r="B2631" s="76" t="s">
        <v>35</v>
      </c>
      <c r="C2631" s="76" t="s">
        <v>536</v>
      </c>
      <c r="D2631" s="79">
        <v>4219.96893</v>
      </c>
      <c r="E2631" s="79">
        <v>6.1402999999999999</v>
      </c>
      <c r="F2631" s="79">
        <v>6.1696</v>
      </c>
      <c r="G2631" s="83">
        <f t="shared" si="40"/>
        <v>6.1775603174603217</v>
      </c>
    </row>
    <row r="2632" spans="1:7" x14ac:dyDescent="0.2">
      <c r="A2632" s="75">
        <v>42542</v>
      </c>
      <c r="B2632" s="76" t="s">
        <v>35</v>
      </c>
      <c r="C2632" s="76" t="s">
        <v>536</v>
      </c>
      <c r="D2632" s="79">
        <v>4219.2993399999996</v>
      </c>
      <c r="E2632" s="79">
        <v>6.1696</v>
      </c>
      <c r="F2632" s="79">
        <v>6.1813000000000002</v>
      </c>
      <c r="G2632" s="83">
        <f t="shared" si="40"/>
        <v>6.1761015873015923</v>
      </c>
    </row>
    <row r="2633" spans="1:7" x14ac:dyDescent="0.2">
      <c r="A2633" s="75">
        <v>42543</v>
      </c>
      <c r="B2633" s="76" t="s">
        <v>35</v>
      </c>
      <c r="C2633" s="76" t="s">
        <v>536</v>
      </c>
      <c r="D2633" s="79">
        <v>4223.1526139999996</v>
      </c>
      <c r="E2633" s="79">
        <v>6.1813000000000002</v>
      </c>
      <c r="F2633" s="79">
        <v>6.1711999999999998</v>
      </c>
      <c r="G2633" s="83">
        <f t="shared" si="40"/>
        <v>6.1760968253968285</v>
      </c>
    </row>
    <row r="2634" spans="1:7" x14ac:dyDescent="0.2">
      <c r="A2634" s="75">
        <v>42544</v>
      </c>
      <c r="B2634" s="76" t="s">
        <v>35</v>
      </c>
      <c r="C2634" s="76" t="s">
        <v>536</v>
      </c>
      <c r="D2634" s="79">
        <v>4236.1965229999996</v>
      </c>
      <c r="E2634" s="79">
        <v>6.1711999999999998</v>
      </c>
      <c r="F2634" s="79">
        <v>6.1142000000000003</v>
      </c>
      <c r="G2634" s="83">
        <f t="shared" si="40"/>
        <v>6.1785238095238135</v>
      </c>
    </row>
    <row r="2635" spans="1:7" x14ac:dyDescent="0.2">
      <c r="A2635" s="75">
        <v>42545</v>
      </c>
      <c r="B2635" s="76" t="s">
        <v>35</v>
      </c>
      <c r="C2635" s="76" t="s">
        <v>536</v>
      </c>
      <c r="D2635" s="79">
        <v>4239.1237110000002</v>
      </c>
      <c r="E2635" s="79">
        <v>6.1142000000000003</v>
      </c>
      <c r="F2635" s="79">
        <v>6.1079999999999997</v>
      </c>
      <c r="G2635" s="83">
        <f t="shared" si="40"/>
        <v>6.1761190476190508</v>
      </c>
    </row>
    <row r="2636" spans="1:7" x14ac:dyDescent="0.2">
      <c r="A2636" s="75">
        <v>42548</v>
      </c>
      <c r="B2636" s="76" t="s">
        <v>35</v>
      </c>
      <c r="C2636" s="76" t="s">
        <v>536</v>
      </c>
      <c r="D2636" s="79">
        <v>4265.8215010000004</v>
      </c>
      <c r="E2636" s="79">
        <v>6.1079999999999997</v>
      </c>
      <c r="F2636" s="79">
        <v>5.9832000000000001</v>
      </c>
      <c r="G2636" s="83">
        <f t="shared" si="40"/>
        <v>6.1708619047619075</v>
      </c>
    </row>
    <row r="2637" spans="1:7" x14ac:dyDescent="0.2">
      <c r="A2637" s="75">
        <v>42549</v>
      </c>
      <c r="B2637" s="76" t="s">
        <v>35</v>
      </c>
      <c r="C2637" s="76" t="s">
        <v>536</v>
      </c>
      <c r="D2637" s="79">
        <v>4242.6045690000001</v>
      </c>
      <c r="E2637" s="79">
        <v>5.9831000000000003</v>
      </c>
      <c r="F2637" s="79">
        <v>6.1073000000000004</v>
      </c>
      <c r="G2637" s="83">
        <f t="shared" si="40"/>
        <v>6.1666777777777799</v>
      </c>
    </row>
    <row r="2638" spans="1:7" x14ac:dyDescent="0.2">
      <c r="A2638" s="75">
        <v>42550</v>
      </c>
      <c r="B2638" s="76" t="s">
        <v>35</v>
      </c>
      <c r="C2638" s="76" t="s">
        <v>536</v>
      </c>
      <c r="D2638" s="79">
        <v>4196.5588189999999</v>
      </c>
      <c r="E2638" s="79">
        <v>6.1071</v>
      </c>
      <c r="F2638" s="79">
        <v>6.3475999999999999</v>
      </c>
      <c r="G2638" s="83">
        <f t="shared" si="40"/>
        <v>6.1645333333333348</v>
      </c>
    </row>
    <row r="2639" spans="1:7" x14ac:dyDescent="0.2">
      <c r="A2639" s="75">
        <v>42551</v>
      </c>
      <c r="B2639" s="76" t="s">
        <v>35</v>
      </c>
      <c r="C2639" s="76" t="s">
        <v>536</v>
      </c>
      <c r="D2639" s="79">
        <v>4191.9638779999996</v>
      </c>
      <c r="E2639" s="79">
        <v>6.3474000000000004</v>
      </c>
      <c r="F2639" s="79">
        <v>6.3794000000000004</v>
      </c>
      <c r="G2639" s="83">
        <f t="shared" si="40"/>
        <v>6.1637047619047634</v>
      </c>
    </row>
    <row r="2640" spans="1:7" x14ac:dyDescent="0.2">
      <c r="A2640" s="75">
        <v>42552</v>
      </c>
      <c r="B2640" s="76" t="s">
        <v>35</v>
      </c>
      <c r="C2640" s="76" t="s">
        <v>536</v>
      </c>
      <c r="D2640" s="79">
        <v>4218.8400259999999</v>
      </c>
      <c r="E2640" s="79">
        <v>6.3791000000000002</v>
      </c>
      <c r="F2640" s="79">
        <v>6.2518000000000002</v>
      </c>
      <c r="G2640" s="83">
        <f t="shared" si="40"/>
        <v>6.1606920634920659</v>
      </c>
    </row>
    <row r="2641" spans="1:7" x14ac:dyDescent="0.2">
      <c r="A2641" s="75">
        <v>42555</v>
      </c>
      <c r="B2641" s="76" t="s">
        <v>35</v>
      </c>
      <c r="C2641" s="76" t="s">
        <v>536</v>
      </c>
      <c r="D2641" s="79">
        <v>4212.7739089999995</v>
      </c>
      <c r="E2641" s="79">
        <v>6.2515999999999998</v>
      </c>
      <c r="F2641" s="79">
        <v>6.2907999999999999</v>
      </c>
      <c r="G2641" s="83">
        <f t="shared" si="40"/>
        <v>6.1573063492063502</v>
      </c>
    </row>
    <row r="2642" spans="1:7" x14ac:dyDescent="0.2">
      <c r="A2642" s="75">
        <v>42556</v>
      </c>
      <c r="B2642" s="76" t="s">
        <v>35</v>
      </c>
      <c r="C2642" s="76" t="s">
        <v>536</v>
      </c>
      <c r="D2642" s="79">
        <v>4209.9092259999998</v>
      </c>
      <c r="E2642" s="79">
        <v>6.2906000000000004</v>
      </c>
      <c r="F2642" s="79">
        <v>6.3136999999999999</v>
      </c>
      <c r="G2642" s="83">
        <f t="shared" si="40"/>
        <v>6.1519095238095245</v>
      </c>
    </row>
    <row r="2643" spans="1:7" x14ac:dyDescent="0.2">
      <c r="A2643" s="75">
        <v>42557</v>
      </c>
      <c r="B2643" s="76" t="s">
        <v>35</v>
      </c>
      <c r="C2643" s="76" t="s">
        <v>536</v>
      </c>
      <c r="D2643" s="79">
        <v>4214.7089020000003</v>
      </c>
      <c r="E2643" s="79">
        <v>6.3136000000000001</v>
      </c>
      <c r="F2643" s="79">
        <v>6.298</v>
      </c>
      <c r="G2643" s="83">
        <f t="shared" si="40"/>
        <v>6.1470984126984138</v>
      </c>
    </row>
    <row r="2644" spans="1:7" x14ac:dyDescent="0.2">
      <c r="A2644" s="75">
        <v>42558</v>
      </c>
      <c r="B2644" s="76" t="s">
        <v>35</v>
      </c>
      <c r="C2644" s="76" t="s">
        <v>536</v>
      </c>
      <c r="D2644" s="79">
        <v>4212.8142820000003</v>
      </c>
      <c r="E2644" s="79">
        <v>6.2979000000000003</v>
      </c>
      <c r="F2644" s="79">
        <v>6.3160999999999996</v>
      </c>
      <c r="G2644" s="83">
        <f t="shared" si="40"/>
        <v>6.1411444444444454</v>
      </c>
    </row>
    <row r="2645" spans="1:7" x14ac:dyDescent="0.2">
      <c r="A2645" s="75">
        <v>42559</v>
      </c>
      <c r="B2645" s="76" t="s">
        <v>35</v>
      </c>
      <c r="C2645" s="76" t="s">
        <v>536</v>
      </c>
      <c r="D2645" s="79">
        <v>4228.4674599999998</v>
      </c>
      <c r="E2645" s="79">
        <v>6.3159999999999998</v>
      </c>
      <c r="F2645" s="79">
        <v>6.2441000000000004</v>
      </c>
      <c r="G2645" s="83">
        <f t="shared" si="40"/>
        <v>6.1350507936507936</v>
      </c>
    </row>
    <row r="2646" spans="1:7" x14ac:dyDescent="0.2">
      <c r="A2646" s="75">
        <v>42562</v>
      </c>
      <c r="B2646" s="76" t="s">
        <v>35</v>
      </c>
      <c r="C2646" s="76" t="s">
        <v>536</v>
      </c>
      <c r="D2646" s="79">
        <v>4228.6838129999996</v>
      </c>
      <c r="E2646" s="79">
        <v>6.2439999999999998</v>
      </c>
      <c r="F2646" s="79">
        <v>6.2514000000000003</v>
      </c>
      <c r="G2646" s="83">
        <f t="shared" si="40"/>
        <v>6.1307619047619042</v>
      </c>
    </row>
    <row r="2647" spans="1:7" x14ac:dyDescent="0.2">
      <c r="A2647" s="75">
        <v>42563</v>
      </c>
      <c r="B2647" s="76" t="s">
        <v>35</v>
      </c>
      <c r="C2647" s="76" t="s">
        <v>536</v>
      </c>
      <c r="D2647" s="79">
        <v>4233.9155840000003</v>
      </c>
      <c r="E2647" s="79">
        <v>6.2512999999999996</v>
      </c>
      <c r="F2647" s="79">
        <v>6.2335000000000003</v>
      </c>
      <c r="G2647" s="83">
        <f t="shared" si="40"/>
        <v>6.1285857142857143</v>
      </c>
    </row>
    <row r="2648" spans="1:7" x14ac:dyDescent="0.2">
      <c r="A2648" s="75">
        <v>42564</v>
      </c>
      <c r="B2648" s="76" t="s">
        <v>35</v>
      </c>
      <c r="C2648" s="76" t="s">
        <v>536</v>
      </c>
      <c r="D2648" s="79">
        <v>4245.7977149999997</v>
      </c>
      <c r="E2648" s="79">
        <v>6.2333999999999996</v>
      </c>
      <c r="F2648" s="79">
        <v>6.1822999999999997</v>
      </c>
      <c r="G2648" s="83">
        <f t="shared" si="40"/>
        <v>6.1266222222222222</v>
      </c>
    </row>
    <row r="2649" spans="1:7" x14ac:dyDescent="0.2">
      <c r="A2649" s="75">
        <v>42565</v>
      </c>
      <c r="B2649" s="76" t="s">
        <v>35</v>
      </c>
      <c r="C2649" s="76" t="s">
        <v>536</v>
      </c>
      <c r="D2649" s="79">
        <v>4259.9955989999999</v>
      </c>
      <c r="E2649" s="79">
        <v>6.1821999999999999</v>
      </c>
      <c r="F2649" s="79">
        <v>6.1196999999999999</v>
      </c>
      <c r="G2649" s="83">
        <f t="shared" si="40"/>
        <v>6.126328571428572</v>
      </c>
    </row>
    <row r="2650" spans="1:7" x14ac:dyDescent="0.2">
      <c r="A2650" s="75">
        <v>42566</v>
      </c>
      <c r="B2650" s="76" t="s">
        <v>35</v>
      </c>
      <c r="C2650" s="76" t="s">
        <v>536</v>
      </c>
      <c r="D2650" s="79">
        <v>4272.4468390000002</v>
      </c>
      <c r="E2650" s="79">
        <v>6.1195000000000004</v>
      </c>
      <c r="F2650" s="79">
        <v>6.0659000000000001</v>
      </c>
      <c r="G2650" s="83">
        <f t="shared" si="40"/>
        <v>6.125115873015873</v>
      </c>
    </row>
    <row r="2651" spans="1:7" x14ac:dyDescent="0.2">
      <c r="A2651" s="75">
        <v>42569</v>
      </c>
      <c r="B2651" s="76" t="s">
        <v>35</v>
      </c>
      <c r="C2651" s="76" t="s">
        <v>536</v>
      </c>
      <c r="D2651" s="79">
        <v>4273.0708249999998</v>
      </c>
      <c r="E2651" s="79">
        <v>6.0656999999999996</v>
      </c>
      <c r="F2651" s="79">
        <v>6.0720999999999998</v>
      </c>
      <c r="G2651" s="83">
        <f t="shared" si="40"/>
        <v>6.1237317460317469</v>
      </c>
    </row>
    <row r="2652" spans="1:7" x14ac:dyDescent="0.2">
      <c r="A2652" s="75">
        <v>42570</v>
      </c>
      <c r="B2652" s="76" t="s">
        <v>35</v>
      </c>
      <c r="C2652" s="76" t="s">
        <v>536</v>
      </c>
      <c r="D2652" s="79">
        <v>4259.8948190000001</v>
      </c>
      <c r="E2652" s="79">
        <v>6.0720000000000001</v>
      </c>
      <c r="F2652" s="79">
        <v>6.1471</v>
      </c>
      <c r="G2652" s="83">
        <f t="shared" si="40"/>
        <v>6.1237111111111115</v>
      </c>
    </row>
    <row r="2653" spans="1:7" x14ac:dyDescent="0.2">
      <c r="A2653" s="75">
        <v>42571</v>
      </c>
      <c r="B2653" s="76" t="s">
        <v>35</v>
      </c>
      <c r="C2653" s="76" t="s">
        <v>536</v>
      </c>
      <c r="D2653" s="79">
        <v>4260.7314180000003</v>
      </c>
      <c r="E2653" s="79">
        <v>6.1468999999999996</v>
      </c>
      <c r="F2653" s="79">
        <v>6.1523000000000003</v>
      </c>
      <c r="G2653" s="83">
        <f t="shared" si="40"/>
        <v>6.1236857142857151</v>
      </c>
    </row>
    <row r="2654" spans="1:7" x14ac:dyDescent="0.2">
      <c r="A2654" s="75">
        <v>42572</v>
      </c>
      <c r="B2654" s="76" t="s">
        <v>35</v>
      </c>
      <c r="C2654" s="76" t="s">
        <v>536</v>
      </c>
      <c r="D2654" s="79">
        <v>4251.5152399999997</v>
      </c>
      <c r="E2654" s="79">
        <v>6.1521999999999997</v>
      </c>
      <c r="F2654" s="79">
        <v>6.2077999999999998</v>
      </c>
      <c r="G2654" s="83">
        <f t="shared" si="40"/>
        <v>6.1227285714285706</v>
      </c>
    </row>
    <row r="2655" spans="1:7" x14ac:dyDescent="0.2">
      <c r="A2655" s="75">
        <v>42573</v>
      </c>
      <c r="B2655" s="76" t="s">
        <v>35</v>
      </c>
      <c r="C2655" s="76" t="s">
        <v>536</v>
      </c>
      <c r="D2655" s="79">
        <v>4252.618915</v>
      </c>
      <c r="E2655" s="79">
        <v>6.2076000000000002</v>
      </c>
      <c r="F2655" s="79">
        <v>6.2107000000000001</v>
      </c>
      <c r="G2655" s="83">
        <f t="shared" si="40"/>
        <v>6.1217238095238091</v>
      </c>
    </row>
    <row r="2656" spans="1:7" x14ac:dyDescent="0.2">
      <c r="A2656" s="75">
        <v>42576</v>
      </c>
      <c r="B2656" s="76" t="s">
        <v>35</v>
      </c>
      <c r="C2656" s="76" t="s">
        <v>536</v>
      </c>
      <c r="D2656" s="79">
        <v>4255.7660619999997</v>
      </c>
      <c r="E2656" s="79">
        <v>6.2104999999999997</v>
      </c>
      <c r="F2656" s="79">
        <v>6.2042000000000002</v>
      </c>
      <c r="G2656" s="83">
        <f t="shared" si="40"/>
        <v>6.1210523809523814</v>
      </c>
    </row>
    <row r="2657" spans="1:7" x14ac:dyDescent="0.2">
      <c r="A2657" s="75">
        <v>42577</v>
      </c>
      <c r="B2657" s="76" t="s">
        <v>35</v>
      </c>
      <c r="C2657" s="76" t="s">
        <v>536</v>
      </c>
      <c r="D2657" s="79">
        <v>4260.0968830000002</v>
      </c>
      <c r="E2657" s="79">
        <v>6.2039</v>
      </c>
      <c r="F2657" s="79">
        <v>6.1917</v>
      </c>
      <c r="G2657" s="83">
        <f t="shared" si="40"/>
        <v>6.1196714285714293</v>
      </c>
    </row>
    <row r="2658" spans="1:7" x14ac:dyDescent="0.2">
      <c r="A2658" s="75">
        <v>42578</v>
      </c>
      <c r="B2658" s="76" t="s">
        <v>35</v>
      </c>
      <c r="C2658" s="76" t="s">
        <v>536</v>
      </c>
      <c r="D2658" s="79">
        <v>4268.5461859999996</v>
      </c>
      <c r="E2658" s="79">
        <v>6.1913999999999998</v>
      </c>
      <c r="F2658" s="79">
        <v>6.1586999999999996</v>
      </c>
      <c r="G2658" s="83">
        <f t="shared" si="40"/>
        <v>6.1192047619047631</v>
      </c>
    </row>
    <row r="2659" spans="1:7" x14ac:dyDescent="0.2">
      <c r="A2659" s="75">
        <v>42579</v>
      </c>
      <c r="B2659" s="76" t="s">
        <v>35</v>
      </c>
      <c r="C2659" s="76" t="s">
        <v>536</v>
      </c>
      <c r="D2659" s="79">
        <v>4275.0162309999996</v>
      </c>
      <c r="E2659" s="79">
        <v>6.1582999999999997</v>
      </c>
      <c r="F2659" s="79">
        <v>6.1355000000000004</v>
      </c>
      <c r="G2659" s="83">
        <f t="shared" si="40"/>
        <v>6.1167587301587307</v>
      </c>
    </row>
    <row r="2660" spans="1:7" x14ac:dyDescent="0.2">
      <c r="A2660" s="75">
        <v>42580</v>
      </c>
      <c r="B2660" s="76" t="s">
        <v>35</v>
      </c>
      <c r="C2660" s="76" t="s">
        <v>536</v>
      </c>
      <c r="D2660" s="79">
        <v>4274.4449260000001</v>
      </c>
      <c r="E2660" s="79">
        <v>6.1351000000000004</v>
      </c>
      <c r="F2660" s="79">
        <v>6.1473000000000004</v>
      </c>
      <c r="G2660" s="83">
        <f t="shared" si="40"/>
        <v>6.1175650793650806</v>
      </c>
    </row>
    <row r="2661" spans="1:7" x14ac:dyDescent="0.2">
      <c r="A2661" s="75">
        <v>42583</v>
      </c>
      <c r="B2661" s="76" t="s">
        <v>35</v>
      </c>
      <c r="C2661" s="76" t="s">
        <v>536</v>
      </c>
      <c r="D2661" s="79">
        <v>4282.3134479999999</v>
      </c>
      <c r="E2661" s="79">
        <v>6.1470000000000002</v>
      </c>
      <c r="F2661" s="79">
        <v>6.1173000000000002</v>
      </c>
      <c r="G2661" s="83">
        <f t="shared" si="40"/>
        <v>6.1182095238095249</v>
      </c>
    </row>
    <row r="2662" spans="1:7" x14ac:dyDescent="0.2">
      <c r="A2662" s="75">
        <v>42584</v>
      </c>
      <c r="B2662" s="76" t="s">
        <v>35</v>
      </c>
      <c r="C2662" s="76" t="s">
        <v>536</v>
      </c>
      <c r="D2662" s="79">
        <v>4279.6422130000001</v>
      </c>
      <c r="E2662" s="79">
        <v>6.117</v>
      </c>
      <c r="F2662" s="79">
        <v>6.1395999999999997</v>
      </c>
      <c r="G2662" s="83">
        <f t="shared" si="40"/>
        <v>6.1181444444444448</v>
      </c>
    </row>
    <row r="2663" spans="1:7" x14ac:dyDescent="0.2">
      <c r="A2663" s="75">
        <v>42585</v>
      </c>
      <c r="B2663" s="76" t="s">
        <v>35</v>
      </c>
      <c r="C2663" s="76" t="s">
        <v>536</v>
      </c>
      <c r="D2663" s="79">
        <v>4290.1246039999996</v>
      </c>
      <c r="E2663" s="79">
        <v>6.1393000000000004</v>
      </c>
      <c r="F2663" s="79">
        <v>6.0967000000000002</v>
      </c>
      <c r="G2663" s="83">
        <f t="shared" si="40"/>
        <v>6.1179634920634935</v>
      </c>
    </row>
    <row r="2664" spans="1:7" x14ac:dyDescent="0.2">
      <c r="A2664" s="75">
        <v>42586</v>
      </c>
      <c r="B2664" s="76" t="s">
        <v>35</v>
      </c>
      <c r="C2664" s="76" t="s">
        <v>536</v>
      </c>
      <c r="D2664" s="79">
        <v>4301.5815940000002</v>
      </c>
      <c r="E2664" s="79">
        <v>6.0964999999999998</v>
      </c>
      <c r="F2664" s="79">
        <v>6.0491999999999999</v>
      </c>
      <c r="G2664" s="83">
        <f t="shared" si="40"/>
        <v>6.1183253968253979</v>
      </c>
    </row>
    <row r="2665" spans="1:7" x14ac:dyDescent="0.2">
      <c r="A2665" s="75">
        <v>42587</v>
      </c>
      <c r="B2665" s="76" t="s">
        <v>35</v>
      </c>
      <c r="C2665" s="76" t="s">
        <v>536</v>
      </c>
      <c r="D2665" s="79">
        <v>4317.7239900000004</v>
      </c>
      <c r="E2665" s="79">
        <v>6.0490000000000004</v>
      </c>
      <c r="F2665" s="79">
        <v>5.9787999999999997</v>
      </c>
      <c r="G2665" s="83">
        <f t="shared" si="40"/>
        <v>6.1174190476190482</v>
      </c>
    </row>
    <row r="2666" spans="1:7" x14ac:dyDescent="0.2">
      <c r="A2666" s="75">
        <v>42590</v>
      </c>
      <c r="B2666" s="76" t="s">
        <v>35</v>
      </c>
      <c r="C2666" s="76" t="s">
        <v>536</v>
      </c>
      <c r="D2666" s="79">
        <v>4312.765907</v>
      </c>
      <c r="E2666" s="79">
        <v>5.9786000000000001</v>
      </c>
      <c r="F2666" s="79">
        <v>6.0122</v>
      </c>
      <c r="G2666" s="83">
        <f t="shared" si="40"/>
        <v>6.1140015873015887</v>
      </c>
    </row>
    <row r="2667" spans="1:7" x14ac:dyDescent="0.2">
      <c r="A2667" s="75">
        <v>42591</v>
      </c>
      <c r="B2667" s="76" t="s">
        <v>35</v>
      </c>
      <c r="C2667" s="76" t="s">
        <v>536</v>
      </c>
      <c r="D2667" s="79">
        <v>4324.2162049999997</v>
      </c>
      <c r="E2667" s="79">
        <v>6.0119999999999996</v>
      </c>
      <c r="F2667" s="79">
        <v>5.9649999999999999</v>
      </c>
      <c r="G2667" s="83">
        <f t="shared" si="40"/>
        <v>6.1136507936507938</v>
      </c>
    </row>
    <row r="2668" spans="1:7" x14ac:dyDescent="0.2">
      <c r="A2668" s="75">
        <v>42592</v>
      </c>
      <c r="B2668" s="76" t="s">
        <v>35</v>
      </c>
      <c r="C2668" s="76" t="s">
        <v>536</v>
      </c>
      <c r="D2668" s="79">
        <v>4335.8352080000004</v>
      </c>
      <c r="E2668" s="79">
        <v>5.9648000000000003</v>
      </c>
      <c r="F2668" s="79">
        <v>5.9333999999999998</v>
      </c>
      <c r="G2668" s="83">
        <f t="shared" si="40"/>
        <v>6.1145158730158737</v>
      </c>
    </row>
    <row r="2669" spans="1:7" x14ac:dyDescent="0.2">
      <c r="A2669" s="75">
        <v>42593</v>
      </c>
      <c r="B2669" s="76" t="s">
        <v>35</v>
      </c>
      <c r="C2669" s="76" t="s">
        <v>536</v>
      </c>
      <c r="D2669" s="79">
        <v>4345.9065350000001</v>
      </c>
      <c r="E2669" s="79">
        <v>5.9332000000000003</v>
      </c>
      <c r="F2669" s="79">
        <v>5.8940999999999999</v>
      </c>
      <c r="G2669" s="83">
        <f t="shared" si="40"/>
        <v>6.1163015873015878</v>
      </c>
    </row>
    <row r="2670" spans="1:7" x14ac:dyDescent="0.2">
      <c r="A2670" s="75">
        <v>42594</v>
      </c>
      <c r="B2670" s="76" t="s">
        <v>35</v>
      </c>
      <c r="C2670" s="76" t="s">
        <v>536</v>
      </c>
      <c r="D2670" s="79">
        <v>4346.3479349999998</v>
      </c>
      <c r="E2670" s="79">
        <v>5.8939000000000004</v>
      </c>
      <c r="F2670" s="79">
        <v>5.9017999999999997</v>
      </c>
      <c r="G2670" s="83">
        <f t="shared" si="40"/>
        <v>6.1178904761904764</v>
      </c>
    </row>
    <row r="2671" spans="1:7" x14ac:dyDescent="0.2">
      <c r="A2671" s="75">
        <v>42597</v>
      </c>
      <c r="B2671" s="76" t="s">
        <v>35</v>
      </c>
      <c r="C2671" s="76" t="s">
        <v>536</v>
      </c>
      <c r="D2671" s="79">
        <v>4344.781825</v>
      </c>
      <c r="E2671" s="79">
        <v>5.9016000000000002</v>
      </c>
      <c r="F2671" s="79">
        <v>5.9192999999999998</v>
      </c>
      <c r="G2671" s="83">
        <f t="shared" si="40"/>
        <v>6.1197253968253955</v>
      </c>
    </row>
    <row r="2672" spans="1:7" x14ac:dyDescent="0.2">
      <c r="A2672" s="75">
        <v>42598</v>
      </c>
      <c r="B2672" s="76" t="s">
        <v>35</v>
      </c>
      <c r="C2672" s="76" t="s">
        <v>536</v>
      </c>
      <c r="D2672" s="79">
        <v>4329.973763</v>
      </c>
      <c r="E2672" s="79">
        <v>5.9189999999999996</v>
      </c>
      <c r="F2672" s="79">
        <v>6</v>
      </c>
      <c r="G2672" s="83">
        <f t="shared" si="40"/>
        <v>6.1213936507936495</v>
      </c>
    </row>
    <row r="2673" spans="1:7" x14ac:dyDescent="0.2">
      <c r="A2673" s="75">
        <v>42599</v>
      </c>
      <c r="B2673" s="76" t="s">
        <v>35</v>
      </c>
      <c r="C2673" s="76" t="s">
        <v>536</v>
      </c>
      <c r="D2673" s="79">
        <v>4328.5782049999998</v>
      </c>
      <c r="E2673" s="79">
        <v>5.9997999999999996</v>
      </c>
      <c r="F2673" s="79">
        <v>6.0152999999999999</v>
      </c>
      <c r="G2673" s="83">
        <f t="shared" si="40"/>
        <v>6.1224317460317446</v>
      </c>
    </row>
    <row r="2674" spans="1:7" x14ac:dyDescent="0.2">
      <c r="A2674" s="75">
        <v>42600</v>
      </c>
      <c r="B2674" s="76" t="s">
        <v>35</v>
      </c>
      <c r="C2674" s="76" t="s">
        <v>536</v>
      </c>
      <c r="D2674" s="79">
        <v>4328.8379150000001</v>
      </c>
      <c r="E2674" s="79">
        <v>6.0149999999999997</v>
      </c>
      <c r="F2674" s="79">
        <v>6.0224000000000002</v>
      </c>
      <c r="G2674" s="83">
        <f t="shared" si="40"/>
        <v>6.1243603174603161</v>
      </c>
    </row>
    <row r="2675" spans="1:7" x14ac:dyDescent="0.2">
      <c r="A2675" s="75">
        <v>42601</v>
      </c>
      <c r="B2675" s="76" t="s">
        <v>35</v>
      </c>
      <c r="C2675" s="76" t="s">
        <v>536</v>
      </c>
      <c r="D2675" s="79">
        <v>4338.0035669999997</v>
      </c>
      <c r="E2675" s="79">
        <v>6.0221</v>
      </c>
      <c r="F2675" s="79">
        <v>5.9859</v>
      </c>
      <c r="G2675" s="83">
        <f t="shared" si="40"/>
        <v>6.1259412698412685</v>
      </c>
    </row>
    <row r="2676" spans="1:7" x14ac:dyDescent="0.2">
      <c r="A2676" s="75">
        <v>42604</v>
      </c>
      <c r="B2676" s="76" t="s">
        <v>35</v>
      </c>
      <c r="C2676" s="76" t="s">
        <v>536</v>
      </c>
      <c r="D2676" s="79">
        <v>4336.1734939999997</v>
      </c>
      <c r="E2676" s="79">
        <v>5.9855999999999998</v>
      </c>
      <c r="F2676" s="79">
        <v>6.0031999999999996</v>
      </c>
      <c r="G2676" s="83">
        <f t="shared" si="40"/>
        <v>6.1237015873015848</v>
      </c>
    </row>
    <row r="2677" spans="1:7" x14ac:dyDescent="0.2">
      <c r="A2677" s="75">
        <v>42605</v>
      </c>
      <c r="B2677" s="76" t="s">
        <v>35</v>
      </c>
      <c r="C2677" s="76" t="s">
        <v>536</v>
      </c>
      <c r="D2677" s="79">
        <v>4339.8665250000004</v>
      </c>
      <c r="E2677" s="79">
        <v>6.0030000000000001</v>
      </c>
      <c r="F2677" s="79">
        <v>5.9935999999999998</v>
      </c>
      <c r="G2677" s="83">
        <f t="shared" si="40"/>
        <v>6.1210206349206331</v>
      </c>
    </row>
    <row r="2678" spans="1:7" x14ac:dyDescent="0.2">
      <c r="A2678" s="75">
        <v>42606</v>
      </c>
      <c r="B2678" s="76" t="s">
        <v>35</v>
      </c>
      <c r="C2678" s="76" t="s">
        <v>536</v>
      </c>
      <c r="D2678" s="79">
        <v>4337.8940700000003</v>
      </c>
      <c r="E2678" s="79">
        <v>5.9932999999999996</v>
      </c>
      <c r="F2678" s="79">
        <v>6.0115999999999996</v>
      </c>
      <c r="G2678" s="83">
        <f t="shared" si="40"/>
        <v>6.1175904761904727</v>
      </c>
    </row>
    <row r="2679" spans="1:7" x14ac:dyDescent="0.2">
      <c r="A2679" s="75">
        <v>42607</v>
      </c>
      <c r="B2679" s="76" t="s">
        <v>35</v>
      </c>
      <c r="C2679" s="76" t="s">
        <v>536</v>
      </c>
      <c r="D2679" s="79">
        <v>4334.5318909999996</v>
      </c>
      <c r="E2679" s="79">
        <v>6.0114000000000001</v>
      </c>
      <c r="F2679" s="79">
        <v>6.0396000000000001</v>
      </c>
      <c r="G2679" s="83">
        <f t="shared" si="40"/>
        <v>6.1134047619047589</v>
      </c>
    </row>
    <row r="2680" spans="1:7" x14ac:dyDescent="0.2">
      <c r="A2680" s="75">
        <v>42608</v>
      </c>
      <c r="B2680" s="76" t="s">
        <v>35</v>
      </c>
      <c r="C2680" s="76" t="s">
        <v>536</v>
      </c>
      <c r="D2680" s="79">
        <v>4316.053731</v>
      </c>
      <c r="E2680" s="79">
        <v>6.0392999999999999</v>
      </c>
      <c r="F2680" s="79">
        <v>6.1391</v>
      </c>
      <c r="G2680" s="83">
        <f t="shared" si="40"/>
        <v>6.1104492063492035</v>
      </c>
    </row>
    <row r="2681" spans="1:7" x14ac:dyDescent="0.2">
      <c r="A2681" s="75">
        <v>42611</v>
      </c>
      <c r="B2681" s="76" t="s">
        <v>35</v>
      </c>
      <c r="C2681" s="76" t="s">
        <v>536</v>
      </c>
      <c r="D2681" s="79">
        <v>4325.6683819999998</v>
      </c>
      <c r="E2681" s="79">
        <v>6.1387999999999998</v>
      </c>
      <c r="F2681" s="79">
        <v>6.1006999999999998</v>
      </c>
      <c r="G2681" s="83">
        <f t="shared" si="40"/>
        <v>6.1085793650793621</v>
      </c>
    </row>
    <row r="2682" spans="1:7" x14ac:dyDescent="0.2">
      <c r="A2682" s="75">
        <v>42612</v>
      </c>
      <c r="B2682" s="76" t="s">
        <v>35</v>
      </c>
      <c r="C2682" s="76" t="s">
        <v>536</v>
      </c>
      <c r="D2682" s="79">
        <v>4312.7043160000003</v>
      </c>
      <c r="E2682" s="79">
        <v>6.1002999999999998</v>
      </c>
      <c r="F2682" s="79">
        <v>6.1731999999999996</v>
      </c>
      <c r="G2682" s="83">
        <f t="shared" si="40"/>
        <v>6.1066746031746009</v>
      </c>
    </row>
    <row r="2683" spans="1:7" x14ac:dyDescent="0.2">
      <c r="A2683" s="75">
        <v>42613</v>
      </c>
      <c r="B2683" s="76" t="s">
        <v>35</v>
      </c>
      <c r="C2683" s="76" t="s">
        <v>536</v>
      </c>
      <c r="D2683" s="79">
        <v>4323.3930360000004</v>
      </c>
      <c r="E2683" s="79">
        <v>6.1729000000000003</v>
      </c>
      <c r="F2683" s="79">
        <v>6.1295000000000002</v>
      </c>
      <c r="G2683" s="83">
        <f t="shared" si="40"/>
        <v>6.1072333333333297</v>
      </c>
    </row>
    <row r="2684" spans="1:7" x14ac:dyDescent="0.2">
      <c r="A2684" s="75">
        <v>42614</v>
      </c>
      <c r="B2684" s="76" t="s">
        <v>35</v>
      </c>
      <c r="C2684" s="76" t="s">
        <v>536</v>
      </c>
      <c r="D2684" s="79">
        <v>4342.5035459999999</v>
      </c>
      <c r="E2684" s="79">
        <v>6.1292</v>
      </c>
      <c r="F2684" s="79">
        <v>6.0446999999999997</v>
      </c>
      <c r="G2684" s="83">
        <f t="shared" si="40"/>
        <v>6.1093111111111078</v>
      </c>
    </row>
    <row r="2685" spans="1:7" x14ac:dyDescent="0.2">
      <c r="A2685" s="75">
        <v>42615</v>
      </c>
      <c r="B2685" s="76" t="s">
        <v>35</v>
      </c>
      <c r="C2685" s="76" t="s">
        <v>536</v>
      </c>
      <c r="D2685" s="79">
        <v>4354.0357430000004</v>
      </c>
      <c r="E2685" s="79">
        <v>6.0445000000000002</v>
      </c>
      <c r="F2685" s="79">
        <v>5.9973000000000001</v>
      </c>
      <c r="G2685" s="83">
        <f t="shared" si="40"/>
        <v>6.1101317460317439</v>
      </c>
    </row>
    <row r="2686" spans="1:7" x14ac:dyDescent="0.2">
      <c r="A2686" s="75">
        <v>42618</v>
      </c>
      <c r="B2686" s="76" t="s">
        <v>35</v>
      </c>
      <c r="C2686" s="76" t="s">
        <v>536</v>
      </c>
      <c r="D2686" s="79">
        <v>4354.1469139999999</v>
      </c>
      <c r="E2686" s="79">
        <v>5.9970999999999997</v>
      </c>
      <c r="F2686" s="79">
        <v>6.0056000000000003</v>
      </c>
      <c r="G2686" s="83">
        <f t="shared" si="40"/>
        <v>6.1093396825396793</v>
      </c>
    </row>
    <row r="2687" spans="1:7" x14ac:dyDescent="0.2">
      <c r="A2687" s="75">
        <v>42619</v>
      </c>
      <c r="B2687" s="76" t="s">
        <v>35</v>
      </c>
      <c r="C2687" s="76" t="s">
        <v>536</v>
      </c>
      <c r="D2687" s="79">
        <v>4363.9373610000002</v>
      </c>
      <c r="E2687" s="79">
        <v>6.0053000000000001</v>
      </c>
      <c r="F2687" s="79">
        <v>5.9667000000000003</v>
      </c>
      <c r="G2687" s="83">
        <f t="shared" si="40"/>
        <v>6.1094539682539653</v>
      </c>
    </row>
    <row r="2688" spans="1:7" x14ac:dyDescent="0.2">
      <c r="A2688" s="75">
        <v>42621</v>
      </c>
      <c r="B2688" s="76" t="s">
        <v>35</v>
      </c>
      <c r="C2688" s="76" t="s">
        <v>536</v>
      </c>
      <c r="D2688" s="79">
        <v>4356.048914</v>
      </c>
      <c r="E2688" s="79">
        <v>5.9664000000000001</v>
      </c>
      <c r="F2688" s="79">
        <v>6.0137999999999998</v>
      </c>
      <c r="G2688" s="83">
        <f t="shared" si="40"/>
        <v>6.1087555555555531</v>
      </c>
    </row>
    <row r="2689" spans="1:7" x14ac:dyDescent="0.2">
      <c r="A2689" s="75">
        <v>42622</v>
      </c>
      <c r="B2689" s="76" t="s">
        <v>35</v>
      </c>
      <c r="C2689" s="76" t="s">
        <v>536</v>
      </c>
      <c r="D2689" s="79">
        <v>4331.0488150000001</v>
      </c>
      <c r="E2689" s="79">
        <v>6.0136000000000003</v>
      </c>
      <c r="F2689" s="79">
        <v>6.1466000000000003</v>
      </c>
      <c r="G2689" s="83">
        <f t="shared" si="40"/>
        <v>6.1075603174603144</v>
      </c>
    </row>
    <row r="2690" spans="1:7" x14ac:dyDescent="0.2">
      <c r="A2690" s="75">
        <v>42625</v>
      </c>
      <c r="B2690" s="76" t="s">
        <v>35</v>
      </c>
      <c r="C2690" s="76" t="s">
        <v>536</v>
      </c>
      <c r="D2690" s="79">
        <v>4339.1642160000001</v>
      </c>
      <c r="E2690" s="79">
        <v>6.1463000000000001</v>
      </c>
      <c r="F2690" s="79">
        <v>6.1158000000000001</v>
      </c>
      <c r="G2690" s="83">
        <f t="shared" si="40"/>
        <v>6.1091396825396806</v>
      </c>
    </row>
    <row r="2691" spans="1:7" x14ac:dyDescent="0.2">
      <c r="A2691" s="75">
        <v>42626</v>
      </c>
      <c r="B2691" s="76" t="s">
        <v>35</v>
      </c>
      <c r="C2691" s="76" t="s">
        <v>536</v>
      </c>
      <c r="D2691" s="79">
        <v>4316.5692179999996</v>
      </c>
      <c r="E2691" s="79">
        <v>6.1155999999999997</v>
      </c>
      <c r="F2691" s="79">
        <v>6.2358000000000002</v>
      </c>
      <c r="G2691" s="83">
        <f t="shared" ref="G2691:G2754" si="41">+AVERAGE(E2629:E2691)</f>
        <v>6.1104523809523785</v>
      </c>
    </row>
    <row r="2692" spans="1:7" x14ac:dyDescent="0.2">
      <c r="A2692" s="75">
        <v>42627</v>
      </c>
      <c r="B2692" s="76" t="s">
        <v>35</v>
      </c>
      <c r="C2692" s="76" t="s">
        <v>536</v>
      </c>
      <c r="D2692" s="79">
        <v>4323.0598950000003</v>
      </c>
      <c r="E2692" s="79">
        <v>6.2355999999999998</v>
      </c>
      <c r="F2692" s="79">
        <v>6.2130000000000001</v>
      </c>
      <c r="G2692" s="83">
        <f t="shared" si="41"/>
        <v>6.1133396825396797</v>
      </c>
    </row>
    <row r="2693" spans="1:7" x14ac:dyDescent="0.2">
      <c r="A2693" s="75">
        <v>42628</v>
      </c>
      <c r="B2693" s="76" t="s">
        <v>35</v>
      </c>
      <c r="C2693" s="76" t="s">
        <v>536</v>
      </c>
      <c r="D2693" s="79">
        <v>4330.698515</v>
      </c>
      <c r="E2693" s="79">
        <v>6.2127999999999997</v>
      </c>
      <c r="F2693" s="79">
        <v>6.1845999999999997</v>
      </c>
      <c r="G2693" s="83">
        <f t="shared" si="41"/>
        <v>6.1149968253968243</v>
      </c>
    </row>
    <row r="2694" spans="1:7" x14ac:dyDescent="0.2">
      <c r="A2694" s="75">
        <v>42629</v>
      </c>
      <c r="B2694" s="76" t="s">
        <v>35</v>
      </c>
      <c r="C2694" s="76" t="s">
        <v>536</v>
      </c>
      <c r="D2694" s="79">
        <v>4338.1620860000003</v>
      </c>
      <c r="E2694" s="79">
        <v>6.1844000000000001</v>
      </c>
      <c r="F2694" s="79">
        <v>6.1559999999999997</v>
      </c>
      <c r="G2694" s="83">
        <f t="shared" si="41"/>
        <v>6.1156968253968245</v>
      </c>
    </row>
    <row r="2695" spans="1:7" x14ac:dyDescent="0.2">
      <c r="A2695" s="75">
        <v>42632</v>
      </c>
      <c r="B2695" s="76" t="s">
        <v>35</v>
      </c>
      <c r="C2695" s="76" t="s">
        <v>536</v>
      </c>
      <c r="D2695" s="79">
        <v>4345.5945250000004</v>
      </c>
      <c r="E2695" s="79">
        <v>6.1558000000000002</v>
      </c>
      <c r="F2695" s="79">
        <v>6.1276000000000002</v>
      </c>
      <c r="G2695" s="83">
        <f t="shared" si="41"/>
        <v>6.1154777777777767</v>
      </c>
    </row>
    <row r="2696" spans="1:7" x14ac:dyDescent="0.2">
      <c r="A2696" s="75">
        <v>42633</v>
      </c>
      <c r="B2696" s="76" t="s">
        <v>35</v>
      </c>
      <c r="C2696" s="76" t="s">
        <v>536</v>
      </c>
      <c r="D2696" s="79">
        <v>4346.8516090000003</v>
      </c>
      <c r="E2696" s="79">
        <v>6.1275000000000004</v>
      </c>
      <c r="F2696" s="79">
        <v>6.1295000000000002</v>
      </c>
      <c r="G2696" s="83">
        <f t="shared" si="41"/>
        <v>6.1146238095238088</v>
      </c>
    </row>
    <row r="2697" spans="1:7" x14ac:dyDescent="0.2">
      <c r="A2697" s="75">
        <v>42634</v>
      </c>
      <c r="B2697" s="76" t="s">
        <v>35</v>
      </c>
      <c r="C2697" s="76" t="s">
        <v>536</v>
      </c>
      <c r="D2697" s="79">
        <v>4361.3355149999998</v>
      </c>
      <c r="E2697" s="79">
        <v>6.1294000000000004</v>
      </c>
      <c r="F2697" s="79">
        <v>6.0669000000000004</v>
      </c>
      <c r="G2697" s="83">
        <f t="shared" si="41"/>
        <v>6.1139603174603154</v>
      </c>
    </row>
    <row r="2698" spans="1:7" x14ac:dyDescent="0.2">
      <c r="A2698" s="75">
        <v>42635</v>
      </c>
      <c r="B2698" s="76" t="s">
        <v>35</v>
      </c>
      <c r="C2698" s="76" t="s">
        <v>536</v>
      </c>
      <c r="D2698" s="79">
        <v>4375.9475309999998</v>
      </c>
      <c r="E2698" s="79">
        <v>6.0667</v>
      </c>
      <c r="F2698" s="79">
        <v>6.0038</v>
      </c>
      <c r="G2698" s="83">
        <f t="shared" si="41"/>
        <v>6.1132063492063482</v>
      </c>
    </row>
    <row r="2699" spans="1:7" x14ac:dyDescent="0.2">
      <c r="A2699" s="75">
        <v>42636</v>
      </c>
      <c r="B2699" s="76" t="s">
        <v>35</v>
      </c>
      <c r="C2699" s="76" t="s">
        <v>536</v>
      </c>
      <c r="D2699" s="79">
        <v>4375.965013</v>
      </c>
      <c r="E2699" s="79">
        <v>6.0035999999999996</v>
      </c>
      <c r="F2699" s="79">
        <v>6.0049000000000001</v>
      </c>
      <c r="G2699" s="83">
        <f t="shared" si="41"/>
        <v>6.1115492063492054</v>
      </c>
    </row>
    <row r="2700" spans="1:7" x14ac:dyDescent="0.2">
      <c r="A2700" s="75">
        <v>42639</v>
      </c>
      <c r="B2700" s="76" t="s">
        <v>35</v>
      </c>
      <c r="C2700" s="76" t="s">
        <v>536</v>
      </c>
      <c r="D2700" s="79">
        <v>4372.4873719999996</v>
      </c>
      <c r="E2700" s="79">
        <v>6.0046999999999997</v>
      </c>
      <c r="F2700" s="79">
        <v>6.0285000000000002</v>
      </c>
      <c r="G2700" s="83">
        <f t="shared" si="41"/>
        <v>6.1118920634920633</v>
      </c>
    </row>
    <row r="2701" spans="1:7" x14ac:dyDescent="0.2">
      <c r="A2701" s="75">
        <v>42640</v>
      </c>
      <c r="B2701" s="76" t="s">
        <v>35</v>
      </c>
      <c r="C2701" s="76" t="s">
        <v>536</v>
      </c>
      <c r="D2701" s="79">
        <v>4379.3024160000004</v>
      </c>
      <c r="E2701" s="79">
        <v>6.0282999999999998</v>
      </c>
      <c r="F2701" s="79">
        <v>6.0022000000000002</v>
      </c>
      <c r="G2701" s="83">
        <f t="shared" si="41"/>
        <v>6.1106412698412704</v>
      </c>
    </row>
    <row r="2702" spans="1:7" x14ac:dyDescent="0.2">
      <c r="A2702" s="75">
        <v>42641</v>
      </c>
      <c r="B2702" s="76" t="s">
        <v>35</v>
      </c>
      <c r="C2702" s="76" t="s">
        <v>536</v>
      </c>
      <c r="D2702" s="79">
        <v>4387.1177600000001</v>
      </c>
      <c r="E2702" s="79">
        <v>6.0019999999999998</v>
      </c>
      <c r="F2702" s="79">
        <v>5.9710999999999999</v>
      </c>
      <c r="G2702" s="83">
        <f t="shared" si="41"/>
        <v>6.1051587301587302</v>
      </c>
    </row>
    <row r="2703" spans="1:7" x14ac:dyDescent="0.2">
      <c r="A2703" s="75">
        <v>42642</v>
      </c>
      <c r="B2703" s="76" t="s">
        <v>35</v>
      </c>
      <c r="C2703" s="76" t="s">
        <v>536</v>
      </c>
      <c r="D2703" s="79">
        <v>4382.5498680000001</v>
      </c>
      <c r="E2703" s="79">
        <v>5.9709000000000003</v>
      </c>
      <c r="F2703" s="79">
        <v>5.9999000000000002</v>
      </c>
      <c r="G2703" s="83">
        <f t="shared" si="41"/>
        <v>6.0986793650793656</v>
      </c>
    </row>
    <row r="2704" spans="1:7" x14ac:dyDescent="0.2">
      <c r="A2704" s="75">
        <v>42643</v>
      </c>
      <c r="B2704" s="76" t="s">
        <v>35</v>
      </c>
      <c r="C2704" s="76" t="s">
        <v>536</v>
      </c>
      <c r="D2704" s="79">
        <v>4390.6398749999998</v>
      </c>
      <c r="E2704" s="79">
        <v>5.9997999999999996</v>
      </c>
      <c r="F2704" s="79">
        <v>5.9676</v>
      </c>
      <c r="G2704" s="83">
        <f t="shared" si="41"/>
        <v>6.0946825396825393</v>
      </c>
    </row>
    <row r="2705" spans="1:7" x14ac:dyDescent="0.2">
      <c r="A2705" s="75">
        <v>42646</v>
      </c>
      <c r="B2705" s="76" t="s">
        <v>35</v>
      </c>
      <c r="C2705" s="76" t="s">
        <v>536</v>
      </c>
      <c r="D2705" s="79">
        <v>4410.8558320000002</v>
      </c>
      <c r="E2705" s="79">
        <v>5.9675000000000002</v>
      </c>
      <c r="F2705" s="79">
        <v>5.8769999999999998</v>
      </c>
      <c r="G2705" s="83">
        <f t="shared" si="41"/>
        <v>6.089553968253969</v>
      </c>
    </row>
    <row r="2706" spans="1:7" x14ac:dyDescent="0.2">
      <c r="A2706" s="75">
        <v>42647</v>
      </c>
      <c r="B2706" s="76" t="s">
        <v>35</v>
      </c>
      <c r="C2706" s="76" t="s">
        <v>536</v>
      </c>
      <c r="D2706" s="79">
        <v>4401.8798690000003</v>
      </c>
      <c r="E2706" s="79">
        <v>5.8769</v>
      </c>
      <c r="F2706" s="79">
        <v>5.9268999999999998</v>
      </c>
      <c r="G2706" s="83">
        <f t="shared" si="41"/>
        <v>6.0826222222222208</v>
      </c>
    </row>
    <row r="2707" spans="1:7" x14ac:dyDescent="0.2">
      <c r="A2707" s="75">
        <v>42648</v>
      </c>
      <c r="B2707" s="76" t="s">
        <v>35</v>
      </c>
      <c r="C2707" s="76" t="s">
        <v>536</v>
      </c>
      <c r="D2707" s="79">
        <v>4417.871228</v>
      </c>
      <c r="E2707" s="79">
        <v>5.9268000000000001</v>
      </c>
      <c r="F2707" s="79">
        <v>5.8567999999999998</v>
      </c>
      <c r="G2707" s="83">
        <f t="shared" si="41"/>
        <v>6.0767317460317445</v>
      </c>
    </row>
    <row r="2708" spans="1:7" x14ac:dyDescent="0.2">
      <c r="A2708" s="75">
        <v>42649</v>
      </c>
      <c r="B2708" s="76" t="s">
        <v>35</v>
      </c>
      <c r="C2708" s="76" t="s">
        <v>536</v>
      </c>
      <c r="D2708" s="79">
        <v>4412.9127490000001</v>
      </c>
      <c r="E2708" s="79">
        <v>5.8566000000000003</v>
      </c>
      <c r="F2708" s="79">
        <v>5.8872</v>
      </c>
      <c r="G2708" s="83">
        <f t="shared" si="41"/>
        <v>6.0694396825396808</v>
      </c>
    </row>
    <row r="2709" spans="1:7" x14ac:dyDescent="0.2">
      <c r="A2709" s="75">
        <v>42650</v>
      </c>
      <c r="B2709" s="76" t="s">
        <v>35</v>
      </c>
      <c r="C2709" s="76" t="s">
        <v>536</v>
      </c>
      <c r="D2709" s="79">
        <v>4411.5136199999997</v>
      </c>
      <c r="E2709" s="79">
        <v>5.8871000000000002</v>
      </c>
      <c r="F2709" s="79">
        <v>5.8813000000000004</v>
      </c>
      <c r="G2709" s="83">
        <f t="shared" si="41"/>
        <v>6.0637746031746023</v>
      </c>
    </row>
    <row r="2710" spans="1:7" x14ac:dyDescent="0.2">
      <c r="A2710" s="75">
        <v>42653</v>
      </c>
      <c r="B2710" s="76" t="s">
        <v>35</v>
      </c>
      <c r="C2710" s="76" t="s">
        <v>536</v>
      </c>
      <c r="D2710" s="79">
        <v>4415.1399439999996</v>
      </c>
      <c r="E2710" s="79">
        <v>5.8811</v>
      </c>
      <c r="F2710" s="79">
        <v>5.8693</v>
      </c>
      <c r="G2710" s="83">
        <f t="shared" si="41"/>
        <v>6.0578984126984121</v>
      </c>
    </row>
    <row r="2711" spans="1:7" x14ac:dyDescent="0.2">
      <c r="A2711" s="75">
        <v>42654</v>
      </c>
      <c r="B2711" s="76" t="s">
        <v>35</v>
      </c>
      <c r="C2711" s="76" t="s">
        <v>536</v>
      </c>
      <c r="D2711" s="79">
        <v>4415.0781120000001</v>
      </c>
      <c r="E2711" s="79">
        <v>5.8692000000000002</v>
      </c>
      <c r="F2711" s="79">
        <v>5.8750999999999998</v>
      </c>
      <c r="G2711" s="83">
        <f t="shared" si="41"/>
        <v>6.0521174603174597</v>
      </c>
    </row>
    <row r="2712" spans="1:7" x14ac:dyDescent="0.2">
      <c r="A2712" s="75">
        <v>42656</v>
      </c>
      <c r="B2712" s="76" t="s">
        <v>35</v>
      </c>
      <c r="C2712" s="76" t="s">
        <v>536</v>
      </c>
      <c r="D2712" s="79">
        <v>4418.4562519999999</v>
      </c>
      <c r="E2712" s="79">
        <v>5.8749000000000002</v>
      </c>
      <c r="F2712" s="79">
        <v>5.8643000000000001</v>
      </c>
      <c r="G2712" s="83">
        <f t="shared" si="41"/>
        <v>6.0472396825396828</v>
      </c>
    </row>
    <row r="2713" spans="1:7" x14ac:dyDescent="0.2">
      <c r="A2713" s="75">
        <v>42657</v>
      </c>
      <c r="B2713" s="76" t="s">
        <v>35</v>
      </c>
      <c r="C2713" s="76" t="s">
        <v>536</v>
      </c>
      <c r="D2713" s="79">
        <v>4421.0633170000001</v>
      </c>
      <c r="E2713" s="79">
        <v>5.8642000000000003</v>
      </c>
      <c r="F2713" s="79">
        <v>5.8573000000000004</v>
      </c>
      <c r="G2713" s="83">
        <f t="shared" si="41"/>
        <v>6.0431873015873014</v>
      </c>
    </row>
    <row r="2714" spans="1:7" x14ac:dyDescent="0.2">
      <c r="A2714" s="75">
        <v>42660</v>
      </c>
      <c r="B2714" s="76" t="s">
        <v>35</v>
      </c>
      <c r="C2714" s="76" t="s">
        <v>536</v>
      </c>
      <c r="D2714" s="79">
        <v>4423.2324010000002</v>
      </c>
      <c r="E2714" s="79">
        <v>5.8571</v>
      </c>
      <c r="F2714" s="79">
        <v>5.8522999999999996</v>
      </c>
      <c r="G2714" s="83">
        <f t="shared" si="41"/>
        <v>6.0398761904761908</v>
      </c>
    </row>
    <row r="2715" spans="1:7" x14ac:dyDescent="0.2">
      <c r="A2715" s="75">
        <v>42661</v>
      </c>
      <c r="B2715" s="76" t="s">
        <v>35</v>
      </c>
      <c r="C2715" s="76" t="s">
        <v>536</v>
      </c>
      <c r="D2715" s="79">
        <v>4427.9276710000004</v>
      </c>
      <c r="E2715" s="79">
        <v>5.8521999999999998</v>
      </c>
      <c r="F2715" s="79">
        <v>5.8380999999999998</v>
      </c>
      <c r="G2715" s="83">
        <f t="shared" si="41"/>
        <v>6.0363873015873013</v>
      </c>
    </row>
    <row r="2716" spans="1:7" x14ac:dyDescent="0.2">
      <c r="A2716" s="75">
        <v>42662</v>
      </c>
      <c r="B2716" s="76" t="s">
        <v>35</v>
      </c>
      <c r="C2716" s="76" t="s">
        <v>536</v>
      </c>
      <c r="D2716" s="79">
        <v>4441.0061640000004</v>
      </c>
      <c r="E2716" s="79">
        <v>5.8379000000000003</v>
      </c>
      <c r="F2716" s="79">
        <v>5.7838000000000003</v>
      </c>
      <c r="G2716" s="83">
        <f t="shared" si="41"/>
        <v>6.0314825396825382</v>
      </c>
    </row>
    <row r="2717" spans="1:7" x14ac:dyDescent="0.2">
      <c r="A2717" s="75">
        <v>42663</v>
      </c>
      <c r="B2717" s="76" t="s">
        <v>35</v>
      </c>
      <c r="C2717" s="76" t="s">
        <v>536</v>
      </c>
      <c r="D2717" s="79">
        <v>4439.2695869999998</v>
      </c>
      <c r="E2717" s="79">
        <v>5.7835999999999999</v>
      </c>
      <c r="F2717" s="79">
        <v>5.8002000000000002</v>
      </c>
      <c r="G2717" s="83">
        <f t="shared" si="41"/>
        <v>6.0256317460317446</v>
      </c>
    </row>
    <row r="2718" spans="1:7" x14ac:dyDescent="0.2">
      <c r="A2718" s="75">
        <v>42664</v>
      </c>
      <c r="B2718" s="76" t="s">
        <v>35</v>
      </c>
      <c r="C2718" s="76" t="s">
        <v>536</v>
      </c>
      <c r="D2718" s="79">
        <v>4427.7028929999997</v>
      </c>
      <c r="E2718" s="79">
        <v>5.8</v>
      </c>
      <c r="F2718" s="79">
        <v>5.8635999999999999</v>
      </c>
      <c r="G2718" s="83">
        <f t="shared" si="41"/>
        <v>6.019161904761904</v>
      </c>
    </row>
    <row r="2719" spans="1:7" x14ac:dyDescent="0.2">
      <c r="A2719" s="75">
        <v>42667</v>
      </c>
      <c r="B2719" s="76" t="s">
        <v>35</v>
      </c>
      <c r="C2719" s="76" t="s">
        <v>536</v>
      </c>
      <c r="D2719" s="79">
        <v>4435.1377860000002</v>
      </c>
      <c r="E2719" s="79">
        <v>5.8634000000000004</v>
      </c>
      <c r="F2719" s="79">
        <v>5.8335999999999997</v>
      </c>
      <c r="G2719" s="83">
        <f t="shared" si="41"/>
        <v>6.0136523809523803</v>
      </c>
    </row>
    <row r="2720" spans="1:7" x14ac:dyDescent="0.2">
      <c r="A2720" s="75">
        <v>42668</v>
      </c>
      <c r="B2720" s="76" t="s">
        <v>35</v>
      </c>
      <c r="C2720" s="76" t="s">
        <v>536</v>
      </c>
      <c r="D2720" s="79">
        <v>4426.4041930000003</v>
      </c>
      <c r="E2720" s="79">
        <v>5.8334000000000001</v>
      </c>
      <c r="F2720" s="79">
        <v>5.883</v>
      </c>
      <c r="G2720" s="83">
        <f t="shared" si="41"/>
        <v>6.0077714285714272</v>
      </c>
    </row>
    <row r="2721" spans="1:7" x14ac:dyDescent="0.2">
      <c r="A2721" s="75">
        <v>42669</v>
      </c>
      <c r="B2721" s="76" t="s">
        <v>35</v>
      </c>
      <c r="C2721" s="76" t="s">
        <v>536</v>
      </c>
      <c r="D2721" s="79">
        <v>4412.8910720000003</v>
      </c>
      <c r="E2721" s="79">
        <v>5.8827999999999996</v>
      </c>
      <c r="F2721" s="79">
        <v>5.9554999999999998</v>
      </c>
      <c r="G2721" s="83">
        <f t="shared" si="41"/>
        <v>6.0028730158730141</v>
      </c>
    </row>
    <row r="2722" spans="1:7" x14ac:dyDescent="0.2">
      <c r="A2722" s="75">
        <v>42670</v>
      </c>
      <c r="B2722" s="76" t="s">
        <v>35</v>
      </c>
      <c r="C2722" s="76" t="s">
        <v>536</v>
      </c>
      <c r="D2722" s="79">
        <v>4402.4070810000003</v>
      </c>
      <c r="E2722" s="79">
        <v>5.9553000000000003</v>
      </c>
      <c r="F2722" s="79">
        <v>6.0137</v>
      </c>
      <c r="G2722" s="83">
        <f t="shared" si="41"/>
        <v>5.9996507936507912</v>
      </c>
    </row>
    <row r="2723" spans="1:7" x14ac:dyDescent="0.2">
      <c r="A2723" s="75">
        <v>42671</v>
      </c>
      <c r="B2723" s="76" t="s">
        <v>35</v>
      </c>
      <c r="C2723" s="76" t="s">
        <v>536</v>
      </c>
      <c r="D2723" s="79">
        <v>4402.633194</v>
      </c>
      <c r="E2723" s="79">
        <v>6.0134999999999996</v>
      </c>
      <c r="F2723" s="79">
        <v>6.0204000000000004</v>
      </c>
      <c r="G2723" s="83">
        <f t="shared" si="41"/>
        <v>5.9977206349206336</v>
      </c>
    </row>
    <row r="2724" spans="1:7" x14ac:dyDescent="0.2">
      <c r="A2724" s="75">
        <v>42674</v>
      </c>
      <c r="B2724" s="76" t="s">
        <v>35</v>
      </c>
      <c r="C2724" s="76" t="s">
        <v>536</v>
      </c>
      <c r="D2724" s="79">
        <v>4411.4180070000002</v>
      </c>
      <c r="E2724" s="79">
        <v>6.0202</v>
      </c>
      <c r="F2724" s="79">
        <v>5.9859</v>
      </c>
      <c r="G2724" s="83">
        <f t="shared" si="41"/>
        <v>5.9957079365079355</v>
      </c>
    </row>
    <row r="2725" spans="1:7" x14ac:dyDescent="0.2">
      <c r="A2725" s="75">
        <v>42675</v>
      </c>
      <c r="B2725" s="76" t="s">
        <v>35</v>
      </c>
      <c r="C2725" s="76" t="s">
        <v>536</v>
      </c>
      <c r="D2725" s="79">
        <v>4410.4961110000004</v>
      </c>
      <c r="E2725" s="79">
        <v>5.9858000000000002</v>
      </c>
      <c r="F2725" s="79">
        <v>5.9981999999999998</v>
      </c>
      <c r="G2725" s="83">
        <f t="shared" si="41"/>
        <v>5.9936253968253954</v>
      </c>
    </row>
    <row r="2726" spans="1:7" x14ac:dyDescent="0.2">
      <c r="A2726" s="75">
        <v>42677</v>
      </c>
      <c r="B2726" s="76" t="s">
        <v>35</v>
      </c>
      <c r="C2726" s="76" t="s">
        <v>536</v>
      </c>
      <c r="D2726" s="79">
        <v>4411.5930790000002</v>
      </c>
      <c r="E2726" s="79">
        <v>5.9981</v>
      </c>
      <c r="F2726" s="79">
        <v>6.0007999999999999</v>
      </c>
      <c r="G2726" s="83">
        <f t="shared" si="41"/>
        <v>5.9913841269841264</v>
      </c>
    </row>
    <row r="2727" spans="1:7" x14ac:dyDescent="0.2">
      <c r="A2727" s="75">
        <v>42678</v>
      </c>
      <c r="B2727" s="76" t="s">
        <v>35</v>
      </c>
      <c r="C2727" s="76" t="s">
        <v>536</v>
      </c>
      <c r="D2727" s="79">
        <v>4417.4980999999998</v>
      </c>
      <c r="E2727" s="79">
        <v>6.0007000000000001</v>
      </c>
      <c r="F2727" s="79">
        <v>5.9802999999999997</v>
      </c>
      <c r="G2727" s="83">
        <f t="shared" si="41"/>
        <v>5.989863492063491</v>
      </c>
    </row>
    <row r="2728" spans="1:7" x14ac:dyDescent="0.2">
      <c r="A2728" s="75">
        <v>42681</v>
      </c>
      <c r="B2728" s="76" t="s">
        <v>35</v>
      </c>
      <c r="C2728" s="76" t="s">
        <v>536</v>
      </c>
      <c r="D2728" s="79">
        <v>4425.2860149999997</v>
      </c>
      <c r="E2728" s="79">
        <v>5.9802</v>
      </c>
      <c r="F2728" s="79">
        <v>5.9508000000000001</v>
      </c>
      <c r="G2728" s="83">
        <f t="shared" si="41"/>
        <v>5.9887714285714289</v>
      </c>
    </row>
    <row r="2729" spans="1:7" x14ac:dyDescent="0.2">
      <c r="A2729" s="75">
        <v>42682</v>
      </c>
      <c r="B2729" s="76" t="s">
        <v>35</v>
      </c>
      <c r="C2729" s="76" t="s">
        <v>536</v>
      </c>
      <c r="D2729" s="79">
        <v>4426.2741960000003</v>
      </c>
      <c r="E2729" s="79">
        <v>5.9507000000000003</v>
      </c>
      <c r="F2729" s="79">
        <v>5.9539</v>
      </c>
      <c r="G2729" s="83">
        <f t="shared" si="41"/>
        <v>5.9883285714285703</v>
      </c>
    </row>
    <row r="2730" spans="1:7" x14ac:dyDescent="0.2">
      <c r="A2730" s="75">
        <v>42683</v>
      </c>
      <c r="B2730" s="76" t="s">
        <v>35</v>
      </c>
      <c r="C2730" s="76" t="s">
        <v>536</v>
      </c>
      <c r="D2730" s="79">
        <v>4404.1301160000003</v>
      </c>
      <c r="E2730" s="79">
        <v>5.9539</v>
      </c>
      <c r="F2730" s="79">
        <v>6.0632000000000001</v>
      </c>
      <c r="G2730" s="83">
        <f t="shared" si="41"/>
        <v>5.9874063492063483</v>
      </c>
    </row>
    <row r="2731" spans="1:7" x14ac:dyDescent="0.2">
      <c r="A2731" s="75">
        <v>42684</v>
      </c>
      <c r="B2731" s="76" t="s">
        <v>35</v>
      </c>
      <c r="C2731" s="76" t="s">
        <v>536</v>
      </c>
      <c r="D2731" s="79">
        <v>4355.236774</v>
      </c>
      <c r="E2731" s="79">
        <v>6.0631000000000004</v>
      </c>
      <c r="F2731" s="79">
        <v>6.3080999999999996</v>
      </c>
      <c r="G2731" s="83">
        <f t="shared" si="41"/>
        <v>5.9889666666666672</v>
      </c>
    </row>
    <row r="2732" spans="1:7" x14ac:dyDescent="0.2">
      <c r="A2732" s="75">
        <v>42685</v>
      </c>
      <c r="B2732" s="76" t="s">
        <v>35</v>
      </c>
      <c r="C2732" s="76" t="s">
        <v>536</v>
      </c>
      <c r="D2732" s="79">
        <v>4343.1672719999997</v>
      </c>
      <c r="E2732" s="79">
        <v>6.3079999999999998</v>
      </c>
      <c r="F2732" s="79">
        <v>6.375</v>
      </c>
      <c r="G2732" s="83">
        <f t="shared" si="41"/>
        <v>5.9949158730158736</v>
      </c>
    </row>
    <row r="2733" spans="1:7" x14ac:dyDescent="0.2">
      <c r="A2733" s="75">
        <v>42688</v>
      </c>
      <c r="B2733" s="76" t="s">
        <v>35</v>
      </c>
      <c r="C2733" s="76" t="s">
        <v>536</v>
      </c>
      <c r="D2733" s="79">
        <v>4299.7777599999999</v>
      </c>
      <c r="E2733" s="79">
        <v>6.3749000000000002</v>
      </c>
      <c r="F2733" s="79">
        <v>6.5968999999999998</v>
      </c>
      <c r="G2733" s="83">
        <f t="shared" si="41"/>
        <v>6.0025507936507942</v>
      </c>
    </row>
    <row r="2734" spans="1:7" x14ac:dyDescent="0.2">
      <c r="A2734" s="75">
        <v>42690</v>
      </c>
      <c r="B2734" s="76" t="s">
        <v>35</v>
      </c>
      <c r="C2734" s="76" t="s">
        <v>536</v>
      </c>
      <c r="D2734" s="79">
        <v>4331.1035620000002</v>
      </c>
      <c r="E2734" s="79">
        <v>6.5968</v>
      </c>
      <c r="F2734" s="79">
        <v>6.4501999999999997</v>
      </c>
      <c r="G2734" s="83">
        <f t="shared" si="41"/>
        <v>6.013585714285715</v>
      </c>
    </row>
    <row r="2735" spans="1:7" x14ac:dyDescent="0.2">
      <c r="A2735" s="75">
        <v>42691</v>
      </c>
      <c r="B2735" s="76" t="s">
        <v>35</v>
      </c>
      <c r="C2735" s="76" t="s">
        <v>536</v>
      </c>
      <c r="D2735" s="79">
        <v>4328.1645980000003</v>
      </c>
      <c r="E2735" s="79">
        <v>6.45</v>
      </c>
      <c r="F2735" s="79">
        <v>6.4737</v>
      </c>
      <c r="G2735" s="83">
        <f t="shared" si="41"/>
        <v>6.0220142857142855</v>
      </c>
    </row>
    <row r="2736" spans="1:7" x14ac:dyDescent="0.2">
      <c r="A2736" s="75">
        <v>42692</v>
      </c>
      <c r="B2736" s="76" t="s">
        <v>35</v>
      </c>
      <c r="C2736" s="76" t="s">
        <v>536</v>
      </c>
      <c r="D2736" s="79">
        <v>4332.6665220000004</v>
      </c>
      <c r="E2736" s="79">
        <v>6.4734999999999996</v>
      </c>
      <c r="F2736" s="79">
        <v>6.4606000000000003</v>
      </c>
      <c r="G2736" s="83">
        <f t="shared" si="41"/>
        <v>6.0295333333333341</v>
      </c>
    </row>
    <row r="2737" spans="1:7" x14ac:dyDescent="0.2">
      <c r="A2737" s="75">
        <v>42695</v>
      </c>
      <c r="B2737" s="76" t="s">
        <v>35</v>
      </c>
      <c r="C2737" s="76" t="s">
        <v>536</v>
      </c>
      <c r="D2737" s="79">
        <v>4368.6152149999998</v>
      </c>
      <c r="E2737" s="79">
        <v>6.4603999999999999</v>
      </c>
      <c r="F2737" s="79">
        <v>6.2937000000000003</v>
      </c>
      <c r="G2737" s="83">
        <f t="shared" si="41"/>
        <v>6.036603174603175</v>
      </c>
    </row>
    <row r="2738" spans="1:7" x14ac:dyDescent="0.2">
      <c r="A2738" s="75">
        <v>42696</v>
      </c>
      <c r="B2738" s="76" t="s">
        <v>35</v>
      </c>
      <c r="C2738" s="76" t="s">
        <v>536</v>
      </c>
      <c r="D2738" s="79">
        <v>4383.3037599999998</v>
      </c>
      <c r="E2738" s="79">
        <v>6.2934999999999999</v>
      </c>
      <c r="F2738" s="79">
        <v>6.2312000000000003</v>
      </c>
      <c r="G2738" s="83">
        <f t="shared" si="41"/>
        <v>6.0409111111111109</v>
      </c>
    </row>
    <row r="2739" spans="1:7" x14ac:dyDescent="0.2">
      <c r="A2739" s="75">
        <v>42697</v>
      </c>
      <c r="B2739" s="76" t="s">
        <v>35</v>
      </c>
      <c r="C2739" s="76" t="s">
        <v>536</v>
      </c>
      <c r="D2739" s="79">
        <v>4384.7762059999995</v>
      </c>
      <c r="E2739" s="79">
        <v>6.2310999999999996</v>
      </c>
      <c r="F2739" s="79">
        <v>6.2329999999999997</v>
      </c>
      <c r="G2739" s="83">
        <f t="shared" si="41"/>
        <v>6.0448079365079375</v>
      </c>
    </row>
    <row r="2740" spans="1:7" x14ac:dyDescent="0.2">
      <c r="A2740" s="75">
        <v>42698</v>
      </c>
      <c r="B2740" s="76" t="s">
        <v>35</v>
      </c>
      <c r="C2740" s="76" t="s">
        <v>536</v>
      </c>
      <c r="D2740" s="79">
        <v>4382.8177770000002</v>
      </c>
      <c r="E2740" s="79">
        <v>6.2328999999999999</v>
      </c>
      <c r="F2740" s="79">
        <v>6.2465999999999999</v>
      </c>
      <c r="G2740" s="83">
        <f t="shared" si="41"/>
        <v>6.0484571428571439</v>
      </c>
    </row>
    <row r="2741" spans="1:7" x14ac:dyDescent="0.2">
      <c r="A2741" s="75">
        <v>42699</v>
      </c>
      <c r="B2741" s="76" t="s">
        <v>35</v>
      </c>
      <c r="C2741" s="76" t="s">
        <v>536</v>
      </c>
      <c r="D2741" s="79">
        <v>4371.1822469999997</v>
      </c>
      <c r="E2741" s="79">
        <v>6.2464000000000004</v>
      </c>
      <c r="F2741" s="79">
        <v>6.3112000000000004</v>
      </c>
      <c r="G2741" s="83">
        <f t="shared" si="41"/>
        <v>6.0524746031746046</v>
      </c>
    </row>
    <row r="2742" spans="1:7" x14ac:dyDescent="0.2">
      <c r="A2742" s="75">
        <v>42702</v>
      </c>
      <c r="B2742" s="76" t="s">
        <v>35</v>
      </c>
      <c r="C2742" s="76" t="s">
        <v>536</v>
      </c>
      <c r="D2742" s="79">
        <v>4387.4257509999998</v>
      </c>
      <c r="E2742" s="79">
        <v>6.3110999999999997</v>
      </c>
      <c r="F2742" s="79">
        <v>6.2404999999999999</v>
      </c>
      <c r="G2742" s="83">
        <f t="shared" si="41"/>
        <v>6.0572317460317473</v>
      </c>
    </row>
    <row r="2743" spans="1:7" x14ac:dyDescent="0.2">
      <c r="A2743" s="75">
        <v>42703</v>
      </c>
      <c r="B2743" s="76" t="s">
        <v>35</v>
      </c>
      <c r="C2743" s="76" t="s">
        <v>536</v>
      </c>
      <c r="D2743" s="79">
        <v>4396.7301459999999</v>
      </c>
      <c r="E2743" s="79">
        <v>6.2403000000000004</v>
      </c>
      <c r="F2743" s="79">
        <v>6.2035</v>
      </c>
      <c r="G2743" s="83">
        <f t="shared" si="41"/>
        <v>6.0604222222222228</v>
      </c>
    </row>
    <row r="2744" spans="1:7" x14ac:dyDescent="0.2">
      <c r="A2744" s="75">
        <v>42704</v>
      </c>
      <c r="B2744" s="76" t="s">
        <v>35</v>
      </c>
      <c r="C2744" s="76" t="s">
        <v>536</v>
      </c>
      <c r="D2744" s="79">
        <v>4405.5118000000002</v>
      </c>
      <c r="E2744" s="79">
        <v>6.2034000000000002</v>
      </c>
      <c r="F2744" s="79">
        <v>6.1692</v>
      </c>
      <c r="G2744" s="83">
        <f t="shared" si="41"/>
        <v>6.0614476190476196</v>
      </c>
    </row>
    <row r="2745" spans="1:7" x14ac:dyDescent="0.2">
      <c r="A2745" s="75">
        <v>42705</v>
      </c>
      <c r="B2745" s="76" t="s">
        <v>35</v>
      </c>
      <c r="C2745" s="76" t="s">
        <v>536</v>
      </c>
      <c r="D2745" s="79">
        <v>4350.5339219999996</v>
      </c>
      <c r="E2745" s="79">
        <v>6.1691000000000003</v>
      </c>
      <c r="F2745" s="484">
        <v>6.4444999999999997</v>
      </c>
      <c r="G2745" s="83">
        <f t="shared" si="41"/>
        <v>6.0625396825396827</v>
      </c>
    </row>
    <row r="2746" spans="1:7" x14ac:dyDescent="0.2">
      <c r="A2746" s="75">
        <v>42706</v>
      </c>
      <c r="B2746" s="76" t="s">
        <v>35</v>
      </c>
      <c r="C2746" s="76" t="s">
        <v>536</v>
      </c>
      <c r="D2746" s="79">
        <v>4349.5990629999997</v>
      </c>
      <c r="E2746" s="484">
        <v>6.4443999999999999</v>
      </c>
      <c r="F2746" s="484">
        <v>6.4573999999999998</v>
      </c>
      <c r="G2746" s="83">
        <f t="shared" si="41"/>
        <v>6.0668492063492065</v>
      </c>
    </row>
    <row r="2747" spans="1:7" x14ac:dyDescent="0.2">
      <c r="A2747" s="75">
        <v>42709</v>
      </c>
      <c r="B2747" s="76" t="s">
        <v>35</v>
      </c>
      <c r="C2747" s="76" t="s">
        <v>536</v>
      </c>
      <c r="D2747" s="484">
        <v>4384.9451200000003</v>
      </c>
      <c r="E2747" s="484">
        <v>6.4573</v>
      </c>
      <c r="F2747" s="484">
        <v>6.2934000000000001</v>
      </c>
      <c r="G2747" s="83">
        <f t="shared" si="41"/>
        <v>6.0720571428571422</v>
      </c>
    </row>
    <row r="2748" spans="1:7" x14ac:dyDescent="0.2">
      <c r="A2748" s="75">
        <v>42710</v>
      </c>
      <c r="B2748" s="76" t="s">
        <v>35</v>
      </c>
      <c r="C2748" s="76" t="s">
        <v>536</v>
      </c>
      <c r="D2748" s="484">
        <v>4379.1769619999995</v>
      </c>
      <c r="E2748" s="484">
        <v>6.2933000000000003</v>
      </c>
      <c r="F2748" s="484">
        <v>6.3296000000000001</v>
      </c>
      <c r="G2748" s="83">
        <f t="shared" si="41"/>
        <v>6.0760063492063487</v>
      </c>
    </row>
    <row r="2749" spans="1:7" x14ac:dyDescent="0.2">
      <c r="A2749" s="75">
        <v>42711</v>
      </c>
      <c r="B2749" s="76" t="s">
        <v>35</v>
      </c>
      <c r="C2749" s="76" t="s">
        <v>536</v>
      </c>
      <c r="D2749" s="484">
        <v>4391.5055329999996</v>
      </c>
      <c r="E2749" s="484">
        <v>6.3296000000000001</v>
      </c>
      <c r="F2749" s="484">
        <v>6.2781000000000002</v>
      </c>
      <c r="G2749" s="83">
        <f t="shared" si="41"/>
        <v>6.0812841269841273</v>
      </c>
    </row>
    <row r="2750" spans="1:7" x14ac:dyDescent="0.2">
      <c r="A2750" s="75">
        <v>42712</v>
      </c>
      <c r="B2750" s="76" t="s">
        <v>35</v>
      </c>
      <c r="C2750" s="76" t="s">
        <v>536</v>
      </c>
      <c r="D2750" s="484">
        <v>4412.1597469999997</v>
      </c>
      <c r="E2750" s="484">
        <v>6.2781000000000002</v>
      </c>
      <c r="F2750" s="484">
        <v>6.1866000000000003</v>
      </c>
      <c r="G2750" s="83">
        <f t="shared" si="41"/>
        <v>6.0856142857142848</v>
      </c>
    </row>
    <row r="2751" spans="1:7" x14ac:dyDescent="0.2">
      <c r="A2751" s="75">
        <v>42713</v>
      </c>
      <c r="B2751" s="76" t="s">
        <v>35</v>
      </c>
      <c r="C2751" s="76" t="s">
        <v>536</v>
      </c>
      <c r="D2751" s="484">
        <v>4401.6281209999997</v>
      </c>
      <c r="E2751" s="484">
        <v>6.1866000000000003</v>
      </c>
      <c r="F2751" s="484">
        <v>6.2233000000000001</v>
      </c>
      <c r="G2751" s="83">
        <f t="shared" si="41"/>
        <v>6.0891095238095234</v>
      </c>
    </row>
    <row r="2752" spans="1:7" x14ac:dyDescent="0.2">
      <c r="A2752" s="75">
        <v>42716</v>
      </c>
      <c r="B2752" s="76" t="s">
        <v>35</v>
      </c>
      <c r="C2752" s="76" t="s">
        <v>536</v>
      </c>
      <c r="D2752" s="484">
        <v>4398.8378229999998</v>
      </c>
      <c r="E2752" s="484">
        <v>6.2233000000000001</v>
      </c>
      <c r="F2752" s="484">
        <v>6.2436999999999996</v>
      </c>
      <c r="G2752" s="83">
        <f t="shared" si="41"/>
        <v>6.0924380952380943</v>
      </c>
    </row>
    <row r="2753" spans="1:7" x14ac:dyDescent="0.2">
      <c r="A2753" s="75">
        <v>42717</v>
      </c>
      <c r="B2753" s="76" t="s">
        <v>35</v>
      </c>
      <c r="C2753" s="76" t="s">
        <v>536</v>
      </c>
      <c r="D2753" s="484">
        <v>4397.914041</v>
      </c>
      <c r="E2753" s="484">
        <v>6.2435999999999998</v>
      </c>
      <c r="F2753" s="484">
        <v>6.2549999999999999</v>
      </c>
      <c r="G2753" s="83">
        <f t="shared" si="41"/>
        <v>6.0939825396825391</v>
      </c>
    </row>
    <row r="2754" spans="1:7" x14ac:dyDescent="0.2">
      <c r="A2754" s="75">
        <v>42718</v>
      </c>
      <c r="B2754" s="76" t="s">
        <v>35</v>
      </c>
      <c r="C2754" s="76" t="s">
        <v>536</v>
      </c>
      <c r="D2754" s="484">
        <v>4408.8568670000004</v>
      </c>
      <c r="E2754" s="484">
        <v>6.2549000000000001</v>
      </c>
      <c r="F2754" s="484">
        <v>6.2089999999999996</v>
      </c>
      <c r="G2754" s="83">
        <f t="shared" si="41"/>
        <v>6.0961936507936505</v>
      </c>
    </row>
    <row r="2755" spans="1:7" x14ac:dyDescent="0.2">
      <c r="A2755" s="75">
        <v>42719</v>
      </c>
      <c r="B2755" s="76" t="s">
        <v>35</v>
      </c>
      <c r="C2755" s="76" t="s">
        <v>536</v>
      </c>
      <c r="D2755" s="484">
        <v>4410.5584849999996</v>
      </c>
      <c r="E2755" s="484">
        <v>6.2089999999999996</v>
      </c>
      <c r="F2755" s="484">
        <v>6.2077</v>
      </c>
      <c r="G2755" s="83">
        <f t="shared" ref="G2755:G2818" si="42">+AVERAGE(E2693:E2755)</f>
        <v>6.0957714285714282</v>
      </c>
    </row>
    <row r="2756" spans="1:7" x14ac:dyDescent="0.2">
      <c r="A2756" s="75">
        <v>42720</v>
      </c>
      <c r="B2756" s="76" t="s">
        <v>35</v>
      </c>
      <c r="C2756" s="76" t="s">
        <v>536</v>
      </c>
      <c r="D2756" s="484">
        <v>4421.4468939999997</v>
      </c>
      <c r="E2756" s="484">
        <v>6.2076000000000002</v>
      </c>
      <c r="F2756" s="484">
        <v>6.1649000000000003</v>
      </c>
      <c r="G2756" s="83">
        <f t="shared" si="42"/>
        <v>6.0956888888888887</v>
      </c>
    </row>
    <row r="2757" spans="1:7" x14ac:dyDescent="0.2">
      <c r="A2757" s="75">
        <v>42723</v>
      </c>
      <c r="B2757" s="76" t="s">
        <v>35</v>
      </c>
      <c r="C2757" s="76" t="s">
        <v>536</v>
      </c>
      <c r="D2757" s="484">
        <v>4428.2085520000001</v>
      </c>
      <c r="E2757" s="484">
        <v>6.1649000000000003</v>
      </c>
      <c r="F2757" s="484">
        <v>6.1421000000000001</v>
      </c>
      <c r="G2757" s="83">
        <f t="shared" si="42"/>
        <v>6.0953793650793653</v>
      </c>
    </row>
    <row r="2758" spans="1:7" x14ac:dyDescent="0.2">
      <c r="A2758" s="75">
        <v>42724</v>
      </c>
      <c r="B2758" s="76" t="s">
        <v>35</v>
      </c>
      <c r="C2758" s="76" t="s">
        <v>536</v>
      </c>
      <c r="D2758" s="484">
        <v>4434.6646129999999</v>
      </c>
      <c r="E2758" s="484">
        <v>6.1421000000000001</v>
      </c>
      <c r="F2758" s="484">
        <v>6.1208</v>
      </c>
      <c r="G2758" s="83">
        <f t="shared" si="42"/>
        <v>6.0951619047619046</v>
      </c>
    </row>
    <row r="2759" spans="1:7" x14ac:dyDescent="0.2">
      <c r="A2759" s="75">
        <v>42725</v>
      </c>
      <c r="B2759" s="76" t="s">
        <v>35</v>
      </c>
      <c r="C2759" s="76" t="s">
        <v>536</v>
      </c>
      <c r="D2759" s="484">
        <v>4449.4809290000003</v>
      </c>
      <c r="E2759" s="484">
        <v>6.1208</v>
      </c>
      <c r="F2759" s="484">
        <v>6.0595999999999997</v>
      </c>
      <c r="G2759" s="83">
        <f t="shared" si="42"/>
        <v>6.0950555555555557</v>
      </c>
    </row>
    <row r="2760" spans="1:7" x14ac:dyDescent="0.2">
      <c r="A2760" s="75">
        <v>42726</v>
      </c>
      <c r="B2760" s="76" t="s">
        <v>35</v>
      </c>
      <c r="C2760" s="76" t="s">
        <v>536</v>
      </c>
      <c r="D2760" s="484">
        <v>4457.014443</v>
      </c>
      <c r="E2760" s="484">
        <v>6.0595999999999997</v>
      </c>
      <c r="F2760" s="484">
        <v>6.0251000000000001</v>
      </c>
      <c r="G2760" s="83">
        <f t="shared" si="42"/>
        <v>6.0939476190476185</v>
      </c>
    </row>
    <row r="2761" spans="1:7" x14ac:dyDescent="0.2">
      <c r="A2761" s="75">
        <v>42727</v>
      </c>
      <c r="B2761" s="76" t="s">
        <v>35</v>
      </c>
      <c r="C2761" s="76" t="s">
        <v>536</v>
      </c>
      <c r="D2761" s="484">
        <v>4454.2881189999998</v>
      </c>
      <c r="E2761" s="484">
        <v>6.0251000000000001</v>
      </c>
      <c r="F2761" s="484">
        <v>6.0460000000000003</v>
      </c>
      <c r="G2761" s="83">
        <f t="shared" si="42"/>
        <v>6.093287301587301</v>
      </c>
    </row>
    <row r="2762" spans="1:7" x14ac:dyDescent="0.2">
      <c r="A2762" s="75">
        <v>42730</v>
      </c>
      <c r="B2762" s="76" t="s">
        <v>35</v>
      </c>
      <c r="C2762" s="76" t="s">
        <v>536</v>
      </c>
      <c r="D2762" s="484">
        <v>4457.7165429999995</v>
      </c>
      <c r="E2762" s="484">
        <v>6.0460000000000003</v>
      </c>
      <c r="F2762" s="484">
        <v>6.0376000000000003</v>
      </c>
      <c r="G2762" s="83">
        <f t="shared" si="42"/>
        <v>6.0939603174603159</v>
      </c>
    </row>
    <row r="2763" spans="1:7" x14ac:dyDescent="0.2">
      <c r="A2763" s="75">
        <v>42731</v>
      </c>
      <c r="B2763" s="76" t="s">
        <v>35</v>
      </c>
      <c r="C2763" s="76" t="s">
        <v>536</v>
      </c>
      <c r="D2763" s="484">
        <v>4458.5827060000001</v>
      </c>
      <c r="E2763" s="484">
        <v>6.0376000000000003</v>
      </c>
      <c r="F2763" s="484">
        <v>6.0414000000000003</v>
      </c>
      <c r="G2763" s="83">
        <f t="shared" si="42"/>
        <v>6.0944825396825388</v>
      </c>
    </row>
    <row r="2764" spans="1:7" x14ac:dyDescent="0.2">
      <c r="A2764" s="75">
        <v>42732</v>
      </c>
      <c r="B2764" s="76" t="s">
        <v>35</v>
      </c>
      <c r="C2764" s="76" t="s">
        <v>536</v>
      </c>
      <c r="D2764" s="484">
        <v>4468.642202</v>
      </c>
      <c r="E2764" s="484">
        <v>6.0414000000000003</v>
      </c>
      <c r="F2764" s="484">
        <v>6.0015000000000001</v>
      </c>
      <c r="G2764" s="83">
        <f t="shared" si="42"/>
        <v>6.0946904761904754</v>
      </c>
    </row>
    <row r="2765" spans="1:7" x14ac:dyDescent="0.2">
      <c r="A2765" s="75">
        <v>42733</v>
      </c>
      <c r="B2765" s="76" t="s">
        <v>35</v>
      </c>
      <c r="C2765" s="76" t="s">
        <v>536</v>
      </c>
      <c r="D2765" s="484">
        <v>4481.1923740000002</v>
      </c>
      <c r="E2765" s="484">
        <v>6.0015000000000001</v>
      </c>
      <c r="F2765" s="484">
        <v>5.9499000000000004</v>
      </c>
      <c r="G2765" s="83">
        <f t="shared" si="42"/>
        <v>6.0946825396825393</v>
      </c>
    </row>
    <row r="2766" spans="1:7" x14ac:dyDescent="0.2">
      <c r="A2766" s="75">
        <v>42734</v>
      </c>
      <c r="B2766" s="76" t="s">
        <v>35</v>
      </c>
      <c r="C2766" s="76" t="s">
        <v>536</v>
      </c>
      <c r="D2766" s="484">
        <v>4483.041158</v>
      </c>
      <c r="E2766" s="484">
        <v>5.9499000000000004</v>
      </c>
      <c r="F2766" s="484">
        <v>5.9489999999999998</v>
      </c>
      <c r="G2766" s="83">
        <f t="shared" si="42"/>
        <v>6.0943492063492055</v>
      </c>
    </row>
    <row r="2767" spans="1:7" x14ac:dyDescent="0.2">
      <c r="A2767" s="75">
        <v>42737</v>
      </c>
      <c r="B2767" s="76" t="s">
        <v>35</v>
      </c>
      <c r="C2767" s="76" t="s">
        <v>536</v>
      </c>
      <c r="D2767" s="484">
        <v>4507.7585790000003</v>
      </c>
      <c r="E2767" s="484">
        <v>5.9489000000000001</v>
      </c>
      <c r="F2767" s="484">
        <v>5.8402000000000003</v>
      </c>
      <c r="G2767" s="83">
        <f t="shared" si="42"/>
        <v>6.0935412698412703</v>
      </c>
    </row>
    <row r="2768" spans="1:7" x14ac:dyDescent="0.2">
      <c r="A2768" s="75">
        <v>42738</v>
      </c>
      <c r="B2768" s="76" t="s">
        <v>35</v>
      </c>
      <c r="C2768" s="76" t="s">
        <v>536</v>
      </c>
      <c r="D2768" s="484">
        <v>4517.0151880000003</v>
      </c>
      <c r="E2768" s="484">
        <v>5.8400999999999996</v>
      </c>
      <c r="F2768" s="484">
        <v>5.8044000000000002</v>
      </c>
      <c r="G2768" s="83">
        <f t="shared" si="42"/>
        <v>6.0915190476190482</v>
      </c>
    </row>
    <row r="2769" spans="1:7" x14ac:dyDescent="0.2">
      <c r="A2769" s="75">
        <v>42739</v>
      </c>
      <c r="B2769" s="76" t="s">
        <v>35</v>
      </c>
      <c r="C2769" s="76" t="s">
        <v>536</v>
      </c>
      <c r="D2769" s="484">
        <v>4509.1793500000003</v>
      </c>
      <c r="E2769" s="484">
        <v>5.8042999999999996</v>
      </c>
      <c r="F2769" s="484">
        <v>5.8487999999999998</v>
      </c>
      <c r="G2769" s="83">
        <f t="shared" si="42"/>
        <v>6.0903666666666672</v>
      </c>
    </row>
    <row r="2770" spans="1:7" x14ac:dyDescent="0.2">
      <c r="A2770" s="75">
        <v>42740</v>
      </c>
      <c r="B2770" s="76" t="s">
        <v>35</v>
      </c>
      <c r="C2770" s="76" t="s">
        <v>536</v>
      </c>
      <c r="D2770" s="484">
        <v>4516.4774989999996</v>
      </c>
      <c r="E2770" s="484">
        <v>5.8487999999999998</v>
      </c>
      <c r="F2770" s="484">
        <v>5.8223000000000003</v>
      </c>
      <c r="G2770" s="83">
        <f t="shared" si="42"/>
        <v>6.0891285714285708</v>
      </c>
    </row>
    <row r="2771" spans="1:7" x14ac:dyDescent="0.2">
      <c r="A2771" s="75">
        <v>42741</v>
      </c>
      <c r="B2771" s="76" t="s">
        <v>35</v>
      </c>
      <c r="C2771" s="76" t="s">
        <v>536</v>
      </c>
      <c r="D2771" s="484">
        <v>4503.437981</v>
      </c>
      <c r="E2771" s="484">
        <v>5.8223000000000003</v>
      </c>
      <c r="F2771" s="484">
        <v>5.8913000000000002</v>
      </c>
      <c r="G2771" s="83">
        <f t="shared" si="42"/>
        <v>6.0885841269841263</v>
      </c>
    </row>
    <row r="2772" spans="1:7" x14ac:dyDescent="0.2">
      <c r="A2772" s="75">
        <v>42744</v>
      </c>
      <c r="B2772" s="76" t="s">
        <v>35</v>
      </c>
      <c r="C2772" s="76" t="s">
        <v>536</v>
      </c>
      <c r="D2772" s="484">
        <v>4499.5512989999997</v>
      </c>
      <c r="E2772" s="484">
        <v>5.8913000000000002</v>
      </c>
      <c r="F2772" s="484">
        <v>5.9173999999999998</v>
      </c>
      <c r="G2772" s="83">
        <f t="shared" si="42"/>
        <v>6.0886507936507934</v>
      </c>
    </row>
    <row r="2773" spans="1:7" x14ac:dyDescent="0.2">
      <c r="A2773" s="75">
        <v>42745</v>
      </c>
      <c r="B2773" s="76" t="s">
        <v>35</v>
      </c>
      <c r="C2773" s="76" t="s">
        <v>536</v>
      </c>
      <c r="D2773" s="484">
        <v>4501.2323759999999</v>
      </c>
      <c r="E2773" s="484">
        <v>5.9173999999999998</v>
      </c>
      <c r="F2773" s="484">
        <v>5.9173</v>
      </c>
      <c r="G2773" s="83">
        <f t="shared" si="42"/>
        <v>6.0892269841269835</v>
      </c>
    </row>
    <row r="2774" spans="1:7" x14ac:dyDescent="0.2">
      <c r="A2774" s="75">
        <v>42746</v>
      </c>
      <c r="B2774" s="76" t="s">
        <v>35</v>
      </c>
      <c r="C2774" s="76" t="s">
        <v>536</v>
      </c>
      <c r="D2774" s="484">
        <v>4490.4367259999999</v>
      </c>
      <c r="E2774" s="484">
        <v>5.9173</v>
      </c>
      <c r="F2774" s="484">
        <v>5.9741999999999997</v>
      </c>
      <c r="G2774" s="83">
        <f t="shared" si="42"/>
        <v>6.0899904761904748</v>
      </c>
    </row>
    <row r="2775" spans="1:7" x14ac:dyDescent="0.2">
      <c r="A2775" s="75">
        <v>42747</v>
      </c>
      <c r="B2775" s="76" t="s">
        <v>35</v>
      </c>
      <c r="C2775" s="76" t="s">
        <v>536</v>
      </c>
      <c r="D2775" s="484">
        <v>4554.6281570000001</v>
      </c>
      <c r="E2775" s="484">
        <v>5.9741999999999997</v>
      </c>
      <c r="F2775" s="484">
        <v>5.6813000000000002</v>
      </c>
      <c r="G2775" s="83">
        <f t="shared" si="42"/>
        <v>6.0915666666666652</v>
      </c>
    </row>
    <row r="2776" spans="1:7" x14ac:dyDescent="0.2">
      <c r="A2776" s="75">
        <v>42748</v>
      </c>
      <c r="B2776" s="76" t="s">
        <v>35</v>
      </c>
      <c r="C2776" s="76" t="s">
        <v>536</v>
      </c>
      <c r="D2776" s="484">
        <v>4559.4363290000001</v>
      </c>
      <c r="E2776" s="484">
        <v>5.6814</v>
      </c>
      <c r="F2776" s="484">
        <v>5.6665999999999999</v>
      </c>
      <c r="G2776" s="83">
        <f t="shared" si="42"/>
        <v>6.0886650793650769</v>
      </c>
    </row>
    <row r="2777" spans="1:7" x14ac:dyDescent="0.2">
      <c r="A2777" s="75">
        <v>42751</v>
      </c>
      <c r="B2777" s="76" t="s">
        <v>35</v>
      </c>
      <c r="C2777" s="76" t="s">
        <v>536</v>
      </c>
      <c r="D2777" s="484">
        <v>4567.5295740000001</v>
      </c>
      <c r="E2777" s="484">
        <v>5.6666999999999996</v>
      </c>
      <c r="F2777" s="484">
        <v>5.6367000000000003</v>
      </c>
      <c r="G2777" s="83">
        <f t="shared" si="42"/>
        <v>6.0856428571428545</v>
      </c>
    </row>
    <row r="2778" spans="1:7" x14ac:dyDescent="0.2">
      <c r="A2778" s="75">
        <v>42752</v>
      </c>
      <c r="B2778" s="76" t="s">
        <v>35</v>
      </c>
      <c r="C2778" s="76" t="s">
        <v>536</v>
      </c>
      <c r="D2778" s="484">
        <v>4570.9587250000004</v>
      </c>
      <c r="E2778" s="484">
        <v>5.6368</v>
      </c>
      <c r="F2778" s="484">
        <v>5.6308999999999996</v>
      </c>
      <c r="G2778" s="83">
        <f t="shared" si="42"/>
        <v>6.0822238095238088</v>
      </c>
    </row>
    <row r="2779" spans="1:7" x14ac:dyDescent="0.2">
      <c r="A2779" s="75">
        <v>42753</v>
      </c>
      <c r="B2779" s="76" t="s">
        <v>35</v>
      </c>
      <c r="C2779" s="76" t="s">
        <v>536</v>
      </c>
      <c r="D2779" s="484">
        <v>4560.3515749999997</v>
      </c>
      <c r="E2779" s="484">
        <v>5.6310000000000002</v>
      </c>
      <c r="F2779" s="484">
        <v>5.6901000000000002</v>
      </c>
      <c r="G2779" s="83">
        <f t="shared" si="42"/>
        <v>6.0789396825396809</v>
      </c>
    </row>
    <row r="2780" spans="1:7" x14ac:dyDescent="0.2">
      <c r="A2780" s="75">
        <v>42754</v>
      </c>
      <c r="B2780" s="76" t="s">
        <v>35</v>
      </c>
      <c r="C2780" s="76" t="s">
        <v>536</v>
      </c>
      <c r="D2780" s="484">
        <v>4564.280092</v>
      </c>
      <c r="E2780" s="484">
        <v>5.6901999999999999</v>
      </c>
      <c r="F2780" s="484">
        <v>5.6820000000000004</v>
      </c>
      <c r="G2780" s="83">
        <f t="shared" si="42"/>
        <v>6.077457142857142</v>
      </c>
    </row>
    <row r="2781" spans="1:7" x14ac:dyDescent="0.2">
      <c r="A2781" s="75">
        <v>42755</v>
      </c>
      <c r="B2781" s="76" t="s">
        <v>35</v>
      </c>
      <c r="C2781" s="76" t="s">
        <v>536</v>
      </c>
      <c r="D2781" s="484">
        <v>4564.6103190000003</v>
      </c>
      <c r="E2781" s="484">
        <v>5.6820000000000004</v>
      </c>
      <c r="F2781" s="484">
        <v>5.6878000000000002</v>
      </c>
      <c r="G2781" s="83">
        <f t="shared" si="42"/>
        <v>6.0755841269841273</v>
      </c>
    </row>
    <row r="2782" spans="1:7" x14ac:dyDescent="0.2">
      <c r="A2782" s="75">
        <v>42758</v>
      </c>
      <c r="B2782" s="76" t="s">
        <v>35</v>
      </c>
      <c r="C2782" s="76" t="s">
        <v>536</v>
      </c>
      <c r="D2782" s="484">
        <v>4563.0667739999999</v>
      </c>
      <c r="E2782" s="484">
        <v>5.6879</v>
      </c>
      <c r="F2782" s="484">
        <v>5.7043999999999997</v>
      </c>
      <c r="G2782" s="83">
        <f t="shared" si="42"/>
        <v>6.072798412698412</v>
      </c>
    </row>
    <row r="2783" spans="1:7" x14ac:dyDescent="0.2">
      <c r="A2783" s="75">
        <v>42759</v>
      </c>
      <c r="B2783" s="76" t="s">
        <v>35</v>
      </c>
      <c r="C2783" s="76" t="s">
        <v>536</v>
      </c>
      <c r="D2783" s="484">
        <v>4570.2674779999998</v>
      </c>
      <c r="E2783" s="484">
        <v>5.7043999999999997</v>
      </c>
      <c r="F2783" s="484">
        <v>5.6803999999999997</v>
      </c>
      <c r="G2783" s="83">
        <f t="shared" si="42"/>
        <v>6.0707507936507934</v>
      </c>
    </row>
    <row r="2784" spans="1:7" x14ac:dyDescent="0.2">
      <c r="A2784" s="75">
        <v>42760</v>
      </c>
      <c r="B2784" s="76" t="s">
        <v>35</v>
      </c>
      <c r="C2784" s="76" t="s">
        <v>536</v>
      </c>
      <c r="D2784" s="484">
        <v>4572.3069740000001</v>
      </c>
      <c r="E2784" s="484">
        <v>5.6803999999999997</v>
      </c>
      <c r="F2784" s="484">
        <v>5.6802999999999999</v>
      </c>
      <c r="G2784" s="83">
        <f t="shared" si="42"/>
        <v>6.0675380952380955</v>
      </c>
    </row>
    <row r="2785" spans="1:7" x14ac:dyDescent="0.2">
      <c r="A2785" s="75">
        <v>42761</v>
      </c>
      <c r="B2785" s="76" t="s">
        <v>35</v>
      </c>
      <c r="C2785" s="76" t="s">
        <v>536</v>
      </c>
      <c r="D2785" s="484">
        <v>4566.376002</v>
      </c>
      <c r="E2785" s="484">
        <v>5.6802999999999999</v>
      </c>
      <c r="F2785" s="484">
        <v>5.7171000000000003</v>
      </c>
      <c r="G2785" s="83">
        <f t="shared" si="42"/>
        <v>6.0631730158730148</v>
      </c>
    </row>
    <row r="2786" spans="1:7" x14ac:dyDescent="0.2">
      <c r="A2786" s="75">
        <v>42762</v>
      </c>
      <c r="B2786" s="76" t="s">
        <v>35</v>
      </c>
      <c r="C2786" s="76" t="s">
        <v>536</v>
      </c>
      <c r="D2786" s="484">
        <v>4571.0332840000001</v>
      </c>
      <c r="E2786" s="484">
        <v>5.7169999999999996</v>
      </c>
      <c r="F2786" s="484">
        <v>5.7047999999999996</v>
      </c>
      <c r="G2786" s="83">
        <f t="shared" si="42"/>
        <v>6.0584666666666651</v>
      </c>
    </row>
    <row r="2787" spans="1:7" x14ac:dyDescent="0.2">
      <c r="A2787" s="75">
        <v>42765</v>
      </c>
      <c r="B2787" s="76" t="s">
        <v>35</v>
      </c>
      <c r="C2787" s="76" t="s">
        <v>536</v>
      </c>
      <c r="D2787" s="484">
        <v>4556.14786</v>
      </c>
      <c r="E2787" s="484">
        <v>5.7047999999999996</v>
      </c>
      <c r="F2787" s="484">
        <v>5.7831999999999999</v>
      </c>
      <c r="G2787" s="83">
        <f t="shared" si="42"/>
        <v>6.0534603174603161</v>
      </c>
    </row>
    <row r="2788" spans="1:7" x14ac:dyDescent="0.2">
      <c r="A2788" s="75">
        <v>42766</v>
      </c>
      <c r="B2788" s="76" t="s">
        <v>35</v>
      </c>
      <c r="C2788" s="76" t="s">
        <v>536</v>
      </c>
      <c r="D2788" s="484">
        <v>4546.7200890000004</v>
      </c>
      <c r="E2788" s="484">
        <v>5.7831999999999999</v>
      </c>
      <c r="F2788" s="484">
        <v>5.8365</v>
      </c>
      <c r="G2788" s="83">
        <f t="shared" si="42"/>
        <v>6.0502444444444432</v>
      </c>
    </row>
    <row r="2789" spans="1:7" x14ac:dyDescent="0.2">
      <c r="A2789" s="75">
        <v>42767</v>
      </c>
      <c r="B2789" s="76" t="s">
        <v>35</v>
      </c>
      <c r="C2789" s="76" t="s">
        <v>536</v>
      </c>
      <c r="D2789" s="484">
        <v>4553.889615</v>
      </c>
      <c r="E2789" s="484">
        <v>5.8365</v>
      </c>
      <c r="F2789" s="484">
        <v>5.8125999999999998</v>
      </c>
      <c r="G2789" s="83">
        <f t="shared" si="42"/>
        <v>6.0476793650793654</v>
      </c>
    </row>
    <row r="2790" spans="1:7" x14ac:dyDescent="0.2">
      <c r="A2790" s="75">
        <v>42768</v>
      </c>
      <c r="B2790" s="76" t="s">
        <v>35</v>
      </c>
      <c r="C2790" s="76" t="s">
        <v>536</v>
      </c>
      <c r="D2790" s="484">
        <v>4561.218296</v>
      </c>
      <c r="E2790" s="484">
        <v>5.8125</v>
      </c>
      <c r="F2790" s="484">
        <v>5.7878999999999996</v>
      </c>
      <c r="G2790" s="83">
        <f t="shared" si="42"/>
        <v>6.0446920634920627</v>
      </c>
    </row>
    <row r="2791" spans="1:7" x14ac:dyDescent="0.2">
      <c r="A2791" s="75">
        <v>42769</v>
      </c>
      <c r="B2791" s="76" t="s">
        <v>35</v>
      </c>
      <c r="C2791" s="76" t="s">
        <v>536</v>
      </c>
      <c r="D2791" s="484">
        <v>4573.3713610000004</v>
      </c>
      <c r="E2791" s="484">
        <v>5.7877999999999998</v>
      </c>
      <c r="F2791" s="484">
        <v>5.7408999999999999</v>
      </c>
      <c r="G2791" s="83">
        <f t="shared" si="42"/>
        <v>6.0416380952380955</v>
      </c>
    </row>
    <row r="2792" spans="1:7" x14ac:dyDescent="0.2">
      <c r="A2792" s="75">
        <v>42772</v>
      </c>
      <c r="B2792" s="76" t="s">
        <v>35</v>
      </c>
      <c r="C2792" s="76" t="s">
        <v>536</v>
      </c>
      <c r="D2792" s="484">
        <v>4582.216684</v>
      </c>
      <c r="E2792" s="484">
        <v>5.7408000000000001</v>
      </c>
      <c r="F2792" s="484">
        <v>5.7092999999999998</v>
      </c>
      <c r="G2792" s="83">
        <f t="shared" si="42"/>
        <v>6.0383063492063487</v>
      </c>
    </row>
    <row r="2793" spans="1:7" x14ac:dyDescent="0.2">
      <c r="A2793" s="75">
        <v>42773</v>
      </c>
      <c r="B2793" s="76" t="s">
        <v>35</v>
      </c>
      <c r="C2793" s="76" t="s">
        <v>536</v>
      </c>
      <c r="D2793" s="484">
        <v>4586.5204139999996</v>
      </c>
      <c r="E2793" s="484">
        <v>5.7092000000000001</v>
      </c>
      <c r="F2793" s="484">
        <v>5.6986999999999997</v>
      </c>
      <c r="G2793" s="83">
        <f t="shared" si="42"/>
        <v>6.034422222222223</v>
      </c>
    </row>
    <row r="2794" spans="1:7" x14ac:dyDescent="0.2">
      <c r="A2794" s="75">
        <v>42774</v>
      </c>
      <c r="B2794" s="76" t="s">
        <v>35</v>
      </c>
      <c r="C2794" s="76" t="s">
        <v>536</v>
      </c>
      <c r="D2794" s="484">
        <v>4622.9993990000003</v>
      </c>
      <c r="E2794" s="484">
        <v>5.6985000000000001</v>
      </c>
      <c r="F2794" s="484">
        <v>5.5225</v>
      </c>
      <c r="G2794" s="83">
        <f t="shared" si="42"/>
        <v>6.0286349206349223</v>
      </c>
    </row>
    <row r="2795" spans="1:7" x14ac:dyDescent="0.2">
      <c r="A2795" s="75">
        <v>42775</v>
      </c>
      <c r="B2795" s="76" t="s">
        <v>35</v>
      </c>
      <c r="C2795" s="76" t="s">
        <v>536</v>
      </c>
      <c r="D2795" s="484">
        <v>4635.7027939999998</v>
      </c>
      <c r="E2795" s="484">
        <v>5.5224000000000002</v>
      </c>
      <c r="F2795" s="484">
        <v>5.4725999999999999</v>
      </c>
      <c r="G2795" s="83">
        <f t="shared" si="42"/>
        <v>6.0161650793650807</v>
      </c>
    </row>
    <row r="2796" spans="1:7" x14ac:dyDescent="0.2">
      <c r="A2796" s="75">
        <v>42776</v>
      </c>
      <c r="B2796" s="76" t="s">
        <v>35</v>
      </c>
      <c r="C2796" s="76" t="s">
        <v>536</v>
      </c>
      <c r="D2796" s="484">
        <v>4644.7604350000001</v>
      </c>
      <c r="E2796" s="484">
        <v>5.4725000000000001</v>
      </c>
      <c r="F2796" s="484">
        <v>5.4394</v>
      </c>
      <c r="G2796" s="83">
        <f t="shared" si="42"/>
        <v>6.0018412698412718</v>
      </c>
    </row>
    <row r="2797" spans="1:7" x14ac:dyDescent="0.2">
      <c r="A2797" s="75">
        <v>42779</v>
      </c>
      <c r="B2797" s="76" t="s">
        <v>35</v>
      </c>
      <c r="C2797" s="76" t="s">
        <v>536</v>
      </c>
      <c r="D2797" s="484">
        <v>4646.4498009999998</v>
      </c>
      <c r="E2797" s="484">
        <v>5.4393000000000002</v>
      </c>
      <c r="F2797" s="484">
        <v>5.4397000000000002</v>
      </c>
      <c r="G2797" s="83">
        <f t="shared" si="42"/>
        <v>5.9834682539682573</v>
      </c>
    </row>
    <row r="2798" spans="1:7" x14ac:dyDescent="0.2">
      <c r="A2798" s="75">
        <v>42780</v>
      </c>
      <c r="B2798" s="76" t="s">
        <v>35</v>
      </c>
      <c r="C2798" s="76" t="s">
        <v>536</v>
      </c>
      <c r="D2798" s="484">
        <v>4646.9507149999999</v>
      </c>
      <c r="E2798" s="484">
        <v>5.4396000000000004</v>
      </c>
      <c r="F2798" s="484">
        <v>5.4454000000000002</v>
      </c>
      <c r="G2798" s="83">
        <f t="shared" si="42"/>
        <v>5.9674301587301608</v>
      </c>
    </row>
    <row r="2799" spans="1:7" x14ac:dyDescent="0.2">
      <c r="A2799" s="75">
        <v>42781</v>
      </c>
      <c r="B2799" s="76" t="s">
        <v>35</v>
      </c>
      <c r="C2799" s="76" t="s">
        <v>536</v>
      </c>
      <c r="D2799" s="484">
        <v>4642.9855580000003</v>
      </c>
      <c r="E2799" s="484">
        <v>5.4452999999999996</v>
      </c>
      <c r="F2799" s="484">
        <v>5.4714</v>
      </c>
      <c r="G2799" s="83">
        <f t="shared" si="42"/>
        <v>5.9511095238095262</v>
      </c>
    </row>
    <row r="2800" spans="1:7" x14ac:dyDescent="0.2">
      <c r="A2800" s="75">
        <v>42782</v>
      </c>
      <c r="B2800" s="76" t="s">
        <v>35</v>
      </c>
      <c r="C2800" s="76" t="s">
        <v>536</v>
      </c>
      <c r="D2800" s="484">
        <v>4624.4393840000002</v>
      </c>
      <c r="E2800" s="484">
        <v>5.4713000000000003</v>
      </c>
      <c r="F2800" s="484">
        <v>5.5658000000000003</v>
      </c>
      <c r="G2800" s="83">
        <f t="shared" si="42"/>
        <v>5.9354095238095255</v>
      </c>
    </row>
    <row r="2801" spans="1:7" x14ac:dyDescent="0.2">
      <c r="A2801" s="75">
        <v>42783</v>
      </c>
      <c r="B2801" s="76" t="s">
        <v>35</v>
      </c>
      <c r="C2801" s="76" t="s">
        <v>536</v>
      </c>
      <c r="D2801" s="484">
        <v>4621.5400879999997</v>
      </c>
      <c r="E2801" s="484">
        <v>5.5656999999999996</v>
      </c>
      <c r="F2801" s="484">
        <v>5.5890000000000004</v>
      </c>
      <c r="G2801" s="83">
        <f t="shared" si="42"/>
        <v>5.9238571428571429</v>
      </c>
    </row>
    <row r="2802" spans="1:7" x14ac:dyDescent="0.2">
      <c r="A2802" s="75">
        <v>42786</v>
      </c>
      <c r="B2802" s="76" t="s">
        <v>35</v>
      </c>
      <c r="C2802" s="76" t="s">
        <v>536</v>
      </c>
      <c r="D2802" s="484">
        <v>4620.9862590000002</v>
      </c>
      <c r="E2802" s="484">
        <v>5.5888</v>
      </c>
      <c r="F2802" s="484">
        <v>5.6013999999999999</v>
      </c>
      <c r="G2802" s="83">
        <f t="shared" si="42"/>
        <v>5.9136619047619057</v>
      </c>
    </row>
    <row r="2803" spans="1:7" x14ac:dyDescent="0.2">
      <c r="A2803" s="75">
        <v>42787</v>
      </c>
      <c r="B2803" s="76" t="s">
        <v>35</v>
      </c>
      <c r="C2803" s="76" t="s">
        <v>536</v>
      </c>
      <c r="D2803" s="484">
        <v>4632.4092499999997</v>
      </c>
      <c r="E2803" s="484">
        <v>5.6012000000000004</v>
      </c>
      <c r="F2803" s="484">
        <v>5.5590999999999999</v>
      </c>
      <c r="G2803" s="83">
        <f t="shared" si="42"/>
        <v>5.9036349206349215</v>
      </c>
    </row>
    <row r="2804" spans="1:7" x14ac:dyDescent="0.2">
      <c r="A2804" s="75">
        <v>42788</v>
      </c>
      <c r="B2804" s="76" t="s">
        <v>35</v>
      </c>
      <c r="C2804" s="76" t="s">
        <v>536</v>
      </c>
      <c r="D2804" s="484">
        <v>4641.1093129999999</v>
      </c>
      <c r="E2804" s="484">
        <v>5.5590000000000002</v>
      </c>
      <c r="F2804" s="484">
        <v>5.5293999999999999</v>
      </c>
      <c r="G2804" s="83">
        <f t="shared" si="42"/>
        <v>5.8927238095238108</v>
      </c>
    </row>
    <row r="2805" spans="1:7" x14ac:dyDescent="0.2">
      <c r="A2805" s="75">
        <v>42789</v>
      </c>
      <c r="B2805" s="76" t="s">
        <v>35</v>
      </c>
      <c r="C2805" s="76" t="s">
        <v>536</v>
      </c>
      <c r="D2805" s="484">
        <v>4667.3011230000002</v>
      </c>
      <c r="E2805" s="484">
        <v>5.5293000000000001</v>
      </c>
      <c r="F2805" s="484">
        <v>5.4184000000000001</v>
      </c>
      <c r="G2805" s="83">
        <f t="shared" si="42"/>
        <v>5.8803142857142863</v>
      </c>
    </row>
    <row r="2806" spans="1:7" x14ac:dyDescent="0.2">
      <c r="A2806" s="75">
        <v>42790</v>
      </c>
      <c r="B2806" s="76" t="s">
        <v>35</v>
      </c>
      <c r="C2806" s="76" t="s">
        <v>536</v>
      </c>
      <c r="D2806" s="484">
        <v>4670.7452750000002</v>
      </c>
      <c r="E2806" s="484">
        <v>5.4183000000000003</v>
      </c>
      <c r="F2806" s="484">
        <v>5.4123000000000001</v>
      </c>
      <c r="G2806" s="83">
        <f t="shared" si="42"/>
        <v>5.8672666666666675</v>
      </c>
    </row>
    <row r="2807" spans="1:7" x14ac:dyDescent="0.2">
      <c r="A2807" s="75">
        <v>42795</v>
      </c>
      <c r="B2807" s="76" t="s">
        <v>35</v>
      </c>
      <c r="C2807" s="76" t="s">
        <v>536</v>
      </c>
      <c r="D2807" s="484">
        <v>4683.1961680000004</v>
      </c>
      <c r="E2807" s="484">
        <v>5.4122000000000003</v>
      </c>
      <c r="F2807" s="484">
        <v>5.3655999999999997</v>
      </c>
      <c r="G2807" s="83">
        <f t="shared" si="42"/>
        <v>5.8547079365079373</v>
      </c>
    </row>
    <row r="2808" spans="1:7" x14ac:dyDescent="0.2">
      <c r="A2808" s="75">
        <v>42796</v>
      </c>
      <c r="B2808" s="76" t="s">
        <v>35</v>
      </c>
      <c r="C2808" s="76" t="s">
        <v>536</v>
      </c>
      <c r="D2808" s="484">
        <v>4667.2461519999997</v>
      </c>
      <c r="E2808" s="484">
        <v>5.3655999999999997</v>
      </c>
      <c r="F2808" s="484">
        <v>5.4470999999999998</v>
      </c>
      <c r="G2808" s="83">
        <f t="shared" si="42"/>
        <v>5.8419539682539678</v>
      </c>
    </row>
    <row r="2809" spans="1:7" x14ac:dyDescent="0.2">
      <c r="A2809" s="75">
        <v>42797</v>
      </c>
      <c r="B2809" s="76" t="s">
        <v>35</v>
      </c>
      <c r="C2809" s="76" t="s">
        <v>536</v>
      </c>
      <c r="D2809" s="484">
        <v>4681.5763639999996</v>
      </c>
      <c r="E2809" s="484">
        <v>5.4470999999999998</v>
      </c>
      <c r="F2809" s="484">
        <v>5.3920000000000003</v>
      </c>
      <c r="G2809" s="83">
        <f t="shared" si="42"/>
        <v>5.8261238095238088</v>
      </c>
    </row>
    <row r="2810" spans="1:7" x14ac:dyDescent="0.2">
      <c r="A2810" s="75">
        <v>42800</v>
      </c>
      <c r="B2810" s="76" t="s">
        <v>35</v>
      </c>
      <c r="C2810" s="76" t="s">
        <v>536</v>
      </c>
      <c r="D2810" s="484">
        <v>4680.786881</v>
      </c>
      <c r="E2810" s="484">
        <v>5.3920000000000003</v>
      </c>
      <c r="F2810" s="484">
        <v>5.4051</v>
      </c>
      <c r="G2810" s="83">
        <f t="shared" si="42"/>
        <v>5.8092142857142841</v>
      </c>
    </row>
    <row r="2811" spans="1:7" x14ac:dyDescent="0.2">
      <c r="A2811" s="75">
        <v>42801</v>
      </c>
      <c r="B2811" s="76" t="s">
        <v>35</v>
      </c>
      <c r="C2811" s="76" t="s">
        <v>536</v>
      </c>
      <c r="D2811" s="484">
        <v>4684.9494089999998</v>
      </c>
      <c r="E2811" s="484">
        <v>5.4051</v>
      </c>
      <c r="F2811" s="484">
        <v>5.3959000000000001</v>
      </c>
      <c r="G2811" s="83">
        <f t="shared" si="42"/>
        <v>5.7951158730158712</v>
      </c>
    </row>
    <row r="2812" spans="1:7" x14ac:dyDescent="0.2">
      <c r="A2812" s="75">
        <v>42802</v>
      </c>
      <c r="B2812" s="76" t="s">
        <v>35</v>
      </c>
      <c r="C2812" s="76" t="s">
        <v>536</v>
      </c>
      <c r="D2812" s="484">
        <v>4680.1881359999998</v>
      </c>
      <c r="E2812" s="484">
        <v>5.3959000000000001</v>
      </c>
      <c r="F2812" s="484">
        <v>5.4268999999999998</v>
      </c>
      <c r="G2812" s="83">
        <f t="shared" si="42"/>
        <v>5.7802952380952357</v>
      </c>
    </row>
    <row r="2813" spans="1:7" x14ac:dyDescent="0.2">
      <c r="A2813" s="75">
        <v>42803</v>
      </c>
      <c r="B2813" s="76" t="s">
        <v>35</v>
      </c>
      <c r="C2813" s="76" t="s">
        <v>536</v>
      </c>
      <c r="D2813" s="484">
        <v>4676.0372639999996</v>
      </c>
      <c r="E2813" s="484">
        <v>5.4268999999999998</v>
      </c>
      <c r="F2813" s="484">
        <v>5.4551999999999996</v>
      </c>
      <c r="G2813" s="83">
        <f t="shared" si="42"/>
        <v>5.7667841269841249</v>
      </c>
    </row>
    <row r="2814" spans="1:7" x14ac:dyDescent="0.2">
      <c r="A2814" s="75">
        <v>42804</v>
      </c>
      <c r="B2814" s="76" t="s">
        <v>35</v>
      </c>
      <c r="C2814" s="76" t="s">
        <v>536</v>
      </c>
      <c r="D2814" s="484">
        <v>4697.7930980000001</v>
      </c>
      <c r="E2814" s="484">
        <v>5.4551999999999996</v>
      </c>
      <c r="F2814" s="484">
        <v>5.3475999999999999</v>
      </c>
      <c r="G2814" s="83">
        <f t="shared" si="42"/>
        <v>5.7551746031746012</v>
      </c>
    </row>
    <row r="2815" spans="1:7" x14ac:dyDescent="0.2">
      <c r="A2815" s="75">
        <v>42807</v>
      </c>
      <c r="B2815" s="76" t="s">
        <v>35</v>
      </c>
      <c r="C2815" s="76" t="s">
        <v>536</v>
      </c>
      <c r="D2815" s="484">
        <v>4706.4281140000003</v>
      </c>
      <c r="E2815" s="484">
        <v>5.3476999999999997</v>
      </c>
      <c r="F2815" s="484">
        <v>5.3171999999999997</v>
      </c>
      <c r="G2815" s="83">
        <f t="shared" si="42"/>
        <v>5.7412761904761878</v>
      </c>
    </row>
    <row r="2816" spans="1:7" x14ac:dyDescent="0.2">
      <c r="A2816" s="75">
        <v>42808</v>
      </c>
      <c r="B2816" s="76" t="s">
        <v>35</v>
      </c>
      <c r="C2816" s="76" t="s">
        <v>536</v>
      </c>
      <c r="D2816" s="484">
        <v>4696.2818799999995</v>
      </c>
      <c r="E2816" s="484">
        <v>5.3171999999999997</v>
      </c>
      <c r="F2816" s="484">
        <v>5.3708999999999998</v>
      </c>
      <c r="G2816" s="83">
        <f t="shared" si="42"/>
        <v>5.7265714285714253</v>
      </c>
    </row>
    <row r="2817" spans="1:7" x14ac:dyDescent="0.2">
      <c r="A2817" s="75">
        <v>42809</v>
      </c>
      <c r="B2817" s="76" t="s">
        <v>35</v>
      </c>
      <c r="C2817" s="76" t="s">
        <v>536</v>
      </c>
      <c r="D2817" s="484">
        <v>4712.5779979999998</v>
      </c>
      <c r="E2817" s="484">
        <v>5.3710000000000004</v>
      </c>
      <c r="F2817" s="484">
        <v>5.3061999999999996</v>
      </c>
      <c r="G2817" s="83">
        <f t="shared" si="42"/>
        <v>5.7125412698412665</v>
      </c>
    </row>
    <row r="2818" spans="1:7" x14ac:dyDescent="0.2">
      <c r="A2818" s="75">
        <v>42810</v>
      </c>
      <c r="B2818" s="76" t="s">
        <v>35</v>
      </c>
      <c r="C2818" s="76" t="s">
        <v>536</v>
      </c>
      <c r="D2818" s="484">
        <v>4717.5286589999996</v>
      </c>
      <c r="E2818" s="484">
        <v>5.3063000000000002</v>
      </c>
      <c r="F2818" s="484">
        <v>5.2906000000000004</v>
      </c>
      <c r="G2818" s="83">
        <f t="shared" si="42"/>
        <v>5.6982126984126964</v>
      </c>
    </row>
    <row r="2819" spans="1:7" x14ac:dyDescent="0.2">
      <c r="A2819" s="75">
        <v>42811</v>
      </c>
      <c r="B2819" s="76" t="s">
        <v>35</v>
      </c>
      <c r="C2819" s="76" t="s">
        <v>536</v>
      </c>
      <c r="D2819" s="484">
        <v>4730.3341030000001</v>
      </c>
      <c r="E2819" s="484">
        <v>5.2907000000000002</v>
      </c>
      <c r="F2819" s="484">
        <v>5.24</v>
      </c>
      <c r="G2819" s="83">
        <f t="shared" ref="G2819:G2882" si="43">+AVERAGE(E2757:E2819)</f>
        <v>5.6836587301587294</v>
      </c>
    </row>
    <row r="2820" spans="1:7" x14ac:dyDescent="0.2">
      <c r="A2820" s="75">
        <v>42814</v>
      </c>
      <c r="B2820" s="76" t="s">
        <v>35</v>
      </c>
      <c r="C2820" s="76" t="s">
        <v>536</v>
      </c>
      <c r="D2820" s="484">
        <v>4726.8492550000001</v>
      </c>
      <c r="E2820" s="484">
        <v>5.2401999999999997</v>
      </c>
      <c r="F2820" s="484">
        <v>5.2621000000000002</v>
      </c>
      <c r="G2820" s="83">
        <f t="shared" si="43"/>
        <v>5.6689809523809513</v>
      </c>
    </row>
    <row r="2821" spans="1:7" x14ac:dyDescent="0.2">
      <c r="A2821" s="75">
        <v>42815</v>
      </c>
      <c r="B2821" s="76" t="s">
        <v>35</v>
      </c>
      <c r="C2821" s="76" t="s">
        <v>536</v>
      </c>
      <c r="D2821" s="484">
        <v>4736.303441</v>
      </c>
      <c r="E2821" s="484">
        <v>5.2622</v>
      </c>
      <c r="F2821" s="484">
        <v>5.2264999999999997</v>
      </c>
      <c r="G2821" s="83">
        <f t="shared" si="43"/>
        <v>5.6550142857142847</v>
      </c>
    </row>
    <row r="2822" spans="1:7" x14ac:dyDescent="0.2">
      <c r="A2822" s="75">
        <v>42816</v>
      </c>
      <c r="B2822" s="76" t="s">
        <v>35</v>
      </c>
      <c r="C2822" s="76" t="s">
        <v>536</v>
      </c>
      <c r="D2822" s="484">
        <v>4735.6653669999996</v>
      </c>
      <c r="E2822" s="484">
        <v>5.2266000000000004</v>
      </c>
      <c r="F2822" s="484">
        <v>5.2358000000000002</v>
      </c>
      <c r="G2822" s="83">
        <f t="shared" si="43"/>
        <v>5.6408206349206349</v>
      </c>
    </row>
    <row r="2823" spans="1:7" x14ac:dyDescent="0.2">
      <c r="A2823" s="75">
        <v>42817</v>
      </c>
      <c r="B2823" s="76" t="s">
        <v>35</v>
      </c>
      <c r="C2823" s="76" t="s">
        <v>536</v>
      </c>
      <c r="D2823" s="484">
        <v>4730.1426600000004</v>
      </c>
      <c r="E2823" s="484">
        <v>5.2359</v>
      </c>
      <c r="F2823" s="484">
        <v>5.2679999999999998</v>
      </c>
      <c r="G2823" s="83">
        <f t="shared" si="43"/>
        <v>5.6277460317460308</v>
      </c>
    </row>
    <row r="2824" spans="1:7" x14ac:dyDescent="0.2">
      <c r="A2824" s="75">
        <v>42818</v>
      </c>
      <c r="B2824" s="76" t="s">
        <v>35</v>
      </c>
      <c r="C2824" s="76" t="s">
        <v>536</v>
      </c>
      <c r="D2824" s="484">
        <v>4747.1473180000003</v>
      </c>
      <c r="E2824" s="484">
        <v>5.2680999999999996</v>
      </c>
      <c r="F2824" s="484">
        <v>5.1990999999999996</v>
      </c>
      <c r="G2824" s="83">
        <f t="shared" si="43"/>
        <v>5.6157301587301589</v>
      </c>
    </row>
    <row r="2825" spans="1:7" x14ac:dyDescent="0.2">
      <c r="A2825" s="75">
        <v>42821</v>
      </c>
      <c r="B2825" s="76" t="s">
        <v>35</v>
      </c>
      <c r="C2825" s="76" t="s">
        <v>536</v>
      </c>
      <c r="D2825" s="484">
        <v>4755.1876060000004</v>
      </c>
      <c r="E2825" s="484">
        <v>5.1992000000000003</v>
      </c>
      <c r="F2825" s="484">
        <v>5.1700999999999997</v>
      </c>
      <c r="G2825" s="83">
        <f t="shared" si="43"/>
        <v>5.6022888888888893</v>
      </c>
    </row>
    <row r="2826" spans="1:7" x14ac:dyDescent="0.2">
      <c r="A2826" s="75">
        <v>42822</v>
      </c>
      <c r="B2826" s="76" t="s">
        <v>35</v>
      </c>
      <c r="C2826" s="76" t="s">
        <v>536</v>
      </c>
      <c r="D2826" s="484">
        <v>4749.5683639999997</v>
      </c>
      <c r="E2826" s="484">
        <v>5.1703000000000001</v>
      </c>
      <c r="F2826" s="484">
        <v>5.2016999999999998</v>
      </c>
      <c r="G2826" s="83">
        <f t="shared" si="43"/>
        <v>5.5885222222222231</v>
      </c>
    </row>
    <row r="2827" spans="1:7" x14ac:dyDescent="0.2">
      <c r="A2827" s="75">
        <v>42823</v>
      </c>
      <c r="B2827" s="76" t="s">
        <v>35</v>
      </c>
      <c r="C2827" s="76" t="s">
        <v>536</v>
      </c>
      <c r="D2827" s="484">
        <v>4754.2696459999997</v>
      </c>
      <c r="E2827" s="484">
        <v>5.2018000000000004</v>
      </c>
      <c r="F2827" s="484">
        <v>5.1875</v>
      </c>
      <c r="G2827" s="83">
        <f t="shared" si="43"/>
        <v>5.5751952380952403</v>
      </c>
    </row>
    <row r="2828" spans="1:7" x14ac:dyDescent="0.2">
      <c r="A2828" s="75">
        <v>42824</v>
      </c>
      <c r="B2828" s="76" t="s">
        <v>35</v>
      </c>
      <c r="C2828" s="76" t="s">
        <v>536</v>
      </c>
      <c r="D2828" s="484">
        <v>4740.1869349999997</v>
      </c>
      <c r="E2828" s="484">
        <v>5.1877000000000004</v>
      </c>
      <c r="F2828" s="484">
        <v>5.2567000000000004</v>
      </c>
      <c r="G2828" s="83">
        <f t="shared" si="43"/>
        <v>5.562277777777779</v>
      </c>
    </row>
    <row r="2829" spans="1:7" x14ac:dyDescent="0.2">
      <c r="A2829" s="75">
        <v>42825</v>
      </c>
      <c r="B2829" s="76" t="s">
        <v>35</v>
      </c>
      <c r="C2829" s="76" t="s">
        <v>536</v>
      </c>
      <c r="D2829" s="484">
        <v>4747.0951299999997</v>
      </c>
      <c r="E2829" s="484">
        <v>5.2568000000000001</v>
      </c>
      <c r="F2829" s="484">
        <v>5.2327000000000004</v>
      </c>
      <c r="G2829" s="83">
        <f t="shared" si="43"/>
        <v>5.5512761904761918</v>
      </c>
    </row>
    <row r="2830" spans="1:7" x14ac:dyDescent="0.2">
      <c r="A2830" s="75">
        <v>42828</v>
      </c>
      <c r="B2830" s="76" t="s">
        <v>35</v>
      </c>
      <c r="C2830" s="76" t="s">
        <v>536</v>
      </c>
      <c r="D2830" s="484">
        <v>4750.7833780000001</v>
      </c>
      <c r="E2830" s="484">
        <v>5.2328000000000001</v>
      </c>
      <c r="F2830" s="484">
        <v>5.2229999999999999</v>
      </c>
      <c r="G2830" s="83">
        <f t="shared" si="43"/>
        <v>5.5399095238095253</v>
      </c>
    </row>
    <row r="2831" spans="1:7" x14ac:dyDescent="0.2">
      <c r="A2831" s="75">
        <v>42829</v>
      </c>
      <c r="B2831" s="76" t="s">
        <v>35</v>
      </c>
      <c r="C2831" s="76" t="s">
        <v>536</v>
      </c>
      <c r="D2831" s="484">
        <v>4752.3062030000001</v>
      </c>
      <c r="E2831" s="484">
        <v>5.2230999999999996</v>
      </c>
      <c r="F2831" s="484">
        <v>5.2229000000000001</v>
      </c>
      <c r="G2831" s="83">
        <f t="shared" si="43"/>
        <v>5.530115873015875</v>
      </c>
    </row>
    <row r="2832" spans="1:7" x14ac:dyDescent="0.2">
      <c r="A2832" s="75">
        <v>42830</v>
      </c>
      <c r="B2832" s="76" t="s">
        <v>35</v>
      </c>
      <c r="C2832" s="76" t="s">
        <v>536</v>
      </c>
      <c r="D2832" s="484">
        <v>4754.46155</v>
      </c>
      <c r="E2832" s="484">
        <v>5.2229999999999999</v>
      </c>
      <c r="F2832" s="484">
        <v>5.22</v>
      </c>
      <c r="G2832" s="83">
        <f t="shared" si="43"/>
        <v>5.5208888888888916</v>
      </c>
    </row>
    <row r="2833" spans="1:7" x14ac:dyDescent="0.2">
      <c r="A2833" s="75">
        <v>42831</v>
      </c>
      <c r="B2833" s="76" t="s">
        <v>35</v>
      </c>
      <c r="C2833" s="76" t="s">
        <v>536</v>
      </c>
      <c r="D2833" s="484">
        <v>4738.320025</v>
      </c>
      <c r="E2833" s="484">
        <v>5.2202000000000002</v>
      </c>
      <c r="F2833" s="484">
        <v>5.2984</v>
      </c>
      <c r="G2833" s="83">
        <f t="shared" si="43"/>
        <v>5.5109111111111133</v>
      </c>
    </row>
    <row r="2834" spans="1:7" x14ac:dyDescent="0.2">
      <c r="A2834" s="75">
        <v>42832</v>
      </c>
      <c r="B2834" s="76" t="s">
        <v>35</v>
      </c>
      <c r="C2834" s="76" t="s">
        <v>536</v>
      </c>
      <c r="D2834" s="484">
        <v>4749.1759410000004</v>
      </c>
      <c r="E2834" s="484">
        <v>5.2986000000000004</v>
      </c>
      <c r="F2834" s="484">
        <v>5.2586000000000004</v>
      </c>
      <c r="G2834" s="83">
        <f t="shared" si="43"/>
        <v>5.5025984126984149</v>
      </c>
    </row>
    <row r="2835" spans="1:7" x14ac:dyDescent="0.2">
      <c r="A2835" s="75">
        <v>42835</v>
      </c>
      <c r="B2835" s="76" t="s">
        <v>35</v>
      </c>
      <c r="C2835" s="76" t="s">
        <v>536</v>
      </c>
      <c r="D2835" s="484">
        <v>4764.3237989999998</v>
      </c>
      <c r="E2835" s="484">
        <v>5.2587999999999999</v>
      </c>
      <c r="F2835" s="484">
        <v>5.1984000000000004</v>
      </c>
      <c r="G2835" s="83">
        <f t="shared" si="43"/>
        <v>5.4925587301587324</v>
      </c>
    </row>
    <row r="2836" spans="1:7" x14ac:dyDescent="0.2">
      <c r="A2836" s="75">
        <v>42836</v>
      </c>
      <c r="B2836" s="76" t="s">
        <v>35</v>
      </c>
      <c r="C2836" s="76" t="s">
        <v>536</v>
      </c>
      <c r="D2836" s="484">
        <v>4760.4169609999999</v>
      </c>
      <c r="E2836" s="484">
        <v>5.1985000000000001</v>
      </c>
      <c r="F2836" s="484">
        <v>5.2224000000000004</v>
      </c>
      <c r="G2836" s="83">
        <f t="shared" si="43"/>
        <v>5.481147619047622</v>
      </c>
    </row>
    <row r="2837" spans="1:7" x14ac:dyDescent="0.2">
      <c r="A2837" s="75">
        <v>42837</v>
      </c>
      <c r="B2837" s="76" t="s">
        <v>35</v>
      </c>
      <c r="C2837" s="76" t="s">
        <v>536</v>
      </c>
      <c r="D2837" s="484">
        <v>4764.0901119999999</v>
      </c>
      <c r="E2837" s="484">
        <v>5.2225999999999999</v>
      </c>
      <c r="F2837" s="484">
        <v>5.2130000000000001</v>
      </c>
      <c r="G2837" s="83">
        <f t="shared" si="43"/>
        <v>5.4701206349206366</v>
      </c>
    </row>
    <row r="2838" spans="1:7" x14ac:dyDescent="0.2">
      <c r="A2838" s="75">
        <v>42838</v>
      </c>
      <c r="B2838" s="76" t="s">
        <v>35</v>
      </c>
      <c r="C2838" s="76" t="s">
        <v>536</v>
      </c>
      <c r="D2838" s="484">
        <v>4756.866266</v>
      </c>
      <c r="E2838" s="484">
        <v>5.2131999999999996</v>
      </c>
      <c r="F2838" s="484">
        <v>5.2518000000000002</v>
      </c>
      <c r="G2838" s="83">
        <f t="shared" si="43"/>
        <v>5.4580412698412708</v>
      </c>
    </row>
    <row r="2839" spans="1:7" x14ac:dyDescent="0.2">
      <c r="A2839" s="75">
        <v>42842</v>
      </c>
      <c r="B2839" s="76" t="s">
        <v>35</v>
      </c>
      <c r="C2839" s="76" t="s">
        <v>536</v>
      </c>
      <c r="D2839" s="484">
        <v>4760.3153659999998</v>
      </c>
      <c r="E2839" s="484">
        <v>5.2519999999999998</v>
      </c>
      <c r="F2839" s="484">
        <v>5.2434000000000003</v>
      </c>
      <c r="G2839" s="83">
        <f t="shared" si="43"/>
        <v>5.4512253968253965</v>
      </c>
    </row>
    <row r="2840" spans="1:7" x14ac:dyDescent="0.2">
      <c r="A2840" s="75">
        <v>42843</v>
      </c>
      <c r="B2840" s="76" t="s">
        <v>35</v>
      </c>
      <c r="C2840" s="76" t="s">
        <v>536</v>
      </c>
      <c r="D2840" s="484">
        <v>4769.6912979999997</v>
      </c>
      <c r="E2840" s="484">
        <v>5.2435999999999998</v>
      </c>
      <c r="F2840" s="484">
        <v>5.2089999999999996</v>
      </c>
      <c r="G2840" s="83">
        <f t="shared" si="43"/>
        <v>5.4445095238095238</v>
      </c>
    </row>
    <row r="2841" spans="1:7" x14ac:dyDescent="0.2">
      <c r="A2841" s="75">
        <v>42844</v>
      </c>
      <c r="B2841" s="76" t="s">
        <v>35</v>
      </c>
      <c r="C2841" s="76" t="s">
        <v>536</v>
      </c>
      <c r="D2841" s="484">
        <v>4771.3936139999996</v>
      </c>
      <c r="E2841" s="484">
        <v>5.2092000000000001</v>
      </c>
      <c r="F2841" s="484">
        <v>5.2084999999999999</v>
      </c>
      <c r="G2841" s="83">
        <f t="shared" si="43"/>
        <v>5.4377222222222228</v>
      </c>
    </row>
    <row r="2842" spans="1:7" x14ac:dyDescent="0.2">
      <c r="A2842" s="75">
        <v>42845</v>
      </c>
      <c r="B2842" s="76" t="s">
        <v>35</v>
      </c>
      <c r="C2842" s="76" t="s">
        <v>536</v>
      </c>
      <c r="D2842" s="484">
        <v>4769.1318799999999</v>
      </c>
      <c r="E2842" s="484">
        <v>5.2088000000000001</v>
      </c>
      <c r="F2842" s="484">
        <v>5.2256</v>
      </c>
      <c r="G2842" s="83">
        <f t="shared" si="43"/>
        <v>5.4310206349206354</v>
      </c>
    </row>
    <row r="2843" spans="1:7" x14ac:dyDescent="0.2">
      <c r="A2843" s="75">
        <v>42849</v>
      </c>
      <c r="B2843" s="76" t="s">
        <v>35</v>
      </c>
      <c r="C2843" s="76" t="s">
        <v>536</v>
      </c>
      <c r="D2843" s="484">
        <v>4771.3799980000003</v>
      </c>
      <c r="E2843" s="484">
        <v>5.2257999999999996</v>
      </c>
      <c r="F2843" s="484">
        <v>5.2199</v>
      </c>
      <c r="G2843" s="83">
        <f t="shared" si="43"/>
        <v>5.4236492063492063</v>
      </c>
    </row>
    <row r="2844" spans="1:7" x14ac:dyDescent="0.2">
      <c r="A2844" s="75">
        <v>42850</v>
      </c>
      <c r="B2844" s="76" t="s">
        <v>35</v>
      </c>
      <c r="C2844" s="76" t="s">
        <v>536</v>
      </c>
      <c r="D2844" s="484">
        <v>4755.6944540000004</v>
      </c>
      <c r="E2844" s="484">
        <v>5.2202000000000002</v>
      </c>
      <c r="F2844" s="484">
        <v>5.2957000000000001</v>
      </c>
      <c r="G2844" s="83">
        <f t="shared" si="43"/>
        <v>5.4163190476190461</v>
      </c>
    </row>
    <row r="2845" spans="1:7" x14ac:dyDescent="0.2">
      <c r="A2845" s="75">
        <v>42851</v>
      </c>
      <c r="B2845" s="76" t="s">
        <v>35</v>
      </c>
      <c r="C2845" s="76" t="s">
        <v>536</v>
      </c>
      <c r="D2845" s="484">
        <v>4752.5566939999999</v>
      </c>
      <c r="E2845" s="484">
        <v>5.2958999999999996</v>
      </c>
      <c r="F2845" s="484">
        <v>5.3159999999999998</v>
      </c>
      <c r="G2845" s="83">
        <f t="shared" si="43"/>
        <v>5.4100968253968249</v>
      </c>
    </row>
    <row r="2846" spans="1:7" x14ac:dyDescent="0.2">
      <c r="A2846" s="75">
        <v>42852</v>
      </c>
      <c r="B2846" s="76" t="s">
        <v>35</v>
      </c>
      <c r="C2846" s="76" t="s">
        <v>536</v>
      </c>
      <c r="D2846" s="484">
        <v>4750.6196</v>
      </c>
      <c r="E2846" s="484">
        <v>5.3163</v>
      </c>
      <c r="F2846" s="484">
        <v>5.3311000000000002</v>
      </c>
      <c r="G2846" s="83">
        <f t="shared" si="43"/>
        <v>5.4039365079365087</v>
      </c>
    </row>
    <row r="2847" spans="1:7" x14ac:dyDescent="0.2">
      <c r="A2847" s="75">
        <v>42853</v>
      </c>
      <c r="B2847" s="76" t="s">
        <v>35</v>
      </c>
      <c r="C2847" s="76" t="s">
        <v>536</v>
      </c>
      <c r="D2847" s="484">
        <v>4755.9898949999997</v>
      </c>
      <c r="E2847" s="484">
        <v>5.3315000000000001</v>
      </c>
      <c r="F2847" s="484">
        <v>5.3139000000000003</v>
      </c>
      <c r="G2847" s="83">
        <f t="shared" si="43"/>
        <v>5.3983984126984144</v>
      </c>
    </row>
    <row r="2848" spans="1:7" x14ac:dyDescent="0.2">
      <c r="A2848" s="75">
        <v>42857</v>
      </c>
      <c r="B2848" s="76" t="s">
        <v>35</v>
      </c>
      <c r="C2848" s="76" t="s">
        <v>536</v>
      </c>
      <c r="D2848" s="484">
        <v>4764.3017719999998</v>
      </c>
      <c r="E2848" s="484">
        <v>5.3141999999999996</v>
      </c>
      <c r="F2848" s="484">
        <v>5.2835999999999999</v>
      </c>
      <c r="G2848" s="83">
        <f t="shared" si="43"/>
        <v>5.3925873015873025</v>
      </c>
    </row>
    <row r="2849" spans="1:7" x14ac:dyDescent="0.2">
      <c r="A2849" s="75">
        <v>42858</v>
      </c>
      <c r="B2849" s="76" t="s">
        <v>35</v>
      </c>
      <c r="C2849" s="76" t="s">
        <v>536</v>
      </c>
      <c r="D2849" s="484">
        <v>4765.1106680000003</v>
      </c>
      <c r="E2849" s="484">
        <v>5.2839</v>
      </c>
      <c r="F2849" s="484">
        <v>5.2865000000000002</v>
      </c>
      <c r="G2849" s="83">
        <f t="shared" si="43"/>
        <v>5.3857126984127</v>
      </c>
    </row>
    <row r="2850" spans="1:7" x14ac:dyDescent="0.2">
      <c r="A2850" s="75">
        <v>42859</v>
      </c>
      <c r="B2850" s="76" t="s">
        <v>35</v>
      </c>
      <c r="C2850" s="76" t="s">
        <v>536</v>
      </c>
      <c r="D2850" s="484">
        <v>4758.2161699999997</v>
      </c>
      <c r="E2850" s="484">
        <v>5.2868000000000004</v>
      </c>
      <c r="F2850" s="484">
        <v>5.3235000000000001</v>
      </c>
      <c r="G2850" s="83">
        <f t="shared" si="43"/>
        <v>5.3790777777777778</v>
      </c>
    </row>
    <row r="2851" spans="1:7" x14ac:dyDescent="0.2">
      <c r="A2851" s="75">
        <v>42860</v>
      </c>
      <c r="B2851" s="76" t="s">
        <v>35</v>
      </c>
      <c r="C2851" s="76" t="s">
        <v>536</v>
      </c>
      <c r="D2851" s="484">
        <v>4760.8603199999998</v>
      </c>
      <c r="E2851" s="484">
        <v>5.3238000000000003</v>
      </c>
      <c r="F2851" s="484">
        <v>5.3182999999999998</v>
      </c>
      <c r="G2851" s="83">
        <f t="shared" si="43"/>
        <v>5.3717857142857151</v>
      </c>
    </row>
    <row r="2852" spans="1:7" x14ac:dyDescent="0.2">
      <c r="A2852" s="75">
        <v>42863</v>
      </c>
      <c r="B2852" s="76" t="s">
        <v>35</v>
      </c>
      <c r="C2852" s="76" t="s">
        <v>536</v>
      </c>
      <c r="D2852" s="484">
        <v>4759.5749649999998</v>
      </c>
      <c r="E2852" s="484">
        <v>5.3186</v>
      </c>
      <c r="F2852" s="484">
        <v>5.3304999999999998</v>
      </c>
      <c r="G2852" s="83">
        <f t="shared" si="43"/>
        <v>5.3635650793650802</v>
      </c>
    </row>
    <row r="2853" spans="1:7" x14ac:dyDescent="0.2">
      <c r="A2853" s="75">
        <v>42864</v>
      </c>
      <c r="B2853" s="76" t="s">
        <v>35</v>
      </c>
      <c r="C2853" s="76" t="s">
        <v>536</v>
      </c>
      <c r="D2853" s="484">
        <v>4771.6745899999996</v>
      </c>
      <c r="E2853" s="484">
        <v>5.3307000000000002</v>
      </c>
      <c r="F2853" s="484">
        <v>5.2834000000000003</v>
      </c>
      <c r="G2853" s="83">
        <f t="shared" si="43"/>
        <v>5.3559174603174613</v>
      </c>
    </row>
    <row r="2854" spans="1:7" x14ac:dyDescent="0.2">
      <c r="A2854" s="75">
        <v>42865</v>
      </c>
      <c r="B2854" s="76" t="s">
        <v>35</v>
      </c>
      <c r="C2854" s="76" t="s">
        <v>536</v>
      </c>
      <c r="D2854" s="484">
        <v>4788.1400439999998</v>
      </c>
      <c r="E2854" s="484">
        <v>5.2836999999999996</v>
      </c>
      <c r="F2854" s="484">
        <v>5.2138</v>
      </c>
      <c r="G2854" s="83">
        <f t="shared" si="43"/>
        <v>5.3479158730158733</v>
      </c>
    </row>
    <row r="2855" spans="1:7" x14ac:dyDescent="0.2">
      <c r="A2855" s="75">
        <v>42866</v>
      </c>
      <c r="B2855" s="76" t="s">
        <v>35</v>
      </c>
      <c r="C2855" s="76" t="s">
        <v>536</v>
      </c>
      <c r="D2855" s="484">
        <v>4807.8050910000002</v>
      </c>
      <c r="E2855" s="484">
        <v>5.2141000000000002</v>
      </c>
      <c r="F2855" s="484">
        <v>5.1337000000000002</v>
      </c>
      <c r="G2855" s="83">
        <f t="shared" si="43"/>
        <v>5.3395555555555561</v>
      </c>
    </row>
    <row r="2856" spans="1:7" x14ac:dyDescent="0.2">
      <c r="A2856" s="75">
        <v>42867</v>
      </c>
      <c r="B2856" s="76" t="s">
        <v>35</v>
      </c>
      <c r="C2856" s="76" t="s">
        <v>536</v>
      </c>
      <c r="D2856" s="484">
        <v>4811.0999780000002</v>
      </c>
      <c r="E2856" s="484">
        <v>5.1340000000000003</v>
      </c>
      <c r="F2856" s="484">
        <v>5.1254</v>
      </c>
      <c r="G2856" s="83">
        <f t="shared" si="43"/>
        <v>5.3304253968253956</v>
      </c>
    </row>
    <row r="2857" spans="1:7" x14ac:dyDescent="0.2">
      <c r="A2857" s="75">
        <v>42870</v>
      </c>
      <c r="B2857" s="76" t="s">
        <v>35</v>
      </c>
      <c r="C2857" s="76" t="s">
        <v>536</v>
      </c>
      <c r="D2857" s="484">
        <v>4821.6329990000004</v>
      </c>
      <c r="E2857" s="484">
        <v>5.1257000000000001</v>
      </c>
      <c r="F2857" s="484">
        <v>5.0854999999999997</v>
      </c>
      <c r="G2857" s="83">
        <f t="shared" si="43"/>
        <v>5.3213333333333326</v>
      </c>
    </row>
    <row r="2858" spans="1:7" x14ac:dyDescent="0.2">
      <c r="A2858" s="75">
        <v>42871</v>
      </c>
      <c r="B2858" s="76" t="s">
        <v>35</v>
      </c>
      <c r="C2858" s="76" t="s">
        <v>536</v>
      </c>
      <c r="D2858" s="484">
        <v>4840.8875440000002</v>
      </c>
      <c r="E2858" s="484">
        <v>5.0857999999999999</v>
      </c>
      <c r="F2858" s="484">
        <v>5.0106999999999999</v>
      </c>
      <c r="G2858" s="83">
        <f t="shared" si="43"/>
        <v>5.314403174603175</v>
      </c>
    </row>
    <row r="2859" spans="1:7" x14ac:dyDescent="0.2">
      <c r="A2859" s="75">
        <v>42872</v>
      </c>
      <c r="B2859" s="76" t="s">
        <v>35</v>
      </c>
      <c r="C2859" s="76" t="s">
        <v>536</v>
      </c>
      <c r="D2859" s="484">
        <v>4835.6946680000001</v>
      </c>
      <c r="E2859" s="484">
        <v>5.0109000000000004</v>
      </c>
      <c r="F2859" s="484">
        <v>5.0420999999999996</v>
      </c>
      <c r="G2859" s="83">
        <f t="shared" si="43"/>
        <v>5.3070761904761916</v>
      </c>
    </row>
    <row r="2860" spans="1:7" x14ac:dyDescent="0.2">
      <c r="A2860" s="75">
        <v>42873</v>
      </c>
      <c r="B2860" s="76" t="s">
        <v>35</v>
      </c>
      <c r="C2860" s="76" t="s">
        <v>536</v>
      </c>
      <c r="D2860" s="484">
        <v>4599.24575</v>
      </c>
      <c r="E2860" s="484">
        <v>5.0423</v>
      </c>
      <c r="F2860" s="484">
        <v>6.1104000000000003</v>
      </c>
      <c r="G2860" s="83">
        <f t="shared" si="43"/>
        <v>5.3007746031746041</v>
      </c>
    </row>
    <row r="2861" spans="1:7" x14ac:dyDescent="0.2">
      <c r="A2861" s="75">
        <v>42874</v>
      </c>
      <c r="B2861" s="76" t="s">
        <v>35</v>
      </c>
      <c r="C2861" s="76" t="s">
        <v>536</v>
      </c>
      <c r="D2861" s="484">
        <v>4655.4326460000002</v>
      </c>
      <c r="E2861" s="484">
        <v>6.1105999999999998</v>
      </c>
      <c r="F2861" s="484">
        <v>5.8625999999999996</v>
      </c>
      <c r="G2861" s="83">
        <f t="shared" si="43"/>
        <v>5.3114253968253964</v>
      </c>
    </row>
    <row r="2862" spans="1:7" x14ac:dyDescent="0.2">
      <c r="A2862" s="75">
        <v>42877</v>
      </c>
      <c r="B2862" s="76" t="s">
        <v>35</v>
      </c>
      <c r="C2862" s="76" t="s">
        <v>536</v>
      </c>
      <c r="D2862" s="484">
        <v>4630.400482</v>
      </c>
      <c r="E2862" s="484">
        <v>5.8628</v>
      </c>
      <c r="F2862" s="484">
        <v>5.9865000000000004</v>
      </c>
      <c r="G2862" s="83">
        <f t="shared" si="43"/>
        <v>5.3180523809523814</v>
      </c>
    </row>
    <row r="2863" spans="1:7" x14ac:dyDescent="0.2">
      <c r="A2863" s="75">
        <v>42878</v>
      </c>
      <c r="B2863" s="76" t="s">
        <v>35</v>
      </c>
      <c r="C2863" s="76" t="s">
        <v>536</v>
      </c>
      <c r="D2863" s="484">
        <v>4676.7041810000001</v>
      </c>
      <c r="E2863" s="484">
        <v>5.9866000000000001</v>
      </c>
      <c r="F2863" s="484">
        <v>5.7851999999999997</v>
      </c>
      <c r="G2863" s="83">
        <f t="shared" si="43"/>
        <v>5.3262317460317465</v>
      </c>
    </row>
    <row r="2864" spans="1:7" x14ac:dyDescent="0.2">
      <c r="A2864" s="75">
        <v>42879</v>
      </c>
      <c r="B2864" s="76" t="s">
        <v>35</v>
      </c>
      <c r="C2864" s="76" t="s">
        <v>536</v>
      </c>
      <c r="D2864" s="484">
        <v>4701.3485650000002</v>
      </c>
      <c r="E2864" s="484">
        <v>5.7853000000000003</v>
      </c>
      <c r="F2864" s="484">
        <v>5.6821000000000002</v>
      </c>
      <c r="G2864" s="83">
        <f t="shared" si="43"/>
        <v>5.3297174603174602</v>
      </c>
    </row>
    <row r="2865" spans="1:7" x14ac:dyDescent="0.2">
      <c r="A2865" s="75">
        <v>42880</v>
      </c>
      <c r="B2865" s="76" t="s">
        <v>35</v>
      </c>
      <c r="C2865" s="76" t="s">
        <v>536</v>
      </c>
      <c r="D2865" s="484">
        <v>4700.8471559999998</v>
      </c>
      <c r="E2865" s="484">
        <v>5.6822999999999997</v>
      </c>
      <c r="F2865" s="484">
        <v>5.6936</v>
      </c>
      <c r="G2865" s="83">
        <f t="shared" si="43"/>
        <v>5.331201587301587</v>
      </c>
    </row>
    <row r="2866" spans="1:7" x14ac:dyDescent="0.2">
      <c r="A2866" s="75">
        <v>42881</v>
      </c>
      <c r="B2866" s="76" t="s">
        <v>35</v>
      </c>
      <c r="C2866" s="76" t="s">
        <v>536</v>
      </c>
      <c r="D2866" s="484">
        <v>4716.4207109999998</v>
      </c>
      <c r="E2866" s="484">
        <v>5.6938000000000004</v>
      </c>
      <c r="F2866" s="484">
        <v>5.6329000000000002</v>
      </c>
      <c r="G2866" s="83">
        <f t="shared" si="43"/>
        <v>5.3326714285714285</v>
      </c>
    </row>
    <row r="2867" spans="1:7" x14ac:dyDescent="0.2">
      <c r="A2867" s="75">
        <v>42884</v>
      </c>
      <c r="B2867" s="76" t="s">
        <v>35</v>
      </c>
      <c r="C2867" s="76" t="s">
        <v>536</v>
      </c>
      <c r="D2867" s="484">
        <v>4732.759564</v>
      </c>
      <c r="E2867" s="484">
        <v>5.6330999999999998</v>
      </c>
      <c r="F2867" s="484">
        <v>5.569</v>
      </c>
      <c r="G2867" s="83">
        <f t="shared" si="43"/>
        <v>5.3338476190476198</v>
      </c>
    </row>
    <row r="2868" spans="1:7" x14ac:dyDescent="0.2">
      <c r="A2868" s="75">
        <v>42885</v>
      </c>
      <c r="B2868" s="76" t="s">
        <v>35</v>
      </c>
      <c r="C2868" s="76" t="s">
        <v>536</v>
      </c>
      <c r="D2868" s="484">
        <v>4716.5212609999999</v>
      </c>
      <c r="E2868" s="484">
        <v>5.5692000000000004</v>
      </c>
      <c r="F2868" s="484">
        <v>5.6508000000000003</v>
      </c>
      <c r="G2868" s="83">
        <f t="shared" si="43"/>
        <v>5.3344809523809529</v>
      </c>
    </row>
    <row r="2869" spans="1:7" x14ac:dyDescent="0.2">
      <c r="A2869" s="75">
        <v>42886</v>
      </c>
      <c r="B2869" s="76" t="s">
        <v>35</v>
      </c>
      <c r="C2869" s="76" t="s">
        <v>536</v>
      </c>
      <c r="D2869" s="484">
        <v>4736.1321470000003</v>
      </c>
      <c r="E2869" s="484">
        <v>5.6509999999999998</v>
      </c>
      <c r="F2869" s="484">
        <v>5.5723000000000003</v>
      </c>
      <c r="G2869" s="83">
        <f t="shared" si="43"/>
        <v>5.338174603174604</v>
      </c>
    </row>
    <row r="2870" spans="1:7" x14ac:dyDescent="0.2">
      <c r="A2870" s="75">
        <v>42887</v>
      </c>
      <c r="B2870" s="76" t="s">
        <v>35</v>
      </c>
      <c r="C2870" s="76" t="s">
        <v>536</v>
      </c>
      <c r="D2870" s="484">
        <v>4714.8426589999999</v>
      </c>
      <c r="E2870" s="484">
        <v>5.5726000000000004</v>
      </c>
      <c r="F2870" s="484">
        <v>5.6768000000000001</v>
      </c>
      <c r="G2870" s="83">
        <f t="shared" si="43"/>
        <v>5.3407206349206362</v>
      </c>
    </row>
    <row r="2871" spans="1:7" x14ac:dyDescent="0.2">
      <c r="A2871" s="75">
        <v>42888</v>
      </c>
      <c r="B2871" s="76" t="s">
        <v>35</v>
      </c>
      <c r="C2871" s="76" t="s">
        <v>536</v>
      </c>
      <c r="D2871" s="484">
        <v>4709.3500029999996</v>
      </c>
      <c r="E2871" s="484">
        <v>5.6769999999999996</v>
      </c>
      <c r="F2871" s="484">
        <v>5.7107000000000001</v>
      </c>
      <c r="G2871" s="83">
        <f t="shared" si="43"/>
        <v>5.3456634920634949</v>
      </c>
    </row>
    <row r="2872" spans="1:7" x14ac:dyDescent="0.2">
      <c r="A2872" s="75">
        <v>42891</v>
      </c>
      <c r="B2872" s="76" t="s">
        <v>35</v>
      </c>
      <c r="C2872" s="76" t="s">
        <v>536</v>
      </c>
      <c r="D2872" s="484">
        <v>4699.2300690000002</v>
      </c>
      <c r="E2872" s="484">
        <v>5.7108999999999996</v>
      </c>
      <c r="F2872" s="484">
        <v>5.7655000000000003</v>
      </c>
      <c r="G2872" s="83">
        <f t="shared" si="43"/>
        <v>5.3498507936507949</v>
      </c>
    </row>
    <row r="2873" spans="1:7" x14ac:dyDescent="0.2">
      <c r="A2873" s="75">
        <v>42892</v>
      </c>
      <c r="B2873" s="76" t="s">
        <v>35</v>
      </c>
      <c r="C2873" s="76" t="s">
        <v>536</v>
      </c>
      <c r="D2873" s="484">
        <v>4711.4160419999998</v>
      </c>
      <c r="E2873" s="484">
        <v>5.7656999999999998</v>
      </c>
      <c r="F2873" s="484">
        <v>5.72</v>
      </c>
      <c r="G2873" s="83">
        <f t="shared" si="43"/>
        <v>5.3557825396825409</v>
      </c>
    </row>
    <row r="2874" spans="1:7" x14ac:dyDescent="0.2">
      <c r="A2874" s="75">
        <v>42893</v>
      </c>
      <c r="B2874" s="76" t="s">
        <v>35</v>
      </c>
      <c r="C2874" s="76" t="s">
        <v>536</v>
      </c>
      <c r="D2874" s="484">
        <v>4711.7225900000003</v>
      </c>
      <c r="E2874" s="484">
        <v>5.7201000000000004</v>
      </c>
      <c r="F2874" s="484">
        <v>5.7278000000000002</v>
      </c>
      <c r="G2874" s="83">
        <f t="shared" si="43"/>
        <v>5.3607825396825408</v>
      </c>
    </row>
    <row r="2875" spans="1:7" x14ac:dyDescent="0.2">
      <c r="A2875" s="75">
        <v>42894</v>
      </c>
      <c r="B2875" s="76" t="s">
        <v>35</v>
      </c>
      <c r="C2875" s="76" t="s">
        <v>536</v>
      </c>
      <c r="D2875" s="484">
        <v>4709.960615</v>
      </c>
      <c r="E2875" s="484">
        <v>5.7279</v>
      </c>
      <c r="F2875" s="484">
        <v>5.7449000000000003</v>
      </c>
      <c r="G2875" s="83">
        <f t="shared" si="43"/>
        <v>5.3660523809523815</v>
      </c>
    </row>
    <row r="2876" spans="1:7" x14ac:dyDescent="0.2">
      <c r="A2876" s="75">
        <v>42895</v>
      </c>
      <c r="B2876" s="76" t="s">
        <v>35</v>
      </c>
      <c r="C2876" s="76" t="s">
        <v>536</v>
      </c>
      <c r="D2876" s="484">
        <v>4716.8440250000003</v>
      </c>
      <c r="E2876" s="484">
        <v>5.7450000000000001</v>
      </c>
      <c r="F2876" s="484">
        <v>5.6936</v>
      </c>
      <c r="G2876" s="83">
        <f t="shared" si="43"/>
        <v>5.371101587301589</v>
      </c>
    </row>
    <row r="2877" spans="1:7" x14ac:dyDescent="0.2">
      <c r="A2877" s="75">
        <v>42898</v>
      </c>
      <c r="B2877" s="76" t="s">
        <v>35</v>
      </c>
      <c r="C2877" s="76" t="s">
        <v>536</v>
      </c>
      <c r="D2877" s="484">
        <v>4721.996623</v>
      </c>
      <c r="E2877" s="484">
        <v>5.6938000000000004</v>
      </c>
      <c r="F2877" s="484">
        <v>5.6782000000000004</v>
      </c>
      <c r="G2877" s="83">
        <f t="shared" si="43"/>
        <v>5.3748888888888899</v>
      </c>
    </row>
    <row r="2878" spans="1:7" x14ac:dyDescent="0.2">
      <c r="A2878" s="75">
        <v>42899</v>
      </c>
      <c r="B2878" s="76" t="s">
        <v>35</v>
      </c>
      <c r="C2878" s="76" t="s">
        <v>536</v>
      </c>
      <c r="D2878" s="484">
        <v>4720.1851900000001</v>
      </c>
      <c r="E2878" s="484">
        <v>5.6783999999999999</v>
      </c>
      <c r="F2878" s="484">
        <v>5.694</v>
      </c>
      <c r="G2878" s="83">
        <f t="shared" si="43"/>
        <v>5.3801380952380962</v>
      </c>
    </row>
    <row r="2879" spans="1:7" x14ac:dyDescent="0.2">
      <c r="A2879" s="75">
        <v>42900</v>
      </c>
      <c r="B2879" s="76" t="s">
        <v>35</v>
      </c>
      <c r="C2879" s="76" t="s">
        <v>536</v>
      </c>
      <c r="D2879" s="484">
        <v>4730.0355639999998</v>
      </c>
      <c r="E2879" s="484">
        <v>5.6942000000000004</v>
      </c>
      <c r="F2879" s="484">
        <v>5.6576000000000004</v>
      </c>
      <c r="G2879" s="83">
        <f t="shared" si="43"/>
        <v>5.3861222222222249</v>
      </c>
    </row>
    <row r="2880" spans="1:7" x14ac:dyDescent="0.2">
      <c r="A2880" s="75">
        <v>42902</v>
      </c>
      <c r="B2880" s="76" t="s">
        <v>35</v>
      </c>
      <c r="C2880" s="76" t="s">
        <v>536</v>
      </c>
      <c r="D2880" s="484">
        <v>4750.9715880000003</v>
      </c>
      <c r="E2880" s="484">
        <v>5.6577000000000002</v>
      </c>
      <c r="F2880" s="484">
        <v>5.5717999999999996</v>
      </c>
      <c r="G2880" s="83">
        <f t="shared" si="43"/>
        <v>5.3906730158730163</v>
      </c>
    </row>
    <row r="2881" spans="1:7" x14ac:dyDescent="0.2">
      <c r="A2881" s="75">
        <v>42905</v>
      </c>
      <c r="B2881" s="76" t="s">
        <v>35</v>
      </c>
      <c r="C2881" s="76" t="s">
        <v>536</v>
      </c>
      <c r="D2881" s="484">
        <v>4761.2230680000002</v>
      </c>
      <c r="E2881" s="484">
        <v>5.5719000000000003</v>
      </c>
      <c r="F2881" s="484">
        <v>5.5297000000000001</v>
      </c>
      <c r="G2881" s="83">
        <f t="shared" si="43"/>
        <v>5.3948888888888904</v>
      </c>
    </row>
    <row r="2882" spans="1:7" x14ac:dyDescent="0.2">
      <c r="A2882" s="75">
        <v>42906</v>
      </c>
      <c r="B2882" s="76" t="s">
        <v>35</v>
      </c>
      <c r="C2882" s="76" t="s">
        <v>536</v>
      </c>
      <c r="D2882" s="484">
        <v>4747.4308929999997</v>
      </c>
      <c r="E2882" s="484">
        <v>5.5297999999999998</v>
      </c>
      <c r="F2882" s="484">
        <v>5.5944000000000003</v>
      </c>
      <c r="G2882" s="83">
        <f t="shared" si="43"/>
        <v>5.3986841269841284</v>
      </c>
    </row>
    <row r="2883" spans="1:7" x14ac:dyDescent="0.2">
      <c r="A2883" s="75">
        <v>42907</v>
      </c>
      <c r="B2883" s="76" t="s">
        <v>35</v>
      </c>
      <c r="C2883" s="76" t="s">
        <v>536</v>
      </c>
      <c r="D2883" s="484">
        <v>4753.1079840000002</v>
      </c>
      <c r="E2883" s="484">
        <v>5.5945</v>
      </c>
      <c r="F2883" s="484">
        <v>5.5726000000000004</v>
      </c>
      <c r="G2883" s="83">
        <f t="shared" ref="G2883:G2946" si="44">+AVERAGE(E2821:E2883)</f>
        <v>5.4043079365079381</v>
      </c>
    </row>
    <row r="2884" spans="1:7" x14ac:dyDescent="0.2">
      <c r="A2884" s="75">
        <v>42908</v>
      </c>
      <c r="B2884" s="76" t="s">
        <v>35</v>
      </c>
      <c r="C2884" s="76" t="s">
        <v>536</v>
      </c>
      <c r="D2884" s="484">
        <v>4744.2646510000004</v>
      </c>
      <c r="E2884" s="484">
        <v>5.5727000000000002</v>
      </c>
      <c r="F2884" s="484">
        <v>5.6154000000000002</v>
      </c>
      <c r="G2884" s="83">
        <f t="shared" si="44"/>
        <v>5.4092365079365088</v>
      </c>
    </row>
    <row r="2885" spans="1:7" x14ac:dyDescent="0.2">
      <c r="A2885" s="75">
        <v>42909</v>
      </c>
      <c r="B2885" s="76" t="s">
        <v>35</v>
      </c>
      <c r="C2885" s="76" t="s">
        <v>536</v>
      </c>
      <c r="D2885" s="484">
        <v>4744.416056</v>
      </c>
      <c r="E2885" s="484">
        <v>5.6155999999999997</v>
      </c>
      <c r="F2885" s="484">
        <v>5.6182999999999996</v>
      </c>
      <c r="G2885" s="83">
        <f t="shared" si="44"/>
        <v>5.4154111111111121</v>
      </c>
    </row>
    <row r="2886" spans="1:7" x14ac:dyDescent="0.2">
      <c r="A2886" s="75">
        <v>42912</v>
      </c>
      <c r="B2886" s="76" t="s">
        <v>35</v>
      </c>
      <c r="C2886" s="76" t="s">
        <v>536</v>
      </c>
      <c r="D2886" s="484">
        <v>4745.0113929999998</v>
      </c>
      <c r="E2886" s="484">
        <v>5.6185</v>
      </c>
      <c r="F2886" s="484">
        <v>5.6162000000000001</v>
      </c>
      <c r="G2886" s="83">
        <f t="shared" si="44"/>
        <v>5.4214841269841267</v>
      </c>
    </row>
    <row r="2887" spans="1:7" x14ac:dyDescent="0.2">
      <c r="A2887" s="75">
        <v>42913</v>
      </c>
      <c r="B2887" s="76" t="s">
        <v>35</v>
      </c>
      <c r="C2887" s="76" t="s">
        <v>536</v>
      </c>
      <c r="D2887" s="484">
        <v>4738.792571</v>
      </c>
      <c r="E2887" s="484">
        <v>5.6163999999999996</v>
      </c>
      <c r="F2887" s="484">
        <v>5.6470000000000002</v>
      </c>
      <c r="G2887" s="83">
        <f t="shared" si="44"/>
        <v>5.4270126984126978</v>
      </c>
    </row>
    <row r="2888" spans="1:7" x14ac:dyDescent="0.2">
      <c r="A2888" s="75">
        <v>42914</v>
      </c>
      <c r="B2888" s="76" t="s">
        <v>35</v>
      </c>
      <c r="C2888" s="76" t="s">
        <v>536</v>
      </c>
      <c r="D2888" s="484">
        <v>4753.4070579999998</v>
      </c>
      <c r="E2888" s="484">
        <v>5.6471999999999998</v>
      </c>
      <c r="F2888" s="484">
        <v>5.585</v>
      </c>
      <c r="G2888" s="83">
        <f t="shared" si="44"/>
        <v>5.4341238095238102</v>
      </c>
    </row>
    <row r="2889" spans="1:7" x14ac:dyDescent="0.2">
      <c r="A2889" s="75">
        <v>42915</v>
      </c>
      <c r="B2889" s="76" t="s">
        <v>35</v>
      </c>
      <c r="C2889" s="76" t="s">
        <v>536</v>
      </c>
      <c r="D2889" s="484">
        <v>4741.5596670000004</v>
      </c>
      <c r="E2889" s="484">
        <v>5.5853000000000002</v>
      </c>
      <c r="F2889" s="484">
        <v>5.6409000000000002</v>
      </c>
      <c r="G2889" s="83">
        <f t="shared" si="44"/>
        <v>5.4407111111111126</v>
      </c>
    </row>
    <row r="2890" spans="1:7" x14ac:dyDescent="0.2">
      <c r="A2890" s="75">
        <v>42916</v>
      </c>
      <c r="B2890" s="76" t="s">
        <v>35</v>
      </c>
      <c r="C2890" s="76" t="s">
        <v>536</v>
      </c>
      <c r="D2890" s="484">
        <v>4750.4923680000002</v>
      </c>
      <c r="E2890" s="484">
        <v>5.6410999999999998</v>
      </c>
      <c r="F2890" s="484">
        <v>5.6041999999999996</v>
      </c>
      <c r="G2890" s="83">
        <f t="shared" si="44"/>
        <v>5.4476841269841287</v>
      </c>
    </row>
    <row r="2891" spans="1:7" x14ac:dyDescent="0.2">
      <c r="A2891" s="75">
        <v>42919</v>
      </c>
      <c r="B2891" s="76" t="s">
        <v>35</v>
      </c>
      <c r="C2891" s="76" t="s">
        <v>536</v>
      </c>
      <c r="D2891" s="484">
        <v>4759.4157080000004</v>
      </c>
      <c r="E2891" s="484">
        <v>5.6044999999999998</v>
      </c>
      <c r="F2891" s="484">
        <v>5.5677000000000003</v>
      </c>
      <c r="G2891" s="83">
        <f t="shared" si="44"/>
        <v>5.4543000000000008</v>
      </c>
    </row>
    <row r="2892" spans="1:7" x14ac:dyDescent="0.2">
      <c r="A2892" s="75">
        <v>42920</v>
      </c>
      <c r="B2892" s="76" t="s">
        <v>35</v>
      </c>
      <c r="C2892" s="76" t="s">
        <v>536</v>
      </c>
      <c r="D2892" s="484">
        <v>4754.6731890000001</v>
      </c>
      <c r="E2892" s="484">
        <v>5.5679999999999996</v>
      </c>
      <c r="F2892" s="484">
        <v>5.5918999999999999</v>
      </c>
      <c r="G2892" s="83">
        <f t="shared" si="44"/>
        <v>5.4592396825396836</v>
      </c>
    </row>
    <row r="2893" spans="1:7" x14ac:dyDescent="0.2">
      <c r="A2893" s="75">
        <v>42921</v>
      </c>
      <c r="B2893" s="76" t="s">
        <v>35</v>
      </c>
      <c r="C2893" s="76" t="s">
        <v>536</v>
      </c>
      <c r="D2893" s="484">
        <v>4752.0535950000003</v>
      </c>
      <c r="E2893" s="484">
        <v>5.5922000000000001</v>
      </c>
      <c r="F2893" s="484">
        <v>5.6067</v>
      </c>
      <c r="G2893" s="83">
        <f t="shared" si="44"/>
        <v>5.4649444444444439</v>
      </c>
    </row>
    <row r="2894" spans="1:7" x14ac:dyDescent="0.2">
      <c r="A2894" s="75">
        <v>42922</v>
      </c>
      <c r="B2894" s="76" t="s">
        <v>35</v>
      </c>
      <c r="C2894" s="76" t="s">
        <v>536</v>
      </c>
      <c r="D2894" s="484">
        <v>4750.0676240000003</v>
      </c>
      <c r="E2894" s="484">
        <v>5.6070000000000002</v>
      </c>
      <c r="F2894" s="484">
        <v>5.6186999999999996</v>
      </c>
      <c r="G2894" s="83">
        <f t="shared" si="44"/>
        <v>5.4710380952380966</v>
      </c>
    </row>
    <row r="2895" spans="1:7" x14ac:dyDescent="0.2">
      <c r="A2895" s="75">
        <v>42923</v>
      </c>
      <c r="B2895" s="76" t="s">
        <v>35</v>
      </c>
      <c r="C2895" s="76" t="s">
        <v>536</v>
      </c>
      <c r="D2895" s="484">
        <v>4743.5553980000004</v>
      </c>
      <c r="E2895" s="484">
        <v>5.6189999999999998</v>
      </c>
      <c r="F2895" s="484">
        <v>5.6417999999999999</v>
      </c>
      <c r="G2895" s="83">
        <f t="shared" si="44"/>
        <v>5.4773238095238099</v>
      </c>
    </row>
    <row r="2896" spans="1:7" x14ac:dyDescent="0.2">
      <c r="A2896" s="75">
        <v>42926</v>
      </c>
      <c r="B2896" s="76" t="s">
        <v>35</v>
      </c>
      <c r="C2896" s="76" t="s">
        <v>536</v>
      </c>
      <c r="D2896" s="484">
        <v>4748.5132149999999</v>
      </c>
      <c r="E2896" s="484">
        <v>5.6421000000000001</v>
      </c>
      <c r="F2896" s="484">
        <v>5.6223000000000001</v>
      </c>
      <c r="G2896" s="83">
        <f t="shared" si="44"/>
        <v>5.4840206349206362</v>
      </c>
    </row>
    <row r="2897" spans="1:7" x14ac:dyDescent="0.2">
      <c r="A2897" s="75">
        <v>42927</v>
      </c>
      <c r="B2897" s="76" t="s">
        <v>35</v>
      </c>
      <c r="C2897" s="76" t="s">
        <v>536</v>
      </c>
      <c r="D2897" s="484">
        <v>4760.0005979999996</v>
      </c>
      <c r="E2897" s="484">
        <v>5.6226000000000003</v>
      </c>
      <c r="F2897" s="484">
        <v>5.5738000000000003</v>
      </c>
      <c r="G2897" s="83">
        <f t="shared" si="44"/>
        <v>5.4891634920634935</v>
      </c>
    </row>
    <row r="2898" spans="1:7" x14ac:dyDescent="0.2">
      <c r="A2898" s="75">
        <v>42928</v>
      </c>
      <c r="B2898" s="76" t="s">
        <v>35</v>
      </c>
      <c r="C2898" s="76" t="s">
        <v>536</v>
      </c>
      <c r="D2898" s="484">
        <v>4790.919355</v>
      </c>
      <c r="E2898" s="484">
        <v>5.5742000000000003</v>
      </c>
      <c r="F2898" s="484">
        <v>5.4397000000000002</v>
      </c>
      <c r="G2898" s="83">
        <f t="shared" si="44"/>
        <v>5.4941698412698425</v>
      </c>
    </row>
    <row r="2899" spans="1:7" x14ac:dyDescent="0.2">
      <c r="A2899" s="75">
        <v>42929</v>
      </c>
      <c r="B2899" s="76" t="s">
        <v>35</v>
      </c>
      <c r="C2899" s="76" t="s">
        <v>536</v>
      </c>
      <c r="D2899" s="484">
        <v>4794.7398569999996</v>
      </c>
      <c r="E2899" s="484">
        <v>5.44</v>
      </c>
      <c r="F2899" s="484">
        <v>5.4253</v>
      </c>
      <c r="G2899" s="83">
        <f t="shared" si="44"/>
        <v>5.4980031746031743</v>
      </c>
    </row>
    <row r="2900" spans="1:7" x14ac:dyDescent="0.2">
      <c r="A2900" s="75">
        <v>42930</v>
      </c>
      <c r="B2900" s="76" t="s">
        <v>35</v>
      </c>
      <c r="C2900" s="76" t="s">
        <v>536</v>
      </c>
      <c r="D2900" s="484">
        <v>4817.7797909999999</v>
      </c>
      <c r="E2900" s="484">
        <v>5.4257</v>
      </c>
      <c r="F2900" s="484">
        <v>5.3266999999999998</v>
      </c>
      <c r="G2900" s="83">
        <f t="shared" si="44"/>
        <v>5.5012269841269843</v>
      </c>
    </row>
    <row r="2901" spans="1:7" x14ac:dyDescent="0.2">
      <c r="A2901" s="75">
        <v>42933</v>
      </c>
      <c r="B2901" s="76" t="s">
        <v>35</v>
      </c>
      <c r="C2901" s="76" t="s">
        <v>536</v>
      </c>
      <c r="D2901" s="484">
        <v>4831.4984370000002</v>
      </c>
      <c r="E2901" s="484">
        <v>5.3270999999999997</v>
      </c>
      <c r="F2901" s="484">
        <v>5.2691999999999997</v>
      </c>
      <c r="G2901" s="83">
        <f t="shared" si="44"/>
        <v>5.5030349206349225</v>
      </c>
    </row>
    <row r="2902" spans="1:7" x14ac:dyDescent="0.2">
      <c r="A2902" s="75">
        <v>42934</v>
      </c>
      <c r="B2902" s="76" t="s">
        <v>35</v>
      </c>
      <c r="C2902" s="76" t="s">
        <v>536</v>
      </c>
      <c r="D2902" s="484">
        <v>4842.702859</v>
      </c>
      <c r="E2902" s="484">
        <v>5.2695999999999996</v>
      </c>
      <c r="F2902" s="484">
        <v>5.2268999999999997</v>
      </c>
      <c r="G2902" s="83">
        <f t="shared" si="44"/>
        <v>5.5033142857142865</v>
      </c>
    </row>
    <row r="2903" spans="1:7" x14ac:dyDescent="0.2">
      <c r="A2903" s="75">
        <v>42935</v>
      </c>
      <c r="B2903" s="76" t="s">
        <v>35</v>
      </c>
      <c r="C2903" s="76" t="s">
        <v>536</v>
      </c>
      <c r="D2903" s="484">
        <v>4867.3929559999997</v>
      </c>
      <c r="E2903" s="484">
        <v>5.2271999999999998</v>
      </c>
      <c r="F2903" s="484">
        <v>5.1261999999999999</v>
      </c>
      <c r="G2903" s="83">
        <f t="shared" si="44"/>
        <v>5.503053968253969</v>
      </c>
    </row>
    <row r="2904" spans="1:7" x14ac:dyDescent="0.2">
      <c r="A2904" s="75">
        <v>42936</v>
      </c>
      <c r="B2904" s="76" t="s">
        <v>35</v>
      </c>
      <c r="C2904" s="76" t="s">
        <v>536</v>
      </c>
      <c r="D2904" s="484">
        <v>4876.1403019999998</v>
      </c>
      <c r="E2904" s="484">
        <v>5.1265000000000001</v>
      </c>
      <c r="F2904" s="484">
        <v>5.0946999999999996</v>
      </c>
      <c r="G2904" s="83">
        <f t="shared" si="44"/>
        <v>5.501741269841272</v>
      </c>
    </row>
    <row r="2905" spans="1:7" x14ac:dyDescent="0.2">
      <c r="A2905" s="75">
        <v>42937</v>
      </c>
      <c r="B2905" s="76" t="s">
        <v>35</v>
      </c>
      <c r="C2905" s="76" t="s">
        <v>536</v>
      </c>
      <c r="D2905" s="484">
        <v>4883.5759200000002</v>
      </c>
      <c r="E2905" s="484">
        <v>5.0951000000000004</v>
      </c>
      <c r="F2905" s="484">
        <v>5.0658000000000003</v>
      </c>
      <c r="G2905" s="83">
        <f t="shared" si="44"/>
        <v>5.4999365079365088</v>
      </c>
    </row>
    <row r="2906" spans="1:7" x14ac:dyDescent="0.2">
      <c r="A2906" s="75">
        <v>42940</v>
      </c>
      <c r="B2906" s="76" t="s">
        <v>35</v>
      </c>
      <c r="C2906" s="76" t="s">
        <v>536</v>
      </c>
      <c r="D2906" s="484">
        <v>4876.8301099999999</v>
      </c>
      <c r="E2906" s="484">
        <v>5.0662000000000003</v>
      </c>
      <c r="F2906" s="484">
        <v>5.1003999999999996</v>
      </c>
      <c r="G2906" s="83">
        <f t="shared" si="44"/>
        <v>5.4974031746031757</v>
      </c>
    </row>
    <row r="2907" spans="1:7" x14ac:dyDescent="0.2">
      <c r="A2907" s="75">
        <v>42941</v>
      </c>
      <c r="B2907" s="76" t="s">
        <v>35</v>
      </c>
      <c r="C2907" s="76" t="s">
        <v>536</v>
      </c>
      <c r="D2907" s="484">
        <v>4867.8815130000003</v>
      </c>
      <c r="E2907" s="484">
        <v>5.1009000000000002</v>
      </c>
      <c r="F2907" s="484">
        <v>5.1447000000000003</v>
      </c>
      <c r="G2907" s="83">
        <f t="shared" si="44"/>
        <v>5.4955095238095257</v>
      </c>
    </row>
    <row r="2908" spans="1:7" x14ac:dyDescent="0.2">
      <c r="A2908" s="75">
        <v>42942</v>
      </c>
      <c r="B2908" s="76" t="s">
        <v>35</v>
      </c>
      <c r="C2908" s="76" t="s">
        <v>536</v>
      </c>
      <c r="D2908" s="484">
        <v>4866.9083270000001</v>
      </c>
      <c r="E2908" s="484">
        <v>5.1451000000000002</v>
      </c>
      <c r="F2908" s="484">
        <v>5.1544999999999996</v>
      </c>
      <c r="G2908" s="83">
        <f t="shared" si="44"/>
        <v>5.4931158730158742</v>
      </c>
    </row>
    <row r="2909" spans="1:7" x14ac:dyDescent="0.2">
      <c r="A2909" s="75">
        <v>42943</v>
      </c>
      <c r="B2909" s="76" t="s">
        <v>35</v>
      </c>
      <c r="C2909" s="76" t="s">
        <v>536</v>
      </c>
      <c r="D2909" s="484">
        <v>4914.2594220000001</v>
      </c>
      <c r="E2909" s="484">
        <v>5.1550000000000002</v>
      </c>
      <c r="F2909" s="484">
        <v>4.9565999999999999</v>
      </c>
      <c r="G2909" s="83">
        <f t="shared" si="44"/>
        <v>5.4905555555555567</v>
      </c>
    </row>
    <row r="2910" spans="1:7" x14ac:dyDescent="0.2">
      <c r="A2910" s="75">
        <v>42944</v>
      </c>
      <c r="B2910" s="76" t="s">
        <v>35</v>
      </c>
      <c r="C2910" s="76" t="s">
        <v>536</v>
      </c>
      <c r="D2910" s="484">
        <v>4930.673812</v>
      </c>
      <c r="E2910" s="484">
        <v>4.9570999999999996</v>
      </c>
      <c r="F2910" s="484">
        <v>4.8921000000000001</v>
      </c>
      <c r="G2910" s="83">
        <f t="shared" si="44"/>
        <v>5.4846126984127004</v>
      </c>
    </row>
    <row r="2911" spans="1:7" x14ac:dyDescent="0.2">
      <c r="A2911" s="75">
        <v>42947</v>
      </c>
      <c r="B2911" s="76" t="s">
        <v>35</v>
      </c>
      <c r="C2911" s="76" t="s">
        <v>536</v>
      </c>
      <c r="D2911" s="484">
        <v>4939.0375919999997</v>
      </c>
      <c r="E2911" s="484">
        <v>4.8926999999999996</v>
      </c>
      <c r="F2911" s="484">
        <v>4.8620999999999999</v>
      </c>
      <c r="G2911" s="83">
        <f t="shared" si="44"/>
        <v>5.4779222222222232</v>
      </c>
    </row>
    <row r="2912" spans="1:7" x14ac:dyDescent="0.2">
      <c r="A2912" s="75">
        <v>42948</v>
      </c>
      <c r="B2912" s="76" t="s">
        <v>35</v>
      </c>
      <c r="C2912" s="76" t="s">
        <v>536</v>
      </c>
      <c r="D2912" s="484">
        <v>4951.9414900000002</v>
      </c>
      <c r="E2912" s="484">
        <v>4.8627000000000002</v>
      </c>
      <c r="F2912" s="484">
        <v>4.8129</v>
      </c>
      <c r="G2912" s="83">
        <f t="shared" si="44"/>
        <v>5.4712365079365082</v>
      </c>
    </row>
    <row r="2913" spans="1:7" x14ac:dyDescent="0.2">
      <c r="A2913" s="75">
        <v>42949</v>
      </c>
      <c r="B2913" s="76" t="s">
        <v>35</v>
      </c>
      <c r="C2913" s="76" t="s">
        <v>536</v>
      </c>
      <c r="D2913" s="484">
        <v>4953.5497370000003</v>
      </c>
      <c r="E2913" s="484">
        <v>4.8135000000000003</v>
      </c>
      <c r="F2913" s="484">
        <v>4.8116000000000003</v>
      </c>
      <c r="G2913" s="83">
        <f t="shared" si="44"/>
        <v>5.4637238095238096</v>
      </c>
    </row>
    <row r="2914" spans="1:7" x14ac:dyDescent="0.2">
      <c r="A2914" s="75">
        <v>42950</v>
      </c>
      <c r="B2914" s="76" t="s">
        <v>35</v>
      </c>
      <c r="C2914" s="76" t="s">
        <v>536</v>
      </c>
      <c r="D2914" s="484">
        <v>4965.0432179999998</v>
      </c>
      <c r="E2914" s="484">
        <v>4.8121999999999998</v>
      </c>
      <c r="F2914" s="484">
        <v>4.7685000000000004</v>
      </c>
      <c r="G2914" s="83">
        <f t="shared" si="44"/>
        <v>5.4556031746031755</v>
      </c>
    </row>
    <row r="2915" spans="1:7" x14ac:dyDescent="0.2">
      <c r="A2915" s="75">
        <v>42951</v>
      </c>
      <c r="B2915" s="76" t="s">
        <v>35</v>
      </c>
      <c r="C2915" s="76" t="s">
        <v>536</v>
      </c>
      <c r="D2915" s="484">
        <v>4967.0502340000003</v>
      </c>
      <c r="E2915" s="484">
        <v>4.7691999999999997</v>
      </c>
      <c r="F2915" s="484">
        <v>4.7656000000000001</v>
      </c>
      <c r="G2915" s="83">
        <f t="shared" si="44"/>
        <v>5.44688253968254</v>
      </c>
    </row>
    <row r="2916" spans="1:7" x14ac:dyDescent="0.2">
      <c r="A2916" s="75">
        <v>42954</v>
      </c>
      <c r="B2916" s="76" t="s">
        <v>35</v>
      </c>
      <c r="C2916" s="76" t="s">
        <v>536</v>
      </c>
      <c r="D2916" s="484">
        <v>4957.8404019999998</v>
      </c>
      <c r="E2916" s="484">
        <v>4.7663000000000002</v>
      </c>
      <c r="F2916" s="484">
        <v>4.8101000000000003</v>
      </c>
      <c r="G2916" s="83">
        <f t="shared" si="44"/>
        <v>5.4379238095238103</v>
      </c>
    </row>
    <row r="2917" spans="1:7" x14ac:dyDescent="0.2">
      <c r="A2917" s="75">
        <v>42955</v>
      </c>
      <c r="B2917" s="76" t="s">
        <v>35</v>
      </c>
      <c r="C2917" s="76" t="s">
        <v>536</v>
      </c>
      <c r="D2917" s="484">
        <v>4965.601216</v>
      </c>
      <c r="E2917" s="484">
        <v>4.8106999999999998</v>
      </c>
      <c r="F2917" s="484">
        <v>4.7827999999999999</v>
      </c>
      <c r="G2917" s="83">
        <f t="shared" si="44"/>
        <v>5.4304158730158738</v>
      </c>
    </row>
    <row r="2918" spans="1:7" x14ac:dyDescent="0.2">
      <c r="A2918" s="75">
        <v>42956</v>
      </c>
      <c r="B2918" s="76" t="s">
        <v>35</v>
      </c>
      <c r="C2918" s="76" t="s">
        <v>536</v>
      </c>
      <c r="D2918" s="484">
        <v>4959.6714119999997</v>
      </c>
      <c r="E2918" s="484">
        <v>4.7834000000000003</v>
      </c>
      <c r="F2918" s="484">
        <v>4.8371000000000004</v>
      </c>
      <c r="G2918" s="83">
        <f t="shared" si="44"/>
        <v>5.423579365079366</v>
      </c>
    </row>
    <row r="2919" spans="1:7" x14ac:dyDescent="0.2">
      <c r="A2919" s="75">
        <v>42957</v>
      </c>
      <c r="B2919" s="76" t="s">
        <v>35</v>
      </c>
      <c r="C2919" s="76" t="s">
        <v>536</v>
      </c>
      <c r="D2919" s="484">
        <v>4951.0611319999998</v>
      </c>
      <c r="E2919" s="484">
        <v>4.8376999999999999</v>
      </c>
      <c r="F2919" s="484">
        <v>4.8804999999999996</v>
      </c>
      <c r="G2919" s="83">
        <f t="shared" si="44"/>
        <v>5.4188761904761904</v>
      </c>
    </row>
    <row r="2920" spans="1:7" x14ac:dyDescent="0.2">
      <c r="A2920" s="75">
        <v>42958</v>
      </c>
      <c r="B2920" s="76" t="s">
        <v>35</v>
      </c>
      <c r="C2920" s="76" t="s">
        <v>536</v>
      </c>
      <c r="D2920" s="484">
        <v>4955.796284</v>
      </c>
      <c r="E2920" s="484">
        <v>4.8811</v>
      </c>
      <c r="F2920" s="484">
        <v>4.8673999999999999</v>
      </c>
      <c r="G2920" s="83">
        <f t="shared" si="44"/>
        <v>5.4149936507936518</v>
      </c>
    </row>
    <row r="2921" spans="1:7" x14ac:dyDescent="0.2">
      <c r="A2921" s="75">
        <v>42961</v>
      </c>
      <c r="B2921" s="76" t="s">
        <v>35</v>
      </c>
      <c r="C2921" s="76" t="s">
        <v>536</v>
      </c>
      <c r="D2921" s="484">
        <v>4955.1957060000004</v>
      </c>
      <c r="E2921" s="484">
        <v>4.8680000000000003</v>
      </c>
      <c r="F2921" s="484">
        <v>4.8769</v>
      </c>
      <c r="G2921" s="83">
        <f t="shared" si="44"/>
        <v>5.4115365079365079</v>
      </c>
    </row>
    <row r="2922" spans="1:7" x14ac:dyDescent="0.2">
      <c r="A2922" s="75">
        <v>42962</v>
      </c>
      <c r="B2922" s="76" t="s">
        <v>35</v>
      </c>
      <c r="C2922" s="76" t="s">
        <v>536</v>
      </c>
      <c r="D2922" s="484">
        <v>4963.2202129999996</v>
      </c>
      <c r="E2922" s="484">
        <v>4.8775000000000004</v>
      </c>
      <c r="F2922" s="484">
        <v>4.8498999999999999</v>
      </c>
      <c r="G2922" s="83">
        <f t="shared" si="44"/>
        <v>5.409419047619048</v>
      </c>
    </row>
    <row r="2923" spans="1:7" x14ac:dyDescent="0.2">
      <c r="A2923" s="75">
        <v>42963</v>
      </c>
      <c r="B2923" s="76" t="s">
        <v>35</v>
      </c>
      <c r="C2923" s="76" t="s">
        <v>536</v>
      </c>
      <c r="D2923" s="484">
        <v>4970.1517219999996</v>
      </c>
      <c r="E2923" s="484">
        <v>4.8505000000000003</v>
      </c>
      <c r="F2923" s="484">
        <v>4.8301999999999996</v>
      </c>
      <c r="G2923" s="83">
        <f t="shared" si="44"/>
        <v>5.4063746031746041</v>
      </c>
    </row>
    <row r="2924" spans="1:7" x14ac:dyDescent="0.2">
      <c r="A2924" s="75">
        <v>42964</v>
      </c>
      <c r="B2924" s="76" t="s">
        <v>35</v>
      </c>
      <c r="C2924" s="76" t="s">
        <v>536</v>
      </c>
      <c r="D2924" s="484">
        <v>4950.8865370000003</v>
      </c>
      <c r="E2924" s="484">
        <v>4.8308</v>
      </c>
      <c r="F2924" s="484">
        <v>4.9212999999999996</v>
      </c>
      <c r="G2924" s="83">
        <f t="shared" si="44"/>
        <v>5.386060317460319</v>
      </c>
    </row>
    <row r="2925" spans="1:7" x14ac:dyDescent="0.2">
      <c r="A2925" s="75">
        <v>42965</v>
      </c>
      <c r="B2925" s="76" t="s">
        <v>35</v>
      </c>
      <c r="C2925" s="76" t="s">
        <v>536</v>
      </c>
      <c r="D2925" s="484">
        <v>4970.3442999999997</v>
      </c>
      <c r="E2925" s="484">
        <v>4.9219999999999997</v>
      </c>
      <c r="F2925" s="484">
        <v>4.8487</v>
      </c>
      <c r="G2925" s="83">
        <f t="shared" si="44"/>
        <v>5.3711269841269846</v>
      </c>
    </row>
    <row r="2926" spans="1:7" x14ac:dyDescent="0.2">
      <c r="A2926" s="75">
        <v>42968</v>
      </c>
      <c r="B2926" s="76" t="s">
        <v>35</v>
      </c>
      <c r="C2926" s="76" t="s">
        <v>536</v>
      </c>
      <c r="D2926" s="484">
        <v>4967.0270490000003</v>
      </c>
      <c r="E2926" s="484">
        <v>4.8494000000000002</v>
      </c>
      <c r="F2926" s="484">
        <v>4.8723999999999998</v>
      </c>
      <c r="G2926" s="83">
        <f t="shared" si="44"/>
        <v>5.3530761904761919</v>
      </c>
    </row>
    <row r="2927" spans="1:7" x14ac:dyDescent="0.2">
      <c r="A2927" s="75">
        <v>42969</v>
      </c>
      <c r="B2927" s="76" t="s">
        <v>35</v>
      </c>
      <c r="C2927" s="76" t="s">
        <v>536</v>
      </c>
      <c r="D2927" s="484">
        <v>4973.7300990000003</v>
      </c>
      <c r="E2927" s="484">
        <v>4.8731</v>
      </c>
      <c r="F2927" s="484">
        <v>4.8537999999999997</v>
      </c>
      <c r="G2927" s="83">
        <f t="shared" si="44"/>
        <v>5.3385968253968272</v>
      </c>
    </row>
    <row r="2928" spans="1:7" x14ac:dyDescent="0.2">
      <c r="A2928" s="75">
        <v>42970</v>
      </c>
      <c r="B2928" s="76" t="s">
        <v>35</v>
      </c>
      <c r="C2928" s="76" t="s">
        <v>536</v>
      </c>
      <c r="D2928" s="484">
        <v>4984.571414</v>
      </c>
      <c r="E2928" s="484">
        <v>4.8544999999999998</v>
      </c>
      <c r="F2928" s="484">
        <v>4.8178000000000001</v>
      </c>
      <c r="G2928" s="83">
        <f t="shared" si="44"/>
        <v>5.3254571428571431</v>
      </c>
    </row>
    <row r="2929" spans="1:7" x14ac:dyDescent="0.2">
      <c r="A2929" s="75">
        <v>42971</v>
      </c>
      <c r="B2929" s="76" t="s">
        <v>35</v>
      </c>
      <c r="C2929" s="76" t="s">
        <v>536</v>
      </c>
      <c r="D2929" s="484">
        <v>4992.3609919999999</v>
      </c>
      <c r="E2929" s="484">
        <v>4.8183999999999996</v>
      </c>
      <c r="F2929" s="484">
        <v>4.7853000000000003</v>
      </c>
      <c r="G2929" s="83">
        <f t="shared" si="44"/>
        <v>5.3115619047619047</v>
      </c>
    </row>
    <row r="2930" spans="1:7" x14ac:dyDescent="0.2">
      <c r="A2930" s="75">
        <v>42972</v>
      </c>
      <c r="B2930" s="76" t="s">
        <v>35</v>
      </c>
      <c r="C2930" s="76" t="s">
        <v>536</v>
      </c>
      <c r="D2930" s="484">
        <v>4996.3619790000002</v>
      </c>
      <c r="E2930" s="484">
        <v>4.7858999999999998</v>
      </c>
      <c r="F2930" s="484">
        <v>4.7766999999999999</v>
      </c>
      <c r="G2930" s="83">
        <f t="shared" si="44"/>
        <v>5.298114285714286</v>
      </c>
    </row>
    <row r="2931" spans="1:7" x14ac:dyDescent="0.2">
      <c r="A2931" s="75">
        <v>42975</v>
      </c>
      <c r="B2931" s="76" t="s">
        <v>35</v>
      </c>
      <c r="C2931" s="76" t="s">
        <v>536</v>
      </c>
      <c r="D2931" s="484">
        <v>5003.6805029999996</v>
      </c>
      <c r="E2931" s="484">
        <v>4.7773000000000003</v>
      </c>
      <c r="F2931" s="484">
        <v>4.7542</v>
      </c>
      <c r="G2931" s="83">
        <f t="shared" si="44"/>
        <v>5.2855444444444446</v>
      </c>
    </row>
    <row r="2932" spans="1:7" x14ac:dyDescent="0.2">
      <c r="A2932" s="75">
        <v>42976</v>
      </c>
      <c r="B2932" s="76" t="s">
        <v>35</v>
      </c>
      <c r="C2932" s="76" t="s">
        <v>536</v>
      </c>
      <c r="D2932" s="484">
        <v>5005.5600869999998</v>
      </c>
      <c r="E2932" s="484">
        <v>4.7548000000000004</v>
      </c>
      <c r="F2932" s="484">
        <v>4.7545000000000002</v>
      </c>
      <c r="G2932" s="83">
        <f t="shared" si="44"/>
        <v>5.2713190476190483</v>
      </c>
    </row>
    <row r="2933" spans="1:7" x14ac:dyDescent="0.2">
      <c r="A2933" s="75">
        <v>42977</v>
      </c>
      <c r="B2933" s="76" t="s">
        <v>35</v>
      </c>
      <c r="C2933" s="76" t="s">
        <v>536</v>
      </c>
      <c r="D2933" s="484">
        <v>5013.7021599999998</v>
      </c>
      <c r="E2933" s="484">
        <v>4.7550999999999997</v>
      </c>
      <c r="F2933" s="484">
        <v>4.7286000000000001</v>
      </c>
      <c r="G2933" s="83">
        <f t="shared" si="44"/>
        <v>5.2583428571428588</v>
      </c>
    </row>
    <row r="2934" spans="1:7" x14ac:dyDescent="0.2">
      <c r="A2934" s="75">
        <v>42978</v>
      </c>
      <c r="B2934" s="76" t="s">
        <v>35</v>
      </c>
      <c r="C2934" s="76" t="s">
        <v>536</v>
      </c>
      <c r="D2934" s="484">
        <v>5028.1850000000004</v>
      </c>
      <c r="E2934" s="484">
        <v>4.7293000000000003</v>
      </c>
      <c r="F2934" s="484">
        <v>4.6764000000000001</v>
      </c>
      <c r="G2934" s="83">
        <f t="shared" si="44"/>
        <v>5.2433000000000014</v>
      </c>
    </row>
    <row r="2935" spans="1:7" x14ac:dyDescent="0.2">
      <c r="A2935" s="75">
        <v>42979</v>
      </c>
      <c r="B2935" s="76" t="s">
        <v>35</v>
      </c>
      <c r="C2935" s="76" t="s">
        <v>536</v>
      </c>
      <c r="D2935" s="484">
        <v>5025.9797339999996</v>
      </c>
      <c r="E2935" s="484">
        <v>4.6771000000000003</v>
      </c>
      <c r="F2935" s="484">
        <v>4.6938000000000004</v>
      </c>
      <c r="G2935" s="83">
        <f t="shared" si="44"/>
        <v>5.2268904761904782</v>
      </c>
    </row>
    <row r="2936" spans="1:7" x14ac:dyDescent="0.2">
      <c r="A2936" s="75">
        <v>42982</v>
      </c>
      <c r="B2936" s="76" t="s">
        <v>35</v>
      </c>
      <c r="C2936" s="76" t="s">
        <v>536</v>
      </c>
      <c r="D2936" s="484">
        <v>5030.8324259999999</v>
      </c>
      <c r="E2936" s="484">
        <v>4.6943999999999999</v>
      </c>
      <c r="F2936" s="484">
        <v>4.6817000000000002</v>
      </c>
      <c r="G2936" s="83">
        <f t="shared" si="44"/>
        <v>5.2098857142857158</v>
      </c>
    </row>
    <row r="2937" spans="1:7" x14ac:dyDescent="0.2">
      <c r="A2937" s="75">
        <v>42983</v>
      </c>
      <c r="B2937" s="76" t="s">
        <v>35</v>
      </c>
      <c r="C2937" s="76" t="s">
        <v>536</v>
      </c>
      <c r="D2937" s="484">
        <v>5039.4150929999996</v>
      </c>
      <c r="E2937" s="484">
        <v>4.6822999999999997</v>
      </c>
      <c r="F2937" s="484">
        <v>4.6540999999999997</v>
      </c>
      <c r="G2937" s="83">
        <f t="shared" si="44"/>
        <v>5.1934126984126996</v>
      </c>
    </row>
    <row r="2938" spans="1:7" x14ac:dyDescent="0.2">
      <c r="A2938" s="75">
        <v>42984</v>
      </c>
      <c r="B2938" s="76" t="s">
        <v>35</v>
      </c>
      <c r="C2938" s="76" t="s">
        <v>536</v>
      </c>
      <c r="D2938" s="484">
        <v>5050.1845949999997</v>
      </c>
      <c r="E2938" s="484">
        <v>4.6547000000000001</v>
      </c>
      <c r="F2938" s="484">
        <v>4.5871000000000004</v>
      </c>
      <c r="G2938" s="83">
        <f t="shared" si="44"/>
        <v>5.1763777777777786</v>
      </c>
    </row>
    <row r="2939" spans="1:7" x14ac:dyDescent="0.2">
      <c r="A2939" s="75">
        <v>42986</v>
      </c>
      <c r="B2939" s="76" t="s">
        <v>35</v>
      </c>
      <c r="C2939" s="76" t="s">
        <v>536</v>
      </c>
      <c r="D2939" s="484">
        <v>5062.1017279999996</v>
      </c>
      <c r="E2939" s="484">
        <v>4.5876999999999999</v>
      </c>
      <c r="F2939" s="484">
        <v>4.5438999999999998</v>
      </c>
      <c r="G2939" s="83">
        <f t="shared" si="44"/>
        <v>5.1580079365079383</v>
      </c>
    </row>
    <row r="2940" spans="1:7" x14ac:dyDescent="0.2">
      <c r="A2940" s="75">
        <v>42989</v>
      </c>
      <c r="B2940" s="76" t="s">
        <v>35</v>
      </c>
      <c r="C2940" s="76" t="s">
        <v>536</v>
      </c>
      <c r="D2940" s="484">
        <v>5052.5082220000004</v>
      </c>
      <c r="E2940" s="484">
        <v>4.5446</v>
      </c>
      <c r="F2940" s="484">
        <v>4.5898000000000003</v>
      </c>
      <c r="G2940" s="83">
        <f t="shared" si="44"/>
        <v>5.1397666666666675</v>
      </c>
    </row>
    <row r="2941" spans="1:7" x14ac:dyDescent="0.2">
      <c r="A2941" s="75">
        <v>42990</v>
      </c>
      <c r="B2941" s="76" t="s">
        <v>35</v>
      </c>
      <c r="C2941" s="76" t="s">
        <v>536</v>
      </c>
      <c r="D2941" s="484">
        <v>5038.8550729999997</v>
      </c>
      <c r="E2941" s="484">
        <v>4.5903999999999998</v>
      </c>
      <c r="F2941" s="484">
        <v>4.6525999999999996</v>
      </c>
      <c r="G2941" s="83">
        <f t="shared" si="44"/>
        <v>5.1224968253968255</v>
      </c>
    </row>
    <row r="2942" spans="1:7" x14ac:dyDescent="0.2">
      <c r="A2942" s="75">
        <v>42991</v>
      </c>
      <c r="B2942" s="76" t="s">
        <v>35</v>
      </c>
      <c r="C2942" s="76" t="s">
        <v>536</v>
      </c>
      <c r="D2942" s="484">
        <v>5037.6495539999996</v>
      </c>
      <c r="E2942" s="484">
        <v>4.6532</v>
      </c>
      <c r="F2942" s="484">
        <v>4.6638000000000002</v>
      </c>
      <c r="G2942" s="83">
        <f t="shared" si="44"/>
        <v>5.1059730158730172</v>
      </c>
    </row>
    <row r="2943" spans="1:7" x14ac:dyDescent="0.2">
      <c r="A2943" s="75">
        <v>42992</v>
      </c>
      <c r="B2943" s="76" t="s">
        <v>35</v>
      </c>
      <c r="C2943" s="76" t="s">
        <v>536</v>
      </c>
      <c r="D2943" s="484">
        <v>5045.3263040000002</v>
      </c>
      <c r="E2943" s="484">
        <v>4.6643999999999997</v>
      </c>
      <c r="F2943" s="484">
        <v>4.6380999999999997</v>
      </c>
      <c r="G2943" s="83">
        <f t="shared" si="44"/>
        <v>5.0902063492063512</v>
      </c>
    </row>
    <row r="2944" spans="1:7" x14ac:dyDescent="0.2">
      <c r="A2944" s="75">
        <v>42993</v>
      </c>
      <c r="B2944" s="76" t="s">
        <v>35</v>
      </c>
      <c r="C2944" s="76" t="s">
        <v>536</v>
      </c>
      <c r="D2944" s="484">
        <v>5042.8159610000002</v>
      </c>
      <c r="E2944" s="484">
        <v>4.6387999999999998</v>
      </c>
      <c r="F2944" s="484">
        <v>4.6547999999999998</v>
      </c>
      <c r="G2944" s="83">
        <f t="shared" si="44"/>
        <v>5.0753952380952381</v>
      </c>
    </row>
    <row r="2945" spans="1:7" x14ac:dyDescent="0.2">
      <c r="A2945" s="75">
        <v>42996</v>
      </c>
      <c r="B2945" s="76" t="s">
        <v>35</v>
      </c>
      <c r="C2945" s="76" t="s">
        <v>536</v>
      </c>
      <c r="D2945" s="484">
        <v>5043.5606770000004</v>
      </c>
      <c r="E2945" s="484">
        <v>4.6555</v>
      </c>
      <c r="F2945" s="484">
        <v>4.6586999999999996</v>
      </c>
      <c r="G2945" s="83">
        <f t="shared" si="44"/>
        <v>5.0615174603174617</v>
      </c>
    </row>
    <row r="2946" spans="1:7" x14ac:dyDescent="0.2">
      <c r="A2946" s="75">
        <v>42997</v>
      </c>
      <c r="B2946" s="76" t="s">
        <v>35</v>
      </c>
      <c r="C2946" s="76" t="s">
        <v>536</v>
      </c>
      <c r="D2946" s="484">
        <v>5049.703383</v>
      </c>
      <c r="E2946" s="484">
        <v>4.6593</v>
      </c>
      <c r="F2946" s="484">
        <v>4.6401000000000003</v>
      </c>
      <c r="G2946" s="83">
        <f t="shared" si="44"/>
        <v>5.046673015873016</v>
      </c>
    </row>
    <row r="2947" spans="1:7" x14ac:dyDescent="0.2">
      <c r="A2947" s="75">
        <v>42998</v>
      </c>
      <c r="B2947" s="76" t="s">
        <v>35</v>
      </c>
      <c r="C2947" s="76" t="s">
        <v>536</v>
      </c>
      <c r="D2947" s="484">
        <v>5058.5074500000001</v>
      </c>
      <c r="E2947" s="484">
        <v>4.6407999999999996</v>
      </c>
      <c r="F2947" s="484">
        <v>4.6105999999999998</v>
      </c>
      <c r="G2947" s="83">
        <f t="shared" ref="G2947:G3010" si="45">+AVERAGE(E2885:E2947)</f>
        <v>5.031880952380952</v>
      </c>
    </row>
    <row r="2948" spans="1:7" x14ac:dyDescent="0.2">
      <c r="A2948" s="75">
        <v>42999</v>
      </c>
      <c r="B2948" s="76" t="s">
        <v>35</v>
      </c>
      <c r="C2948" s="76" t="s">
        <v>536</v>
      </c>
      <c r="D2948" s="484">
        <v>5073.5491750000001</v>
      </c>
      <c r="E2948" s="484">
        <v>4.6112000000000002</v>
      </c>
      <c r="F2948" s="484">
        <v>4.5552999999999999</v>
      </c>
      <c r="G2948" s="83">
        <f t="shared" si="45"/>
        <v>5.0159380952380941</v>
      </c>
    </row>
    <row r="2949" spans="1:7" x14ac:dyDescent="0.2">
      <c r="A2949" s="75">
        <v>43000</v>
      </c>
      <c r="B2949" s="76" t="s">
        <v>35</v>
      </c>
      <c r="C2949" s="76" t="s">
        <v>536</v>
      </c>
      <c r="D2949" s="484">
        <v>5077.1079739999996</v>
      </c>
      <c r="E2949" s="484">
        <v>4.5559000000000003</v>
      </c>
      <c r="F2949" s="484">
        <v>4.5396000000000001</v>
      </c>
      <c r="G2949" s="83">
        <f t="shared" si="45"/>
        <v>4.9990714285714279</v>
      </c>
    </row>
    <row r="2950" spans="1:7" x14ac:dyDescent="0.2">
      <c r="A2950" s="75">
        <v>43003</v>
      </c>
      <c r="B2950" s="76" t="s">
        <v>35</v>
      </c>
      <c r="C2950" s="76" t="s">
        <v>536</v>
      </c>
      <c r="D2950" s="484">
        <v>5077.139083</v>
      </c>
      <c r="E2950" s="484">
        <v>4.5403000000000002</v>
      </c>
      <c r="F2950" s="484">
        <v>4.5448000000000004</v>
      </c>
      <c r="G2950" s="83">
        <f t="shared" si="45"/>
        <v>4.9819904761904761</v>
      </c>
    </row>
    <row r="2951" spans="1:7" x14ac:dyDescent="0.2">
      <c r="A2951" s="75">
        <v>43004</v>
      </c>
      <c r="B2951" s="76" t="s">
        <v>35</v>
      </c>
      <c r="C2951" s="76" t="s">
        <v>536</v>
      </c>
      <c r="D2951" s="484">
        <v>5097.0152840000001</v>
      </c>
      <c r="E2951" s="484">
        <v>4.5454999999999997</v>
      </c>
      <c r="F2951" s="484">
        <v>4.4683999999999999</v>
      </c>
      <c r="G2951" s="83">
        <f t="shared" si="45"/>
        <v>4.9645031746031751</v>
      </c>
    </row>
    <row r="2952" spans="1:7" x14ac:dyDescent="0.2">
      <c r="A2952" s="75">
        <v>43005</v>
      </c>
      <c r="B2952" s="76" t="s">
        <v>35</v>
      </c>
      <c r="C2952" s="76" t="s">
        <v>536</v>
      </c>
      <c r="D2952" s="484">
        <v>5094.6439799999998</v>
      </c>
      <c r="E2952" s="484">
        <v>4.4691999999999998</v>
      </c>
      <c r="F2952" s="484">
        <v>4.4835000000000003</v>
      </c>
      <c r="G2952" s="83">
        <f t="shared" si="45"/>
        <v>4.9467873015873014</v>
      </c>
    </row>
    <row r="2953" spans="1:7" x14ac:dyDescent="0.2">
      <c r="A2953" s="75">
        <v>43006</v>
      </c>
      <c r="B2953" s="76" t="s">
        <v>35</v>
      </c>
      <c r="C2953" s="76" t="s">
        <v>536</v>
      </c>
      <c r="D2953" s="484">
        <v>5092.8128479999996</v>
      </c>
      <c r="E2953" s="484">
        <v>4.4843000000000002</v>
      </c>
      <c r="F2953" s="484">
        <v>4.4964000000000004</v>
      </c>
      <c r="G2953" s="83">
        <f t="shared" si="45"/>
        <v>4.9284253968253973</v>
      </c>
    </row>
    <row r="2954" spans="1:7" x14ac:dyDescent="0.2">
      <c r="A2954" s="75">
        <v>43007</v>
      </c>
      <c r="B2954" s="76" t="s">
        <v>35</v>
      </c>
      <c r="C2954" s="76" t="s">
        <v>536</v>
      </c>
      <c r="D2954" s="484">
        <v>5095.928559</v>
      </c>
      <c r="E2954" s="484">
        <v>4.4970999999999997</v>
      </c>
      <c r="F2954" s="484">
        <v>4.4889000000000001</v>
      </c>
      <c r="G2954" s="83">
        <f t="shared" si="45"/>
        <v>4.9108476190476189</v>
      </c>
    </row>
    <row r="2955" spans="1:7" x14ac:dyDescent="0.2">
      <c r="A2955" s="75">
        <v>43010</v>
      </c>
      <c r="B2955" s="76" t="s">
        <v>35</v>
      </c>
      <c r="C2955" s="76" t="s">
        <v>536</v>
      </c>
      <c r="D2955" s="484">
        <v>5102.3621590000002</v>
      </c>
      <c r="E2955" s="484">
        <v>4.4896000000000003</v>
      </c>
      <c r="F2955" s="484">
        <v>4.4678000000000004</v>
      </c>
      <c r="G2955" s="83">
        <f t="shared" si="45"/>
        <v>4.8937301587301585</v>
      </c>
    </row>
    <row r="2956" spans="1:7" x14ac:dyDescent="0.2">
      <c r="A2956" s="75">
        <v>43011</v>
      </c>
      <c r="B2956" s="76" t="s">
        <v>35</v>
      </c>
      <c r="C2956" s="76" t="s">
        <v>536</v>
      </c>
      <c r="D2956" s="484">
        <v>5094.9675559999996</v>
      </c>
      <c r="E2956" s="484">
        <v>4.4684999999999997</v>
      </c>
      <c r="F2956" s="484">
        <v>4.5034000000000001</v>
      </c>
      <c r="G2956" s="83">
        <f t="shared" si="45"/>
        <v>4.8758936507936506</v>
      </c>
    </row>
    <row r="2957" spans="1:7" x14ac:dyDescent="0.2">
      <c r="A2957" s="75">
        <v>43012</v>
      </c>
      <c r="B2957" s="76" t="s">
        <v>35</v>
      </c>
      <c r="C2957" s="76" t="s">
        <v>536</v>
      </c>
      <c r="D2957" s="484">
        <v>5098.2320570000002</v>
      </c>
      <c r="E2957" s="484">
        <v>4.5041000000000002</v>
      </c>
      <c r="F2957" s="484">
        <v>4.4953000000000003</v>
      </c>
      <c r="G2957" s="83">
        <f t="shared" si="45"/>
        <v>4.8583873015873014</v>
      </c>
    </row>
    <row r="2958" spans="1:7" x14ac:dyDescent="0.2">
      <c r="A2958" s="75">
        <v>43013</v>
      </c>
      <c r="B2958" s="76" t="s">
        <v>35</v>
      </c>
      <c r="C2958" s="76" t="s">
        <v>536</v>
      </c>
      <c r="D2958" s="484">
        <v>5085.7930349999997</v>
      </c>
      <c r="E2958" s="484">
        <v>4.4960000000000004</v>
      </c>
      <c r="F2958" s="484">
        <v>4.5517000000000003</v>
      </c>
      <c r="G2958" s="83">
        <f t="shared" si="45"/>
        <v>4.8405619047619046</v>
      </c>
    </row>
    <row r="2959" spans="1:7" x14ac:dyDescent="0.2">
      <c r="A2959" s="75">
        <v>43014</v>
      </c>
      <c r="B2959" s="76" t="s">
        <v>35</v>
      </c>
      <c r="C2959" s="76" t="s">
        <v>536</v>
      </c>
      <c r="D2959" s="484">
        <v>5111.2362670000002</v>
      </c>
      <c r="E2959" s="484">
        <v>4.5523999999999996</v>
      </c>
      <c r="F2959" s="484">
        <v>4.4635999999999996</v>
      </c>
      <c r="G2959" s="83">
        <f t="shared" si="45"/>
        <v>4.8232650793650782</v>
      </c>
    </row>
    <row r="2960" spans="1:7" x14ac:dyDescent="0.2">
      <c r="A2960" s="75">
        <v>43017</v>
      </c>
      <c r="B2960" s="76" t="s">
        <v>35</v>
      </c>
      <c r="C2960" s="76" t="s">
        <v>536</v>
      </c>
      <c r="D2960" s="484">
        <v>5104.7867349999997</v>
      </c>
      <c r="E2960" s="484">
        <v>4.4642999999999997</v>
      </c>
      <c r="F2960" s="484">
        <v>4.4960000000000004</v>
      </c>
      <c r="G2960" s="83">
        <f t="shared" si="45"/>
        <v>4.8048793650793646</v>
      </c>
    </row>
    <row r="2961" spans="1:7" x14ac:dyDescent="0.2">
      <c r="A2961" s="75">
        <v>43018</v>
      </c>
      <c r="B2961" s="76" t="s">
        <v>35</v>
      </c>
      <c r="C2961" s="76" t="s">
        <v>536</v>
      </c>
      <c r="D2961" s="484">
        <v>5116.9386450000002</v>
      </c>
      <c r="E2961" s="484">
        <v>4.4966999999999997</v>
      </c>
      <c r="F2961" s="484">
        <v>4.4523000000000001</v>
      </c>
      <c r="G2961" s="83">
        <f t="shared" si="45"/>
        <v>4.7877761904761886</v>
      </c>
    </row>
    <row r="2962" spans="1:7" x14ac:dyDescent="0.2">
      <c r="A2962" s="75">
        <v>43019</v>
      </c>
      <c r="B2962" s="76" t="s">
        <v>35</v>
      </c>
      <c r="C2962" s="76" t="s">
        <v>536</v>
      </c>
      <c r="D2962" s="484">
        <v>5114.512772</v>
      </c>
      <c r="E2962" s="484">
        <v>4.4530000000000003</v>
      </c>
      <c r="F2962" s="484">
        <v>4.4682000000000004</v>
      </c>
      <c r="G2962" s="83">
        <f t="shared" si="45"/>
        <v>4.7721095238095224</v>
      </c>
    </row>
    <row r="2963" spans="1:7" x14ac:dyDescent="0.2">
      <c r="A2963" s="75">
        <v>43021</v>
      </c>
      <c r="B2963" s="76" t="s">
        <v>35</v>
      </c>
      <c r="C2963" s="76" t="s">
        <v>536</v>
      </c>
      <c r="D2963" s="484">
        <v>5116.9343980000003</v>
      </c>
      <c r="E2963" s="484">
        <v>4.4690000000000003</v>
      </c>
      <c r="F2963" s="484">
        <v>4.4644000000000004</v>
      </c>
      <c r="G2963" s="83">
        <f t="shared" si="45"/>
        <v>4.7569238095238067</v>
      </c>
    </row>
    <row r="2964" spans="1:7" x14ac:dyDescent="0.2">
      <c r="A2964" s="75">
        <v>43024</v>
      </c>
      <c r="B2964" s="76" t="s">
        <v>35</v>
      </c>
      <c r="C2964" s="76" t="s">
        <v>536</v>
      </c>
      <c r="D2964" s="484">
        <v>5112.066358</v>
      </c>
      <c r="E2964" s="484">
        <v>4.4650999999999996</v>
      </c>
      <c r="F2964" s="484">
        <v>4.4903000000000004</v>
      </c>
      <c r="G2964" s="83">
        <f t="shared" si="45"/>
        <v>4.7432412698412678</v>
      </c>
    </row>
    <row r="2965" spans="1:7" x14ac:dyDescent="0.2">
      <c r="A2965" s="75">
        <v>43025</v>
      </c>
      <c r="B2965" s="76" t="s">
        <v>35</v>
      </c>
      <c r="C2965" s="76" t="s">
        <v>536</v>
      </c>
      <c r="D2965" s="484">
        <v>5120.1927500000002</v>
      </c>
      <c r="E2965" s="484">
        <v>4.4911000000000003</v>
      </c>
      <c r="F2965" s="484">
        <v>4.4660000000000002</v>
      </c>
      <c r="G2965" s="83">
        <f t="shared" si="45"/>
        <v>4.7308841269841233</v>
      </c>
    </row>
    <row r="2966" spans="1:7" x14ac:dyDescent="0.2">
      <c r="A2966" s="75">
        <v>43026</v>
      </c>
      <c r="B2966" s="76" t="s">
        <v>35</v>
      </c>
      <c r="C2966" s="76" t="s">
        <v>536</v>
      </c>
      <c r="D2966" s="484">
        <v>5125.7291789999999</v>
      </c>
      <c r="E2966" s="484">
        <v>4.4667000000000003</v>
      </c>
      <c r="F2966" s="484">
        <v>4.4522000000000004</v>
      </c>
      <c r="G2966" s="83">
        <f t="shared" si="45"/>
        <v>4.7188126984126963</v>
      </c>
    </row>
    <row r="2967" spans="1:7" x14ac:dyDescent="0.2">
      <c r="A2967" s="75">
        <v>43027</v>
      </c>
      <c r="B2967" s="76" t="s">
        <v>35</v>
      </c>
      <c r="C2967" s="76" t="s">
        <v>536</v>
      </c>
      <c r="D2967" s="484">
        <v>5136.5992859999997</v>
      </c>
      <c r="E2967" s="484">
        <v>4.4528999999999996</v>
      </c>
      <c r="F2967" s="484">
        <v>4.4166999999999996</v>
      </c>
      <c r="G2967" s="83">
        <f t="shared" si="45"/>
        <v>4.7081206349206326</v>
      </c>
    </row>
    <row r="2968" spans="1:7" x14ac:dyDescent="0.2">
      <c r="A2968" s="75">
        <v>43028</v>
      </c>
      <c r="B2968" s="76" t="s">
        <v>35</v>
      </c>
      <c r="C2968" s="76" t="s">
        <v>536</v>
      </c>
      <c r="D2968" s="484">
        <v>5140.1282149999997</v>
      </c>
      <c r="E2968" s="484">
        <v>4.4173999999999998</v>
      </c>
      <c r="F2968" s="484">
        <v>4.4111000000000002</v>
      </c>
      <c r="G2968" s="83">
        <f t="shared" si="45"/>
        <v>4.6973634920634906</v>
      </c>
    </row>
    <row r="2969" spans="1:7" x14ac:dyDescent="0.2">
      <c r="A2969" s="75">
        <v>43031</v>
      </c>
      <c r="B2969" s="76" t="s">
        <v>35</v>
      </c>
      <c r="C2969" s="76" t="s">
        <v>536</v>
      </c>
      <c r="D2969" s="484">
        <v>5135.8352180000002</v>
      </c>
      <c r="E2969" s="484">
        <v>4.4118000000000004</v>
      </c>
      <c r="F2969" s="484">
        <v>4.4387999999999996</v>
      </c>
      <c r="G2969" s="83">
        <f t="shared" si="45"/>
        <v>4.68697619047619</v>
      </c>
    </row>
    <row r="2970" spans="1:7" x14ac:dyDescent="0.2">
      <c r="A2970" s="75">
        <v>43032</v>
      </c>
      <c r="B2970" s="76" t="s">
        <v>35</v>
      </c>
      <c r="C2970" s="76" t="s">
        <v>536</v>
      </c>
      <c r="D2970" s="484">
        <v>5126.4539889999996</v>
      </c>
      <c r="E2970" s="484">
        <v>4.4394999999999998</v>
      </c>
      <c r="F2970" s="484">
        <v>4.4861000000000004</v>
      </c>
      <c r="G2970" s="83">
        <f t="shared" si="45"/>
        <v>4.6764777777777784</v>
      </c>
    </row>
    <row r="2971" spans="1:7" x14ac:dyDescent="0.2">
      <c r="A2971" s="75">
        <v>43033</v>
      </c>
      <c r="B2971" s="76" t="s">
        <v>35</v>
      </c>
      <c r="C2971" s="76" t="s">
        <v>536</v>
      </c>
      <c r="D2971" s="484">
        <v>5126.3588609999997</v>
      </c>
      <c r="E2971" s="484">
        <v>4.4869000000000003</v>
      </c>
      <c r="F2971" s="484">
        <v>4.4957000000000003</v>
      </c>
      <c r="G2971" s="83">
        <f t="shared" si="45"/>
        <v>4.6660301587301598</v>
      </c>
    </row>
    <row r="2972" spans="1:7" x14ac:dyDescent="0.2">
      <c r="A2972" s="75">
        <v>43034</v>
      </c>
      <c r="B2972" s="76" t="s">
        <v>35</v>
      </c>
      <c r="C2972" s="76" t="s">
        <v>536</v>
      </c>
      <c r="D2972" s="484">
        <v>5097.4696640000002</v>
      </c>
      <c r="E2972" s="484">
        <v>4.4965000000000002</v>
      </c>
      <c r="F2972" s="484">
        <v>4.6231999999999998</v>
      </c>
      <c r="G2972" s="83">
        <f t="shared" si="45"/>
        <v>4.6555777777777783</v>
      </c>
    </row>
    <row r="2973" spans="1:7" x14ac:dyDescent="0.2">
      <c r="A2973" s="75">
        <v>43035</v>
      </c>
      <c r="B2973" s="76" t="s">
        <v>35</v>
      </c>
      <c r="C2973" s="76" t="s">
        <v>536</v>
      </c>
      <c r="D2973" s="484">
        <v>5100.8619650000001</v>
      </c>
      <c r="E2973" s="484">
        <v>4.6238999999999999</v>
      </c>
      <c r="F2973" s="484">
        <v>4.6185</v>
      </c>
      <c r="G2973" s="83">
        <f t="shared" si="45"/>
        <v>4.6502888888888894</v>
      </c>
    </row>
    <row r="2974" spans="1:7" x14ac:dyDescent="0.2">
      <c r="A2974" s="75">
        <v>43038</v>
      </c>
      <c r="B2974" s="76" t="s">
        <v>35</v>
      </c>
      <c r="C2974" s="76" t="s">
        <v>536</v>
      </c>
      <c r="D2974" s="484">
        <v>5091.7689700000001</v>
      </c>
      <c r="E2974" s="484">
        <v>4.6192000000000002</v>
      </c>
      <c r="F2974" s="484">
        <v>4.6650999999999998</v>
      </c>
      <c r="G2974" s="83">
        <f t="shared" si="45"/>
        <v>4.645947619047619</v>
      </c>
    </row>
    <row r="2975" spans="1:7" x14ac:dyDescent="0.2">
      <c r="A2975" s="75">
        <v>43039</v>
      </c>
      <c r="B2975" s="76" t="s">
        <v>35</v>
      </c>
      <c r="C2975" s="76" t="s">
        <v>536</v>
      </c>
      <c r="D2975" s="484">
        <v>5091.1780959999996</v>
      </c>
      <c r="E2975" s="484">
        <v>4.6657999999999999</v>
      </c>
      <c r="F2975" s="484">
        <v>4.6768000000000001</v>
      </c>
      <c r="G2975" s="83">
        <f t="shared" si="45"/>
        <v>4.6428222222222226</v>
      </c>
    </row>
    <row r="2976" spans="1:7" x14ac:dyDescent="0.2">
      <c r="A2976" s="75">
        <v>43040</v>
      </c>
      <c r="B2976" s="76" t="s">
        <v>35</v>
      </c>
      <c r="C2976" s="76" t="s">
        <v>536</v>
      </c>
      <c r="D2976" s="484">
        <v>5071.2718930000001</v>
      </c>
      <c r="E2976" s="484">
        <v>4.6776</v>
      </c>
      <c r="F2976" s="484">
        <v>4.7683</v>
      </c>
      <c r="G2976" s="83">
        <f t="shared" si="45"/>
        <v>4.6406650793650783</v>
      </c>
    </row>
    <row r="2977" spans="1:7" x14ac:dyDescent="0.2">
      <c r="A2977" s="75">
        <v>43042</v>
      </c>
      <c r="B2977" s="76" t="s">
        <v>35</v>
      </c>
      <c r="C2977" s="76" t="s">
        <v>536</v>
      </c>
      <c r="D2977" s="484">
        <v>5051.7208019999998</v>
      </c>
      <c r="E2977" s="484">
        <v>4.7690999999999999</v>
      </c>
      <c r="F2977" s="484">
        <v>4.8587999999999996</v>
      </c>
      <c r="G2977" s="83">
        <f t="shared" si="45"/>
        <v>4.6399809523809505</v>
      </c>
    </row>
    <row r="2978" spans="1:7" x14ac:dyDescent="0.2">
      <c r="A2978" s="75">
        <v>43045</v>
      </c>
      <c r="B2978" s="76" t="s">
        <v>35</v>
      </c>
      <c r="C2978" s="76" t="s">
        <v>536</v>
      </c>
      <c r="D2978" s="484">
        <v>5066.1225850000001</v>
      </c>
      <c r="E2978" s="484">
        <v>4.8596000000000004</v>
      </c>
      <c r="F2978" s="484">
        <v>4.8086000000000002</v>
      </c>
      <c r="G2978" s="83">
        <f t="shared" si="45"/>
        <v>4.6414158730158732</v>
      </c>
    </row>
    <row r="2979" spans="1:7" x14ac:dyDescent="0.2">
      <c r="A2979" s="75">
        <v>43046</v>
      </c>
      <c r="B2979" s="76" t="s">
        <v>35</v>
      </c>
      <c r="C2979" s="76" t="s">
        <v>536</v>
      </c>
      <c r="D2979" s="484">
        <v>5060.3058289999999</v>
      </c>
      <c r="E2979" s="484">
        <v>4.8094999999999999</v>
      </c>
      <c r="F2979" s="484">
        <v>4.8422999999999998</v>
      </c>
      <c r="G2979" s="83">
        <f t="shared" si="45"/>
        <v>4.6421015873015863</v>
      </c>
    </row>
    <row r="2980" spans="1:7" x14ac:dyDescent="0.2">
      <c r="A2980" s="75">
        <v>43047</v>
      </c>
      <c r="B2980" s="76" t="s">
        <v>35</v>
      </c>
      <c r="C2980" s="76" t="s">
        <v>536</v>
      </c>
      <c r="D2980" s="484">
        <v>5066.2714070000002</v>
      </c>
      <c r="E2980" s="484">
        <v>4.8432000000000004</v>
      </c>
      <c r="F2980" s="484">
        <v>4.8272000000000004</v>
      </c>
      <c r="G2980" s="83">
        <f t="shared" si="45"/>
        <v>4.6426174603174601</v>
      </c>
    </row>
    <row r="2981" spans="1:7" x14ac:dyDescent="0.2">
      <c r="A2981" s="75">
        <v>43048</v>
      </c>
      <c r="B2981" s="76" t="s">
        <v>35</v>
      </c>
      <c r="C2981" s="76" t="s">
        <v>536</v>
      </c>
      <c r="D2981" s="484">
        <v>5067.3364689999999</v>
      </c>
      <c r="E2981" s="484">
        <v>4.8281000000000001</v>
      </c>
      <c r="F2981" s="484">
        <v>4.8323999999999998</v>
      </c>
      <c r="G2981" s="83">
        <f t="shared" si="45"/>
        <v>4.6433269841269844</v>
      </c>
    </row>
    <row r="2982" spans="1:7" x14ac:dyDescent="0.2">
      <c r="A2982" s="75">
        <v>43049</v>
      </c>
      <c r="B2982" s="76" t="s">
        <v>35</v>
      </c>
      <c r="C2982" s="76" t="s">
        <v>536</v>
      </c>
      <c r="D2982" s="484">
        <v>5048.4906520000004</v>
      </c>
      <c r="E2982" s="484">
        <v>4.8331</v>
      </c>
      <c r="F2982" s="484">
        <v>4.9093</v>
      </c>
      <c r="G2982" s="83">
        <f t="shared" si="45"/>
        <v>4.6432539682539691</v>
      </c>
    </row>
    <row r="2983" spans="1:7" x14ac:dyDescent="0.2">
      <c r="A2983" s="75">
        <v>43052</v>
      </c>
      <c r="B2983" s="76" t="s">
        <v>35</v>
      </c>
      <c r="C2983" s="76" t="s">
        <v>536</v>
      </c>
      <c r="D2983" s="484">
        <v>5056.1149839999998</v>
      </c>
      <c r="E2983" s="484">
        <v>4.9100999999999999</v>
      </c>
      <c r="F2983" s="484">
        <v>4.8865999999999996</v>
      </c>
      <c r="G2983" s="83">
        <f t="shared" si="45"/>
        <v>4.6437142857142861</v>
      </c>
    </row>
    <row r="2984" spans="1:7" x14ac:dyDescent="0.2">
      <c r="A2984" s="75">
        <v>43053</v>
      </c>
      <c r="B2984" s="76" t="s">
        <v>35</v>
      </c>
      <c r="C2984" s="76" t="s">
        <v>536</v>
      </c>
      <c r="D2984" s="484">
        <v>5039.8831810000001</v>
      </c>
      <c r="E2984" s="484">
        <v>4.8872999999999998</v>
      </c>
      <c r="F2984" s="484">
        <v>4.9630000000000001</v>
      </c>
      <c r="G2984" s="83">
        <f t="shared" si="45"/>
        <v>4.6440206349206354</v>
      </c>
    </row>
    <row r="2985" spans="1:7" x14ac:dyDescent="0.2">
      <c r="A2985" s="75">
        <v>43055</v>
      </c>
      <c r="B2985" s="76" t="s">
        <v>35</v>
      </c>
      <c r="C2985" s="76" t="s">
        <v>536</v>
      </c>
      <c r="D2985" s="484">
        <v>5059.1727410000003</v>
      </c>
      <c r="E2985" s="484">
        <v>4.9638</v>
      </c>
      <c r="F2985" s="484">
        <v>4.8917999999999999</v>
      </c>
      <c r="G2985" s="83">
        <f t="shared" si="45"/>
        <v>4.6453904761904763</v>
      </c>
    </row>
    <row r="2986" spans="1:7" x14ac:dyDescent="0.2">
      <c r="A2986" s="75">
        <v>43056</v>
      </c>
      <c r="B2986" s="76" t="s">
        <v>35</v>
      </c>
      <c r="C2986" s="76" t="s">
        <v>536</v>
      </c>
      <c r="D2986" s="484">
        <v>5086.5042400000002</v>
      </c>
      <c r="E2986" s="484">
        <v>4.8925000000000001</v>
      </c>
      <c r="F2986" s="484">
        <v>4.7882999999999996</v>
      </c>
      <c r="G2986" s="83">
        <f t="shared" si="45"/>
        <v>4.6460571428571429</v>
      </c>
    </row>
    <row r="2987" spans="1:7" x14ac:dyDescent="0.2">
      <c r="A2987" s="75">
        <v>43059</v>
      </c>
      <c r="B2987" s="76" t="s">
        <v>35</v>
      </c>
      <c r="C2987" s="76" t="s">
        <v>536</v>
      </c>
      <c r="D2987" s="484">
        <v>5088.3417200000004</v>
      </c>
      <c r="E2987" s="484">
        <v>4.7889999999999997</v>
      </c>
      <c r="F2987" s="484">
        <v>4.7901999999999996</v>
      </c>
      <c r="G2987" s="83">
        <f t="shared" si="45"/>
        <v>4.6453936507936504</v>
      </c>
    </row>
    <row r="2988" spans="1:7" x14ac:dyDescent="0.2">
      <c r="A2988" s="75">
        <v>43060</v>
      </c>
      <c r="B2988" s="76" t="s">
        <v>35</v>
      </c>
      <c r="C2988" s="76" t="s">
        <v>536</v>
      </c>
      <c r="D2988" s="484">
        <v>5102.3558229999999</v>
      </c>
      <c r="E2988" s="484">
        <v>4.7907999999999999</v>
      </c>
      <c r="F2988" s="484">
        <v>4.7419000000000002</v>
      </c>
      <c r="G2988" s="83">
        <f t="shared" si="45"/>
        <v>4.6433111111111103</v>
      </c>
    </row>
    <row r="2989" spans="1:7" x14ac:dyDescent="0.2">
      <c r="A2989" s="75">
        <v>43061</v>
      </c>
      <c r="B2989" s="76" t="s">
        <v>35</v>
      </c>
      <c r="C2989" s="76" t="s">
        <v>536</v>
      </c>
      <c r="D2989" s="484">
        <v>5101.3910619999997</v>
      </c>
      <c r="E2989" s="484">
        <v>4.7424999999999997</v>
      </c>
      <c r="F2989" s="484">
        <v>4.7552000000000003</v>
      </c>
      <c r="G2989" s="83">
        <f t="shared" si="45"/>
        <v>4.6416142857142848</v>
      </c>
    </row>
    <row r="2990" spans="1:7" x14ac:dyDescent="0.2">
      <c r="A2990" s="75">
        <v>43062</v>
      </c>
      <c r="B2990" s="76" t="s">
        <v>35</v>
      </c>
      <c r="C2990" s="76" t="s">
        <v>536</v>
      </c>
      <c r="D2990" s="484">
        <v>5106.9040539999996</v>
      </c>
      <c r="E2990" s="484">
        <v>4.7557999999999998</v>
      </c>
      <c r="F2990" s="484">
        <v>4.7419000000000002</v>
      </c>
      <c r="G2990" s="83">
        <f t="shared" si="45"/>
        <v>4.6397523809523804</v>
      </c>
    </row>
    <row r="2991" spans="1:7" x14ac:dyDescent="0.2">
      <c r="A2991" s="75">
        <v>43063</v>
      </c>
      <c r="B2991" s="76" t="s">
        <v>35</v>
      </c>
      <c r="C2991" s="76" t="s">
        <v>536</v>
      </c>
      <c r="D2991" s="484">
        <v>5100.5943829999997</v>
      </c>
      <c r="E2991" s="484">
        <v>4.7426000000000004</v>
      </c>
      <c r="F2991" s="484">
        <v>4.7701000000000002</v>
      </c>
      <c r="G2991" s="83">
        <f t="shared" si="45"/>
        <v>4.6379761904761905</v>
      </c>
    </row>
    <row r="2992" spans="1:7" x14ac:dyDescent="0.2">
      <c r="A2992" s="75">
        <v>43066</v>
      </c>
      <c r="B2992" s="76" t="s">
        <v>35</v>
      </c>
      <c r="C2992" s="76" t="s">
        <v>536</v>
      </c>
      <c r="D2992" s="484">
        <v>5098.5195290000001</v>
      </c>
      <c r="E2992" s="484">
        <v>4.7708000000000004</v>
      </c>
      <c r="F2992" s="484">
        <v>4.7869000000000002</v>
      </c>
      <c r="G2992" s="83">
        <f t="shared" si="45"/>
        <v>4.6372206349206353</v>
      </c>
    </row>
    <row r="2993" spans="1:7" x14ac:dyDescent="0.2">
      <c r="A2993" s="75">
        <v>43067</v>
      </c>
      <c r="B2993" s="76" t="s">
        <v>35</v>
      </c>
      <c r="C2993" s="76" t="s">
        <v>536</v>
      </c>
      <c r="D2993" s="484">
        <v>5101.0192980000002</v>
      </c>
      <c r="E2993" s="484">
        <v>4.7876000000000003</v>
      </c>
      <c r="F2993" s="484">
        <v>4.7849000000000004</v>
      </c>
      <c r="G2993" s="83">
        <f t="shared" si="45"/>
        <v>4.6372476190476188</v>
      </c>
    </row>
    <row r="2994" spans="1:7" x14ac:dyDescent="0.2">
      <c r="A2994" s="75">
        <v>43068</v>
      </c>
      <c r="B2994" s="76" t="s">
        <v>35</v>
      </c>
      <c r="C2994" s="76" t="s">
        <v>536</v>
      </c>
      <c r="D2994" s="484">
        <v>5081.6034250000002</v>
      </c>
      <c r="E2994" s="484">
        <v>4.7855999999999996</v>
      </c>
      <c r="F2994" s="484">
        <v>4.8731999999999998</v>
      </c>
      <c r="G2994" s="83">
        <f t="shared" si="45"/>
        <v>4.637379365079366</v>
      </c>
    </row>
    <row r="2995" spans="1:7" x14ac:dyDescent="0.2">
      <c r="A2995" s="75">
        <v>43069</v>
      </c>
      <c r="B2995" s="76" t="s">
        <v>35</v>
      </c>
      <c r="C2995" s="76" t="s">
        <v>536</v>
      </c>
      <c r="D2995" s="484">
        <v>5072.3077860000003</v>
      </c>
      <c r="E2995" s="484">
        <v>4.8738000000000001</v>
      </c>
      <c r="F2995" s="484">
        <v>4.9199000000000002</v>
      </c>
      <c r="G2995" s="83">
        <f t="shared" si="45"/>
        <v>4.6392682539682548</v>
      </c>
    </row>
    <row r="2996" spans="1:7" x14ac:dyDescent="0.2">
      <c r="A2996" s="75">
        <v>43070</v>
      </c>
      <c r="B2996" s="76" t="s">
        <v>35</v>
      </c>
      <c r="C2996" s="76" t="s">
        <v>536</v>
      </c>
      <c r="D2996" s="484">
        <v>5077.1883040000002</v>
      </c>
      <c r="E2996" s="484">
        <v>4.9206000000000003</v>
      </c>
      <c r="F2996" s="484">
        <v>4.9081000000000001</v>
      </c>
      <c r="G2996" s="83">
        <f t="shared" si="45"/>
        <v>4.6418952380952376</v>
      </c>
    </row>
    <row r="2997" spans="1:7" x14ac:dyDescent="0.2">
      <c r="A2997" s="75">
        <v>43073</v>
      </c>
      <c r="B2997" s="76" t="s">
        <v>35</v>
      </c>
      <c r="C2997" s="76" t="s">
        <v>536</v>
      </c>
      <c r="D2997" s="484">
        <v>5084.4201169999997</v>
      </c>
      <c r="E2997" s="484">
        <v>4.9086999999999996</v>
      </c>
      <c r="F2997" s="484">
        <v>4.8864999999999998</v>
      </c>
      <c r="G2997" s="83">
        <f t="shared" si="45"/>
        <v>4.6447428571428562</v>
      </c>
    </row>
    <row r="2998" spans="1:7" x14ac:dyDescent="0.2">
      <c r="A2998" s="75">
        <v>43074</v>
      </c>
      <c r="B2998" s="76" t="s">
        <v>35</v>
      </c>
      <c r="C2998" s="76" t="s">
        <v>536</v>
      </c>
      <c r="D2998" s="484">
        <v>5091.9017640000002</v>
      </c>
      <c r="E2998" s="484">
        <v>4.8871000000000002</v>
      </c>
      <c r="F2998" s="484">
        <v>4.8639000000000001</v>
      </c>
      <c r="G2998" s="83">
        <f t="shared" si="45"/>
        <v>4.64807619047619</v>
      </c>
    </row>
    <row r="2999" spans="1:7" x14ac:dyDescent="0.2">
      <c r="A2999" s="75">
        <v>43075</v>
      </c>
      <c r="B2999" s="76" t="s">
        <v>35</v>
      </c>
      <c r="C2999" s="76" t="s">
        <v>536</v>
      </c>
      <c r="D2999" s="484">
        <v>5088.0582109999996</v>
      </c>
      <c r="E2999" s="484">
        <v>4.8646000000000003</v>
      </c>
      <c r="F2999" s="484">
        <v>4.8880999999999997</v>
      </c>
      <c r="G2999" s="83">
        <f t="shared" si="45"/>
        <v>4.6507777777777761</v>
      </c>
    </row>
    <row r="3000" spans="1:7" x14ac:dyDescent="0.2">
      <c r="A3000" s="75">
        <v>43076</v>
      </c>
      <c r="B3000" s="76" t="s">
        <v>35</v>
      </c>
      <c r="C3000" s="76" t="s">
        <v>536</v>
      </c>
      <c r="D3000" s="484">
        <v>5073.269859</v>
      </c>
      <c r="E3000" s="484">
        <v>4.8887999999999998</v>
      </c>
      <c r="F3000" s="484">
        <v>4.9576000000000002</v>
      </c>
      <c r="G3000" s="83">
        <f t="shared" si="45"/>
        <v>4.6540555555555549</v>
      </c>
    </row>
    <row r="3001" spans="1:7" x14ac:dyDescent="0.2">
      <c r="A3001" s="75">
        <v>43077</v>
      </c>
      <c r="B3001" s="76" t="s">
        <v>35</v>
      </c>
      <c r="C3001" s="76" t="s">
        <v>536</v>
      </c>
      <c r="D3001" s="484">
        <v>5073.8201170000002</v>
      </c>
      <c r="E3001" s="484">
        <v>4.9583000000000004</v>
      </c>
      <c r="F3001" s="484">
        <v>4.9493999999999998</v>
      </c>
      <c r="G3001" s="83">
        <f t="shared" si="45"/>
        <v>4.6588746031746027</v>
      </c>
    </row>
    <row r="3002" spans="1:7" x14ac:dyDescent="0.2">
      <c r="A3002" s="75">
        <v>43080</v>
      </c>
      <c r="B3002" s="76" t="s">
        <v>35</v>
      </c>
      <c r="C3002" s="76" t="s">
        <v>536</v>
      </c>
      <c r="D3002" s="484">
        <v>5072.570479</v>
      </c>
      <c r="E3002" s="484">
        <v>4.95</v>
      </c>
      <c r="F3002" s="484">
        <v>4.9619999999999997</v>
      </c>
      <c r="G3002" s="83">
        <f t="shared" si="45"/>
        <v>4.6646253968253957</v>
      </c>
    </row>
    <row r="3003" spans="1:7" x14ac:dyDescent="0.2">
      <c r="A3003" s="75">
        <v>43081</v>
      </c>
      <c r="B3003" s="76" t="s">
        <v>35</v>
      </c>
      <c r="C3003" s="76" t="s">
        <v>536</v>
      </c>
      <c r="D3003" s="484">
        <v>5047.7608550000004</v>
      </c>
      <c r="E3003" s="484">
        <v>4.9626000000000001</v>
      </c>
      <c r="F3003" s="484">
        <v>5.0724999999999998</v>
      </c>
      <c r="G3003" s="83">
        <f t="shared" si="45"/>
        <v>4.6712603174603169</v>
      </c>
    </row>
    <row r="3004" spans="1:7" x14ac:dyDescent="0.2">
      <c r="A3004" s="75">
        <v>43082</v>
      </c>
      <c r="B3004" s="76" t="s">
        <v>35</v>
      </c>
      <c r="C3004" s="76" t="s">
        <v>536</v>
      </c>
      <c r="D3004" s="484">
        <v>5055.0705250000001</v>
      </c>
      <c r="E3004" s="484">
        <v>5.0731999999999999</v>
      </c>
      <c r="F3004" s="484">
        <v>5.0496999999999996</v>
      </c>
      <c r="G3004" s="83">
        <f t="shared" si="45"/>
        <v>4.6789238095238082</v>
      </c>
    </row>
    <row r="3005" spans="1:7" x14ac:dyDescent="0.2">
      <c r="A3005" s="75">
        <v>43083</v>
      </c>
      <c r="B3005" s="76" t="s">
        <v>35</v>
      </c>
      <c r="C3005" s="76" t="s">
        <v>536</v>
      </c>
      <c r="D3005" s="484">
        <v>5048.155573</v>
      </c>
      <c r="E3005" s="484">
        <v>5.0503999999999998</v>
      </c>
      <c r="F3005" s="484">
        <v>5.0861000000000001</v>
      </c>
      <c r="G3005" s="83">
        <f t="shared" si="45"/>
        <v>4.6852285714285724</v>
      </c>
    </row>
    <row r="3006" spans="1:7" x14ac:dyDescent="0.2">
      <c r="A3006" s="75">
        <v>43084</v>
      </c>
      <c r="B3006" s="76" t="s">
        <v>35</v>
      </c>
      <c r="C3006" s="76" t="s">
        <v>536</v>
      </c>
      <c r="D3006" s="484">
        <v>5055.9965949999996</v>
      </c>
      <c r="E3006" s="484">
        <v>5.0868000000000002</v>
      </c>
      <c r="F3006" s="484">
        <v>5.0610999999999997</v>
      </c>
      <c r="G3006" s="83">
        <f t="shared" si="45"/>
        <v>4.691933333333334</v>
      </c>
    </row>
    <row r="3007" spans="1:7" x14ac:dyDescent="0.2">
      <c r="A3007" s="75">
        <v>43087</v>
      </c>
      <c r="B3007" s="76" t="s">
        <v>35</v>
      </c>
      <c r="C3007" s="76" t="s">
        <v>536</v>
      </c>
      <c r="D3007" s="484">
        <v>5063.1682280000005</v>
      </c>
      <c r="E3007" s="484">
        <v>5.0617999999999999</v>
      </c>
      <c r="F3007" s="484">
        <v>5.0391000000000004</v>
      </c>
      <c r="G3007" s="83">
        <f t="shared" si="45"/>
        <v>4.6986476190476196</v>
      </c>
    </row>
    <row r="3008" spans="1:7" x14ac:dyDescent="0.2">
      <c r="A3008" s="75">
        <v>43088</v>
      </c>
      <c r="B3008" s="76" t="s">
        <v>35</v>
      </c>
      <c r="C3008" s="76" t="s">
        <v>536</v>
      </c>
      <c r="D3008" s="484">
        <v>5060.7575409999999</v>
      </c>
      <c r="E3008" s="484">
        <v>5.0397999999999996</v>
      </c>
      <c r="F3008" s="484">
        <v>5.0568999999999997</v>
      </c>
      <c r="G3008" s="83">
        <f t="shared" si="45"/>
        <v>4.7047476190476196</v>
      </c>
    </row>
    <row r="3009" spans="1:7" x14ac:dyDescent="0.2">
      <c r="A3009" s="75">
        <v>43089</v>
      </c>
      <c r="B3009" s="76" t="s">
        <v>35</v>
      </c>
      <c r="C3009" s="76" t="s">
        <v>536</v>
      </c>
      <c r="D3009" s="484">
        <v>5072.8075349999999</v>
      </c>
      <c r="E3009" s="484">
        <v>5.0575999999999999</v>
      </c>
      <c r="F3009" s="484">
        <v>5.0147000000000004</v>
      </c>
      <c r="G3009" s="83">
        <f t="shared" si="45"/>
        <v>4.7110698412698415</v>
      </c>
    </row>
    <row r="3010" spans="1:7" x14ac:dyDescent="0.2">
      <c r="A3010" s="75">
        <v>43090</v>
      </c>
      <c r="B3010" s="76" t="s">
        <v>35</v>
      </c>
      <c r="C3010" s="76" t="s">
        <v>536</v>
      </c>
      <c r="D3010" s="484">
        <v>5079.2230820000004</v>
      </c>
      <c r="E3010" s="484">
        <v>5.0155000000000003</v>
      </c>
      <c r="F3010" s="484">
        <v>4.9960000000000004</v>
      </c>
      <c r="G3010" s="83">
        <f t="shared" si="45"/>
        <v>4.7170174603174599</v>
      </c>
    </row>
    <row r="3011" spans="1:7" x14ac:dyDescent="0.2">
      <c r="A3011" s="75">
        <v>43091</v>
      </c>
      <c r="B3011" s="76" t="s">
        <v>35</v>
      </c>
      <c r="C3011" s="76" t="s">
        <v>536</v>
      </c>
      <c r="D3011" s="484">
        <v>5074.7298069999997</v>
      </c>
      <c r="E3011" s="484">
        <v>4.9966999999999997</v>
      </c>
      <c r="F3011" s="484">
        <v>5.0217999999999998</v>
      </c>
      <c r="G3011" s="83">
        <f t="shared" ref="G3011:G3074" si="46">+AVERAGE(E2949:E3011)</f>
        <v>4.7231365079365073</v>
      </c>
    </row>
    <row r="3012" spans="1:7" x14ac:dyDescent="0.2">
      <c r="A3012" s="75">
        <v>43095</v>
      </c>
      <c r="B3012" s="76" t="s">
        <v>35</v>
      </c>
      <c r="C3012" s="76" t="s">
        <v>536</v>
      </c>
      <c r="D3012" s="484">
        <v>5096.2590989999999</v>
      </c>
      <c r="E3012" s="484">
        <v>5.0225999999999997</v>
      </c>
      <c r="F3012" s="484">
        <v>4.9405999999999999</v>
      </c>
      <c r="G3012" s="83">
        <f t="shared" si="46"/>
        <v>4.730544444444444</v>
      </c>
    </row>
    <row r="3013" spans="1:7" x14ac:dyDescent="0.2">
      <c r="A3013" s="75">
        <v>43096</v>
      </c>
      <c r="B3013" s="76" t="s">
        <v>35</v>
      </c>
      <c r="C3013" s="76" t="s">
        <v>536</v>
      </c>
      <c r="D3013" s="484">
        <v>5103.0067330000002</v>
      </c>
      <c r="E3013" s="484">
        <v>4.9413</v>
      </c>
      <c r="F3013" s="484">
        <v>4.9203999999999999</v>
      </c>
      <c r="G3013" s="83">
        <f t="shared" si="46"/>
        <v>4.7369095238095236</v>
      </c>
    </row>
    <row r="3014" spans="1:7" x14ac:dyDescent="0.2">
      <c r="A3014" s="75">
        <v>43097</v>
      </c>
      <c r="B3014" s="76" t="s">
        <v>35</v>
      </c>
      <c r="C3014" s="76" t="s">
        <v>536</v>
      </c>
      <c r="D3014" s="484">
        <v>5113.9969579999997</v>
      </c>
      <c r="E3014" s="484">
        <v>4.9211999999999998</v>
      </c>
      <c r="F3014" s="484">
        <v>4.8829000000000002</v>
      </c>
      <c r="G3014" s="83">
        <f t="shared" si="46"/>
        <v>4.7428730158730152</v>
      </c>
    </row>
    <row r="3015" spans="1:7" x14ac:dyDescent="0.2">
      <c r="A3015" s="75">
        <v>43098</v>
      </c>
      <c r="B3015" s="76" t="s">
        <v>35</v>
      </c>
      <c r="C3015" s="76" t="s">
        <v>536</v>
      </c>
      <c r="D3015" s="484">
        <v>5115.8587189999998</v>
      </c>
      <c r="E3015" s="484">
        <v>4.8837000000000002</v>
      </c>
      <c r="F3015" s="484">
        <v>4.8829000000000002</v>
      </c>
      <c r="G3015" s="83">
        <f t="shared" si="46"/>
        <v>4.7494523809523805</v>
      </c>
    </row>
    <row r="3016" spans="1:7" x14ac:dyDescent="0.2">
      <c r="A3016" s="75">
        <v>43102</v>
      </c>
      <c r="B3016" s="76" t="s">
        <v>35</v>
      </c>
      <c r="C3016" s="76" t="s">
        <v>536</v>
      </c>
      <c r="D3016" s="484">
        <v>5137.9539599999998</v>
      </c>
      <c r="E3016" s="484">
        <v>4.8837000000000002</v>
      </c>
      <c r="F3016" s="484">
        <v>4.8000999999999996</v>
      </c>
      <c r="G3016" s="83">
        <f t="shared" si="46"/>
        <v>4.7557920634920627</v>
      </c>
    </row>
    <row r="3017" spans="1:7" x14ac:dyDescent="0.2">
      <c r="A3017" s="75">
        <v>43103</v>
      </c>
      <c r="B3017" s="76" t="s">
        <v>35</v>
      </c>
      <c r="C3017" s="76" t="s">
        <v>536</v>
      </c>
      <c r="D3017" s="484">
        <v>5153.8468830000002</v>
      </c>
      <c r="E3017" s="484">
        <v>4.8009000000000004</v>
      </c>
      <c r="F3017" s="484">
        <v>4.7428999999999997</v>
      </c>
      <c r="G3017" s="83">
        <f t="shared" si="46"/>
        <v>4.7606142857142846</v>
      </c>
    </row>
    <row r="3018" spans="1:7" x14ac:dyDescent="0.2">
      <c r="A3018" s="75">
        <v>43104</v>
      </c>
      <c r="B3018" s="76" t="s">
        <v>35</v>
      </c>
      <c r="C3018" s="76" t="s">
        <v>536</v>
      </c>
      <c r="D3018" s="484">
        <v>5165.4947279999997</v>
      </c>
      <c r="E3018" s="484">
        <v>4.7436999999999996</v>
      </c>
      <c r="F3018" s="484">
        <v>4.7031000000000001</v>
      </c>
      <c r="G3018" s="83">
        <f t="shared" si="46"/>
        <v>4.7646476190476195</v>
      </c>
    </row>
    <row r="3019" spans="1:7" x14ac:dyDescent="0.2">
      <c r="A3019" s="75">
        <v>43105</v>
      </c>
      <c r="B3019" s="76" t="s">
        <v>35</v>
      </c>
      <c r="C3019" s="76" t="s">
        <v>536</v>
      </c>
      <c r="D3019" s="484">
        <v>5165.9598470000001</v>
      </c>
      <c r="E3019" s="484">
        <v>4.7039</v>
      </c>
      <c r="F3019" s="484">
        <v>4.7087000000000003</v>
      </c>
      <c r="G3019" s="83">
        <f t="shared" si="46"/>
        <v>4.7683841269841265</v>
      </c>
    </row>
    <row r="3020" spans="1:7" x14ac:dyDescent="0.2">
      <c r="A3020" s="75">
        <v>43108</v>
      </c>
      <c r="B3020" s="76" t="s">
        <v>35</v>
      </c>
      <c r="C3020" s="76" t="s">
        <v>536</v>
      </c>
      <c r="D3020" s="484">
        <v>5172.3214479999997</v>
      </c>
      <c r="E3020" s="484">
        <v>4.7095000000000002</v>
      </c>
      <c r="F3020" s="484">
        <v>4.6904000000000003</v>
      </c>
      <c r="G3020" s="83">
        <f t="shared" si="46"/>
        <v>4.7716444444444441</v>
      </c>
    </row>
    <row r="3021" spans="1:7" x14ac:dyDescent="0.2">
      <c r="A3021" s="75">
        <v>43109</v>
      </c>
      <c r="B3021" s="76" t="s">
        <v>35</v>
      </c>
      <c r="C3021" s="76" t="s">
        <v>536</v>
      </c>
      <c r="D3021" s="484">
        <v>5175.9205840000004</v>
      </c>
      <c r="E3021" s="484">
        <v>4.6912000000000003</v>
      </c>
      <c r="F3021" s="484">
        <v>4.6833</v>
      </c>
      <c r="G3021" s="83">
        <f t="shared" si="46"/>
        <v>4.774742857142857</v>
      </c>
    </row>
    <row r="3022" spans="1:7" x14ac:dyDescent="0.2">
      <c r="A3022" s="75">
        <v>43110</v>
      </c>
      <c r="B3022" s="76" t="s">
        <v>35</v>
      </c>
      <c r="C3022" s="76" t="s">
        <v>536</v>
      </c>
      <c r="D3022" s="484">
        <v>5188.6402779999999</v>
      </c>
      <c r="E3022" s="484">
        <v>4.6840999999999999</v>
      </c>
      <c r="F3022" s="484">
        <v>4.6710000000000003</v>
      </c>
      <c r="G3022" s="83">
        <f t="shared" si="46"/>
        <v>4.7768333333333324</v>
      </c>
    </row>
    <row r="3023" spans="1:7" x14ac:dyDescent="0.2">
      <c r="A3023" s="75">
        <v>43111</v>
      </c>
      <c r="B3023" s="76" t="s">
        <v>35</v>
      </c>
      <c r="C3023" s="76" t="s">
        <v>536</v>
      </c>
      <c r="D3023" s="484">
        <v>5195.5146889999996</v>
      </c>
      <c r="E3023" s="484">
        <v>4.6718000000000002</v>
      </c>
      <c r="F3023" s="484">
        <v>4.6527000000000003</v>
      </c>
      <c r="G3023" s="83">
        <f t="shared" si="46"/>
        <v>4.7801269841269844</v>
      </c>
    </row>
    <row r="3024" spans="1:7" x14ac:dyDescent="0.2">
      <c r="A3024" s="75">
        <v>43112</v>
      </c>
      <c r="B3024" s="76" t="s">
        <v>35</v>
      </c>
      <c r="C3024" s="76" t="s">
        <v>536</v>
      </c>
      <c r="D3024" s="484">
        <v>5203.612752</v>
      </c>
      <c r="E3024" s="484">
        <v>4.6534000000000004</v>
      </c>
      <c r="F3024" s="484">
        <v>4.6294000000000004</v>
      </c>
      <c r="G3024" s="83">
        <f t="shared" si="46"/>
        <v>4.7826142857142857</v>
      </c>
    </row>
    <row r="3025" spans="1:7" x14ac:dyDescent="0.2">
      <c r="A3025" s="75">
        <v>43115</v>
      </c>
      <c r="B3025" s="76" t="s">
        <v>35</v>
      </c>
      <c r="C3025" s="76" t="s">
        <v>536</v>
      </c>
      <c r="D3025" s="484">
        <v>5209.9781149999999</v>
      </c>
      <c r="E3025" s="484">
        <v>4.6300999999999997</v>
      </c>
      <c r="F3025" s="484">
        <v>4.6131000000000002</v>
      </c>
      <c r="G3025" s="83">
        <f t="shared" si="46"/>
        <v>4.7854253968253975</v>
      </c>
    </row>
    <row r="3026" spans="1:7" x14ac:dyDescent="0.2">
      <c r="A3026" s="75">
        <v>43116</v>
      </c>
      <c r="B3026" s="76" t="s">
        <v>35</v>
      </c>
      <c r="C3026" s="76" t="s">
        <v>536</v>
      </c>
      <c r="D3026" s="484">
        <v>5210.0358290000004</v>
      </c>
      <c r="E3026" s="484">
        <v>4.6138000000000003</v>
      </c>
      <c r="F3026" s="484">
        <v>4.6208</v>
      </c>
      <c r="G3026" s="83">
        <f t="shared" si="46"/>
        <v>4.7877238095238104</v>
      </c>
    </row>
    <row r="3027" spans="1:7" x14ac:dyDescent="0.2">
      <c r="A3027" s="75">
        <v>43117</v>
      </c>
      <c r="B3027" s="76" t="s">
        <v>35</v>
      </c>
      <c r="C3027" s="76" t="s">
        <v>536</v>
      </c>
      <c r="D3027" s="484">
        <v>5209.8464169999997</v>
      </c>
      <c r="E3027" s="484">
        <v>4.6215000000000002</v>
      </c>
      <c r="F3027" s="484">
        <v>4.6295000000000002</v>
      </c>
      <c r="G3027" s="83">
        <f t="shared" si="46"/>
        <v>4.7902063492063514</v>
      </c>
    </row>
    <row r="3028" spans="1:7" x14ac:dyDescent="0.2">
      <c r="A3028" s="75">
        <v>43118</v>
      </c>
      <c r="B3028" s="76" t="s">
        <v>35</v>
      </c>
      <c r="C3028" s="76" t="s">
        <v>536</v>
      </c>
      <c r="D3028" s="484">
        <v>5207.8186180000002</v>
      </c>
      <c r="E3028" s="484">
        <v>4.6302000000000003</v>
      </c>
      <c r="F3028" s="484">
        <v>4.6456</v>
      </c>
      <c r="G3028" s="83">
        <f t="shared" si="46"/>
        <v>4.7924142857142877</v>
      </c>
    </row>
    <row r="3029" spans="1:7" x14ac:dyDescent="0.2">
      <c r="A3029" s="75">
        <v>43119</v>
      </c>
      <c r="B3029" s="76" t="s">
        <v>35</v>
      </c>
      <c r="C3029" s="76" t="s">
        <v>536</v>
      </c>
      <c r="D3029" s="484">
        <v>5210.9174560000001</v>
      </c>
      <c r="E3029" s="484">
        <v>4.6462000000000003</v>
      </c>
      <c r="F3029" s="484">
        <v>4.641</v>
      </c>
      <c r="G3029" s="83">
        <f t="shared" si="46"/>
        <v>4.7952634920634942</v>
      </c>
    </row>
    <row r="3030" spans="1:7" x14ac:dyDescent="0.2">
      <c r="A3030" s="75">
        <v>43122</v>
      </c>
      <c r="B3030" s="76" t="s">
        <v>35</v>
      </c>
      <c r="C3030" s="76" t="s">
        <v>536</v>
      </c>
      <c r="D3030" s="484">
        <v>5208.0217169999996</v>
      </c>
      <c r="E3030" s="484">
        <v>4.6417000000000002</v>
      </c>
      <c r="F3030" s="484">
        <v>4.6605999999999996</v>
      </c>
      <c r="G3030" s="83">
        <f t="shared" si="46"/>
        <v>4.7982603174603211</v>
      </c>
    </row>
    <row r="3031" spans="1:7" x14ac:dyDescent="0.2">
      <c r="A3031" s="75">
        <v>43123</v>
      </c>
      <c r="B3031" s="76" t="s">
        <v>35</v>
      </c>
      <c r="C3031" s="76" t="s">
        <v>536</v>
      </c>
      <c r="D3031" s="484">
        <v>5196.1734850000003</v>
      </c>
      <c r="E3031" s="484">
        <v>4.6612</v>
      </c>
      <c r="F3031" s="484">
        <v>4.7161999999999997</v>
      </c>
      <c r="G3031" s="83">
        <f t="shared" si="46"/>
        <v>4.8021301587301615</v>
      </c>
    </row>
    <row r="3032" spans="1:7" x14ac:dyDescent="0.2">
      <c r="A3032" s="75">
        <v>43124</v>
      </c>
      <c r="B3032" s="76" t="s">
        <v>35</v>
      </c>
      <c r="C3032" s="76" t="s">
        <v>536</v>
      </c>
      <c r="D3032" s="484">
        <v>5220.6854869999997</v>
      </c>
      <c r="E3032" s="484">
        <v>4.7168000000000001</v>
      </c>
      <c r="F3032" s="484">
        <v>4.6283000000000003</v>
      </c>
      <c r="G3032" s="83">
        <f t="shared" si="46"/>
        <v>4.8069714285714316</v>
      </c>
    </row>
    <row r="3033" spans="1:7" x14ac:dyDescent="0.2">
      <c r="A3033" s="75">
        <v>43125</v>
      </c>
      <c r="B3033" s="76" t="s">
        <v>35</v>
      </c>
      <c r="C3033" s="76" t="s">
        <v>536</v>
      </c>
      <c r="D3033" s="484">
        <v>5222.5909419999998</v>
      </c>
      <c r="E3033" s="484">
        <v>4.6288999999999998</v>
      </c>
      <c r="F3033" s="484">
        <v>4.6288999999999998</v>
      </c>
      <c r="G3033" s="83">
        <f t="shared" si="46"/>
        <v>4.8099777777777799</v>
      </c>
    </row>
    <row r="3034" spans="1:7" x14ac:dyDescent="0.2">
      <c r="A3034" s="75">
        <v>43126</v>
      </c>
      <c r="B3034" s="76" t="s">
        <v>35</v>
      </c>
      <c r="C3034" s="76" t="s">
        <v>536</v>
      </c>
      <c r="D3034" s="484">
        <v>5246.1548849999999</v>
      </c>
      <c r="E3034" s="484">
        <v>4.6295000000000002</v>
      </c>
      <c r="F3034" s="484">
        <v>4.5429000000000004</v>
      </c>
      <c r="G3034" s="83">
        <f t="shared" si="46"/>
        <v>4.8122412698412722</v>
      </c>
    </row>
    <row r="3035" spans="1:7" x14ac:dyDescent="0.2">
      <c r="A3035" s="75">
        <v>43129</v>
      </c>
      <c r="B3035" s="76" t="s">
        <v>35</v>
      </c>
      <c r="C3035" s="76" t="s">
        <v>536</v>
      </c>
      <c r="D3035" s="484">
        <v>5242.1878360000001</v>
      </c>
      <c r="E3035" s="484">
        <v>4.5434000000000001</v>
      </c>
      <c r="F3035" s="484">
        <v>4.5667999999999997</v>
      </c>
      <c r="G3035" s="83">
        <f t="shared" si="46"/>
        <v>4.812985714285718</v>
      </c>
    </row>
    <row r="3036" spans="1:7" x14ac:dyDescent="0.2">
      <c r="A3036" s="75">
        <v>43130</v>
      </c>
      <c r="B3036" s="76" t="s">
        <v>35</v>
      </c>
      <c r="C3036" s="76" t="s">
        <v>536</v>
      </c>
      <c r="D3036" s="484">
        <v>5247.623106</v>
      </c>
      <c r="E3036" s="484">
        <v>4.5673000000000004</v>
      </c>
      <c r="F3036" s="484">
        <v>4.5532000000000004</v>
      </c>
      <c r="G3036" s="83">
        <f t="shared" si="46"/>
        <v>4.8120873015873045</v>
      </c>
    </row>
    <row r="3037" spans="1:7" x14ac:dyDescent="0.2">
      <c r="A3037" s="75">
        <v>43131</v>
      </c>
      <c r="B3037" s="76" t="s">
        <v>35</v>
      </c>
      <c r="C3037" s="76" t="s">
        <v>536</v>
      </c>
      <c r="D3037" s="484">
        <v>5248.6706450000001</v>
      </c>
      <c r="E3037" s="484">
        <v>4.5537999999999998</v>
      </c>
      <c r="F3037" s="484">
        <v>4.5571999999999999</v>
      </c>
      <c r="G3037" s="83">
        <f t="shared" si="46"/>
        <v>4.8110492063492076</v>
      </c>
    </row>
    <row r="3038" spans="1:7" x14ac:dyDescent="0.2">
      <c r="A3038" s="75">
        <v>43132</v>
      </c>
      <c r="B3038" s="76" t="s">
        <v>35</v>
      </c>
      <c r="C3038" s="76" t="s">
        <v>536</v>
      </c>
      <c r="D3038" s="484">
        <v>5256.622668</v>
      </c>
      <c r="E3038" s="484">
        <v>4.5578000000000003</v>
      </c>
      <c r="F3038" s="484">
        <v>4.5336999999999996</v>
      </c>
      <c r="G3038" s="83">
        <f t="shared" si="46"/>
        <v>4.8093349206349219</v>
      </c>
    </row>
    <row r="3039" spans="1:7" x14ac:dyDescent="0.2">
      <c r="A3039" s="75">
        <v>43133</v>
      </c>
      <c r="B3039" s="76" t="s">
        <v>35</v>
      </c>
      <c r="C3039" s="76" t="s">
        <v>536</v>
      </c>
      <c r="D3039" s="484">
        <v>5243.7695299999996</v>
      </c>
      <c r="E3039" s="484">
        <v>4.5343</v>
      </c>
      <c r="F3039" s="484">
        <v>4.5930999999999997</v>
      </c>
      <c r="G3039" s="83">
        <f t="shared" si="46"/>
        <v>4.8070603174603184</v>
      </c>
    </row>
    <row r="3040" spans="1:7" x14ac:dyDescent="0.2">
      <c r="A3040" s="75">
        <v>43136</v>
      </c>
      <c r="B3040" s="76" t="s">
        <v>35</v>
      </c>
      <c r="C3040" s="76" t="s">
        <v>536</v>
      </c>
      <c r="D3040" s="484">
        <v>5234.1655780000001</v>
      </c>
      <c r="E3040" s="484">
        <v>4.5937000000000001</v>
      </c>
      <c r="F3040" s="484">
        <v>4.6397000000000004</v>
      </c>
      <c r="G3040" s="83">
        <f t="shared" si="46"/>
        <v>4.8042761904761901</v>
      </c>
    </row>
    <row r="3041" spans="1:7" x14ac:dyDescent="0.2">
      <c r="A3041" s="75">
        <v>43137</v>
      </c>
      <c r="B3041" s="76" t="s">
        <v>35</v>
      </c>
      <c r="C3041" s="76" t="s">
        <v>536</v>
      </c>
      <c r="D3041" s="484">
        <v>5238.3537679999999</v>
      </c>
      <c r="E3041" s="484">
        <v>4.6402999999999999</v>
      </c>
      <c r="F3041" s="484">
        <v>4.6311999999999998</v>
      </c>
      <c r="G3041" s="83">
        <f t="shared" si="46"/>
        <v>4.8007952380952394</v>
      </c>
    </row>
    <row r="3042" spans="1:7" x14ac:dyDescent="0.2">
      <c r="A3042" s="75">
        <v>43138</v>
      </c>
      <c r="B3042" s="76" t="s">
        <v>35</v>
      </c>
      <c r="C3042" s="76" t="s">
        <v>536</v>
      </c>
      <c r="D3042" s="484">
        <v>5238.7651880000003</v>
      </c>
      <c r="E3042" s="484">
        <v>4.6317000000000004</v>
      </c>
      <c r="F3042" s="484">
        <v>4.6376999999999997</v>
      </c>
      <c r="G3042" s="83">
        <f t="shared" si="46"/>
        <v>4.7979730158730165</v>
      </c>
    </row>
    <row r="3043" spans="1:7" x14ac:dyDescent="0.2">
      <c r="A3043" s="75">
        <v>43139</v>
      </c>
      <c r="B3043" s="76" t="s">
        <v>35</v>
      </c>
      <c r="C3043" s="76" t="s">
        <v>536</v>
      </c>
      <c r="D3043" s="484">
        <v>5224.7211370000005</v>
      </c>
      <c r="E3043" s="484">
        <v>4.6383000000000001</v>
      </c>
      <c r="F3043" s="484">
        <v>4.6843000000000004</v>
      </c>
      <c r="G3043" s="83">
        <f t="shared" si="46"/>
        <v>4.7947206349206368</v>
      </c>
    </row>
    <row r="3044" spans="1:7" x14ac:dyDescent="0.2">
      <c r="A3044" s="75">
        <v>43140</v>
      </c>
      <c r="B3044" s="76" t="s">
        <v>35</v>
      </c>
      <c r="C3044" s="76" t="s">
        <v>536</v>
      </c>
      <c r="D3044" s="484">
        <v>5211.0535819999996</v>
      </c>
      <c r="E3044" s="484">
        <v>4.6848000000000001</v>
      </c>
      <c r="F3044" s="484">
        <v>4.7464000000000004</v>
      </c>
      <c r="G3044" s="83">
        <f t="shared" si="46"/>
        <v>4.7924460317460325</v>
      </c>
    </row>
    <row r="3045" spans="1:7" x14ac:dyDescent="0.2">
      <c r="A3045" s="75">
        <v>43145</v>
      </c>
      <c r="B3045" s="76" t="s">
        <v>35</v>
      </c>
      <c r="C3045" s="76" t="s">
        <v>536</v>
      </c>
      <c r="D3045" s="484">
        <v>5222.9871190000003</v>
      </c>
      <c r="E3045" s="484">
        <v>4.7469999999999999</v>
      </c>
      <c r="F3045" s="484">
        <v>4.7058</v>
      </c>
      <c r="G3045" s="83">
        <f t="shared" si="46"/>
        <v>4.7910793650793666</v>
      </c>
    </row>
    <row r="3046" spans="1:7" x14ac:dyDescent="0.2">
      <c r="A3046" s="75">
        <v>43146</v>
      </c>
      <c r="B3046" s="76" t="s">
        <v>35</v>
      </c>
      <c r="C3046" s="76" t="s">
        <v>536</v>
      </c>
      <c r="D3046" s="484">
        <v>5236.8184389999997</v>
      </c>
      <c r="E3046" s="484">
        <v>4.7064000000000004</v>
      </c>
      <c r="F3046" s="484">
        <v>4.6577000000000002</v>
      </c>
      <c r="G3046" s="83">
        <f t="shared" si="46"/>
        <v>4.7878460317460325</v>
      </c>
    </row>
    <row r="3047" spans="1:7" x14ac:dyDescent="0.2">
      <c r="A3047" s="75">
        <v>43147</v>
      </c>
      <c r="B3047" s="76" t="s">
        <v>35</v>
      </c>
      <c r="C3047" s="76" t="s">
        <v>536</v>
      </c>
      <c r="D3047" s="484">
        <v>5250.8558389999998</v>
      </c>
      <c r="E3047" s="484">
        <v>4.6581999999999999</v>
      </c>
      <c r="F3047" s="484">
        <v>4.6101000000000001</v>
      </c>
      <c r="G3047" s="83">
        <f t="shared" si="46"/>
        <v>4.7842095238095252</v>
      </c>
    </row>
    <row r="3048" spans="1:7" x14ac:dyDescent="0.2">
      <c r="A3048" s="75">
        <v>43150</v>
      </c>
      <c r="B3048" s="76" t="s">
        <v>35</v>
      </c>
      <c r="C3048" s="76" t="s">
        <v>536</v>
      </c>
      <c r="D3048" s="484">
        <v>5247.7287999999999</v>
      </c>
      <c r="E3048" s="484">
        <v>4.6105999999999998</v>
      </c>
      <c r="F3048" s="484">
        <v>4.6310000000000002</v>
      </c>
      <c r="G3048" s="83">
        <f t="shared" si="46"/>
        <v>4.778603174603175</v>
      </c>
    </row>
    <row r="3049" spans="1:7" x14ac:dyDescent="0.2">
      <c r="A3049" s="75">
        <v>43151</v>
      </c>
      <c r="B3049" s="76" t="s">
        <v>35</v>
      </c>
      <c r="C3049" s="76" t="s">
        <v>536</v>
      </c>
      <c r="D3049" s="484">
        <v>5245.2347829999999</v>
      </c>
      <c r="E3049" s="484">
        <v>4.6315</v>
      </c>
      <c r="F3049" s="484">
        <v>4.6494</v>
      </c>
      <c r="G3049" s="83">
        <f t="shared" si="46"/>
        <v>4.774460317460318</v>
      </c>
    </row>
    <row r="3050" spans="1:7" x14ac:dyDescent="0.2">
      <c r="A3050" s="75">
        <v>43152</v>
      </c>
      <c r="B3050" s="76" t="s">
        <v>35</v>
      </c>
      <c r="C3050" s="76" t="s">
        <v>536</v>
      </c>
      <c r="D3050" s="484">
        <v>5252.4919229999996</v>
      </c>
      <c r="E3050" s="484">
        <v>4.6500000000000004</v>
      </c>
      <c r="F3050" s="484">
        <v>4.6289999999999996</v>
      </c>
      <c r="G3050" s="83">
        <f t="shared" si="46"/>
        <v>4.7722539682539686</v>
      </c>
    </row>
    <row r="3051" spans="1:7" x14ac:dyDescent="0.2">
      <c r="A3051" s="75">
        <v>43153</v>
      </c>
      <c r="B3051" s="76" t="s">
        <v>35</v>
      </c>
      <c r="C3051" s="76" t="s">
        <v>536</v>
      </c>
      <c r="D3051" s="484">
        <v>5252.1512409999996</v>
      </c>
      <c r="E3051" s="484">
        <v>4.6295999999999999</v>
      </c>
      <c r="F3051" s="484">
        <v>4.6388999999999996</v>
      </c>
      <c r="G3051" s="83">
        <f t="shared" si="46"/>
        <v>4.7696952380952373</v>
      </c>
    </row>
    <row r="3052" spans="1:7" x14ac:dyDescent="0.2">
      <c r="A3052" s="75">
        <v>43154</v>
      </c>
      <c r="B3052" s="76" t="s">
        <v>35</v>
      </c>
      <c r="C3052" s="76" t="s">
        <v>536</v>
      </c>
      <c r="D3052" s="484">
        <v>5259.6424379999999</v>
      </c>
      <c r="E3052" s="484">
        <v>4.6395</v>
      </c>
      <c r="F3052" s="484">
        <v>4.6176000000000004</v>
      </c>
      <c r="G3052" s="83">
        <f t="shared" si="46"/>
        <v>4.7680603174603169</v>
      </c>
    </row>
    <row r="3053" spans="1:7" x14ac:dyDescent="0.2">
      <c r="A3053" s="75">
        <v>43157</v>
      </c>
      <c r="B3053" s="76" t="s">
        <v>35</v>
      </c>
      <c r="C3053" s="76" t="s">
        <v>536</v>
      </c>
      <c r="D3053" s="484">
        <v>5270.5112310000004</v>
      </c>
      <c r="E3053" s="484">
        <v>4.6181999999999999</v>
      </c>
      <c r="F3053" s="484">
        <v>4.5777999999999999</v>
      </c>
      <c r="G3053" s="83">
        <f t="shared" si="46"/>
        <v>4.7658761904761899</v>
      </c>
    </row>
    <row r="3054" spans="1:7" x14ac:dyDescent="0.2">
      <c r="A3054" s="75">
        <v>43158</v>
      </c>
      <c r="B3054" s="76" t="s">
        <v>35</v>
      </c>
      <c r="C3054" s="76" t="s">
        <v>536</v>
      </c>
      <c r="D3054" s="484">
        <v>5269.068021</v>
      </c>
      <c r="E3054" s="484">
        <v>4.5782999999999996</v>
      </c>
      <c r="F3054" s="484">
        <v>4.5911999999999997</v>
      </c>
      <c r="G3054" s="83">
        <f t="shared" si="46"/>
        <v>4.7632682539682536</v>
      </c>
    </row>
    <row r="3055" spans="1:7" x14ac:dyDescent="0.2">
      <c r="A3055" s="75">
        <v>43159</v>
      </c>
      <c r="B3055" s="76" t="s">
        <v>35</v>
      </c>
      <c r="C3055" s="76" t="s">
        <v>536</v>
      </c>
      <c r="D3055" s="484">
        <v>5275.1320409999998</v>
      </c>
      <c r="E3055" s="484">
        <v>4.5918000000000001</v>
      </c>
      <c r="F3055" s="484">
        <v>4.5749000000000004</v>
      </c>
      <c r="G3055" s="83">
        <f t="shared" si="46"/>
        <v>4.7604269841269833</v>
      </c>
    </row>
    <row r="3056" spans="1:7" x14ac:dyDescent="0.2">
      <c r="A3056" s="75">
        <v>43160</v>
      </c>
      <c r="B3056" s="76" t="s">
        <v>35</v>
      </c>
      <c r="C3056" s="76" t="s">
        <v>536</v>
      </c>
      <c r="D3056" s="484">
        <v>5275.0726780000005</v>
      </c>
      <c r="E3056" s="484">
        <v>4.5754999999999999</v>
      </c>
      <c r="F3056" s="484">
        <v>4.5829000000000004</v>
      </c>
      <c r="G3056" s="83">
        <f t="shared" si="46"/>
        <v>4.7570603174603168</v>
      </c>
    </row>
    <row r="3057" spans="1:7" x14ac:dyDescent="0.2">
      <c r="A3057" s="75">
        <v>43161</v>
      </c>
      <c r="B3057" s="76" t="s">
        <v>35</v>
      </c>
      <c r="C3057" s="76" t="s">
        <v>536</v>
      </c>
      <c r="D3057" s="484">
        <v>5282.9341539999996</v>
      </c>
      <c r="E3057" s="484">
        <v>4.5834999999999999</v>
      </c>
      <c r="F3057" s="484">
        <v>4.5594999999999999</v>
      </c>
      <c r="G3057" s="83">
        <f t="shared" si="46"/>
        <v>4.7538523809523801</v>
      </c>
    </row>
    <row r="3058" spans="1:7" x14ac:dyDescent="0.2">
      <c r="A3058" s="75">
        <v>43164</v>
      </c>
      <c r="B3058" s="76" t="s">
        <v>35</v>
      </c>
      <c r="C3058" s="76" t="s">
        <v>536</v>
      </c>
      <c r="D3058" s="484">
        <v>5291.0315870000004</v>
      </c>
      <c r="E3058" s="484">
        <v>4.5601000000000003</v>
      </c>
      <c r="F3058" s="484">
        <v>4.5351999999999997</v>
      </c>
      <c r="G3058" s="83">
        <f t="shared" si="46"/>
        <v>4.7488730158730146</v>
      </c>
    </row>
    <row r="3059" spans="1:7" x14ac:dyDescent="0.2">
      <c r="A3059" s="75">
        <v>43165</v>
      </c>
      <c r="B3059" s="76" t="s">
        <v>35</v>
      </c>
      <c r="C3059" s="76" t="s">
        <v>536</v>
      </c>
      <c r="D3059" s="484">
        <v>5294.9349060000004</v>
      </c>
      <c r="E3059" s="484">
        <v>4.5358000000000001</v>
      </c>
      <c r="F3059" s="484">
        <v>4.5274999999999999</v>
      </c>
      <c r="G3059" s="83">
        <f t="shared" si="46"/>
        <v>4.7427650793650784</v>
      </c>
    </row>
    <row r="3060" spans="1:7" x14ac:dyDescent="0.2">
      <c r="A3060" s="75">
        <v>43166</v>
      </c>
      <c r="B3060" s="76" t="s">
        <v>35</v>
      </c>
      <c r="C3060" s="76" t="s">
        <v>536</v>
      </c>
      <c r="D3060" s="484">
        <v>5296.8139229999997</v>
      </c>
      <c r="E3060" s="484">
        <v>4.5282</v>
      </c>
      <c r="F3060" s="484">
        <v>4.5278999999999998</v>
      </c>
      <c r="G3060" s="83">
        <f t="shared" si="46"/>
        <v>4.7367253968253973</v>
      </c>
    </row>
    <row r="3061" spans="1:7" x14ac:dyDescent="0.2">
      <c r="A3061" s="75">
        <v>43167</v>
      </c>
      <c r="B3061" s="76" t="s">
        <v>35</v>
      </c>
      <c r="C3061" s="76" t="s">
        <v>536</v>
      </c>
      <c r="D3061" s="484">
        <v>5298.1618829999998</v>
      </c>
      <c r="E3061" s="484">
        <v>4.5286</v>
      </c>
      <c r="F3061" s="484">
        <v>4.5304000000000002</v>
      </c>
      <c r="G3061" s="83">
        <f t="shared" si="46"/>
        <v>4.7310349206349205</v>
      </c>
    </row>
    <row r="3062" spans="1:7" x14ac:dyDescent="0.2">
      <c r="A3062" s="75">
        <v>43168</v>
      </c>
      <c r="B3062" s="76" t="s">
        <v>35</v>
      </c>
      <c r="C3062" s="76" t="s">
        <v>536</v>
      </c>
      <c r="D3062" s="484">
        <v>5301.5722480000004</v>
      </c>
      <c r="E3062" s="484">
        <v>4.5309999999999997</v>
      </c>
      <c r="F3062" s="484">
        <v>4.5229999999999997</v>
      </c>
      <c r="G3062" s="83">
        <f t="shared" si="46"/>
        <v>4.7257396825396834</v>
      </c>
    </row>
    <row r="3063" spans="1:7" x14ac:dyDescent="0.2">
      <c r="A3063" s="75">
        <v>43171</v>
      </c>
      <c r="B3063" s="76" t="s">
        <v>35</v>
      </c>
      <c r="C3063" s="76" t="s">
        <v>536</v>
      </c>
      <c r="D3063" s="484">
        <v>5303.6291600000004</v>
      </c>
      <c r="E3063" s="484">
        <v>4.5236000000000001</v>
      </c>
      <c r="F3063" s="484">
        <v>4.5225</v>
      </c>
      <c r="G3063" s="83">
        <f t="shared" si="46"/>
        <v>4.7199428571428577</v>
      </c>
    </row>
    <row r="3064" spans="1:7" x14ac:dyDescent="0.2">
      <c r="A3064" s="75">
        <v>43172</v>
      </c>
      <c r="B3064" s="76" t="s">
        <v>35</v>
      </c>
      <c r="C3064" s="76" t="s">
        <v>536</v>
      </c>
      <c r="D3064" s="484">
        <v>5314.9276749999999</v>
      </c>
      <c r="E3064" s="484">
        <v>4.5232000000000001</v>
      </c>
      <c r="F3064" s="484">
        <v>4.4856999999999996</v>
      </c>
      <c r="G3064" s="83">
        <f t="shared" si="46"/>
        <v>4.7130365079365077</v>
      </c>
    </row>
    <row r="3065" spans="1:7" x14ac:dyDescent="0.2">
      <c r="A3065" s="75">
        <v>43173</v>
      </c>
      <c r="B3065" s="76" t="s">
        <v>35</v>
      </c>
      <c r="C3065" s="76" t="s">
        <v>536</v>
      </c>
      <c r="D3065" s="484">
        <v>5320.2123009999996</v>
      </c>
      <c r="E3065" s="484">
        <v>4.4863</v>
      </c>
      <c r="F3065" s="484">
        <v>4.4725000000000001</v>
      </c>
      <c r="G3065" s="83">
        <f t="shared" si="46"/>
        <v>4.7056761904761899</v>
      </c>
    </row>
    <row r="3066" spans="1:7" x14ac:dyDescent="0.2">
      <c r="A3066" s="75">
        <v>43174</v>
      </c>
      <c r="B3066" s="76" t="s">
        <v>35</v>
      </c>
      <c r="C3066" s="76" t="s">
        <v>536</v>
      </c>
      <c r="D3066" s="484">
        <v>5318.5519629999999</v>
      </c>
      <c r="E3066" s="484">
        <v>4.4732000000000003</v>
      </c>
      <c r="F3066" s="484">
        <v>4.4866999999999999</v>
      </c>
      <c r="G3066" s="83">
        <f t="shared" si="46"/>
        <v>4.6979079365079368</v>
      </c>
    </row>
    <row r="3067" spans="1:7" x14ac:dyDescent="0.2">
      <c r="A3067" s="75">
        <v>43175</v>
      </c>
      <c r="B3067" s="76" t="s">
        <v>35</v>
      </c>
      <c r="C3067" s="76" t="s">
        <v>536</v>
      </c>
      <c r="D3067" s="484">
        <v>5325.0759250000001</v>
      </c>
      <c r="E3067" s="484">
        <v>4.4874000000000001</v>
      </c>
      <c r="F3067" s="484">
        <v>4.4668000000000001</v>
      </c>
      <c r="G3067" s="83">
        <f t="shared" si="46"/>
        <v>4.6886095238095233</v>
      </c>
    </row>
    <row r="3068" spans="1:7" x14ac:dyDescent="0.2">
      <c r="A3068" s="75">
        <v>43178</v>
      </c>
      <c r="B3068" s="76" t="s">
        <v>35</v>
      </c>
      <c r="C3068" s="76" t="s">
        <v>536</v>
      </c>
      <c r="D3068" s="484">
        <v>5318.5920329999999</v>
      </c>
      <c r="E3068" s="484">
        <v>4.4675000000000002</v>
      </c>
      <c r="F3068" s="484">
        <v>4.4980000000000002</v>
      </c>
      <c r="G3068" s="83">
        <f t="shared" si="46"/>
        <v>4.6793571428571425</v>
      </c>
    </row>
    <row r="3069" spans="1:7" x14ac:dyDescent="0.2">
      <c r="A3069" s="75">
        <v>43179</v>
      </c>
      <c r="B3069" s="76" t="s">
        <v>35</v>
      </c>
      <c r="C3069" s="76" t="s">
        <v>536</v>
      </c>
      <c r="D3069" s="484">
        <v>5305.7310859999998</v>
      </c>
      <c r="E3069" s="484">
        <v>4.4987000000000004</v>
      </c>
      <c r="F3069" s="484">
        <v>4.5544000000000002</v>
      </c>
      <c r="G3069" s="83">
        <f t="shared" si="46"/>
        <v>4.6700222222222205</v>
      </c>
    </row>
    <row r="3070" spans="1:7" x14ac:dyDescent="0.2">
      <c r="A3070" s="75">
        <v>43180</v>
      </c>
      <c r="B3070" s="76" t="s">
        <v>35</v>
      </c>
      <c r="C3070" s="76" t="s">
        <v>536</v>
      </c>
      <c r="D3070" s="484">
        <v>5314.1795670000001</v>
      </c>
      <c r="E3070" s="484">
        <v>4.5551000000000004</v>
      </c>
      <c r="F3070" s="484">
        <v>4.5269000000000004</v>
      </c>
      <c r="G3070" s="83">
        <f t="shared" si="46"/>
        <v>4.6619793650793646</v>
      </c>
    </row>
    <row r="3071" spans="1:7" x14ac:dyDescent="0.2">
      <c r="A3071" s="75">
        <v>43181</v>
      </c>
      <c r="B3071" s="76" t="s">
        <v>35</v>
      </c>
      <c r="C3071" s="76" t="s">
        <v>536</v>
      </c>
      <c r="D3071" s="484">
        <v>5360.6139929999999</v>
      </c>
      <c r="E3071" s="484">
        <v>4.5274999999999999</v>
      </c>
      <c r="F3071" s="484">
        <v>4.3506999999999998</v>
      </c>
      <c r="G3071" s="83">
        <f t="shared" si="46"/>
        <v>4.6538476190476175</v>
      </c>
    </row>
    <row r="3072" spans="1:7" x14ac:dyDescent="0.2">
      <c r="A3072" s="75">
        <v>43182</v>
      </c>
      <c r="B3072" s="76" t="s">
        <v>35</v>
      </c>
      <c r="C3072" s="76" t="s">
        <v>536</v>
      </c>
      <c r="D3072" s="484">
        <v>5369.1995939999997</v>
      </c>
      <c r="E3072" s="484">
        <v>4.3514999999999997</v>
      </c>
      <c r="F3072" s="484">
        <v>4.3230000000000004</v>
      </c>
      <c r="G3072" s="83">
        <f t="shared" si="46"/>
        <v>4.6426396825396816</v>
      </c>
    </row>
    <row r="3073" spans="1:7" x14ac:dyDescent="0.2">
      <c r="A3073" s="75">
        <v>43185</v>
      </c>
      <c r="B3073" s="76" t="s">
        <v>35</v>
      </c>
      <c r="C3073" s="76" t="s">
        <v>536</v>
      </c>
      <c r="D3073" s="484">
        <v>5386.7704450000001</v>
      </c>
      <c r="E3073" s="484">
        <v>4.3238000000000003</v>
      </c>
      <c r="F3073" s="484">
        <v>4.2598000000000003</v>
      </c>
      <c r="G3073" s="83">
        <f t="shared" si="46"/>
        <v>4.6316603174603168</v>
      </c>
    </row>
    <row r="3074" spans="1:7" x14ac:dyDescent="0.2">
      <c r="A3074" s="75">
        <v>43186</v>
      </c>
      <c r="B3074" s="76" t="s">
        <v>35</v>
      </c>
      <c r="C3074" s="76" t="s">
        <v>536</v>
      </c>
      <c r="D3074" s="484">
        <v>5384.1504210000003</v>
      </c>
      <c r="E3074" s="484">
        <v>4.2606999999999999</v>
      </c>
      <c r="F3074" s="484">
        <v>4.2755999999999998</v>
      </c>
      <c r="G3074" s="83">
        <f t="shared" si="46"/>
        <v>4.619977777777776</v>
      </c>
    </row>
    <row r="3075" spans="1:7" x14ac:dyDescent="0.2">
      <c r="A3075" s="75">
        <v>43187</v>
      </c>
      <c r="B3075" s="76" t="s">
        <v>35</v>
      </c>
      <c r="C3075" s="76" t="s">
        <v>536</v>
      </c>
      <c r="D3075" s="484">
        <v>5377.2322949999998</v>
      </c>
      <c r="E3075" s="484">
        <v>4.2765000000000004</v>
      </c>
      <c r="F3075" s="484">
        <v>4.3080999999999996</v>
      </c>
      <c r="G3075" s="83">
        <f t="shared" ref="G3075:G3138" si="47">+AVERAGE(E3013:E3075)</f>
        <v>4.6081349206349191</v>
      </c>
    </row>
    <row r="3076" spans="1:7" x14ac:dyDescent="0.2">
      <c r="A3076" s="75">
        <v>43188</v>
      </c>
      <c r="B3076" s="76" t="s">
        <v>35</v>
      </c>
      <c r="C3076" s="76" t="s">
        <v>536</v>
      </c>
      <c r="D3076" s="484">
        <v>5389.7369859999999</v>
      </c>
      <c r="E3076" s="484">
        <v>4.3090000000000002</v>
      </c>
      <c r="F3076" s="484">
        <v>4.2652999999999999</v>
      </c>
      <c r="G3076" s="83">
        <f t="shared" si="47"/>
        <v>4.5980984126984117</v>
      </c>
    </row>
    <row r="3077" spans="1:7" x14ac:dyDescent="0.2">
      <c r="A3077" s="75">
        <v>43192</v>
      </c>
      <c r="B3077" s="76" t="s">
        <v>35</v>
      </c>
      <c r="C3077" s="76" t="s">
        <v>536</v>
      </c>
      <c r="D3077" s="484">
        <v>5377.5518089999996</v>
      </c>
      <c r="E3077" s="484">
        <v>4.2662000000000004</v>
      </c>
      <c r="F3077" s="484">
        <v>4.3182</v>
      </c>
      <c r="G3077" s="83">
        <f t="shared" si="47"/>
        <v>4.5877015873015869</v>
      </c>
    </row>
    <row r="3078" spans="1:7" x14ac:dyDescent="0.2">
      <c r="A3078" s="75">
        <v>43193</v>
      </c>
      <c r="B3078" s="76" t="s">
        <v>35</v>
      </c>
      <c r="C3078" s="76" t="s">
        <v>536</v>
      </c>
      <c r="D3078" s="484">
        <v>5366.6447470000003</v>
      </c>
      <c r="E3078" s="484">
        <v>4.3192000000000004</v>
      </c>
      <c r="F3078" s="484">
        <v>4.3663999999999996</v>
      </c>
      <c r="G3078" s="83">
        <f t="shared" si="47"/>
        <v>4.5787412698412711</v>
      </c>
    </row>
    <row r="3079" spans="1:7" x14ac:dyDescent="0.2">
      <c r="A3079" s="75">
        <v>43194</v>
      </c>
      <c r="B3079" s="76" t="s">
        <v>35</v>
      </c>
      <c r="C3079" s="76" t="s">
        <v>536</v>
      </c>
      <c r="D3079" s="484">
        <v>5358.5693279999996</v>
      </c>
      <c r="E3079" s="484">
        <v>4.3673000000000002</v>
      </c>
      <c r="F3079" s="484">
        <v>4.4036</v>
      </c>
      <c r="G3079" s="83">
        <f t="shared" si="47"/>
        <v>4.5705444444444465</v>
      </c>
    </row>
    <row r="3080" spans="1:7" x14ac:dyDescent="0.2">
      <c r="A3080" s="75">
        <v>43195</v>
      </c>
      <c r="B3080" s="76" t="s">
        <v>35</v>
      </c>
      <c r="C3080" s="76" t="s">
        <v>536</v>
      </c>
      <c r="D3080" s="484">
        <v>5370.6798859999999</v>
      </c>
      <c r="E3080" s="484">
        <v>4.4046000000000003</v>
      </c>
      <c r="F3080" s="484">
        <v>4.3623000000000003</v>
      </c>
      <c r="G3080" s="83">
        <f t="shared" si="47"/>
        <v>4.5642539682539702</v>
      </c>
    </row>
    <row r="3081" spans="1:7" x14ac:dyDescent="0.2">
      <c r="A3081" s="75">
        <v>43196</v>
      </c>
      <c r="B3081" s="76" t="s">
        <v>35</v>
      </c>
      <c r="C3081" s="76" t="s">
        <v>536</v>
      </c>
      <c r="D3081" s="484">
        <v>5362.520235</v>
      </c>
      <c r="E3081" s="484">
        <v>4.3632999999999997</v>
      </c>
      <c r="F3081" s="484">
        <v>4.3998999999999997</v>
      </c>
      <c r="G3081" s="83">
        <f t="shared" si="47"/>
        <v>4.5582158730158744</v>
      </c>
    </row>
    <row r="3082" spans="1:7" x14ac:dyDescent="0.2">
      <c r="A3082" s="75">
        <v>43199</v>
      </c>
      <c r="B3082" s="76" t="s">
        <v>35</v>
      </c>
      <c r="C3082" s="76" t="s">
        <v>536</v>
      </c>
      <c r="D3082" s="484">
        <v>5366.3618260000003</v>
      </c>
      <c r="E3082" s="484">
        <v>4.4009</v>
      </c>
      <c r="F3082" s="484">
        <v>4.3907999999999996</v>
      </c>
      <c r="G3082" s="83">
        <f t="shared" si="47"/>
        <v>4.5534063492063508</v>
      </c>
    </row>
    <row r="3083" spans="1:7" x14ac:dyDescent="0.2">
      <c r="A3083" s="75">
        <v>43200</v>
      </c>
      <c r="B3083" s="76" t="s">
        <v>35</v>
      </c>
      <c r="C3083" s="76" t="s">
        <v>536</v>
      </c>
      <c r="D3083" s="484">
        <v>5367.6953949999997</v>
      </c>
      <c r="E3083" s="484">
        <v>4.3917999999999999</v>
      </c>
      <c r="F3083" s="484">
        <v>4.3846999999999996</v>
      </c>
      <c r="G3083" s="83">
        <f t="shared" si="47"/>
        <v>4.5483634920634932</v>
      </c>
    </row>
    <row r="3084" spans="1:7" x14ac:dyDescent="0.2">
      <c r="A3084" s="75">
        <v>43201</v>
      </c>
      <c r="B3084" s="76" t="s">
        <v>35</v>
      </c>
      <c r="C3084" s="76" t="s">
        <v>536</v>
      </c>
      <c r="D3084" s="484">
        <v>5375.0109060000004</v>
      </c>
      <c r="E3084" s="484">
        <v>4.3856999999999999</v>
      </c>
      <c r="F3084" s="484">
        <v>4.3616999999999999</v>
      </c>
      <c r="G3084" s="83">
        <f t="shared" si="47"/>
        <v>4.5435142857142861</v>
      </c>
    </row>
    <row r="3085" spans="1:7" x14ac:dyDescent="0.2">
      <c r="A3085" s="75">
        <v>43202</v>
      </c>
      <c r="B3085" s="76" t="s">
        <v>35</v>
      </c>
      <c r="C3085" s="76" t="s">
        <v>536</v>
      </c>
      <c r="D3085" s="484">
        <v>5376.7182389999998</v>
      </c>
      <c r="E3085" s="484">
        <v>4.3627000000000002</v>
      </c>
      <c r="F3085" s="484">
        <v>4.3605</v>
      </c>
      <c r="G3085" s="83">
        <f t="shared" si="47"/>
        <v>4.5384126984126976</v>
      </c>
    </row>
    <row r="3086" spans="1:7" x14ac:dyDescent="0.2">
      <c r="A3086" s="75">
        <v>43203</v>
      </c>
      <c r="B3086" s="76" t="s">
        <v>35</v>
      </c>
      <c r="C3086" s="76" t="s">
        <v>536</v>
      </c>
      <c r="D3086" s="484">
        <v>5370.5538020000004</v>
      </c>
      <c r="E3086" s="484">
        <v>4.3615000000000004</v>
      </c>
      <c r="F3086" s="484">
        <v>4.3898999999999999</v>
      </c>
      <c r="G3086" s="83">
        <f t="shared" si="47"/>
        <v>4.533487301587301</v>
      </c>
    </row>
    <row r="3087" spans="1:7" x14ac:dyDescent="0.2">
      <c r="A3087" s="75">
        <v>43206</v>
      </c>
      <c r="B3087" s="76" t="s">
        <v>35</v>
      </c>
      <c r="C3087" s="76" t="s">
        <v>536</v>
      </c>
      <c r="D3087" s="484">
        <v>5375.1716800000004</v>
      </c>
      <c r="E3087" s="484">
        <v>4.3909000000000002</v>
      </c>
      <c r="F3087" s="484">
        <v>4.3773999999999997</v>
      </c>
      <c r="G3087" s="83">
        <f t="shared" si="47"/>
        <v>4.5293206349206336</v>
      </c>
    </row>
    <row r="3088" spans="1:7" x14ac:dyDescent="0.2">
      <c r="A3088" s="75">
        <v>43207</v>
      </c>
      <c r="B3088" s="76" t="s">
        <v>35</v>
      </c>
      <c r="C3088" s="76" t="s">
        <v>536</v>
      </c>
      <c r="D3088" s="484">
        <v>5375.3750179999997</v>
      </c>
      <c r="E3088" s="484">
        <v>4.3784000000000001</v>
      </c>
      <c r="F3088" s="484">
        <v>4.3845000000000001</v>
      </c>
      <c r="G3088" s="83">
        <f t="shared" si="47"/>
        <v>4.5253253968253961</v>
      </c>
    </row>
    <row r="3089" spans="1:7" x14ac:dyDescent="0.2">
      <c r="A3089" s="75">
        <v>43208</v>
      </c>
      <c r="B3089" s="76" t="s">
        <v>35</v>
      </c>
      <c r="C3089" s="76" t="s">
        <v>536</v>
      </c>
      <c r="D3089" s="484">
        <v>5384.5417740000003</v>
      </c>
      <c r="E3089" s="484">
        <v>4.3853999999999997</v>
      </c>
      <c r="F3089" s="484">
        <v>4.3567</v>
      </c>
      <c r="G3089" s="83">
        <f t="shared" si="47"/>
        <v>4.5217000000000001</v>
      </c>
    </row>
    <row r="3090" spans="1:7" x14ac:dyDescent="0.2">
      <c r="A3090" s="75">
        <v>43209</v>
      </c>
      <c r="B3090" s="76" t="s">
        <v>35</v>
      </c>
      <c r="C3090" s="76" t="s">
        <v>536</v>
      </c>
      <c r="D3090" s="484">
        <v>5382.4730760000002</v>
      </c>
      <c r="E3090" s="484">
        <v>4.3577000000000004</v>
      </c>
      <c r="F3090" s="484">
        <v>4.3726000000000003</v>
      </c>
      <c r="G3090" s="83">
        <f t="shared" si="47"/>
        <v>4.5175126984126983</v>
      </c>
    </row>
    <row r="3091" spans="1:7" x14ac:dyDescent="0.2">
      <c r="A3091" s="75">
        <v>43210</v>
      </c>
      <c r="B3091" s="76" t="s">
        <v>35</v>
      </c>
      <c r="C3091" s="76" t="s">
        <v>536</v>
      </c>
      <c r="D3091" s="484">
        <v>5382.5210589999997</v>
      </c>
      <c r="E3091" s="484">
        <v>4.3735999999999997</v>
      </c>
      <c r="F3091" s="484">
        <v>4.3803000000000001</v>
      </c>
      <c r="G3091" s="83">
        <f t="shared" si="47"/>
        <v>4.5134396825396825</v>
      </c>
    </row>
    <row r="3092" spans="1:7" x14ac:dyDescent="0.2">
      <c r="A3092" s="75">
        <v>43213</v>
      </c>
      <c r="B3092" s="76" t="s">
        <v>35</v>
      </c>
      <c r="C3092" s="76" t="s">
        <v>536</v>
      </c>
      <c r="D3092" s="484">
        <v>5368.4285389999995</v>
      </c>
      <c r="E3092" s="484">
        <v>4.3813000000000004</v>
      </c>
      <c r="F3092" s="484">
        <v>4.4409000000000001</v>
      </c>
      <c r="G3092" s="83">
        <f t="shared" si="47"/>
        <v>4.5092349206349214</v>
      </c>
    </row>
    <row r="3093" spans="1:7" x14ac:dyDescent="0.2">
      <c r="A3093" s="75">
        <v>43214</v>
      </c>
      <c r="B3093" s="76" t="s">
        <v>35</v>
      </c>
      <c r="C3093" s="76" t="s">
        <v>536</v>
      </c>
      <c r="D3093" s="484">
        <v>5371.0814630000004</v>
      </c>
      <c r="E3093" s="484">
        <v>4.4420000000000002</v>
      </c>
      <c r="F3093" s="484">
        <v>4.4382000000000001</v>
      </c>
      <c r="G3093" s="83">
        <f t="shared" si="47"/>
        <v>4.5060650793650803</v>
      </c>
    </row>
    <row r="3094" spans="1:7" x14ac:dyDescent="0.2">
      <c r="A3094" s="75">
        <v>43215</v>
      </c>
      <c r="B3094" s="76" t="s">
        <v>35</v>
      </c>
      <c r="C3094" s="76" t="s">
        <v>536</v>
      </c>
      <c r="D3094" s="484">
        <v>5370.6000039999999</v>
      </c>
      <c r="E3094" s="484">
        <v>4.4393000000000002</v>
      </c>
      <c r="F3094" s="484">
        <v>4.4477000000000002</v>
      </c>
      <c r="G3094" s="83">
        <f t="shared" si="47"/>
        <v>4.502542857142859</v>
      </c>
    </row>
    <row r="3095" spans="1:7" x14ac:dyDescent="0.2">
      <c r="A3095" s="75">
        <v>43216</v>
      </c>
      <c r="B3095" s="76" t="s">
        <v>35</v>
      </c>
      <c r="C3095" s="76" t="s">
        <v>536</v>
      </c>
      <c r="D3095" s="484">
        <v>5381.3589320000001</v>
      </c>
      <c r="E3095" s="484">
        <v>4.4488000000000003</v>
      </c>
      <c r="F3095" s="484">
        <v>4.4135</v>
      </c>
      <c r="G3095" s="83">
        <f t="shared" si="47"/>
        <v>4.4982888888888901</v>
      </c>
    </row>
    <row r="3096" spans="1:7" x14ac:dyDescent="0.2">
      <c r="A3096" s="75">
        <v>43217</v>
      </c>
      <c r="B3096" s="76" t="s">
        <v>35</v>
      </c>
      <c r="C3096" s="76" t="s">
        <v>536</v>
      </c>
      <c r="D3096" s="484">
        <v>5394.8719719999999</v>
      </c>
      <c r="E3096" s="484">
        <v>4.4145000000000003</v>
      </c>
      <c r="F3096" s="484">
        <v>4.3685999999999998</v>
      </c>
      <c r="G3096" s="83">
        <f t="shared" si="47"/>
        <v>4.494885714285715</v>
      </c>
    </row>
    <row r="3097" spans="1:7" x14ac:dyDescent="0.2">
      <c r="A3097" s="75">
        <v>43220</v>
      </c>
      <c r="B3097" s="76" t="s">
        <v>35</v>
      </c>
      <c r="C3097" s="76" t="s">
        <v>536</v>
      </c>
      <c r="D3097" s="484">
        <v>5388.7731789999998</v>
      </c>
      <c r="E3097" s="484">
        <v>4.3696000000000002</v>
      </c>
      <c r="F3097" s="484">
        <v>4.3997000000000002</v>
      </c>
      <c r="G3097" s="83">
        <f t="shared" si="47"/>
        <v>4.4907603174603175</v>
      </c>
    </row>
    <row r="3098" spans="1:7" x14ac:dyDescent="0.2">
      <c r="A3098" s="75">
        <v>43222</v>
      </c>
      <c r="B3098" s="76" t="s">
        <v>35</v>
      </c>
      <c r="C3098" s="76" t="s">
        <v>536</v>
      </c>
      <c r="D3098" s="484">
        <v>5380.5788899999998</v>
      </c>
      <c r="E3098" s="484">
        <v>4.4008000000000003</v>
      </c>
      <c r="F3098" s="484">
        <v>4.4390999999999998</v>
      </c>
      <c r="G3098" s="83">
        <f t="shared" si="47"/>
        <v>4.4884968253968252</v>
      </c>
    </row>
    <row r="3099" spans="1:7" x14ac:dyDescent="0.2">
      <c r="A3099" s="75">
        <v>43223</v>
      </c>
      <c r="B3099" s="76" t="s">
        <v>35</v>
      </c>
      <c r="C3099" s="76" t="s">
        <v>536</v>
      </c>
      <c r="D3099" s="484">
        <v>5381.2806959999998</v>
      </c>
      <c r="E3099" s="484">
        <v>4.4401000000000002</v>
      </c>
      <c r="F3099" s="484">
        <v>4.4439000000000002</v>
      </c>
      <c r="G3099" s="83">
        <f t="shared" si="47"/>
        <v>4.4864777777777771</v>
      </c>
    </row>
    <row r="3100" spans="1:7" x14ac:dyDescent="0.2">
      <c r="A3100" s="75">
        <v>43224</v>
      </c>
      <c r="B3100" s="76" t="s">
        <v>35</v>
      </c>
      <c r="C3100" s="76" t="s">
        <v>536</v>
      </c>
      <c r="D3100" s="484">
        <v>5386.0271579999999</v>
      </c>
      <c r="E3100" s="484">
        <v>4.4450000000000003</v>
      </c>
      <c r="F3100" s="484">
        <v>4.4330999999999996</v>
      </c>
      <c r="G3100" s="83">
        <f t="shared" si="47"/>
        <v>4.4847507936507922</v>
      </c>
    </row>
    <row r="3101" spans="1:7" x14ac:dyDescent="0.2">
      <c r="A3101" s="75">
        <v>43227</v>
      </c>
      <c r="B3101" s="76" t="s">
        <v>35</v>
      </c>
      <c r="C3101" s="76" t="s">
        <v>536</v>
      </c>
      <c r="D3101" s="484">
        <v>5375.6615229999998</v>
      </c>
      <c r="E3101" s="484">
        <v>4.4340999999999999</v>
      </c>
      <c r="F3101" s="484">
        <v>4.4809000000000001</v>
      </c>
      <c r="G3101" s="83">
        <f t="shared" si="47"/>
        <v>4.482787301587301</v>
      </c>
    </row>
    <row r="3102" spans="1:7" x14ac:dyDescent="0.2">
      <c r="A3102" s="75">
        <v>43228</v>
      </c>
      <c r="B3102" s="76" t="s">
        <v>35</v>
      </c>
      <c r="C3102" s="76" t="s">
        <v>536</v>
      </c>
      <c r="D3102" s="484">
        <v>5352.8342839999996</v>
      </c>
      <c r="E3102" s="484">
        <v>4.4819000000000004</v>
      </c>
      <c r="F3102" s="484">
        <v>4.5774999999999997</v>
      </c>
      <c r="G3102" s="83">
        <f t="shared" si="47"/>
        <v>4.4819555555555555</v>
      </c>
    </row>
    <row r="3103" spans="1:7" x14ac:dyDescent="0.2">
      <c r="A3103" s="75">
        <v>43229</v>
      </c>
      <c r="B3103" s="76" t="s">
        <v>35</v>
      </c>
      <c r="C3103" s="76" t="s">
        <v>536</v>
      </c>
      <c r="D3103" s="484">
        <v>5328.1875289999998</v>
      </c>
      <c r="E3103" s="484">
        <v>4.5785</v>
      </c>
      <c r="F3103" s="484">
        <v>4.6818</v>
      </c>
      <c r="G3103" s="83">
        <f t="shared" si="47"/>
        <v>4.4817142857142862</v>
      </c>
    </row>
    <row r="3104" spans="1:7" x14ac:dyDescent="0.2">
      <c r="A3104" s="75">
        <v>43230</v>
      </c>
      <c r="B3104" s="76" t="s">
        <v>35</v>
      </c>
      <c r="C3104" s="76" t="s">
        <v>536</v>
      </c>
      <c r="D3104" s="484">
        <v>5355.4473079999998</v>
      </c>
      <c r="E3104" s="484">
        <v>4.6828000000000003</v>
      </c>
      <c r="F3104" s="484">
        <v>4.5720000000000001</v>
      </c>
      <c r="G3104" s="83">
        <f t="shared" si="47"/>
        <v>4.4823888888888881</v>
      </c>
    </row>
    <row r="3105" spans="1:7" x14ac:dyDescent="0.2">
      <c r="A3105" s="75">
        <v>43231</v>
      </c>
      <c r="B3105" s="76" t="s">
        <v>35</v>
      </c>
      <c r="C3105" s="76" t="s">
        <v>536</v>
      </c>
      <c r="D3105" s="484">
        <v>5341.4780149999997</v>
      </c>
      <c r="E3105" s="484">
        <v>4.5730000000000004</v>
      </c>
      <c r="F3105" s="484">
        <v>4.6337000000000002</v>
      </c>
      <c r="G3105" s="83">
        <f t="shared" si="47"/>
        <v>4.4814571428571428</v>
      </c>
    </row>
    <row r="3106" spans="1:7" x14ac:dyDescent="0.2">
      <c r="A3106" s="75">
        <v>43234</v>
      </c>
      <c r="B3106" s="76" t="s">
        <v>35</v>
      </c>
      <c r="C3106" s="76" t="s">
        <v>536</v>
      </c>
      <c r="D3106" s="484">
        <v>5322.0787259999997</v>
      </c>
      <c r="E3106" s="484">
        <v>4.6345999999999998</v>
      </c>
      <c r="F3106" s="484">
        <v>4.7168999999999999</v>
      </c>
      <c r="G3106" s="83">
        <f t="shared" si="47"/>
        <v>4.481398412698411</v>
      </c>
    </row>
    <row r="3107" spans="1:7" x14ac:dyDescent="0.2">
      <c r="A3107" s="75">
        <v>43235</v>
      </c>
      <c r="B3107" s="76" t="s">
        <v>35</v>
      </c>
      <c r="C3107" s="76" t="s">
        <v>536</v>
      </c>
      <c r="D3107" s="484">
        <v>5315.415626</v>
      </c>
      <c r="E3107" s="484">
        <v>4.7178000000000004</v>
      </c>
      <c r="F3107" s="484">
        <v>4.7502000000000004</v>
      </c>
      <c r="G3107" s="83">
        <f t="shared" si="47"/>
        <v>4.4819222222222219</v>
      </c>
    </row>
    <row r="3108" spans="1:7" x14ac:dyDescent="0.2">
      <c r="A3108" s="75">
        <v>43236</v>
      </c>
      <c r="B3108" s="76" t="s">
        <v>35</v>
      </c>
      <c r="C3108" s="76" t="s">
        <v>536</v>
      </c>
      <c r="D3108" s="484">
        <v>5313.9663549999996</v>
      </c>
      <c r="E3108" s="484">
        <v>4.7511000000000001</v>
      </c>
      <c r="F3108" s="484">
        <v>4.7641999999999998</v>
      </c>
      <c r="G3108" s="83">
        <f t="shared" si="47"/>
        <v>4.4819873015873011</v>
      </c>
    </row>
    <row r="3109" spans="1:7" x14ac:dyDescent="0.2">
      <c r="A3109" s="75">
        <v>43237</v>
      </c>
      <c r="B3109" s="76" t="s">
        <v>35</v>
      </c>
      <c r="C3109" s="76" t="s">
        <v>536</v>
      </c>
      <c r="D3109" s="484">
        <v>5275.7163250000003</v>
      </c>
      <c r="E3109" s="484">
        <v>4.7649999999999997</v>
      </c>
      <c r="F3109" s="484">
        <v>4.9240000000000004</v>
      </c>
      <c r="G3109" s="83">
        <f t="shared" si="47"/>
        <v>4.4829174603174602</v>
      </c>
    </row>
    <row r="3110" spans="1:7" x14ac:dyDescent="0.2">
      <c r="A3110" s="75">
        <v>43238</v>
      </c>
      <c r="B3110" s="76" t="s">
        <v>35</v>
      </c>
      <c r="C3110" s="76" t="s">
        <v>536</v>
      </c>
      <c r="D3110" s="484">
        <v>5233.9257049999997</v>
      </c>
      <c r="E3110" s="484">
        <v>4.9246999999999996</v>
      </c>
      <c r="F3110" s="484">
        <v>5.0994000000000002</v>
      </c>
      <c r="G3110" s="83">
        <f t="shared" si="47"/>
        <v>4.4871476190476178</v>
      </c>
    </row>
    <row r="3111" spans="1:7" x14ac:dyDescent="0.2">
      <c r="A3111" s="75">
        <v>43241</v>
      </c>
      <c r="B3111" s="76" t="s">
        <v>35</v>
      </c>
      <c r="C3111" s="76" t="s">
        <v>536</v>
      </c>
      <c r="D3111" s="484">
        <v>5249.7730099999999</v>
      </c>
      <c r="E3111" s="484">
        <v>5.1001000000000003</v>
      </c>
      <c r="F3111" s="484">
        <v>5.0442</v>
      </c>
      <c r="G3111" s="83">
        <f t="shared" si="47"/>
        <v>4.4949174603174606</v>
      </c>
    </row>
    <row r="3112" spans="1:7" x14ac:dyDescent="0.2">
      <c r="A3112" s="75">
        <v>43242</v>
      </c>
      <c r="B3112" s="76" t="s">
        <v>35</v>
      </c>
      <c r="C3112" s="76" t="s">
        <v>536</v>
      </c>
      <c r="D3112" s="484">
        <v>5268.8230400000002</v>
      </c>
      <c r="E3112" s="484">
        <v>5.0449999999999999</v>
      </c>
      <c r="F3112" s="484">
        <v>4.9764999999999997</v>
      </c>
      <c r="G3112" s="83">
        <f t="shared" si="47"/>
        <v>4.5014809523809527</v>
      </c>
    </row>
    <row r="3113" spans="1:7" x14ac:dyDescent="0.2">
      <c r="A3113" s="75">
        <v>43243</v>
      </c>
      <c r="B3113" s="76" t="s">
        <v>35</v>
      </c>
      <c r="C3113" s="76" t="s">
        <v>536</v>
      </c>
      <c r="D3113" s="484">
        <v>5251.9505410000002</v>
      </c>
      <c r="E3113" s="484">
        <v>4.9772999999999996</v>
      </c>
      <c r="F3113" s="484">
        <v>5.0522999999999998</v>
      </c>
      <c r="G3113" s="83">
        <f t="shared" si="47"/>
        <v>4.5066761904761901</v>
      </c>
    </row>
    <row r="3114" spans="1:7" x14ac:dyDescent="0.2">
      <c r="A3114" s="75">
        <v>43244</v>
      </c>
      <c r="B3114" s="76" t="s">
        <v>35</v>
      </c>
      <c r="C3114" s="76" t="s">
        <v>536</v>
      </c>
      <c r="D3114" s="484">
        <v>5235.3732620000001</v>
      </c>
      <c r="E3114" s="484">
        <v>5.0529999999999999</v>
      </c>
      <c r="F3114" s="484">
        <v>5.1177999999999999</v>
      </c>
      <c r="G3114" s="83">
        <f t="shared" si="47"/>
        <v>4.5133968253968257</v>
      </c>
    </row>
    <row r="3115" spans="1:7" x14ac:dyDescent="0.2">
      <c r="A3115" s="75">
        <v>43245</v>
      </c>
      <c r="B3115" s="76" t="s">
        <v>35</v>
      </c>
      <c r="C3115" s="76" t="s">
        <v>536</v>
      </c>
      <c r="D3115" s="484">
        <v>5214.5888839999998</v>
      </c>
      <c r="E3115" s="484">
        <v>5.1185</v>
      </c>
      <c r="F3115" s="484">
        <v>5.2085999999999997</v>
      </c>
      <c r="G3115" s="83">
        <f t="shared" si="47"/>
        <v>4.5209999999999999</v>
      </c>
    </row>
    <row r="3116" spans="1:7" x14ac:dyDescent="0.2">
      <c r="A3116" s="75">
        <v>43248</v>
      </c>
      <c r="B3116" s="76" t="s">
        <v>35</v>
      </c>
      <c r="C3116" s="76" t="s">
        <v>536</v>
      </c>
      <c r="D3116" s="484">
        <v>5209.6501410000001</v>
      </c>
      <c r="E3116" s="484">
        <v>5.2092999999999998</v>
      </c>
      <c r="F3116" s="484">
        <v>5.2356999999999996</v>
      </c>
      <c r="G3116" s="83">
        <f t="shared" si="47"/>
        <v>4.5303825396825399</v>
      </c>
    </row>
    <row r="3117" spans="1:7" x14ac:dyDescent="0.2">
      <c r="A3117" s="75">
        <v>43249</v>
      </c>
      <c r="B3117" s="76" t="s">
        <v>35</v>
      </c>
      <c r="C3117" s="76" t="s">
        <v>536</v>
      </c>
      <c r="D3117" s="484">
        <v>5188.7205279999998</v>
      </c>
      <c r="E3117" s="484">
        <v>5.2365000000000004</v>
      </c>
      <c r="F3117" s="484">
        <v>5.3277999999999999</v>
      </c>
      <c r="G3117" s="83">
        <f t="shared" si="47"/>
        <v>4.5408301587301576</v>
      </c>
    </row>
    <row r="3118" spans="1:7" x14ac:dyDescent="0.2">
      <c r="A3118" s="75">
        <v>43250</v>
      </c>
      <c r="B3118" s="76" t="s">
        <v>35</v>
      </c>
      <c r="C3118" s="76" t="s">
        <v>536</v>
      </c>
      <c r="D3118" s="484">
        <v>5201.6465390000003</v>
      </c>
      <c r="E3118" s="484">
        <v>5.3285999999999998</v>
      </c>
      <c r="F3118" s="484">
        <v>5.2827000000000002</v>
      </c>
      <c r="G3118" s="83">
        <f t="shared" si="47"/>
        <v>4.5525253968253958</v>
      </c>
    </row>
    <row r="3119" spans="1:7" x14ac:dyDescent="0.2">
      <c r="A3119" s="75">
        <v>43252</v>
      </c>
      <c r="B3119" s="76" t="s">
        <v>35</v>
      </c>
      <c r="C3119" s="76" t="s">
        <v>536</v>
      </c>
      <c r="D3119" s="484">
        <v>5219.9760640000004</v>
      </c>
      <c r="E3119" s="484">
        <v>5.2835000000000001</v>
      </c>
      <c r="F3119" s="484">
        <v>5.2159000000000004</v>
      </c>
      <c r="G3119" s="83">
        <f t="shared" si="47"/>
        <v>4.563763492063492</v>
      </c>
    </row>
    <row r="3120" spans="1:7" x14ac:dyDescent="0.2">
      <c r="A3120" s="75">
        <v>43255</v>
      </c>
      <c r="B3120" s="76" t="s">
        <v>35</v>
      </c>
      <c r="C3120" s="76" t="s">
        <v>536</v>
      </c>
      <c r="D3120" s="484">
        <v>5230.2612429999999</v>
      </c>
      <c r="E3120" s="484">
        <v>5.2168000000000001</v>
      </c>
      <c r="F3120" s="484">
        <v>5.1818</v>
      </c>
      <c r="G3120" s="83">
        <f t="shared" si="47"/>
        <v>4.5738158730158718</v>
      </c>
    </row>
    <row r="3121" spans="1:7" x14ac:dyDescent="0.2">
      <c r="A3121" s="75">
        <v>43256</v>
      </c>
      <c r="B3121" s="76" t="s">
        <v>35</v>
      </c>
      <c r="C3121" s="76" t="s">
        <v>536</v>
      </c>
      <c r="D3121" s="484">
        <v>5183.395579</v>
      </c>
      <c r="E3121" s="484">
        <v>5.1826999999999996</v>
      </c>
      <c r="F3121" s="484">
        <v>5.3788</v>
      </c>
      <c r="G3121" s="83">
        <f t="shared" si="47"/>
        <v>4.5836984126984124</v>
      </c>
    </row>
    <row r="3122" spans="1:7" x14ac:dyDescent="0.2">
      <c r="A3122" s="75">
        <v>43257</v>
      </c>
      <c r="B3122" s="76" t="s">
        <v>35</v>
      </c>
      <c r="C3122" s="76" t="s">
        <v>536</v>
      </c>
      <c r="D3122" s="484">
        <v>5167.1806710000001</v>
      </c>
      <c r="E3122" s="484">
        <v>5.3796999999999997</v>
      </c>
      <c r="F3122" s="484">
        <v>5.4523999999999999</v>
      </c>
      <c r="G3122" s="83">
        <f t="shared" si="47"/>
        <v>4.5970936507936511</v>
      </c>
    </row>
    <row r="3123" spans="1:7" x14ac:dyDescent="0.2">
      <c r="A3123" s="75">
        <v>43258</v>
      </c>
      <c r="B3123" s="76" t="s">
        <v>35</v>
      </c>
      <c r="C3123" s="76" t="s">
        <v>536</v>
      </c>
      <c r="D3123" s="484">
        <v>5096.8099430000002</v>
      </c>
      <c r="E3123" s="484">
        <v>5.4531999999999998</v>
      </c>
      <c r="F3123" s="484">
        <v>5.7496999999999998</v>
      </c>
      <c r="G3123" s="83">
        <f t="shared" si="47"/>
        <v>4.6117761904761911</v>
      </c>
    </row>
    <row r="3124" spans="1:7" x14ac:dyDescent="0.2">
      <c r="A3124" s="75">
        <v>43259</v>
      </c>
      <c r="B3124" s="76" t="s">
        <v>35</v>
      </c>
      <c r="C3124" s="76" t="s">
        <v>536</v>
      </c>
      <c r="D3124" s="484">
        <v>5149.0115159999996</v>
      </c>
      <c r="E3124" s="484">
        <v>5.7502000000000004</v>
      </c>
      <c r="F3124" s="484">
        <v>5.5693000000000001</v>
      </c>
      <c r="G3124" s="83">
        <f t="shared" si="47"/>
        <v>4.631166666666668</v>
      </c>
    </row>
    <row r="3125" spans="1:7" x14ac:dyDescent="0.2">
      <c r="A3125" s="75">
        <v>43262</v>
      </c>
      <c r="B3125" s="76" t="s">
        <v>35</v>
      </c>
      <c r="C3125" s="76" t="s">
        <v>536</v>
      </c>
      <c r="D3125" s="484">
        <v>5158.4708710000004</v>
      </c>
      <c r="E3125" s="484">
        <v>5.5697000000000001</v>
      </c>
      <c r="F3125" s="484">
        <v>5.5392999999999999</v>
      </c>
      <c r="G3125" s="83">
        <f t="shared" si="47"/>
        <v>4.6476539682539686</v>
      </c>
    </row>
    <row r="3126" spans="1:7" x14ac:dyDescent="0.2">
      <c r="A3126" s="75">
        <v>43263</v>
      </c>
      <c r="B3126" s="76" t="s">
        <v>35</v>
      </c>
      <c r="C3126" s="76" t="s">
        <v>536</v>
      </c>
      <c r="D3126" s="484">
        <v>5155.0181759999996</v>
      </c>
      <c r="E3126" s="484">
        <v>5.5397999999999996</v>
      </c>
      <c r="F3126" s="484">
        <v>5.5622999999999996</v>
      </c>
      <c r="G3126" s="83">
        <f t="shared" si="47"/>
        <v>4.6637841269841287</v>
      </c>
    </row>
    <row r="3127" spans="1:7" x14ac:dyDescent="0.2">
      <c r="A3127" s="75">
        <v>43264</v>
      </c>
      <c r="B3127" s="76" t="s">
        <v>35</v>
      </c>
      <c r="C3127" s="76" t="s">
        <v>536</v>
      </c>
      <c r="D3127" s="484">
        <v>5132.1654289999997</v>
      </c>
      <c r="E3127" s="484">
        <v>5.5628000000000002</v>
      </c>
      <c r="F3127" s="484">
        <v>5.6650999999999998</v>
      </c>
      <c r="G3127" s="83">
        <f t="shared" si="47"/>
        <v>4.6802857142857155</v>
      </c>
    </row>
    <row r="3128" spans="1:7" x14ac:dyDescent="0.2">
      <c r="A3128" s="75">
        <v>43265</v>
      </c>
      <c r="B3128" s="76" t="s">
        <v>35</v>
      </c>
      <c r="C3128" s="76" t="s">
        <v>536</v>
      </c>
      <c r="D3128" s="484">
        <v>5051.4497419999998</v>
      </c>
      <c r="E3128" s="484">
        <v>5.6656000000000004</v>
      </c>
      <c r="F3128" s="484">
        <v>6.0099</v>
      </c>
      <c r="G3128" s="83">
        <f t="shared" si="47"/>
        <v>4.6990047619047628</v>
      </c>
    </row>
    <row r="3129" spans="1:7" x14ac:dyDescent="0.2">
      <c r="A3129" s="75">
        <v>43266</v>
      </c>
      <c r="B3129" s="76" t="s">
        <v>35</v>
      </c>
      <c r="C3129" s="76" t="s">
        <v>536</v>
      </c>
      <c r="D3129" s="484">
        <v>5142.0271229999998</v>
      </c>
      <c r="E3129" s="484">
        <v>6.0103</v>
      </c>
      <c r="F3129" s="484">
        <v>5.6425999999999998</v>
      </c>
      <c r="G3129" s="83">
        <f t="shared" si="47"/>
        <v>4.7234031746031748</v>
      </c>
    </row>
    <row r="3130" spans="1:7" x14ac:dyDescent="0.2">
      <c r="A3130" s="75">
        <v>43269</v>
      </c>
      <c r="B3130" s="76" t="s">
        <v>35</v>
      </c>
      <c r="C3130" s="76" t="s">
        <v>536</v>
      </c>
      <c r="D3130" s="484">
        <v>5152.916612</v>
      </c>
      <c r="E3130" s="484">
        <v>5.6430999999999996</v>
      </c>
      <c r="F3130" s="484">
        <v>5.6117999999999997</v>
      </c>
      <c r="G3130" s="83">
        <f t="shared" si="47"/>
        <v>4.7417476190476195</v>
      </c>
    </row>
    <row r="3131" spans="1:7" x14ac:dyDescent="0.2">
      <c r="A3131" s="75">
        <v>43270</v>
      </c>
      <c r="B3131" s="76" t="s">
        <v>35</v>
      </c>
      <c r="C3131" s="76" t="s">
        <v>536</v>
      </c>
      <c r="D3131" s="484">
        <v>5193.0014719999999</v>
      </c>
      <c r="E3131" s="484">
        <v>5.6124000000000001</v>
      </c>
      <c r="F3131" s="484">
        <v>5.4621000000000004</v>
      </c>
      <c r="G3131" s="83">
        <f t="shared" si="47"/>
        <v>4.7599206349206353</v>
      </c>
    </row>
    <row r="3132" spans="1:7" x14ac:dyDescent="0.2">
      <c r="A3132" s="75">
        <v>43271</v>
      </c>
      <c r="B3132" s="76" t="s">
        <v>35</v>
      </c>
      <c r="C3132" s="76" t="s">
        <v>536</v>
      </c>
      <c r="D3132" s="484">
        <v>5180.2942110000004</v>
      </c>
      <c r="E3132" s="484">
        <v>5.4626000000000001</v>
      </c>
      <c r="F3132" s="484">
        <v>5.5275999999999996</v>
      </c>
      <c r="G3132" s="83">
        <f t="shared" si="47"/>
        <v>4.7752206349206352</v>
      </c>
    </row>
    <row r="3133" spans="1:7" x14ac:dyDescent="0.2">
      <c r="A3133" s="75">
        <v>43272</v>
      </c>
      <c r="B3133" s="76" t="s">
        <v>35</v>
      </c>
      <c r="C3133" s="76" t="s">
        <v>536</v>
      </c>
      <c r="D3133" s="484">
        <v>5177.676899</v>
      </c>
      <c r="E3133" s="484">
        <v>5.5281000000000002</v>
      </c>
      <c r="F3133" s="484">
        <v>5.5521000000000003</v>
      </c>
      <c r="G3133" s="83">
        <f t="shared" si="47"/>
        <v>4.7906650793650796</v>
      </c>
    </row>
    <row r="3134" spans="1:7" x14ac:dyDescent="0.2">
      <c r="A3134" s="75">
        <v>43273</v>
      </c>
      <c r="B3134" s="76" t="s">
        <v>35</v>
      </c>
      <c r="C3134" s="76" t="s">
        <v>536</v>
      </c>
      <c r="D3134" s="484">
        <v>5174.803809</v>
      </c>
      <c r="E3134" s="484">
        <v>5.5526999999999997</v>
      </c>
      <c r="F3134" s="484">
        <v>5.5956999999999999</v>
      </c>
      <c r="G3134" s="83">
        <f t="shared" si="47"/>
        <v>4.8069380952380962</v>
      </c>
    </row>
    <row r="3135" spans="1:7" x14ac:dyDescent="0.2">
      <c r="A3135" s="75">
        <v>43276</v>
      </c>
      <c r="B3135" s="76" t="s">
        <v>35</v>
      </c>
      <c r="C3135" s="76" t="s">
        <v>536</v>
      </c>
      <c r="D3135" s="484">
        <v>5193.7856920000004</v>
      </c>
      <c r="E3135" s="484">
        <v>5.5961999999999996</v>
      </c>
      <c r="F3135" s="484">
        <v>5.5358000000000001</v>
      </c>
      <c r="G3135" s="83">
        <f t="shared" si="47"/>
        <v>4.8266952380952386</v>
      </c>
    </row>
    <row r="3136" spans="1:7" x14ac:dyDescent="0.2">
      <c r="A3136" s="75">
        <v>43277</v>
      </c>
      <c r="B3136" s="76" t="s">
        <v>35</v>
      </c>
      <c r="C3136" s="76" t="s">
        <v>536</v>
      </c>
      <c r="D3136" s="484">
        <v>5204.7919929999998</v>
      </c>
      <c r="E3136" s="484">
        <v>5.5364000000000004</v>
      </c>
      <c r="F3136" s="484">
        <v>5.5086000000000004</v>
      </c>
      <c r="G3136" s="83">
        <f t="shared" si="47"/>
        <v>4.8459428571428598</v>
      </c>
    </row>
    <row r="3137" spans="1:7" x14ac:dyDescent="0.2">
      <c r="A3137" s="75">
        <v>43278</v>
      </c>
      <c r="B3137" s="76" t="s">
        <v>35</v>
      </c>
      <c r="C3137" s="76" t="s">
        <v>536</v>
      </c>
      <c r="D3137" s="484">
        <v>5177.5721359999998</v>
      </c>
      <c r="E3137" s="484">
        <v>5.5091999999999999</v>
      </c>
      <c r="F3137" s="484">
        <v>5.6368999999999998</v>
      </c>
      <c r="G3137" s="83">
        <f t="shared" si="47"/>
        <v>4.8657603174603201</v>
      </c>
    </row>
    <row r="3138" spans="1:7" x14ac:dyDescent="0.2">
      <c r="A3138" s="75">
        <v>43279</v>
      </c>
      <c r="B3138" s="76" t="s">
        <v>35</v>
      </c>
      <c r="C3138" s="76" t="s">
        <v>536</v>
      </c>
      <c r="D3138" s="484">
        <v>5196.7877509999998</v>
      </c>
      <c r="E3138" s="484">
        <v>5.6375000000000002</v>
      </c>
      <c r="F3138" s="484">
        <v>5.5762</v>
      </c>
      <c r="G3138" s="83">
        <f t="shared" si="47"/>
        <v>4.8873634920634945</v>
      </c>
    </row>
    <row r="3139" spans="1:7" x14ac:dyDescent="0.2">
      <c r="A3139" s="75">
        <v>43280</v>
      </c>
      <c r="B3139" s="76" t="s">
        <v>35</v>
      </c>
      <c r="C3139" s="76" t="s">
        <v>536</v>
      </c>
      <c r="D3139" s="484">
        <v>5205.2920599999998</v>
      </c>
      <c r="E3139" s="484">
        <v>5.5766999999999998</v>
      </c>
      <c r="F3139" s="484">
        <v>5.5590999999999999</v>
      </c>
      <c r="G3139" s="83">
        <f t="shared" ref="G3139:G3202" si="48">+AVERAGE(E3077:E3139)</f>
        <v>4.9074857142857171</v>
      </c>
    </row>
    <row r="3140" spans="1:7" x14ac:dyDescent="0.2">
      <c r="A3140" s="75">
        <v>43283</v>
      </c>
      <c r="B3140" s="76" t="s">
        <v>35</v>
      </c>
      <c r="C3140" s="76" t="s">
        <v>536</v>
      </c>
      <c r="D3140" s="484">
        <v>5218.7712760000004</v>
      </c>
      <c r="E3140" s="484">
        <v>5.5597000000000003</v>
      </c>
      <c r="F3140" s="484">
        <v>5.5220000000000002</v>
      </c>
      <c r="G3140" s="83">
        <f t="shared" si="48"/>
        <v>4.9280174603174638</v>
      </c>
    </row>
    <row r="3141" spans="1:7" x14ac:dyDescent="0.2">
      <c r="A3141" s="75">
        <v>43284</v>
      </c>
      <c r="B3141" s="76" t="s">
        <v>35</v>
      </c>
      <c r="C3141" s="76" t="s">
        <v>536</v>
      </c>
      <c r="D3141" s="484">
        <v>5222.676786</v>
      </c>
      <c r="E3141" s="484">
        <v>5.5225999999999997</v>
      </c>
      <c r="F3141" s="484">
        <v>5.5236999999999998</v>
      </c>
      <c r="G3141" s="83">
        <f t="shared" si="48"/>
        <v>4.9471190476190507</v>
      </c>
    </row>
    <row r="3142" spans="1:7" x14ac:dyDescent="0.2">
      <c r="A3142" s="75">
        <v>43285</v>
      </c>
      <c r="B3142" s="76" t="s">
        <v>35</v>
      </c>
      <c r="C3142" s="76" t="s">
        <v>536</v>
      </c>
      <c r="D3142" s="484">
        <v>5232.6275100000003</v>
      </c>
      <c r="E3142" s="484">
        <v>5.5243000000000002</v>
      </c>
      <c r="F3142" s="484">
        <v>5.5010000000000003</v>
      </c>
      <c r="G3142" s="83">
        <f t="shared" si="48"/>
        <v>4.9654841269841299</v>
      </c>
    </row>
    <row r="3143" spans="1:7" x14ac:dyDescent="0.2">
      <c r="A3143" s="75">
        <v>43286</v>
      </c>
      <c r="B3143" s="76" t="s">
        <v>35</v>
      </c>
      <c r="C3143" s="76" t="s">
        <v>536</v>
      </c>
      <c r="D3143" s="484">
        <v>5219.1908039999998</v>
      </c>
      <c r="E3143" s="484">
        <v>5.5015999999999998</v>
      </c>
      <c r="F3143" s="484">
        <v>5.5728</v>
      </c>
      <c r="G3143" s="83">
        <f t="shared" si="48"/>
        <v>4.9828968253968284</v>
      </c>
    </row>
    <row r="3144" spans="1:7" x14ac:dyDescent="0.2">
      <c r="A3144" s="75">
        <v>43287</v>
      </c>
      <c r="B3144" s="76" t="s">
        <v>35</v>
      </c>
      <c r="C3144" s="76" t="s">
        <v>536</v>
      </c>
      <c r="D3144" s="484">
        <v>5233.8427849999998</v>
      </c>
      <c r="E3144" s="484">
        <v>5.5734000000000004</v>
      </c>
      <c r="F3144" s="484">
        <v>5.5340999999999996</v>
      </c>
      <c r="G3144" s="83">
        <f t="shared" si="48"/>
        <v>5.0021047619047652</v>
      </c>
    </row>
    <row r="3145" spans="1:7" x14ac:dyDescent="0.2">
      <c r="A3145" s="75">
        <v>43290</v>
      </c>
      <c r="B3145" s="76" t="s">
        <v>35</v>
      </c>
      <c r="C3145" s="76" t="s">
        <v>536</v>
      </c>
      <c r="D3145" s="484">
        <v>5238.3816310000002</v>
      </c>
      <c r="E3145" s="484">
        <v>5.5347</v>
      </c>
      <c r="F3145" s="484">
        <v>5.5335000000000001</v>
      </c>
      <c r="G3145" s="83">
        <f t="shared" si="48"/>
        <v>5.02010158730159</v>
      </c>
    </row>
    <row r="3146" spans="1:7" x14ac:dyDescent="0.2">
      <c r="A3146" s="75">
        <v>43291</v>
      </c>
      <c r="B3146" s="76" t="s">
        <v>35</v>
      </c>
      <c r="C3146" s="76" t="s">
        <v>536</v>
      </c>
      <c r="D3146" s="484">
        <v>5259.5608279999997</v>
      </c>
      <c r="E3146" s="484">
        <v>5.5340999999999996</v>
      </c>
      <c r="F3146" s="484">
        <v>5.4660000000000002</v>
      </c>
      <c r="G3146" s="83">
        <f t="shared" si="48"/>
        <v>5.0382333333333351</v>
      </c>
    </row>
    <row r="3147" spans="1:7" x14ac:dyDescent="0.2">
      <c r="A3147" s="75">
        <v>43292</v>
      </c>
      <c r="B3147" s="76" t="s">
        <v>35</v>
      </c>
      <c r="C3147" s="76" t="s">
        <v>536</v>
      </c>
      <c r="D3147" s="484">
        <v>5235.17814</v>
      </c>
      <c r="E3147" s="484">
        <v>5.4667000000000003</v>
      </c>
      <c r="F3147" s="484">
        <v>5.5819000000000001</v>
      </c>
      <c r="G3147" s="83">
        <f t="shared" si="48"/>
        <v>5.0553920634920662</v>
      </c>
    </row>
    <row r="3148" spans="1:7" x14ac:dyDescent="0.2">
      <c r="A3148" s="75">
        <v>43293</v>
      </c>
      <c r="B3148" s="76" t="s">
        <v>35</v>
      </c>
      <c r="C3148" s="76" t="s">
        <v>536</v>
      </c>
      <c r="D3148" s="484">
        <v>5225.1975970000003</v>
      </c>
      <c r="E3148" s="484">
        <v>5.5826000000000002</v>
      </c>
      <c r="F3148" s="484">
        <v>5.6401000000000003</v>
      </c>
      <c r="G3148" s="83">
        <f t="shared" si="48"/>
        <v>5.0747555555555577</v>
      </c>
    </row>
    <row r="3149" spans="1:7" x14ac:dyDescent="0.2">
      <c r="A3149" s="75">
        <v>43294</v>
      </c>
      <c r="B3149" s="76" t="s">
        <v>35</v>
      </c>
      <c r="C3149" s="76" t="s">
        <v>536</v>
      </c>
      <c r="D3149" s="484">
        <v>5243.4236030000002</v>
      </c>
      <c r="E3149" s="484">
        <v>5.6406999999999998</v>
      </c>
      <c r="F3149" s="484">
        <v>5.5842999999999998</v>
      </c>
      <c r="G3149" s="83">
        <f t="shared" si="48"/>
        <v>5.0950603174603195</v>
      </c>
    </row>
    <row r="3150" spans="1:7" x14ac:dyDescent="0.2">
      <c r="A3150" s="75">
        <v>43297</v>
      </c>
      <c r="B3150" s="76" t="s">
        <v>35</v>
      </c>
      <c r="C3150" s="76" t="s">
        <v>536</v>
      </c>
      <c r="D3150" s="484">
        <v>5248.1543510000001</v>
      </c>
      <c r="E3150" s="484">
        <v>5.5849000000000002</v>
      </c>
      <c r="F3150" s="484">
        <v>5.5830000000000002</v>
      </c>
      <c r="G3150" s="83">
        <f t="shared" si="48"/>
        <v>5.114012698412699</v>
      </c>
    </row>
    <row r="3151" spans="1:7" x14ac:dyDescent="0.2">
      <c r="A3151" s="75">
        <v>43298</v>
      </c>
      <c r="B3151" s="76" t="s">
        <v>35</v>
      </c>
      <c r="C3151" s="76" t="s">
        <v>536</v>
      </c>
      <c r="D3151" s="484">
        <v>5264.0266810000003</v>
      </c>
      <c r="E3151" s="484">
        <v>5.5835999999999997</v>
      </c>
      <c r="F3151" s="484">
        <v>5.5278999999999998</v>
      </c>
      <c r="G3151" s="83">
        <f t="shared" si="48"/>
        <v>5.1331428571428575</v>
      </c>
    </row>
    <row r="3152" spans="1:7" x14ac:dyDescent="0.2">
      <c r="A3152" s="75">
        <v>43299</v>
      </c>
      <c r="B3152" s="76" t="s">
        <v>35</v>
      </c>
      <c r="C3152" s="76" t="s">
        <v>536</v>
      </c>
      <c r="D3152" s="484">
        <v>5260.5534369999996</v>
      </c>
      <c r="E3152" s="484">
        <v>5.5286</v>
      </c>
      <c r="F3152" s="484">
        <v>5.5506000000000002</v>
      </c>
      <c r="G3152" s="83">
        <f t="shared" si="48"/>
        <v>5.1512888888888888</v>
      </c>
    </row>
    <row r="3153" spans="1:7" x14ac:dyDescent="0.2">
      <c r="A3153" s="75">
        <v>43300</v>
      </c>
      <c r="B3153" s="76" t="s">
        <v>35</v>
      </c>
      <c r="C3153" s="76" t="s">
        <v>536</v>
      </c>
      <c r="D3153" s="484">
        <v>5274.6373569999996</v>
      </c>
      <c r="E3153" s="484">
        <v>5.5511999999999997</v>
      </c>
      <c r="F3153" s="484">
        <v>5.5027999999999997</v>
      </c>
      <c r="G3153" s="83">
        <f t="shared" si="48"/>
        <v>5.170233333333333</v>
      </c>
    </row>
    <row r="3154" spans="1:7" x14ac:dyDescent="0.2">
      <c r="A3154" s="75">
        <v>43301</v>
      </c>
      <c r="B3154" s="76" t="s">
        <v>35</v>
      </c>
      <c r="C3154" s="76" t="s">
        <v>536</v>
      </c>
      <c r="D3154" s="484">
        <v>5305.0463410000002</v>
      </c>
      <c r="E3154" s="484">
        <v>5.5034999999999998</v>
      </c>
      <c r="F3154" s="484">
        <v>5.3902000000000001</v>
      </c>
      <c r="G3154" s="83">
        <f t="shared" si="48"/>
        <v>5.1881682539682528</v>
      </c>
    </row>
    <row r="3155" spans="1:7" x14ac:dyDescent="0.2">
      <c r="A3155" s="75">
        <v>43304</v>
      </c>
      <c r="B3155" s="76" t="s">
        <v>35</v>
      </c>
      <c r="C3155" s="76" t="s">
        <v>536</v>
      </c>
      <c r="D3155" s="484">
        <v>5296.0004710000003</v>
      </c>
      <c r="E3155" s="484">
        <v>5.3907999999999996</v>
      </c>
      <c r="F3155" s="484">
        <v>5.4314</v>
      </c>
      <c r="G3155" s="83">
        <f t="shared" si="48"/>
        <v>5.2041920634920631</v>
      </c>
    </row>
    <row r="3156" spans="1:7" x14ac:dyDescent="0.2">
      <c r="A3156" s="75">
        <v>43305</v>
      </c>
      <c r="B3156" s="76" t="s">
        <v>35</v>
      </c>
      <c r="C3156" s="76" t="s">
        <v>536</v>
      </c>
      <c r="D3156" s="484">
        <v>5303.7873159999999</v>
      </c>
      <c r="E3156" s="484">
        <v>5.4320000000000004</v>
      </c>
      <c r="F3156" s="484">
        <v>5.4082999999999997</v>
      </c>
      <c r="G3156" s="83">
        <f t="shared" si="48"/>
        <v>5.2199063492063491</v>
      </c>
    </row>
    <row r="3157" spans="1:7" x14ac:dyDescent="0.2">
      <c r="A3157" s="75">
        <v>43306</v>
      </c>
      <c r="B3157" s="76" t="s">
        <v>35</v>
      </c>
      <c r="C3157" s="76" t="s">
        <v>536</v>
      </c>
      <c r="D3157" s="484">
        <v>5330.5082570000004</v>
      </c>
      <c r="E3157" s="484">
        <v>5.4089</v>
      </c>
      <c r="F3157" s="484">
        <v>5.3102</v>
      </c>
      <c r="G3157" s="83">
        <f t="shared" si="48"/>
        <v>5.2352968253968255</v>
      </c>
    </row>
    <row r="3158" spans="1:7" x14ac:dyDescent="0.2">
      <c r="A3158" s="75">
        <v>43307</v>
      </c>
      <c r="B3158" s="76" t="s">
        <v>35</v>
      </c>
      <c r="C3158" s="76" t="s">
        <v>536</v>
      </c>
      <c r="D3158" s="484">
        <v>5314.8074429999997</v>
      </c>
      <c r="E3158" s="484">
        <v>5.3108000000000004</v>
      </c>
      <c r="F3158" s="484">
        <v>5.3802000000000003</v>
      </c>
      <c r="G3158" s="83">
        <f t="shared" si="48"/>
        <v>5.2489793650793652</v>
      </c>
    </row>
    <row r="3159" spans="1:7" x14ac:dyDescent="0.2">
      <c r="A3159" s="75">
        <v>43308</v>
      </c>
      <c r="B3159" s="76" t="s">
        <v>35</v>
      </c>
      <c r="C3159" s="76" t="s">
        <v>536</v>
      </c>
      <c r="D3159" s="484">
        <v>5325.6696689999999</v>
      </c>
      <c r="E3159" s="484">
        <v>5.3808999999999996</v>
      </c>
      <c r="F3159" s="484">
        <v>5.3451000000000004</v>
      </c>
      <c r="G3159" s="83">
        <f t="shared" si="48"/>
        <v>5.2643190476190478</v>
      </c>
    </row>
    <row r="3160" spans="1:7" x14ac:dyDescent="0.2">
      <c r="A3160" s="75">
        <v>43311</v>
      </c>
      <c r="B3160" s="76" t="s">
        <v>35</v>
      </c>
      <c r="C3160" s="76" t="s">
        <v>536</v>
      </c>
      <c r="D3160" s="484">
        <v>5325.7527069999996</v>
      </c>
      <c r="E3160" s="484">
        <v>5.3456999999999999</v>
      </c>
      <c r="F3160" s="484">
        <v>5.3525999999999998</v>
      </c>
      <c r="G3160" s="83">
        <f t="shared" si="48"/>
        <v>5.2798126984126972</v>
      </c>
    </row>
    <row r="3161" spans="1:7" x14ac:dyDescent="0.2">
      <c r="A3161" s="75">
        <v>43312</v>
      </c>
      <c r="B3161" s="76" t="s">
        <v>35</v>
      </c>
      <c r="C3161" s="76" t="s">
        <v>536</v>
      </c>
      <c r="D3161" s="484">
        <v>5320.4110030000002</v>
      </c>
      <c r="E3161" s="484">
        <v>5.3532000000000002</v>
      </c>
      <c r="F3161" s="484">
        <v>5.3815999999999997</v>
      </c>
      <c r="G3161" s="83">
        <f t="shared" si="48"/>
        <v>5.2949301587301578</v>
      </c>
    </row>
    <row r="3162" spans="1:7" x14ac:dyDescent="0.2">
      <c r="A3162" s="75">
        <v>43313</v>
      </c>
      <c r="B3162" s="76" t="s">
        <v>35</v>
      </c>
      <c r="C3162" s="76" t="s">
        <v>536</v>
      </c>
      <c r="D3162" s="484">
        <v>5330.1219389999997</v>
      </c>
      <c r="E3162" s="484">
        <v>5.3822000000000001</v>
      </c>
      <c r="F3162" s="484">
        <v>5.351</v>
      </c>
      <c r="G3162" s="83">
        <f t="shared" si="48"/>
        <v>5.3098841269841275</v>
      </c>
    </row>
    <row r="3163" spans="1:7" x14ac:dyDescent="0.2">
      <c r="A3163" s="75">
        <v>43314</v>
      </c>
      <c r="B3163" s="76" t="s">
        <v>35</v>
      </c>
      <c r="C3163" s="76" t="s">
        <v>536</v>
      </c>
      <c r="D3163" s="484">
        <v>5331.9507020000001</v>
      </c>
      <c r="E3163" s="484">
        <v>5.3517000000000001</v>
      </c>
      <c r="F3163" s="484">
        <v>5.3517000000000001</v>
      </c>
      <c r="G3163" s="83">
        <f t="shared" si="48"/>
        <v>5.3242761904761924</v>
      </c>
    </row>
    <row r="3164" spans="1:7" x14ac:dyDescent="0.2">
      <c r="A3164" s="75">
        <v>43315</v>
      </c>
      <c r="B3164" s="76" t="s">
        <v>35</v>
      </c>
      <c r="C3164" s="76" t="s">
        <v>536</v>
      </c>
      <c r="D3164" s="484">
        <v>5361.665387</v>
      </c>
      <c r="E3164" s="484">
        <v>5.3522999999999996</v>
      </c>
      <c r="F3164" s="484">
        <v>5.2423999999999999</v>
      </c>
      <c r="G3164" s="83">
        <f t="shared" si="48"/>
        <v>5.3388507936507947</v>
      </c>
    </row>
    <row r="3165" spans="1:7" x14ac:dyDescent="0.2">
      <c r="A3165" s="75">
        <v>43318</v>
      </c>
      <c r="B3165" s="76" t="s">
        <v>35</v>
      </c>
      <c r="C3165" s="76" t="s">
        <v>536</v>
      </c>
      <c r="D3165" s="484">
        <v>5365.8260639999999</v>
      </c>
      <c r="E3165" s="484">
        <v>5.2431000000000001</v>
      </c>
      <c r="F3165" s="484">
        <v>5.2339000000000002</v>
      </c>
      <c r="G3165" s="83">
        <f t="shared" si="48"/>
        <v>5.3509333333333347</v>
      </c>
    </row>
    <row r="3166" spans="1:7" x14ac:dyDescent="0.2">
      <c r="A3166" s="75">
        <v>43319</v>
      </c>
      <c r="B3166" s="76" t="s">
        <v>35</v>
      </c>
      <c r="C3166" s="76" t="s">
        <v>536</v>
      </c>
      <c r="D3166" s="484">
        <v>5348.3688899999997</v>
      </c>
      <c r="E3166" s="484">
        <v>5.2344999999999997</v>
      </c>
      <c r="F3166" s="484">
        <v>5.3102999999999998</v>
      </c>
      <c r="G3166" s="83">
        <f t="shared" si="48"/>
        <v>5.3613460317460326</v>
      </c>
    </row>
    <row r="3167" spans="1:7" x14ac:dyDescent="0.2">
      <c r="A3167" s="75">
        <v>43320</v>
      </c>
      <c r="B3167" s="76" t="s">
        <v>35</v>
      </c>
      <c r="C3167" s="76" t="s">
        <v>536</v>
      </c>
      <c r="D3167" s="484">
        <v>5349.2774650000001</v>
      </c>
      <c r="E3167" s="484">
        <v>5.3109000000000002</v>
      </c>
      <c r="F3167" s="484">
        <v>5.3193999999999999</v>
      </c>
      <c r="G3167" s="83">
        <f t="shared" si="48"/>
        <v>5.3713158730158748</v>
      </c>
    </row>
    <row r="3168" spans="1:7" x14ac:dyDescent="0.2">
      <c r="A3168" s="75">
        <v>43321</v>
      </c>
      <c r="B3168" s="76" t="s">
        <v>35</v>
      </c>
      <c r="C3168" s="76" t="s">
        <v>536</v>
      </c>
      <c r="D3168" s="484">
        <v>5321.5532130000001</v>
      </c>
      <c r="E3168" s="484">
        <v>5.32</v>
      </c>
      <c r="F3168" s="484">
        <v>5.4371</v>
      </c>
      <c r="G3168" s="83">
        <f t="shared" si="48"/>
        <v>5.3831730158730178</v>
      </c>
    </row>
    <row r="3169" spans="1:7" x14ac:dyDescent="0.2">
      <c r="A3169" s="75">
        <v>43322</v>
      </c>
      <c r="B3169" s="76" t="s">
        <v>35</v>
      </c>
      <c r="C3169" s="76" t="s">
        <v>536</v>
      </c>
      <c r="D3169" s="484">
        <v>5268.021248</v>
      </c>
      <c r="E3169" s="484">
        <v>5.4377000000000004</v>
      </c>
      <c r="F3169" s="484">
        <v>5.6589</v>
      </c>
      <c r="G3169" s="83">
        <f t="shared" si="48"/>
        <v>5.3959206349206372</v>
      </c>
    </row>
    <row r="3170" spans="1:7" x14ac:dyDescent="0.2">
      <c r="A3170" s="75">
        <v>43325</v>
      </c>
      <c r="B3170" s="76" t="s">
        <v>35</v>
      </c>
      <c r="C3170" s="76" t="s">
        <v>536</v>
      </c>
      <c r="D3170" s="484">
        <v>5280.0401689999999</v>
      </c>
      <c r="E3170" s="484">
        <v>5.6593999999999998</v>
      </c>
      <c r="F3170" s="484">
        <v>5.6189999999999998</v>
      </c>
      <c r="G3170" s="83">
        <f t="shared" si="48"/>
        <v>5.4108666666666689</v>
      </c>
    </row>
    <row r="3171" spans="1:7" x14ac:dyDescent="0.2">
      <c r="A3171" s="75">
        <v>43326</v>
      </c>
      <c r="B3171" s="76" t="s">
        <v>35</v>
      </c>
      <c r="C3171" s="76" t="s">
        <v>536</v>
      </c>
      <c r="D3171" s="484">
        <v>5341.5409559999998</v>
      </c>
      <c r="E3171" s="484">
        <v>5.6193999999999997</v>
      </c>
      <c r="F3171" s="484">
        <v>5.3826000000000001</v>
      </c>
      <c r="G3171" s="83">
        <f t="shared" si="48"/>
        <v>5.4246492063492076</v>
      </c>
    </row>
    <row r="3172" spans="1:7" x14ac:dyDescent="0.2">
      <c r="A3172" s="75">
        <v>43327</v>
      </c>
      <c r="B3172" s="76" t="s">
        <v>35</v>
      </c>
      <c r="C3172" s="76" t="s">
        <v>536</v>
      </c>
      <c r="D3172" s="484">
        <v>5350.8305829999999</v>
      </c>
      <c r="E3172" s="484">
        <v>5.3830999999999998</v>
      </c>
      <c r="F3172" s="484">
        <v>5.3540000000000001</v>
      </c>
      <c r="G3172" s="83">
        <f t="shared" si="48"/>
        <v>5.434460317460319</v>
      </c>
    </row>
    <row r="3173" spans="1:7" x14ac:dyDescent="0.2">
      <c r="A3173" s="75">
        <v>43328</v>
      </c>
      <c r="B3173" s="76" t="s">
        <v>35</v>
      </c>
      <c r="C3173" s="76" t="s">
        <v>536</v>
      </c>
      <c r="D3173" s="484">
        <v>5353.0518940000002</v>
      </c>
      <c r="E3173" s="484">
        <v>5.3544</v>
      </c>
      <c r="F3173" s="484">
        <v>5.3502999999999998</v>
      </c>
      <c r="G3173" s="83">
        <f t="shared" si="48"/>
        <v>5.4412809523809536</v>
      </c>
    </row>
    <row r="3174" spans="1:7" x14ac:dyDescent="0.2">
      <c r="A3174" s="75">
        <v>43329</v>
      </c>
      <c r="B3174" s="76" t="s">
        <v>35</v>
      </c>
      <c r="C3174" s="76" t="s">
        <v>536</v>
      </c>
      <c r="D3174" s="484">
        <v>5354.4099969999997</v>
      </c>
      <c r="E3174" s="484">
        <v>5.3506999999999998</v>
      </c>
      <c r="F3174" s="484">
        <v>5.35</v>
      </c>
      <c r="G3174" s="83">
        <f t="shared" si="48"/>
        <v>5.4452587301587316</v>
      </c>
    </row>
    <row r="3175" spans="1:7" x14ac:dyDescent="0.2">
      <c r="A3175" s="75">
        <v>43332</v>
      </c>
      <c r="B3175" s="76" t="s">
        <v>35</v>
      </c>
      <c r="C3175" s="76" t="s">
        <v>536</v>
      </c>
      <c r="D3175" s="484">
        <v>5337.4427539999997</v>
      </c>
      <c r="E3175" s="484">
        <v>5.3503999999999996</v>
      </c>
      <c r="F3175" s="484">
        <v>5.4219999999999997</v>
      </c>
      <c r="G3175" s="83">
        <f t="shared" si="48"/>
        <v>5.4501063492063508</v>
      </c>
    </row>
    <row r="3176" spans="1:7" x14ac:dyDescent="0.2">
      <c r="A3176" s="75">
        <v>43333</v>
      </c>
      <c r="B3176" s="76" t="s">
        <v>35</v>
      </c>
      <c r="C3176" s="76" t="s">
        <v>536</v>
      </c>
      <c r="D3176" s="484">
        <v>5272.2406360000004</v>
      </c>
      <c r="E3176" s="484">
        <v>5.4223999999999997</v>
      </c>
      <c r="F3176" s="484">
        <v>5.6867999999999999</v>
      </c>
      <c r="G3176" s="83">
        <f t="shared" si="48"/>
        <v>5.4571714285714288</v>
      </c>
    </row>
    <row r="3177" spans="1:7" x14ac:dyDescent="0.2">
      <c r="A3177" s="75">
        <v>43334</v>
      </c>
      <c r="B3177" s="76" t="s">
        <v>35</v>
      </c>
      <c r="C3177" s="76" t="s">
        <v>536</v>
      </c>
      <c r="D3177" s="484">
        <v>5305.9970560000002</v>
      </c>
      <c r="E3177" s="484">
        <v>5.6871</v>
      </c>
      <c r="F3177" s="484">
        <v>5.5571000000000002</v>
      </c>
      <c r="G3177" s="83">
        <f t="shared" si="48"/>
        <v>5.4672365079365077</v>
      </c>
    </row>
    <row r="3178" spans="1:7" x14ac:dyDescent="0.2">
      <c r="A3178" s="75">
        <v>43335</v>
      </c>
      <c r="B3178" s="76" t="s">
        <v>35</v>
      </c>
      <c r="C3178" s="76" t="s">
        <v>536</v>
      </c>
      <c r="D3178" s="484">
        <v>5287.3587310000003</v>
      </c>
      <c r="E3178" s="484">
        <v>5.5574000000000003</v>
      </c>
      <c r="F3178" s="484">
        <v>5.6365999999999996</v>
      </c>
      <c r="G3178" s="83">
        <f t="shared" si="48"/>
        <v>5.4742031746031747</v>
      </c>
    </row>
    <row r="3179" spans="1:7" x14ac:dyDescent="0.2">
      <c r="A3179" s="75">
        <v>43336</v>
      </c>
      <c r="B3179" s="76" t="s">
        <v>35</v>
      </c>
      <c r="C3179" s="76" t="s">
        <v>536</v>
      </c>
      <c r="D3179" s="484">
        <v>5304.0869990000001</v>
      </c>
      <c r="E3179" s="484">
        <v>5.6368999999999998</v>
      </c>
      <c r="F3179" s="484">
        <v>5.5730000000000004</v>
      </c>
      <c r="G3179" s="83">
        <f t="shared" si="48"/>
        <v>5.4809904761904766</v>
      </c>
    </row>
    <row r="3180" spans="1:7" x14ac:dyDescent="0.2">
      <c r="A3180" s="75">
        <v>43339</v>
      </c>
      <c r="B3180" s="76" t="s">
        <v>35</v>
      </c>
      <c r="C3180" s="76" t="s">
        <v>536</v>
      </c>
      <c r="D3180" s="484">
        <v>5326.2166370000004</v>
      </c>
      <c r="E3180" s="484">
        <v>5.5734000000000004</v>
      </c>
      <c r="F3180" s="484">
        <v>5.49</v>
      </c>
      <c r="G3180" s="83">
        <f t="shared" si="48"/>
        <v>5.4863380952380947</v>
      </c>
    </row>
    <row r="3181" spans="1:7" x14ac:dyDescent="0.2">
      <c r="A3181" s="75">
        <v>43340</v>
      </c>
      <c r="B3181" s="76" t="s">
        <v>35</v>
      </c>
      <c r="C3181" s="76" t="s">
        <v>536</v>
      </c>
      <c r="D3181" s="484">
        <v>5312.4351909999996</v>
      </c>
      <c r="E3181" s="484">
        <v>5.4904000000000002</v>
      </c>
      <c r="F3181" s="484">
        <v>5.5495999999999999</v>
      </c>
      <c r="G3181" s="83">
        <f t="shared" si="48"/>
        <v>5.4889063492063492</v>
      </c>
    </row>
    <row r="3182" spans="1:7" x14ac:dyDescent="0.2">
      <c r="A3182" s="75">
        <v>43341</v>
      </c>
      <c r="B3182" s="76" t="s">
        <v>35</v>
      </c>
      <c r="C3182" s="76" t="s">
        <v>536</v>
      </c>
      <c r="D3182" s="484">
        <v>5321.276871</v>
      </c>
      <c r="E3182" s="484">
        <v>5.55</v>
      </c>
      <c r="F3182" s="484">
        <v>5.5194000000000001</v>
      </c>
      <c r="G3182" s="83">
        <f t="shared" si="48"/>
        <v>5.4931365079365078</v>
      </c>
    </row>
    <row r="3183" spans="1:7" x14ac:dyDescent="0.2">
      <c r="A3183" s="75">
        <v>43342</v>
      </c>
      <c r="B3183" s="76" t="s">
        <v>35</v>
      </c>
      <c r="C3183" s="76" t="s">
        <v>536</v>
      </c>
      <c r="D3183" s="484">
        <v>5276.359856</v>
      </c>
      <c r="E3183" s="484">
        <v>5.5198</v>
      </c>
      <c r="F3183" s="484">
        <v>5.7035</v>
      </c>
      <c r="G3183" s="83">
        <f t="shared" si="48"/>
        <v>5.4979460317460314</v>
      </c>
    </row>
    <row r="3184" spans="1:7" x14ac:dyDescent="0.2">
      <c r="A3184" s="75">
        <v>43343</v>
      </c>
      <c r="B3184" s="76" t="s">
        <v>35</v>
      </c>
      <c r="C3184" s="76" t="s">
        <v>536</v>
      </c>
      <c r="D3184" s="484">
        <v>5295.1921890000003</v>
      </c>
      <c r="E3184" s="484">
        <v>5.7038000000000002</v>
      </c>
      <c r="F3184" s="484">
        <v>5.6330999999999998</v>
      </c>
      <c r="G3184" s="83">
        <f t="shared" si="48"/>
        <v>5.5062174603174601</v>
      </c>
    </row>
    <row r="3185" spans="1:7" x14ac:dyDescent="0.2">
      <c r="A3185" s="75">
        <v>43346</v>
      </c>
      <c r="B3185" s="76" t="s">
        <v>35</v>
      </c>
      <c r="C3185" s="76" t="s">
        <v>536</v>
      </c>
      <c r="D3185" s="484">
        <v>5269.4726899999996</v>
      </c>
      <c r="E3185" s="484">
        <v>5.6334</v>
      </c>
      <c r="F3185" s="484">
        <v>5.7409999999999997</v>
      </c>
      <c r="G3185" s="83">
        <f t="shared" si="48"/>
        <v>5.5102444444444432</v>
      </c>
    </row>
    <row r="3186" spans="1:7" x14ac:dyDescent="0.2">
      <c r="A3186" s="75">
        <v>43347</v>
      </c>
      <c r="B3186" s="76" t="s">
        <v>35</v>
      </c>
      <c r="C3186" s="76" t="s">
        <v>536</v>
      </c>
      <c r="D3186" s="484">
        <v>5239.64671</v>
      </c>
      <c r="E3186" s="484">
        <v>5.7412999999999998</v>
      </c>
      <c r="F3186" s="484">
        <v>5.8662000000000001</v>
      </c>
      <c r="G3186" s="83">
        <f t="shared" si="48"/>
        <v>5.5148174603174605</v>
      </c>
    </row>
    <row r="3187" spans="1:7" x14ac:dyDescent="0.2">
      <c r="A3187" s="75">
        <v>43348</v>
      </c>
      <c r="B3187" s="76" t="s">
        <v>35</v>
      </c>
      <c r="C3187" s="76" t="s">
        <v>536</v>
      </c>
      <c r="D3187" s="484">
        <v>5228.4340990000001</v>
      </c>
      <c r="E3187" s="484">
        <v>5.8663999999999996</v>
      </c>
      <c r="F3187" s="484">
        <v>5.9165999999999999</v>
      </c>
      <c r="G3187" s="83">
        <f t="shared" si="48"/>
        <v>5.5166619047619045</v>
      </c>
    </row>
    <row r="3188" spans="1:7" x14ac:dyDescent="0.2">
      <c r="A3188" s="75">
        <v>43349</v>
      </c>
      <c r="B3188" s="76" t="s">
        <v>35</v>
      </c>
      <c r="C3188" s="76" t="s">
        <v>536</v>
      </c>
      <c r="D3188" s="484">
        <v>5236.1531789999999</v>
      </c>
      <c r="E3188" s="484">
        <v>5.9168000000000003</v>
      </c>
      <c r="F3188" s="484">
        <v>5.8765000000000001</v>
      </c>
      <c r="G3188" s="83">
        <f t="shared" si="48"/>
        <v>5.5221714285714283</v>
      </c>
    </row>
    <row r="3189" spans="1:7" x14ac:dyDescent="0.2">
      <c r="A3189" s="75">
        <v>43353</v>
      </c>
      <c r="B3189" s="76" t="s">
        <v>35</v>
      </c>
      <c r="C3189" s="76" t="s">
        <v>536</v>
      </c>
      <c r="D3189" s="484">
        <v>5229.9649900000004</v>
      </c>
      <c r="E3189" s="484">
        <v>5.8766999999999996</v>
      </c>
      <c r="F3189" s="484">
        <v>5.9057000000000004</v>
      </c>
      <c r="G3189" s="83">
        <f t="shared" si="48"/>
        <v>5.5275190476190472</v>
      </c>
    </row>
    <row r="3190" spans="1:7" x14ac:dyDescent="0.2">
      <c r="A3190" s="75">
        <v>43354</v>
      </c>
      <c r="B3190" s="76" t="s">
        <v>35</v>
      </c>
      <c r="C3190" s="76" t="s">
        <v>536</v>
      </c>
      <c r="D3190" s="484">
        <v>5222.5848260000002</v>
      </c>
      <c r="E3190" s="484">
        <v>5.9059999999999997</v>
      </c>
      <c r="F3190" s="484">
        <v>5.9398999999999997</v>
      </c>
      <c r="G3190" s="83">
        <f t="shared" si="48"/>
        <v>5.5329666666666659</v>
      </c>
    </row>
    <row r="3191" spans="1:7" x14ac:dyDescent="0.2">
      <c r="A3191" s="75">
        <v>43355</v>
      </c>
      <c r="B3191" s="76" t="s">
        <v>35</v>
      </c>
      <c r="C3191" s="76" t="s">
        <v>536</v>
      </c>
      <c r="D3191" s="484">
        <v>5245.2001250000003</v>
      </c>
      <c r="E3191" s="484">
        <v>5.9401000000000002</v>
      </c>
      <c r="F3191" s="484">
        <v>5.8525</v>
      </c>
      <c r="G3191" s="83">
        <f t="shared" si="48"/>
        <v>5.5373238095238095</v>
      </c>
    </row>
    <row r="3192" spans="1:7" x14ac:dyDescent="0.2">
      <c r="A3192" s="75">
        <v>43356</v>
      </c>
      <c r="B3192" s="76" t="s">
        <v>35</v>
      </c>
      <c r="C3192" s="76" t="s">
        <v>536</v>
      </c>
      <c r="D3192" s="484">
        <v>5228.7480949999999</v>
      </c>
      <c r="E3192" s="484">
        <v>5.8528000000000002</v>
      </c>
      <c r="F3192" s="484">
        <v>5.9233000000000002</v>
      </c>
      <c r="G3192" s="83">
        <f t="shared" si="48"/>
        <v>5.5348238095238091</v>
      </c>
    </row>
    <row r="3193" spans="1:7" x14ac:dyDescent="0.2">
      <c r="A3193" s="75">
        <v>43357</v>
      </c>
      <c r="B3193" s="76" t="s">
        <v>35</v>
      </c>
      <c r="C3193" s="76" t="s">
        <v>536</v>
      </c>
      <c r="D3193" s="484">
        <v>5248.0696989999997</v>
      </c>
      <c r="E3193" s="484">
        <v>5.9236000000000004</v>
      </c>
      <c r="F3193" s="484">
        <v>5.8494000000000002</v>
      </c>
      <c r="G3193" s="83">
        <f t="shared" si="48"/>
        <v>5.5392761904761905</v>
      </c>
    </row>
    <row r="3194" spans="1:7" x14ac:dyDescent="0.2">
      <c r="A3194" s="75">
        <v>43360</v>
      </c>
      <c r="B3194" s="76" t="s">
        <v>35</v>
      </c>
      <c r="C3194" s="76" t="s">
        <v>536</v>
      </c>
      <c r="D3194" s="484">
        <v>5277.4739440000003</v>
      </c>
      <c r="E3194" s="484">
        <v>5.8498000000000001</v>
      </c>
      <c r="F3194" s="484">
        <v>5.7354000000000003</v>
      </c>
      <c r="G3194" s="83">
        <f t="shared" si="48"/>
        <v>5.5430444444444449</v>
      </c>
    </row>
    <row r="3195" spans="1:7" x14ac:dyDescent="0.2">
      <c r="A3195" s="75">
        <v>43361</v>
      </c>
      <c r="B3195" s="76" t="s">
        <v>35</v>
      </c>
      <c r="C3195" s="76" t="s">
        <v>536</v>
      </c>
      <c r="D3195" s="484">
        <v>5286.8200120000001</v>
      </c>
      <c r="E3195" s="484">
        <v>5.7358000000000002</v>
      </c>
      <c r="F3195" s="484">
        <v>5.7065999999999999</v>
      </c>
      <c r="G3195" s="83">
        <f t="shared" si="48"/>
        <v>5.5473809523809532</v>
      </c>
    </row>
    <row r="3196" spans="1:7" x14ac:dyDescent="0.2">
      <c r="A3196" s="75">
        <v>43362</v>
      </c>
      <c r="B3196" s="76" t="s">
        <v>35</v>
      </c>
      <c r="C3196" s="76" t="s">
        <v>536</v>
      </c>
      <c r="D3196" s="484">
        <v>5274.7732150000002</v>
      </c>
      <c r="E3196" s="484">
        <v>5.7070999999999996</v>
      </c>
      <c r="F3196" s="484">
        <v>5.7636000000000003</v>
      </c>
      <c r="G3196" s="83">
        <f t="shared" si="48"/>
        <v>5.5502222222222235</v>
      </c>
    </row>
    <row r="3197" spans="1:7" x14ac:dyDescent="0.2">
      <c r="A3197" s="75">
        <v>43363</v>
      </c>
      <c r="B3197" s="76" t="s">
        <v>35</v>
      </c>
      <c r="C3197" s="76" t="s">
        <v>536</v>
      </c>
      <c r="D3197" s="484">
        <v>5274.7901169999996</v>
      </c>
      <c r="E3197" s="484">
        <v>5.7641</v>
      </c>
      <c r="F3197" s="484">
        <v>5.7723000000000004</v>
      </c>
      <c r="G3197" s="83">
        <f t="shared" si="48"/>
        <v>5.5535777777777779</v>
      </c>
    </row>
    <row r="3198" spans="1:7" x14ac:dyDescent="0.2">
      <c r="A3198" s="75">
        <v>43364</v>
      </c>
      <c r="B3198" s="76" t="s">
        <v>35</v>
      </c>
      <c r="C3198" s="76" t="s">
        <v>536</v>
      </c>
      <c r="D3198" s="484">
        <v>5289.3071600000003</v>
      </c>
      <c r="E3198" s="484">
        <v>5.7727000000000004</v>
      </c>
      <c r="F3198" s="484">
        <v>5.7228000000000003</v>
      </c>
      <c r="G3198" s="83">
        <f t="shared" si="48"/>
        <v>5.5563793650793656</v>
      </c>
    </row>
    <row r="3199" spans="1:7" x14ac:dyDescent="0.2">
      <c r="A3199" s="75">
        <v>43367</v>
      </c>
      <c r="B3199" s="76" t="s">
        <v>35</v>
      </c>
      <c r="C3199" s="76" t="s">
        <v>536</v>
      </c>
      <c r="D3199" s="484">
        <v>5286.4019600000001</v>
      </c>
      <c r="E3199" s="484">
        <v>5.7232000000000003</v>
      </c>
      <c r="F3199" s="484">
        <v>5.7474999999999996</v>
      </c>
      <c r="G3199" s="83">
        <f t="shared" si="48"/>
        <v>5.559344444444446</v>
      </c>
    </row>
    <row r="3200" spans="1:7" x14ac:dyDescent="0.2">
      <c r="A3200" s="75">
        <v>43368</v>
      </c>
      <c r="B3200" s="76" t="s">
        <v>35</v>
      </c>
      <c r="C3200" s="76" t="s">
        <v>536</v>
      </c>
      <c r="D3200" s="484">
        <v>5292.7351939999999</v>
      </c>
      <c r="E3200" s="484">
        <v>5.7478999999999996</v>
      </c>
      <c r="F3200" s="484">
        <v>5.7317</v>
      </c>
      <c r="G3200" s="83">
        <f t="shared" si="48"/>
        <v>5.5631333333333339</v>
      </c>
    </row>
    <row r="3201" spans="1:7" x14ac:dyDescent="0.2">
      <c r="A3201" s="75">
        <v>43369</v>
      </c>
      <c r="B3201" s="76" t="s">
        <v>35</v>
      </c>
      <c r="C3201" s="76" t="s">
        <v>536</v>
      </c>
      <c r="D3201" s="484">
        <v>5303.6085849999999</v>
      </c>
      <c r="E3201" s="484">
        <v>5.7321999999999997</v>
      </c>
      <c r="F3201" s="484">
        <v>5.6978999999999997</v>
      </c>
      <c r="G3201" s="83">
        <f t="shared" si="48"/>
        <v>5.564636507936509</v>
      </c>
    </row>
    <row r="3202" spans="1:7" x14ac:dyDescent="0.2">
      <c r="A3202" s="75">
        <v>43370</v>
      </c>
      <c r="B3202" s="76" t="s">
        <v>35</v>
      </c>
      <c r="C3202" s="76" t="s">
        <v>536</v>
      </c>
      <c r="D3202" s="484">
        <v>5309.4775529999997</v>
      </c>
      <c r="E3202" s="484">
        <v>5.6984000000000004</v>
      </c>
      <c r="F3202" s="484">
        <v>5.6840999999999999</v>
      </c>
      <c r="G3202" s="83">
        <f t="shared" si="48"/>
        <v>5.5665682539682537</v>
      </c>
    </row>
    <row r="3203" spans="1:7" x14ac:dyDescent="0.2">
      <c r="A3203" s="75">
        <v>43371</v>
      </c>
      <c r="B3203" s="76" t="s">
        <v>35</v>
      </c>
      <c r="C3203" s="76" t="s">
        <v>536</v>
      </c>
      <c r="D3203" s="484">
        <v>5285.7705880000003</v>
      </c>
      <c r="E3203" s="484">
        <v>5.6845999999999997</v>
      </c>
      <c r="F3203" s="484">
        <v>5.7884000000000002</v>
      </c>
      <c r="G3203" s="83">
        <f t="shared" ref="G3203:G3266" si="49">+AVERAGE(E3141:E3203)</f>
        <v>5.5685507936507932</v>
      </c>
    </row>
    <row r="3204" spans="1:7" x14ac:dyDescent="0.2">
      <c r="A3204" s="75">
        <v>43374</v>
      </c>
      <c r="B3204" s="76" t="s">
        <v>35</v>
      </c>
      <c r="C3204" s="76" t="s">
        <v>536</v>
      </c>
      <c r="D3204" s="484">
        <v>5287.2879359999997</v>
      </c>
      <c r="E3204" s="484">
        <v>5.7888999999999999</v>
      </c>
      <c r="F3204" s="484">
        <v>5.7919999999999998</v>
      </c>
      <c r="G3204" s="83">
        <f t="shared" si="49"/>
        <v>5.5727777777777776</v>
      </c>
    </row>
    <row r="3205" spans="1:7" x14ac:dyDescent="0.2">
      <c r="A3205" s="75">
        <v>43375</v>
      </c>
      <c r="B3205" s="76" t="s">
        <v>35</v>
      </c>
      <c r="C3205" s="76" t="s">
        <v>536</v>
      </c>
      <c r="D3205" s="484">
        <v>5308.4057919999996</v>
      </c>
      <c r="E3205" s="484">
        <v>5.7925000000000004</v>
      </c>
      <c r="F3205" s="484">
        <v>5.7172999999999998</v>
      </c>
      <c r="G3205" s="83">
        <f t="shared" si="49"/>
        <v>5.5770349206349206</v>
      </c>
    </row>
    <row r="3206" spans="1:7" x14ac:dyDescent="0.2">
      <c r="A3206" s="75">
        <v>43376</v>
      </c>
      <c r="B3206" s="76" t="s">
        <v>35</v>
      </c>
      <c r="C3206" s="76" t="s">
        <v>536</v>
      </c>
      <c r="D3206" s="484">
        <v>5338.0832870000004</v>
      </c>
      <c r="E3206" s="484">
        <v>5.7179000000000002</v>
      </c>
      <c r="F3206" s="484">
        <v>5.6090999999999998</v>
      </c>
      <c r="G3206" s="83">
        <f t="shared" si="49"/>
        <v>5.5804682539682542</v>
      </c>
    </row>
    <row r="3207" spans="1:7" x14ac:dyDescent="0.2">
      <c r="A3207" s="75">
        <v>43377</v>
      </c>
      <c r="B3207" s="76" t="s">
        <v>35</v>
      </c>
      <c r="C3207" s="76" t="s">
        <v>536</v>
      </c>
      <c r="D3207" s="484">
        <v>5362.6489499999998</v>
      </c>
      <c r="E3207" s="484">
        <v>5.6097000000000001</v>
      </c>
      <c r="F3207" s="484">
        <v>5.5217000000000001</v>
      </c>
      <c r="G3207" s="83">
        <f t="shared" si="49"/>
        <v>5.5810444444444443</v>
      </c>
    </row>
    <row r="3208" spans="1:7" x14ac:dyDescent="0.2">
      <c r="A3208" s="75">
        <v>43378</v>
      </c>
      <c r="B3208" s="76" t="s">
        <v>35</v>
      </c>
      <c r="C3208" s="76" t="s">
        <v>536</v>
      </c>
      <c r="D3208" s="484">
        <v>5354.3904000000002</v>
      </c>
      <c r="E3208" s="484">
        <v>5.5223000000000004</v>
      </c>
      <c r="F3208" s="484">
        <v>5.5762</v>
      </c>
      <c r="G3208" s="83">
        <f t="shared" si="49"/>
        <v>5.5808476190476188</v>
      </c>
    </row>
    <row r="3209" spans="1:7" x14ac:dyDescent="0.2">
      <c r="A3209" s="75">
        <v>43381</v>
      </c>
      <c r="B3209" s="76" t="s">
        <v>35</v>
      </c>
      <c r="C3209" s="76" t="s">
        <v>536</v>
      </c>
      <c r="D3209" s="484">
        <v>5443.1966210000001</v>
      </c>
      <c r="E3209" s="484">
        <v>5.5768000000000004</v>
      </c>
      <c r="F3209" s="484">
        <v>5.2396000000000003</v>
      </c>
      <c r="G3209" s="83">
        <f t="shared" si="49"/>
        <v>5.5815253968253966</v>
      </c>
    </row>
    <row r="3210" spans="1:7" x14ac:dyDescent="0.2">
      <c r="A3210" s="75">
        <v>43382</v>
      </c>
      <c r="B3210" s="76" t="s">
        <v>35</v>
      </c>
      <c r="C3210" s="76" t="s">
        <v>536</v>
      </c>
      <c r="D3210" s="484">
        <v>5486.2855339999996</v>
      </c>
      <c r="E3210" s="484">
        <v>5.2401999999999997</v>
      </c>
      <c r="F3210" s="484">
        <v>5.0838000000000001</v>
      </c>
      <c r="G3210" s="83">
        <f t="shared" si="49"/>
        <v>5.5779301587301582</v>
      </c>
    </row>
    <row r="3211" spans="1:7" x14ac:dyDescent="0.2">
      <c r="A3211" s="75">
        <v>43383</v>
      </c>
      <c r="B3211" s="76" t="s">
        <v>35</v>
      </c>
      <c r="C3211" s="76" t="s">
        <v>536</v>
      </c>
      <c r="D3211" s="484">
        <v>5476.9425760000004</v>
      </c>
      <c r="E3211" s="484">
        <v>5.0845000000000002</v>
      </c>
      <c r="F3211" s="484">
        <v>5.1298000000000004</v>
      </c>
      <c r="G3211" s="83">
        <f t="shared" si="49"/>
        <v>5.5700238095238088</v>
      </c>
    </row>
    <row r="3212" spans="1:7" x14ac:dyDescent="0.2">
      <c r="A3212" s="75">
        <v>43384</v>
      </c>
      <c r="B3212" s="76" t="s">
        <v>35</v>
      </c>
      <c r="C3212" s="76" t="s">
        <v>536</v>
      </c>
      <c r="D3212" s="484">
        <v>5485.4559120000004</v>
      </c>
      <c r="E3212" s="484">
        <v>5.1304999999999996</v>
      </c>
      <c r="F3212" s="484">
        <v>5.1073000000000004</v>
      </c>
      <c r="G3212" s="83">
        <f t="shared" si="49"/>
        <v>5.5619253968253952</v>
      </c>
    </row>
    <row r="3213" spans="1:7" x14ac:dyDescent="0.2">
      <c r="A3213" s="75">
        <v>43388</v>
      </c>
      <c r="B3213" s="76" t="s">
        <v>35</v>
      </c>
      <c r="C3213" s="76" t="s">
        <v>536</v>
      </c>
      <c r="D3213" s="484">
        <v>5516.1825159999999</v>
      </c>
      <c r="E3213" s="484">
        <v>5.1079999999999997</v>
      </c>
      <c r="F3213" s="484">
        <v>5</v>
      </c>
      <c r="G3213" s="83">
        <f t="shared" si="49"/>
        <v>5.5543555555555546</v>
      </c>
    </row>
    <row r="3214" spans="1:7" x14ac:dyDescent="0.2">
      <c r="A3214" s="75">
        <v>43389</v>
      </c>
      <c r="B3214" s="76" t="s">
        <v>35</v>
      </c>
      <c r="C3214" s="76" t="s">
        <v>536</v>
      </c>
      <c r="D3214" s="484">
        <v>5543.8587209999996</v>
      </c>
      <c r="E3214" s="484">
        <v>5.0007000000000001</v>
      </c>
      <c r="F3214" s="484">
        <v>4.9043000000000001</v>
      </c>
      <c r="G3214" s="83">
        <f t="shared" si="49"/>
        <v>5.5451031746031738</v>
      </c>
    </row>
    <row r="3215" spans="1:7" x14ac:dyDescent="0.2">
      <c r="A3215" s="75">
        <v>43390</v>
      </c>
      <c r="B3215" s="76" t="s">
        <v>35</v>
      </c>
      <c r="C3215" s="76" t="s">
        <v>536</v>
      </c>
      <c r="D3215" s="484">
        <v>5571.1989210000002</v>
      </c>
      <c r="E3215" s="484">
        <v>4.9050000000000002</v>
      </c>
      <c r="F3215" s="484">
        <v>4.8103999999999996</v>
      </c>
      <c r="G3215" s="83">
        <f t="shared" si="49"/>
        <v>5.5352047619047609</v>
      </c>
    </row>
    <row r="3216" spans="1:7" x14ac:dyDescent="0.2">
      <c r="A3216" s="75">
        <v>43391</v>
      </c>
      <c r="B3216" s="76" t="s">
        <v>35</v>
      </c>
      <c r="C3216" s="76" t="s">
        <v>536</v>
      </c>
      <c r="D3216" s="484">
        <v>5557.11301</v>
      </c>
      <c r="E3216" s="484">
        <v>4.8109999999999999</v>
      </c>
      <c r="F3216" s="484">
        <v>4.8727</v>
      </c>
      <c r="G3216" s="83">
        <f t="shared" si="49"/>
        <v>5.5234555555555529</v>
      </c>
    </row>
    <row r="3217" spans="1:7" x14ac:dyDescent="0.2">
      <c r="A3217" s="75">
        <v>43392</v>
      </c>
      <c r="B3217" s="76" t="s">
        <v>35</v>
      </c>
      <c r="C3217" s="76" t="s">
        <v>536</v>
      </c>
      <c r="D3217" s="484">
        <v>5556.4586529999997</v>
      </c>
      <c r="E3217" s="484">
        <v>4.8733000000000004</v>
      </c>
      <c r="F3217" s="484">
        <v>4.8844000000000003</v>
      </c>
      <c r="G3217" s="83">
        <f t="shared" si="49"/>
        <v>5.513452380952379</v>
      </c>
    </row>
    <row r="3218" spans="1:7" x14ac:dyDescent="0.2">
      <c r="A3218" s="75">
        <v>43395</v>
      </c>
      <c r="B3218" s="76" t="s">
        <v>35</v>
      </c>
      <c r="C3218" s="76" t="s">
        <v>536</v>
      </c>
      <c r="D3218" s="484">
        <v>5590.2285519999996</v>
      </c>
      <c r="E3218" s="484">
        <v>4.8849</v>
      </c>
      <c r="F3218" s="484">
        <v>4.7664</v>
      </c>
      <c r="G3218" s="83">
        <f t="shared" si="49"/>
        <v>5.5054222222222196</v>
      </c>
    </row>
    <row r="3219" spans="1:7" x14ac:dyDescent="0.2">
      <c r="A3219" s="75">
        <v>43396</v>
      </c>
      <c r="B3219" s="76" t="s">
        <v>35</v>
      </c>
      <c r="C3219" s="76" t="s">
        <v>536</v>
      </c>
      <c r="D3219" s="484">
        <v>5602.4890079999996</v>
      </c>
      <c r="E3219" s="484">
        <v>4.7668999999999997</v>
      </c>
      <c r="F3219" s="484">
        <v>4.7294999999999998</v>
      </c>
      <c r="G3219" s="83">
        <f t="shared" si="49"/>
        <v>5.4948650793650788</v>
      </c>
    </row>
    <row r="3220" spans="1:7" x14ac:dyDescent="0.2">
      <c r="A3220" s="75">
        <v>43397</v>
      </c>
      <c r="B3220" s="76" t="s">
        <v>35</v>
      </c>
      <c r="C3220" s="76" t="s">
        <v>536</v>
      </c>
      <c r="D3220" s="484">
        <v>5593.2308190000003</v>
      </c>
      <c r="E3220" s="484">
        <v>4.7301000000000002</v>
      </c>
      <c r="F3220" s="484">
        <v>4.7766000000000002</v>
      </c>
      <c r="G3220" s="83">
        <f t="shared" si="49"/>
        <v>5.4840904761904756</v>
      </c>
    </row>
    <row r="3221" spans="1:7" x14ac:dyDescent="0.2">
      <c r="A3221" s="75">
        <v>43398</v>
      </c>
      <c r="B3221" s="76" t="s">
        <v>35</v>
      </c>
      <c r="C3221" s="76" t="s">
        <v>536</v>
      </c>
      <c r="D3221" s="484">
        <v>5589.4503269999996</v>
      </c>
      <c r="E3221" s="484">
        <v>4.7771999999999997</v>
      </c>
      <c r="F3221" s="484">
        <v>4.8003999999999998</v>
      </c>
      <c r="G3221" s="83">
        <f t="shared" si="49"/>
        <v>5.4756206349206327</v>
      </c>
    </row>
    <row r="3222" spans="1:7" x14ac:dyDescent="0.2">
      <c r="A3222" s="75">
        <v>43399</v>
      </c>
      <c r="B3222" s="76" t="s">
        <v>35</v>
      </c>
      <c r="C3222" s="76" t="s">
        <v>536</v>
      </c>
      <c r="D3222" s="484">
        <v>5629.1412710000004</v>
      </c>
      <c r="E3222" s="484">
        <v>4.8009000000000004</v>
      </c>
      <c r="F3222" s="484">
        <v>4.6616</v>
      </c>
      <c r="G3222" s="83">
        <f t="shared" si="49"/>
        <v>5.4664142857142837</v>
      </c>
    </row>
    <row r="3223" spans="1:7" x14ac:dyDescent="0.2">
      <c r="A3223" s="75">
        <v>43402</v>
      </c>
      <c r="B3223" s="76" t="s">
        <v>35</v>
      </c>
      <c r="C3223" s="76" t="s">
        <v>536</v>
      </c>
      <c r="D3223" s="484">
        <v>5619.5635579999998</v>
      </c>
      <c r="E3223" s="484">
        <v>4.6622000000000003</v>
      </c>
      <c r="F3223" s="484">
        <v>4.7068000000000003</v>
      </c>
      <c r="G3223" s="83">
        <f t="shared" si="49"/>
        <v>5.4555650793650763</v>
      </c>
    </row>
    <row r="3224" spans="1:7" x14ac:dyDescent="0.2">
      <c r="A3224" s="75">
        <v>43403</v>
      </c>
      <c r="B3224" s="76" t="s">
        <v>35</v>
      </c>
      <c r="C3224" s="76" t="s">
        <v>536</v>
      </c>
      <c r="D3224" s="484">
        <v>5622.7166450000004</v>
      </c>
      <c r="E3224" s="484">
        <v>4.7073999999999998</v>
      </c>
      <c r="F3224" s="484">
        <v>4.7046000000000001</v>
      </c>
      <c r="G3224" s="83">
        <f t="shared" si="49"/>
        <v>5.445314285714284</v>
      </c>
    </row>
    <row r="3225" spans="1:7" x14ac:dyDescent="0.2">
      <c r="A3225" s="75">
        <v>43404</v>
      </c>
      <c r="B3225" s="76" t="s">
        <v>35</v>
      </c>
      <c r="C3225" s="76" t="s">
        <v>536</v>
      </c>
      <c r="D3225" s="484">
        <v>5626.64959</v>
      </c>
      <c r="E3225" s="484">
        <v>4.7050999999999998</v>
      </c>
      <c r="F3225" s="484">
        <v>4.6993999999999998</v>
      </c>
      <c r="G3225" s="83">
        <f t="shared" si="49"/>
        <v>5.4345666666666652</v>
      </c>
    </row>
    <row r="3226" spans="1:7" x14ac:dyDescent="0.2">
      <c r="A3226" s="75">
        <v>43405</v>
      </c>
      <c r="B3226" s="76" t="s">
        <v>35</v>
      </c>
      <c r="C3226" s="76" t="s">
        <v>536</v>
      </c>
      <c r="D3226" s="484">
        <v>5635.6652940000004</v>
      </c>
      <c r="E3226" s="484">
        <v>4.6999000000000004</v>
      </c>
      <c r="F3226" s="484">
        <v>4.6753</v>
      </c>
      <c r="G3226" s="83">
        <f t="shared" si="49"/>
        <v>5.4242206349206343</v>
      </c>
    </row>
    <row r="3227" spans="1:7" x14ac:dyDescent="0.2">
      <c r="A3227" s="75">
        <v>43409</v>
      </c>
      <c r="B3227" s="76" t="s">
        <v>35</v>
      </c>
      <c r="C3227" s="76" t="s">
        <v>536</v>
      </c>
      <c r="D3227" s="484">
        <v>5646.4437399999997</v>
      </c>
      <c r="E3227" s="484">
        <v>4.6757999999999997</v>
      </c>
      <c r="F3227" s="484">
        <v>4.6447000000000003</v>
      </c>
      <c r="G3227" s="83">
        <f t="shared" si="49"/>
        <v>5.4134825396825388</v>
      </c>
    </row>
    <row r="3228" spans="1:7" x14ac:dyDescent="0.2">
      <c r="A3228" s="75">
        <v>43410</v>
      </c>
      <c r="B3228" s="76" t="s">
        <v>35</v>
      </c>
      <c r="C3228" s="76" t="s">
        <v>536</v>
      </c>
      <c r="D3228" s="484">
        <v>5644.800225</v>
      </c>
      <c r="E3228" s="484">
        <v>4.6452</v>
      </c>
      <c r="F3228" s="484">
        <v>4.6601999999999997</v>
      </c>
      <c r="G3228" s="83">
        <f t="shared" si="49"/>
        <v>5.403992063492062</v>
      </c>
    </row>
    <row r="3229" spans="1:7" x14ac:dyDescent="0.2">
      <c r="A3229" s="75">
        <v>43411</v>
      </c>
      <c r="B3229" s="76" t="s">
        <v>35</v>
      </c>
      <c r="C3229" s="76" t="s">
        <v>536</v>
      </c>
      <c r="D3229" s="484">
        <v>5633.243305</v>
      </c>
      <c r="E3229" s="484">
        <v>4.6607000000000003</v>
      </c>
      <c r="F3229" s="484">
        <v>4.6989000000000001</v>
      </c>
      <c r="G3229" s="83">
        <f t="shared" si="49"/>
        <v>5.3948841269841257</v>
      </c>
    </row>
    <row r="3230" spans="1:7" x14ac:dyDescent="0.2">
      <c r="A3230" s="75">
        <v>43412</v>
      </c>
      <c r="B3230" s="76" t="s">
        <v>35</v>
      </c>
      <c r="C3230" s="76" t="s">
        <v>536</v>
      </c>
      <c r="D3230" s="484">
        <v>5620.3849259999997</v>
      </c>
      <c r="E3230" s="484">
        <v>4.6993999999999998</v>
      </c>
      <c r="F3230" s="484">
        <v>4.7553999999999998</v>
      </c>
      <c r="G3230" s="83">
        <f t="shared" si="49"/>
        <v>5.385177777777777</v>
      </c>
    </row>
    <row r="3231" spans="1:7" x14ac:dyDescent="0.2">
      <c r="A3231" s="75">
        <v>43413</v>
      </c>
      <c r="B3231" s="76" t="s">
        <v>35</v>
      </c>
      <c r="C3231" s="76" t="s">
        <v>536</v>
      </c>
      <c r="D3231" s="484">
        <v>5607.6027110000005</v>
      </c>
      <c r="E3231" s="484">
        <v>4.7558999999999996</v>
      </c>
      <c r="F3231" s="484">
        <v>4.8117999999999999</v>
      </c>
      <c r="G3231" s="83">
        <f t="shared" si="49"/>
        <v>5.3762238095238084</v>
      </c>
    </row>
    <row r="3232" spans="1:7" x14ac:dyDescent="0.2">
      <c r="A3232" s="75">
        <v>43416</v>
      </c>
      <c r="B3232" s="76" t="s">
        <v>35</v>
      </c>
      <c r="C3232" s="76" t="s">
        <v>536</v>
      </c>
      <c r="D3232" s="484">
        <v>5596.7890610000004</v>
      </c>
      <c r="E3232" s="484">
        <v>4.8122999999999996</v>
      </c>
      <c r="F3232" s="484">
        <v>4.8609999999999998</v>
      </c>
      <c r="G3232" s="83">
        <f t="shared" si="49"/>
        <v>5.3662968253968248</v>
      </c>
    </row>
    <row r="3233" spans="1:7" x14ac:dyDescent="0.2">
      <c r="A3233" s="75">
        <v>43417</v>
      </c>
      <c r="B3233" s="76" t="s">
        <v>35</v>
      </c>
      <c r="C3233" s="76" t="s">
        <v>536</v>
      </c>
      <c r="D3233" s="484">
        <v>5585.4807440000004</v>
      </c>
      <c r="E3233" s="484">
        <v>4.8615000000000004</v>
      </c>
      <c r="F3233" s="484">
        <v>4.9122000000000003</v>
      </c>
      <c r="G3233" s="83">
        <f t="shared" si="49"/>
        <v>5.3536317460317466</v>
      </c>
    </row>
    <row r="3234" spans="1:7" x14ac:dyDescent="0.2">
      <c r="A3234" s="75">
        <v>43418</v>
      </c>
      <c r="B3234" s="76" t="s">
        <v>35</v>
      </c>
      <c r="C3234" s="76" t="s">
        <v>536</v>
      </c>
      <c r="D3234" s="484">
        <v>5603.5432170000004</v>
      </c>
      <c r="E3234" s="484">
        <v>4.9127000000000001</v>
      </c>
      <c r="F3234" s="484">
        <v>4.8532000000000002</v>
      </c>
      <c r="G3234" s="83">
        <f t="shared" si="49"/>
        <v>5.3424142857142849</v>
      </c>
    </row>
    <row r="3235" spans="1:7" x14ac:dyDescent="0.2">
      <c r="A3235" s="75">
        <v>43420</v>
      </c>
      <c r="B3235" s="76" t="s">
        <v>35</v>
      </c>
      <c r="C3235" s="76" t="s">
        <v>536</v>
      </c>
      <c r="D3235" s="484">
        <v>5640.9163879999996</v>
      </c>
      <c r="E3235" s="484">
        <v>4.8536999999999999</v>
      </c>
      <c r="F3235" s="484">
        <v>4.7225000000000001</v>
      </c>
      <c r="G3235" s="83">
        <f t="shared" si="49"/>
        <v>5.3340111111111099</v>
      </c>
    </row>
    <row r="3236" spans="1:7" x14ac:dyDescent="0.2">
      <c r="A3236" s="75">
        <v>43423</v>
      </c>
      <c r="B3236" s="76" t="s">
        <v>35</v>
      </c>
      <c r="C3236" s="76" t="s">
        <v>536</v>
      </c>
      <c r="D3236" s="484">
        <v>5634.7954419999996</v>
      </c>
      <c r="E3236" s="484">
        <v>4.7229999999999999</v>
      </c>
      <c r="F3236" s="484">
        <v>4.7491000000000003</v>
      </c>
      <c r="G3236" s="83">
        <f t="shared" si="49"/>
        <v>5.3239888888888878</v>
      </c>
    </row>
    <row r="3237" spans="1:7" x14ac:dyDescent="0.2">
      <c r="A3237" s="75">
        <v>43424</v>
      </c>
      <c r="B3237" s="76" t="s">
        <v>35</v>
      </c>
      <c r="C3237" s="76" t="s">
        <v>536</v>
      </c>
      <c r="D3237" s="484">
        <v>5635.7257730000001</v>
      </c>
      <c r="E3237" s="484">
        <v>4.7496</v>
      </c>
      <c r="F3237" s="484">
        <v>4.7495000000000003</v>
      </c>
      <c r="G3237" s="83">
        <f t="shared" si="49"/>
        <v>5.314447619047618</v>
      </c>
    </row>
    <row r="3238" spans="1:7" x14ac:dyDescent="0.2">
      <c r="A3238" s="75">
        <v>43425</v>
      </c>
      <c r="B3238" s="76" t="s">
        <v>35</v>
      </c>
      <c r="C3238" s="76" t="s">
        <v>536</v>
      </c>
      <c r="D3238" s="484">
        <v>5649.1740360000003</v>
      </c>
      <c r="E3238" s="484">
        <v>4.75</v>
      </c>
      <c r="F3238" s="484">
        <v>4.7034000000000002</v>
      </c>
      <c r="G3238" s="83">
        <f t="shared" si="49"/>
        <v>5.3049174603174594</v>
      </c>
    </row>
    <row r="3239" spans="1:7" x14ac:dyDescent="0.2">
      <c r="A3239" s="75">
        <v>43426</v>
      </c>
      <c r="B3239" s="76" t="s">
        <v>35</v>
      </c>
      <c r="C3239" s="76" t="s">
        <v>536</v>
      </c>
      <c r="D3239" s="484">
        <v>5653.7109659999996</v>
      </c>
      <c r="E3239" s="484">
        <v>4.7038000000000002</v>
      </c>
      <c r="F3239" s="484">
        <v>4.6902999999999997</v>
      </c>
      <c r="G3239" s="83">
        <f t="shared" si="49"/>
        <v>5.2935111111111102</v>
      </c>
    </row>
    <row r="3240" spans="1:7" x14ac:dyDescent="0.2">
      <c r="A3240" s="75">
        <v>43427</v>
      </c>
      <c r="B3240" s="76" t="s">
        <v>35</v>
      </c>
      <c r="C3240" s="76" t="s">
        <v>536</v>
      </c>
      <c r="D3240" s="484">
        <v>5656.4671689999996</v>
      </c>
      <c r="E3240" s="484">
        <v>4.6908000000000003</v>
      </c>
      <c r="F3240" s="484">
        <v>4.6839000000000004</v>
      </c>
      <c r="G3240" s="83">
        <f t="shared" si="49"/>
        <v>5.2776968253968262</v>
      </c>
    </row>
    <row r="3241" spans="1:7" x14ac:dyDescent="0.2">
      <c r="A3241" s="75">
        <v>43430</v>
      </c>
      <c r="B3241" s="76" t="s">
        <v>35</v>
      </c>
      <c r="C3241" s="76" t="s">
        <v>536</v>
      </c>
      <c r="D3241" s="484">
        <v>5618.3996399999996</v>
      </c>
      <c r="E3241" s="484">
        <v>4.6844000000000001</v>
      </c>
      <c r="F3241" s="484">
        <v>4.8274999999999997</v>
      </c>
      <c r="G3241" s="83">
        <f t="shared" si="49"/>
        <v>5.2638396825396816</v>
      </c>
    </row>
    <row r="3242" spans="1:7" x14ac:dyDescent="0.2">
      <c r="A3242" s="75">
        <v>43431</v>
      </c>
      <c r="B3242" s="76" t="s">
        <v>35</v>
      </c>
      <c r="C3242" s="76" t="s">
        <v>536</v>
      </c>
      <c r="D3242" s="484">
        <v>5615.0073229999998</v>
      </c>
      <c r="E3242" s="484">
        <v>4.8278999999999996</v>
      </c>
      <c r="F3242" s="484">
        <v>4.8437000000000001</v>
      </c>
      <c r="G3242" s="83">
        <f t="shared" si="49"/>
        <v>5.2509984126984133</v>
      </c>
    </row>
    <row r="3243" spans="1:7" x14ac:dyDescent="0.2">
      <c r="A3243" s="75">
        <v>43432</v>
      </c>
      <c r="B3243" s="76" t="s">
        <v>35</v>
      </c>
      <c r="C3243" s="76" t="s">
        <v>536</v>
      </c>
      <c r="D3243" s="484">
        <v>5627.9857069999998</v>
      </c>
      <c r="E3243" s="484">
        <v>4.8441000000000001</v>
      </c>
      <c r="F3243" s="484">
        <v>4.7988</v>
      </c>
      <c r="G3243" s="83">
        <f t="shared" si="49"/>
        <v>5.2394222222222231</v>
      </c>
    </row>
    <row r="3244" spans="1:7" x14ac:dyDescent="0.2">
      <c r="A3244" s="75">
        <v>43433</v>
      </c>
      <c r="B3244" s="76" t="s">
        <v>35</v>
      </c>
      <c r="C3244" s="76" t="s">
        <v>536</v>
      </c>
      <c r="D3244" s="484">
        <v>5629.4622559999998</v>
      </c>
      <c r="E3244" s="484">
        <v>4.7992999999999997</v>
      </c>
      <c r="F3244" s="484">
        <v>4.7968999999999999</v>
      </c>
      <c r="G3244" s="83">
        <f t="shared" si="49"/>
        <v>5.2284523809523815</v>
      </c>
    </row>
    <row r="3245" spans="1:7" x14ac:dyDescent="0.2">
      <c r="A3245" s="75">
        <v>43434</v>
      </c>
      <c r="B3245" s="76" t="s">
        <v>35</v>
      </c>
      <c r="C3245" s="76" t="s">
        <v>536</v>
      </c>
      <c r="D3245" s="484">
        <v>5638.9454569999998</v>
      </c>
      <c r="E3245" s="484">
        <v>4.7972999999999999</v>
      </c>
      <c r="F3245" s="484">
        <v>4.7651000000000003</v>
      </c>
      <c r="G3245" s="83">
        <f t="shared" si="49"/>
        <v>5.216504761904762</v>
      </c>
    </row>
    <row r="3246" spans="1:7" x14ac:dyDescent="0.2">
      <c r="A3246" s="75">
        <v>43437</v>
      </c>
      <c r="B3246" s="76" t="s">
        <v>35</v>
      </c>
      <c r="C3246" s="76" t="s">
        <v>536</v>
      </c>
      <c r="D3246" s="484">
        <v>5643.7544680000001</v>
      </c>
      <c r="E3246" s="484">
        <v>4.7655000000000003</v>
      </c>
      <c r="F3246" s="484">
        <v>4.7507000000000001</v>
      </c>
      <c r="G3246" s="83">
        <f t="shared" si="49"/>
        <v>5.204531746031746</v>
      </c>
    </row>
    <row r="3247" spans="1:7" x14ac:dyDescent="0.2">
      <c r="A3247" s="75">
        <v>43438</v>
      </c>
      <c r="B3247" s="76" t="s">
        <v>35</v>
      </c>
      <c r="C3247" s="76" t="s">
        <v>536</v>
      </c>
      <c r="D3247" s="484">
        <v>5631.8624030000001</v>
      </c>
      <c r="E3247" s="484">
        <v>4.7511999999999999</v>
      </c>
      <c r="F3247" s="484">
        <v>4.7984999999999998</v>
      </c>
      <c r="G3247" s="83">
        <f t="shared" si="49"/>
        <v>5.1894111111111103</v>
      </c>
    </row>
    <row r="3248" spans="1:7" x14ac:dyDescent="0.2">
      <c r="A3248" s="75">
        <v>43439</v>
      </c>
      <c r="B3248" s="76" t="s">
        <v>35</v>
      </c>
      <c r="C3248" s="76" t="s">
        <v>536</v>
      </c>
      <c r="D3248" s="484">
        <v>5638.3377959999998</v>
      </c>
      <c r="E3248" s="484">
        <v>4.7988999999999997</v>
      </c>
      <c r="F3248" s="484">
        <v>4.7778999999999998</v>
      </c>
      <c r="G3248" s="83">
        <f t="shared" si="49"/>
        <v>5.17616507936508</v>
      </c>
    </row>
    <row r="3249" spans="1:7" x14ac:dyDescent="0.2">
      <c r="A3249" s="75">
        <v>43440</v>
      </c>
      <c r="B3249" s="76" t="s">
        <v>35</v>
      </c>
      <c r="C3249" s="76" t="s">
        <v>536</v>
      </c>
      <c r="D3249" s="484">
        <v>5644.9250439999996</v>
      </c>
      <c r="E3249" s="484">
        <v>4.7784000000000004</v>
      </c>
      <c r="F3249" s="484">
        <v>4.7569999999999997</v>
      </c>
      <c r="G3249" s="83">
        <f t="shared" si="49"/>
        <v>5.1608809523809525</v>
      </c>
    </row>
    <row r="3250" spans="1:7" x14ac:dyDescent="0.2">
      <c r="A3250" s="75">
        <v>43441</v>
      </c>
      <c r="B3250" s="76" t="s">
        <v>35</v>
      </c>
      <c r="C3250" s="76" t="s">
        <v>536</v>
      </c>
      <c r="D3250" s="484">
        <v>5647.2046110000001</v>
      </c>
      <c r="E3250" s="484">
        <v>4.7573999999999996</v>
      </c>
      <c r="F3250" s="484">
        <v>4.7324999999999999</v>
      </c>
      <c r="G3250" s="83">
        <f t="shared" si="49"/>
        <v>5.1432777777777776</v>
      </c>
    </row>
    <row r="3251" spans="1:7" x14ac:dyDescent="0.2">
      <c r="A3251" s="75">
        <v>43444</v>
      </c>
      <c r="B3251" s="76" t="s">
        <v>35</v>
      </c>
      <c r="C3251" s="76" t="s">
        <v>536</v>
      </c>
      <c r="D3251" s="484">
        <v>5638.8471669999999</v>
      </c>
      <c r="E3251" s="484">
        <v>4.7328999999999999</v>
      </c>
      <c r="F3251" s="484">
        <v>4.7656999999999998</v>
      </c>
      <c r="G3251" s="83">
        <f t="shared" si="49"/>
        <v>5.124485714285715</v>
      </c>
    </row>
    <row r="3252" spans="1:7" x14ac:dyDescent="0.2">
      <c r="A3252" s="75">
        <v>43445</v>
      </c>
      <c r="B3252" s="76" t="s">
        <v>35</v>
      </c>
      <c r="C3252" s="76" t="s">
        <v>536</v>
      </c>
      <c r="D3252" s="484">
        <v>5642.4988430000003</v>
      </c>
      <c r="E3252" s="484">
        <v>4.7662000000000004</v>
      </c>
      <c r="F3252" s="484">
        <v>4.7544000000000004</v>
      </c>
      <c r="G3252" s="83">
        <f t="shared" si="49"/>
        <v>5.1068587301587298</v>
      </c>
    </row>
    <row r="3253" spans="1:7" x14ac:dyDescent="0.2">
      <c r="A3253" s="75">
        <v>43446</v>
      </c>
      <c r="B3253" s="76" t="s">
        <v>35</v>
      </c>
      <c r="C3253" s="76" t="s">
        <v>536</v>
      </c>
      <c r="D3253" s="484">
        <v>5662.0129120000001</v>
      </c>
      <c r="E3253" s="484">
        <v>4.7548000000000004</v>
      </c>
      <c r="F3253" s="484">
        <v>4.6841999999999997</v>
      </c>
      <c r="G3253" s="83">
        <f t="shared" si="49"/>
        <v>5.0885857142857143</v>
      </c>
    </row>
    <row r="3254" spans="1:7" x14ac:dyDescent="0.2">
      <c r="A3254" s="75">
        <v>43447</v>
      </c>
      <c r="B3254" s="76" t="s">
        <v>35</v>
      </c>
      <c r="C3254" s="76" t="s">
        <v>536</v>
      </c>
      <c r="D3254" s="484">
        <v>5684.1705760000004</v>
      </c>
      <c r="E3254" s="484">
        <v>4.6847000000000003</v>
      </c>
      <c r="F3254" s="484">
        <v>4.6045999999999996</v>
      </c>
      <c r="G3254" s="83">
        <f t="shared" si="49"/>
        <v>5.0686587301587309</v>
      </c>
    </row>
    <row r="3255" spans="1:7" x14ac:dyDescent="0.2">
      <c r="A3255" s="75">
        <v>43448</v>
      </c>
      <c r="B3255" s="76" t="s">
        <v>35</v>
      </c>
      <c r="C3255" s="76" t="s">
        <v>536</v>
      </c>
      <c r="D3255" s="484">
        <v>5693.3402489999999</v>
      </c>
      <c r="E3255" s="484">
        <v>4.6052</v>
      </c>
      <c r="F3255" s="484">
        <v>4.5731000000000002</v>
      </c>
      <c r="G3255" s="83">
        <f t="shared" si="49"/>
        <v>5.0488555555555568</v>
      </c>
    </row>
    <row r="3256" spans="1:7" x14ac:dyDescent="0.2">
      <c r="A3256" s="75">
        <v>43451</v>
      </c>
      <c r="B3256" s="76" t="s">
        <v>35</v>
      </c>
      <c r="C3256" s="76" t="s">
        <v>536</v>
      </c>
      <c r="D3256" s="484">
        <v>5695.3585860000003</v>
      </c>
      <c r="E3256" s="484">
        <v>4.5736999999999997</v>
      </c>
      <c r="F3256" s="484">
        <v>4.5678999999999998</v>
      </c>
      <c r="G3256" s="83">
        <f t="shared" si="49"/>
        <v>5.0274285714285716</v>
      </c>
    </row>
    <row r="3257" spans="1:7" x14ac:dyDescent="0.2">
      <c r="A3257" s="75">
        <v>43452</v>
      </c>
      <c r="B3257" s="76" t="s">
        <v>35</v>
      </c>
      <c r="C3257" s="76" t="s">
        <v>536</v>
      </c>
      <c r="D3257" s="484">
        <v>5695.2528709999997</v>
      </c>
      <c r="E3257" s="484">
        <v>4.5685000000000002</v>
      </c>
      <c r="F3257" s="484">
        <v>4.5736999999999997</v>
      </c>
      <c r="G3257" s="83">
        <f t="shared" si="49"/>
        <v>5.0070904761904753</v>
      </c>
    </row>
    <row r="3258" spans="1:7" x14ac:dyDescent="0.2">
      <c r="A3258" s="75">
        <v>43453</v>
      </c>
      <c r="B3258" s="76" t="s">
        <v>35</v>
      </c>
      <c r="C3258" s="76" t="s">
        <v>536</v>
      </c>
      <c r="D3258" s="484">
        <v>5715.3519150000002</v>
      </c>
      <c r="E3258" s="484">
        <v>4.5743</v>
      </c>
      <c r="F3258" s="484">
        <v>4.5053999999999998</v>
      </c>
      <c r="G3258" s="83">
        <f t="shared" si="49"/>
        <v>4.9886539682539688</v>
      </c>
    </row>
    <row r="3259" spans="1:7" x14ac:dyDescent="0.2">
      <c r="A3259" s="75">
        <v>43454</v>
      </c>
      <c r="B3259" s="76" t="s">
        <v>35</v>
      </c>
      <c r="C3259" s="76" t="s">
        <v>536</v>
      </c>
      <c r="D3259" s="484">
        <v>5729.8980160000001</v>
      </c>
      <c r="E3259" s="484">
        <v>4.5061</v>
      </c>
      <c r="F3259" s="484">
        <v>4.4577</v>
      </c>
      <c r="G3259" s="83">
        <f t="shared" si="49"/>
        <v>4.9695904761904774</v>
      </c>
    </row>
    <row r="3260" spans="1:7" x14ac:dyDescent="0.2">
      <c r="A3260" s="75">
        <v>43455</v>
      </c>
      <c r="B3260" s="76" t="s">
        <v>35</v>
      </c>
      <c r="C3260" s="76" t="s">
        <v>536</v>
      </c>
      <c r="D3260" s="484">
        <v>5726.7254240000002</v>
      </c>
      <c r="E3260" s="484">
        <v>4.4583000000000004</v>
      </c>
      <c r="F3260" s="484">
        <v>4.4745999999999997</v>
      </c>
      <c r="G3260" s="83">
        <f t="shared" si="49"/>
        <v>4.9488634920634933</v>
      </c>
    </row>
    <row r="3261" spans="1:7" x14ac:dyDescent="0.2">
      <c r="A3261" s="75">
        <v>43458</v>
      </c>
      <c r="B3261" s="76" t="s">
        <v>35</v>
      </c>
      <c r="C3261" s="76" t="s">
        <v>536</v>
      </c>
      <c r="D3261" s="484">
        <v>5728.0217220000004</v>
      </c>
      <c r="E3261" s="484">
        <v>4.4752000000000001</v>
      </c>
      <c r="F3261" s="484">
        <v>4.4752000000000001</v>
      </c>
      <c r="G3261" s="83">
        <f t="shared" si="49"/>
        <v>4.9282682539682536</v>
      </c>
    </row>
    <row r="3262" spans="1:7" x14ac:dyDescent="0.2">
      <c r="A3262" s="75">
        <v>43460</v>
      </c>
      <c r="B3262" s="76" t="s">
        <v>35</v>
      </c>
      <c r="C3262" s="76" t="s">
        <v>536</v>
      </c>
      <c r="D3262" s="484">
        <v>5728.0583200000001</v>
      </c>
      <c r="E3262" s="484">
        <v>4.4757999999999996</v>
      </c>
      <c r="F3262" s="484">
        <v>4.4804000000000004</v>
      </c>
      <c r="G3262" s="83">
        <f t="shared" si="49"/>
        <v>4.9084682539682545</v>
      </c>
    </row>
    <row r="3263" spans="1:7" x14ac:dyDescent="0.2">
      <c r="A3263" s="75">
        <v>43461</v>
      </c>
      <c r="B3263" s="76" t="s">
        <v>35</v>
      </c>
      <c r="C3263" s="76" t="s">
        <v>536</v>
      </c>
      <c r="D3263" s="484">
        <v>5741.2885079999996</v>
      </c>
      <c r="E3263" s="484">
        <v>4.4809999999999999</v>
      </c>
      <c r="F3263" s="484">
        <v>4.4375</v>
      </c>
      <c r="G3263" s="83">
        <f t="shared" si="49"/>
        <v>4.8883587301587301</v>
      </c>
    </row>
    <row r="3264" spans="1:7" x14ac:dyDescent="0.2">
      <c r="A3264" s="75">
        <v>43462</v>
      </c>
      <c r="B3264" s="76" t="s">
        <v>35</v>
      </c>
      <c r="C3264" s="76" t="s">
        <v>536</v>
      </c>
      <c r="D3264" s="484">
        <v>5747.6373290000001</v>
      </c>
      <c r="E3264" s="484">
        <v>4.4381000000000004</v>
      </c>
      <c r="F3264" s="484">
        <v>4.4196999999999997</v>
      </c>
      <c r="G3264" s="83">
        <f t="shared" si="49"/>
        <v>4.8678174603174593</v>
      </c>
    </row>
    <row r="3265" spans="1:7" x14ac:dyDescent="0.2">
      <c r="A3265" s="75">
        <v>43465</v>
      </c>
      <c r="B3265" s="76" t="s">
        <v>35</v>
      </c>
      <c r="C3265" s="76" t="s">
        <v>536</v>
      </c>
      <c r="D3265" s="484">
        <v>5748.9263680000004</v>
      </c>
      <c r="E3265" s="484">
        <v>4.4203000000000001</v>
      </c>
      <c r="F3265" s="484">
        <v>4.4203000000000001</v>
      </c>
      <c r="G3265" s="83">
        <f t="shared" si="49"/>
        <v>4.8475301587301578</v>
      </c>
    </row>
    <row r="3266" spans="1:7" x14ac:dyDescent="0.2">
      <c r="A3266" s="75">
        <v>43467</v>
      </c>
      <c r="B3266" s="76" t="s">
        <v>35</v>
      </c>
      <c r="C3266" s="76" t="s">
        <v>536</v>
      </c>
      <c r="D3266" s="484">
        <v>5778.9416010000004</v>
      </c>
      <c r="E3266" s="484">
        <v>4.4208999999999996</v>
      </c>
      <c r="F3266" s="484">
        <v>4.3167999999999997</v>
      </c>
      <c r="G3266" s="83">
        <f t="shared" si="49"/>
        <v>4.8274714285714273</v>
      </c>
    </row>
    <row r="3267" spans="1:7" x14ac:dyDescent="0.2">
      <c r="A3267" s="75">
        <v>43468</v>
      </c>
      <c r="B3267" s="76" t="s">
        <v>35</v>
      </c>
      <c r="C3267" s="76" t="s">
        <v>536</v>
      </c>
      <c r="D3267" s="484">
        <v>5795.2981540000001</v>
      </c>
      <c r="E3267" s="484">
        <v>4.3174999999999999</v>
      </c>
      <c r="F3267" s="484">
        <v>4.2630999999999997</v>
      </c>
      <c r="G3267" s="83">
        <f t="shared" ref="G3267:G3330" si="50">+AVERAGE(E3205:E3267)</f>
        <v>4.8041158730158733</v>
      </c>
    </row>
    <row r="3268" spans="1:7" x14ac:dyDescent="0.2">
      <c r="A3268" s="75">
        <v>43469</v>
      </c>
      <c r="B3268" s="76" t="s">
        <v>35</v>
      </c>
      <c r="C3268" s="76" t="s">
        <v>536</v>
      </c>
      <c r="D3268" s="484">
        <v>5797.396718</v>
      </c>
      <c r="E3268" s="484">
        <v>4.2637999999999998</v>
      </c>
      <c r="F3268" s="484">
        <v>4.2607999999999997</v>
      </c>
      <c r="G3268" s="83">
        <f t="shared" si="50"/>
        <v>4.7798507936507937</v>
      </c>
    </row>
    <row r="3269" spans="1:7" x14ac:dyDescent="0.2">
      <c r="A3269" s="75">
        <v>43472</v>
      </c>
      <c r="B3269" s="76" t="s">
        <v>35</v>
      </c>
      <c r="C3269" s="76" t="s">
        <v>536</v>
      </c>
      <c r="D3269" s="484">
        <v>5787.9760130000004</v>
      </c>
      <c r="E3269" s="484">
        <v>4.2614000000000001</v>
      </c>
      <c r="F3269" s="484">
        <v>4.2999000000000001</v>
      </c>
      <c r="G3269" s="83">
        <f t="shared" si="50"/>
        <v>4.7567317460317451</v>
      </c>
    </row>
    <row r="3270" spans="1:7" x14ac:dyDescent="0.2">
      <c r="A3270" s="75">
        <v>43473</v>
      </c>
      <c r="B3270" s="76" t="s">
        <v>35</v>
      </c>
      <c r="C3270" s="76" t="s">
        <v>536</v>
      </c>
      <c r="D3270" s="484">
        <v>5791.0228189999998</v>
      </c>
      <c r="E3270" s="484">
        <v>4.3005000000000004</v>
      </c>
      <c r="F3270" s="484">
        <v>4.2941000000000003</v>
      </c>
      <c r="G3270" s="83">
        <f t="shared" si="50"/>
        <v>4.735950793650793</v>
      </c>
    </row>
    <row r="3271" spans="1:7" x14ac:dyDescent="0.2">
      <c r="A3271" s="75">
        <v>43474</v>
      </c>
      <c r="B3271" s="76" t="s">
        <v>35</v>
      </c>
      <c r="C3271" s="76" t="s">
        <v>536</v>
      </c>
      <c r="D3271" s="484">
        <v>5809.1656789999997</v>
      </c>
      <c r="E3271" s="484">
        <v>4.2946</v>
      </c>
      <c r="F3271" s="484">
        <v>4.2339000000000002</v>
      </c>
      <c r="G3271" s="83">
        <f t="shared" si="50"/>
        <v>4.7164634920634922</v>
      </c>
    </row>
    <row r="3272" spans="1:7" x14ac:dyDescent="0.2">
      <c r="A3272" s="75">
        <v>43475</v>
      </c>
      <c r="B3272" s="76" t="s">
        <v>35</v>
      </c>
      <c r="C3272" s="76" t="s">
        <v>536</v>
      </c>
      <c r="D3272" s="484">
        <v>5810.0932670000002</v>
      </c>
      <c r="E3272" s="484">
        <v>4.2344999999999997</v>
      </c>
      <c r="F3272" s="484">
        <v>4.2356999999999996</v>
      </c>
      <c r="G3272" s="83">
        <f t="shared" si="50"/>
        <v>4.6951571428571439</v>
      </c>
    </row>
    <row r="3273" spans="1:7" x14ac:dyDescent="0.2">
      <c r="A3273" s="75">
        <v>43476</v>
      </c>
      <c r="B3273" s="76" t="s">
        <v>35</v>
      </c>
      <c r="C3273" s="76" t="s">
        <v>536</v>
      </c>
      <c r="D3273" s="484">
        <v>5812.309499</v>
      </c>
      <c r="E3273" s="484">
        <v>4.2362000000000002</v>
      </c>
      <c r="F3273" s="484">
        <v>4.2420999999999998</v>
      </c>
      <c r="G3273" s="83">
        <f t="shared" si="50"/>
        <v>4.6792206349206351</v>
      </c>
    </row>
    <row r="3274" spans="1:7" x14ac:dyDescent="0.2">
      <c r="A3274" s="75">
        <v>43479</v>
      </c>
      <c r="B3274" s="76" t="s">
        <v>35</v>
      </c>
      <c r="C3274" s="76" t="s">
        <v>536</v>
      </c>
      <c r="D3274" s="484">
        <v>5829.7466260000001</v>
      </c>
      <c r="E3274" s="484">
        <v>4.2426000000000004</v>
      </c>
      <c r="F3274" s="484">
        <v>4.1852</v>
      </c>
      <c r="G3274" s="83">
        <f t="shared" si="50"/>
        <v>4.665857142857142</v>
      </c>
    </row>
    <row r="3275" spans="1:7" x14ac:dyDescent="0.2">
      <c r="A3275" s="75">
        <v>43480</v>
      </c>
      <c r="B3275" s="76" t="s">
        <v>35</v>
      </c>
      <c r="C3275" s="76" t="s">
        <v>536</v>
      </c>
      <c r="D3275" s="484">
        <v>5828.0525100000004</v>
      </c>
      <c r="E3275" s="484">
        <v>4.1856999999999998</v>
      </c>
      <c r="F3275" s="484">
        <v>4.1967999999999996</v>
      </c>
      <c r="G3275" s="83">
        <f t="shared" si="50"/>
        <v>4.6508603174603174</v>
      </c>
    </row>
    <row r="3276" spans="1:7" x14ac:dyDescent="0.2">
      <c r="A3276" s="75">
        <v>43481</v>
      </c>
      <c r="B3276" s="76" t="s">
        <v>35</v>
      </c>
      <c r="C3276" s="76" t="s">
        <v>536</v>
      </c>
      <c r="D3276" s="484">
        <v>5834.0982359999998</v>
      </c>
      <c r="E3276" s="484">
        <v>4.1973000000000003</v>
      </c>
      <c r="F3276" s="484">
        <v>4.1826999999999996</v>
      </c>
      <c r="G3276" s="83">
        <f t="shared" si="50"/>
        <v>4.6364047619047613</v>
      </c>
    </row>
    <row r="3277" spans="1:7" x14ac:dyDescent="0.2">
      <c r="A3277" s="75">
        <v>43482</v>
      </c>
      <c r="B3277" s="76" t="s">
        <v>35</v>
      </c>
      <c r="C3277" s="76" t="s">
        <v>536</v>
      </c>
      <c r="D3277" s="484">
        <v>5838.7473570000002</v>
      </c>
      <c r="E3277" s="484">
        <v>4.1832000000000003</v>
      </c>
      <c r="F3277" s="484">
        <v>4.1736000000000004</v>
      </c>
      <c r="G3277" s="83">
        <f t="shared" si="50"/>
        <v>4.6234285714285708</v>
      </c>
    </row>
    <row r="3278" spans="1:7" x14ac:dyDescent="0.2">
      <c r="A3278" s="75">
        <v>43483</v>
      </c>
      <c r="B3278" s="76" t="s">
        <v>35</v>
      </c>
      <c r="C3278" s="76" t="s">
        <v>536</v>
      </c>
      <c r="D3278" s="484">
        <v>5840.3164379999998</v>
      </c>
      <c r="E3278" s="484">
        <v>4.1741000000000001</v>
      </c>
      <c r="F3278" s="484">
        <v>4.1755000000000004</v>
      </c>
      <c r="G3278" s="83">
        <f t="shared" si="50"/>
        <v>4.6118269841269841</v>
      </c>
    </row>
    <row r="3279" spans="1:7" x14ac:dyDescent="0.2">
      <c r="A3279" s="75">
        <v>43486</v>
      </c>
      <c r="B3279" s="76" t="s">
        <v>35</v>
      </c>
      <c r="C3279" s="76" t="s">
        <v>536</v>
      </c>
      <c r="D3279" s="484">
        <v>5840.1777009999996</v>
      </c>
      <c r="E3279" s="484">
        <v>4.1760000000000002</v>
      </c>
      <c r="F3279" s="484">
        <v>4.1835000000000004</v>
      </c>
      <c r="G3279" s="83">
        <f t="shared" si="50"/>
        <v>4.6017476190476181</v>
      </c>
    </row>
    <row r="3280" spans="1:7" x14ac:dyDescent="0.2">
      <c r="A3280" s="75">
        <v>43487</v>
      </c>
      <c r="B3280" s="76" t="s">
        <v>35</v>
      </c>
      <c r="C3280" s="76" t="s">
        <v>536</v>
      </c>
      <c r="D3280" s="484">
        <v>5849.2065990000001</v>
      </c>
      <c r="E3280" s="484">
        <v>4.1840000000000002</v>
      </c>
      <c r="F3280" s="484">
        <v>4.1588000000000003</v>
      </c>
      <c r="G3280" s="83">
        <f t="shared" si="50"/>
        <v>4.590806349206348</v>
      </c>
    </row>
    <row r="3281" spans="1:7" x14ac:dyDescent="0.2">
      <c r="A3281" s="75">
        <v>43488</v>
      </c>
      <c r="B3281" s="76" t="s">
        <v>35</v>
      </c>
      <c r="C3281" s="76" t="s">
        <v>536</v>
      </c>
      <c r="D3281" s="484">
        <v>5860.4383879999996</v>
      </c>
      <c r="E3281" s="484">
        <v>4.1593</v>
      </c>
      <c r="F3281" s="484">
        <v>4.1262999999999996</v>
      </c>
      <c r="G3281" s="83">
        <f t="shared" si="50"/>
        <v>4.5792888888888879</v>
      </c>
    </row>
    <row r="3282" spans="1:7" x14ac:dyDescent="0.2">
      <c r="A3282" s="75">
        <v>43489</v>
      </c>
      <c r="B3282" s="76" t="s">
        <v>35</v>
      </c>
      <c r="C3282" s="76" t="s">
        <v>536</v>
      </c>
      <c r="D3282" s="484">
        <v>5855.4166310000001</v>
      </c>
      <c r="E3282" s="484">
        <v>4.1269</v>
      </c>
      <c r="F3282" s="484">
        <v>4.1510999999999996</v>
      </c>
      <c r="G3282" s="83">
        <f t="shared" si="50"/>
        <v>4.5691301587301583</v>
      </c>
    </row>
    <row r="3283" spans="1:7" x14ac:dyDescent="0.2">
      <c r="A3283" s="75">
        <v>43490</v>
      </c>
      <c r="B3283" s="76" t="s">
        <v>35</v>
      </c>
      <c r="C3283" s="76" t="s">
        <v>536</v>
      </c>
      <c r="D3283" s="484">
        <v>5857.4092799999999</v>
      </c>
      <c r="E3283" s="484">
        <v>4.1516999999999999</v>
      </c>
      <c r="F3283" s="484">
        <v>4.1515000000000004</v>
      </c>
      <c r="G3283" s="83">
        <f t="shared" si="50"/>
        <v>4.5599492063492049</v>
      </c>
    </row>
    <row r="3284" spans="1:7" x14ac:dyDescent="0.2">
      <c r="A3284" s="75">
        <v>43493</v>
      </c>
      <c r="B3284" s="76" t="s">
        <v>35</v>
      </c>
      <c r="C3284" s="76" t="s">
        <v>536</v>
      </c>
      <c r="D3284" s="484">
        <v>5856.817532</v>
      </c>
      <c r="E3284" s="484">
        <v>4.1520000000000001</v>
      </c>
      <c r="F3284" s="484">
        <v>4.1609999999999996</v>
      </c>
      <c r="G3284" s="83">
        <f t="shared" si="50"/>
        <v>4.5500253968253954</v>
      </c>
    </row>
    <row r="3285" spans="1:7" x14ac:dyDescent="0.2">
      <c r="A3285" s="75">
        <v>43494</v>
      </c>
      <c r="B3285" s="76" t="s">
        <v>35</v>
      </c>
      <c r="C3285" s="76" t="s">
        <v>536</v>
      </c>
      <c r="D3285" s="484">
        <v>5872.9119899999996</v>
      </c>
      <c r="E3285" s="484">
        <v>4.1616</v>
      </c>
      <c r="F3285" s="484">
        <v>4.1113</v>
      </c>
      <c r="G3285" s="83">
        <f t="shared" si="50"/>
        <v>4.539877777777777</v>
      </c>
    </row>
    <row r="3286" spans="1:7" x14ac:dyDescent="0.2">
      <c r="A3286" s="75">
        <v>43495</v>
      </c>
      <c r="B3286" s="76" t="s">
        <v>35</v>
      </c>
      <c r="C3286" s="76" t="s">
        <v>536</v>
      </c>
      <c r="D3286" s="484">
        <v>5870.9000749999996</v>
      </c>
      <c r="E3286" s="484">
        <v>4.1119000000000003</v>
      </c>
      <c r="F3286" s="484">
        <v>4.1258999999999997</v>
      </c>
      <c r="G3286" s="83">
        <f t="shared" si="50"/>
        <v>4.5311428571428571</v>
      </c>
    </row>
    <row r="3287" spans="1:7" x14ac:dyDescent="0.2">
      <c r="A3287" s="75">
        <v>43496</v>
      </c>
      <c r="B3287" s="76" t="s">
        <v>35</v>
      </c>
      <c r="C3287" s="76" t="s">
        <v>536</v>
      </c>
      <c r="D3287" s="484">
        <v>5905.093132</v>
      </c>
      <c r="E3287" s="484">
        <v>4.1264000000000003</v>
      </c>
      <c r="F3287" s="484">
        <v>4.0122999999999998</v>
      </c>
      <c r="G3287" s="83">
        <f t="shared" si="50"/>
        <v>4.521920634920634</v>
      </c>
    </row>
    <row r="3288" spans="1:7" x14ac:dyDescent="0.2">
      <c r="A3288" s="75">
        <v>43497</v>
      </c>
      <c r="B3288" s="76" t="s">
        <v>35</v>
      </c>
      <c r="C3288" s="76" t="s">
        <v>536</v>
      </c>
      <c r="D3288" s="484">
        <v>5922.3316180000002</v>
      </c>
      <c r="E3288" s="484">
        <v>4.0129000000000001</v>
      </c>
      <c r="F3288" s="484">
        <v>3.9590000000000001</v>
      </c>
      <c r="G3288" s="83">
        <f t="shared" si="50"/>
        <v>4.510933333333333</v>
      </c>
    </row>
    <row r="3289" spans="1:7" x14ac:dyDescent="0.2">
      <c r="A3289" s="75">
        <v>43500</v>
      </c>
      <c r="B3289" s="76" t="s">
        <v>35</v>
      </c>
      <c r="C3289" s="76" t="s">
        <v>536</v>
      </c>
      <c r="D3289" s="484">
        <v>5916.0257069999998</v>
      </c>
      <c r="E3289" s="484">
        <v>3.9596</v>
      </c>
      <c r="F3289" s="484">
        <v>3.9885000000000002</v>
      </c>
      <c r="G3289" s="83">
        <f t="shared" si="50"/>
        <v>4.4991825396825389</v>
      </c>
    </row>
    <row r="3290" spans="1:7" x14ac:dyDescent="0.2">
      <c r="A3290" s="75">
        <v>43501</v>
      </c>
      <c r="B3290" s="76" t="s">
        <v>35</v>
      </c>
      <c r="C3290" s="76" t="s">
        <v>536</v>
      </c>
      <c r="D3290" s="484">
        <v>5911.6660320000001</v>
      </c>
      <c r="E3290" s="484">
        <v>3.9891000000000001</v>
      </c>
      <c r="F3290" s="484">
        <v>4.0111999999999997</v>
      </c>
      <c r="G3290" s="83">
        <f t="shared" si="50"/>
        <v>4.4882825396825403</v>
      </c>
    </row>
    <row r="3291" spans="1:7" x14ac:dyDescent="0.2">
      <c r="A3291" s="75">
        <v>43502</v>
      </c>
      <c r="B3291" s="76" t="s">
        <v>35</v>
      </c>
      <c r="C3291" s="76" t="s">
        <v>536</v>
      </c>
      <c r="D3291" s="484">
        <v>5901.3621830000002</v>
      </c>
      <c r="E3291" s="484">
        <v>4.0117000000000003</v>
      </c>
      <c r="F3291" s="484">
        <v>4.0548000000000002</v>
      </c>
      <c r="G3291" s="83">
        <f t="shared" si="50"/>
        <v>4.4782269841269855</v>
      </c>
    </row>
    <row r="3292" spans="1:7" x14ac:dyDescent="0.2">
      <c r="A3292" s="75">
        <v>43503</v>
      </c>
      <c r="B3292" s="76" t="s">
        <v>35</v>
      </c>
      <c r="C3292" s="76" t="s">
        <v>536</v>
      </c>
      <c r="D3292" s="484">
        <v>5892.1091749999996</v>
      </c>
      <c r="E3292" s="484">
        <v>4.0553999999999997</v>
      </c>
      <c r="F3292" s="484">
        <v>4.0949</v>
      </c>
      <c r="G3292" s="83">
        <f t="shared" si="50"/>
        <v>4.4686190476190486</v>
      </c>
    </row>
    <row r="3293" spans="1:7" x14ac:dyDescent="0.2">
      <c r="A3293" s="75">
        <v>43504</v>
      </c>
      <c r="B3293" s="76" t="s">
        <v>35</v>
      </c>
      <c r="C3293" s="76" t="s">
        <v>536</v>
      </c>
      <c r="D3293" s="484">
        <v>5865.2501060000004</v>
      </c>
      <c r="E3293" s="484">
        <v>4.0953999999999997</v>
      </c>
      <c r="F3293" s="484">
        <v>4.1860999999999997</v>
      </c>
      <c r="G3293" s="83">
        <f t="shared" si="50"/>
        <v>4.459031746031747</v>
      </c>
    </row>
    <row r="3294" spans="1:7" x14ac:dyDescent="0.2">
      <c r="A3294" s="75">
        <v>43507</v>
      </c>
      <c r="B3294" s="76" t="s">
        <v>35</v>
      </c>
      <c r="C3294" s="76" t="s">
        <v>536</v>
      </c>
      <c r="D3294" s="484">
        <v>5871.6357319999997</v>
      </c>
      <c r="E3294" s="484">
        <v>4.1866000000000003</v>
      </c>
      <c r="F3294" s="484">
        <v>4.1702000000000004</v>
      </c>
      <c r="G3294" s="83">
        <f t="shared" si="50"/>
        <v>4.449995238095239</v>
      </c>
    </row>
    <row r="3295" spans="1:7" x14ac:dyDescent="0.2">
      <c r="A3295" s="75">
        <v>43508</v>
      </c>
      <c r="B3295" s="76" t="s">
        <v>35</v>
      </c>
      <c r="C3295" s="76" t="s">
        <v>536</v>
      </c>
      <c r="D3295" s="484">
        <v>5886.3501889999998</v>
      </c>
      <c r="E3295" s="484">
        <v>4.1707000000000001</v>
      </c>
      <c r="F3295" s="484">
        <v>4.1247999999999996</v>
      </c>
      <c r="G3295" s="83">
        <f t="shared" si="50"/>
        <v>4.4398111111111112</v>
      </c>
    </row>
    <row r="3296" spans="1:7" x14ac:dyDescent="0.2">
      <c r="A3296" s="75">
        <v>43509</v>
      </c>
      <c r="B3296" s="76" t="s">
        <v>35</v>
      </c>
      <c r="C3296" s="76" t="s">
        <v>536</v>
      </c>
      <c r="D3296" s="484">
        <v>5901.8335239999997</v>
      </c>
      <c r="E3296" s="484">
        <v>4.1253000000000002</v>
      </c>
      <c r="F3296" s="484">
        <v>4.0768000000000004</v>
      </c>
      <c r="G3296" s="83">
        <f t="shared" si="50"/>
        <v>4.4281253968253962</v>
      </c>
    </row>
    <row r="3297" spans="1:7" x14ac:dyDescent="0.2">
      <c r="A3297" s="75">
        <v>43510</v>
      </c>
      <c r="B3297" s="76" t="s">
        <v>35</v>
      </c>
      <c r="C3297" s="76" t="s">
        <v>536</v>
      </c>
      <c r="D3297" s="484">
        <v>5916.6995349999997</v>
      </c>
      <c r="E3297" s="484">
        <v>4.0773000000000001</v>
      </c>
      <c r="F3297" s="484">
        <v>4.0311000000000003</v>
      </c>
      <c r="G3297" s="83">
        <f t="shared" si="50"/>
        <v>4.4148650793650779</v>
      </c>
    </row>
    <row r="3298" spans="1:7" x14ac:dyDescent="0.2">
      <c r="A3298" s="75">
        <v>43511</v>
      </c>
      <c r="B3298" s="76" t="s">
        <v>35</v>
      </c>
      <c r="C3298" s="76" t="s">
        <v>536</v>
      </c>
      <c r="D3298" s="484">
        <v>5938.9565640000001</v>
      </c>
      <c r="E3298" s="484">
        <v>4.0316000000000001</v>
      </c>
      <c r="F3298" s="484">
        <v>3.9596</v>
      </c>
      <c r="G3298" s="83">
        <f t="shared" si="50"/>
        <v>4.401815873015873</v>
      </c>
    </row>
    <row r="3299" spans="1:7" x14ac:dyDescent="0.2">
      <c r="A3299" s="75">
        <v>43514</v>
      </c>
      <c r="B3299" s="76" t="s">
        <v>35</v>
      </c>
      <c r="C3299" s="76" t="s">
        <v>536</v>
      </c>
      <c r="D3299" s="484">
        <v>5925.3425200000001</v>
      </c>
      <c r="E3299" s="484">
        <v>3.9601000000000002</v>
      </c>
      <c r="F3299" s="484">
        <v>4.0149999999999997</v>
      </c>
      <c r="G3299" s="83">
        <f t="shared" si="50"/>
        <v>4.3897063492063486</v>
      </c>
    </row>
    <row r="3300" spans="1:7" x14ac:dyDescent="0.2">
      <c r="A3300" s="75">
        <v>43515</v>
      </c>
      <c r="B3300" s="76" t="s">
        <v>35</v>
      </c>
      <c r="C3300" s="76" t="s">
        <v>536</v>
      </c>
      <c r="D3300" s="484">
        <v>5930.0058680000002</v>
      </c>
      <c r="E3300" s="484">
        <v>4.0155000000000003</v>
      </c>
      <c r="F3300" s="484">
        <v>4.0063000000000004</v>
      </c>
      <c r="G3300" s="83">
        <f t="shared" si="50"/>
        <v>4.3780539682539681</v>
      </c>
    </row>
    <row r="3301" spans="1:7" x14ac:dyDescent="0.2">
      <c r="A3301" s="75">
        <v>43516</v>
      </c>
      <c r="B3301" s="76" t="s">
        <v>35</v>
      </c>
      <c r="C3301" s="76" t="s">
        <v>536</v>
      </c>
      <c r="D3301" s="484">
        <v>5914.1580180000001</v>
      </c>
      <c r="E3301" s="484">
        <v>4.0068000000000001</v>
      </c>
      <c r="F3301" s="484">
        <v>4.0697000000000001</v>
      </c>
      <c r="G3301" s="83">
        <f t="shared" si="50"/>
        <v>4.3662571428571431</v>
      </c>
    </row>
    <row r="3302" spans="1:7" x14ac:dyDescent="0.2">
      <c r="A3302" s="75">
        <v>43517</v>
      </c>
      <c r="B3302" s="76" t="s">
        <v>35</v>
      </c>
      <c r="C3302" s="76" t="s">
        <v>536</v>
      </c>
      <c r="D3302" s="484">
        <v>5918.766705</v>
      </c>
      <c r="E3302" s="484">
        <v>4.0701999999999998</v>
      </c>
      <c r="F3302" s="484">
        <v>4.0612000000000004</v>
      </c>
      <c r="G3302" s="83">
        <f t="shared" si="50"/>
        <v>4.3562000000000003</v>
      </c>
    </row>
    <row r="3303" spans="1:7" x14ac:dyDescent="0.2">
      <c r="A3303" s="75">
        <v>43518</v>
      </c>
      <c r="B3303" s="76" t="s">
        <v>35</v>
      </c>
      <c r="C3303" s="76" t="s">
        <v>536</v>
      </c>
      <c r="D3303" s="484">
        <v>5924.7710649999999</v>
      </c>
      <c r="E3303" s="484">
        <v>4.0617000000000001</v>
      </c>
      <c r="F3303" s="484">
        <v>4.0477999999999996</v>
      </c>
      <c r="G3303" s="83">
        <f t="shared" si="50"/>
        <v>4.3462142857142849</v>
      </c>
    </row>
    <row r="3304" spans="1:7" x14ac:dyDescent="0.2">
      <c r="A3304" s="75">
        <v>43521</v>
      </c>
      <c r="B3304" s="76" t="s">
        <v>35</v>
      </c>
      <c r="C3304" s="76" t="s">
        <v>536</v>
      </c>
      <c r="D3304" s="484">
        <v>5923.2656729999999</v>
      </c>
      <c r="E3304" s="484">
        <v>4.0484</v>
      </c>
      <c r="F3304" s="484">
        <v>4.0609000000000002</v>
      </c>
      <c r="G3304" s="83">
        <f t="shared" si="50"/>
        <v>4.3361190476190474</v>
      </c>
    </row>
    <row r="3305" spans="1:7" x14ac:dyDescent="0.2">
      <c r="A3305" s="75">
        <v>43522</v>
      </c>
      <c r="B3305" s="76" t="s">
        <v>35</v>
      </c>
      <c r="C3305" s="76" t="s">
        <v>536</v>
      </c>
      <c r="D3305" s="484">
        <v>5924.7782729999999</v>
      </c>
      <c r="E3305" s="484">
        <v>4.0614999999999997</v>
      </c>
      <c r="F3305" s="484">
        <v>4.0633999999999997</v>
      </c>
      <c r="G3305" s="83">
        <f t="shared" si="50"/>
        <v>4.3239539682539689</v>
      </c>
    </row>
    <row r="3306" spans="1:7" x14ac:dyDescent="0.2">
      <c r="A3306" s="75">
        <v>43523</v>
      </c>
      <c r="B3306" s="76" t="s">
        <v>35</v>
      </c>
      <c r="C3306" s="76" t="s">
        <v>536</v>
      </c>
      <c r="D3306" s="484">
        <v>5935.0055519999996</v>
      </c>
      <c r="E3306" s="484">
        <v>4.0639000000000003</v>
      </c>
      <c r="F3306" s="484">
        <v>4.0351999999999997</v>
      </c>
      <c r="G3306" s="83">
        <f t="shared" si="50"/>
        <v>4.3115698412698418</v>
      </c>
    </row>
    <row r="3307" spans="1:7" x14ac:dyDescent="0.2">
      <c r="A3307" s="75">
        <v>43524</v>
      </c>
      <c r="B3307" s="76" t="s">
        <v>35</v>
      </c>
      <c r="C3307" s="76" t="s">
        <v>536</v>
      </c>
      <c r="D3307" s="484">
        <v>5932.1838870000001</v>
      </c>
      <c r="E3307" s="484">
        <v>4.0358000000000001</v>
      </c>
      <c r="F3307" s="484">
        <v>4.0529000000000002</v>
      </c>
      <c r="G3307" s="83">
        <f t="shared" si="50"/>
        <v>4.2994507936507942</v>
      </c>
    </row>
    <row r="3308" spans="1:7" x14ac:dyDescent="0.2">
      <c r="A3308" s="75">
        <v>43525</v>
      </c>
      <c r="B3308" s="76" t="s">
        <v>35</v>
      </c>
      <c r="C3308" s="76" t="s">
        <v>536</v>
      </c>
      <c r="D3308" s="484">
        <v>5933.6968880000004</v>
      </c>
      <c r="E3308" s="484">
        <v>4.0533999999999999</v>
      </c>
      <c r="F3308" s="484">
        <v>4.0552999999999999</v>
      </c>
      <c r="G3308" s="83">
        <f t="shared" si="50"/>
        <v>4.2876428571428571</v>
      </c>
    </row>
    <row r="3309" spans="1:7" x14ac:dyDescent="0.2">
      <c r="A3309" s="75">
        <v>43530</v>
      </c>
      <c r="B3309" s="76" t="s">
        <v>35</v>
      </c>
      <c r="C3309" s="76" t="s">
        <v>536</v>
      </c>
      <c r="D3309" s="484">
        <v>5932.4189909999996</v>
      </c>
      <c r="E3309" s="484">
        <v>4.0557999999999996</v>
      </c>
      <c r="F3309" s="484">
        <v>4.0674999999999999</v>
      </c>
      <c r="G3309" s="83">
        <f t="shared" si="50"/>
        <v>4.2763777777777774</v>
      </c>
    </row>
    <row r="3310" spans="1:7" x14ac:dyDescent="0.2">
      <c r="A3310" s="75">
        <v>43531</v>
      </c>
      <c r="B3310" s="76" t="s">
        <v>35</v>
      </c>
      <c r="C3310" s="76" t="s">
        <v>536</v>
      </c>
      <c r="D3310" s="484">
        <v>5931.4007620000002</v>
      </c>
      <c r="E3310" s="484">
        <v>4.0679999999999996</v>
      </c>
      <c r="F3310" s="484">
        <v>4.0788000000000002</v>
      </c>
      <c r="G3310" s="83">
        <f t="shared" si="50"/>
        <v>4.265533333333333</v>
      </c>
    </row>
    <row r="3311" spans="1:7" x14ac:dyDescent="0.2">
      <c r="A3311" s="75">
        <v>43532</v>
      </c>
      <c r="B3311" s="76" t="s">
        <v>35</v>
      </c>
      <c r="C3311" s="76" t="s">
        <v>536</v>
      </c>
      <c r="D3311" s="484">
        <v>5943.8675169999997</v>
      </c>
      <c r="E3311" s="484">
        <v>4.0792999999999999</v>
      </c>
      <c r="F3311" s="484">
        <v>4.0427999999999997</v>
      </c>
      <c r="G3311" s="83">
        <f t="shared" si="50"/>
        <v>4.2541111111111105</v>
      </c>
    </row>
    <row r="3312" spans="1:7" x14ac:dyDescent="0.2">
      <c r="A3312" s="75">
        <v>43535</v>
      </c>
      <c r="B3312" s="76" t="s">
        <v>35</v>
      </c>
      <c r="C3312" s="76" t="s">
        <v>536</v>
      </c>
      <c r="D3312" s="484">
        <v>5970.7111089999999</v>
      </c>
      <c r="E3312" s="484">
        <v>4.0433000000000003</v>
      </c>
      <c r="F3312" s="484">
        <v>3.9567000000000001</v>
      </c>
      <c r="G3312" s="83">
        <f t="shared" si="50"/>
        <v>4.2424428571428558</v>
      </c>
    </row>
    <row r="3313" spans="1:7" x14ac:dyDescent="0.2">
      <c r="A3313" s="75">
        <v>43536</v>
      </c>
      <c r="B3313" s="76" t="s">
        <v>35</v>
      </c>
      <c r="C3313" s="76" t="s">
        <v>536</v>
      </c>
      <c r="D3313" s="484">
        <v>5978.9420620000001</v>
      </c>
      <c r="E3313" s="484">
        <v>3.9573</v>
      </c>
      <c r="F3313" s="484">
        <v>3.9512999999999998</v>
      </c>
      <c r="G3313" s="83">
        <f t="shared" si="50"/>
        <v>4.2297428571428561</v>
      </c>
    </row>
    <row r="3314" spans="1:7" x14ac:dyDescent="0.2">
      <c r="A3314" s="75">
        <v>43537</v>
      </c>
      <c r="B3314" s="76" t="s">
        <v>35</v>
      </c>
      <c r="C3314" s="76" t="s">
        <v>536</v>
      </c>
      <c r="D3314" s="484">
        <v>6004.9730319999999</v>
      </c>
      <c r="E3314" s="484">
        <v>3.9519000000000002</v>
      </c>
      <c r="F3314" s="484">
        <v>3.8696999999999999</v>
      </c>
      <c r="G3314" s="83">
        <f t="shared" si="50"/>
        <v>4.2173460317460316</v>
      </c>
    </row>
    <row r="3315" spans="1:7" x14ac:dyDescent="0.2">
      <c r="A3315" s="75">
        <v>43538</v>
      </c>
      <c r="B3315" s="76" t="s">
        <v>35</v>
      </c>
      <c r="C3315" s="76" t="s">
        <v>536</v>
      </c>
      <c r="D3315" s="484">
        <v>6001.5628999999999</v>
      </c>
      <c r="E3315" s="484">
        <v>3.8702000000000001</v>
      </c>
      <c r="F3315" s="484">
        <v>3.8900999999999999</v>
      </c>
      <c r="G3315" s="83">
        <f t="shared" si="50"/>
        <v>4.2031238095238086</v>
      </c>
    </row>
    <row r="3316" spans="1:7" x14ac:dyDescent="0.2">
      <c r="A3316" s="75">
        <v>43539</v>
      </c>
      <c r="B3316" s="76" t="s">
        <v>35</v>
      </c>
      <c r="C3316" s="76" t="s">
        <v>536</v>
      </c>
      <c r="D3316" s="484">
        <v>6005.9243079999997</v>
      </c>
      <c r="E3316" s="484">
        <v>3.8906999999999998</v>
      </c>
      <c r="F3316" s="484">
        <v>3.8837000000000002</v>
      </c>
      <c r="G3316" s="83">
        <f t="shared" si="50"/>
        <v>4.1894079365079362</v>
      </c>
    </row>
    <row r="3317" spans="1:7" x14ac:dyDescent="0.2">
      <c r="A3317" s="75">
        <v>43542</v>
      </c>
      <c r="B3317" s="76" t="s">
        <v>35</v>
      </c>
      <c r="C3317" s="76" t="s">
        <v>536</v>
      </c>
      <c r="D3317" s="484">
        <v>6021.8598380000003</v>
      </c>
      <c r="E3317" s="484">
        <v>3.8843000000000001</v>
      </c>
      <c r="F3317" s="484">
        <v>3.8370000000000002</v>
      </c>
      <c r="G3317" s="83">
        <f t="shared" si="50"/>
        <v>4.1767031746031744</v>
      </c>
    </row>
    <row r="3318" spans="1:7" x14ac:dyDescent="0.2">
      <c r="A3318" s="75">
        <v>43543</v>
      </c>
      <c r="B3318" s="76" t="s">
        <v>35</v>
      </c>
      <c r="C3318" s="76" t="s">
        <v>536</v>
      </c>
      <c r="D3318" s="484">
        <v>6031.6172699999997</v>
      </c>
      <c r="E3318" s="484">
        <v>3.8374999999999999</v>
      </c>
      <c r="F3318" s="484">
        <v>3.8115999999999999</v>
      </c>
      <c r="G3318" s="83">
        <f t="shared" si="50"/>
        <v>4.1645174603174606</v>
      </c>
    </row>
    <row r="3319" spans="1:7" x14ac:dyDescent="0.2">
      <c r="A3319" s="75">
        <v>43544</v>
      </c>
      <c r="B3319" s="76" t="s">
        <v>35</v>
      </c>
      <c r="C3319" s="76" t="s">
        <v>536</v>
      </c>
      <c r="D3319" s="484">
        <v>6041.6773350000003</v>
      </c>
      <c r="E3319" s="484">
        <v>3.8121999999999998</v>
      </c>
      <c r="F3319" s="484">
        <v>3.7852999999999999</v>
      </c>
      <c r="G3319" s="83">
        <f t="shared" si="50"/>
        <v>4.1524301587301586</v>
      </c>
    </row>
    <row r="3320" spans="1:7" x14ac:dyDescent="0.2">
      <c r="A3320" s="75">
        <v>43545</v>
      </c>
      <c r="B3320" s="76" t="s">
        <v>35</v>
      </c>
      <c r="C3320" s="76" t="s">
        <v>536</v>
      </c>
      <c r="D3320" s="484">
        <v>6032.5256429999999</v>
      </c>
      <c r="E3320" s="484">
        <v>3.7858000000000001</v>
      </c>
      <c r="F3320" s="484">
        <v>3.8250000000000002</v>
      </c>
      <c r="G3320" s="83">
        <f t="shared" si="50"/>
        <v>4.1400063492063506</v>
      </c>
    </row>
    <row r="3321" spans="1:7" x14ac:dyDescent="0.2">
      <c r="A3321" s="75">
        <v>43546</v>
      </c>
      <c r="B3321" s="76" t="s">
        <v>35</v>
      </c>
      <c r="C3321" s="76" t="s">
        <v>536</v>
      </c>
      <c r="D3321" s="484">
        <v>5983.2607260000004</v>
      </c>
      <c r="E3321" s="484">
        <v>3.8256000000000001</v>
      </c>
      <c r="F3321" s="484">
        <v>4.0038999999999998</v>
      </c>
      <c r="G3321" s="83">
        <f t="shared" si="50"/>
        <v>4.1281222222222231</v>
      </c>
    </row>
    <row r="3322" spans="1:7" x14ac:dyDescent="0.2">
      <c r="A3322" s="75">
        <v>43549</v>
      </c>
      <c r="B3322" s="76" t="s">
        <v>35</v>
      </c>
      <c r="C3322" s="76" t="s">
        <v>536</v>
      </c>
      <c r="D3322" s="484">
        <v>5987.4273830000002</v>
      </c>
      <c r="E3322" s="484">
        <v>4.0044000000000004</v>
      </c>
      <c r="F3322" s="484">
        <v>3.9977999999999998</v>
      </c>
      <c r="G3322" s="83">
        <f t="shared" si="50"/>
        <v>4.1201587301587308</v>
      </c>
    </row>
    <row r="3323" spans="1:7" x14ac:dyDescent="0.2">
      <c r="A3323" s="75">
        <v>43550</v>
      </c>
      <c r="B3323" s="76" t="s">
        <v>35</v>
      </c>
      <c r="C3323" s="76" t="s">
        <v>536</v>
      </c>
      <c r="D3323" s="484">
        <v>5974.1249019999996</v>
      </c>
      <c r="E3323" s="484">
        <v>3.9983</v>
      </c>
      <c r="F3323" s="484">
        <v>4.0525000000000002</v>
      </c>
      <c r="G3323" s="83">
        <f t="shared" si="50"/>
        <v>4.112857142857143</v>
      </c>
    </row>
    <row r="3324" spans="1:7" x14ac:dyDescent="0.2">
      <c r="A3324" s="75">
        <v>43551</v>
      </c>
      <c r="B3324" s="76" t="s">
        <v>35</v>
      </c>
      <c r="C3324" s="76" t="s">
        <v>536</v>
      </c>
      <c r="D3324" s="484">
        <v>5930.4141680000002</v>
      </c>
      <c r="E3324" s="484">
        <v>4.0530999999999997</v>
      </c>
      <c r="F3324" s="484">
        <v>4.2228000000000003</v>
      </c>
      <c r="G3324" s="83">
        <f t="shared" si="50"/>
        <v>4.1061571428571435</v>
      </c>
    </row>
    <row r="3325" spans="1:7" x14ac:dyDescent="0.2">
      <c r="A3325" s="75">
        <v>43552</v>
      </c>
      <c r="B3325" s="76" t="s">
        <v>35</v>
      </c>
      <c r="C3325" s="76" t="s">
        <v>536</v>
      </c>
      <c r="D3325" s="484">
        <v>5981.8946660000001</v>
      </c>
      <c r="E3325" s="484">
        <v>4.2233999999999998</v>
      </c>
      <c r="F3325" s="484">
        <v>4.0523999999999996</v>
      </c>
      <c r="G3325" s="83">
        <f t="shared" si="50"/>
        <v>4.1021507936507948</v>
      </c>
    </row>
    <row r="3326" spans="1:7" x14ac:dyDescent="0.2">
      <c r="A3326" s="75">
        <v>43553</v>
      </c>
      <c r="B3326" s="76" t="s">
        <v>35</v>
      </c>
      <c r="C3326" s="76" t="s">
        <v>536</v>
      </c>
      <c r="D3326" s="484">
        <v>5987.5324229999997</v>
      </c>
      <c r="E3326" s="484">
        <v>4.0529000000000002</v>
      </c>
      <c r="F3326" s="484">
        <v>4.0423</v>
      </c>
      <c r="G3326" s="83">
        <f t="shared" si="50"/>
        <v>4.0953555555555567</v>
      </c>
    </row>
    <row r="3327" spans="1:7" x14ac:dyDescent="0.2">
      <c r="A3327" s="75">
        <v>43556</v>
      </c>
      <c r="B3327" s="76" t="s">
        <v>35</v>
      </c>
      <c r="C3327" s="76" t="s">
        <v>536</v>
      </c>
      <c r="D3327" s="484">
        <v>6004.3820679999999</v>
      </c>
      <c r="E3327" s="484">
        <v>4.0427999999999997</v>
      </c>
      <c r="F3327" s="484">
        <v>3.9933000000000001</v>
      </c>
      <c r="G3327" s="83">
        <f t="shared" si="50"/>
        <v>4.0890809523809528</v>
      </c>
    </row>
    <row r="3328" spans="1:7" x14ac:dyDescent="0.2">
      <c r="A3328" s="75">
        <v>43557</v>
      </c>
      <c r="B3328" s="76" t="s">
        <v>35</v>
      </c>
      <c r="C3328" s="76" t="s">
        <v>536</v>
      </c>
      <c r="D3328" s="484">
        <v>6011.5309690000004</v>
      </c>
      <c r="E3328" s="484">
        <v>3.9937</v>
      </c>
      <c r="F3328" s="484">
        <v>3.9779</v>
      </c>
      <c r="G3328" s="83">
        <f t="shared" si="50"/>
        <v>4.0823095238095233</v>
      </c>
    </row>
    <row r="3329" spans="1:7" x14ac:dyDescent="0.2">
      <c r="A3329" s="75">
        <v>43558</v>
      </c>
      <c r="B3329" s="76" t="s">
        <v>35</v>
      </c>
      <c r="C3329" s="76" t="s">
        <v>536</v>
      </c>
      <c r="D3329" s="484">
        <v>6000.4680239999998</v>
      </c>
      <c r="E3329" s="484">
        <v>3.9784000000000002</v>
      </c>
      <c r="F3329" s="484">
        <v>4.0256999999999996</v>
      </c>
      <c r="G3329" s="83">
        <f t="shared" si="50"/>
        <v>4.0752857142857142</v>
      </c>
    </row>
    <row r="3330" spans="1:7" x14ac:dyDescent="0.2">
      <c r="A3330" s="75">
        <v>43559</v>
      </c>
      <c r="B3330" s="76" t="s">
        <v>35</v>
      </c>
      <c r="C3330" s="76" t="s">
        <v>536</v>
      </c>
      <c r="D3330" s="484">
        <v>6009.2056949999997</v>
      </c>
      <c r="E3330" s="484">
        <v>4.0263</v>
      </c>
      <c r="F3330" s="484">
        <v>4.0049999999999999</v>
      </c>
      <c r="G3330" s="83">
        <f t="shared" si="50"/>
        <v>4.0706634920634919</v>
      </c>
    </row>
    <row r="3331" spans="1:7" x14ac:dyDescent="0.2">
      <c r="A3331" s="75">
        <v>43560</v>
      </c>
      <c r="B3331" s="76" t="s">
        <v>35</v>
      </c>
      <c r="C3331" s="76" t="s">
        <v>536</v>
      </c>
      <c r="D3331" s="484">
        <v>6015.0042119999998</v>
      </c>
      <c r="E3331" s="484">
        <v>4.0056000000000003</v>
      </c>
      <c r="F3331" s="484">
        <v>3.9944999999999999</v>
      </c>
      <c r="G3331" s="83">
        <f t="shared" ref="G3331:G3394" si="51">+AVERAGE(E3269:E3331)</f>
        <v>4.0665650793650787</v>
      </c>
    </row>
    <row r="3332" spans="1:7" x14ac:dyDescent="0.2">
      <c r="A3332" s="75">
        <v>43563</v>
      </c>
      <c r="B3332" s="76" t="s">
        <v>35</v>
      </c>
      <c r="C3332" s="76" t="s">
        <v>536</v>
      </c>
      <c r="D3332" s="484">
        <v>6005.4402639999998</v>
      </c>
      <c r="E3332" s="484">
        <v>3.9950000000000001</v>
      </c>
      <c r="F3332" s="484">
        <v>4.0370999999999997</v>
      </c>
      <c r="G3332" s="83">
        <f t="shared" si="51"/>
        <v>4.0623365079365072</v>
      </c>
    </row>
    <row r="3333" spans="1:7" x14ac:dyDescent="0.2">
      <c r="A3333" s="75">
        <v>43564</v>
      </c>
      <c r="B3333" s="76" t="s">
        <v>35</v>
      </c>
      <c r="C3333" s="76" t="s">
        <v>536</v>
      </c>
      <c r="D3333" s="484">
        <v>5987.3654239999996</v>
      </c>
      <c r="E3333" s="484">
        <v>4.0376000000000003</v>
      </c>
      <c r="F3333" s="484">
        <v>4.1093999999999999</v>
      </c>
      <c r="G3333" s="83">
        <f t="shared" si="51"/>
        <v>4.0581634920634908</v>
      </c>
    </row>
    <row r="3334" spans="1:7" x14ac:dyDescent="0.2">
      <c r="A3334" s="75">
        <v>43565</v>
      </c>
      <c r="B3334" s="76" t="s">
        <v>35</v>
      </c>
      <c r="C3334" s="76" t="s">
        <v>536</v>
      </c>
      <c r="D3334" s="484">
        <v>6003.9750540000005</v>
      </c>
      <c r="E3334" s="484">
        <v>4.1100000000000003</v>
      </c>
      <c r="F3334" s="484">
        <v>4.0914999999999999</v>
      </c>
      <c r="G3334" s="83">
        <f t="shared" si="51"/>
        <v>4.0552333333333319</v>
      </c>
    </row>
    <row r="3335" spans="1:7" x14ac:dyDescent="0.2">
      <c r="A3335" s="75">
        <v>43566</v>
      </c>
      <c r="B3335" s="76" t="s">
        <v>35</v>
      </c>
      <c r="C3335" s="76" t="s">
        <v>536</v>
      </c>
      <c r="D3335" s="484">
        <v>6000.3830399999997</v>
      </c>
      <c r="E3335" s="484">
        <v>4.0919999999999996</v>
      </c>
      <c r="F3335" s="484">
        <v>4.1151999999999997</v>
      </c>
      <c r="G3335" s="83">
        <f t="shared" si="51"/>
        <v>4.0529714285714284</v>
      </c>
    </row>
    <row r="3336" spans="1:7" x14ac:dyDescent="0.2">
      <c r="A3336" s="75">
        <v>43567</v>
      </c>
      <c r="B3336" s="76" t="s">
        <v>35</v>
      </c>
      <c r="C3336" s="76" t="s">
        <v>536</v>
      </c>
      <c r="D3336" s="484">
        <v>5997.0590439999996</v>
      </c>
      <c r="E3336" s="484">
        <v>4.1157000000000004</v>
      </c>
      <c r="F3336" s="484">
        <v>4.1379999999999999</v>
      </c>
      <c r="G3336" s="83">
        <f t="shared" si="51"/>
        <v>4.0510587301587302</v>
      </c>
    </row>
    <row r="3337" spans="1:7" x14ac:dyDescent="0.2">
      <c r="A3337" s="75">
        <v>43570</v>
      </c>
      <c r="B3337" s="76" t="s">
        <v>35</v>
      </c>
      <c r="C3337" s="76" t="s">
        <v>536</v>
      </c>
      <c r="D3337" s="484">
        <v>6005.0545519999996</v>
      </c>
      <c r="E3337" s="484">
        <v>4.1384999999999996</v>
      </c>
      <c r="F3337" s="484">
        <v>4.1215000000000002</v>
      </c>
      <c r="G3337" s="83">
        <f t="shared" si="51"/>
        <v>4.0494063492063486</v>
      </c>
    </row>
    <row r="3338" spans="1:7" x14ac:dyDescent="0.2">
      <c r="A3338" s="75">
        <v>43571</v>
      </c>
      <c r="B3338" s="76" t="s">
        <v>35</v>
      </c>
      <c r="C3338" s="76" t="s">
        <v>536</v>
      </c>
      <c r="D3338" s="484">
        <v>6003.6006269999998</v>
      </c>
      <c r="E3338" s="484">
        <v>4.1219999999999999</v>
      </c>
      <c r="F3338" s="484">
        <v>4.1360000000000001</v>
      </c>
      <c r="G3338" s="83">
        <f t="shared" si="51"/>
        <v>4.0483952380952379</v>
      </c>
    </row>
    <row r="3339" spans="1:7" x14ac:dyDescent="0.2">
      <c r="A3339" s="75">
        <v>43572</v>
      </c>
      <c r="B3339" s="76" t="s">
        <v>35</v>
      </c>
      <c r="C3339" s="76" t="s">
        <v>536</v>
      </c>
      <c r="D3339" s="484">
        <v>6001.6902849999997</v>
      </c>
      <c r="E3339" s="484">
        <v>4.1364999999999998</v>
      </c>
      <c r="F3339" s="484">
        <v>4.1520999999999999</v>
      </c>
      <c r="G3339" s="83">
        <f t="shared" si="51"/>
        <v>4.0474301587301582</v>
      </c>
    </row>
    <row r="3340" spans="1:7" x14ac:dyDescent="0.2">
      <c r="A3340" s="75">
        <v>43573</v>
      </c>
      <c r="B3340" s="76" t="s">
        <v>35</v>
      </c>
      <c r="C3340" s="76" t="s">
        <v>536</v>
      </c>
      <c r="D3340" s="484">
        <v>6016.6759540000003</v>
      </c>
      <c r="E3340" s="484">
        <v>4.1525999999999996</v>
      </c>
      <c r="F3340" s="484">
        <v>4.1096000000000004</v>
      </c>
      <c r="G3340" s="83">
        <f t="shared" si="51"/>
        <v>4.0469444444444438</v>
      </c>
    </row>
    <row r="3341" spans="1:7" x14ac:dyDescent="0.2">
      <c r="A3341" s="75">
        <v>43577</v>
      </c>
      <c r="B3341" s="76" t="s">
        <v>35</v>
      </c>
      <c r="C3341" s="76" t="s">
        <v>536</v>
      </c>
      <c r="D3341" s="484">
        <v>6022.407819</v>
      </c>
      <c r="E3341" s="484">
        <v>4.1101999999999999</v>
      </c>
      <c r="F3341" s="484">
        <v>4.0993000000000004</v>
      </c>
      <c r="G3341" s="83">
        <f t="shared" si="51"/>
        <v>4.0459301587301582</v>
      </c>
    </row>
    <row r="3342" spans="1:7" x14ac:dyDescent="0.2">
      <c r="A3342" s="75">
        <v>43578</v>
      </c>
      <c r="B3342" s="76" t="s">
        <v>35</v>
      </c>
      <c r="C3342" s="76" t="s">
        <v>536</v>
      </c>
      <c r="D3342" s="484">
        <v>6046.6077160000004</v>
      </c>
      <c r="E3342" s="484">
        <v>4.0998000000000001</v>
      </c>
      <c r="F3342" s="484">
        <v>4.0251999999999999</v>
      </c>
      <c r="G3342" s="83">
        <f t="shared" si="51"/>
        <v>4.0447206349206342</v>
      </c>
    </row>
    <row r="3343" spans="1:7" x14ac:dyDescent="0.2">
      <c r="A3343" s="75">
        <v>43579</v>
      </c>
      <c r="B3343" s="76" t="s">
        <v>35</v>
      </c>
      <c r="C3343" s="76" t="s">
        <v>536</v>
      </c>
      <c r="D3343" s="484">
        <v>6041.4904669999996</v>
      </c>
      <c r="E3343" s="484">
        <v>4.0256999999999996</v>
      </c>
      <c r="F3343" s="484">
        <v>4.0522</v>
      </c>
      <c r="G3343" s="83">
        <f t="shared" si="51"/>
        <v>4.0422079365079364</v>
      </c>
    </row>
    <row r="3344" spans="1:7" x14ac:dyDescent="0.2">
      <c r="A3344" s="75">
        <v>43580</v>
      </c>
      <c r="B3344" s="76" t="s">
        <v>35</v>
      </c>
      <c r="C3344" s="76" t="s">
        <v>536</v>
      </c>
      <c r="D3344" s="484">
        <v>6047.4377359999999</v>
      </c>
      <c r="E3344" s="484">
        <v>4.0526999999999997</v>
      </c>
      <c r="F3344" s="484">
        <v>4.0411000000000001</v>
      </c>
      <c r="G3344" s="83">
        <f t="shared" si="51"/>
        <v>4.0405158730158721</v>
      </c>
    </row>
    <row r="3345" spans="1:7" x14ac:dyDescent="0.2">
      <c r="A3345" s="75">
        <v>43581</v>
      </c>
      <c r="B3345" s="76" t="s">
        <v>35</v>
      </c>
      <c r="C3345" s="76" t="s">
        <v>536</v>
      </c>
      <c r="D3345" s="484">
        <v>6047.3159100000003</v>
      </c>
      <c r="E3345" s="484">
        <v>4.0415999999999999</v>
      </c>
      <c r="F3345" s="484">
        <v>4.0567000000000002</v>
      </c>
      <c r="G3345" s="83">
        <f t="shared" si="51"/>
        <v>4.0391619047619045</v>
      </c>
    </row>
    <row r="3346" spans="1:7" x14ac:dyDescent="0.2">
      <c r="A3346" s="75">
        <v>43584</v>
      </c>
      <c r="B3346" s="76" t="s">
        <v>35</v>
      </c>
      <c r="C3346" s="76" t="s">
        <v>536</v>
      </c>
      <c r="D3346" s="484">
        <v>6050.8941260000001</v>
      </c>
      <c r="E3346" s="484">
        <v>4.0571999999999999</v>
      </c>
      <c r="F3346" s="484">
        <v>4.0545</v>
      </c>
      <c r="G3346" s="83">
        <f t="shared" si="51"/>
        <v>4.0376619047619036</v>
      </c>
    </row>
    <row r="3347" spans="1:7" x14ac:dyDescent="0.2">
      <c r="A3347" s="75">
        <v>43585</v>
      </c>
      <c r="B3347" s="76" t="s">
        <v>35</v>
      </c>
      <c r="C3347" s="76" t="s">
        <v>536</v>
      </c>
      <c r="D3347" s="484">
        <v>6060.4659959999999</v>
      </c>
      <c r="E3347" s="484">
        <v>4.0548999999999999</v>
      </c>
      <c r="F3347" s="484">
        <v>4.0316000000000001</v>
      </c>
      <c r="G3347" s="83">
        <f t="shared" si="51"/>
        <v>4.0361206349206347</v>
      </c>
    </row>
    <row r="3348" spans="1:7" x14ac:dyDescent="0.2">
      <c r="A3348" s="75">
        <v>43587</v>
      </c>
      <c r="B3348" s="76" t="s">
        <v>35</v>
      </c>
      <c r="C3348" s="76" t="s">
        <v>536</v>
      </c>
      <c r="D3348" s="484">
        <v>6060.0872170000002</v>
      </c>
      <c r="E3348" s="484">
        <v>4.032</v>
      </c>
      <c r="F3348" s="484">
        <v>4.0429000000000004</v>
      </c>
      <c r="G3348" s="83">
        <f t="shared" si="51"/>
        <v>4.034063492063491</v>
      </c>
    </row>
    <row r="3349" spans="1:7" x14ac:dyDescent="0.2">
      <c r="A3349" s="75">
        <v>43588</v>
      </c>
      <c r="B3349" s="76" t="s">
        <v>35</v>
      </c>
      <c r="C3349" s="76" t="s">
        <v>536</v>
      </c>
      <c r="D3349" s="484">
        <v>6091.5247410000002</v>
      </c>
      <c r="E3349" s="484">
        <v>4.0434000000000001</v>
      </c>
      <c r="F3349" s="484">
        <v>3.9453</v>
      </c>
      <c r="G3349" s="83">
        <f t="shared" si="51"/>
        <v>4.03297619047619</v>
      </c>
    </row>
    <row r="3350" spans="1:7" x14ac:dyDescent="0.2">
      <c r="A3350" s="75">
        <v>43591</v>
      </c>
      <c r="B3350" s="76" t="s">
        <v>35</v>
      </c>
      <c r="C3350" s="76" t="s">
        <v>536</v>
      </c>
      <c r="D3350" s="484">
        <v>6090.9164579999997</v>
      </c>
      <c r="E3350" s="484">
        <v>3.9459</v>
      </c>
      <c r="F3350" s="484">
        <v>3.9575</v>
      </c>
      <c r="G3350" s="83">
        <f t="shared" si="51"/>
        <v>4.0301111111111103</v>
      </c>
    </row>
    <row r="3351" spans="1:7" x14ac:dyDescent="0.2">
      <c r="A3351" s="75">
        <v>43592</v>
      </c>
      <c r="B3351" s="76" t="s">
        <v>35</v>
      </c>
      <c r="C3351" s="76" t="s">
        <v>536</v>
      </c>
      <c r="D3351" s="484">
        <v>6088.6436030000004</v>
      </c>
      <c r="E3351" s="484">
        <v>3.9581</v>
      </c>
      <c r="F3351" s="484">
        <v>3.9754</v>
      </c>
      <c r="G3351" s="83">
        <f t="shared" si="51"/>
        <v>4.0292412698412692</v>
      </c>
    </row>
    <row r="3352" spans="1:7" x14ac:dyDescent="0.2">
      <c r="A3352" s="75">
        <v>43593</v>
      </c>
      <c r="B3352" s="76" t="s">
        <v>35</v>
      </c>
      <c r="C3352" s="76" t="s">
        <v>536</v>
      </c>
      <c r="D3352" s="484">
        <v>6102.2202139999999</v>
      </c>
      <c r="E3352" s="484">
        <v>3.976</v>
      </c>
      <c r="F3352" s="484">
        <v>3.9392</v>
      </c>
      <c r="G3352" s="83">
        <f t="shared" si="51"/>
        <v>4.0295015873015867</v>
      </c>
    </row>
    <row r="3353" spans="1:7" x14ac:dyDescent="0.2">
      <c r="A3353" s="75">
        <v>43594</v>
      </c>
      <c r="B3353" s="76" t="s">
        <v>35</v>
      </c>
      <c r="C3353" s="76" t="s">
        <v>536</v>
      </c>
      <c r="D3353" s="484">
        <v>6111.3251</v>
      </c>
      <c r="E3353" s="484">
        <v>3.9397000000000002</v>
      </c>
      <c r="F3353" s="484">
        <v>3.9182000000000001</v>
      </c>
      <c r="G3353" s="83">
        <f t="shared" si="51"/>
        <v>4.0287174603174591</v>
      </c>
    </row>
    <row r="3354" spans="1:7" x14ac:dyDescent="0.2">
      <c r="A3354" s="75">
        <v>43595</v>
      </c>
      <c r="B3354" s="76" t="s">
        <v>35</v>
      </c>
      <c r="C3354" s="76" t="s">
        <v>536</v>
      </c>
      <c r="D3354" s="484">
        <v>6122.8439349999999</v>
      </c>
      <c r="E3354" s="484">
        <v>3.9188000000000001</v>
      </c>
      <c r="F3354" s="484">
        <v>3.8820999999999999</v>
      </c>
      <c r="G3354" s="83">
        <f t="shared" si="51"/>
        <v>4.0272428571428556</v>
      </c>
    </row>
    <row r="3355" spans="1:7" x14ac:dyDescent="0.2">
      <c r="A3355" s="75">
        <v>43598</v>
      </c>
      <c r="B3355" s="76" t="s">
        <v>35</v>
      </c>
      <c r="C3355" s="76" t="s">
        <v>536</v>
      </c>
      <c r="D3355" s="484">
        <v>6116.5033450000001</v>
      </c>
      <c r="E3355" s="484">
        <v>3.8826000000000001</v>
      </c>
      <c r="F3355" s="484">
        <v>3.9131999999999998</v>
      </c>
      <c r="G3355" s="83">
        <f t="shared" si="51"/>
        <v>4.0244999999999989</v>
      </c>
    </row>
    <row r="3356" spans="1:7" x14ac:dyDescent="0.2">
      <c r="A3356" s="75">
        <v>43599</v>
      </c>
      <c r="B3356" s="76" t="s">
        <v>35</v>
      </c>
      <c r="C3356" s="76" t="s">
        <v>536</v>
      </c>
      <c r="D3356" s="484">
        <v>6135.1150829999997</v>
      </c>
      <c r="E3356" s="484">
        <v>3.9137</v>
      </c>
      <c r="F3356" s="484">
        <v>3.8595999999999999</v>
      </c>
      <c r="G3356" s="83">
        <f t="shared" si="51"/>
        <v>4.0216158730158726</v>
      </c>
    </row>
    <row r="3357" spans="1:7" x14ac:dyDescent="0.2">
      <c r="A3357" s="75">
        <v>43600</v>
      </c>
      <c r="B3357" s="76" t="s">
        <v>35</v>
      </c>
      <c r="C3357" s="76" t="s">
        <v>536</v>
      </c>
      <c r="D3357" s="484">
        <v>6135.7148999999999</v>
      </c>
      <c r="E3357" s="484">
        <v>3.8601999999999999</v>
      </c>
      <c r="F3357" s="484">
        <v>3.8672</v>
      </c>
      <c r="G3357" s="83">
        <f t="shared" si="51"/>
        <v>4.0164349206349197</v>
      </c>
    </row>
    <row r="3358" spans="1:7" x14ac:dyDescent="0.2">
      <c r="A3358" s="75">
        <v>43601</v>
      </c>
      <c r="B3358" s="76" t="s">
        <v>35</v>
      </c>
      <c r="C3358" s="76" t="s">
        <v>536</v>
      </c>
      <c r="D3358" s="484">
        <v>6114.6427560000002</v>
      </c>
      <c r="E3358" s="484">
        <v>3.8677000000000001</v>
      </c>
      <c r="F3358" s="484">
        <v>3.9449999999999998</v>
      </c>
      <c r="G3358" s="83">
        <f t="shared" si="51"/>
        <v>4.0116253968253961</v>
      </c>
    </row>
    <row r="3359" spans="1:7" x14ac:dyDescent="0.2">
      <c r="A3359" s="75">
        <v>43602</v>
      </c>
      <c r="B3359" s="76" t="s">
        <v>35</v>
      </c>
      <c r="C3359" s="76" t="s">
        <v>536</v>
      </c>
      <c r="D3359" s="484">
        <v>6088.8512959999998</v>
      </c>
      <c r="E3359" s="484">
        <v>3.9455</v>
      </c>
      <c r="F3359" s="484">
        <v>4.0392999999999999</v>
      </c>
      <c r="G3359" s="83">
        <f t="shared" si="51"/>
        <v>4.0087714285714284</v>
      </c>
    </row>
    <row r="3360" spans="1:7" x14ac:dyDescent="0.2">
      <c r="A3360" s="75">
        <v>43605</v>
      </c>
      <c r="B3360" s="76" t="s">
        <v>35</v>
      </c>
      <c r="C3360" s="76" t="s">
        <v>536</v>
      </c>
      <c r="D3360" s="484">
        <v>6093.7639980000004</v>
      </c>
      <c r="E3360" s="484">
        <v>4.0397999999999996</v>
      </c>
      <c r="F3360" s="484">
        <v>4.0289000000000001</v>
      </c>
      <c r="G3360" s="83">
        <f t="shared" si="51"/>
        <v>4.008176190476191</v>
      </c>
    </row>
    <row r="3361" spans="1:7" x14ac:dyDescent="0.2">
      <c r="A3361" s="75">
        <v>43606</v>
      </c>
      <c r="B3361" s="76" t="s">
        <v>35</v>
      </c>
      <c r="C3361" s="76" t="s">
        <v>536</v>
      </c>
      <c r="D3361" s="484">
        <v>6115.7845820000002</v>
      </c>
      <c r="E3361" s="484">
        <v>4.0293999999999999</v>
      </c>
      <c r="F3361" s="484">
        <v>3.9601999999999999</v>
      </c>
      <c r="G3361" s="83">
        <f t="shared" si="51"/>
        <v>4.0081412698412695</v>
      </c>
    </row>
    <row r="3362" spans="1:7" x14ac:dyDescent="0.2">
      <c r="A3362" s="75">
        <v>43607</v>
      </c>
      <c r="B3362" s="76" t="s">
        <v>35</v>
      </c>
      <c r="C3362" s="76" t="s">
        <v>536</v>
      </c>
      <c r="D3362" s="484">
        <v>6126.0891869999996</v>
      </c>
      <c r="E3362" s="484">
        <v>3.9607000000000001</v>
      </c>
      <c r="F3362" s="484">
        <v>3.9315000000000002</v>
      </c>
      <c r="G3362" s="83">
        <f t="shared" si="51"/>
        <v>4.0081507936507945</v>
      </c>
    </row>
    <row r="3363" spans="1:7" x14ac:dyDescent="0.2">
      <c r="A3363" s="75">
        <v>43608</v>
      </c>
      <c r="B3363" s="76" t="s">
        <v>35</v>
      </c>
      <c r="C3363" s="76" t="s">
        <v>536</v>
      </c>
      <c r="D3363" s="484">
        <v>6133.810931</v>
      </c>
      <c r="E3363" s="484">
        <v>3.9319999999999999</v>
      </c>
      <c r="F3363" s="484">
        <v>3.9116</v>
      </c>
      <c r="G3363" s="83">
        <f t="shared" si="51"/>
        <v>4.0068253968253966</v>
      </c>
    </row>
    <row r="3364" spans="1:7" x14ac:dyDescent="0.2">
      <c r="A3364" s="75">
        <v>43609</v>
      </c>
      <c r="B3364" s="76" t="s">
        <v>35</v>
      </c>
      <c r="C3364" s="76" t="s">
        <v>536</v>
      </c>
      <c r="D3364" s="484">
        <v>6141.0959059999996</v>
      </c>
      <c r="E3364" s="484">
        <v>3.9121000000000001</v>
      </c>
      <c r="F3364" s="484">
        <v>3.8932000000000002</v>
      </c>
      <c r="G3364" s="83">
        <f t="shared" si="51"/>
        <v>4.0053222222222225</v>
      </c>
    </row>
    <row r="3365" spans="1:7" x14ac:dyDescent="0.2">
      <c r="A3365" s="75">
        <v>43612</v>
      </c>
      <c r="B3365" s="76" t="s">
        <v>35</v>
      </c>
      <c r="C3365" s="76" t="s">
        <v>536</v>
      </c>
      <c r="D3365" s="484">
        <v>6150.0998289999998</v>
      </c>
      <c r="E3365" s="484">
        <v>3.8936000000000002</v>
      </c>
      <c r="F3365" s="484">
        <v>3.8653</v>
      </c>
      <c r="G3365" s="83">
        <f t="shared" si="51"/>
        <v>4.0025190476190478</v>
      </c>
    </row>
    <row r="3366" spans="1:7" x14ac:dyDescent="0.2">
      <c r="A3366" s="75">
        <v>43613</v>
      </c>
      <c r="B3366" s="76" t="s">
        <v>35</v>
      </c>
      <c r="C3366" s="76" t="s">
        <v>536</v>
      </c>
      <c r="D3366" s="484">
        <v>6190.1592369999998</v>
      </c>
      <c r="E3366" s="484">
        <v>3.8658000000000001</v>
      </c>
      <c r="F3366" s="484">
        <v>3.7362000000000002</v>
      </c>
      <c r="G3366" s="83">
        <f t="shared" si="51"/>
        <v>3.9994095238095237</v>
      </c>
    </row>
    <row r="3367" spans="1:7" x14ac:dyDescent="0.2">
      <c r="A3367" s="75">
        <v>43614</v>
      </c>
      <c r="B3367" s="76" t="s">
        <v>35</v>
      </c>
      <c r="C3367" s="76" t="s">
        <v>536</v>
      </c>
      <c r="D3367" s="484">
        <v>6209.5388430000003</v>
      </c>
      <c r="E3367" s="484">
        <v>3.7366000000000001</v>
      </c>
      <c r="F3367" s="484">
        <v>3.6768999999999998</v>
      </c>
      <c r="G3367" s="83">
        <f t="shared" si="51"/>
        <v>3.9944603174603173</v>
      </c>
    </row>
    <row r="3368" spans="1:7" x14ac:dyDescent="0.2">
      <c r="A3368" s="75">
        <v>43615</v>
      </c>
      <c r="B3368" s="76" t="s">
        <v>35</v>
      </c>
      <c r="C3368" s="76" t="s">
        <v>536</v>
      </c>
      <c r="D3368" s="484">
        <v>6219.0136300000004</v>
      </c>
      <c r="E3368" s="484">
        <v>3.6772999999999998</v>
      </c>
      <c r="F3368" s="484">
        <v>3.6507999999999998</v>
      </c>
      <c r="G3368" s="83">
        <f t="shared" si="51"/>
        <v>3.9883619047619052</v>
      </c>
    </row>
    <row r="3369" spans="1:7" x14ac:dyDescent="0.2">
      <c r="A3369" s="75">
        <v>43616</v>
      </c>
      <c r="B3369" s="76" t="s">
        <v>35</v>
      </c>
      <c r="C3369" s="76" t="s">
        <v>536</v>
      </c>
      <c r="D3369" s="484">
        <v>6225.8567499999999</v>
      </c>
      <c r="E3369" s="484">
        <v>3.6511999999999998</v>
      </c>
      <c r="F3369" s="484">
        <v>3.6335000000000002</v>
      </c>
      <c r="G3369" s="83">
        <f t="shared" si="51"/>
        <v>3.9818111111111114</v>
      </c>
    </row>
    <row r="3370" spans="1:7" x14ac:dyDescent="0.2">
      <c r="A3370" s="75">
        <v>43619</v>
      </c>
      <c r="B3370" s="76" t="s">
        <v>35</v>
      </c>
      <c r="C3370" s="76" t="s">
        <v>536</v>
      </c>
      <c r="D3370" s="484">
        <v>6230.4807840000003</v>
      </c>
      <c r="E3370" s="484">
        <v>3.6339000000000001</v>
      </c>
      <c r="F3370" s="484">
        <v>3.6236000000000002</v>
      </c>
      <c r="G3370" s="83">
        <f t="shared" si="51"/>
        <v>3.9754317460317457</v>
      </c>
    </row>
    <row r="3371" spans="1:7" x14ac:dyDescent="0.2">
      <c r="A3371" s="75">
        <v>43620</v>
      </c>
      <c r="B3371" s="76" t="s">
        <v>35</v>
      </c>
      <c r="C3371" s="76" t="s">
        <v>536</v>
      </c>
      <c r="D3371" s="484">
        <v>6237.7224409999999</v>
      </c>
      <c r="E3371" s="484">
        <v>3.6240000000000001</v>
      </c>
      <c r="F3371" s="484">
        <v>3.605</v>
      </c>
      <c r="G3371" s="83">
        <f t="shared" si="51"/>
        <v>3.9686158730158723</v>
      </c>
    </row>
    <row r="3372" spans="1:7" x14ac:dyDescent="0.2">
      <c r="A3372" s="75">
        <v>43621</v>
      </c>
      <c r="B3372" s="76" t="s">
        <v>35</v>
      </c>
      <c r="C3372" s="76" t="s">
        <v>536</v>
      </c>
      <c r="D3372" s="484">
        <v>6229.0600610000001</v>
      </c>
      <c r="E3372" s="484">
        <v>3.6053999999999999</v>
      </c>
      <c r="F3372" s="484">
        <v>3.6393</v>
      </c>
      <c r="G3372" s="83">
        <f t="shared" si="51"/>
        <v>3.9614666666666665</v>
      </c>
    </row>
    <row r="3373" spans="1:7" x14ac:dyDescent="0.2">
      <c r="A3373" s="75">
        <v>43622</v>
      </c>
      <c r="B3373" s="76" t="s">
        <v>35</v>
      </c>
      <c r="C3373" s="76" t="s">
        <v>536</v>
      </c>
      <c r="D3373" s="484">
        <v>6257.936764</v>
      </c>
      <c r="E3373" s="484">
        <v>3.6396000000000002</v>
      </c>
      <c r="F3373" s="484">
        <v>3.5488</v>
      </c>
      <c r="G3373" s="83">
        <f t="shared" si="51"/>
        <v>3.9546666666666668</v>
      </c>
    </row>
    <row r="3374" spans="1:7" x14ac:dyDescent="0.2">
      <c r="A3374" s="75">
        <v>43623</v>
      </c>
      <c r="B3374" s="76" t="s">
        <v>35</v>
      </c>
      <c r="C3374" s="76" t="s">
        <v>536</v>
      </c>
      <c r="D3374" s="484">
        <v>6289.9561489999996</v>
      </c>
      <c r="E3374" s="484">
        <v>3.5491999999999999</v>
      </c>
      <c r="F3374" s="484">
        <v>3.4317000000000002</v>
      </c>
      <c r="G3374" s="83">
        <f t="shared" si="51"/>
        <v>3.9462523809523815</v>
      </c>
    </row>
    <row r="3375" spans="1:7" x14ac:dyDescent="0.2">
      <c r="A3375" s="75">
        <v>43626</v>
      </c>
      <c r="B3375" s="76" t="s">
        <v>35</v>
      </c>
      <c r="C3375" s="76" t="s">
        <v>536</v>
      </c>
      <c r="D3375" s="484">
        <v>6306.6136829999996</v>
      </c>
      <c r="E3375" s="484">
        <v>3.4321999999999999</v>
      </c>
      <c r="F3375" s="484">
        <v>3.3814000000000002</v>
      </c>
      <c r="G3375" s="83">
        <f t="shared" si="51"/>
        <v>3.9365523809523815</v>
      </c>
    </row>
    <row r="3376" spans="1:7" x14ac:dyDescent="0.2">
      <c r="A3376" s="75">
        <v>43627</v>
      </c>
      <c r="B3376" s="76" t="s">
        <v>35</v>
      </c>
      <c r="C3376" s="76" t="s">
        <v>536</v>
      </c>
      <c r="D3376" s="484">
        <v>6322.9743870000002</v>
      </c>
      <c r="E3376" s="484">
        <v>3.3818999999999999</v>
      </c>
      <c r="F3376" s="484">
        <v>3.3321999999999998</v>
      </c>
      <c r="G3376" s="83">
        <f t="shared" si="51"/>
        <v>3.9274190476190487</v>
      </c>
    </row>
    <row r="3377" spans="1:7" x14ac:dyDescent="0.2">
      <c r="A3377" s="75">
        <v>43628</v>
      </c>
      <c r="B3377" s="76" t="s">
        <v>35</v>
      </c>
      <c r="C3377" s="76" t="s">
        <v>536</v>
      </c>
      <c r="D3377" s="484">
        <v>6303.2203829999999</v>
      </c>
      <c r="E3377" s="484">
        <v>3.3327</v>
      </c>
      <c r="F3377" s="484">
        <v>3.4013</v>
      </c>
      <c r="G3377" s="83">
        <f t="shared" si="51"/>
        <v>3.9175904761904765</v>
      </c>
    </row>
    <row r="3378" spans="1:7" x14ac:dyDescent="0.2">
      <c r="A3378" s="75">
        <v>43629</v>
      </c>
      <c r="B3378" s="76" t="s">
        <v>35</v>
      </c>
      <c r="C3378" s="76" t="s">
        <v>536</v>
      </c>
      <c r="D3378" s="484">
        <v>6308.862478</v>
      </c>
      <c r="E3378" s="484">
        <v>3.4018000000000002</v>
      </c>
      <c r="F3378" s="484">
        <v>3.3872</v>
      </c>
      <c r="G3378" s="83">
        <f t="shared" si="51"/>
        <v>3.9101555555555558</v>
      </c>
    </row>
    <row r="3379" spans="1:7" x14ac:dyDescent="0.2">
      <c r="A3379" s="75">
        <v>43630</v>
      </c>
      <c r="B3379" s="76" t="s">
        <v>35</v>
      </c>
      <c r="C3379" s="76" t="s">
        <v>536</v>
      </c>
      <c r="D3379" s="484">
        <v>6319.605802</v>
      </c>
      <c r="E3379" s="484">
        <v>3.3877000000000002</v>
      </c>
      <c r="F3379" s="484">
        <v>3.3563999999999998</v>
      </c>
      <c r="G3379" s="83">
        <f t="shared" si="51"/>
        <v>3.9021714285714291</v>
      </c>
    </row>
    <row r="3380" spans="1:7" x14ac:dyDescent="0.2">
      <c r="A3380" s="75">
        <v>43633</v>
      </c>
      <c r="B3380" s="76" t="s">
        <v>35</v>
      </c>
      <c r="C3380" s="76" t="s">
        <v>536</v>
      </c>
      <c r="D3380" s="484">
        <v>6321.5242689999995</v>
      </c>
      <c r="E3380" s="484">
        <v>3.3569</v>
      </c>
      <c r="F3380" s="484">
        <v>3.3544999999999998</v>
      </c>
      <c r="G3380" s="83">
        <f t="shared" si="51"/>
        <v>3.8938000000000006</v>
      </c>
    </row>
    <row r="3381" spans="1:7" x14ac:dyDescent="0.2">
      <c r="A3381" s="75">
        <v>43634</v>
      </c>
      <c r="B3381" s="76" t="s">
        <v>35</v>
      </c>
      <c r="C3381" s="76" t="s">
        <v>536</v>
      </c>
      <c r="D3381" s="484">
        <v>6329.9701089999999</v>
      </c>
      <c r="E3381" s="484">
        <v>3.355</v>
      </c>
      <c r="F3381" s="484">
        <v>3.3302</v>
      </c>
      <c r="G3381" s="83">
        <f t="shared" si="51"/>
        <v>3.8861412698412696</v>
      </c>
    </row>
    <row r="3382" spans="1:7" x14ac:dyDescent="0.2">
      <c r="A3382" s="75">
        <v>43635</v>
      </c>
      <c r="B3382" s="76" t="s">
        <v>35</v>
      </c>
      <c r="C3382" s="76" t="s">
        <v>536</v>
      </c>
      <c r="D3382" s="484">
        <v>6341.0293030000003</v>
      </c>
      <c r="E3382" s="484">
        <v>3.3307000000000002</v>
      </c>
      <c r="F3382" s="484">
        <v>3.2974000000000001</v>
      </c>
      <c r="G3382" s="83">
        <f t="shared" si="51"/>
        <v>3.8784984126984132</v>
      </c>
    </row>
    <row r="3383" spans="1:7" x14ac:dyDescent="0.2">
      <c r="A3383" s="75">
        <v>43637</v>
      </c>
      <c r="B3383" s="76" t="s">
        <v>35</v>
      </c>
      <c r="C3383" s="76" t="s">
        <v>536</v>
      </c>
      <c r="D3383" s="484">
        <v>6403.9546250000003</v>
      </c>
      <c r="E3383" s="484">
        <v>3.2978999999999998</v>
      </c>
      <c r="F3383" s="484">
        <v>3.0966999999999998</v>
      </c>
      <c r="G3383" s="83">
        <f t="shared" si="51"/>
        <v>3.8707539682539682</v>
      </c>
    </row>
    <row r="3384" spans="1:7" x14ac:dyDescent="0.2">
      <c r="A3384" s="75">
        <v>43640</v>
      </c>
      <c r="B3384" s="76" t="s">
        <v>35</v>
      </c>
      <c r="C3384" s="76" t="s">
        <v>536</v>
      </c>
      <c r="D3384" s="484">
        <v>6407.8992049999997</v>
      </c>
      <c r="E3384" s="484">
        <v>3.0973000000000002</v>
      </c>
      <c r="F3384" s="484">
        <v>3.0872000000000002</v>
      </c>
      <c r="G3384" s="83">
        <f t="shared" si="51"/>
        <v>3.8591936507936513</v>
      </c>
    </row>
    <row r="3385" spans="1:7" x14ac:dyDescent="0.2">
      <c r="A3385" s="75">
        <v>43641</v>
      </c>
      <c r="B3385" s="76" t="s">
        <v>35</v>
      </c>
      <c r="C3385" s="76" t="s">
        <v>536</v>
      </c>
      <c r="D3385" s="484">
        <v>6381.1351119999999</v>
      </c>
      <c r="E3385" s="484">
        <v>3.0878000000000001</v>
      </c>
      <c r="F3385" s="484">
        <v>3.1768000000000001</v>
      </c>
      <c r="G3385" s="83">
        <f t="shared" si="51"/>
        <v>3.8446444444444441</v>
      </c>
    </row>
    <row r="3386" spans="1:7" x14ac:dyDescent="0.2">
      <c r="A3386" s="75">
        <v>43642</v>
      </c>
      <c r="B3386" s="76" t="s">
        <v>35</v>
      </c>
      <c r="C3386" s="76" t="s">
        <v>536</v>
      </c>
      <c r="D3386" s="484">
        <v>6383.3798100000004</v>
      </c>
      <c r="E3386" s="484">
        <v>3.1774</v>
      </c>
      <c r="F3386" s="484">
        <v>3.1701999999999999</v>
      </c>
      <c r="G3386" s="83">
        <f t="shared" si="51"/>
        <v>3.8316142857142861</v>
      </c>
    </row>
    <row r="3387" spans="1:7" x14ac:dyDescent="0.2">
      <c r="A3387" s="75">
        <v>43643</v>
      </c>
      <c r="B3387" s="76" t="s">
        <v>35</v>
      </c>
      <c r="C3387" s="76" t="s">
        <v>536</v>
      </c>
      <c r="D3387" s="484">
        <v>6395.3036549999997</v>
      </c>
      <c r="E3387" s="484">
        <v>3.1707000000000001</v>
      </c>
      <c r="F3387" s="484">
        <v>3.1343999999999999</v>
      </c>
      <c r="G3387" s="83">
        <f t="shared" si="51"/>
        <v>3.8176079365079372</v>
      </c>
    </row>
    <row r="3388" spans="1:7" x14ac:dyDescent="0.2">
      <c r="A3388" s="75">
        <v>43644</v>
      </c>
      <c r="B3388" s="76" t="s">
        <v>35</v>
      </c>
      <c r="C3388" s="76" t="s">
        <v>536</v>
      </c>
      <c r="D3388" s="484">
        <v>6416.1321870000002</v>
      </c>
      <c r="E3388" s="484">
        <v>3.1349</v>
      </c>
      <c r="F3388" s="484">
        <v>3.07</v>
      </c>
      <c r="G3388" s="83">
        <f t="shared" si="51"/>
        <v>3.800330158730159</v>
      </c>
    </row>
    <row r="3389" spans="1:7" x14ac:dyDescent="0.2">
      <c r="A3389" s="75">
        <v>43647</v>
      </c>
      <c r="B3389" s="76" t="s">
        <v>35</v>
      </c>
      <c r="C3389" s="76" t="s">
        <v>536</v>
      </c>
      <c r="D3389" s="484">
        <v>6421.3751039999997</v>
      </c>
      <c r="E3389" s="484">
        <v>3.0706000000000002</v>
      </c>
      <c r="F3389" s="484">
        <v>3.0558999999999998</v>
      </c>
      <c r="G3389" s="83">
        <f t="shared" si="51"/>
        <v>3.784738095238096</v>
      </c>
    </row>
    <row r="3390" spans="1:7" x14ac:dyDescent="0.2">
      <c r="A3390" s="75">
        <v>43648</v>
      </c>
      <c r="B3390" s="76" t="s">
        <v>35</v>
      </c>
      <c r="C3390" s="76" t="s">
        <v>536</v>
      </c>
      <c r="D3390" s="484">
        <v>6405.9381819999999</v>
      </c>
      <c r="E3390" s="484">
        <v>3.0564</v>
      </c>
      <c r="F3390" s="484">
        <v>3.1082000000000001</v>
      </c>
      <c r="G3390" s="83">
        <f t="shared" si="51"/>
        <v>3.7690809523809525</v>
      </c>
    </row>
    <row r="3391" spans="1:7" x14ac:dyDescent="0.2">
      <c r="A3391" s="75">
        <v>43649</v>
      </c>
      <c r="B3391" s="76" t="s">
        <v>35</v>
      </c>
      <c r="C3391" s="76" t="s">
        <v>536</v>
      </c>
      <c r="D3391" s="484">
        <v>6421.3497729999999</v>
      </c>
      <c r="E3391" s="484">
        <v>3.1086999999999998</v>
      </c>
      <c r="F3391" s="484">
        <v>3.0613000000000001</v>
      </c>
      <c r="G3391" s="83">
        <f t="shared" si="51"/>
        <v>3.7550333333333334</v>
      </c>
    </row>
    <row r="3392" spans="1:7" x14ac:dyDescent="0.2">
      <c r="A3392" s="75">
        <v>43650</v>
      </c>
      <c r="B3392" s="76" t="s">
        <v>35</v>
      </c>
      <c r="C3392" s="76" t="s">
        <v>536</v>
      </c>
      <c r="D3392" s="484">
        <v>6444.5723250000001</v>
      </c>
      <c r="E3392" s="484">
        <v>3.0619000000000001</v>
      </c>
      <c r="F3392" s="484">
        <v>2.9895999999999998</v>
      </c>
      <c r="G3392" s="83">
        <f t="shared" si="51"/>
        <v>3.7404857142857142</v>
      </c>
    </row>
    <row r="3393" spans="1:7" x14ac:dyDescent="0.2">
      <c r="A3393" s="75">
        <v>43651</v>
      </c>
      <c r="B3393" s="76" t="s">
        <v>35</v>
      </c>
      <c r="C3393" s="76" t="s">
        <v>536</v>
      </c>
      <c r="D3393" s="484">
        <v>6449.2901519999996</v>
      </c>
      <c r="E3393" s="484">
        <v>2.9902000000000002</v>
      </c>
      <c r="F3393" s="484">
        <v>2.9771999999999998</v>
      </c>
      <c r="G3393" s="83">
        <f t="shared" si="51"/>
        <v>3.7240396825396824</v>
      </c>
    </row>
    <row r="3394" spans="1:7" x14ac:dyDescent="0.2">
      <c r="A3394" s="75">
        <v>43654</v>
      </c>
      <c r="B3394" s="76" t="s">
        <v>35</v>
      </c>
      <c r="C3394" s="76" t="s">
        <v>536</v>
      </c>
      <c r="D3394" s="484">
        <v>6468.9359329999997</v>
      </c>
      <c r="E3394" s="484">
        <v>2.9779</v>
      </c>
      <c r="F3394" s="484">
        <v>2.9173</v>
      </c>
      <c r="G3394" s="83">
        <f t="shared" si="51"/>
        <v>3.7077269841269844</v>
      </c>
    </row>
    <row r="3395" spans="1:7" x14ac:dyDescent="0.2">
      <c r="A3395" s="75">
        <v>43655</v>
      </c>
      <c r="B3395" s="76" t="s">
        <v>35</v>
      </c>
      <c r="C3395" s="76" t="s">
        <v>536</v>
      </c>
      <c r="D3395" s="484">
        <v>6469.7919680000005</v>
      </c>
      <c r="E3395" s="484">
        <v>2.9178999999999999</v>
      </c>
      <c r="F3395" s="484">
        <v>2.9171999999999998</v>
      </c>
      <c r="G3395" s="83">
        <f t="shared" ref="G3395:G3458" si="52">+AVERAGE(E3333:E3395)</f>
        <v>3.6906301587301589</v>
      </c>
    </row>
    <row r="3396" spans="1:7" x14ac:dyDescent="0.2">
      <c r="A3396" s="75">
        <v>43656</v>
      </c>
      <c r="B3396" s="76" t="s">
        <v>35</v>
      </c>
      <c r="C3396" s="76" t="s">
        <v>536</v>
      </c>
      <c r="D3396" s="484">
        <v>6497.4547810000004</v>
      </c>
      <c r="E3396" s="484">
        <v>2.9178000000000002</v>
      </c>
      <c r="F3396" s="484">
        <v>2.8389000000000002</v>
      </c>
      <c r="G3396" s="83">
        <f t="shared" si="52"/>
        <v>3.6728555555555555</v>
      </c>
    </row>
    <row r="3397" spans="1:7" x14ac:dyDescent="0.2">
      <c r="A3397" s="75">
        <v>43657</v>
      </c>
      <c r="B3397" s="76" t="s">
        <v>35</v>
      </c>
      <c r="C3397" s="76" t="s">
        <v>536</v>
      </c>
      <c r="D3397" s="484">
        <v>6509.8406830000004</v>
      </c>
      <c r="E3397" s="484">
        <v>2.8395999999999999</v>
      </c>
      <c r="F3397" s="484">
        <v>2.8028</v>
      </c>
      <c r="G3397" s="83">
        <f t="shared" si="52"/>
        <v>3.6526904761904766</v>
      </c>
    </row>
    <row r="3398" spans="1:7" x14ac:dyDescent="0.2">
      <c r="A3398" s="75">
        <v>43658</v>
      </c>
      <c r="B3398" s="76" t="s">
        <v>35</v>
      </c>
      <c r="C3398" s="76" t="s">
        <v>536</v>
      </c>
      <c r="D3398" s="484">
        <v>6506.6988170000004</v>
      </c>
      <c r="E3398" s="484">
        <v>2.8035000000000001</v>
      </c>
      <c r="F3398" s="484">
        <v>2.8157999999999999</v>
      </c>
      <c r="G3398" s="83">
        <f t="shared" si="52"/>
        <v>3.6322380952380953</v>
      </c>
    </row>
    <row r="3399" spans="1:7" x14ac:dyDescent="0.2">
      <c r="A3399" s="75">
        <v>43661</v>
      </c>
      <c r="B3399" s="76" t="s">
        <v>35</v>
      </c>
      <c r="C3399" s="76" t="s">
        <v>536</v>
      </c>
      <c r="D3399" s="484">
        <v>6504.2258220000003</v>
      </c>
      <c r="E3399" s="484">
        <v>2.8165</v>
      </c>
      <c r="F3399" s="484">
        <v>2.8267000000000002</v>
      </c>
      <c r="G3399" s="83">
        <f t="shared" si="52"/>
        <v>3.6116158730158729</v>
      </c>
    </row>
    <row r="3400" spans="1:7" x14ac:dyDescent="0.2">
      <c r="A3400" s="75">
        <v>43662</v>
      </c>
      <c r="B3400" s="76" t="s">
        <v>35</v>
      </c>
      <c r="C3400" s="76" t="s">
        <v>536</v>
      </c>
      <c r="D3400" s="484">
        <v>6492.3359650000002</v>
      </c>
      <c r="E3400" s="484">
        <v>2.8273999999999999</v>
      </c>
      <c r="F3400" s="484">
        <v>2.8694000000000002</v>
      </c>
      <c r="G3400" s="83">
        <f t="shared" si="52"/>
        <v>3.5908047619047623</v>
      </c>
    </row>
    <row r="3401" spans="1:7" x14ac:dyDescent="0.2">
      <c r="A3401" s="75">
        <v>43663</v>
      </c>
      <c r="B3401" s="76" t="s">
        <v>35</v>
      </c>
      <c r="C3401" s="76" t="s">
        <v>536</v>
      </c>
      <c r="D3401" s="484">
        <v>6490.6553299999996</v>
      </c>
      <c r="E3401" s="484">
        <v>2.8700999999999999</v>
      </c>
      <c r="F3401" s="484">
        <v>2.8797999999999999</v>
      </c>
      <c r="G3401" s="83">
        <f t="shared" si="52"/>
        <v>3.5709333333333335</v>
      </c>
    </row>
    <row r="3402" spans="1:7" x14ac:dyDescent="0.2">
      <c r="A3402" s="75">
        <v>43664</v>
      </c>
      <c r="B3402" s="76" t="s">
        <v>35</v>
      </c>
      <c r="C3402" s="76" t="s">
        <v>536</v>
      </c>
      <c r="D3402" s="484">
        <v>6496.1036729999996</v>
      </c>
      <c r="E3402" s="484">
        <v>2.8805999999999998</v>
      </c>
      <c r="F3402" s="484">
        <v>2.8677000000000001</v>
      </c>
      <c r="G3402" s="83">
        <f t="shared" si="52"/>
        <v>3.5509984126984122</v>
      </c>
    </row>
    <row r="3403" spans="1:7" x14ac:dyDescent="0.2">
      <c r="A3403" s="75">
        <v>43665</v>
      </c>
      <c r="B3403" s="76" t="s">
        <v>35</v>
      </c>
      <c r="C3403" s="76" t="s">
        <v>536</v>
      </c>
      <c r="D3403" s="484">
        <v>6490.6067910000002</v>
      </c>
      <c r="E3403" s="484">
        <v>2.8685</v>
      </c>
      <c r="F3403" s="484">
        <v>2.8902999999999999</v>
      </c>
      <c r="G3403" s="83">
        <f t="shared" si="52"/>
        <v>3.530615873015873</v>
      </c>
    </row>
    <row r="3404" spans="1:7" x14ac:dyDescent="0.2">
      <c r="A3404" s="75">
        <v>43668</v>
      </c>
      <c r="B3404" s="76" t="s">
        <v>35</v>
      </c>
      <c r="C3404" s="76" t="s">
        <v>536</v>
      </c>
      <c r="D3404" s="484">
        <v>6493.9125690000001</v>
      </c>
      <c r="E3404" s="484">
        <v>2.8910999999999998</v>
      </c>
      <c r="F3404" s="484">
        <v>2.8849999999999998</v>
      </c>
      <c r="G3404" s="83">
        <f t="shared" si="52"/>
        <v>3.5112650793650788</v>
      </c>
    </row>
    <row r="3405" spans="1:7" x14ac:dyDescent="0.2">
      <c r="A3405" s="75">
        <v>43669</v>
      </c>
      <c r="B3405" s="76" t="s">
        <v>35</v>
      </c>
      <c r="C3405" s="76" t="s">
        <v>536</v>
      </c>
      <c r="D3405" s="484">
        <v>6496.7140230000005</v>
      </c>
      <c r="E3405" s="484">
        <v>2.8858999999999999</v>
      </c>
      <c r="F3405" s="484">
        <v>2.8814000000000002</v>
      </c>
      <c r="G3405" s="83">
        <f t="shared" si="52"/>
        <v>3.491996825396825</v>
      </c>
    </row>
    <row r="3406" spans="1:7" x14ac:dyDescent="0.2">
      <c r="A3406" s="75">
        <v>43670</v>
      </c>
      <c r="B3406" s="76" t="s">
        <v>35</v>
      </c>
      <c r="C3406" s="76" t="s">
        <v>536</v>
      </c>
      <c r="D3406" s="484">
        <v>6502.665105</v>
      </c>
      <c r="E3406" s="484">
        <v>2.8822000000000001</v>
      </c>
      <c r="F3406" s="484">
        <v>2.8671000000000002</v>
      </c>
      <c r="G3406" s="83">
        <f t="shared" si="52"/>
        <v>3.4738460317460316</v>
      </c>
    </row>
    <row r="3407" spans="1:7" x14ac:dyDescent="0.2">
      <c r="A3407" s="75">
        <v>43671</v>
      </c>
      <c r="B3407" s="76" t="s">
        <v>35</v>
      </c>
      <c r="C3407" s="76" t="s">
        <v>536</v>
      </c>
      <c r="D3407" s="484">
        <v>6492.7823879999996</v>
      </c>
      <c r="E3407" s="484">
        <v>2.8679000000000001</v>
      </c>
      <c r="F3407" s="484">
        <v>2.9035000000000002</v>
      </c>
      <c r="G3407" s="83">
        <f t="shared" si="52"/>
        <v>3.4550396825396823</v>
      </c>
    </row>
    <row r="3408" spans="1:7" x14ac:dyDescent="0.2">
      <c r="A3408" s="75">
        <v>43672</v>
      </c>
      <c r="B3408" s="76" t="s">
        <v>35</v>
      </c>
      <c r="C3408" s="76" t="s">
        <v>536</v>
      </c>
      <c r="D3408" s="484">
        <v>6494.5188920000001</v>
      </c>
      <c r="E3408" s="484">
        <v>2.9043000000000001</v>
      </c>
      <c r="F3408" s="484">
        <v>2.9030999999999998</v>
      </c>
      <c r="G3408" s="83">
        <f t="shared" si="52"/>
        <v>3.4369873015873011</v>
      </c>
    </row>
    <row r="3409" spans="1:7" x14ac:dyDescent="0.2">
      <c r="A3409" s="75">
        <v>43675</v>
      </c>
      <c r="B3409" s="76" t="s">
        <v>35</v>
      </c>
      <c r="C3409" s="76" t="s">
        <v>536</v>
      </c>
      <c r="D3409" s="484">
        <v>6494.1429690000004</v>
      </c>
      <c r="E3409" s="484">
        <v>2.9037999999999999</v>
      </c>
      <c r="F3409" s="484">
        <v>2.9093</v>
      </c>
      <c r="G3409" s="83">
        <f t="shared" si="52"/>
        <v>3.4186793650793645</v>
      </c>
    </row>
    <row r="3410" spans="1:7" x14ac:dyDescent="0.2">
      <c r="A3410" s="75">
        <v>43676</v>
      </c>
      <c r="B3410" s="76" t="s">
        <v>35</v>
      </c>
      <c r="C3410" s="76" t="s">
        <v>536</v>
      </c>
      <c r="D3410" s="484">
        <v>6491.8145910000003</v>
      </c>
      <c r="E3410" s="484">
        <v>2.91</v>
      </c>
      <c r="F3410" s="484">
        <v>2.9217</v>
      </c>
      <c r="G3410" s="83">
        <f t="shared" si="52"/>
        <v>3.4005063492063488</v>
      </c>
    </row>
    <row r="3411" spans="1:7" x14ac:dyDescent="0.2">
      <c r="A3411" s="75">
        <v>43677</v>
      </c>
      <c r="B3411" s="76" t="s">
        <v>35</v>
      </c>
      <c r="C3411" s="76" t="s">
        <v>536</v>
      </c>
      <c r="D3411" s="484">
        <v>6482.6914399999996</v>
      </c>
      <c r="E3411" s="484">
        <v>2.9224999999999999</v>
      </c>
      <c r="F3411" s="484">
        <v>2.9558</v>
      </c>
      <c r="G3411" s="83">
        <f t="shared" si="52"/>
        <v>3.3828952380952382</v>
      </c>
    </row>
    <row r="3412" spans="1:7" x14ac:dyDescent="0.2">
      <c r="A3412" s="75">
        <v>43678</v>
      </c>
      <c r="B3412" s="76" t="s">
        <v>35</v>
      </c>
      <c r="C3412" s="76" t="s">
        <v>536</v>
      </c>
      <c r="D3412" s="484">
        <v>6495.4310910000004</v>
      </c>
      <c r="E3412" s="484">
        <v>2.9565000000000001</v>
      </c>
      <c r="F3412" s="484">
        <v>2.9203999999999999</v>
      </c>
      <c r="G3412" s="83">
        <f t="shared" si="52"/>
        <v>3.3656428571428569</v>
      </c>
    </row>
    <row r="3413" spans="1:7" x14ac:dyDescent="0.2">
      <c r="A3413" s="75">
        <v>43679</v>
      </c>
      <c r="B3413" s="76" t="s">
        <v>35</v>
      </c>
      <c r="C3413" s="76" t="s">
        <v>536</v>
      </c>
      <c r="D3413" s="484">
        <v>6504.4313220000004</v>
      </c>
      <c r="E3413" s="484">
        <v>2.9211</v>
      </c>
      <c r="F3413" s="484">
        <v>2.8969</v>
      </c>
      <c r="G3413" s="83">
        <f t="shared" si="52"/>
        <v>3.3493761904761907</v>
      </c>
    </row>
    <row r="3414" spans="1:7" x14ac:dyDescent="0.2">
      <c r="A3414" s="75">
        <v>43682</v>
      </c>
      <c r="B3414" s="76" t="s">
        <v>35</v>
      </c>
      <c r="C3414" s="76" t="s">
        <v>536</v>
      </c>
      <c r="D3414" s="484">
        <v>6474.325605</v>
      </c>
      <c r="E3414" s="484">
        <v>2.8976000000000002</v>
      </c>
      <c r="F3414" s="484">
        <v>2.9975000000000001</v>
      </c>
      <c r="G3414" s="83">
        <f t="shared" si="52"/>
        <v>3.3325428571428577</v>
      </c>
    </row>
    <row r="3415" spans="1:7" x14ac:dyDescent="0.2">
      <c r="A3415" s="75">
        <v>43683</v>
      </c>
      <c r="B3415" s="76" t="s">
        <v>35</v>
      </c>
      <c r="C3415" s="76" t="s">
        <v>536</v>
      </c>
      <c r="D3415" s="484">
        <v>6504.99485</v>
      </c>
      <c r="E3415" s="484">
        <v>2.9981</v>
      </c>
      <c r="F3415" s="484">
        <v>2.9051</v>
      </c>
      <c r="G3415" s="83">
        <f t="shared" si="52"/>
        <v>3.317020634920635</v>
      </c>
    </row>
    <row r="3416" spans="1:7" x14ac:dyDescent="0.2">
      <c r="A3416" s="75">
        <v>43684</v>
      </c>
      <c r="B3416" s="76" t="s">
        <v>35</v>
      </c>
      <c r="C3416" s="76" t="s">
        <v>536</v>
      </c>
      <c r="D3416" s="484">
        <v>6520.2408269999996</v>
      </c>
      <c r="E3416" s="484">
        <v>2.9056999999999999</v>
      </c>
      <c r="F3416" s="484">
        <v>2.8618000000000001</v>
      </c>
      <c r="G3416" s="83">
        <f t="shared" si="52"/>
        <v>3.3006079365079368</v>
      </c>
    </row>
    <row r="3417" spans="1:7" x14ac:dyDescent="0.2">
      <c r="A3417" s="75">
        <v>43685</v>
      </c>
      <c r="B3417" s="76" t="s">
        <v>35</v>
      </c>
      <c r="C3417" s="76" t="s">
        <v>536</v>
      </c>
      <c r="D3417" s="484">
        <v>6535.2910810000003</v>
      </c>
      <c r="E3417" s="484">
        <v>2.8624000000000001</v>
      </c>
      <c r="F3417" s="484">
        <v>2.8144</v>
      </c>
      <c r="G3417" s="83">
        <f t="shared" si="52"/>
        <v>3.2838396825396829</v>
      </c>
    </row>
    <row r="3418" spans="1:7" x14ac:dyDescent="0.2">
      <c r="A3418" s="75">
        <v>43686</v>
      </c>
      <c r="B3418" s="76" t="s">
        <v>35</v>
      </c>
      <c r="C3418" s="76" t="s">
        <v>536</v>
      </c>
      <c r="D3418" s="484">
        <v>6535.9472070000002</v>
      </c>
      <c r="E3418" s="484">
        <v>2.8149999999999999</v>
      </c>
      <c r="F3418" s="484">
        <v>2.8169</v>
      </c>
      <c r="G3418" s="83">
        <f t="shared" si="52"/>
        <v>3.266893650793651</v>
      </c>
    </row>
    <row r="3419" spans="1:7" x14ac:dyDescent="0.2">
      <c r="A3419" s="75">
        <v>43689</v>
      </c>
      <c r="B3419" s="76" t="s">
        <v>35</v>
      </c>
      <c r="C3419" s="76" t="s">
        <v>536</v>
      </c>
      <c r="D3419" s="484">
        <v>6522.6151739999996</v>
      </c>
      <c r="E3419" s="484">
        <v>2.8174999999999999</v>
      </c>
      <c r="F3419" s="484">
        <v>2.8635000000000002</v>
      </c>
      <c r="G3419" s="83">
        <f t="shared" si="52"/>
        <v>3.2494936507936507</v>
      </c>
    </row>
    <row r="3420" spans="1:7" x14ac:dyDescent="0.2">
      <c r="A3420" s="75">
        <v>43690</v>
      </c>
      <c r="B3420" s="76" t="s">
        <v>35</v>
      </c>
      <c r="C3420" s="76" t="s">
        <v>536</v>
      </c>
      <c r="D3420" s="484">
        <v>6528.2908180000004</v>
      </c>
      <c r="E3420" s="484">
        <v>2.8641000000000001</v>
      </c>
      <c r="F3420" s="484">
        <v>2.8502000000000001</v>
      </c>
      <c r="G3420" s="83">
        <f t="shared" si="52"/>
        <v>3.2336825396825399</v>
      </c>
    </row>
    <row r="3421" spans="1:7" x14ac:dyDescent="0.2">
      <c r="A3421" s="75">
        <v>43691</v>
      </c>
      <c r="B3421" s="76" t="s">
        <v>35</v>
      </c>
      <c r="C3421" s="76" t="s">
        <v>536</v>
      </c>
      <c r="D3421" s="484">
        <v>6515.6518150000002</v>
      </c>
      <c r="E3421" s="484">
        <v>2.8508</v>
      </c>
      <c r="F3421" s="484">
        <v>2.8946999999999998</v>
      </c>
      <c r="G3421" s="83">
        <f t="shared" si="52"/>
        <v>3.2175412698412704</v>
      </c>
    </row>
    <row r="3422" spans="1:7" x14ac:dyDescent="0.2">
      <c r="A3422" s="75">
        <v>43692</v>
      </c>
      <c r="B3422" s="76" t="s">
        <v>35</v>
      </c>
      <c r="C3422" s="76" t="s">
        <v>536</v>
      </c>
      <c r="D3422" s="484">
        <v>6522.4364169999999</v>
      </c>
      <c r="E3422" s="484">
        <v>2.8953000000000002</v>
      </c>
      <c r="F3422" s="484">
        <v>2.8778999999999999</v>
      </c>
      <c r="G3422" s="83">
        <f t="shared" si="52"/>
        <v>3.2008714285714288</v>
      </c>
    </row>
    <row r="3423" spans="1:7" x14ac:dyDescent="0.2">
      <c r="A3423" s="75">
        <v>43693</v>
      </c>
      <c r="B3423" s="76" t="s">
        <v>35</v>
      </c>
      <c r="C3423" s="76" t="s">
        <v>536</v>
      </c>
      <c r="D3423" s="484">
        <v>6538.5531339999998</v>
      </c>
      <c r="E3423" s="484">
        <v>2.8784999999999998</v>
      </c>
      <c r="F3423" s="484">
        <v>2.8315999999999999</v>
      </c>
      <c r="G3423" s="83">
        <f t="shared" si="52"/>
        <v>3.182438095238096</v>
      </c>
    </row>
    <row r="3424" spans="1:7" x14ac:dyDescent="0.2">
      <c r="A3424" s="75">
        <v>43696</v>
      </c>
      <c r="B3424" s="76" t="s">
        <v>35</v>
      </c>
      <c r="C3424" s="76" t="s">
        <v>536</v>
      </c>
      <c r="D3424" s="484">
        <v>6529.9736759999996</v>
      </c>
      <c r="E3424" s="484">
        <v>2.8321999999999998</v>
      </c>
      <c r="F3424" s="484">
        <v>2.8631000000000002</v>
      </c>
      <c r="G3424" s="83">
        <f t="shared" si="52"/>
        <v>3.1634349206349213</v>
      </c>
    </row>
    <row r="3425" spans="1:7" x14ac:dyDescent="0.2">
      <c r="A3425" s="75">
        <v>43697</v>
      </c>
      <c r="B3425" s="76" t="s">
        <v>35</v>
      </c>
      <c r="C3425" s="76" t="s">
        <v>536</v>
      </c>
      <c r="D3425" s="484">
        <v>6528.1017439999996</v>
      </c>
      <c r="E3425" s="484">
        <v>2.8637000000000001</v>
      </c>
      <c r="F3425" s="484">
        <v>2.8734999999999999</v>
      </c>
      <c r="G3425" s="83">
        <f t="shared" si="52"/>
        <v>3.1460222222222223</v>
      </c>
    </row>
    <row r="3426" spans="1:7" x14ac:dyDescent="0.2">
      <c r="A3426" s="75">
        <v>43698</v>
      </c>
      <c r="B3426" s="76" t="s">
        <v>35</v>
      </c>
      <c r="C3426" s="76" t="s">
        <v>536</v>
      </c>
      <c r="D3426" s="484">
        <v>6539.8458719999999</v>
      </c>
      <c r="E3426" s="484">
        <v>2.8740999999999999</v>
      </c>
      <c r="F3426" s="484">
        <v>2.8410000000000002</v>
      </c>
      <c r="G3426" s="83">
        <f t="shared" si="52"/>
        <v>3.129230158730159</v>
      </c>
    </row>
    <row r="3427" spans="1:7" x14ac:dyDescent="0.2">
      <c r="A3427" s="75">
        <v>43699</v>
      </c>
      <c r="B3427" s="76" t="s">
        <v>35</v>
      </c>
      <c r="C3427" s="76" t="s">
        <v>536</v>
      </c>
      <c r="D3427" s="484">
        <v>6531.7120340000001</v>
      </c>
      <c r="E3427" s="484">
        <v>2.8414999999999999</v>
      </c>
      <c r="F3427" s="484">
        <v>2.871</v>
      </c>
      <c r="G3427" s="83">
        <f t="shared" si="52"/>
        <v>3.1122365079365077</v>
      </c>
    </row>
    <row r="3428" spans="1:7" x14ac:dyDescent="0.2">
      <c r="A3428" s="75">
        <v>43700</v>
      </c>
      <c r="B3428" s="76" t="s">
        <v>35</v>
      </c>
      <c r="C3428" s="76" t="s">
        <v>536</v>
      </c>
      <c r="D3428" s="484">
        <v>6517.2537229999998</v>
      </c>
      <c r="E3428" s="484">
        <v>2.8715000000000002</v>
      </c>
      <c r="F3428" s="484">
        <v>2.9188000000000001</v>
      </c>
      <c r="G3428" s="83">
        <f t="shared" si="52"/>
        <v>3.0960126984126983</v>
      </c>
    </row>
    <row r="3429" spans="1:7" x14ac:dyDescent="0.2">
      <c r="A3429" s="75">
        <v>43703</v>
      </c>
      <c r="B3429" s="76" t="s">
        <v>35</v>
      </c>
      <c r="C3429" s="76" t="s">
        <v>536</v>
      </c>
      <c r="D3429" s="484">
        <v>6495.4275379999999</v>
      </c>
      <c r="E3429" s="484">
        <v>2.9192999999999998</v>
      </c>
      <c r="F3429" s="484">
        <v>2.992</v>
      </c>
      <c r="G3429" s="83">
        <f t="shared" si="52"/>
        <v>3.0809888888888888</v>
      </c>
    </row>
    <row r="3430" spans="1:7" x14ac:dyDescent="0.2">
      <c r="A3430" s="75">
        <v>43704</v>
      </c>
      <c r="B3430" s="76" t="s">
        <v>35</v>
      </c>
      <c r="C3430" s="76" t="s">
        <v>536</v>
      </c>
      <c r="D3430" s="484">
        <v>6482.4399450000001</v>
      </c>
      <c r="E3430" s="484">
        <v>2.9925999999999999</v>
      </c>
      <c r="F3430" s="484">
        <v>3.0375000000000001</v>
      </c>
      <c r="G3430" s="83">
        <f t="shared" si="52"/>
        <v>3.0691793650793651</v>
      </c>
    </row>
    <row r="3431" spans="1:7" x14ac:dyDescent="0.2">
      <c r="A3431" s="75">
        <v>43705</v>
      </c>
      <c r="B3431" s="76" t="s">
        <v>35</v>
      </c>
      <c r="C3431" s="76" t="s">
        <v>536</v>
      </c>
      <c r="D3431" s="484">
        <v>6459.5341150000004</v>
      </c>
      <c r="E3431" s="484">
        <v>3.0379999999999998</v>
      </c>
      <c r="F3431" s="484">
        <v>3.1147</v>
      </c>
      <c r="G3431" s="83">
        <f t="shared" si="52"/>
        <v>3.0590317460317462</v>
      </c>
    </row>
    <row r="3432" spans="1:7" x14ac:dyDescent="0.2">
      <c r="A3432" s="75">
        <v>43706</v>
      </c>
      <c r="B3432" s="76" t="s">
        <v>35</v>
      </c>
      <c r="C3432" s="76" t="s">
        <v>536</v>
      </c>
      <c r="D3432" s="484">
        <v>6460.983741</v>
      </c>
      <c r="E3432" s="484">
        <v>3.1152000000000002</v>
      </c>
      <c r="F3432" s="484">
        <v>3.1143000000000001</v>
      </c>
      <c r="G3432" s="83">
        <f t="shared" si="52"/>
        <v>3.0505238095238099</v>
      </c>
    </row>
    <row r="3433" spans="1:7" x14ac:dyDescent="0.2">
      <c r="A3433" s="75">
        <v>43707</v>
      </c>
      <c r="B3433" s="76" t="s">
        <v>35</v>
      </c>
      <c r="C3433" s="76" t="s">
        <v>536</v>
      </c>
      <c r="D3433" s="484">
        <v>6483.893325</v>
      </c>
      <c r="E3433" s="484">
        <v>3.1147999999999998</v>
      </c>
      <c r="F3433" s="484">
        <v>3.0455000000000001</v>
      </c>
      <c r="G3433" s="83">
        <f t="shared" si="52"/>
        <v>3.0422841269841268</v>
      </c>
    </row>
    <row r="3434" spans="1:7" x14ac:dyDescent="0.2">
      <c r="A3434" s="75">
        <v>43710</v>
      </c>
      <c r="B3434" s="76" t="s">
        <v>35</v>
      </c>
      <c r="C3434" s="76" t="s">
        <v>536</v>
      </c>
      <c r="D3434" s="484">
        <v>6469.9773420000001</v>
      </c>
      <c r="E3434" s="484">
        <v>3.0459999999999998</v>
      </c>
      <c r="F3434" s="484">
        <v>3.0939999999999999</v>
      </c>
      <c r="G3434" s="83">
        <f t="shared" si="52"/>
        <v>3.0331095238095234</v>
      </c>
    </row>
    <row r="3435" spans="1:7" x14ac:dyDescent="0.2">
      <c r="A3435" s="75">
        <v>43711</v>
      </c>
      <c r="B3435" s="76" t="s">
        <v>35</v>
      </c>
      <c r="C3435" s="76" t="s">
        <v>536</v>
      </c>
      <c r="D3435" s="484">
        <v>6483.8575929999997</v>
      </c>
      <c r="E3435" s="484">
        <v>3.0945999999999998</v>
      </c>
      <c r="F3435" s="484">
        <v>3.0541</v>
      </c>
      <c r="G3435" s="83">
        <f t="shared" si="52"/>
        <v>3.0250015873015865</v>
      </c>
    </row>
    <row r="3436" spans="1:7" x14ac:dyDescent="0.2">
      <c r="A3436" s="75">
        <v>43712</v>
      </c>
      <c r="B3436" s="76" t="s">
        <v>35</v>
      </c>
      <c r="C3436" s="76" t="s">
        <v>536</v>
      </c>
      <c r="D3436" s="484">
        <v>6504.9207960000003</v>
      </c>
      <c r="E3436" s="484">
        <v>3.0547</v>
      </c>
      <c r="F3436" s="484">
        <v>2.9914999999999998</v>
      </c>
      <c r="G3436" s="83">
        <f t="shared" si="52"/>
        <v>3.0157174603174601</v>
      </c>
    </row>
    <row r="3437" spans="1:7" x14ac:dyDescent="0.2">
      <c r="A3437" s="75">
        <v>43713</v>
      </c>
      <c r="B3437" s="76" t="s">
        <v>35</v>
      </c>
      <c r="C3437" s="76" t="s">
        <v>536</v>
      </c>
      <c r="D3437" s="484">
        <v>6508.8124879999996</v>
      </c>
      <c r="E3437" s="484">
        <v>2.9921000000000002</v>
      </c>
      <c r="F3437" s="484">
        <v>2.9834000000000001</v>
      </c>
      <c r="G3437" s="83">
        <f t="shared" si="52"/>
        <v>3.0068746031746021</v>
      </c>
    </row>
    <row r="3438" spans="1:7" x14ac:dyDescent="0.2">
      <c r="A3438" s="75">
        <v>43714</v>
      </c>
      <c r="B3438" s="76" t="s">
        <v>35</v>
      </c>
      <c r="C3438" s="76" t="s">
        <v>536</v>
      </c>
      <c r="D3438" s="484">
        <v>6515.5857699999997</v>
      </c>
      <c r="E3438" s="484">
        <v>2.984</v>
      </c>
      <c r="F3438" s="484">
        <v>2.9632000000000001</v>
      </c>
      <c r="G3438" s="83">
        <f t="shared" si="52"/>
        <v>2.9997603174603173</v>
      </c>
    </row>
    <row r="3439" spans="1:7" x14ac:dyDescent="0.2">
      <c r="A3439" s="75">
        <v>43717</v>
      </c>
      <c r="B3439" s="76" t="s">
        <v>35</v>
      </c>
      <c r="C3439" s="76" t="s">
        <v>536</v>
      </c>
      <c r="D3439" s="484">
        <v>6517.2360420000005</v>
      </c>
      <c r="E3439" s="484">
        <v>2.9639000000000002</v>
      </c>
      <c r="F3439" s="484">
        <v>2.9621</v>
      </c>
      <c r="G3439" s="83">
        <f t="shared" si="52"/>
        <v>2.9931253968253961</v>
      </c>
    </row>
    <row r="3440" spans="1:7" x14ac:dyDescent="0.2">
      <c r="A3440" s="75">
        <v>43718</v>
      </c>
      <c r="B3440" s="76" t="s">
        <v>35</v>
      </c>
      <c r="C3440" s="76" t="s">
        <v>536</v>
      </c>
      <c r="D3440" s="484">
        <v>6504.891568</v>
      </c>
      <c r="E3440" s="484">
        <v>2.9628000000000001</v>
      </c>
      <c r="F3440" s="484">
        <v>3.0053000000000001</v>
      </c>
      <c r="G3440" s="83">
        <f t="shared" si="52"/>
        <v>2.9872539682539676</v>
      </c>
    </row>
    <row r="3441" spans="1:7" x14ac:dyDescent="0.2">
      <c r="A3441" s="75">
        <v>43719</v>
      </c>
      <c r="B3441" s="76" t="s">
        <v>35</v>
      </c>
      <c r="C3441" s="76" t="s">
        <v>536</v>
      </c>
      <c r="D3441" s="484">
        <v>6517.384935</v>
      </c>
      <c r="E3441" s="484">
        <v>3.0059</v>
      </c>
      <c r="F3441" s="484">
        <v>2.9698000000000002</v>
      </c>
      <c r="G3441" s="83">
        <f t="shared" si="52"/>
        <v>2.98096984126984</v>
      </c>
    </row>
    <row r="3442" spans="1:7" x14ac:dyDescent="0.2">
      <c r="A3442" s="75">
        <v>43720</v>
      </c>
      <c r="B3442" s="76" t="s">
        <v>35</v>
      </c>
      <c r="C3442" s="76" t="s">
        <v>536</v>
      </c>
      <c r="D3442" s="484">
        <v>6529.2317839999996</v>
      </c>
      <c r="E3442" s="484">
        <v>2.9704000000000002</v>
      </c>
      <c r="F3442" s="484">
        <v>2.9363999999999999</v>
      </c>
      <c r="G3442" s="83">
        <f t="shared" si="52"/>
        <v>2.9743460317460304</v>
      </c>
    </row>
    <row r="3443" spans="1:7" x14ac:dyDescent="0.2">
      <c r="A3443" s="75">
        <v>43721</v>
      </c>
      <c r="B3443" s="76" t="s">
        <v>35</v>
      </c>
      <c r="C3443" s="76" t="s">
        <v>536</v>
      </c>
      <c r="D3443" s="484">
        <v>6516.0328149999996</v>
      </c>
      <c r="E3443" s="484">
        <v>2.9371</v>
      </c>
      <c r="F3443" s="484">
        <v>2.9822000000000002</v>
      </c>
      <c r="G3443" s="83">
        <f t="shared" si="52"/>
        <v>2.9676825396825381</v>
      </c>
    </row>
    <row r="3444" spans="1:7" x14ac:dyDescent="0.2">
      <c r="A3444" s="75">
        <v>43724</v>
      </c>
      <c r="B3444" s="76" t="s">
        <v>35</v>
      </c>
      <c r="C3444" s="76" t="s">
        <v>536</v>
      </c>
      <c r="D3444" s="484">
        <v>6539.7400129999996</v>
      </c>
      <c r="E3444" s="484">
        <v>2.9828000000000001</v>
      </c>
      <c r="F3444" s="484">
        <v>2.9114</v>
      </c>
      <c r="G3444" s="83">
        <f t="shared" si="52"/>
        <v>2.9617746031746024</v>
      </c>
    </row>
    <row r="3445" spans="1:7" x14ac:dyDescent="0.2">
      <c r="A3445" s="75">
        <v>43725</v>
      </c>
      <c r="B3445" s="76" t="s">
        <v>35</v>
      </c>
      <c r="C3445" s="76" t="s">
        <v>536</v>
      </c>
      <c r="D3445" s="484">
        <v>6562.8458479999999</v>
      </c>
      <c r="E3445" s="484">
        <v>2.9121000000000001</v>
      </c>
      <c r="F3445" s="484">
        <v>2.8428</v>
      </c>
      <c r="G3445" s="83">
        <f t="shared" si="52"/>
        <v>2.9551301587301584</v>
      </c>
    </row>
    <row r="3446" spans="1:7" x14ac:dyDescent="0.2">
      <c r="A3446" s="75">
        <v>43726</v>
      </c>
      <c r="B3446" s="76" t="s">
        <v>35</v>
      </c>
      <c r="C3446" s="76" t="s">
        <v>536</v>
      </c>
      <c r="D3446" s="484">
        <v>6574.9324269999997</v>
      </c>
      <c r="E3446" s="484">
        <v>2.8435000000000001</v>
      </c>
      <c r="F3446" s="484">
        <v>2.8089</v>
      </c>
      <c r="G3446" s="83">
        <f t="shared" si="52"/>
        <v>2.9479174603174596</v>
      </c>
    </row>
    <row r="3447" spans="1:7" x14ac:dyDescent="0.2">
      <c r="A3447" s="75">
        <v>43727</v>
      </c>
      <c r="B3447" s="76" t="s">
        <v>35</v>
      </c>
      <c r="C3447" s="76" t="s">
        <v>536</v>
      </c>
      <c r="D3447" s="484">
        <v>6606.7642669999996</v>
      </c>
      <c r="E3447" s="484">
        <v>2.8096000000000001</v>
      </c>
      <c r="F3447" s="484">
        <v>2.7134999999999998</v>
      </c>
      <c r="G3447" s="83">
        <f t="shared" si="52"/>
        <v>2.9433507936507932</v>
      </c>
    </row>
    <row r="3448" spans="1:7" x14ac:dyDescent="0.2">
      <c r="A3448" s="75">
        <v>43728</v>
      </c>
      <c r="B3448" s="76" t="s">
        <v>35</v>
      </c>
      <c r="C3448" s="76" t="s">
        <v>536</v>
      </c>
      <c r="D3448" s="484">
        <v>6630.5833570000004</v>
      </c>
      <c r="E3448" s="484">
        <v>2.7143000000000002</v>
      </c>
      <c r="F3448" s="484">
        <v>2.6435</v>
      </c>
      <c r="G3448" s="83">
        <f t="shared" si="52"/>
        <v>2.9374222222222217</v>
      </c>
    </row>
    <row r="3449" spans="1:7" x14ac:dyDescent="0.2">
      <c r="A3449" s="75">
        <v>43731</v>
      </c>
      <c r="B3449" s="76" t="s">
        <v>35</v>
      </c>
      <c r="C3449" s="76" t="s">
        <v>536</v>
      </c>
      <c r="D3449" s="484">
        <v>6618.9472050000004</v>
      </c>
      <c r="E3449" s="484">
        <v>2.6442999999999999</v>
      </c>
      <c r="F3449" s="484">
        <v>2.6835</v>
      </c>
      <c r="G3449" s="83">
        <f t="shared" si="52"/>
        <v>2.9289603174603163</v>
      </c>
    </row>
    <row r="3450" spans="1:7" x14ac:dyDescent="0.2">
      <c r="A3450" s="75">
        <v>43732</v>
      </c>
      <c r="B3450" s="76" t="s">
        <v>35</v>
      </c>
      <c r="C3450" s="76" t="s">
        <v>536</v>
      </c>
      <c r="D3450" s="484">
        <v>6607.0573899999999</v>
      </c>
      <c r="E3450" s="484">
        <v>2.6842999999999999</v>
      </c>
      <c r="F3450" s="484">
        <v>2.7244000000000002</v>
      </c>
      <c r="G3450" s="83">
        <f t="shared" si="52"/>
        <v>2.9212396825396816</v>
      </c>
    </row>
    <row r="3451" spans="1:7" x14ac:dyDescent="0.2">
      <c r="A3451" s="75">
        <v>43733</v>
      </c>
      <c r="B3451" s="76" t="s">
        <v>35</v>
      </c>
      <c r="C3451" s="76" t="s">
        <v>536</v>
      </c>
      <c r="D3451" s="484">
        <v>6626.364399</v>
      </c>
      <c r="E3451" s="484">
        <v>2.7252000000000001</v>
      </c>
      <c r="F3451" s="484">
        <v>2.6636000000000002</v>
      </c>
      <c r="G3451" s="83">
        <f t="shared" si="52"/>
        <v>2.9147365079365066</v>
      </c>
    </row>
    <row r="3452" spans="1:7" x14ac:dyDescent="0.2">
      <c r="A3452" s="75">
        <v>43734</v>
      </c>
      <c r="B3452" s="76" t="s">
        <v>35</v>
      </c>
      <c r="C3452" s="76" t="s">
        <v>536</v>
      </c>
      <c r="D3452" s="484">
        <v>6637.8679769999999</v>
      </c>
      <c r="E3452" s="484">
        <v>2.6644000000000001</v>
      </c>
      <c r="F3452" s="484">
        <v>2.6312000000000002</v>
      </c>
      <c r="G3452" s="83">
        <f t="shared" si="52"/>
        <v>2.9082888888888871</v>
      </c>
    </row>
    <row r="3453" spans="1:7" x14ac:dyDescent="0.2">
      <c r="A3453" s="75">
        <v>43735</v>
      </c>
      <c r="B3453" s="76" t="s">
        <v>35</v>
      </c>
      <c r="C3453" s="76" t="s">
        <v>536</v>
      </c>
      <c r="D3453" s="484">
        <v>6645.3083280000001</v>
      </c>
      <c r="E3453" s="484">
        <v>2.6320000000000001</v>
      </c>
      <c r="F3453" s="484">
        <v>2.6114000000000002</v>
      </c>
      <c r="G3453" s="83">
        <f t="shared" si="52"/>
        <v>2.9015523809523804</v>
      </c>
    </row>
    <row r="3454" spans="1:7" x14ac:dyDescent="0.2">
      <c r="A3454" s="75">
        <v>43738</v>
      </c>
      <c r="B3454" s="76" t="s">
        <v>35</v>
      </c>
      <c r="C3454" s="76" t="s">
        <v>536</v>
      </c>
      <c r="D3454" s="484">
        <v>6650.8744610000003</v>
      </c>
      <c r="E3454" s="484">
        <v>2.6122000000000001</v>
      </c>
      <c r="F3454" s="484">
        <v>2.5973999999999999</v>
      </c>
      <c r="G3454" s="83">
        <f t="shared" si="52"/>
        <v>2.893671428571428</v>
      </c>
    </row>
    <row r="3455" spans="1:7" x14ac:dyDescent="0.2">
      <c r="A3455" s="75">
        <v>43739</v>
      </c>
      <c r="B3455" s="76" t="s">
        <v>35</v>
      </c>
      <c r="C3455" s="76" t="s">
        <v>536</v>
      </c>
      <c r="D3455" s="484">
        <v>6650.5452859999996</v>
      </c>
      <c r="E3455" s="484">
        <v>2.5981000000000001</v>
      </c>
      <c r="F3455" s="484">
        <v>2.6015000000000001</v>
      </c>
      <c r="G3455" s="83">
        <f t="shared" si="52"/>
        <v>2.8863095238095231</v>
      </c>
    </row>
    <row r="3456" spans="1:7" x14ac:dyDescent="0.2">
      <c r="A3456" s="75">
        <v>43740</v>
      </c>
      <c r="B3456" s="76" t="s">
        <v>35</v>
      </c>
      <c r="C3456" s="76" t="s">
        <v>536</v>
      </c>
      <c r="D3456" s="484">
        <v>6648.7926749999997</v>
      </c>
      <c r="E3456" s="484">
        <v>2.6023000000000001</v>
      </c>
      <c r="F3456" s="484">
        <v>2.6101000000000001</v>
      </c>
      <c r="G3456" s="83">
        <f t="shared" si="52"/>
        <v>2.8801523809523806</v>
      </c>
    </row>
    <row r="3457" spans="1:7" x14ac:dyDescent="0.2">
      <c r="A3457" s="75">
        <v>43741</v>
      </c>
      <c r="B3457" s="76" t="s">
        <v>35</v>
      </c>
      <c r="C3457" s="76" t="s">
        <v>536</v>
      </c>
      <c r="D3457" s="484">
        <v>6654.9123509999999</v>
      </c>
      <c r="E3457" s="484">
        <v>2.6109</v>
      </c>
      <c r="F3457" s="484">
        <v>2.5943999999999998</v>
      </c>
      <c r="G3457" s="83">
        <f t="shared" si="52"/>
        <v>2.8743269841269834</v>
      </c>
    </row>
    <row r="3458" spans="1:7" x14ac:dyDescent="0.2">
      <c r="A3458" s="75">
        <v>43742</v>
      </c>
      <c r="B3458" s="76" t="s">
        <v>35</v>
      </c>
      <c r="C3458" s="76" t="s">
        <v>536</v>
      </c>
      <c r="D3458" s="484">
        <v>6652.1523980000002</v>
      </c>
      <c r="E3458" s="484">
        <v>2.5952000000000002</v>
      </c>
      <c r="F3458" s="484">
        <v>2.6061000000000001</v>
      </c>
      <c r="G3458" s="83">
        <f t="shared" si="52"/>
        <v>2.8692047619047614</v>
      </c>
    </row>
    <row r="3459" spans="1:7" x14ac:dyDescent="0.2">
      <c r="A3459" s="75">
        <v>43745</v>
      </c>
      <c r="B3459" s="76" t="s">
        <v>35</v>
      </c>
      <c r="C3459" s="76" t="s">
        <v>536</v>
      </c>
      <c r="D3459" s="484">
        <v>6636.688913</v>
      </c>
      <c r="E3459" s="484">
        <v>2.6067999999999998</v>
      </c>
      <c r="F3459" s="484">
        <v>2.657</v>
      </c>
      <c r="G3459" s="83">
        <f t="shared" ref="G3459:G3522" si="53">+AVERAGE(E3397:E3459)</f>
        <v>2.8642682539682531</v>
      </c>
    </row>
    <row r="3460" spans="1:7" x14ac:dyDescent="0.2">
      <c r="A3460" s="75">
        <v>43746</v>
      </c>
      <c r="B3460" s="76" t="s">
        <v>35</v>
      </c>
      <c r="C3460" s="76" t="s">
        <v>536</v>
      </c>
      <c r="D3460" s="484">
        <v>6638.9283770000002</v>
      </c>
      <c r="E3460" s="484">
        <v>2.6577999999999999</v>
      </c>
      <c r="F3460" s="484">
        <v>2.6533000000000002</v>
      </c>
      <c r="G3460" s="83">
        <f t="shared" si="53"/>
        <v>2.8613825396825399</v>
      </c>
    </row>
    <row r="3461" spans="1:7" x14ac:dyDescent="0.2">
      <c r="A3461" s="75">
        <v>43747</v>
      </c>
      <c r="B3461" s="76" t="s">
        <v>35</v>
      </c>
      <c r="C3461" s="76" t="s">
        <v>536</v>
      </c>
      <c r="D3461" s="484">
        <v>6654.9766090000003</v>
      </c>
      <c r="E3461" s="484">
        <v>2.6541000000000001</v>
      </c>
      <c r="F3461" s="484">
        <v>2.5952999999999999</v>
      </c>
      <c r="G3461" s="83">
        <f t="shared" si="53"/>
        <v>2.8590111111111103</v>
      </c>
    </row>
    <row r="3462" spans="1:7" x14ac:dyDescent="0.2">
      <c r="A3462" s="75">
        <v>43748</v>
      </c>
      <c r="B3462" s="76" t="s">
        <v>35</v>
      </c>
      <c r="C3462" s="76" t="s">
        <v>536</v>
      </c>
      <c r="D3462" s="484">
        <v>6675.1369459999996</v>
      </c>
      <c r="E3462" s="484">
        <v>2.5960999999999999</v>
      </c>
      <c r="F3462" s="484">
        <v>2.5356999999999998</v>
      </c>
      <c r="G3462" s="83">
        <f t="shared" si="53"/>
        <v>2.8555126984126979</v>
      </c>
    </row>
    <row r="3463" spans="1:7" x14ac:dyDescent="0.2">
      <c r="A3463" s="75">
        <v>43749</v>
      </c>
      <c r="B3463" s="76" t="s">
        <v>35</v>
      </c>
      <c r="C3463" s="76" t="s">
        <v>536</v>
      </c>
      <c r="D3463" s="484">
        <v>6712.5832250000003</v>
      </c>
      <c r="E3463" s="484">
        <v>2.5366</v>
      </c>
      <c r="F3463" s="484">
        <v>2.4235000000000002</v>
      </c>
      <c r="G3463" s="83">
        <f t="shared" si="53"/>
        <v>2.8508968253968252</v>
      </c>
    </row>
    <row r="3464" spans="1:7" x14ac:dyDescent="0.2">
      <c r="A3464" s="75">
        <v>43752</v>
      </c>
      <c r="B3464" s="76" t="s">
        <v>35</v>
      </c>
      <c r="C3464" s="76" t="s">
        <v>536</v>
      </c>
      <c r="D3464" s="484">
        <v>6738.1009770000001</v>
      </c>
      <c r="E3464" s="484">
        <v>2.4243000000000001</v>
      </c>
      <c r="F3464" s="484">
        <v>2.3481000000000001</v>
      </c>
      <c r="G3464" s="83">
        <f t="shared" si="53"/>
        <v>2.8438206349206343</v>
      </c>
    </row>
    <row r="3465" spans="1:7" x14ac:dyDescent="0.2">
      <c r="A3465" s="75">
        <v>43753</v>
      </c>
      <c r="B3465" s="76" t="s">
        <v>35</v>
      </c>
      <c r="C3465" s="76" t="s">
        <v>536</v>
      </c>
      <c r="D3465" s="484">
        <v>6723.5157049999998</v>
      </c>
      <c r="E3465" s="484">
        <v>2.3490000000000002</v>
      </c>
      <c r="F3465" s="484">
        <v>2.3948999999999998</v>
      </c>
      <c r="G3465" s="83">
        <f t="shared" si="53"/>
        <v>2.8353825396825387</v>
      </c>
    </row>
    <row r="3466" spans="1:7" x14ac:dyDescent="0.2">
      <c r="A3466" s="75">
        <v>43754</v>
      </c>
      <c r="B3466" s="76" t="s">
        <v>35</v>
      </c>
      <c r="C3466" s="76" t="s">
        <v>536</v>
      </c>
      <c r="D3466" s="484">
        <v>6755.4791340000002</v>
      </c>
      <c r="E3466" s="484">
        <v>2.3957000000000002</v>
      </c>
      <c r="F3466" s="484">
        <v>2.3010000000000002</v>
      </c>
      <c r="G3466" s="83">
        <f t="shared" si="53"/>
        <v>2.8278777777777773</v>
      </c>
    </row>
    <row r="3467" spans="1:7" x14ac:dyDescent="0.2">
      <c r="A3467" s="75">
        <v>43755</v>
      </c>
      <c r="B3467" s="76" t="s">
        <v>35</v>
      </c>
      <c r="C3467" s="76" t="s">
        <v>536</v>
      </c>
      <c r="D3467" s="484">
        <v>6778.6805729999996</v>
      </c>
      <c r="E3467" s="484">
        <v>2.3018999999999998</v>
      </c>
      <c r="F3467" s="484">
        <v>2.2341000000000002</v>
      </c>
      <c r="G3467" s="83">
        <f t="shared" si="53"/>
        <v>2.8185253968253963</v>
      </c>
    </row>
    <row r="3468" spans="1:7" x14ac:dyDescent="0.2">
      <c r="A3468" s="75">
        <v>43756</v>
      </c>
      <c r="B3468" s="76" t="s">
        <v>35</v>
      </c>
      <c r="C3468" s="76" t="s">
        <v>536</v>
      </c>
      <c r="D3468" s="484">
        <v>6776.4710789999999</v>
      </c>
      <c r="E3468" s="484">
        <v>2.2349999999999999</v>
      </c>
      <c r="F3468" s="484">
        <v>2.2440000000000002</v>
      </c>
      <c r="G3468" s="83">
        <f t="shared" si="53"/>
        <v>2.8081936507936502</v>
      </c>
    </row>
    <row r="3469" spans="1:7" x14ac:dyDescent="0.2">
      <c r="A3469" s="75">
        <v>43759</v>
      </c>
      <c r="B3469" s="76" t="s">
        <v>35</v>
      </c>
      <c r="C3469" s="76" t="s">
        <v>536</v>
      </c>
      <c r="D3469" s="484">
        <v>6772.9414129999996</v>
      </c>
      <c r="E3469" s="484">
        <v>2.2448999999999999</v>
      </c>
      <c r="F3469" s="484">
        <v>2.2578999999999998</v>
      </c>
      <c r="G3469" s="83">
        <f t="shared" si="53"/>
        <v>2.798077777777777</v>
      </c>
    </row>
    <row r="3470" spans="1:7" x14ac:dyDescent="0.2">
      <c r="A3470" s="75">
        <v>43760</v>
      </c>
      <c r="B3470" s="76" t="s">
        <v>35</v>
      </c>
      <c r="C3470" s="76" t="s">
        <v>536</v>
      </c>
      <c r="D3470" s="484">
        <v>6753.7648879999997</v>
      </c>
      <c r="E3470" s="484">
        <v>2.2587999999999999</v>
      </c>
      <c r="F3470" s="484">
        <v>2.3191999999999999</v>
      </c>
      <c r="G3470" s="83">
        <f t="shared" si="53"/>
        <v>2.7884095238095234</v>
      </c>
    </row>
    <row r="3471" spans="1:7" x14ac:dyDescent="0.2">
      <c r="A3471" s="75">
        <v>43761</v>
      </c>
      <c r="B3471" s="76" t="s">
        <v>35</v>
      </c>
      <c r="C3471" s="76" t="s">
        <v>536</v>
      </c>
      <c r="D3471" s="484">
        <v>6771.9195920000002</v>
      </c>
      <c r="E3471" s="484">
        <v>2.3201000000000001</v>
      </c>
      <c r="F3471" s="484">
        <v>2.2686000000000002</v>
      </c>
      <c r="G3471" s="83">
        <f t="shared" si="53"/>
        <v>2.7791365079365073</v>
      </c>
    </row>
    <row r="3472" spans="1:7" x14ac:dyDescent="0.2">
      <c r="A3472" s="75">
        <v>43762</v>
      </c>
      <c r="B3472" s="76" t="s">
        <v>35</v>
      </c>
      <c r="C3472" s="76" t="s">
        <v>536</v>
      </c>
      <c r="D3472" s="484">
        <v>6768.8884150000004</v>
      </c>
      <c r="E3472" s="484">
        <v>2.2694999999999999</v>
      </c>
      <c r="F3472" s="484">
        <v>2.2812000000000001</v>
      </c>
      <c r="G3472" s="83">
        <f t="shared" si="53"/>
        <v>2.7690682539682534</v>
      </c>
    </row>
    <row r="3473" spans="1:7" x14ac:dyDescent="0.2">
      <c r="A3473" s="75">
        <v>43763</v>
      </c>
      <c r="B3473" s="76" t="s">
        <v>35</v>
      </c>
      <c r="C3473" s="76" t="s">
        <v>536</v>
      </c>
      <c r="D3473" s="484">
        <v>6789.1405930000001</v>
      </c>
      <c r="E3473" s="484">
        <v>2.2820999999999998</v>
      </c>
      <c r="F3473" s="484">
        <v>2.2235</v>
      </c>
      <c r="G3473" s="83">
        <f t="shared" si="53"/>
        <v>2.7591015873015872</v>
      </c>
    </row>
    <row r="3474" spans="1:7" x14ac:dyDescent="0.2">
      <c r="A3474" s="75">
        <v>43766</v>
      </c>
      <c r="B3474" s="76" t="s">
        <v>35</v>
      </c>
      <c r="C3474" s="76" t="s">
        <v>536</v>
      </c>
      <c r="D3474" s="484">
        <v>6805.654305</v>
      </c>
      <c r="E3474" s="484">
        <v>2.2244000000000002</v>
      </c>
      <c r="F3474" s="484">
        <v>2.1772</v>
      </c>
      <c r="G3474" s="83">
        <f t="shared" si="53"/>
        <v>2.7480206349206346</v>
      </c>
    </row>
    <row r="3475" spans="1:7" x14ac:dyDescent="0.2">
      <c r="A3475" s="75">
        <v>43767</v>
      </c>
      <c r="B3475" s="76" t="s">
        <v>35</v>
      </c>
      <c r="C3475" s="76" t="s">
        <v>536</v>
      </c>
      <c r="D3475" s="484">
        <v>6822.7704180000001</v>
      </c>
      <c r="E3475" s="484">
        <v>2.1781000000000001</v>
      </c>
      <c r="F3475" s="484">
        <v>2.1292</v>
      </c>
      <c r="G3475" s="83">
        <f t="shared" si="53"/>
        <v>2.735665079365079</v>
      </c>
    </row>
    <row r="3476" spans="1:7" x14ac:dyDescent="0.2">
      <c r="A3476" s="75">
        <v>43768</v>
      </c>
      <c r="B3476" s="76" t="s">
        <v>35</v>
      </c>
      <c r="C3476" s="76" t="s">
        <v>536</v>
      </c>
      <c r="D3476" s="484">
        <v>6837.7824689999998</v>
      </c>
      <c r="E3476" s="484">
        <v>2.1301000000000001</v>
      </c>
      <c r="F3476" s="484">
        <v>2.0876000000000001</v>
      </c>
      <c r="G3476" s="83">
        <f t="shared" si="53"/>
        <v>2.7231095238095229</v>
      </c>
    </row>
    <row r="3477" spans="1:7" x14ac:dyDescent="0.2">
      <c r="A3477" s="75">
        <v>43769</v>
      </c>
      <c r="B3477" s="76" t="s">
        <v>35</v>
      </c>
      <c r="C3477" s="76" t="s">
        <v>536</v>
      </c>
      <c r="D3477" s="484">
        <v>6834.4327409999996</v>
      </c>
      <c r="E3477" s="484">
        <v>2.0884999999999998</v>
      </c>
      <c r="F3477" s="484">
        <v>2.1009000000000002</v>
      </c>
      <c r="G3477" s="83">
        <f t="shared" si="53"/>
        <v>2.7102666666666666</v>
      </c>
    </row>
    <row r="3478" spans="1:7" x14ac:dyDescent="0.2">
      <c r="A3478" s="75">
        <v>43770</v>
      </c>
      <c r="B3478" s="76" t="s">
        <v>35</v>
      </c>
      <c r="C3478" s="76" t="s">
        <v>536</v>
      </c>
      <c r="D3478" s="484">
        <v>6845.9473360000002</v>
      </c>
      <c r="E3478" s="484">
        <v>2.1017999999999999</v>
      </c>
      <c r="F3478" s="484">
        <v>2.0697999999999999</v>
      </c>
      <c r="G3478" s="83">
        <f t="shared" si="53"/>
        <v>2.6960396825396824</v>
      </c>
    </row>
    <row r="3479" spans="1:7" x14ac:dyDescent="0.2">
      <c r="A3479" s="75">
        <v>43773</v>
      </c>
      <c r="B3479" s="76" t="s">
        <v>35</v>
      </c>
      <c r="C3479" s="76" t="s">
        <v>536</v>
      </c>
      <c r="D3479" s="484">
        <v>6836.897997</v>
      </c>
      <c r="E3479" s="484">
        <v>2.0707</v>
      </c>
      <c r="F3479" s="484">
        <v>2.1000999999999999</v>
      </c>
      <c r="G3479" s="83">
        <f t="shared" si="53"/>
        <v>2.6827857142857146</v>
      </c>
    </row>
    <row r="3480" spans="1:7" x14ac:dyDescent="0.2">
      <c r="A3480" s="75">
        <v>43774</v>
      </c>
      <c r="B3480" s="76" t="s">
        <v>35</v>
      </c>
      <c r="C3480" s="76" t="s">
        <v>536</v>
      </c>
      <c r="D3480" s="484">
        <v>6832.5829919999996</v>
      </c>
      <c r="E3480" s="484">
        <v>2.1009000000000002</v>
      </c>
      <c r="F3480" s="484">
        <v>2.1162000000000001</v>
      </c>
      <c r="G3480" s="83">
        <f t="shared" si="53"/>
        <v>2.6706984126984121</v>
      </c>
    </row>
    <row r="3481" spans="1:7" x14ac:dyDescent="0.2">
      <c r="A3481" s="75">
        <v>43775</v>
      </c>
      <c r="B3481" s="76" t="s">
        <v>35</v>
      </c>
      <c r="C3481" s="76" t="s">
        <v>536</v>
      </c>
      <c r="D3481" s="484">
        <v>6817.4304709999997</v>
      </c>
      <c r="E3481" s="484">
        <v>2.117</v>
      </c>
      <c r="F3481" s="484">
        <v>2.1648000000000001</v>
      </c>
      <c r="G3481" s="83">
        <f t="shared" si="53"/>
        <v>2.6596190476190471</v>
      </c>
    </row>
    <row r="3482" spans="1:7" x14ac:dyDescent="0.2">
      <c r="A3482" s="75">
        <v>43776</v>
      </c>
      <c r="B3482" s="76" t="s">
        <v>35</v>
      </c>
      <c r="C3482" s="76" t="s">
        <v>536</v>
      </c>
      <c r="D3482" s="484">
        <v>6807.5968739999998</v>
      </c>
      <c r="E3482" s="484">
        <v>2.1657000000000002</v>
      </c>
      <c r="F3482" s="484">
        <v>2.2006999999999999</v>
      </c>
      <c r="G3482" s="83">
        <f t="shared" si="53"/>
        <v>2.6492730158730158</v>
      </c>
    </row>
    <row r="3483" spans="1:7" x14ac:dyDescent="0.2">
      <c r="A3483" s="75">
        <v>43777</v>
      </c>
      <c r="B3483" s="76" t="s">
        <v>35</v>
      </c>
      <c r="C3483" s="76" t="s">
        <v>536</v>
      </c>
      <c r="D3483" s="484">
        <v>6803.956518</v>
      </c>
      <c r="E3483" s="484">
        <v>2.2014999999999998</v>
      </c>
      <c r="F3483" s="484">
        <v>2.2151000000000001</v>
      </c>
      <c r="G3483" s="83">
        <f t="shared" si="53"/>
        <v>2.6387555555555555</v>
      </c>
    </row>
    <row r="3484" spans="1:7" x14ac:dyDescent="0.2">
      <c r="A3484" s="75">
        <v>43780</v>
      </c>
      <c r="B3484" s="76" t="s">
        <v>35</v>
      </c>
      <c r="C3484" s="76" t="s">
        <v>536</v>
      </c>
      <c r="D3484" s="484">
        <v>6813.0986629999998</v>
      </c>
      <c r="E3484" s="484">
        <v>2.2159</v>
      </c>
      <c r="F3484" s="484">
        <v>2.1911</v>
      </c>
      <c r="G3484" s="83">
        <f t="shared" si="53"/>
        <v>2.628677777777777</v>
      </c>
    </row>
    <row r="3485" spans="1:7" x14ac:dyDescent="0.2">
      <c r="A3485" s="75">
        <v>43781</v>
      </c>
      <c r="B3485" s="76" t="s">
        <v>35</v>
      </c>
      <c r="C3485" s="76" t="s">
        <v>536</v>
      </c>
      <c r="D3485" s="484">
        <v>6791.5063840000003</v>
      </c>
      <c r="E3485" s="484">
        <v>2.1920000000000002</v>
      </c>
      <c r="F3485" s="484">
        <v>2.2595999999999998</v>
      </c>
      <c r="G3485" s="83">
        <f t="shared" si="53"/>
        <v>2.6175142857142859</v>
      </c>
    </row>
    <row r="3486" spans="1:7" x14ac:dyDescent="0.2">
      <c r="A3486" s="75">
        <v>43782</v>
      </c>
      <c r="B3486" s="76" t="s">
        <v>35</v>
      </c>
      <c r="C3486" s="76" t="s">
        <v>536</v>
      </c>
      <c r="D3486" s="484">
        <v>6781.9604909999998</v>
      </c>
      <c r="E3486" s="484">
        <v>2.2604000000000002</v>
      </c>
      <c r="F3486" s="484">
        <v>2.2919</v>
      </c>
      <c r="G3486" s="83">
        <f t="shared" si="53"/>
        <v>2.6077031746031745</v>
      </c>
    </row>
    <row r="3487" spans="1:7" x14ac:dyDescent="0.2">
      <c r="A3487" s="75">
        <v>43783</v>
      </c>
      <c r="B3487" s="76" t="s">
        <v>35</v>
      </c>
      <c r="C3487" s="76" t="s">
        <v>536</v>
      </c>
      <c r="D3487" s="484">
        <v>6781.2755630000001</v>
      </c>
      <c r="E3487" s="484">
        <v>2.2928000000000002</v>
      </c>
      <c r="F3487" s="484">
        <v>2.2976000000000001</v>
      </c>
      <c r="G3487" s="83">
        <f t="shared" si="53"/>
        <v>2.5991412698412697</v>
      </c>
    </row>
    <row r="3488" spans="1:7" x14ac:dyDescent="0.2">
      <c r="A3488" s="75">
        <v>43787</v>
      </c>
      <c r="B3488" s="76" t="s">
        <v>35</v>
      </c>
      <c r="C3488" s="76" t="s">
        <v>536</v>
      </c>
      <c r="D3488" s="484">
        <v>6773.7419829999999</v>
      </c>
      <c r="E3488" s="484">
        <v>2.2985000000000002</v>
      </c>
      <c r="F3488" s="484">
        <v>2.3239999999999998</v>
      </c>
      <c r="G3488" s="83">
        <f t="shared" si="53"/>
        <v>2.5901698412698408</v>
      </c>
    </row>
    <row r="3489" spans="1:7" x14ac:dyDescent="0.2">
      <c r="A3489" s="75">
        <v>43788</v>
      </c>
      <c r="B3489" s="76" t="s">
        <v>35</v>
      </c>
      <c r="C3489" s="76" t="s">
        <v>536</v>
      </c>
      <c r="D3489" s="484">
        <v>6770.0908609999997</v>
      </c>
      <c r="E3489" s="484">
        <v>2.3249</v>
      </c>
      <c r="F3489" s="484">
        <v>2.3418999999999999</v>
      </c>
      <c r="G3489" s="83">
        <f t="shared" si="53"/>
        <v>2.5814523809523808</v>
      </c>
    </row>
    <row r="3490" spans="1:7" x14ac:dyDescent="0.2">
      <c r="A3490" s="75">
        <v>43789</v>
      </c>
      <c r="B3490" s="76" t="s">
        <v>35</v>
      </c>
      <c r="C3490" s="76" t="s">
        <v>536</v>
      </c>
      <c r="D3490" s="484">
        <v>6772.3952079999999</v>
      </c>
      <c r="E3490" s="484">
        <v>2.3428</v>
      </c>
      <c r="F3490" s="484">
        <v>2.3418000000000001</v>
      </c>
      <c r="G3490" s="83">
        <f t="shared" si="53"/>
        <v>2.5735365079365078</v>
      </c>
    </row>
    <row r="3491" spans="1:7" x14ac:dyDescent="0.2">
      <c r="A3491" s="75">
        <v>43790</v>
      </c>
      <c r="B3491" s="76" t="s">
        <v>35</v>
      </c>
      <c r="C3491" s="76" t="s">
        <v>536</v>
      </c>
      <c r="D3491" s="484">
        <v>6747.0537439999998</v>
      </c>
      <c r="E3491" s="484">
        <v>2.3426999999999998</v>
      </c>
      <c r="F3491" s="484">
        <v>2.4255</v>
      </c>
      <c r="G3491" s="83">
        <f t="shared" si="53"/>
        <v>2.5651428571428574</v>
      </c>
    </row>
    <row r="3492" spans="1:7" x14ac:dyDescent="0.2">
      <c r="A3492" s="75">
        <v>43791</v>
      </c>
      <c r="B3492" s="76" t="s">
        <v>35</v>
      </c>
      <c r="C3492" s="76" t="s">
        <v>536</v>
      </c>
      <c r="D3492" s="484">
        <v>6761.7639920000001</v>
      </c>
      <c r="E3492" s="484">
        <v>2.4262999999999999</v>
      </c>
      <c r="F3492" s="484">
        <v>2.3877000000000002</v>
      </c>
      <c r="G3492" s="83">
        <f t="shared" si="53"/>
        <v>2.5573174603174604</v>
      </c>
    </row>
    <row r="3493" spans="1:7" x14ac:dyDescent="0.2">
      <c r="A3493" s="75">
        <v>43794</v>
      </c>
      <c r="B3493" s="76" t="s">
        <v>35</v>
      </c>
      <c r="C3493" s="76" t="s">
        <v>536</v>
      </c>
      <c r="D3493" s="484">
        <v>6752.017124</v>
      </c>
      <c r="E3493" s="484">
        <v>2.3885000000000001</v>
      </c>
      <c r="F3493" s="484">
        <v>2.4251</v>
      </c>
      <c r="G3493" s="83">
        <f t="shared" si="53"/>
        <v>2.5477285714285713</v>
      </c>
    </row>
    <row r="3494" spans="1:7" x14ac:dyDescent="0.2">
      <c r="A3494" s="75">
        <v>43795</v>
      </c>
      <c r="B3494" s="76" t="s">
        <v>35</v>
      </c>
      <c r="C3494" s="76" t="s">
        <v>536</v>
      </c>
      <c r="D3494" s="484">
        <v>6734.277051</v>
      </c>
      <c r="E3494" s="484">
        <v>2.4260000000000002</v>
      </c>
      <c r="F3494" s="484">
        <v>2.4862000000000002</v>
      </c>
      <c r="G3494" s="83">
        <f t="shared" si="53"/>
        <v>2.5380142857142856</v>
      </c>
    </row>
    <row r="3495" spans="1:7" x14ac:dyDescent="0.2">
      <c r="A3495" s="75">
        <v>43796</v>
      </c>
      <c r="B3495" s="76" t="s">
        <v>35</v>
      </c>
      <c r="C3495" s="76" t="s">
        <v>536</v>
      </c>
      <c r="D3495" s="484">
        <v>6718.3458149999997</v>
      </c>
      <c r="E3495" s="484">
        <v>2.4870999999999999</v>
      </c>
      <c r="F3495" s="484">
        <v>2.5419999999999998</v>
      </c>
      <c r="G3495" s="83">
        <f t="shared" si="53"/>
        <v>2.5280444444444448</v>
      </c>
    </row>
    <row r="3496" spans="1:7" x14ac:dyDescent="0.2">
      <c r="A3496" s="75">
        <v>43797</v>
      </c>
      <c r="B3496" s="76" t="s">
        <v>35</v>
      </c>
      <c r="C3496" s="76" t="s">
        <v>536</v>
      </c>
      <c r="D3496" s="484">
        <v>6729.467815</v>
      </c>
      <c r="E3496" s="484">
        <v>2.5428999999999999</v>
      </c>
      <c r="F3496" s="484">
        <v>2.5152999999999999</v>
      </c>
      <c r="G3496" s="83">
        <f t="shared" si="53"/>
        <v>2.518966666666667</v>
      </c>
    </row>
    <row r="3497" spans="1:7" x14ac:dyDescent="0.2">
      <c r="A3497" s="75">
        <v>43798</v>
      </c>
      <c r="B3497" s="76" t="s">
        <v>35</v>
      </c>
      <c r="C3497" s="76" t="s">
        <v>536</v>
      </c>
      <c r="D3497" s="484">
        <v>6731.7060110000002</v>
      </c>
      <c r="E3497" s="484">
        <v>2.5162</v>
      </c>
      <c r="F3497" s="484">
        <v>2.5156999999999998</v>
      </c>
      <c r="G3497" s="83">
        <f t="shared" si="53"/>
        <v>2.5105571428571429</v>
      </c>
    </row>
    <row r="3498" spans="1:7" x14ac:dyDescent="0.2">
      <c r="A3498" s="75">
        <v>43801</v>
      </c>
      <c r="B3498" s="76" t="s">
        <v>35</v>
      </c>
      <c r="C3498" s="76" t="s">
        <v>536</v>
      </c>
      <c r="D3498" s="484">
        <v>6724.3050279999998</v>
      </c>
      <c r="E3498" s="484">
        <v>2.5165000000000002</v>
      </c>
      <c r="F3498" s="484">
        <v>2.5453999999999999</v>
      </c>
      <c r="G3498" s="83">
        <f t="shared" si="53"/>
        <v>2.501380952380952</v>
      </c>
    </row>
    <row r="3499" spans="1:7" x14ac:dyDescent="0.2">
      <c r="A3499" s="75">
        <v>43802</v>
      </c>
      <c r="B3499" s="76" t="s">
        <v>35</v>
      </c>
      <c r="C3499" s="76" t="s">
        <v>536</v>
      </c>
      <c r="D3499" s="484">
        <v>6744.3726310000002</v>
      </c>
      <c r="E3499" s="484">
        <v>2.5461999999999998</v>
      </c>
      <c r="F3499" s="484">
        <v>2.4914000000000001</v>
      </c>
      <c r="G3499" s="83">
        <f t="shared" si="53"/>
        <v>2.4933095238095238</v>
      </c>
    </row>
    <row r="3500" spans="1:7" x14ac:dyDescent="0.2">
      <c r="A3500" s="75">
        <v>43803</v>
      </c>
      <c r="B3500" s="76" t="s">
        <v>35</v>
      </c>
      <c r="C3500" s="76" t="s">
        <v>536</v>
      </c>
      <c r="D3500" s="484">
        <v>6768.2247749999997</v>
      </c>
      <c r="E3500" s="484">
        <v>2.4922</v>
      </c>
      <c r="F3500" s="484">
        <v>2.4260999999999999</v>
      </c>
      <c r="G3500" s="83">
        <f t="shared" si="53"/>
        <v>2.4853746031746029</v>
      </c>
    </row>
    <row r="3501" spans="1:7" x14ac:dyDescent="0.2">
      <c r="A3501" s="75">
        <v>43804</v>
      </c>
      <c r="B3501" s="76" t="s">
        <v>35</v>
      </c>
      <c r="C3501" s="76" t="s">
        <v>536</v>
      </c>
      <c r="D3501" s="484">
        <v>6773.8551010000001</v>
      </c>
      <c r="E3501" s="484">
        <v>2.4268999999999998</v>
      </c>
      <c r="F3501" s="484">
        <v>2.4161000000000001</v>
      </c>
      <c r="G3501" s="83">
        <f t="shared" si="53"/>
        <v>2.4765317460317458</v>
      </c>
    </row>
    <row r="3502" spans="1:7" x14ac:dyDescent="0.2">
      <c r="A3502" s="75">
        <v>43805</v>
      </c>
      <c r="B3502" s="76" t="s">
        <v>35</v>
      </c>
      <c r="C3502" s="76" t="s">
        <v>536</v>
      </c>
      <c r="D3502" s="484">
        <v>6802.770458</v>
      </c>
      <c r="E3502" s="484">
        <v>2.4169999999999998</v>
      </c>
      <c r="F3502" s="484">
        <v>2.3488000000000002</v>
      </c>
      <c r="G3502" s="83">
        <f t="shared" si="53"/>
        <v>2.4678507936507934</v>
      </c>
    </row>
    <row r="3503" spans="1:7" x14ac:dyDescent="0.2">
      <c r="A3503" s="75">
        <v>43808</v>
      </c>
      <c r="B3503" s="76" t="s">
        <v>35</v>
      </c>
      <c r="C3503" s="76" t="s">
        <v>536</v>
      </c>
      <c r="D3503" s="484">
        <v>6805.0285640000002</v>
      </c>
      <c r="E3503" s="484">
        <v>2.3496999999999999</v>
      </c>
      <c r="F3503" s="484">
        <v>2.35</v>
      </c>
      <c r="G3503" s="83">
        <f t="shared" si="53"/>
        <v>2.4581190476190473</v>
      </c>
    </row>
    <row r="3504" spans="1:7" x14ac:dyDescent="0.2">
      <c r="A3504" s="75">
        <v>43809</v>
      </c>
      <c r="B3504" s="76" t="s">
        <v>35</v>
      </c>
      <c r="C3504" s="76" t="s">
        <v>536</v>
      </c>
      <c r="D3504" s="484">
        <v>6806.2909540000001</v>
      </c>
      <c r="E3504" s="484">
        <v>2.3508</v>
      </c>
      <c r="F3504" s="484">
        <v>2.3540999999999999</v>
      </c>
      <c r="G3504" s="83">
        <f t="shared" si="53"/>
        <v>2.4477206349206346</v>
      </c>
    </row>
    <row r="3505" spans="1:7" x14ac:dyDescent="0.2">
      <c r="A3505" s="75">
        <v>43810</v>
      </c>
      <c r="B3505" s="76" t="s">
        <v>35</v>
      </c>
      <c r="C3505" s="76" t="s">
        <v>536</v>
      </c>
      <c r="D3505" s="484">
        <v>6811.2773939999997</v>
      </c>
      <c r="E3505" s="484">
        <v>2.355</v>
      </c>
      <c r="F3505" s="484">
        <v>2.3471000000000002</v>
      </c>
      <c r="G3505" s="83">
        <f t="shared" si="53"/>
        <v>2.4379523809523804</v>
      </c>
    </row>
    <row r="3506" spans="1:7" x14ac:dyDescent="0.2">
      <c r="A3506" s="75">
        <v>43811</v>
      </c>
      <c r="B3506" s="76" t="s">
        <v>35</v>
      </c>
      <c r="C3506" s="76" t="s">
        <v>536</v>
      </c>
      <c r="D3506" s="484">
        <v>6817.1976089999998</v>
      </c>
      <c r="E3506" s="484">
        <v>2.3479999999999999</v>
      </c>
      <c r="F3506" s="484">
        <v>2.3372999999999999</v>
      </c>
      <c r="G3506" s="83">
        <f t="shared" si="53"/>
        <v>2.4286015873015869</v>
      </c>
    </row>
    <row r="3507" spans="1:7" x14ac:dyDescent="0.2">
      <c r="A3507" s="75">
        <v>43812</v>
      </c>
      <c r="B3507" s="76" t="s">
        <v>35</v>
      </c>
      <c r="C3507" s="76" t="s">
        <v>536</v>
      </c>
      <c r="D3507" s="484">
        <v>6823.253952</v>
      </c>
      <c r="E3507" s="484">
        <v>2.3380999999999998</v>
      </c>
      <c r="F3507" s="484">
        <v>2.327</v>
      </c>
      <c r="G3507" s="83">
        <f t="shared" si="53"/>
        <v>2.4183682539682536</v>
      </c>
    </row>
    <row r="3508" spans="1:7" x14ac:dyDescent="0.2">
      <c r="A3508" s="75">
        <v>43815</v>
      </c>
      <c r="B3508" s="76" t="s">
        <v>35</v>
      </c>
      <c r="C3508" s="76" t="s">
        <v>536</v>
      </c>
      <c r="D3508" s="484">
        <v>6809.971783</v>
      </c>
      <c r="E3508" s="484">
        <v>2.3279999999999998</v>
      </c>
      <c r="F3508" s="484">
        <v>2.375</v>
      </c>
      <c r="G3508" s="83">
        <f t="shared" si="53"/>
        <v>2.409096825396825</v>
      </c>
    </row>
    <row r="3509" spans="1:7" x14ac:dyDescent="0.2">
      <c r="A3509" s="75">
        <v>43816</v>
      </c>
      <c r="B3509" s="76" t="s">
        <v>35</v>
      </c>
      <c r="C3509" s="76" t="s">
        <v>536</v>
      </c>
      <c r="D3509" s="484">
        <v>6776.399625</v>
      </c>
      <c r="E3509" s="484">
        <v>2.3759000000000001</v>
      </c>
      <c r="F3509" s="484">
        <v>2.4870999999999999</v>
      </c>
      <c r="G3509" s="83">
        <f t="shared" si="53"/>
        <v>2.4016746031746026</v>
      </c>
    </row>
    <row r="3510" spans="1:7" x14ac:dyDescent="0.2">
      <c r="A3510" s="75">
        <v>43817</v>
      </c>
      <c r="B3510" s="76" t="s">
        <v>35</v>
      </c>
      <c r="C3510" s="76" t="s">
        <v>536</v>
      </c>
      <c r="D3510" s="484">
        <v>6765.8960829999996</v>
      </c>
      <c r="E3510" s="484">
        <v>2.488</v>
      </c>
      <c r="F3510" s="484">
        <v>2.5297999999999998</v>
      </c>
      <c r="G3510" s="83">
        <f t="shared" si="53"/>
        <v>2.3965698412698409</v>
      </c>
    </row>
    <row r="3511" spans="1:7" x14ac:dyDescent="0.2">
      <c r="A3511" s="75">
        <v>43818</v>
      </c>
      <c r="B3511" s="76" t="s">
        <v>35</v>
      </c>
      <c r="C3511" s="76" t="s">
        <v>536</v>
      </c>
      <c r="D3511" s="484">
        <v>6723.7956359999998</v>
      </c>
      <c r="E3511" s="484">
        <v>2.5308000000000002</v>
      </c>
      <c r="F3511" s="484">
        <v>2.669</v>
      </c>
      <c r="G3511" s="83">
        <f t="shared" si="53"/>
        <v>2.3936571428571423</v>
      </c>
    </row>
    <row r="3512" spans="1:7" x14ac:dyDescent="0.2">
      <c r="A3512" s="75">
        <v>43819</v>
      </c>
      <c r="B3512" s="76" t="s">
        <v>35</v>
      </c>
      <c r="C3512" s="76" t="s">
        <v>536</v>
      </c>
      <c r="D3512" s="484">
        <v>6744.258108</v>
      </c>
      <c r="E3512" s="484">
        <v>2.6699000000000002</v>
      </c>
      <c r="F3512" s="484">
        <v>2.6175999999999999</v>
      </c>
      <c r="G3512" s="83">
        <f t="shared" si="53"/>
        <v>2.3940634920634918</v>
      </c>
    </row>
    <row r="3513" spans="1:7" x14ac:dyDescent="0.2">
      <c r="A3513" s="75">
        <v>43822</v>
      </c>
      <c r="B3513" s="76" t="s">
        <v>35</v>
      </c>
      <c r="C3513" s="76" t="s">
        <v>536</v>
      </c>
      <c r="D3513" s="484">
        <v>6763.7346230000003</v>
      </c>
      <c r="E3513" s="484">
        <v>2.6185999999999998</v>
      </c>
      <c r="F3513" s="484">
        <v>2.5832000000000002</v>
      </c>
      <c r="G3513" s="83">
        <f t="shared" si="53"/>
        <v>2.3930206349206351</v>
      </c>
    </row>
    <row r="3514" spans="1:7" x14ac:dyDescent="0.2">
      <c r="A3514" s="75">
        <v>43823</v>
      </c>
      <c r="B3514" s="76" t="s">
        <v>35</v>
      </c>
      <c r="C3514" s="76" t="s">
        <v>536</v>
      </c>
      <c r="D3514" s="484">
        <v>6768.0191020000002</v>
      </c>
      <c r="E3514" s="484">
        <v>2.5842000000000001</v>
      </c>
      <c r="F3514" s="484">
        <v>2.5840000000000001</v>
      </c>
      <c r="G3514" s="83">
        <f t="shared" si="53"/>
        <v>2.3907825396825402</v>
      </c>
    </row>
    <row r="3515" spans="1:7" x14ac:dyDescent="0.2">
      <c r="A3515" s="75">
        <v>43825</v>
      </c>
      <c r="B3515" s="76" t="s">
        <v>35</v>
      </c>
      <c r="C3515" s="76" t="s">
        <v>536</v>
      </c>
      <c r="D3515" s="484">
        <v>6791.9650449999999</v>
      </c>
      <c r="E3515" s="484">
        <v>2.585</v>
      </c>
      <c r="F3515" s="484">
        <v>2.5253000000000001</v>
      </c>
      <c r="G3515" s="83">
        <f t="shared" si="53"/>
        <v>2.3895222222222228</v>
      </c>
    </row>
    <row r="3516" spans="1:7" x14ac:dyDescent="0.2">
      <c r="A3516" s="75">
        <v>43826</v>
      </c>
      <c r="B3516" s="76" t="s">
        <v>35</v>
      </c>
      <c r="C3516" s="76" t="s">
        <v>536</v>
      </c>
      <c r="D3516" s="484">
        <v>6802.1833909999996</v>
      </c>
      <c r="E3516" s="484">
        <v>2.5263</v>
      </c>
      <c r="F3516" s="484">
        <v>2.5082</v>
      </c>
      <c r="G3516" s="83">
        <f t="shared" si="53"/>
        <v>2.3878444444444447</v>
      </c>
    </row>
    <row r="3517" spans="1:7" x14ac:dyDescent="0.2">
      <c r="A3517" s="75">
        <v>43829</v>
      </c>
      <c r="B3517" s="76" t="s">
        <v>35</v>
      </c>
      <c r="C3517" s="76" t="s">
        <v>536</v>
      </c>
      <c r="D3517" s="484">
        <v>6824.2478920000003</v>
      </c>
      <c r="E3517" s="484">
        <v>2.5091000000000001</v>
      </c>
      <c r="F3517" s="484">
        <v>2.4554</v>
      </c>
      <c r="G3517" s="83">
        <f t="shared" si="53"/>
        <v>2.3862079365079363</v>
      </c>
    </row>
    <row r="3518" spans="1:7" x14ac:dyDescent="0.2">
      <c r="A3518" s="75">
        <v>43830</v>
      </c>
      <c r="B3518" s="76" t="s">
        <v>35</v>
      </c>
      <c r="C3518" s="76" t="s">
        <v>536</v>
      </c>
      <c r="D3518" s="484">
        <v>6828.4038170000003</v>
      </c>
      <c r="E3518" s="484">
        <v>2.4563999999999999</v>
      </c>
      <c r="F3518" s="484">
        <v>2.4565999999999999</v>
      </c>
      <c r="G3518" s="83">
        <f t="shared" si="53"/>
        <v>2.3839587301587302</v>
      </c>
    </row>
    <row r="3519" spans="1:7" x14ac:dyDescent="0.2">
      <c r="A3519" s="75">
        <v>43832</v>
      </c>
      <c r="B3519" s="76" t="s">
        <v>35</v>
      </c>
      <c r="C3519" s="76" t="s">
        <v>536</v>
      </c>
      <c r="D3519" s="484">
        <v>6832.3626960000001</v>
      </c>
      <c r="E3519" s="484">
        <v>2.4575999999999998</v>
      </c>
      <c r="F3519" s="484">
        <v>2.4584000000000001</v>
      </c>
      <c r="G3519" s="83">
        <f t="shared" si="53"/>
        <v>2.3816619047619052</v>
      </c>
    </row>
    <row r="3520" spans="1:7" x14ac:dyDescent="0.2">
      <c r="A3520" s="75">
        <v>43833</v>
      </c>
      <c r="B3520" s="76" t="s">
        <v>35</v>
      </c>
      <c r="C3520" s="76" t="s">
        <v>536</v>
      </c>
      <c r="D3520" s="484">
        <v>6832.2923149999997</v>
      </c>
      <c r="E3520" s="484">
        <v>2.4594</v>
      </c>
      <c r="F3520" s="484">
        <v>2.4723000000000002</v>
      </c>
      <c r="G3520" s="83">
        <f t="shared" si="53"/>
        <v>2.3792571428571425</v>
      </c>
    </row>
    <row r="3521" spans="1:7" x14ac:dyDescent="0.2">
      <c r="A3521" s="75">
        <v>43836</v>
      </c>
      <c r="B3521" s="76" t="s">
        <v>35</v>
      </c>
      <c r="C3521" s="76" t="s">
        <v>536</v>
      </c>
      <c r="D3521" s="484">
        <v>6822.4759059999997</v>
      </c>
      <c r="E3521" s="484">
        <v>2.4733000000000001</v>
      </c>
      <c r="F3521" s="484">
        <v>2.5154999999999998</v>
      </c>
      <c r="G3521" s="83">
        <f t="shared" si="53"/>
        <v>2.3773222222222219</v>
      </c>
    </row>
    <row r="3522" spans="1:7" x14ac:dyDescent="0.2">
      <c r="A3522" s="75">
        <v>43837</v>
      </c>
      <c r="B3522" s="76" t="s">
        <v>35</v>
      </c>
      <c r="C3522" s="76" t="s">
        <v>536</v>
      </c>
      <c r="D3522" s="484">
        <v>6831.0065690000001</v>
      </c>
      <c r="E3522" s="484">
        <v>2.5165000000000002</v>
      </c>
      <c r="F3522" s="484">
        <v>2.5036</v>
      </c>
      <c r="G3522" s="83">
        <f t="shared" si="53"/>
        <v>2.3758888888888885</v>
      </c>
    </row>
    <row r="3523" spans="1:7" x14ac:dyDescent="0.2">
      <c r="A3523" s="75">
        <v>43838</v>
      </c>
      <c r="B3523" s="76" t="s">
        <v>35</v>
      </c>
      <c r="C3523" s="76" t="s">
        <v>536</v>
      </c>
      <c r="D3523" s="484">
        <v>6830.0180179999998</v>
      </c>
      <c r="E3523" s="484">
        <v>2.5045999999999999</v>
      </c>
      <c r="F3523" s="484">
        <v>2.5203000000000002</v>
      </c>
      <c r="G3523" s="83">
        <f t="shared" ref="G3523:G3586" si="54">+AVERAGE(E3461:E3523)</f>
        <v>2.3734571428571427</v>
      </c>
    </row>
    <row r="3524" spans="1:7" x14ac:dyDescent="0.2">
      <c r="A3524" s="75">
        <v>43839</v>
      </c>
      <c r="B3524" s="76" t="s">
        <v>35</v>
      </c>
      <c r="C3524" s="76" t="s">
        <v>536</v>
      </c>
      <c r="D3524" s="484">
        <v>6839.2257920000002</v>
      </c>
      <c r="E3524" s="484">
        <v>2.5211999999999999</v>
      </c>
      <c r="F3524" s="484">
        <v>2.5063</v>
      </c>
      <c r="G3524" s="83">
        <f t="shared" si="54"/>
        <v>2.3713476190476186</v>
      </c>
    </row>
    <row r="3525" spans="1:7" x14ac:dyDescent="0.2">
      <c r="A3525" s="75">
        <v>43840</v>
      </c>
      <c r="B3525" s="76" t="s">
        <v>35</v>
      </c>
      <c r="C3525" s="76" t="s">
        <v>536</v>
      </c>
      <c r="D3525" s="484">
        <v>6847.4611679999998</v>
      </c>
      <c r="E3525" s="484">
        <v>2.5072000000000001</v>
      </c>
      <c r="F3525" s="484">
        <v>2.5125000000000002</v>
      </c>
      <c r="G3525" s="83">
        <f t="shared" si="54"/>
        <v>2.369936507936508</v>
      </c>
    </row>
    <row r="3526" spans="1:7" x14ac:dyDescent="0.2">
      <c r="A3526" s="75">
        <v>43843</v>
      </c>
      <c r="B3526" s="76" t="s">
        <v>35</v>
      </c>
      <c r="C3526" s="76" t="s">
        <v>536</v>
      </c>
      <c r="D3526" s="484">
        <v>6830.5537690000001</v>
      </c>
      <c r="E3526" s="484">
        <v>2.5133000000000001</v>
      </c>
      <c r="F3526" s="484">
        <v>2.5777999999999999</v>
      </c>
      <c r="G3526" s="83">
        <f t="shared" si="54"/>
        <v>2.3695666666666662</v>
      </c>
    </row>
    <row r="3527" spans="1:7" x14ac:dyDescent="0.2">
      <c r="A3527" s="75">
        <v>43844</v>
      </c>
      <c r="B3527" s="76" t="s">
        <v>35</v>
      </c>
      <c r="C3527" s="76" t="s">
        <v>536</v>
      </c>
      <c r="D3527" s="484">
        <v>6849.3166590000001</v>
      </c>
      <c r="E3527" s="484">
        <v>2.5785999999999998</v>
      </c>
      <c r="F3527" s="484">
        <v>2.5360999999999998</v>
      </c>
      <c r="G3527" s="83">
        <f t="shared" si="54"/>
        <v>2.3720158730158727</v>
      </c>
    </row>
    <row r="3528" spans="1:7" x14ac:dyDescent="0.2">
      <c r="A3528" s="75">
        <v>43845</v>
      </c>
      <c r="B3528" s="76" t="s">
        <v>35</v>
      </c>
      <c r="C3528" s="76" t="s">
        <v>536</v>
      </c>
      <c r="D3528" s="484">
        <v>6869.4315939999997</v>
      </c>
      <c r="E3528" s="484">
        <v>2.5369000000000002</v>
      </c>
      <c r="F3528" s="484">
        <v>2.4904999999999999</v>
      </c>
      <c r="G3528" s="83">
        <f t="shared" si="54"/>
        <v>2.3749984126984125</v>
      </c>
    </row>
    <row r="3529" spans="1:7" x14ac:dyDescent="0.2">
      <c r="A3529" s="75">
        <v>43846</v>
      </c>
      <c r="B3529" s="76" t="s">
        <v>35</v>
      </c>
      <c r="C3529" s="76" t="s">
        <v>536</v>
      </c>
      <c r="D3529" s="484">
        <v>6853.4255199999998</v>
      </c>
      <c r="E3529" s="484">
        <v>2.4914000000000001</v>
      </c>
      <c r="F3529" s="484">
        <v>2.5442999999999998</v>
      </c>
      <c r="G3529" s="83">
        <f t="shared" si="54"/>
        <v>2.3765174603174604</v>
      </c>
    </row>
    <row r="3530" spans="1:7" x14ac:dyDescent="0.2">
      <c r="A3530" s="75">
        <v>43847</v>
      </c>
      <c r="B3530" s="76" t="s">
        <v>35</v>
      </c>
      <c r="C3530" s="76" t="s">
        <v>536</v>
      </c>
      <c r="D3530" s="484">
        <v>6861.6036160000003</v>
      </c>
      <c r="E3530" s="484">
        <v>2.5451999999999999</v>
      </c>
      <c r="F3530" s="484">
        <v>2.5257999999999998</v>
      </c>
      <c r="G3530" s="83">
        <f t="shared" si="54"/>
        <v>2.3803793650793645</v>
      </c>
    </row>
    <row r="3531" spans="1:7" x14ac:dyDescent="0.2">
      <c r="A3531" s="75">
        <v>43850</v>
      </c>
      <c r="B3531" s="76" t="s">
        <v>35</v>
      </c>
      <c r="C3531" s="76" t="s">
        <v>536</v>
      </c>
      <c r="D3531" s="484">
        <v>6851.6357369999996</v>
      </c>
      <c r="E3531" s="484">
        <v>2.5266999999999999</v>
      </c>
      <c r="F3531" s="484">
        <v>2.5615999999999999</v>
      </c>
      <c r="G3531" s="83">
        <f t="shared" si="54"/>
        <v>2.3850095238095235</v>
      </c>
    </row>
    <row r="3532" spans="1:7" x14ac:dyDescent="0.2">
      <c r="A3532" s="75">
        <v>43851</v>
      </c>
      <c r="B3532" s="76" t="s">
        <v>35</v>
      </c>
      <c r="C3532" s="76" t="s">
        <v>536</v>
      </c>
      <c r="D3532" s="484">
        <v>6848.3296140000002</v>
      </c>
      <c r="E3532" s="484">
        <v>2.5625</v>
      </c>
      <c r="F3532" s="484">
        <v>2.5775000000000001</v>
      </c>
      <c r="G3532" s="83">
        <f t="shared" si="54"/>
        <v>2.3900507936507935</v>
      </c>
    </row>
    <row r="3533" spans="1:7" x14ac:dyDescent="0.2">
      <c r="A3533" s="75">
        <v>43852</v>
      </c>
      <c r="B3533" s="76" t="s">
        <v>35</v>
      </c>
      <c r="C3533" s="76" t="s">
        <v>536</v>
      </c>
      <c r="D3533" s="484">
        <v>6870.2859790000002</v>
      </c>
      <c r="E3533" s="484">
        <v>2.5783999999999998</v>
      </c>
      <c r="F3533" s="484">
        <v>2.5177999999999998</v>
      </c>
      <c r="G3533" s="83">
        <f t="shared" si="54"/>
        <v>2.3951238095238088</v>
      </c>
    </row>
    <row r="3534" spans="1:7" x14ac:dyDescent="0.2">
      <c r="A3534" s="75">
        <v>43853</v>
      </c>
      <c r="B3534" s="76" t="s">
        <v>35</v>
      </c>
      <c r="C3534" s="76" t="s">
        <v>536</v>
      </c>
      <c r="D3534" s="484">
        <v>6873.2844670000004</v>
      </c>
      <c r="E3534" s="484">
        <v>2.5186999999999999</v>
      </c>
      <c r="F3534" s="484">
        <v>2.5148000000000001</v>
      </c>
      <c r="G3534" s="83">
        <f t="shared" si="54"/>
        <v>2.39827619047619</v>
      </c>
    </row>
    <row r="3535" spans="1:7" x14ac:dyDescent="0.2">
      <c r="A3535" s="75">
        <v>43854</v>
      </c>
      <c r="B3535" s="76" t="s">
        <v>35</v>
      </c>
      <c r="C3535" s="76" t="s">
        <v>536</v>
      </c>
      <c r="D3535" s="484">
        <v>6876.1009110000005</v>
      </c>
      <c r="E3535" s="484">
        <v>2.5156999999999998</v>
      </c>
      <c r="F3535" s="484">
        <v>2.5110999999999999</v>
      </c>
      <c r="G3535" s="83">
        <f t="shared" si="54"/>
        <v>2.4021841269841269</v>
      </c>
    </row>
    <row r="3536" spans="1:7" x14ac:dyDescent="0.2">
      <c r="A3536" s="75">
        <v>43857</v>
      </c>
      <c r="B3536" s="76" t="s">
        <v>35</v>
      </c>
      <c r="C3536" s="76" t="s">
        <v>536</v>
      </c>
      <c r="D3536" s="484">
        <v>6880.2477410000001</v>
      </c>
      <c r="E3536" s="484">
        <v>2.5121000000000002</v>
      </c>
      <c r="F3536" s="484">
        <v>2.5045999999999999</v>
      </c>
      <c r="G3536" s="83">
        <f t="shared" si="54"/>
        <v>2.4058349206349203</v>
      </c>
    </row>
    <row r="3537" spans="1:7" x14ac:dyDescent="0.2">
      <c r="A3537" s="75">
        <v>43858</v>
      </c>
      <c r="B3537" s="76" t="s">
        <v>35</v>
      </c>
      <c r="C3537" s="76" t="s">
        <v>536</v>
      </c>
      <c r="D3537" s="484">
        <v>6890.7747559999998</v>
      </c>
      <c r="E3537" s="484">
        <v>2.5055999999999998</v>
      </c>
      <c r="F3537" s="484">
        <v>2.4790999999999999</v>
      </c>
      <c r="G3537" s="83">
        <f t="shared" si="54"/>
        <v>2.4102984126984119</v>
      </c>
    </row>
    <row r="3538" spans="1:7" x14ac:dyDescent="0.2">
      <c r="A3538" s="75">
        <v>43859</v>
      </c>
      <c r="B3538" s="76" t="s">
        <v>35</v>
      </c>
      <c r="C3538" s="76" t="s">
        <v>536</v>
      </c>
      <c r="D3538" s="484">
        <v>6907.7109730000002</v>
      </c>
      <c r="E3538" s="484">
        <v>2.4799000000000002</v>
      </c>
      <c r="F3538" s="484">
        <v>2.4344000000000001</v>
      </c>
      <c r="G3538" s="83">
        <f t="shared" si="54"/>
        <v>2.4150888888888882</v>
      </c>
    </row>
    <row r="3539" spans="1:7" x14ac:dyDescent="0.2">
      <c r="A3539" s="75">
        <v>43860</v>
      </c>
      <c r="B3539" s="76" t="s">
        <v>35</v>
      </c>
      <c r="C3539" s="76" t="s">
        <v>536</v>
      </c>
      <c r="D3539" s="484">
        <v>6904.9510749999999</v>
      </c>
      <c r="E3539" s="484">
        <v>2.4352</v>
      </c>
      <c r="F3539" s="484">
        <v>2.4481999999999999</v>
      </c>
      <c r="G3539" s="83">
        <f t="shared" si="54"/>
        <v>2.4199317460317458</v>
      </c>
    </row>
    <row r="3540" spans="1:7" x14ac:dyDescent="0.2">
      <c r="A3540" s="75">
        <v>43861</v>
      </c>
      <c r="B3540" s="76" t="s">
        <v>35</v>
      </c>
      <c r="C3540" s="76" t="s">
        <v>536</v>
      </c>
      <c r="D3540" s="484">
        <v>6900.4131559999996</v>
      </c>
      <c r="E3540" s="484">
        <v>2.4491000000000001</v>
      </c>
      <c r="F3540" s="484">
        <v>2.4674</v>
      </c>
      <c r="G3540" s="83">
        <f t="shared" si="54"/>
        <v>2.4256555555555543</v>
      </c>
    </row>
    <row r="3541" spans="1:7" x14ac:dyDescent="0.2">
      <c r="A3541" s="75">
        <v>43864</v>
      </c>
      <c r="B3541" s="76" t="s">
        <v>35</v>
      </c>
      <c r="C3541" s="76" t="s">
        <v>536</v>
      </c>
      <c r="D3541" s="484">
        <v>6907.8306140000004</v>
      </c>
      <c r="E3541" s="484">
        <v>2.4681999999999999</v>
      </c>
      <c r="F3541" s="484">
        <v>2.4510000000000001</v>
      </c>
      <c r="G3541" s="83">
        <f t="shared" si="54"/>
        <v>2.4314714285714274</v>
      </c>
    </row>
    <row r="3542" spans="1:7" x14ac:dyDescent="0.2">
      <c r="A3542" s="75">
        <v>43865</v>
      </c>
      <c r="B3542" s="76" t="s">
        <v>35</v>
      </c>
      <c r="C3542" s="76" t="s">
        <v>536</v>
      </c>
      <c r="D3542" s="484">
        <v>6918.1538959999998</v>
      </c>
      <c r="E3542" s="484">
        <v>2.4518</v>
      </c>
      <c r="F3542" s="484">
        <v>2.4260000000000002</v>
      </c>
      <c r="G3542" s="83">
        <f t="shared" si="54"/>
        <v>2.437520634920634</v>
      </c>
    </row>
    <row r="3543" spans="1:7" x14ac:dyDescent="0.2">
      <c r="A3543" s="75">
        <v>43866</v>
      </c>
      <c r="B3543" s="76" t="s">
        <v>35</v>
      </c>
      <c r="C3543" s="76" t="s">
        <v>536</v>
      </c>
      <c r="D3543" s="484">
        <v>6933.7299160000002</v>
      </c>
      <c r="E3543" s="484">
        <v>2.4268000000000001</v>
      </c>
      <c r="F3543" s="484">
        <v>2.3855</v>
      </c>
      <c r="G3543" s="83">
        <f t="shared" si="54"/>
        <v>2.4426936507936499</v>
      </c>
    </row>
    <row r="3544" spans="1:7" x14ac:dyDescent="0.2">
      <c r="A3544" s="75">
        <v>43867</v>
      </c>
      <c r="B3544" s="76" t="s">
        <v>35</v>
      </c>
      <c r="C3544" s="76" t="s">
        <v>536</v>
      </c>
      <c r="D3544" s="484">
        <v>6913.8588799999998</v>
      </c>
      <c r="E3544" s="484">
        <v>2.3862999999999999</v>
      </c>
      <c r="F3544" s="484">
        <v>2.4499</v>
      </c>
      <c r="G3544" s="83">
        <f t="shared" si="54"/>
        <v>2.4469682539682531</v>
      </c>
    </row>
    <row r="3545" spans="1:7" x14ac:dyDescent="0.2">
      <c r="A3545" s="75">
        <v>43868</v>
      </c>
      <c r="B3545" s="76" t="s">
        <v>35</v>
      </c>
      <c r="C3545" s="76" t="s">
        <v>536</v>
      </c>
      <c r="D3545" s="484">
        <v>6899.7085630000001</v>
      </c>
      <c r="E3545" s="484">
        <v>2.4506000000000001</v>
      </c>
      <c r="F3545" s="484">
        <v>2.4807999999999999</v>
      </c>
      <c r="G3545" s="83">
        <f t="shared" si="54"/>
        <v>2.4514904761904752</v>
      </c>
    </row>
    <row r="3546" spans="1:7" x14ac:dyDescent="0.2">
      <c r="A3546" s="75">
        <v>43871</v>
      </c>
      <c r="B3546" s="76" t="s">
        <v>35</v>
      </c>
      <c r="C3546" s="76" t="s">
        <v>536</v>
      </c>
      <c r="D3546" s="484">
        <v>6914.347006</v>
      </c>
      <c r="E3546" s="484">
        <v>2.4815999999999998</v>
      </c>
      <c r="F3546" s="484">
        <v>2.4420000000000002</v>
      </c>
      <c r="G3546" s="83">
        <f t="shared" si="54"/>
        <v>2.4559365079365065</v>
      </c>
    </row>
    <row r="3547" spans="1:7" x14ac:dyDescent="0.2">
      <c r="A3547" s="75">
        <v>43872</v>
      </c>
      <c r="B3547" s="76" t="s">
        <v>35</v>
      </c>
      <c r="C3547" s="76" t="s">
        <v>536</v>
      </c>
      <c r="D3547" s="484">
        <v>6931.6485700000003</v>
      </c>
      <c r="E3547" s="484">
        <v>2.4428000000000001</v>
      </c>
      <c r="F3547" s="484">
        <v>2.3954</v>
      </c>
      <c r="G3547" s="83">
        <f t="shared" si="54"/>
        <v>2.4595380952380941</v>
      </c>
    </row>
    <row r="3548" spans="1:7" x14ac:dyDescent="0.2">
      <c r="A3548" s="75">
        <v>43873</v>
      </c>
      <c r="B3548" s="76" t="s">
        <v>35</v>
      </c>
      <c r="C3548" s="76" t="s">
        <v>536</v>
      </c>
      <c r="D3548" s="484">
        <v>6954.3161819999996</v>
      </c>
      <c r="E3548" s="484">
        <v>2.3961999999999999</v>
      </c>
      <c r="F3548" s="484">
        <v>2.3331</v>
      </c>
      <c r="G3548" s="83">
        <f t="shared" si="54"/>
        <v>2.4627793650793639</v>
      </c>
    </row>
    <row r="3549" spans="1:7" x14ac:dyDescent="0.2">
      <c r="A3549" s="75">
        <v>43874</v>
      </c>
      <c r="B3549" s="76" t="s">
        <v>35</v>
      </c>
      <c r="C3549" s="76" t="s">
        <v>536</v>
      </c>
      <c r="D3549" s="484">
        <v>6953.4481750000004</v>
      </c>
      <c r="E3549" s="484">
        <v>2.3338999999999999</v>
      </c>
      <c r="F3549" s="484">
        <v>2.3401999999999998</v>
      </c>
      <c r="G3549" s="83">
        <f t="shared" si="54"/>
        <v>2.4639460317460302</v>
      </c>
    </row>
    <row r="3550" spans="1:7" x14ac:dyDescent="0.2">
      <c r="A3550" s="75">
        <v>43875</v>
      </c>
      <c r="B3550" s="76" t="s">
        <v>35</v>
      </c>
      <c r="C3550" s="76" t="s">
        <v>536</v>
      </c>
      <c r="D3550" s="484">
        <v>6988.5327200000002</v>
      </c>
      <c r="E3550" s="484">
        <v>2.3409</v>
      </c>
      <c r="F3550" s="484">
        <v>2.2416</v>
      </c>
      <c r="G3550" s="83">
        <f t="shared" si="54"/>
        <v>2.4647095238095234</v>
      </c>
    </row>
    <row r="3551" spans="1:7" x14ac:dyDescent="0.2">
      <c r="A3551" s="75">
        <v>43878</v>
      </c>
      <c r="B3551" s="76" t="s">
        <v>35</v>
      </c>
      <c r="C3551" s="76" t="s">
        <v>536</v>
      </c>
      <c r="D3551" s="484">
        <v>6977.4339600000003</v>
      </c>
      <c r="E3551" s="484">
        <v>2.2423000000000002</v>
      </c>
      <c r="F3551" s="484">
        <v>2.2785000000000002</v>
      </c>
      <c r="G3551" s="83">
        <f t="shared" si="54"/>
        <v>2.4638174603174603</v>
      </c>
    </row>
    <row r="3552" spans="1:7" x14ac:dyDescent="0.2">
      <c r="A3552" s="75">
        <v>43879</v>
      </c>
      <c r="B3552" s="76" t="s">
        <v>35</v>
      </c>
      <c r="C3552" s="76" t="s">
        <v>536</v>
      </c>
      <c r="D3552" s="484">
        <v>6967.8724599999996</v>
      </c>
      <c r="E3552" s="484">
        <v>2.2793000000000001</v>
      </c>
      <c r="F3552" s="484">
        <v>2.3108</v>
      </c>
      <c r="G3552" s="83">
        <f t="shared" si="54"/>
        <v>2.4630936507936503</v>
      </c>
    </row>
    <row r="3553" spans="1:7" x14ac:dyDescent="0.2">
      <c r="A3553" s="75">
        <v>43880</v>
      </c>
      <c r="B3553" s="76" t="s">
        <v>35</v>
      </c>
      <c r="C3553" s="76" t="s">
        <v>536</v>
      </c>
      <c r="D3553" s="484">
        <v>6990.8325519999999</v>
      </c>
      <c r="E3553" s="484">
        <v>2.3117000000000001</v>
      </c>
      <c r="F3553" s="484">
        <v>2.2477999999999998</v>
      </c>
      <c r="G3553" s="83">
        <f t="shared" si="54"/>
        <v>2.4625999999999997</v>
      </c>
    </row>
    <row r="3554" spans="1:7" x14ac:dyDescent="0.2">
      <c r="A3554" s="75">
        <v>43881</v>
      </c>
      <c r="B3554" s="76" t="s">
        <v>35</v>
      </c>
      <c r="C3554" s="76" t="s">
        <v>536</v>
      </c>
      <c r="D3554" s="484">
        <v>6987.7922250000001</v>
      </c>
      <c r="E3554" s="484">
        <v>2.2486000000000002</v>
      </c>
      <c r="F3554" s="484">
        <v>2.2608999999999999</v>
      </c>
      <c r="G3554" s="83">
        <f t="shared" si="54"/>
        <v>2.4611063492063492</v>
      </c>
    </row>
    <row r="3555" spans="1:7" x14ac:dyDescent="0.2">
      <c r="A3555" s="75">
        <v>43882</v>
      </c>
      <c r="B3555" s="76" t="s">
        <v>35</v>
      </c>
      <c r="C3555" s="76" t="s">
        <v>536</v>
      </c>
      <c r="D3555" s="484">
        <v>6975.0937640000002</v>
      </c>
      <c r="E3555" s="484">
        <v>2.2616999999999998</v>
      </c>
      <c r="F3555" s="484">
        <v>2.3028</v>
      </c>
      <c r="G3555" s="83">
        <f t="shared" si="54"/>
        <v>2.4584936507936508</v>
      </c>
    </row>
    <row r="3556" spans="1:7" x14ac:dyDescent="0.2">
      <c r="A3556" s="75">
        <v>43887</v>
      </c>
      <c r="B3556" s="76" t="s">
        <v>35</v>
      </c>
      <c r="C3556" s="76" t="s">
        <v>536</v>
      </c>
      <c r="D3556" s="484">
        <v>6946.8082279999999</v>
      </c>
      <c r="E3556" s="484">
        <v>2.3035999999999999</v>
      </c>
      <c r="F3556" s="484">
        <v>2.3904000000000001</v>
      </c>
      <c r="G3556" s="83">
        <f t="shared" si="54"/>
        <v>2.457146031746031</v>
      </c>
    </row>
    <row r="3557" spans="1:7" x14ac:dyDescent="0.2">
      <c r="A3557" s="75">
        <v>43888</v>
      </c>
      <c r="B3557" s="76" t="s">
        <v>35</v>
      </c>
      <c r="C3557" s="76" t="s">
        <v>536</v>
      </c>
      <c r="D3557" s="484">
        <v>6954.5850190000001</v>
      </c>
      <c r="E3557" s="484">
        <v>2.3913000000000002</v>
      </c>
      <c r="F3557" s="484">
        <v>2.3719999999999999</v>
      </c>
      <c r="G3557" s="83">
        <f t="shared" si="54"/>
        <v>2.4565952380952378</v>
      </c>
    </row>
    <row r="3558" spans="1:7" x14ac:dyDescent="0.2">
      <c r="A3558" s="75">
        <v>43889</v>
      </c>
      <c r="B3558" s="76" t="s">
        <v>35</v>
      </c>
      <c r="C3558" s="76" t="s">
        <v>536</v>
      </c>
      <c r="D3558" s="484">
        <v>6960.4299419999998</v>
      </c>
      <c r="E3558" s="484">
        <v>2.3729</v>
      </c>
      <c r="F3558" s="484">
        <v>2.3593000000000002</v>
      </c>
      <c r="G3558" s="83">
        <f t="shared" si="54"/>
        <v>2.4547825396825389</v>
      </c>
    </row>
    <row r="3559" spans="1:7" x14ac:dyDescent="0.2">
      <c r="A3559" s="75">
        <v>43892</v>
      </c>
      <c r="B3559" s="76" t="s">
        <v>35</v>
      </c>
      <c r="C3559" s="76" t="s">
        <v>536</v>
      </c>
      <c r="D3559" s="484">
        <v>7009.3170410000002</v>
      </c>
      <c r="E3559" s="484">
        <v>2.3601999999999999</v>
      </c>
      <c r="F3559" s="484">
        <v>2.2204999999999999</v>
      </c>
      <c r="G3559" s="83">
        <f t="shared" si="54"/>
        <v>2.4518825396825394</v>
      </c>
    </row>
    <row r="3560" spans="1:7" x14ac:dyDescent="0.2">
      <c r="A3560" s="75">
        <v>43893</v>
      </c>
      <c r="B3560" s="76" t="s">
        <v>35</v>
      </c>
      <c r="C3560" s="76" t="s">
        <v>536</v>
      </c>
      <c r="D3560" s="484">
        <v>7028.4936939999998</v>
      </c>
      <c r="E3560" s="484">
        <v>2.2214999999999998</v>
      </c>
      <c r="F3560" s="484">
        <v>2.1690999999999998</v>
      </c>
      <c r="G3560" s="83">
        <f t="shared" si="54"/>
        <v>2.4472047619047617</v>
      </c>
    </row>
    <row r="3561" spans="1:7" x14ac:dyDescent="0.2">
      <c r="A3561" s="75">
        <v>43894</v>
      </c>
      <c r="B3561" s="76" t="s">
        <v>35</v>
      </c>
      <c r="C3561" s="76" t="s">
        <v>536</v>
      </c>
      <c r="D3561" s="484">
        <v>7052.5125669999998</v>
      </c>
      <c r="E3561" s="484">
        <v>2.1701000000000001</v>
      </c>
      <c r="F3561" s="484">
        <v>2.1038000000000001</v>
      </c>
      <c r="G3561" s="83">
        <f t="shared" si="54"/>
        <v>2.4417063492063487</v>
      </c>
    </row>
    <row r="3562" spans="1:7" x14ac:dyDescent="0.2">
      <c r="A3562" s="75">
        <v>43895</v>
      </c>
      <c r="B3562" s="76" t="s">
        <v>35</v>
      </c>
      <c r="C3562" s="76" t="s">
        <v>536</v>
      </c>
      <c r="D3562" s="484">
        <v>7011.5549039999996</v>
      </c>
      <c r="E3562" s="484">
        <v>2.1048</v>
      </c>
      <c r="F3562" s="484">
        <v>2.2273000000000001</v>
      </c>
      <c r="G3562" s="83">
        <f t="shared" si="54"/>
        <v>2.4346999999999999</v>
      </c>
    </row>
    <row r="3563" spans="1:7" x14ac:dyDescent="0.2">
      <c r="A3563" s="75">
        <v>43896</v>
      </c>
      <c r="B3563" s="76" t="s">
        <v>35</v>
      </c>
      <c r="C3563" s="76" t="s">
        <v>536</v>
      </c>
      <c r="D3563" s="484">
        <v>6995.7093720000003</v>
      </c>
      <c r="E3563" s="484">
        <v>2.2282999999999999</v>
      </c>
      <c r="F3563" s="484">
        <v>2.2780999999999998</v>
      </c>
      <c r="G3563" s="83">
        <f t="shared" si="54"/>
        <v>2.4305111111111102</v>
      </c>
    </row>
    <row r="3564" spans="1:7" x14ac:dyDescent="0.2">
      <c r="A3564" s="75">
        <v>43899</v>
      </c>
      <c r="B3564" s="76" t="s">
        <v>35</v>
      </c>
      <c r="C3564" s="76" t="s">
        <v>536</v>
      </c>
      <c r="D3564" s="484">
        <v>6896.0856659999999</v>
      </c>
      <c r="E3564" s="484">
        <v>2.2791999999999999</v>
      </c>
      <c r="F3564" s="484">
        <v>2.5768</v>
      </c>
      <c r="G3564" s="83">
        <f t="shared" si="54"/>
        <v>2.4281666666666659</v>
      </c>
    </row>
    <row r="3565" spans="1:7" x14ac:dyDescent="0.2">
      <c r="A3565" s="75">
        <v>43900</v>
      </c>
      <c r="B3565" s="76" t="s">
        <v>35</v>
      </c>
      <c r="C3565" s="76" t="s">
        <v>536</v>
      </c>
      <c r="D3565" s="484">
        <v>6910.8096260000002</v>
      </c>
      <c r="E3565" s="484">
        <v>2.5779000000000001</v>
      </c>
      <c r="F3565" s="484">
        <v>2.5379</v>
      </c>
      <c r="G3565" s="83">
        <f t="shared" si="54"/>
        <v>2.4307206349206347</v>
      </c>
    </row>
    <row r="3566" spans="1:7" x14ac:dyDescent="0.2">
      <c r="A3566" s="75">
        <v>43901</v>
      </c>
      <c r="B3566" s="76" t="s">
        <v>35</v>
      </c>
      <c r="C3566" s="76" t="s">
        <v>536</v>
      </c>
      <c r="D3566" s="484">
        <v>6762.6766740000003</v>
      </c>
      <c r="E3566" s="484">
        <v>2.5390000000000001</v>
      </c>
      <c r="F3566" s="484">
        <v>3.0055999999999998</v>
      </c>
      <c r="G3566" s="83">
        <f t="shared" si="54"/>
        <v>2.4337253968253965</v>
      </c>
    </row>
    <row r="3567" spans="1:7" x14ac:dyDescent="0.2">
      <c r="A3567" s="75">
        <v>43902</v>
      </c>
      <c r="B3567" s="76" t="s">
        <v>35</v>
      </c>
      <c r="C3567" s="76" t="s">
        <v>536</v>
      </c>
      <c r="D3567" s="484">
        <v>6471.544484</v>
      </c>
      <c r="E3567" s="484">
        <v>3.0068000000000001</v>
      </c>
      <c r="F3567" s="484">
        <v>3.9234</v>
      </c>
      <c r="G3567" s="83">
        <f t="shared" si="54"/>
        <v>2.4441380952380944</v>
      </c>
    </row>
    <row r="3568" spans="1:7" x14ac:dyDescent="0.2">
      <c r="A3568" s="75">
        <v>43903</v>
      </c>
      <c r="B3568" s="76" t="s">
        <v>35</v>
      </c>
      <c r="C3568" s="76" t="s">
        <v>536</v>
      </c>
      <c r="D3568" s="484">
        <v>6706.835736</v>
      </c>
      <c r="E3568" s="484">
        <v>3.9243999999999999</v>
      </c>
      <c r="F3568" s="484">
        <v>3.1901999999999999</v>
      </c>
      <c r="G3568" s="83">
        <f t="shared" si="54"/>
        <v>2.4690492063492058</v>
      </c>
    </row>
    <row r="3569" spans="1:7" x14ac:dyDescent="0.2">
      <c r="A3569" s="75">
        <v>43906</v>
      </c>
      <c r="B3569" s="76" t="s">
        <v>35</v>
      </c>
      <c r="C3569" s="76" t="s">
        <v>536</v>
      </c>
      <c r="D3569" s="484">
        <v>6699.9045569999998</v>
      </c>
      <c r="E3569" s="484">
        <v>3.1909999999999998</v>
      </c>
      <c r="F3569" s="484">
        <v>3.2178</v>
      </c>
      <c r="G3569" s="83">
        <f t="shared" si="54"/>
        <v>2.4824301587301583</v>
      </c>
    </row>
    <row r="3570" spans="1:7" x14ac:dyDescent="0.2">
      <c r="A3570" s="75">
        <v>43907</v>
      </c>
      <c r="B3570" s="76" t="s">
        <v>35</v>
      </c>
      <c r="C3570" s="76" t="s">
        <v>536</v>
      </c>
      <c r="D3570" s="484">
        <v>6773.1755219999995</v>
      </c>
      <c r="E3570" s="484">
        <v>3.2187999999999999</v>
      </c>
      <c r="F3570" s="484">
        <v>2.9980000000000002</v>
      </c>
      <c r="G3570" s="83">
        <f t="shared" si="54"/>
        <v>2.4964095238095236</v>
      </c>
    </row>
    <row r="3571" spans="1:7" x14ac:dyDescent="0.2">
      <c r="A3571" s="75">
        <v>43908</v>
      </c>
      <c r="B3571" s="76" t="s">
        <v>35</v>
      </c>
      <c r="C3571" s="76" t="s">
        <v>536</v>
      </c>
      <c r="D3571" s="484">
        <v>6489.4587009999996</v>
      </c>
      <c r="E3571" s="484">
        <v>2.9990000000000001</v>
      </c>
      <c r="F3571" s="484">
        <v>3.8885000000000001</v>
      </c>
      <c r="G3571" s="83">
        <f t="shared" si="54"/>
        <v>2.5070603174603172</v>
      </c>
    </row>
    <row r="3572" spans="1:7" x14ac:dyDescent="0.2">
      <c r="A3572" s="75">
        <v>43909</v>
      </c>
      <c r="B3572" s="76" t="s">
        <v>35</v>
      </c>
      <c r="C3572" s="76" t="s">
        <v>536</v>
      </c>
      <c r="D3572" s="484">
        <v>6483.7001819999996</v>
      </c>
      <c r="E3572" s="484">
        <v>3.8893</v>
      </c>
      <c r="F3572" s="484">
        <v>3.9119999999999999</v>
      </c>
      <c r="G3572" s="83">
        <f t="shared" si="54"/>
        <v>2.5310825396825396</v>
      </c>
    </row>
    <row r="3573" spans="1:7" x14ac:dyDescent="0.2">
      <c r="A3573" s="75">
        <v>43910</v>
      </c>
      <c r="B3573" s="76" t="s">
        <v>35</v>
      </c>
      <c r="C3573" s="76" t="s">
        <v>536</v>
      </c>
      <c r="D3573" s="484">
        <v>6452.1088689999997</v>
      </c>
      <c r="E3573" s="484">
        <v>3.9127000000000001</v>
      </c>
      <c r="F3573" s="484">
        <v>4.0186000000000002</v>
      </c>
      <c r="G3573" s="83">
        <f t="shared" si="54"/>
        <v>2.5536968253968255</v>
      </c>
    </row>
    <row r="3574" spans="1:7" x14ac:dyDescent="0.2">
      <c r="A3574" s="75">
        <v>43913</v>
      </c>
      <c r="B3574" s="76" t="s">
        <v>35</v>
      </c>
      <c r="C3574" s="76" t="s">
        <v>536</v>
      </c>
      <c r="D3574" s="484">
        <v>6304.8427270000002</v>
      </c>
      <c r="E3574" s="484">
        <v>4.0191999999999997</v>
      </c>
      <c r="F3574" s="484">
        <v>4.5053999999999998</v>
      </c>
      <c r="G3574" s="83">
        <f t="shared" si="54"/>
        <v>2.5773222222222221</v>
      </c>
    </row>
    <row r="3575" spans="1:7" x14ac:dyDescent="0.2">
      <c r="A3575" s="75">
        <v>43914</v>
      </c>
      <c r="B3575" s="76" t="s">
        <v>35</v>
      </c>
      <c r="C3575" s="76" t="s">
        <v>536</v>
      </c>
      <c r="D3575" s="484">
        <v>6403.7330220000003</v>
      </c>
      <c r="E3575" s="484">
        <v>4.5060000000000002</v>
      </c>
      <c r="F3575" s="484">
        <v>4.1856999999999998</v>
      </c>
      <c r="G3575" s="83">
        <f t="shared" si="54"/>
        <v>2.6064666666666674</v>
      </c>
    </row>
    <row r="3576" spans="1:7" x14ac:dyDescent="0.2">
      <c r="A3576" s="75">
        <v>43915</v>
      </c>
      <c r="B3576" s="76" t="s">
        <v>35</v>
      </c>
      <c r="C3576" s="76" t="s">
        <v>536</v>
      </c>
      <c r="D3576" s="484">
        <v>6526.912319</v>
      </c>
      <c r="E3576" s="484">
        <v>4.1863000000000001</v>
      </c>
      <c r="F3576" s="484">
        <v>3.7942</v>
      </c>
      <c r="G3576" s="83">
        <f t="shared" si="54"/>
        <v>2.6313507936507938</v>
      </c>
    </row>
    <row r="3577" spans="1:7" x14ac:dyDescent="0.2">
      <c r="A3577" s="75">
        <v>43916</v>
      </c>
      <c r="B3577" s="76" t="s">
        <v>35</v>
      </c>
      <c r="C3577" s="76" t="s">
        <v>536</v>
      </c>
      <c r="D3577" s="484">
        <v>6610.4712959999997</v>
      </c>
      <c r="E3577" s="484">
        <v>3.7949000000000002</v>
      </c>
      <c r="F3577" s="484">
        <v>3.5350999999999999</v>
      </c>
      <c r="G3577" s="83">
        <f t="shared" si="54"/>
        <v>2.6505682539682547</v>
      </c>
    </row>
    <row r="3578" spans="1:7" x14ac:dyDescent="0.2">
      <c r="A3578" s="75">
        <v>43917</v>
      </c>
      <c r="B3578" s="76" t="s">
        <v>35</v>
      </c>
      <c r="C3578" s="76" t="s">
        <v>536</v>
      </c>
      <c r="D3578" s="484">
        <v>6639.9406129999998</v>
      </c>
      <c r="E3578" s="484">
        <v>3.5356999999999998</v>
      </c>
      <c r="F3578" s="484">
        <v>3.4474999999999998</v>
      </c>
      <c r="G3578" s="83">
        <f t="shared" si="54"/>
        <v>2.6656587301587309</v>
      </c>
    </row>
    <row r="3579" spans="1:7" x14ac:dyDescent="0.2">
      <c r="A3579" s="75">
        <v>43920</v>
      </c>
      <c r="B3579" s="76" t="s">
        <v>35</v>
      </c>
      <c r="C3579" s="76" t="s">
        <v>536</v>
      </c>
      <c r="D3579" s="484">
        <v>6682.7439780000004</v>
      </c>
      <c r="E3579" s="484">
        <v>3.4481999999999999</v>
      </c>
      <c r="F3579" s="484">
        <v>3.3191000000000002</v>
      </c>
      <c r="G3579" s="83">
        <f t="shared" si="54"/>
        <v>2.6802920634920637</v>
      </c>
    </row>
    <row r="3580" spans="1:7" x14ac:dyDescent="0.2">
      <c r="A3580" s="75">
        <v>43921</v>
      </c>
      <c r="B3580" s="76" t="s">
        <v>35</v>
      </c>
      <c r="C3580" s="76" t="s">
        <v>536</v>
      </c>
      <c r="D3580" s="484">
        <v>6699.2037309999996</v>
      </c>
      <c r="E3580" s="484">
        <v>3.32</v>
      </c>
      <c r="F3580" s="484">
        <v>3.2728999999999999</v>
      </c>
      <c r="G3580" s="83">
        <f t="shared" si="54"/>
        <v>2.6931634920634924</v>
      </c>
    </row>
    <row r="3581" spans="1:7" x14ac:dyDescent="0.2">
      <c r="A3581" s="75">
        <v>43922</v>
      </c>
      <c r="B3581" s="76" t="s">
        <v>35</v>
      </c>
      <c r="C3581" s="76" t="s">
        <v>536</v>
      </c>
      <c r="D3581" s="484">
        <v>6673.6040819999998</v>
      </c>
      <c r="E3581" s="484">
        <v>3.2738999999999998</v>
      </c>
      <c r="F3581" s="484">
        <v>3.3567999999999998</v>
      </c>
      <c r="G3581" s="83">
        <f t="shared" si="54"/>
        <v>2.7061396825396833</v>
      </c>
    </row>
    <row r="3582" spans="1:7" x14ac:dyDescent="0.2">
      <c r="A3582" s="75">
        <v>43923</v>
      </c>
      <c r="B3582" s="76" t="s">
        <v>35</v>
      </c>
      <c r="C3582" s="76" t="s">
        <v>536</v>
      </c>
      <c r="D3582" s="484">
        <v>6674.5701179999996</v>
      </c>
      <c r="E3582" s="484">
        <v>3.3578999999999999</v>
      </c>
      <c r="F3582" s="484">
        <v>3.3586999999999998</v>
      </c>
      <c r="G3582" s="83">
        <f t="shared" si="54"/>
        <v>2.7204301587301591</v>
      </c>
    </row>
    <row r="3583" spans="1:7" x14ac:dyDescent="0.2">
      <c r="A3583" s="75">
        <v>43924</v>
      </c>
      <c r="B3583" s="76" t="s">
        <v>35</v>
      </c>
      <c r="C3583" s="76" t="s">
        <v>536</v>
      </c>
      <c r="D3583" s="484">
        <v>6639.1624689999999</v>
      </c>
      <c r="E3583" s="484">
        <v>3.3599000000000001</v>
      </c>
      <c r="F3583" s="484">
        <v>3.4738000000000002</v>
      </c>
      <c r="G3583" s="83">
        <f t="shared" si="54"/>
        <v>2.7347238095238109</v>
      </c>
    </row>
    <row r="3584" spans="1:7" x14ac:dyDescent="0.2">
      <c r="A3584" s="75">
        <v>43927</v>
      </c>
      <c r="B3584" s="76" t="s">
        <v>35</v>
      </c>
      <c r="C3584" s="76" t="s">
        <v>536</v>
      </c>
      <c r="D3584" s="484">
        <v>6651.0969530000002</v>
      </c>
      <c r="E3584" s="484">
        <v>3.4750999999999999</v>
      </c>
      <c r="F3584" s="484">
        <v>3.4418000000000002</v>
      </c>
      <c r="G3584" s="83">
        <f t="shared" si="54"/>
        <v>2.7506253968253973</v>
      </c>
    </row>
    <row r="3585" spans="1:7" x14ac:dyDescent="0.2">
      <c r="A3585" s="75">
        <v>43928</v>
      </c>
      <c r="B3585" s="76" t="s">
        <v>35</v>
      </c>
      <c r="C3585" s="76" t="s">
        <v>536</v>
      </c>
      <c r="D3585" s="484">
        <v>6684.5934280000001</v>
      </c>
      <c r="E3585" s="484">
        <v>3.4430000000000001</v>
      </c>
      <c r="F3585" s="484">
        <v>3.3429000000000002</v>
      </c>
      <c r="G3585" s="83">
        <f t="shared" si="54"/>
        <v>2.7653317460317464</v>
      </c>
    </row>
    <row r="3586" spans="1:7" x14ac:dyDescent="0.2">
      <c r="A3586" s="75">
        <v>43929</v>
      </c>
      <c r="B3586" s="76" t="s">
        <v>35</v>
      </c>
      <c r="C3586" s="76" t="s">
        <v>536</v>
      </c>
      <c r="D3586" s="484">
        <v>6727.1464910000004</v>
      </c>
      <c r="E3586" s="484">
        <v>3.3441000000000001</v>
      </c>
      <c r="F3586" s="484">
        <v>3.2166999999999999</v>
      </c>
      <c r="G3586" s="83">
        <f t="shared" si="54"/>
        <v>2.7786571428571438</v>
      </c>
    </row>
    <row r="3587" spans="1:7" x14ac:dyDescent="0.2">
      <c r="A3587" s="75">
        <v>43930</v>
      </c>
      <c r="B3587" s="76" t="s">
        <v>35</v>
      </c>
      <c r="C3587" s="76" t="s">
        <v>536</v>
      </c>
      <c r="D3587" s="484">
        <v>6783.3019860000004</v>
      </c>
      <c r="E3587" s="484">
        <v>3.2179000000000002</v>
      </c>
      <c r="F3587" s="484">
        <v>3.0428999999999999</v>
      </c>
      <c r="G3587" s="83">
        <f t="shared" ref="G3587:G3650" si="55">+AVERAGE(E3525:E3587)</f>
        <v>2.7897158730158744</v>
      </c>
    </row>
    <row r="3588" spans="1:7" x14ac:dyDescent="0.2">
      <c r="A3588" s="75">
        <v>43934</v>
      </c>
      <c r="B3588" s="76" t="s">
        <v>35</v>
      </c>
      <c r="C3588" s="76" t="s">
        <v>536</v>
      </c>
      <c r="D3588" s="484">
        <v>6800.5419739999998</v>
      </c>
      <c r="E3588" s="484">
        <v>3.0442</v>
      </c>
      <c r="F3588" s="484">
        <v>2.9950000000000001</v>
      </c>
      <c r="G3588" s="83">
        <f t="shared" si="55"/>
        <v>2.7982396825396836</v>
      </c>
    </row>
    <row r="3589" spans="1:7" x14ac:dyDescent="0.2">
      <c r="A3589" s="75">
        <v>43935</v>
      </c>
      <c r="B3589" s="76" t="s">
        <v>35</v>
      </c>
      <c r="C3589" s="76" t="s">
        <v>536</v>
      </c>
      <c r="D3589" s="484">
        <v>6846.7792669999999</v>
      </c>
      <c r="E3589" s="484">
        <v>2.9962</v>
      </c>
      <c r="F3589" s="484">
        <v>2.8597000000000001</v>
      </c>
      <c r="G3589" s="83">
        <f t="shared" si="55"/>
        <v>2.8059047619047628</v>
      </c>
    </row>
    <row r="3590" spans="1:7" x14ac:dyDescent="0.2">
      <c r="A3590" s="75">
        <v>43936</v>
      </c>
      <c r="B3590" s="76" t="s">
        <v>35</v>
      </c>
      <c r="C3590" s="76" t="s">
        <v>536</v>
      </c>
      <c r="D3590" s="484">
        <v>6872.2724660000003</v>
      </c>
      <c r="E3590" s="484">
        <v>2.8610000000000002</v>
      </c>
      <c r="F3590" s="484">
        <v>2.7875000000000001</v>
      </c>
      <c r="G3590" s="83">
        <f t="shared" si="55"/>
        <v>2.8103873015873022</v>
      </c>
    </row>
    <row r="3591" spans="1:7" x14ac:dyDescent="0.2">
      <c r="A3591" s="75">
        <v>43937</v>
      </c>
      <c r="B3591" s="76" t="s">
        <v>35</v>
      </c>
      <c r="C3591" s="76" t="s">
        <v>536</v>
      </c>
      <c r="D3591" s="484">
        <v>6906.9931889999998</v>
      </c>
      <c r="E3591" s="484">
        <v>2.7887</v>
      </c>
      <c r="F3591" s="484">
        <v>2.6869000000000001</v>
      </c>
      <c r="G3591" s="83">
        <f t="shared" si="55"/>
        <v>2.8143841269841277</v>
      </c>
    </row>
    <row r="3592" spans="1:7" x14ac:dyDescent="0.2">
      <c r="A3592" s="75">
        <v>43938</v>
      </c>
      <c r="B3592" s="76" t="s">
        <v>35</v>
      </c>
      <c r="C3592" s="76" t="s">
        <v>536</v>
      </c>
      <c r="D3592" s="484">
        <v>6924.9495129999996</v>
      </c>
      <c r="E3592" s="484">
        <v>2.6880999999999999</v>
      </c>
      <c r="F3592" s="484">
        <v>2.6364999999999998</v>
      </c>
      <c r="G3592" s="83">
        <f t="shared" si="55"/>
        <v>2.8175063492063499</v>
      </c>
    </row>
    <row r="3593" spans="1:7" x14ac:dyDescent="0.2">
      <c r="A3593" s="75">
        <v>43941</v>
      </c>
      <c r="B3593" s="76" t="s">
        <v>35</v>
      </c>
      <c r="C3593" s="76" t="s">
        <v>536</v>
      </c>
      <c r="D3593" s="484">
        <v>6950.8990110000004</v>
      </c>
      <c r="E3593" s="484">
        <v>2.6375999999999999</v>
      </c>
      <c r="F3593" s="484">
        <v>2.5625</v>
      </c>
      <c r="G3593" s="83">
        <f t="shared" si="55"/>
        <v>2.818973015873016</v>
      </c>
    </row>
    <row r="3594" spans="1:7" x14ac:dyDescent="0.2">
      <c r="A3594" s="75">
        <v>43943</v>
      </c>
      <c r="B3594" s="76" t="s">
        <v>35</v>
      </c>
      <c r="C3594" s="76" t="s">
        <v>536</v>
      </c>
      <c r="D3594" s="484">
        <v>6954.1339029999999</v>
      </c>
      <c r="E3594" s="484">
        <v>2.5636999999999999</v>
      </c>
      <c r="F3594" s="484">
        <v>2.5558000000000001</v>
      </c>
      <c r="G3594" s="83">
        <f t="shared" si="55"/>
        <v>2.8195603174603177</v>
      </c>
    </row>
    <row r="3595" spans="1:7" x14ac:dyDescent="0.2">
      <c r="A3595" s="75">
        <v>43944</v>
      </c>
      <c r="B3595" s="76" t="s">
        <v>35</v>
      </c>
      <c r="C3595" s="76" t="s">
        <v>536</v>
      </c>
      <c r="D3595" s="484">
        <v>6887.3269019999998</v>
      </c>
      <c r="E3595" s="484">
        <v>2.5571000000000002</v>
      </c>
      <c r="F3595" s="484">
        <v>2.7570999999999999</v>
      </c>
      <c r="G3595" s="83">
        <f t="shared" si="55"/>
        <v>2.8194746031746032</v>
      </c>
    </row>
    <row r="3596" spans="1:7" x14ac:dyDescent="0.2">
      <c r="A3596" s="75">
        <v>43945</v>
      </c>
      <c r="B3596" s="76" t="s">
        <v>35</v>
      </c>
      <c r="C3596" s="76" t="s">
        <v>536</v>
      </c>
      <c r="D3596" s="484">
        <v>6646.4056350000001</v>
      </c>
      <c r="E3596" s="484">
        <v>2.7584</v>
      </c>
      <c r="F3596" s="484">
        <v>3.4952000000000001</v>
      </c>
      <c r="G3596" s="83">
        <f t="shared" si="55"/>
        <v>2.8223317460317463</v>
      </c>
    </row>
    <row r="3597" spans="1:7" x14ac:dyDescent="0.2">
      <c r="A3597" s="75">
        <v>43948</v>
      </c>
      <c r="B3597" s="76" t="s">
        <v>35</v>
      </c>
      <c r="C3597" s="76" t="s">
        <v>536</v>
      </c>
      <c r="D3597" s="484">
        <v>6626.041741</v>
      </c>
      <c r="E3597" s="484">
        <v>3.4964</v>
      </c>
      <c r="F3597" s="484">
        <v>3.5623999999999998</v>
      </c>
      <c r="G3597" s="83">
        <f t="shared" si="55"/>
        <v>2.8378507936507935</v>
      </c>
    </row>
    <row r="3598" spans="1:7" x14ac:dyDescent="0.2">
      <c r="A3598" s="75">
        <v>43949</v>
      </c>
      <c r="B3598" s="76" t="s">
        <v>35</v>
      </c>
      <c r="C3598" s="76" t="s">
        <v>536</v>
      </c>
      <c r="D3598" s="484">
        <v>6739.1452509999999</v>
      </c>
      <c r="E3598" s="484">
        <v>3.5634000000000001</v>
      </c>
      <c r="F3598" s="484">
        <v>3.2155999999999998</v>
      </c>
      <c r="G3598" s="83">
        <f t="shared" si="55"/>
        <v>2.8544809523809516</v>
      </c>
    </row>
    <row r="3599" spans="1:7" x14ac:dyDescent="0.2">
      <c r="A3599" s="75">
        <v>43950</v>
      </c>
      <c r="B3599" s="76" t="s">
        <v>35</v>
      </c>
      <c r="C3599" s="76" t="s">
        <v>536</v>
      </c>
      <c r="D3599" s="484">
        <v>6772.5726889999996</v>
      </c>
      <c r="E3599" s="484">
        <v>3.2166000000000001</v>
      </c>
      <c r="F3599" s="484">
        <v>3.1008</v>
      </c>
      <c r="G3599" s="83">
        <f t="shared" si="55"/>
        <v>2.8656634920634918</v>
      </c>
    </row>
    <row r="3600" spans="1:7" x14ac:dyDescent="0.2">
      <c r="A3600" s="75">
        <v>43951</v>
      </c>
      <c r="B3600" s="76" t="s">
        <v>35</v>
      </c>
      <c r="C3600" s="76" t="s">
        <v>536</v>
      </c>
      <c r="D3600" s="484">
        <v>6771.2379410000003</v>
      </c>
      <c r="E3600" s="484">
        <v>3.1017999999999999</v>
      </c>
      <c r="F3600" s="484">
        <v>3.1061999999999999</v>
      </c>
      <c r="G3600" s="83">
        <f t="shared" si="55"/>
        <v>2.8751269841269833</v>
      </c>
    </row>
    <row r="3601" spans="1:7" x14ac:dyDescent="0.2">
      <c r="A3601" s="75">
        <v>43955</v>
      </c>
      <c r="B3601" s="76" t="s">
        <v>35</v>
      </c>
      <c r="C3601" s="76" t="s">
        <v>536</v>
      </c>
      <c r="D3601" s="484">
        <v>6765.7078449999999</v>
      </c>
      <c r="E3601" s="484">
        <v>3.1072000000000002</v>
      </c>
      <c r="F3601" s="484">
        <v>3.1244000000000001</v>
      </c>
      <c r="G3601" s="83">
        <f t="shared" si="55"/>
        <v>2.8850841269841268</v>
      </c>
    </row>
    <row r="3602" spans="1:7" x14ac:dyDescent="0.2">
      <c r="A3602" s="75">
        <v>43956</v>
      </c>
      <c r="B3602" s="76" t="s">
        <v>35</v>
      </c>
      <c r="C3602" s="76" t="s">
        <v>536</v>
      </c>
      <c r="D3602" s="484">
        <v>6773.3341030000001</v>
      </c>
      <c r="E3602" s="484">
        <v>3.1255000000000002</v>
      </c>
      <c r="F3602" s="484">
        <v>3.1025999999999998</v>
      </c>
      <c r="G3602" s="83">
        <f t="shared" si="55"/>
        <v>2.8960412698412692</v>
      </c>
    </row>
    <row r="3603" spans="1:7" x14ac:dyDescent="0.2">
      <c r="A3603" s="75">
        <v>43957</v>
      </c>
      <c r="B3603" s="76" t="s">
        <v>35</v>
      </c>
      <c r="C3603" s="76" t="s">
        <v>536</v>
      </c>
      <c r="D3603" s="484">
        <v>6768.8505320000004</v>
      </c>
      <c r="E3603" s="484">
        <v>3.1036999999999999</v>
      </c>
      <c r="F3603" s="484">
        <v>3.1177000000000001</v>
      </c>
      <c r="G3603" s="83">
        <f t="shared" si="55"/>
        <v>2.9064317460317457</v>
      </c>
    </row>
    <row r="3604" spans="1:7" x14ac:dyDescent="0.2">
      <c r="A3604" s="75">
        <v>43958</v>
      </c>
      <c r="B3604" s="76" t="s">
        <v>35</v>
      </c>
      <c r="C3604" s="76" t="s">
        <v>536</v>
      </c>
      <c r="D3604" s="484">
        <v>6738.6446470000001</v>
      </c>
      <c r="E3604" s="484">
        <v>3.1187999999999998</v>
      </c>
      <c r="F3604" s="484">
        <v>3.2115</v>
      </c>
      <c r="G3604" s="83">
        <f t="shared" si="55"/>
        <v>2.9167587301587292</v>
      </c>
    </row>
    <row r="3605" spans="1:7" x14ac:dyDescent="0.2">
      <c r="A3605" s="75">
        <v>43959</v>
      </c>
      <c r="B3605" s="76" t="s">
        <v>35</v>
      </c>
      <c r="C3605" s="76" t="s">
        <v>536</v>
      </c>
      <c r="D3605" s="484">
        <v>6774.2146089999997</v>
      </c>
      <c r="E3605" s="484">
        <v>3.2128000000000001</v>
      </c>
      <c r="F3605" s="484">
        <v>3.089</v>
      </c>
      <c r="G3605" s="83">
        <f t="shared" si="55"/>
        <v>2.9288380952380937</v>
      </c>
    </row>
    <row r="3606" spans="1:7" x14ac:dyDescent="0.2">
      <c r="A3606" s="75">
        <v>43962</v>
      </c>
      <c r="B3606" s="76" t="s">
        <v>35</v>
      </c>
      <c r="C3606" s="76" t="s">
        <v>536</v>
      </c>
      <c r="D3606" s="484">
        <v>6769.4526610000003</v>
      </c>
      <c r="E3606" s="484">
        <v>3.0903999999999998</v>
      </c>
      <c r="F3606" s="484">
        <v>3.1042000000000001</v>
      </c>
      <c r="G3606" s="83">
        <f t="shared" si="55"/>
        <v>2.9393714285714272</v>
      </c>
    </row>
    <row r="3607" spans="1:7" x14ac:dyDescent="0.2">
      <c r="A3607" s="75">
        <v>43963</v>
      </c>
      <c r="B3607" s="76" t="s">
        <v>35</v>
      </c>
      <c r="C3607" s="76" t="s">
        <v>536</v>
      </c>
      <c r="D3607" s="484">
        <v>6723.3912520000003</v>
      </c>
      <c r="E3607" s="484">
        <v>3.1055999999999999</v>
      </c>
      <c r="F3607" s="484">
        <v>3.2458999999999998</v>
      </c>
      <c r="G3607" s="83">
        <f t="shared" si="55"/>
        <v>2.9507888888888876</v>
      </c>
    </row>
    <row r="3608" spans="1:7" x14ac:dyDescent="0.2">
      <c r="A3608" s="75">
        <v>43964</v>
      </c>
      <c r="B3608" s="76" t="s">
        <v>35</v>
      </c>
      <c r="C3608" s="76" t="s">
        <v>536</v>
      </c>
      <c r="D3608" s="484">
        <v>6692.993794</v>
      </c>
      <c r="E3608" s="484">
        <v>3.2473999999999998</v>
      </c>
      <c r="F3608" s="484">
        <v>3.3405</v>
      </c>
      <c r="G3608" s="83">
        <f t="shared" si="55"/>
        <v>2.9634365079365068</v>
      </c>
    </row>
    <row r="3609" spans="1:7" x14ac:dyDescent="0.2">
      <c r="A3609" s="75">
        <v>43965</v>
      </c>
      <c r="B3609" s="76" t="s">
        <v>35</v>
      </c>
      <c r="C3609" s="76" t="s">
        <v>536</v>
      </c>
      <c r="D3609" s="484">
        <v>6721.3416999999999</v>
      </c>
      <c r="E3609" s="484">
        <v>3.3420000000000001</v>
      </c>
      <c r="F3609" s="484">
        <v>3.2541000000000002</v>
      </c>
      <c r="G3609" s="83">
        <f t="shared" si="55"/>
        <v>2.9770936507936501</v>
      </c>
    </row>
    <row r="3610" spans="1:7" x14ac:dyDescent="0.2">
      <c r="A3610" s="75">
        <v>43966</v>
      </c>
      <c r="B3610" s="76" t="s">
        <v>35</v>
      </c>
      <c r="C3610" s="76" t="s">
        <v>536</v>
      </c>
      <c r="D3610" s="484">
        <v>6742.7227210000001</v>
      </c>
      <c r="E3610" s="484">
        <v>3.2557</v>
      </c>
      <c r="F3610" s="484">
        <v>3.1894999999999998</v>
      </c>
      <c r="G3610" s="83">
        <f t="shared" si="55"/>
        <v>2.9899968253968243</v>
      </c>
    </row>
    <row r="3611" spans="1:7" x14ac:dyDescent="0.2">
      <c r="A3611" s="75">
        <v>43969</v>
      </c>
      <c r="B3611" s="76" t="s">
        <v>35</v>
      </c>
      <c r="C3611" s="76" t="s">
        <v>536</v>
      </c>
      <c r="D3611" s="484">
        <v>6785.1076860000003</v>
      </c>
      <c r="E3611" s="484">
        <v>3.1911</v>
      </c>
      <c r="F3611" s="484">
        <v>3.0605000000000002</v>
      </c>
      <c r="G3611" s="83">
        <f t="shared" si="55"/>
        <v>3.0026142857142855</v>
      </c>
    </row>
    <row r="3612" spans="1:7" x14ac:dyDescent="0.2">
      <c r="A3612" s="75">
        <v>43970</v>
      </c>
      <c r="B3612" s="76" t="s">
        <v>35</v>
      </c>
      <c r="C3612" s="76" t="s">
        <v>536</v>
      </c>
      <c r="D3612" s="484">
        <v>6807.8307500000001</v>
      </c>
      <c r="E3612" s="484">
        <v>3.0619999999999998</v>
      </c>
      <c r="F3612" s="484">
        <v>2.9916999999999998</v>
      </c>
      <c r="G3612" s="83">
        <f t="shared" si="55"/>
        <v>3.0141714285714283</v>
      </c>
    </row>
    <row r="3613" spans="1:7" x14ac:dyDescent="0.2">
      <c r="A3613" s="75">
        <v>43971</v>
      </c>
      <c r="B3613" s="76" t="s">
        <v>35</v>
      </c>
      <c r="C3613" s="76" t="s">
        <v>536</v>
      </c>
      <c r="D3613" s="484">
        <v>6832.6502989999999</v>
      </c>
      <c r="E3613" s="484">
        <v>2.9931999999999999</v>
      </c>
      <c r="F3613" s="484">
        <v>2.9167999999999998</v>
      </c>
      <c r="G3613" s="83">
        <f t="shared" si="55"/>
        <v>3.0245253968253967</v>
      </c>
    </row>
    <row r="3614" spans="1:7" x14ac:dyDescent="0.2">
      <c r="A3614" s="75">
        <v>43972</v>
      </c>
      <c r="B3614" s="76" t="s">
        <v>35</v>
      </c>
      <c r="C3614" s="76" t="s">
        <v>536</v>
      </c>
      <c r="D3614" s="484">
        <v>6878.0503900000003</v>
      </c>
      <c r="E3614" s="484">
        <v>2.9184000000000001</v>
      </c>
      <c r="F3614" s="484">
        <v>2.7806000000000002</v>
      </c>
      <c r="G3614" s="83">
        <f t="shared" si="55"/>
        <v>3.0352571428571427</v>
      </c>
    </row>
    <row r="3615" spans="1:7" x14ac:dyDescent="0.2">
      <c r="A3615" s="75">
        <v>43973</v>
      </c>
      <c r="B3615" s="76" t="s">
        <v>35</v>
      </c>
      <c r="C3615" s="76" t="s">
        <v>536</v>
      </c>
      <c r="D3615" s="484">
        <v>6892.5209320000004</v>
      </c>
      <c r="E3615" s="484">
        <v>2.7820999999999998</v>
      </c>
      <c r="F3615" s="484">
        <v>2.7372999999999998</v>
      </c>
      <c r="G3615" s="83">
        <f t="shared" si="55"/>
        <v>3.0432380952380949</v>
      </c>
    </row>
    <row r="3616" spans="1:7" x14ac:dyDescent="0.2">
      <c r="A3616" s="75">
        <v>43976</v>
      </c>
      <c r="B3616" s="76" t="s">
        <v>35</v>
      </c>
      <c r="C3616" s="76" t="s">
        <v>536</v>
      </c>
      <c r="D3616" s="484">
        <v>6992.6282849999998</v>
      </c>
      <c r="E3616" s="484">
        <v>2.7387999999999999</v>
      </c>
      <c r="F3616" s="484">
        <v>2.4411</v>
      </c>
      <c r="G3616" s="83">
        <f t="shared" si="55"/>
        <v>3.0500174603174606</v>
      </c>
    </row>
    <row r="3617" spans="1:7" x14ac:dyDescent="0.2">
      <c r="A3617" s="75">
        <v>43977</v>
      </c>
      <c r="B3617" s="76" t="s">
        <v>35</v>
      </c>
      <c r="C3617" s="76" t="s">
        <v>536</v>
      </c>
      <c r="D3617" s="484">
        <v>6977.2556299999997</v>
      </c>
      <c r="E3617" s="484">
        <v>2.4426999999999999</v>
      </c>
      <c r="F3617" s="484">
        <v>2.4860000000000002</v>
      </c>
      <c r="G3617" s="83">
        <f t="shared" si="55"/>
        <v>3.0530984126984126</v>
      </c>
    </row>
    <row r="3618" spans="1:7" x14ac:dyDescent="0.2">
      <c r="A3618" s="75">
        <v>43978</v>
      </c>
      <c r="B3618" s="76" t="s">
        <v>35</v>
      </c>
      <c r="C3618" s="76" t="s">
        <v>536</v>
      </c>
      <c r="D3618" s="484">
        <v>6996.6108629999999</v>
      </c>
      <c r="E3618" s="484">
        <v>2.4876999999999998</v>
      </c>
      <c r="F3618" s="484">
        <v>2.4224999999999999</v>
      </c>
      <c r="G3618" s="83">
        <f t="shared" si="55"/>
        <v>3.056685714285714</v>
      </c>
    </row>
    <row r="3619" spans="1:7" x14ac:dyDescent="0.2">
      <c r="A3619" s="75">
        <v>43979</v>
      </c>
      <c r="B3619" s="76" t="s">
        <v>35</v>
      </c>
      <c r="C3619" s="76" t="s">
        <v>536</v>
      </c>
      <c r="D3619" s="484">
        <v>7005.3289439999999</v>
      </c>
      <c r="E3619" s="484">
        <v>2.4241999999999999</v>
      </c>
      <c r="F3619" s="484">
        <v>2.3959999999999999</v>
      </c>
      <c r="G3619" s="83">
        <f t="shared" si="55"/>
        <v>3.0585999999999998</v>
      </c>
    </row>
    <row r="3620" spans="1:7" x14ac:dyDescent="0.2">
      <c r="A3620" s="75">
        <v>43980</v>
      </c>
      <c r="B3620" s="76" t="s">
        <v>35</v>
      </c>
      <c r="C3620" s="76" t="s">
        <v>536</v>
      </c>
      <c r="D3620" s="484">
        <v>7008.8181359999999</v>
      </c>
      <c r="E3620" s="484">
        <v>2.3976999999999999</v>
      </c>
      <c r="F3620" s="484">
        <v>2.3847999999999998</v>
      </c>
      <c r="G3620" s="83">
        <f t="shared" si="55"/>
        <v>3.0587015873015866</v>
      </c>
    </row>
    <row r="3621" spans="1:7" x14ac:dyDescent="0.2">
      <c r="A3621" s="75">
        <v>43983</v>
      </c>
      <c r="B3621" s="76" t="s">
        <v>35</v>
      </c>
      <c r="C3621" s="76" t="s">
        <v>536</v>
      </c>
      <c r="D3621" s="484">
        <v>6997.9853430000003</v>
      </c>
      <c r="E3621" s="484">
        <v>2.3866000000000001</v>
      </c>
      <c r="F3621" s="484">
        <v>2.4156</v>
      </c>
      <c r="G3621" s="83">
        <f t="shared" si="55"/>
        <v>3.0589190476190473</v>
      </c>
    </row>
    <row r="3622" spans="1:7" x14ac:dyDescent="0.2">
      <c r="A3622" s="75">
        <v>43984</v>
      </c>
      <c r="B3622" s="76" t="s">
        <v>35</v>
      </c>
      <c r="C3622" s="76" t="s">
        <v>536</v>
      </c>
      <c r="D3622" s="484">
        <v>7025.9840389999999</v>
      </c>
      <c r="E3622" s="484">
        <v>2.4173</v>
      </c>
      <c r="F3622" s="484">
        <v>2.3328000000000002</v>
      </c>
      <c r="G3622" s="83">
        <f t="shared" si="55"/>
        <v>3.0598253968253966</v>
      </c>
    </row>
    <row r="3623" spans="1:7" x14ac:dyDescent="0.2">
      <c r="A3623" s="75">
        <v>43985</v>
      </c>
      <c r="B3623" s="76" t="s">
        <v>35</v>
      </c>
      <c r="C3623" s="76" t="s">
        <v>536</v>
      </c>
      <c r="D3623" s="484">
        <v>7042.0445909999999</v>
      </c>
      <c r="E3623" s="484">
        <v>2.3344999999999998</v>
      </c>
      <c r="F3623" s="484">
        <v>2.2850000000000001</v>
      </c>
      <c r="G3623" s="83">
        <f t="shared" si="55"/>
        <v>3.0616190476190472</v>
      </c>
    </row>
    <row r="3624" spans="1:7" x14ac:dyDescent="0.2">
      <c r="A3624" s="75">
        <v>43986</v>
      </c>
      <c r="B3624" s="76" t="s">
        <v>35</v>
      </c>
      <c r="C3624" s="76" t="s">
        <v>536</v>
      </c>
      <c r="D3624" s="484">
        <v>7038.2002920000004</v>
      </c>
      <c r="E3624" s="484">
        <v>2.2867000000000002</v>
      </c>
      <c r="F3624" s="484">
        <v>2.2951000000000001</v>
      </c>
      <c r="G3624" s="83">
        <f t="shared" si="55"/>
        <v>3.0634698412698409</v>
      </c>
    </row>
    <row r="3625" spans="1:7" x14ac:dyDescent="0.2">
      <c r="A3625" s="75">
        <v>43987</v>
      </c>
      <c r="B3625" s="76" t="s">
        <v>35</v>
      </c>
      <c r="C3625" s="76" t="s">
        <v>536</v>
      </c>
      <c r="D3625" s="484">
        <v>7039.8256499999998</v>
      </c>
      <c r="E3625" s="484">
        <v>2.2968000000000002</v>
      </c>
      <c r="F3625" s="484">
        <v>2.2892999999999999</v>
      </c>
      <c r="G3625" s="83">
        <f t="shared" si="55"/>
        <v>3.0665174603174599</v>
      </c>
    </row>
    <row r="3626" spans="1:7" x14ac:dyDescent="0.2">
      <c r="A3626" s="75">
        <v>43990</v>
      </c>
      <c r="B3626" s="76" t="s">
        <v>35</v>
      </c>
      <c r="C3626" s="76" t="s">
        <v>536</v>
      </c>
      <c r="D3626" s="484">
        <v>7025.7186519999996</v>
      </c>
      <c r="E3626" s="484">
        <v>2.2909999999999999</v>
      </c>
      <c r="F3626" s="484">
        <v>2.3292999999999999</v>
      </c>
      <c r="G3626" s="83">
        <f t="shared" si="55"/>
        <v>3.0675126984126977</v>
      </c>
    </row>
    <row r="3627" spans="1:7" x14ac:dyDescent="0.2">
      <c r="A3627" s="75">
        <v>43991</v>
      </c>
      <c r="B3627" s="76" t="s">
        <v>35</v>
      </c>
      <c r="C3627" s="76" t="s">
        <v>536</v>
      </c>
      <c r="D3627" s="484">
        <v>7012.2719129999996</v>
      </c>
      <c r="E3627" s="484">
        <v>2.331</v>
      </c>
      <c r="F3627" s="484">
        <v>2.3675000000000002</v>
      </c>
      <c r="G3627" s="83">
        <f t="shared" si="55"/>
        <v>3.06833492063492</v>
      </c>
    </row>
    <row r="3628" spans="1:7" x14ac:dyDescent="0.2">
      <c r="A3628" s="75">
        <v>43992</v>
      </c>
      <c r="B3628" s="76" t="s">
        <v>35</v>
      </c>
      <c r="C3628" s="76" t="s">
        <v>536</v>
      </c>
      <c r="D3628" s="484">
        <v>7022.8726290000004</v>
      </c>
      <c r="E3628" s="484">
        <v>2.3692000000000002</v>
      </c>
      <c r="F3628" s="484">
        <v>2.3485</v>
      </c>
      <c r="G3628" s="83">
        <f t="shared" si="55"/>
        <v>3.0650222222222214</v>
      </c>
    </row>
    <row r="3629" spans="1:7" x14ac:dyDescent="0.2">
      <c r="A3629" s="75">
        <v>43994</v>
      </c>
      <c r="B3629" s="76" t="s">
        <v>35</v>
      </c>
      <c r="C3629" s="76" t="s">
        <v>536</v>
      </c>
      <c r="D3629" s="484">
        <v>7032.9906179999998</v>
      </c>
      <c r="E3629" s="484">
        <v>2.3502000000000001</v>
      </c>
      <c r="F3629" s="484">
        <v>2.3187000000000002</v>
      </c>
      <c r="G3629" s="83">
        <f t="shared" si="55"/>
        <v>3.0620253968253963</v>
      </c>
    </row>
    <row r="3630" spans="1:7" x14ac:dyDescent="0.2">
      <c r="A3630" s="75">
        <v>43997</v>
      </c>
      <c r="B3630" s="76" t="s">
        <v>35</v>
      </c>
      <c r="C3630" s="76" t="s">
        <v>536</v>
      </c>
      <c r="D3630" s="484">
        <v>7040.2636540000003</v>
      </c>
      <c r="E3630" s="484">
        <v>2.3203</v>
      </c>
      <c r="F3630" s="484">
        <v>2.2970999999999999</v>
      </c>
      <c r="G3630" s="83">
        <f t="shared" si="55"/>
        <v>3.051128571428571</v>
      </c>
    </row>
    <row r="3631" spans="1:7" x14ac:dyDescent="0.2">
      <c r="A3631" s="75">
        <v>43998</v>
      </c>
      <c r="B3631" s="76" t="s">
        <v>35</v>
      </c>
      <c r="C3631" s="76" t="s">
        <v>536</v>
      </c>
      <c r="D3631" s="484">
        <v>7035.0028830000001</v>
      </c>
      <c r="E3631" s="484">
        <v>2.2987000000000002</v>
      </c>
      <c r="F3631" s="484">
        <v>2.3178999999999998</v>
      </c>
      <c r="G3631" s="83">
        <f t="shared" si="55"/>
        <v>3.0253238095238091</v>
      </c>
    </row>
    <row r="3632" spans="1:7" x14ac:dyDescent="0.2">
      <c r="A3632" s="75">
        <v>43999</v>
      </c>
      <c r="B3632" s="76" t="s">
        <v>35</v>
      </c>
      <c r="C3632" s="76" t="s">
        <v>536</v>
      </c>
      <c r="D3632" s="484">
        <v>7063.6543099999999</v>
      </c>
      <c r="E3632" s="484">
        <v>2.3195000000000001</v>
      </c>
      <c r="F3632" s="484">
        <v>2.2402000000000002</v>
      </c>
      <c r="G3632" s="83">
        <f t="shared" si="55"/>
        <v>3.0114904761904757</v>
      </c>
    </row>
    <row r="3633" spans="1:7" x14ac:dyDescent="0.2">
      <c r="A3633" s="75">
        <v>44000</v>
      </c>
      <c r="B3633" s="76" t="s">
        <v>35</v>
      </c>
      <c r="C3633" s="76" t="s">
        <v>536</v>
      </c>
      <c r="D3633" s="484">
        <v>7045.7835139999997</v>
      </c>
      <c r="E3633" s="484">
        <v>2.2416999999999998</v>
      </c>
      <c r="F3633" s="484">
        <v>2.2974000000000001</v>
      </c>
      <c r="G3633" s="83">
        <f t="shared" si="55"/>
        <v>2.9959809523809522</v>
      </c>
    </row>
    <row r="3634" spans="1:7" x14ac:dyDescent="0.2">
      <c r="A3634" s="75">
        <v>44001</v>
      </c>
      <c r="B3634" s="76" t="s">
        <v>35</v>
      </c>
      <c r="C3634" s="76" t="s">
        <v>536</v>
      </c>
      <c r="D3634" s="484">
        <v>7048.2243829999998</v>
      </c>
      <c r="E3634" s="484">
        <v>2.2989999999999999</v>
      </c>
      <c r="F3634" s="484">
        <v>2.2957999999999998</v>
      </c>
      <c r="G3634" s="83">
        <f t="shared" si="55"/>
        <v>2.9848698412698416</v>
      </c>
    </row>
    <row r="3635" spans="1:7" x14ac:dyDescent="0.2">
      <c r="A3635" s="75">
        <v>44004</v>
      </c>
      <c r="B3635" s="76" t="s">
        <v>35</v>
      </c>
      <c r="C3635" s="76" t="s">
        <v>536</v>
      </c>
      <c r="D3635" s="484">
        <v>7030.3839619999999</v>
      </c>
      <c r="E3635" s="484">
        <v>2.2974999999999999</v>
      </c>
      <c r="F3635" s="484">
        <v>2.3532999999999999</v>
      </c>
      <c r="G3635" s="83">
        <f t="shared" si="55"/>
        <v>2.9596031746031746</v>
      </c>
    </row>
    <row r="3636" spans="1:7" x14ac:dyDescent="0.2">
      <c r="A3636" s="75">
        <v>44005</v>
      </c>
      <c r="B3636" s="76" t="s">
        <v>35</v>
      </c>
      <c r="C3636" s="76" t="s">
        <v>536</v>
      </c>
      <c r="D3636" s="484">
        <v>7035.890238</v>
      </c>
      <c r="E3636" s="484">
        <v>2.355</v>
      </c>
      <c r="F3636" s="484">
        <v>2.3429000000000002</v>
      </c>
      <c r="G3636" s="83">
        <f t="shared" si="55"/>
        <v>2.934877777777777</v>
      </c>
    </row>
    <row r="3637" spans="1:7" x14ac:dyDescent="0.2">
      <c r="A3637" s="75">
        <v>44006</v>
      </c>
      <c r="B3637" s="76" t="s">
        <v>35</v>
      </c>
      <c r="C3637" s="76" t="s">
        <v>536</v>
      </c>
      <c r="D3637" s="484">
        <v>7019.4381960000001</v>
      </c>
      <c r="E3637" s="484">
        <v>2.3445999999999998</v>
      </c>
      <c r="F3637" s="484">
        <v>2.3965000000000001</v>
      </c>
      <c r="G3637" s="83">
        <f t="shared" si="55"/>
        <v>2.9082968253968251</v>
      </c>
    </row>
    <row r="3638" spans="1:7" x14ac:dyDescent="0.2">
      <c r="A3638" s="75">
        <v>44007</v>
      </c>
      <c r="B3638" s="76" t="s">
        <v>35</v>
      </c>
      <c r="C3638" s="76" t="s">
        <v>536</v>
      </c>
      <c r="D3638" s="484">
        <v>7078.1126990000002</v>
      </c>
      <c r="E3638" s="484">
        <v>2.3982000000000001</v>
      </c>
      <c r="F3638" s="484">
        <v>2.2317</v>
      </c>
      <c r="G3638" s="83">
        <f t="shared" si="55"/>
        <v>2.8748396825396827</v>
      </c>
    </row>
    <row r="3639" spans="1:7" x14ac:dyDescent="0.2">
      <c r="A3639" s="75">
        <v>44008</v>
      </c>
      <c r="B3639" s="76" t="s">
        <v>35</v>
      </c>
      <c r="C3639" s="76" t="s">
        <v>536</v>
      </c>
      <c r="D3639" s="484">
        <v>7076.5956999999999</v>
      </c>
      <c r="E3639" s="484">
        <v>2.2334999999999998</v>
      </c>
      <c r="F3639" s="484">
        <v>2.2458999999999998</v>
      </c>
      <c r="G3639" s="83">
        <f t="shared" si="55"/>
        <v>2.8438428571428567</v>
      </c>
    </row>
    <row r="3640" spans="1:7" x14ac:dyDescent="0.2">
      <c r="A3640" s="75">
        <v>44011</v>
      </c>
      <c r="B3640" s="76" t="s">
        <v>35</v>
      </c>
      <c r="C3640" s="76" t="s">
        <v>536</v>
      </c>
      <c r="D3640" s="484">
        <v>7110.7566129999996</v>
      </c>
      <c r="E3640" s="484">
        <v>2.2477</v>
      </c>
      <c r="F3640" s="484">
        <v>2.1535000000000002</v>
      </c>
      <c r="G3640" s="83">
        <f t="shared" si="55"/>
        <v>2.8192841269841269</v>
      </c>
    </row>
    <row r="3641" spans="1:7" x14ac:dyDescent="0.2">
      <c r="A3641" s="75">
        <v>44012</v>
      </c>
      <c r="B3641" s="76" t="s">
        <v>35</v>
      </c>
      <c r="C3641" s="76" t="s">
        <v>536</v>
      </c>
      <c r="D3641" s="484">
        <v>7118.0068119999996</v>
      </c>
      <c r="E3641" s="484">
        <v>2.1553</v>
      </c>
      <c r="F3641" s="484">
        <v>2.1387</v>
      </c>
      <c r="G3641" s="83">
        <f t="shared" si="55"/>
        <v>2.7973730158730166</v>
      </c>
    </row>
    <row r="3642" spans="1:7" x14ac:dyDescent="0.2">
      <c r="A3642" s="75">
        <v>44013</v>
      </c>
      <c r="B3642" s="76" t="s">
        <v>35</v>
      </c>
      <c r="C3642" s="76" t="s">
        <v>536</v>
      </c>
      <c r="D3642" s="484">
        <v>7156.0153140000002</v>
      </c>
      <c r="E3642" s="484">
        <v>2.1404999999999998</v>
      </c>
      <c r="F3642" s="484">
        <v>2.0358999999999998</v>
      </c>
      <c r="G3642" s="83">
        <f t="shared" si="55"/>
        <v>2.7766158730158734</v>
      </c>
    </row>
    <row r="3643" spans="1:7" x14ac:dyDescent="0.2">
      <c r="A3643" s="75">
        <v>44014</v>
      </c>
      <c r="B3643" s="76" t="s">
        <v>35</v>
      </c>
      <c r="C3643" s="76" t="s">
        <v>536</v>
      </c>
      <c r="D3643" s="484">
        <v>7160.62021</v>
      </c>
      <c r="E3643" s="484">
        <v>2.0377000000000001</v>
      </c>
      <c r="F3643" s="484">
        <v>2.0287000000000002</v>
      </c>
      <c r="G3643" s="83">
        <f t="shared" si="55"/>
        <v>2.7562619047619052</v>
      </c>
    </row>
    <row r="3644" spans="1:7" x14ac:dyDescent="0.2">
      <c r="A3644" s="75">
        <v>44015</v>
      </c>
      <c r="B3644" s="76" t="s">
        <v>35</v>
      </c>
      <c r="C3644" s="76" t="s">
        <v>536</v>
      </c>
      <c r="D3644" s="484">
        <v>7187.2320790000003</v>
      </c>
      <c r="E3644" s="484">
        <v>2.0305</v>
      </c>
      <c r="F3644" s="484">
        <v>1.9589000000000001</v>
      </c>
      <c r="G3644" s="83">
        <f t="shared" si="55"/>
        <v>2.7365253968253973</v>
      </c>
    </row>
    <row r="3645" spans="1:7" x14ac:dyDescent="0.2">
      <c r="A3645" s="75">
        <v>44018</v>
      </c>
      <c r="B3645" s="76" t="s">
        <v>35</v>
      </c>
      <c r="C3645" s="76" t="s">
        <v>536</v>
      </c>
      <c r="D3645" s="484">
        <v>7180.9929469999997</v>
      </c>
      <c r="E3645" s="484">
        <v>1.9607000000000001</v>
      </c>
      <c r="F3645" s="484">
        <v>1.9824999999999999</v>
      </c>
      <c r="G3645" s="83">
        <f t="shared" si="55"/>
        <v>2.7143476190476203</v>
      </c>
    </row>
    <row r="3646" spans="1:7" x14ac:dyDescent="0.2">
      <c r="A3646" s="75">
        <v>44019</v>
      </c>
      <c r="B3646" s="76" t="s">
        <v>35</v>
      </c>
      <c r="C3646" s="76" t="s">
        <v>536</v>
      </c>
      <c r="D3646" s="484">
        <v>7156.7326759999996</v>
      </c>
      <c r="E3646" s="484">
        <v>1.9843</v>
      </c>
      <c r="F3646" s="484">
        <v>2.0575000000000001</v>
      </c>
      <c r="G3646" s="83">
        <f t="shared" si="55"/>
        <v>2.6925126984126986</v>
      </c>
    </row>
    <row r="3647" spans="1:7" x14ac:dyDescent="0.2">
      <c r="A3647" s="75">
        <v>44020</v>
      </c>
      <c r="B3647" s="76" t="s">
        <v>35</v>
      </c>
      <c r="C3647" s="76" t="s">
        <v>536</v>
      </c>
      <c r="D3647" s="484">
        <v>7151.0797560000001</v>
      </c>
      <c r="E3647" s="484">
        <v>2.0592000000000001</v>
      </c>
      <c r="F3647" s="484">
        <v>2.0794999999999999</v>
      </c>
      <c r="G3647" s="83">
        <f t="shared" si="55"/>
        <v>2.6700380952380955</v>
      </c>
    </row>
    <row r="3648" spans="1:7" x14ac:dyDescent="0.2">
      <c r="A3648" s="75">
        <v>44021</v>
      </c>
      <c r="B3648" s="76" t="s">
        <v>35</v>
      </c>
      <c r="C3648" s="76" t="s">
        <v>536</v>
      </c>
      <c r="D3648" s="484">
        <v>7184.270297</v>
      </c>
      <c r="E3648" s="484">
        <v>2.0811999999999999</v>
      </c>
      <c r="F3648" s="484">
        <v>1.9907999999999999</v>
      </c>
      <c r="G3648" s="83">
        <f t="shared" si="55"/>
        <v>2.6484222222222229</v>
      </c>
    </row>
    <row r="3649" spans="1:7" x14ac:dyDescent="0.2">
      <c r="A3649" s="75">
        <v>44022</v>
      </c>
      <c r="B3649" s="76" t="s">
        <v>35</v>
      </c>
      <c r="C3649" s="76" t="s">
        <v>536</v>
      </c>
      <c r="D3649" s="484">
        <v>7227.4074790000004</v>
      </c>
      <c r="E3649" s="484">
        <v>1.9924999999999999</v>
      </c>
      <c r="F3649" s="484">
        <v>1.8727</v>
      </c>
      <c r="G3649" s="83">
        <f t="shared" si="55"/>
        <v>2.6269682539682551</v>
      </c>
    </row>
    <row r="3650" spans="1:7" x14ac:dyDescent="0.2">
      <c r="A3650" s="75">
        <v>44025</v>
      </c>
      <c r="B3650" s="76" t="s">
        <v>35</v>
      </c>
      <c r="C3650" s="76" t="s">
        <v>536</v>
      </c>
      <c r="D3650" s="484">
        <v>7223.8675929999999</v>
      </c>
      <c r="E3650" s="484">
        <v>1.8744000000000001</v>
      </c>
      <c r="F3650" s="484">
        <v>1.8883000000000001</v>
      </c>
      <c r="G3650" s="83">
        <f t="shared" si="55"/>
        <v>2.605642857142858</v>
      </c>
    </row>
    <row r="3651" spans="1:7" x14ac:dyDescent="0.2">
      <c r="A3651" s="75">
        <v>44026</v>
      </c>
      <c r="B3651" s="76" t="s">
        <v>35</v>
      </c>
      <c r="C3651" s="76" t="s">
        <v>536</v>
      </c>
      <c r="D3651" s="484">
        <v>7225.1508089999998</v>
      </c>
      <c r="E3651" s="484">
        <v>1.8900999999999999</v>
      </c>
      <c r="F3651" s="484">
        <v>1.8904000000000001</v>
      </c>
      <c r="G3651" s="83">
        <f t="shared" ref="G3651:G3714" si="56">+AVERAGE(E3589:E3651)</f>
        <v>2.5873238095238102</v>
      </c>
    </row>
    <row r="3652" spans="1:7" x14ac:dyDescent="0.2">
      <c r="A3652" s="75">
        <v>44027</v>
      </c>
      <c r="B3652" s="76" t="s">
        <v>35</v>
      </c>
      <c r="C3652" s="76" t="s">
        <v>536</v>
      </c>
      <c r="D3652" s="484">
        <v>7220.4142620000002</v>
      </c>
      <c r="E3652" s="484">
        <v>1.8922000000000001</v>
      </c>
      <c r="F3652" s="484">
        <v>1.9095</v>
      </c>
      <c r="G3652" s="83">
        <f t="shared" si="56"/>
        <v>2.5698000000000012</v>
      </c>
    </row>
    <row r="3653" spans="1:7" x14ac:dyDescent="0.2">
      <c r="A3653" s="75">
        <v>44028</v>
      </c>
      <c r="B3653" s="76" t="s">
        <v>35</v>
      </c>
      <c r="C3653" s="76" t="s">
        <v>536</v>
      </c>
      <c r="D3653" s="484">
        <v>7212.2239090000003</v>
      </c>
      <c r="E3653" s="484">
        <v>1.9112</v>
      </c>
      <c r="F3653" s="484">
        <v>1.9403999999999999</v>
      </c>
      <c r="G3653" s="83">
        <f t="shared" si="56"/>
        <v>2.5547238095238103</v>
      </c>
    </row>
    <row r="3654" spans="1:7" x14ac:dyDescent="0.2">
      <c r="A3654" s="75">
        <v>44029</v>
      </c>
      <c r="B3654" s="76" t="s">
        <v>35</v>
      </c>
      <c r="C3654" s="76" t="s">
        <v>536</v>
      </c>
      <c r="D3654" s="484">
        <v>7227.9267390000005</v>
      </c>
      <c r="E3654" s="484">
        <v>1.9421999999999999</v>
      </c>
      <c r="F3654" s="484">
        <v>1.9038999999999999</v>
      </c>
      <c r="G3654" s="83">
        <f t="shared" si="56"/>
        <v>2.5412873015873023</v>
      </c>
    </row>
    <row r="3655" spans="1:7" x14ac:dyDescent="0.2">
      <c r="A3655" s="75">
        <v>44032</v>
      </c>
      <c r="B3655" s="76" t="s">
        <v>35</v>
      </c>
      <c r="C3655" s="76" t="s">
        <v>536</v>
      </c>
      <c r="D3655" s="484">
        <v>7224.6462959999999</v>
      </c>
      <c r="E3655" s="484">
        <v>1.9056</v>
      </c>
      <c r="F3655" s="484">
        <v>1.9209000000000001</v>
      </c>
      <c r="G3655" s="83">
        <f t="shared" si="56"/>
        <v>2.5288666666666675</v>
      </c>
    </row>
    <row r="3656" spans="1:7" x14ac:dyDescent="0.2">
      <c r="A3656" s="75">
        <v>44033</v>
      </c>
      <c r="B3656" s="76" t="s">
        <v>35</v>
      </c>
      <c r="C3656" s="76" t="s">
        <v>536</v>
      </c>
      <c r="D3656" s="484">
        <v>7236.5045540000001</v>
      </c>
      <c r="E3656" s="484">
        <v>1.9226000000000001</v>
      </c>
      <c r="F3656" s="484">
        <v>1.8952</v>
      </c>
      <c r="G3656" s="83">
        <f t="shared" si="56"/>
        <v>2.5175174603174608</v>
      </c>
    </row>
    <row r="3657" spans="1:7" x14ac:dyDescent="0.2">
      <c r="A3657" s="75">
        <v>44034</v>
      </c>
      <c r="B3657" s="76" t="s">
        <v>35</v>
      </c>
      <c r="C3657" s="76" t="s">
        <v>536</v>
      </c>
      <c r="D3657" s="484">
        <v>7260.9391599999999</v>
      </c>
      <c r="E3657" s="484">
        <v>1.8969</v>
      </c>
      <c r="F3657" s="484">
        <v>1.8342000000000001</v>
      </c>
      <c r="G3657" s="83">
        <f t="shared" si="56"/>
        <v>2.5069333333333335</v>
      </c>
    </row>
    <row r="3658" spans="1:7" x14ac:dyDescent="0.2">
      <c r="A3658" s="75">
        <v>44035</v>
      </c>
      <c r="B3658" s="76" t="s">
        <v>35</v>
      </c>
      <c r="C3658" s="76" t="s">
        <v>536</v>
      </c>
      <c r="D3658" s="484">
        <v>7252.2826219999997</v>
      </c>
      <c r="E3658" s="484">
        <v>1.8359000000000001</v>
      </c>
      <c r="F3658" s="484">
        <v>1.8662000000000001</v>
      </c>
      <c r="G3658" s="83">
        <f t="shared" si="56"/>
        <v>2.4954857142857141</v>
      </c>
    </row>
    <row r="3659" spans="1:7" x14ac:dyDescent="0.2">
      <c r="A3659" s="75">
        <v>44036</v>
      </c>
      <c r="B3659" s="76" t="s">
        <v>35</v>
      </c>
      <c r="C3659" s="76" t="s">
        <v>536</v>
      </c>
      <c r="D3659" s="484">
        <v>7256.7682210000003</v>
      </c>
      <c r="E3659" s="484">
        <v>1.8678999999999999</v>
      </c>
      <c r="F3659" s="484">
        <v>1.8613</v>
      </c>
      <c r="G3659" s="83">
        <f t="shared" si="56"/>
        <v>2.4813507936507939</v>
      </c>
    </row>
    <row r="3660" spans="1:7" x14ac:dyDescent="0.2">
      <c r="A3660" s="75">
        <v>44039</v>
      </c>
      <c r="B3660" s="76" t="s">
        <v>35</v>
      </c>
      <c r="C3660" s="76" t="s">
        <v>536</v>
      </c>
      <c r="D3660" s="484">
        <v>7294.4783429999998</v>
      </c>
      <c r="E3660" s="484">
        <v>1.863</v>
      </c>
      <c r="F3660" s="484">
        <v>1.7535000000000001</v>
      </c>
      <c r="G3660" s="83">
        <f t="shared" si="56"/>
        <v>2.4554238095238099</v>
      </c>
    </row>
    <row r="3661" spans="1:7" x14ac:dyDescent="0.2">
      <c r="A3661" s="75">
        <v>44040</v>
      </c>
      <c r="B3661" s="76" t="s">
        <v>35</v>
      </c>
      <c r="C3661" s="76" t="s">
        <v>536</v>
      </c>
      <c r="D3661" s="484">
        <v>7286.488918</v>
      </c>
      <c r="E3661" s="484">
        <v>1.7551000000000001</v>
      </c>
      <c r="F3661" s="484">
        <v>1.7821</v>
      </c>
      <c r="G3661" s="83">
        <f t="shared" si="56"/>
        <v>2.4267206349206352</v>
      </c>
    </row>
    <row r="3662" spans="1:7" x14ac:dyDescent="0.2">
      <c r="A3662" s="75">
        <v>44041</v>
      </c>
      <c r="B3662" s="76" t="s">
        <v>35</v>
      </c>
      <c r="C3662" s="76" t="s">
        <v>536</v>
      </c>
      <c r="D3662" s="484">
        <v>7266.8152540000001</v>
      </c>
      <c r="E3662" s="484">
        <v>1.7838000000000001</v>
      </c>
      <c r="F3662" s="484">
        <v>1.8435999999999999</v>
      </c>
      <c r="G3662" s="83">
        <f t="shared" si="56"/>
        <v>2.4039777777777784</v>
      </c>
    </row>
    <row r="3663" spans="1:7" x14ac:dyDescent="0.2">
      <c r="A3663" s="75">
        <v>44042</v>
      </c>
      <c r="B3663" s="76" t="s">
        <v>35</v>
      </c>
      <c r="C3663" s="76" t="s">
        <v>536</v>
      </c>
      <c r="D3663" s="484">
        <v>7299.3946509999996</v>
      </c>
      <c r="E3663" s="484">
        <v>1.8451</v>
      </c>
      <c r="F3663" s="484">
        <v>1.7586999999999999</v>
      </c>
      <c r="G3663" s="83">
        <f t="shared" si="56"/>
        <v>2.3840301587301593</v>
      </c>
    </row>
    <row r="3664" spans="1:7" x14ac:dyDescent="0.2">
      <c r="A3664" s="75">
        <v>44043</v>
      </c>
      <c r="B3664" s="76" t="s">
        <v>35</v>
      </c>
      <c r="C3664" s="76" t="s">
        <v>536</v>
      </c>
      <c r="D3664" s="484">
        <v>7308.8198929999999</v>
      </c>
      <c r="E3664" s="484">
        <v>1.7602</v>
      </c>
      <c r="F3664" s="484">
        <v>1.7385999999999999</v>
      </c>
      <c r="G3664" s="83">
        <f t="shared" si="56"/>
        <v>2.3626492063492068</v>
      </c>
    </row>
    <row r="3665" spans="1:7" x14ac:dyDescent="0.2">
      <c r="A3665" s="75">
        <v>44046</v>
      </c>
      <c r="B3665" s="76" t="s">
        <v>35</v>
      </c>
      <c r="C3665" s="76" t="s">
        <v>536</v>
      </c>
      <c r="D3665" s="484">
        <v>7316.6717479999998</v>
      </c>
      <c r="E3665" s="484">
        <v>1.7401</v>
      </c>
      <c r="F3665" s="484">
        <v>1.7229000000000001</v>
      </c>
      <c r="G3665" s="83">
        <f t="shared" si="56"/>
        <v>2.3406587301587307</v>
      </c>
    </row>
    <row r="3666" spans="1:7" x14ac:dyDescent="0.2">
      <c r="A3666" s="75">
        <v>44047</v>
      </c>
      <c r="B3666" s="76" t="s">
        <v>35</v>
      </c>
      <c r="C3666" s="76" t="s">
        <v>536</v>
      </c>
      <c r="D3666" s="484">
        <v>7307.7492220000004</v>
      </c>
      <c r="E3666" s="484">
        <v>1.7242999999999999</v>
      </c>
      <c r="F3666" s="484">
        <v>1.7538</v>
      </c>
      <c r="G3666" s="83">
        <f t="shared" si="56"/>
        <v>2.3187634920634923</v>
      </c>
    </row>
    <row r="3667" spans="1:7" x14ac:dyDescent="0.2">
      <c r="A3667" s="75">
        <v>44048</v>
      </c>
      <c r="B3667" s="76" t="s">
        <v>35</v>
      </c>
      <c r="C3667" s="76" t="s">
        <v>536</v>
      </c>
      <c r="D3667" s="484">
        <v>7300.7845269999998</v>
      </c>
      <c r="E3667" s="484">
        <v>1.7553000000000001</v>
      </c>
      <c r="F3667" s="484">
        <v>1.7794000000000001</v>
      </c>
      <c r="G3667" s="83">
        <f t="shared" si="56"/>
        <v>2.2971206349206361</v>
      </c>
    </row>
    <row r="3668" spans="1:7" x14ac:dyDescent="0.2">
      <c r="A3668" s="75">
        <v>44049</v>
      </c>
      <c r="B3668" s="76" t="s">
        <v>35</v>
      </c>
      <c r="C3668" s="76" t="s">
        <v>536</v>
      </c>
      <c r="D3668" s="484">
        <v>7341.4487950000002</v>
      </c>
      <c r="E3668" s="484">
        <v>1.7808999999999999</v>
      </c>
      <c r="F3668" s="484">
        <v>1.6725000000000001</v>
      </c>
      <c r="G3668" s="83">
        <f t="shared" si="56"/>
        <v>2.2743920634920642</v>
      </c>
    </row>
    <row r="3669" spans="1:7" x14ac:dyDescent="0.2">
      <c r="A3669" s="75">
        <v>44050</v>
      </c>
      <c r="B3669" s="76" t="s">
        <v>35</v>
      </c>
      <c r="C3669" s="76" t="s">
        <v>536</v>
      </c>
      <c r="D3669" s="484">
        <v>7331.1064610000003</v>
      </c>
      <c r="E3669" s="484">
        <v>1.6740999999999999</v>
      </c>
      <c r="F3669" s="484">
        <v>1.7059</v>
      </c>
      <c r="G3669" s="83">
        <f t="shared" si="56"/>
        <v>2.2519111111111121</v>
      </c>
    </row>
    <row r="3670" spans="1:7" x14ac:dyDescent="0.2">
      <c r="A3670" s="75">
        <v>44053</v>
      </c>
      <c r="B3670" s="76" t="s">
        <v>35</v>
      </c>
      <c r="C3670" s="76" t="s">
        <v>536</v>
      </c>
      <c r="D3670" s="484">
        <v>7323.6023770000002</v>
      </c>
      <c r="E3670" s="484">
        <v>1.7075</v>
      </c>
      <c r="F3670" s="484">
        <v>1.7329000000000001</v>
      </c>
      <c r="G3670" s="83">
        <f t="shared" si="56"/>
        <v>2.2297190476190489</v>
      </c>
    </row>
    <row r="3671" spans="1:7" x14ac:dyDescent="0.2">
      <c r="A3671" s="75">
        <v>44054</v>
      </c>
      <c r="B3671" s="76" t="s">
        <v>35</v>
      </c>
      <c r="C3671" s="76" t="s">
        <v>536</v>
      </c>
      <c r="D3671" s="484">
        <v>7300.6187060000002</v>
      </c>
      <c r="E3671" s="484">
        <v>1.7345999999999999</v>
      </c>
      <c r="F3671" s="484">
        <v>1.8031999999999999</v>
      </c>
      <c r="G3671" s="83">
        <f t="shared" si="56"/>
        <v>2.2057063492063502</v>
      </c>
    </row>
    <row r="3672" spans="1:7" x14ac:dyDescent="0.2">
      <c r="A3672" s="75">
        <v>44055</v>
      </c>
      <c r="B3672" s="76" t="s">
        <v>35</v>
      </c>
      <c r="C3672" s="76" t="s">
        <v>536</v>
      </c>
      <c r="D3672" s="484">
        <v>7259.889091</v>
      </c>
      <c r="E3672" s="484">
        <v>1.8048999999999999</v>
      </c>
      <c r="F3672" s="484">
        <v>1.9236</v>
      </c>
      <c r="G3672" s="83">
        <f t="shared" si="56"/>
        <v>2.1813079365079378</v>
      </c>
    </row>
    <row r="3673" spans="1:7" x14ac:dyDescent="0.2">
      <c r="A3673" s="75">
        <v>44056</v>
      </c>
      <c r="B3673" s="76" t="s">
        <v>35</v>
      </c>
      <c r="C3673" s="76" t="s">
        <v>536</v>
      </c>
      <c r="D3673" s="484">
        <v>7244.1925259999998</v>
      </c>
      <c r="E3673" s="484">
        <v>1.9253</v>
      </c>
      <c r="F3673" s="484">
        <v>1.9742</v>
      </c>
      <c r="G3673" s="83">
        <f t="shared" si="56"/>
        <v>2.1601904761904769</v>
      </c>
    </row>
    <row r="3674" spans="1:7" x14ac:dyDescent="0.2">
      <c r="A3674" s="75">
        <v>44057</v>
      </c>
      <c r="B3674" s="76" t="s">
        <v>35</v>
      </c>
      <c r="C3674" s="76" t="s">
        <v>536</v>
      </c>
      <c r="D3674" s="484">
        <v>7236.380623</v>
      </c>
      <c r="E3674" s="484">
        <v>1.9759</v>
      </c>
      <c r="F3674" s="484">
        <v>2.0026999999999999</v>
      </c>
      <c r="G3674" s="83">
        <f t="shared" si="56"/>
        <v>2.1409015873015873</v>
      </c>
    </row>
    <row r="3675" spans="1:7" x14ac:dyDescent="0.2">
      <c r="A3675" s="75">
        <v>44060</v>
      </c>
      <c r="B3675" s="76" t="s">
        <v>35</v>
      </c>
      <c r="C3675" s="76" t="s">
        <v>536</v>
      </c>
      <c r="D3675" s="484">
        <v>7201.7826530000002</v>
      </c>
      <c r="E3675" s="484">
        <v>2.0045000000000002</v>
      </c>
      <c r="F3675" s="484">
        <v>2.1072000000000002</v>
      </c>
      <c r="G3675" s="83">
        <f t="shared" si="56"/>
        <v>2.1241158730158736</v>
      </c>
    </row>
    <row r="3676" spans="1:7" x14ac:dyDescent="0.2">
      <c r="A3676" s="75">
        <v>44061</v>
      </c>
      <c r="B3676" s="76" t="s">
        <v>35</v>
      </c>
      <c r="C3676" s="76" t="s">
        <v>536</v>
      </c>
      <c r="D3676" s="484">
        <v>7247.9845649999997</v>
      </c>
      <c r="E3676" s="484">
        <v>2.109</v>
      </c>
      <c r="F3676" s="484">
        <v>1.9813000000000001</v>
      </c>
      <c r="G3676" s="83">
        <f t="shared" si="56"/>
        <v>2.1100809523809527</v>
      </c>
    </row>
    <row r="3677" spans="1:7" x14ac:dyDescent="0.2">
      <c r="A3677" s="75">
        <v>44062</v>
      </c>
      <c r="B3677" s="76" t="s">
        <v>35</v>
      </c>
      <c r="C3677" s="76" t="s">
        <v>536</v>
      </c>
      <c r="D3677" s="484">
        <v>7214.7060540000002</v>
      </c>
      <c r="E3677" s="484">
        <v>1.9830000000000001</v>
      </c>
      <c r="F3677" s="484">
        <v>2.0798000000000001</v>
      </c>
      <c r="G3677" s="83">
        <f t="shared" si="56"/>
        <v>2.0952333333333342</v>
      </c>
    </row>
    <row r="3678" spans="1:7" x14ac:dyDescent="0.2">
      <c r="A3678" s="75">
        <v>44063</v>
      </c>
      <c r="B3678" s="76" t="s">
        <v>35</v>
      </c>
      <c r="C3678" s="76" t="s">
        <v>536</v>
      </c>
      <c r="D3678" s="484">
        <v>7225.3419169999997</v>
      </c>
      <c r="E3678" s="484">
        <v>2.0815999999999999</v>
      </c>
      <c r="F3678" s="484">
        <v>2.0543999999999998</v>
      </c>
      <c r="G3678" s="83">
        <f t="shared" si="56"/>
        <v>2.084114285714286</v>
      </c>
    </row>
    <row r="3679" spans="1:7" x14ac:dyDescent="0.2">
      <c r="A3679" s="75">
        <v>44064</v>
      </c>
      <c r="B3679" s="76" t="s">
        <v>35</v>
      </c>
      <c r="C3679" s="76" t="s">
        <v>536</v>
      </c>
      <c r="D3679" s="484">
        <v>7230.0744210000003</v>
      </c>
      <c r="E3679" s="484">
        <v>2.0562</v>
      </c>
      <c r="F3679" s="484">
        <v>2.0457000000000001</v>
      </c>
      <c r="G3679" s="83">
        <f t="shared" si="56"/>
        <v>2.0732793650793653</v>
      </c>
    </row>
    <row r="3680" spans="1:7" x14ac:dyDescent="0.2">
      <c r="A3680" s="75">
        <v>44067</v>
      </c>
      <c r="B3680" s="76" t="s">
        <v>35</v>
      </c>
      <c r="C3680" s="76" t="s">
        <v>536</v>
      </c>
      <c r="D3680" s="484">
        <v>7238.7766369999999</v>
      </c>
      <c r="E3680" s="484">
        <v>2.0474000000000001</v>
      </c>
      <c r="F3680" s="484">
        <v>2.0257000000000001</v>
      </c>
      <c r="G3680" s="83">
        <f t="shared" si="56"/>
        <v>2.0670047619047622</v>
      </c>
    </row>
    <row r="3681" spans="1:7" x14ac:dyDescent="0.2">
      <c r="A3681" s="75">
        <v>44068</v>
      </c>
      <c r="B3681" s="76" t="s">
        <v>35</v>
      </c>
      <c r="C3681" s="76" t="s">
        <v>536</v>
      </c>
      <c r="D3681" s="484">
        <v>7238.7238740000003</v>
      </c>
      <c r="E3681" s="484">
        <v>2.0274000000000001</v>
      </c>
      <c r="F3681" s="484">
        <v>2.0304000000000002</v>
      </c>
      <c r="G3681" s="83">
        <f t="shared" si="56"/>
        <v>2.0596984126984128</v>
      </c>
    </row>
    <row r="3682" spans="1:7" x14ac:dyDescent="0.2">
      <c r="A3682" s="75">
        <v>44069</v>
      </c>
      <c r="B3682" s="76" t="s">
        <v>35</v>
      </c>
      <c r="C3682" s="76" t="s">
        <v>536</v>
      </c>
      <c r="D3682" s="484">
        <v>7206.1979520000004</v>
      </c>
      <c r="E3682" s="484">
        <v>2.0320999999999998</v>
      </c>
      <c r="F3682" s="484">
        <v>2.1334</v>
      </c>
      <c r="G3682" s="83">
        <f t="shared" si="56"/>
        <v>2.0534746031746032</v>
      </c>
    </row>
    <row r="3683" spans="1:7" x14ac:dyDescent="0.2">
      <c r="A3683" s="75">
        <v>44070</v>
      </c>
      <c r="B3683" s="76" t="s">
        <v>35</v>
      </c>
      <c r="C3683" s="76" t="s">
        <v>536</v>
      </c>
      <c r="D3683" s="484">
        <v>7205.2668329999997</v>
      </c>
      <c r="E3683" s="484">
        <v>2.1351</v>
      </c>
      <c r="F3683" s="484">
        <v>2.1415999999999999</v>
      </c>
      <c r="G3683" s="83">
        <f t="shared" si="56"/>
        <v>2.0493063492063492</v>
      </c>
    </row>
    <row r="3684" spans="1:7" x14ac:dyDescent="0.2">
      <c r="A3684" s="75">
        <v>44071</v>
      </c>
      <c r="B3684" s="76" t="s">
        <v>35</v>
      </c>
      <c r="C3684" s="76" t="s">
        <v>536</v>
      </c>
      <c r="D3684" s="484">
        <v>7234.7884000000004</v>
      </c>
      <c r="E3684" s="484">
        <v>2.1432000000000002</v>
      </c>
      <c r="F3684" s="484">
        <v>2.0634999999999999</v>
      </c>
      <c r="G3684" s="83">
        <f t="shared" si="56"/>
        <v>2.0454428571428571</v>
      </c>
    </row>
    <row r="3685" spans="1:7" x14ac:dyDescent="0.2">
      <c r="A3685" s="75">
        <v>44074</v>
      </c>
      <c r="B3685" s="76" t="s">
        <v>35</v>
      </c>
      <c r="C3685" s="76" t="s">
        <v>536</v>
      </c>
      <c r="D3685" s="484">
        <v>7226.2600359999997</v>
      </c>
      <c r="E3685" s="484">
        <v>2.0651999999999999</v>
      </c>
      <c r="F3685" s="484">
        <v>2.0931000000000002</v>
      </c>
      <c r="G3685" s="83">
        <f t="shared" si="56"/>
        <v>2.039853968253968</v>
      </c>
    </row>
    <row r="3686" spans="1:7" x14ac:dyDescent="0.2">
      <c r="A3686" s="75">
        <v>44075</v>
      </c>
      <c r="B3686" s="76" t="s">
        <v>35</v>
      </c>
      <c r="C3686" s="76" t="s">
        <v>536</v>
      </c>
      <c r="D3686" s="484">
        <v>7237.7010760000003</v>
      </c>
      <c r="E3686" s="484">
        <v>2.0948000000000002</v>
      </c>
      <c r="F3686" s="484">
        <v>2.0663</v>
      </c>
      <c r="G3686" s="83">
        <f t="shared" si="56"/>
        <v>2.0360492063492064</v>
      </c>
    </row>
    <row r="3687" spans="1:7" x14ac:dyDescent="0.2">
      <c r="A3687" s="75">
        <v>44076</v>
      </c>
      <c r="B3687" s="76" t="s">
        <v>35</v>
      </c>
      <c r="C3687" s="76" t="s">
        <v>536</v>
      </c>
      <c r="D3687" s="484">
        <v>7239.9695760000004</v>
      </c>
      <c r="E3687" s="484">
        <v>2.0678999999999998</v>
      </c>
      <c r="F3687" s="484">
        <v>2.0653000000000001</v>
      </c>
      <c r="G3687" s="83">
        <f t="shared" si="56"/>
        <v>2.0325761904761905</v>
      </c>
    </row>
    <row r="3688" spans="1:7" x14ac:dyDescent="0.2">
      <c r="A3688" s="75">
        <v>44077</v>
      </c>
      <c r="B3688" s="76" t="s">
        <v>35</v>
      </c>
      <c r="C3688" s="76" t="s">
        <v>536</v>
      </c>
      <c r="D3688" s="484">
        <v>7261.198899</v>
      </c>
      <c r="E3688" s="484">
        <v>2.0670000000000002</v>
      </c>
      <c r="F3688" s="484">
        <v>2.0110000000000001</v>
      </c>
      <c r="G3688" s="83">
        <f t="shared" si="56"/>
        <v>2.0289285714285712</v>
      </c>
    </row>
    <row r="3689" spans="1:7" x14ac:dyDescent="0.2">
      <c r="A3689" s="75">
        <v>44078</v>
      </c>
      <c r="B3689" s="76" t="s">
        <v>35</v>
      </c>
      <c r="C3689" s="76" t="s">
        <v>536</v>
      </c>
      <c r="D3689" s="484">
        <v>7281.236868</v>
      </c>
      <c r="E3689" s="484">
        <v>2.0127000000000002</v>
      </c>
      <c r="F3689" s="484">
        <v>1.9601999999999999</v>
      </c>
      <c r="G3689" s="83">
        <f t="shared" si="56"/>
        <v>2.0245111111111109</v>
      </c>
    </row>
    <row r="3690" spans="1:7" x14ac:dyDescent="0.2">
      <c r="A3690" s="75">
        <v>44082</v>
      </c>
      <c r="B3690" s="76" t="s">
        <v>35</v>
      </c>
      <c r="C3690" s="76" t="s">
        <v>536</v>
      </c>
      <c r="D3690" s="484">
        <v>7264.9598569999998</v>
      </c>
      <c r="E3690" s="484">
        <v>1.9619</v>
      </c>
      <c r="F3690" s="484">
        <v>2.0112999999999999</v>
      </c>
      <c r="G3690" s="83">
        <f t="shared" si="56"/>
        <v>2.0186523809523811</v>
      </c>
    </row>
    <row r="3691" spans="1:7" x14ac:dyDescent="0.2">
      <c r="A3691" s="75">
        <v>44083</v>
      </c>
      <c r="B3691" s="76" t="s">
        <v>35</v>
      </c>
      <c r="C3691" s="76" t="s">
        <v>536</v>
      </c>
      <c r="D3691" s="484">
        <v>7274.5572679999996</v>
      </c>
      <c r="E3691" s="484">
        <v>2.0129999999999999</v>
      </c>
      <c r="F3691" s="484">
        <v>1.9946999999999999</v>
      </c>
      <c r="G3691" s="83">
        <f t="shared" si="56"/>
        <v>2.0129984126984128</v>
      </c>
    </row>
    <row r="3692" spans="1:7" x14ac:dyDescent="0.2">
      <c r="A3692" s="75">
        <v>44084</v>
      </c>
      <c r="B3692" s="76" t="s">
        <v>35</v>
      </c>
      <c r="C3692" s="76" t="s">
        <v>536</v>
      </c>
      <c r="D3692" s="484">
        <v>7239.3314190000001</v>
      </c>
      <c r="E3692" s="484">
        <v>1.9964999999999999</v>
      </c>
      <c r="F3692" s="484">
        <v>2.0996999999999999</v>
      </c>
      <c r="G3692" s="83">
        <f t="shared" si="56"/>
        <v>2.0073841269841268</v>
      </c>
    </row>
    <row r="3693" spans="1:7" x14ac:dyDescent="0.2">
      <c r="A3693" s="75">
        <v>44085</v>
      </c>
      <c r="B3693" s="76" t="s">
        <v>35</v>
      </c>
      <c r="C3693" s="76" t="s">
        <v>536</v>
      </c>
      <c r="D3693" s="484">
        <v>7248.2774010000003</v>
      </c>
      <c r="E3693" s="484">
        <v>2.1015000000000001</v>
      </c>
      <c r="F3693" s="484">
        <v>2.0804</v>
      </c>
      <c r="G3693" s="83">
        <f t="shared" si="56"/>
        <v>2.003911111111111</v>
      </c>
    </row>
    <row r="3694" spans="1:7" x14ac:dyDescent="0.2">
      <c r="A3694" s="75">
        <v>44088</v>
      </c>
      <c r="B3694" s="76" t="s">
        <v>35</v>
      </c>
      <c r="C3694" s="76" t="s">
        <v>536</v>
      </c>
      <c r="D3694" s="484">
        <v>7262.1348829999997</v>
      </c>
      <c r="E3694" s="484">
        <v>2.0823</v>
      </c>
      <c r="F3694" s="484">
        <v>2.0474000000000001</v>
      </c>
      <c r="G3694" s="83">
        <f t="shared" si="56"/>
        <v>2.0004761904761903</v>
      </c>
    </row>
    <row r="3695" spans="1:7" x14ac:dyDescent="0.2">
      <c r="A3695" s="75">
        <v>44089</v>
      </c>
      <c r="B3695" s="76" t="s">
        <v>35</v>
      </c>
      <c r="C3695" s="76" t="s">
        <v>536</v>
      </c>
      <c r="D3695" s="484">
        <v>7252.0796270000001</v>
      </c>
      <c r="E3695" s="484">
        <v>2.0493000000000001</v>
      </c>
      <c r="F3695" s="484">
        <v>2.0817000000000001</v>
      </c>
      <c r="G3695" s="83">
        <f t="shared" si="56"/>
        <v>1.996187301587302</v>
      </c>
    </row>
    <row r="3696" spans="1:7" x14ac:dyDescent="0.2">
      <c r="A3696" s="75">
        <v>44090</v>
      </c>
      <c r="B3696" s="76" t="s">
        <v>35</v>
      </c>
      <c r="C3696" s="76" t="s">
        <v>536</v>
      </c>
      <c r="D3696" s="484">
        <v>7230.9647269999996</v>
      </c>
      <c r="E3696" s="484">
        <v>2.0836000000000001</v>
      </c>
      <c r="F3696" s="484">
        <v>2.1473</v>
      </c>
      <c r="G3696" s="83">
        <f t="shared" si="56"/>
        <v>1.9936777777777781</v>
      </c>
    </row>
    <row r="3697" spans="1:7" x14ac:dyDescent="0.2">
      <c r="A3697" s="75">
        <v>44091</v>
      </c>
      <c r="B3697" s="76" t="s">
        <v>35</v>
      </c>
      <c r="C3697" s="76" t="s">
        <v>536</v>
      </c>
      <c r="D3697" s="484">
        <v>7247.6290120000003</v>
      </c>
      <c r="E3697" s="484">
        <v>2.149</v>
      </c>
      <c r="F3697" s="484">
        <v>2.1061000000000001</v>
      </c>
      <c r="G3697" s="83">
        <f t="shared" si="56"/>
        <v>1.9912968253968257</v>
      </c>
    </row>
    <row r="3698" spans="1:7" x14ac:dyDescent="0.2">
      <c r="A3698" s="75">
        <v>44092</v>
      </c>
      <c r="B3698" s="76" t="s">
        <v>35</v>
      </c>
      <c r="C3698" s="76" t="s">
        <v>536</v>
      </c>
      <c r="D3698" s="484">
        <v>7170.1950779999997</v>
      </c>
      <c r="E3698" s="484">
        <v>2.1078999999999999</v>
      </c>
      <c r="F3698" s="484">
        <v>2.3317999999999999</v>
      </c>
      <c r="G3698" s="83">
        <f t="shared" si="56"/>
        <v>1.9882873015873017</v>
      </c>
    </row>
    <row r="3699" spans="1:7" x14ac:dyDescent="0.2">
      <c r="A3699" s="75">
        <v>44095</v>
      </c>
      <c r="B3699" s="76" t="s">
        <v>35</v>
      </c>
      <c r="C3699" s="76" t="s">
        <v>536</v>
      </c>
      <c r="D3699" s="484">
        <v>7139.300209</v>
      </c>
      <c r="E3699" s="484">
        <v>2.3336000000000001</v>
      </c>
      <c r="F3699" s="484">
        <v>2.4264000000000001</v>
      </c>
      <c r="G3699" s="83">
        <f t="shared" si="56"/>
        <v>1.9879476190476193</v>
      </c>
    </row>
    <row r="3700" spans="1:7" x14ac:dyDescent="0.2">
      <c r="A3700" s="75">
        <v>44096</v>
      </c>
      <c r="B3700" s="76" t="s">
        <v>35</v>
      </c>
      <c r="C3700" s="76" t="s">
        <v>536</v>
      </c>
      <c r="D3700" s="484">
        <v>7170.718312</v>
      </c>
      <c r="E3700" s="484">
        <v>2.4281000000000001</v>
      </c>
      <c r="F3700" s="484">
        <v>2.3424999999999998</v>
      </c>
      <c r="G3700" s="83">
        <f t="shared" si="56"/>
        <v>1.9892730158730163</v>
      </c>
    </row>
    <row r="3701" spans="1:7" x14ac:dyDescent="0.2">
      <c r="A3701" s="75">
        <v>44097</v>
      </c>
      <c r="B3701" s="76" t="s">
        <v>35</v>
      </c>
      <c r="C3701" s="76" t="s">
        <v>536</v>
      </c>
      <c r="D3701" s="484">
        <v>7147.841966</v>
      </c>
      <c r="E3701" s="484">
        <v>2.3441999999999998</v>
      </c>
      <c r="F3701" s="484">
        <v>2.4140000000000001</v>
      </c>
      <c r="G3701" s="83">
        <f t="shared" si="56"/>
        <v>1.9884158730158734</v>
      </c>
    </row>
    <row r="3702" spans="1:7" x14ac:dyDescent="0.2">
      <c r="A3702" s="75">
        <v>44098</v>
      </c>
      <c r="B3702" s="76" t="s">
        <v>35</v>
      </c>
      <c r="C3702" s="76" t="s">
        <v>536</v>
      </c>
      <c r="D3702" s="484">
        <v>7193.131179</v>
      </c>
      <c r="E3702" s="484">
        <v>2.4157000000000002</v>
      </c>
      <c r="F3702" s="484">
        <v>2.3069999999999999</v>
      </c>
      <c r="G3702" s="83">
        <f t="shared" si="56"/>
        <v>1.9913079365079367</v>
      </c>
    </row>
    <row r="3703" spans="1:7" x14ac:dyDescent="0.2">
      <c r="A3703" s="75">
        <v>44099</v>
      </c>
      <c r="B3703" s="76" t="s">
        <v>35</v>
      </c>
      <c r="C3703" s="76" t="s">
        <v>536</v>
      </c>
      <c r="D3703" s="484">
        <v>7192.4011769999997</v>
      </c>
      <c r="E3703" s="484">
        <v>2.3087</v>
      </c>
      <c r="F3703" s="484">
        <v>2.3174000000000001</v>
      </c>
      <c r="G3703" s="83">
        <f t="shared" si="56"/>
        <v>1.992276190476191</v>
      </c>
    </row>
    <row r="3704" spans="1:7" x14ac:dyDescent="0.2">
      <c r="A3704" s="75">
        <v>44102</v>
      </c>
      <c r="B3704" s="76" t="s">
        <v>35</v>
      </c>
      <c r="C3704" s="76" t="s">
        <v>536</v>
      </c>
      <c r="D3704" s="484">
        <v>7107.4398780000001</v>
      </c>
      <c r="E3704" s="484">
        <v>2.3191000000000002</v>
      </c>
      <c r="F3704" s="484">
        <v>2.5693999999999999</v>
      </c>
      <c r="G3704" s="83">
        <f t="shared" si="56"/>
        <v>1.9948761904761909</v>
      </c>
    </row>
    <row r="3705" spans="1:7" x14ac:dyDescent="0.2">
      <c r="A3705" s="75">
        <v>44103</v>
      </c>
      <c r="B3705" s="76" t="s">
        <v>35</v>
      </c>
      <c r="C3705" s="76" t="s">
        <v>536</v>
      </c>
      <c r="D3705" s="484">
        <v>7112.7896090000004</v>
      </c>
      <c r="E3705" s="484">
        <v>2.5712000000000002</v>
      </c>
      <c r="F3705" s="484">
        <v>2.5626000000000002</v>
      </c>
      <c r="G3705" s="83">
        <f t="shared" si="56"/>
        <v>2.0017126984126987</v>
      </c>
    </row>
    <row r="3706" spans="1:7" x14ac:dyDescent="0.2">
      <c r="A3706" s="75">
        <v>44104</v>
      </c>
      <c r="B3706" s="76" t="s">
        <v>35</v>
      </c>
      <c r="C3706" s="76" t="s">
        <v>536</v>
      </c>
      <c r="D3706" s="484">
        <v>7145.007079</v>
      </c>
      <c r="E3706" s="484">
        <v>2.5642999999999998</v>
      </c>
      <c r="F3706" s="484">
        <v>2.4784000000000002</v>
      </c>
      <c r="G3706" s="83">
        <f t="shared" si="56"/>
        <v>2.010071428571429</v>
      </c>
    </row>
    <row r="3707" spans="1:7" x14ac:dyDescent="0.2">
      <c r="A3707" s="75">
        <v>44105</v>
      </c>
      <c r="B3707" s="76" t="s">
        <v>35</v>
      </c>
      <c r="C3707" s="76" t="s">
        <v>536</v>
      </c>
      <c r="D3707" s="484">
        <v>7154.338092</v>
      </c>
      <c r="E3707" s="484">
        <v>2.48</v>
      </c>
      <c r="F3707" s="484">
        <v>2.46</v>
      </c>
      <c r="G3707" s="83">
        <f t="shared" si="56"/>
        <v>2.0172063492063499</v>
      </c>
    </row>
    <row r="3708" spans="1:7" x14ac:dyDescent="0.2">
      <c r="A3708" s="75">
        <v>44106</v>
      </c>
      <c r="B3708" s="76" t="s">
        <v>35</v>
      </c>
      <c r="C3708" s="76" t="s">
        <v>536</v>
      </c>
      <c r="D3708" s="484">
        <v>7114.7229269999998</v>
      </c>
      <c r="E3708" s="484">
        <v>2.4615999999999998</v>
      </c>
      <c r="F3708" s="484">
        <v>2.5823</v>
      </c>
      <c r="G3708" s="83">
        <f t="shared" si="56"/>
        <v>2.0251571428571435</v>
      </c>
    </row>
    <row r="3709" spans="1:7" x14ac:dyDescent="0.2">
      <c r="A3709" s="75">
        <v>44109</v>
      </c>
      <c r="B3709" s="76" t="s">
        <v>35</v>
      </c>
      <c r="C3709" s="76" t="s">
        <v>536</v>
      </c>
      <c r="D3709" s="484">
        <v>7143.4662559999997</v>
      </c>
      <c r="E3709" s="484">
        <v>2.5838999999999999</v>
      </c>
      <c r="F3709" s="484">
        <v>2.508</v>
      </c>
      <c r="G3709" s="83">
        <f t="shared" si="56"/>
        <v>2.0346746031746044</v>
      </c>
    </row>
    <row r="3710" spans="1:7" x14ac:dyDescent="0.2">
      <c r="A3710" s="75">
        <v>44110</v>
      </c>
      <c r="B3710" s="76" t="s">
        <v>35</v>
      </c>
      <c r="C3710" s="76" t="s">
        <v>536</v>
      </c>
      <c r="D3710" s="484">
        <v>7136.888242</v>
      </c>
      <c r="E3710" s="484">
        <v>2.5095999999999998</v>
      </c>
      <c r="F3710" s="484">
        <v>2.5352999999999999</v>
      </c>
      <c r="G3710" s="83">
        <f t="shared" si="56"/>
        <v>2.0418238095238102</v>
      </c>
    </row>
    <row r="3711" spans="1:7" x14ac:dyDescent="0.2">
      <c r="A3711" s="75">
        <v>44111</v>
      </c>
      <c r="B3711" s="76" t="s">
        <v>35</v>
      </c>
      <c r="C3711" s="76" t="s">
        <v>536</v>
      </c>
      <c r="D3711" s="484">
        <v>7123.9040180000002</v>
      </c>
      <c r="E3711" s="484">
        <v>2.5369000000000002</v>
      </c>
      <c r="F3711" s="484">
        <v>2.5811000000000002</v>
      </c>
      <c r="G3711" s="83">
        <f t="shared" si="56"/>
        <v>2.0490571428571438</v>
      </c>
    </row>
    <row r="3712" spans="1:7" x14ac:dyDescent="0.2">
      <c r="A3712" s="75">
        <v>44112</v>
      </c>
      <c r="B3712" s="76" t="s">
        <v>35</v>
      </c>
      <c r="C3712" s="76" t="s">
        <v>536</v>
      </c>
      <c r="D3712" s="484">
        <v>7140.6694619999998</v>
      </c>
      <c r="E3712" s="484">
        <v>2.5828000000000002</v>
      </c>
      <c r="F3712" s="484">
        <v>2.5413999999999999</v>
      </c>
      <c r="G3712" s="83">
        <f t="shared" si="56"/>
        <v>2.0584269841269851</v>
      </c>
    </row>
    <row r="3713" spans="1:7" x14ac:dyDescent="0.2">
      <c r="A3713" s="75">
        <v>44113</v>
      </c>
      <c r="B3713" s="76" t="s">
        <v>35</v>
      </c>
      <c r="C3713" s="76" t="s">
        <v>536</v>
      </c>
      <c r="D3713" s="484">
        <v>7166.4884050000001</v>
      </c>
      <c r="E3713" s="484">
        <v>2.5430000000000001</v>
      </c>
      <c r="F3713" s="484">
        <v>2.5019999999999998</v>
      </c>
      <c r="G3713" s="83">
        <f t="shared" si="56"/>
        <v>2.0690396825396835</v>
      </c>
    </row>
    <row r="3714" spans="1:7" x14ac:dyDescent="0.2">
      <c r="A3714" s="75">
        <v>44117</v>
      </c>
      <c r="B3714" s="76" t="s">
        <v>35</v>
      </c>
      <c r="C3714" s="76" t="s">
        <v>536</v>
      </c>
      <c r="D3714" s="484">
        <v>7160.535277</v>
      </c>
      <c r="E3714" s="484">
        <v>2.5036</v>
      </c>
      <c r="F3714" s="484">
        <v>2.5289000000000001</v>
      </c>
      <c r="G3714" s="83">
        <f t="shared" si="56"/>
        <v>2.0787777777777792</v>
      </c>
    </row>
    <row r="3715" spans="1:7" x14ac:dyDescent="0.2">
      <c r="A3715" s="75">
        <v>44118</v>
      </c>
      <c r="B3715" s="76" t="s">
        <v>35</v>
      </c>
      <c r="C3715" s="76" t="s">
        <v>536</v>
      </c>
      <c r="D3715" s="484">
        <v>7168.9040590000004</v>
      </c>
      <c r="E3715" s="484">
        <v>2.5305</v>
      </c>
      <c r="F3715" s="484">
        <v>2.5148000000000001</v>
      </c>
      <c r="G3715" s="83">
        <f t="shared" ref="G3715:G3778" si="57">+AVERAGE(E3653:E3715)</f>
        <v>2.0889095238095248</v>
      </c>
    </row>
    <row r="3716" spans="1:7" x14ac:dyDescent="0.2">
      <c r="A3716" s="75">
        <v>44119</v>
      </c>
      <c r="B3716" s="76" t="s">
        <v>35</v>
      </c>
      <c r="C3716" s="76" t="s">
        <v>536</v>
      </c>
      <c r="D3716" s="484">
        <v>7138.0873449999999</v>
      </c>
      <c r="E3716" s="484">
        <v>2.5163000000000002</v>
      </c>
      <c r="F3716" s="484">
        <v>2.613</v>
      </c>
      <c r="G3716" s="83">
        <f t="shared" si="57"/>
        <v>2.0985142857142867</v>
      </c>
    </row>
    <row r="3717" spans="1:7" x14ac:dyDescent="0.2">
      <c r="A3717" s="75">
        <v>44120</v>
      </c>
      <c r="B3717" s="76" t="s">
        <v>35</v>
      </c>
      <c r="C3717" s="76" t="s">
        <v>536</v>
      </c>
      <c r="D3717" s="484">
        <v>7137.7549710000003</v>
      </c>
      <c r="E3717" s="484">
        <v>2.6145</v>
      </c>
      <c r="F3717" s="484">
        <v>2.6238000000000001</v>
      </c>
      <c r="G3717" s="83">
        <f t="shared" si="57"/>
        <v>2.1091857142857156</v>
      </c>
    </row>
    <row r="3718" spans="1:7" x14ac:dyDescent="0.2">
      <c r="A3718" s="75">
        <v>44123</v>
      </c>
      <c r="B3718" s="76" t="s">
        <v>35</v>
      </c>
      <c r="C3718" s="76" t="s">
        <v>536</v>
      </c>
      <c r="D3718" s="484">
        <v>7156.4958619999998</v>
      </c>
      <c r="E3718" s="484">
        <v>2.6253000000000002</v>
      </c>
      <c r="F3718" s="484">
        <v>2.5798000000000001</v>
      </c>
      <c r="G3718" s="83">
        <f t="shared" si="57"/>
        <v>2.1206095238095251</v>
      </c>
    </row>
    <row r="3719" spans="1:7" x14ac:dyDescent="0.2">
      <c r="A3719" s="75">
        <v>44124</v>
      </c>
      <c r="B3719" s="76" t="s">
        <v>35</v>
      </c>
      <c r="C3719" s="76" t="s">
        <v>536</v>
      </c>
      <c r="D3719" s="484">
        <v>7179.6523399999996</v>
      </c>
      <c r="E3719" s="484">
        <v>2.5813000000000001</v>
      </c>
      <c r="F3719" s="484">
        <v>2.5232999999999999</v>
      </c>
      <c r="G3719" s="83">
        <f t="shared" si="57"/>
        <v>2.1310650793650807</v>
      </c>
    </row>
    <row r="3720" spans="1:7" x14ac:dyDescent="0.2">
      <c r="A3720" s="75">
        <v>44125</v>
      </c>
      <c r="B3720" s="76" t="s">
        <v>35</v>
      </c>
      <c r="C3720" s="76" t="s">
        <v>536</v>
      </c>
      <c r="D3720" s="484">
        <v>7188.7076999999999</v>
      </c>
      <c r="E3720" s="484">
        <v>2.5247999999999999</v>
      </c>
      <c r="F3720" s="484">
        <v>2.5072000000000001</v>
      </c>
      <c r="G3720" s="83">
        <f t="shared" si="57"/>
        <v>2.1410317460317474</v>
      </c>
    </row>
    <row r="3721" spans="1:7" x14ac:dyDescent="0.2">
      <c r="A3721" s="75">
        <v>44126</v>
      </c>
      <c r="B3721" s="76" t="s">
        <v>35</v>
      </c>
      <c r="C3721" s="76" t="s">
        <v>536</v>
      </c>
      <c r="D3721" s="484">
        <v>7179.1340870000004</v>
      </c>
      <c r="E3721" s="484">
        <v>2.5087000000000002</v>
      </c>
      <c r="F3721" s="484">
        <v>2.5442999999999998</v>
      </c>
      <c r="G3721" s="83">
        <f t="shared" si="57"/>
        <v>2.1517111111111125</v>
      </c>
    </row>
    <row r="3722" spans="1:7" x14ac:dyDescent="0.2">
      <c r="A3722" s="75">
        <v>44127</v>
      </c>
      <c r="B3722" s="76" t="s">
        <v>35</v>
      </c>
      <c r="C3722" s="76" t="s">
        <v>536</v>
      </c>
      <c r="D3722" s="484">
        <v>7152.3285880000003</v>
      </c>
      <c r="E3722" s="484">
        <v>2.5459000000000001</v>
      </c>
      <c r="F3722" s="484">
        <v>2.6309999999999998</v>
      </c>
      <c r="G3722" s="83">
        <f t="shared" si="57"/>
        <v>2.162473015873017</v>
      </c>
    </row>
    <row r="3723" spans="1:7" x14ac:dyDescent="0.2">
      <c r="A3723" s="75">
        <v>44130</v>
      </c>
      <c r="B3723" s="76" t="s">
        <v>35</v>
      </c>
      <c r="C3723" s="76" t="s">
        <v>536</v>
      </c>
      <c r="D3723" s="484">
        <v>7141.2060620000002</v>
      </c>
      <c r="E3723" s="484">
        <v>2.6324999999999998</v>
      </c>
      <c r="F3723" s="484">
        <v>2.6844000000000001</v>
      </c>
      <c r="G3723" s="83">
        <f t="shared" si="57"/>
        <v>2.1746873015873027</v>
      </c>
    </row>
    <row r="3724" spans="1:7" x14ac:dyDescent="0.2">
      <c r="A3724" s="75">
        <v>44131</v>
      </c>
      <c r="B3724" s="76" t="s">
        <v>35</v>
      </c>
      <c r="C3724" s="76" t="s">
        <v>536</v>
      </c>
      <c r="D3724" s="484">
        <v>7119.8294759999999</v>
      </c>
      <c r="E3724" s="484">
        <v>2.6859000000000002</v>
      </c>
      <c r="F3724" s="484">
        <v>2.7576000000000001</v>
      </c>
      <c r="G3724" s="83">
        <f t="shared" si="57"/>
        <v>2.1894619047619055</v>
      </c>
    </row>
    <row r="3725" spans="1:7" x14ac:dyDescent="0.2">
      <c r="A3725" s="75">
        <v>44132</v>
      </c>
      <c r="B3725" s="76" t="s">
        <v>35</v>
      </c>
      <c r="C3725" s="76" t="s">
        <v>536</v>
      </c>
      <c r="D3725" s="484">
        <v>7124.3735489999999</v>
      </c>
      <c r="E3725" s="484">
        <v>2.7591000000000001</v>
      </c>
      <c r="F3725" s="484">
        <v>2.7561</v>
      </c>
      <c r="G3725" s="83">
        <f t="shared" si="57"/>
        <v>2.204942857142858</v>
      </c>
    </row>
    <row r="3726" spans="1:7" x14ac:dyDescent="0.2">
      <c r="A3726" s="75">
        <v>44133</v>
      </c>
      <c r="B3726" s="76" t="s">
        <v>35</v>
      </c>
      <c r="C3726" s="76" t="s">
        <v>536</v>
      </c>
      <c r="D3726" s="484">
        <v>7134.9542709999996</v>
      </c>
      <c r="E3726" s="484">
        <v>2.7574999999999998</v>
      </c>
      <c r="F3726" s="484">
        <v>2.7370999999999999</v>
      </c>
      <c r="G3726" s="83">
        <f t="shared" si="57"/>
        <v>2.2194253968253972</v>
      </c>
    </row>
    <row r="3727" spans="1:7" x14ac:dyDescent="0.2">
      <c r="A3727" s="75">
        <v>44134</v>
      </c>
      <c r="B3727" s="76" t="s">
        <v>35</v>
      </c>
      <c r="C3727" s="76" t="s">
        <v>536</v>
      </c>
      <c r="D3727" s="484">
        <v>7118.67274</v>
      </c>
      <c r="E3727" s="484">
        <v>2.7385999999999999</v>
      </c>
      <c r="F3727" s="484">
        <v>2.7957000000000001</v>
      </c>
      <c r="G3727" s="83">
        <f t="shared" si="57"/>
        <v>2.234955555555556</v>
      </c>
    </row>
    <row r="3728" spans="1:7" x14ac:dyDescent="0.2">
      <c r="A3728" s="75">
        <v>44138</v>
      </c>
      <c r="B3728" s="76" t="s">
        <v>35</v>
      </c>
      <c r="C3728" s="76" t="s">
        <v>536</v>
      </c>
      <c r="D3728" s="484">
        <v>7118.7963669999999</v>
      </c>
      <c r="E3728" s="484">
        <v>2.7970999999999999</v>
      </c>
      <c r="F3728" s="484">
        <v>2.8069000000000002</v>
      </c>
      <c r="G3728" s="83">
        <f t="shared" si="57"/>
        <v>2.251733333333334</v>
      </c>
    </row>
    <row r="3729" spans="1:7" x14ac:dyDescent="0.2">
      <c r="A3729" s="75">
        <v>44139</v>
      </c>
      <c r="B3729" s="76" t="s">
        <v>35</v>
      </c>
      <c r="C3729" s="76" t="s">
        <v>536</v>
      </c>
      <c r="D3729" s="484">
        <v>7148.6078539999999</v>
      </c>
      <c r="E3729" s="484">
        <v>2.8083</v>
      </c>
      <c r="F3729" s="484">
        <v>2.7324999999999999</v>
      </c>
      <c r="G3729" s="83">
        <f t="shared" si="57"/>
        <v>2.268939682539683</v>
      </c>
    </row>
    <row r="3730" spans="1:7" x14ac:dyDescent="0.2">
      <c r="A3730" s="75">
        <v>44140</v>
      </c>
      <c r="B3730" s="76" t="s">
        <v>35</v>
      </c>
      <c r="C3730" s="76" t="s">
        <v>536</v>
      </c>
      <c r="D3730" s="484">
        <v>7174.980348</v>
      </c>
      <c r="E3730" s="484">
        <v>2.7338</v>
      </c>
      <c r="F3730" s="484">
        <v>2.6682000000000001</v>
      </c>
      <c r="G3730" s="83">
        <f t="shared" si="57"/>
        <v>2.2844714285714294</v>
      </c>
    </row>
    <row r="3731" spans="1:7" x14ac:dyDescent="0.2">
      <c r="A3731" s="75">
        <v>44141</v>
      </c>
      <c r="B3731" s="76" t="s">
        <v>35</v>
      </c>
      <c r="C3731" s="76" t="s">
        <v>536</v>
      </c>
      <c r="D3731" s="484">
        <v>7203.6127930000002</v>
      </c>
      <c r="E3731" s="484">
        <v>2.6695000000000002</v>
      </c>
      <c r="F3731" s="484">
        <v>2.605</v>
      </c>
      <c r="G3731" s="83">
        <f t="shared" si="57"/>
        <v>2.298576190476191</v>
      </c>
    </row>
    <row r="3732" spans="1:7" x14ac:dyDescent="0.2">
      <c r="A3732" s="75">
        <v>44144</v>
      </c>
      <c r="B3732" s="76" t="s">
        <v>35</v>
      </c>
      <c r="C3732" s="76" t="s">
        <v>536</v>
      </c>
      <c r="D3732" s="484">
        <v>7228.2739499999998</v>
      </c>
      <c r="E3732" s="484">
        <v>2.6063000000000001</v>
      </c>
      <c r="F3732" s="484">
        <v>2.5466000000000002</v>
      </c>
      <c r="G3732" s="83">
        <f t="shared" si="57"/>
        <v>2.313373015873017</v>
      </c>
    </row>
    <row r="3733" spans="1:7" x14ac:dyDescent="0.2">
      <c r="A3733" s="75">
        <v>44145</v>
      </c>
      <c r="B3733" s="76" t="s">
        <v>35</v>
      </c>
      <c r="C3733" s="76" t="s">
        <v>536</v>
      </c>
      <c r="D3733" s="484">
        <v>7219.8360300000004</v>
      </c>
      <c r="E3733" s="484">
        <v>2.5478999999999998</v>
      </c>
      <c r="F3733" s="484">
        <v>2.5823</v>
      </c>
      <c r="G3733" s="83">
        <f t="shared" si="57"/>
        <v>2.3267126984126998</v>
      </c>
    </row>
    <row r="3734" spans="1:7" x14ac:dyDescent="0.2">
      <c r="A3734" s="75">
        <v>44146</v>
      </c>
      <c r="B3734" s="76" t="s">
        <v>35</v>
      </c>
      <c r="C3734" s="76" t="s">
        <v>536</v>
      </c>
      <c r="D3734" s="484">
        <v>7196.8694029999997</v>
      </c>
      <c r="E3734" s="484">
        <v>2.5836000000000001</v>
      </c>
      <c r="F3734" s="484">
        <v>2.6595</v>
      </c>
      <c r="G3734" s="83">
        <f t="shared" si="57"/>
        <v>2.34018888888889</v>
      </c>
    </row>
    <row r="3735" spans="1:7" x14ac:dyDescent="0.2">
      <c r="A3735" s="75">
        <v>44147</v>
      </c>
      <c r="B3735" s="76" t="s">
        <v>35</v>
      </c>
      <c r="C3735" s="76" t="s">
        <v>536</v>
      </c>
      <c r="D3735" s="484">
        <v>7189.5620490000001</v>
      </c>
      <c r="E3735" s="484">
        <v>2.6608999999999998</v>
      </c>
      <c r="F3735" s="484">
        <v>2.6922999999999999</v>
      </c>
      <c r="G3735" s="83">
        <f t="shared" si="57"/>
        <v>2.3537761904761916</v>
      </c>
    </row>
    <row r="3736" spans="1:7" x14ac:dyDescent="0.2">
      <c r="A3736" s="75">
        <v>44148</v>
      </c>
      <c r="B3736" s="76" t="s">
        <v>35</v>
      </c>
      <c r="C3736" s="76" t="s">
        <v>536</v>
      </c>
      <c r="D3736" s="484">
        <v>7207.6533520000003</v>
      </c>
      <c r="E3736" s="484">
        <v>2.6937000000000002</v>
      </c>
      <c r="F3736" s="484">
        <v>2.6526000000000001</v>
      </c>
      <c r="G3736" s="83">
        <f t="shared" si="57"/>
        <v>2.3659730158730166</v>
      </c>
    </row>
    <row r="3737" spans="1:7" x14ac:dyDescent="0.2">
      <c r="A3737" s="75">
        <v>44151</v>
      </c>
      <c r="B3737" s="76" t="s">
        <v>35</v>
      </c>
      <c r="C3737" s="76" t="s">
        <v>536</v>
      </c>
      <c r="D3737" s="484">
        <v>7227.7551409999996</v>
      </c>
      <c r="E3737" s="484">
        <v>2.6539999999999999</v>
      </c>
      <c r="F3737" s="484">
        <v>2.6073</v>
      </c>
      <c r="G3737" s="83">
        <f t="shared" si="57"/>
        <v>2.3767365079365081</v>
      </c>
    </row>
    <row r="3738" spans="1:7" x14ac:dyDescent="0.2">
      <c r="A3738" s="75">
        <v>44152</v>
      </c>
      <c r="B3738" s="76" t="s">
        <v>35</v>
      </c>
      <c r="C3738" s="76" t="s">
        <v>536</v>
      </c>
      <c r="D3738" s="484">
        <v>7231.9388559999998</v>
      </c>
      <c r="E3738" s="484">
        <v>2.6086999999999998</v>
      </c>
      <c r="F3738" s="484">
        <v>2.6034999999999999</v>
      </c>
      <c r="G3738" s="83">
        <f t="shared" si="57"/>
        <v>2.3863269841269847</v>
      </c>
    </row>
    <row r="3739" spans="1:7" x14ac:dyDescent="0.2">
      <c r="A3739" s="75">
        <v>44153</v>
      </c>
      <c r="B3739" s="76" t="s">
        <v>35</v>
      </c>
      <c r="C3739" s="76" t="s">
        <v>536</v>
      </c>
      <c r="D3739" s="484">
        <v>7201.9718469999998</v>
      </c>
      <c r="E3739" s="484">
        <v>2.605</v>
      </c>
      <c r="F3739" s="484">
        <v>2.6970000000000001</v>
      </c>
      <c r="G3739" s="83">
        <f t="shared" si="57"/>
        <v>2.394200000000001</v>
      </c>
    </row>
    <row r="3740" spans="1:7" x14ac:dyDescent="0.2">
      <c r="A3740" s="75">
        <v>44154</v>
      </c>
      <c r="B3740" s="76" t="s">
        <v>35</v>
      </c>
      <c r="C3740" s="76" t="s">
        <v>536</v>
      </c>
      <c r="D3740" s="484">
        <v>7202.939558</v>
      </c>
      <c r="E3740" s="484">
        <v>2.6983999999999999</v>
      </c>
      <c r="F3740" s="484">
        <v>2.7023999999999999</v>
      </c>
      <c r="G3740" s="83">
        <f t="shared" si="57"/>
        <v>2.4055555555555559</v>
      </c>
    </row>
    <row r="3741" spans="1:7" x14ac:dyDescent="0.2">
      <c r="A3741" s="75">
        <v>44155</v>
      </c>
      <c r="B3741" s="76" t="s">
        <v>35</v>
      </c>
      <c r="C3741" s="76" t="s">
        <v>536</v>
      </c>
      <c r="D3741" s="484">
        <v>7183.618931</v>
      </c>
      <c r="E3741" s="484">
        <v>2.7038000000000002</v>
      </c>
      <c r="F3741" s="484">
        <v>2.7658</v>
      </c>
      <c r="G3741" s="83">
        <f t="shared" si="57"/>
        <v>2.415431746031746</v>
      </c>
    </row>
    <row r="3742" spans="1:7" x14ac:dyDescent="0.2">
      <c r="A3742" s="75">
        <v>44158</v>
      </c>
      <c r="B3742" s="76" t="s">
        <v>35</v>
      </c>
      <c r="C3742" s="76" t="s">
        <v>536</v>
      </c>
      <c r="D3742" s="484">
        <v>7160.3445519999996</v>
      </c>
      <c r="E3742" s="484">
        <v>2.7671999999999999</v>
      </c>
      <c r="F3742" s="484">
        <v>2.8408000000000002</v>
      </c>
      <c r="G3742" s="83">
        <f t="shared" si="57"/>
        <v>2.4267174603174606</v>
      </c>
    </row>
    <row r="3743" spans="1:7" x14ac:dyDescent="0.2">
      <c r="A3743" s="75">
        <v>44159</v>
      </c>
      <c r="B3743" s="76" t="s">
        <v>35</v>
      </c>
      <c r="C3743" s="76" t="s">
        <v>536</v>
      </c>
      <c r="D3743" s="484">
        <v>7177.5817209999996</v>
      </c>
      <c r="E3743" s="484">
        <v>2.8422000000000001</v>
      </c>
      <c r="F3743" s="484">
        <v>2.7995999999999999</v>
      </c>
      <c r="G3743" s="83">
        <f t="shared" si="57"/>
        <v>2.4393333333333338</v>
      </c>
    </row>
    <row r="3744" spans="1:7" x14ac:dyDescent="0.2">
      <c r="A3744" s="75">
        <v>44160</v>
      </c>
      <c r="B3744" s="76" t="s">
        <v>35</v>
      </c>
      <c r="C3744" s="76" t="s">
        <v>536</v>
      </c>
      <c r="D3744" s="484">
        <v>7187.4252399999996</v>
      </c>
      <c r="E3744" s="484">
        <v>2.8010000000000002</v>
      </c>
      <c r="F3744" s="484">
        <v>2.8001</v>
      </c>
      <c r="G3744" s="83">
        <f t="shared" si="57"/>
        <v>2.4516126984126987</v>
      </c>
    </row>
    <row r="3745" spans="1:7" x14ac:dyDescent="0.2">
      <c r="A3745" s="75">
        <v>44161</v>
      </c>
      <c r="B3745" s="76" t="s">
        <v>35</v>
      </c>
      <c r="C3745" s="76" t="s">
        <v>536</v>
      </c>
      <c r="D3745" s="484">
        <v>7206.4108290000004</v>
      </c>
      <c r="E3745" s="484">
        <v>2.8014000000000001</v>
      </c>
      <c r="F3745" s="484">
        <v>2.7568999999999999</v>
      </c>
      <c r="G3745" s="83">
        <f t="shared" si="57"/>
        <v>2.4638238095238094</v>
      </c>
    </row>
    <row r="3746" spans="1:7" x14ac:dyDescent="0.2">
      <c r="A3746" s="75">
        <v>44162</v>
      </c>
      <c r="B3746" s="76" t="s">
        <v>35</v>
      </c>
      <c r="C3746" s="76" t="s">
        <v>536</v>
      </c>
      <c r="D3746" s="484">
        <v>7246.7765669999999</v>
      </c>
      <c r="E3746" s="484">
        <v>2.7582</v>
      </c>
      <c r="F3746" s="484">
        <v>2.6530999999999998</v>
      </c>
      <c r="G3746" s="83">
        <f t="shared" si="57"/>
        <v>2.4737142857142858</v>
      </c>
    </row>
    <row r="3747" spans="1:7" x14ac:dyDescent="0.2">
      <c r="A3747" s="75">
        <v>44165</v>
      </c>
      <c r="B3747" s="76" t="s">
        <v>35</v>
      </c>
      <c r="C3747" s="76" t="s">
        <v>536</v>
      </c>
      <c r="D3747" s="484">
        <v>7244.8872350000001</v>
      </c>
      <c r="E3747" s="484">
        <v>2.6545000000000001</v>
      </c>
      <c r="F3747" s="484">
        <v>2.6695000000000002</v>
      </c>
      <c r="G3747" s="83">
        <f t="shared" si="57"/>
        <v>2.4818301587301588</v>
      </c>
    </row>
    <row r="3748" spans="1:7" x14ac:dyDescent="0.2">
      <c r="A3748" s="75">
        <v>44166</v>
      </c>
      <c r="B3748" s="76" t="s">
        <v>35</v>
      </c>
      <c r="C3748" s="76" t="s">
        <v>536</v>
      </c>
      <c r="D3748" s="484">
        <v>7282.4953599999999</v>
      </c>
      <c r="E3748" s="484">
        <v>2.6707999999999998</v>
      </c>
      <c r="F3748" s="484">
        <v>2.5741000000000001</v>
      </c>
      <c r="G3748" s="83">
        <f t="shared" si="57"/>
        <v>2.4914428571428568</v>
      </c>
    </row>
    <row r="3749" spans="1:7" x14ac:dyDescent="0.2">
      <c r="A3749" s="75">
        <v>44167</v>
      </c>
      <c r="B3749" s="76" t="s">
        <v>35</v>
      </c>
      <c r="C3749" s="76" t="s">
        <v>536</v>
      </c>
      <c r="D3749" s="484">
        <v>7304.1941569999999</v>
      </c>
      <c r="E3749" s="484">
        <v>2.5754000000000001</v>
      </c>
      <c r="F3749" s="484">
        <v>2.5238999999999998</v>
      </c>
      <c r="G3749" s="83">
        <f t="shared" si="57"/>
        <v>2.4990714285714288</v>
      </c>
    </row>
    <row r="3750" spans="1:7" x14ac:dyDescent="0.2">
      <c r="A3750" s="75">
        <v>44168</v>
      </c>
      <c r="B3750" s="76" t="s">
        <v>35</v>
      </c>
      <c r="C3750" s="76" t="s">
        <v>536</v>
      </c>
      <c r="D3750" s="484">
        <v>7367.7050369999997</v>
      </c>
      <c r="E3750" s="484">
        <v>2.5253000000000001</v>
      </c>
      <c r="F3750" s="484">
        <v>2.3573</v>
      </c>
      <c r="G3750" s="83">
        <f t="shared" si="57"/>
        <v>2.506331746031746</v>
      </c>
    </row>
    <row r="3751" spans="1:7" x14ac:dyDescent="0.2">
      <c r="A3751" s="75">
        <v>44169</v>
      </c>
      <c r="B3751" s="76" t="s">
        <v>35</v>
      </c>
      <c r="C3751" s="76" t="s">
        <v>536</v>
      </c>
      <c r="D3751" s="484">
        <v>7377.3418419999998</v>
      </c>
      <c r="E3751" s="484">
        <v>2.3586999999999998</v>
      </c>
      <c r="F3751" s="484">
        <v>2.3412999999999999</v>
      </c>
      <c r="G3751" s="83">
        <f t="shared" si="57"/>
        <v>2.5109619047619045</v>
      </c>
    </row>
    <row r="3752" spans="1:7" x14ac:dyDescent="0.2">
      <c r="A3752" s="75">
        <v>44172</v>
      </c>
      <c r="B3752" s="76" t="s">
        <v>35</v>
      </c>
      <c r="C3752" s="76" t="s">
        <v>536</v>
      </c>
      <c r="D3752" s="484">
        <v>7382.8053030000001</v>
      </c>
      <c r="E3752" s="484">
        <v>2.3426999999999998</v>
      </c>
      <c r="F3752" s="484">
        <v>2.3369</v>
      </c>
      <c r="G3752" s="83">
        <f t="shared" si="57"/>
        <v>2.5162</v>
      </c>
    </row>
    <row r="3753" spans="1:7" x14ac:dyDescent="0.2">
      <c r="A3753" s="75">
        <v>44173</v>
      </c>
      <c r="B3753" s="76" t="s">
        <v>35</v>
      </c>
      <c r="C3753" s="76" t="s">
        <v>536</v>
      </c>
      <c r="D3753" s="484">
        <v>7401.2238749999997</v>
      </c>
      <c r="E3753" s="484">
        <v>2.3382999999999998</v>
      </c>
      <c r="F3753" s="484">
        <v>2.3151999999999999</v>
      </c>
      <c r="G3753" s="83">
        <f t="shared" si="57"/>
        <v>2.5221746031746028</v>
      </c>
    </row>
    <row r="3754" spans="1:7" x14ac:dyDescent="0.2">
      <c r="A3754" s="75">
        <v>44174</v>
      </c>
      <c r="B3754" s="76" t="s">
        <v>35</v>
      </c>
      <c r="C3754" s="76" t="s">
        <v>536</v>
      </c>
      <c r="D3754" s="484">
        <v>7404.1164630000003</v>
      </c>
      <c r="E3754" s="484">
        <v>2.3166000000000002</v>
      </c>
      <c r="F3754" s="484">
        <v>2.3191000000000002</v>
      </c>
      <c r="G3754" s="83">
        <f t="shared" si="57"/>
        <v>2.526993650793651</v>
      </c>
    </row>
    <row r="3755" spans="1:7" x14ac:dyDescent="0.2">
      <c r="A3755" s="75">
        <v>44175</v>
      </c>
      <c r="B3755" s="76" t="s">
        <v>35</v>
      </c>
      <c r="C3755" s="76" t="s">
        <v>536</v>
      </c>
      <c r="D3755" s="484">
        <v>7418.6676369999996</v>
      </c>
      <c r="E3755" s="484">
        <v>2.3205</v>
      </c>
      <c r="F3755" s="484">
        <v>2.2907999999999999</v>
      </c>
      <c r="G3755" s="83">
        <f t="shared" si="57"/>
        <v>2.5321365079365088</v>
      </c>
    </row>
    <row r="3756" spans="1:7" x14ac:dyDescent="0.2">
      <c r="A3756" s="75">
        <v>44176</v>
      </c>
      <c r="B3756" s="76" t="s">
        <v>35</v>
      </c>
      <c r="C3756" s="76" t="s">
        <v>536</v>
      </c>
      <c r="D3756" s="484">
        <v>7454.9603370000004</v>
      </c>
      <c r="E3756" s="484">
        <v>2.2921</v>
      </c>
      <c r="F3756" s="484">
        <v>2.2027000000000001</v>
      </c>
      <c r="G3756" s="83">
        <f t="shared" si="57"/>
        <v>2.5351619047619058</v>
      </c>
    </row>
    <row r="3757" spans="1:7" x14ac:dyDescent="0.2">
      <c r="A3757" s="75">
        <v>44179</v>
      </c>
      <c r="B3757" s="76" t="s">
        <v>35</v>
      </c>
      <c r="C3757" s="76" t="s">
        <v>536</v>
      </c>
      <c r="D3757" s="484">
        <v>7453.030111</v>
      </c>
      <c r="E3757" s="484">
        <v>2.2040000000000002</v>
      </c>
      <c r="F3757" s="484">
        <v>2.2197</v>
      </c>
      <c r="G3757" s="83">
        <f t="shared" si="57"/>
        <v>2.5370936507936515</v>
      </c>
    </row>
    <row r="3758" spans="1:7" x14ac:dyDescent="0.2">
      <c r="A3758" s="75">
        <v>44180</v>
      </c>
      <c r="B3758" s="76" t="s">
        <v>35</v>
      </c>
      <c r="C3758" s="76" t="s">
        <v>536</v>
      </c>
      <c r="D3758" s="484">
        <v>7472.0417070000003</v>
      </c>
      <c r="E3758" s="484">
        <v>2.2210000000000001</v>
      </c>
      <c r="F3758" s="484">
        <v>2.1793</v>
      </c>
      <c r="G3758" s="83">
        <f t="shared" si="57"/>
        <v>2.5398190476190483</v>
      </c>
    </row>
    <row r="3759" spans="1:7" x14ac:dyDescent="0.2">
      <c r="A3759" s="75">
        <v>44181</v>
      </c>
      <c r="B3759" s="76" t="s">
        <v>35</v>
      </c>
      <c r="C3759" s="76" t="s">
        <v>536</v>
      </c>
      <c r="D3759" s="484">
        <v>7463.9544699999997</v>
      </c>
      <c r="E3759" s="484">
        <v>2.1804999999999999</v>
      </c>
      <c r="F3759" s="484">
        <v>2.2166000000000001</v>
      </c>
      <c r="G3759" s="83">
        <f t="shared" si="57"/>
        <v>2.5413571428571435</v>
      </c>
    </row>
    <row r="3760" spans="1:7" x14ac:dyDescent="0.2">
      <c r="A3760" s="75">
        <v>44182</v>
      </c>
      <c r="B3760" s="76" t="s">
        <v>35</v>
      </c>
      <c r="C3760" s="76" t="s">
        <v>536</v>
      </c>
      <c r="D3760" s="484">
        <v>7470.8818840000004</v>
      </c>
      <c r="E3760" s="484">
        <v>2.2178</v>
      </c>
      <c r="F3760" s="484">
        <v>2.2128000000000001</v>
      </c>
      <c r="G3760" s="83">
        <f t="shared" si="57"/>
        <v>2.5424492063492079</v>
      </c>
    </row>
    <row r="3761" spans="1:7" x14ac:dyDescent="0.2">
      <c r="A3761" s="75">
        <v>44183</v>
      </c>
      <c r="B3761" s="76" t="s">
        <v>35</v>
      </c>
      <c r="C3761" s="76" t="s">
        <v>536</v>
      </c>
      <c r="D3761" s="484">
        <v>7471.8960850000003</v>
      </c>
      <c r="E3761" s="484">
        <v>2.214</v>
      </c>
      <c r="F3761" s="484">
        <v>2.2252000000000001</v>
      </c>
      <c r="G3761" s="83">
        <f t="shared" si="57"/>
        <v>2.5441333333333342</v>
      </c>
    </row>
    <row r="3762" spans="1:7" x14ac:dyDescent="0.2">
      <c r="A3762" s="75">
        <v>44186</v>
      </c>
      <c r="B3762" s="76" t="s">
        <v>35</v>
      </c>
      <c r="C3762" s="76" t="s">
        <v>536</v>
      </c>
      <c r="D3762" s="484">
        <v>7469.9207420000002</v>
      </c>
      <c r="E3762" s="484">
        <v>2.2263000000000002</v>
      </c>
      <c r="F3762" s="484">
        <v>2.2456999999999998</v>
      </c>
      <c r="G3762" s="83">
        <f t="shared" si="57"/>
        <v>2.5424301587301597</v>
      </c>
    </row>
    <row r="3763" spans="1:7" x14ac:dyDescent="0.2">
      <c r="A3763" s="75">
        <v>44187</v>
      </c>
      <c r="B3763" s="76" t="s">
        <v>35</v>
      </c>
      <c r="C3763" s="76" t="s">
        <v>536</v>
      </c>
      <c r="D3763" s="484">
        <v>7473.1725909999996</v>
      </c>
      <c r="E3763" s="484">
        <v>2.2467999999999999</v>
      </c>
      <c r="F3763" s="484">
        <v>2.2519</v>
      </c>
      <c r="G3763" s="83">
        <f t="shared" si="57"/>
        <v>2.5395523809523826</v>
      </c>
    </row>
    <row r="3764" spans="1:7" x14ac:dyDescent="0.2">
      <c r="A3764" s="75">
        <v>44188</v>
      </c>
      <c r="B3764" s="76" t="s">
        <v>35</v>
      </c>
      <c r="C3764" s="76" t="s">
        <v>536</v>
      </c>
      <c r="D3764" s="484">
        <v>7503.2652250000001</v>
      </c>
      <c r="E3764" s="484">
        <v>2.2530000000000001</v>
      </c>
      <c r="F3764" s="484">
        <v>2.1819000000000002</v>
      </c>
      <c r="G3764" s="83">
        <f t="shared" si="57"/>
        <v>2.5381047619047639</v>
      </c>
    </row>
    <row r="3765" spans="1:7" x14ac:dyDescent="0.2">
      <c r="A3765" s="75">
        <v>44189</v>
      </c>
      <c r="B3765" s="76" t="s">
        <v>35</v>
      </c>
      <c r="C3765" s="76" t="s">
        <v>536</v>
      </c>
      <c r="D3765" s="484">
        <v>7508.0236580000001</v>
      </c>
      <c r="E3765" s="484">
        <v>2.1829999999999998</v>
      </c>
      <c r="F3765" s="484">
        <v>2.1835</v>
      </c>
      <c r="G3765" s="83">
        <f t="shared" si="57"/>
        <v>2.5344111111111127</v>
      </c>
    </row>
    <row r="3766" spans="1:7" x14ac:dyDescent="0.2">
      <c r="A3766" s="75">
        <v>44193</v>
      </c>
      <c r="B3766" s="76" t="s">
        <v>35</v>
      </c>
      <c r="C3766" s="76" t="s">
        <v>536</v>
      </c>
      <c r="D3766" s="484">
        <v>7505.7066940000004</v>
      </c>
      <c r="E3766" s="484">
        <v>2.1846000000000001</v>
      </c>
      <c r="F3766" s="484">
        <v>2.2161</v>
      </c>
      <c r="G3766" s="83">
        <f t="shared" si="57"/>
        <v>2.532441269841271</v>
      </c>
    </row>
    <row r="3767" spans="1:7" x14ac:dyDescent="0.2">
      <c r="A3767" s="75">
        <v>44194</v>
      </c>
      <c r="B3767" s="76" t="s">
        <v>35</v>
      </c>
      <c r="C3767" s="76" t="s">
        <v>536</v>
      </c>
      <c r="D3767" s="484">
        <v>7535.7463390000003</v>
      </c>
      <c r="E3767" s="484">
        <v>2.2170999999999998</v>
      </c>
      <c r="F3767" s="484">
        <v>2.1488999999999998</v>
      </c>
      <c r="G3767" s="83">
        <f t="shared" si="57"/>
        <v>2.5308222222222225</v>
      </c>
    </row>
    <row r="3768" spans="1:7" x14ac:dyDescent="0.2">
      <c r="A3768" s="75">
        <v>44195</v>
      </c>
      <c r="B3768" s="76" t="s">
        <v>35</v>
      </c>
      <c r="C3768" s="76" t="s">
        <v>536</v>
      </c>
      <c r="D3768" s="484">
        <v>7550.0747190000002</v>
      </c>
      <c r="E3768" s="484">
        <v>2.15</v>
      </c>
      <c r="F3768" s="484">
        <v>2.1246</v>
      </c>
      <c r="G3768" s="83">
        <f t="shared" si="57"/>
        <v>2.5241365079365088</v>
      </c>
    </row>
    <row r="3769" spans="1:7" x14ac:dyDescent="0.2">
      <c r="A3769" s="75">
        <v>44196</v>
      </c>
      <c r="B3769" s="76" t="s">
        <v>35</v>
      </c>
      <c r="C3769" s="76" t="s">
        <v>536</v>
      </c>
      <c r="D3769" s="484">
        <v>7555.5851339999999</v>
      </c>
      <c r="E3769" s="484">
        <v>2.1257000000000001</v>
      </c>
      <c r="F3769" s="484">
        <v>2.1242000000000001</v>
      </c>
      <c r="G3769" s="83">
        <f t="shared" si="57"/>
        <v>2.5171746031746038</v>
      </c>
    </row>
    <row r="3770" spans="1:7" x14ac:dyDescent="0.2">
      <c r="A3770" s="75">
        <v>44200</v>
      </c>
      <c r="B3770" s="76" t="s">
        <v>35</v>
      </c>
      <c r="C3770" s="76" t="s">
        <v>536</v>
      </c>
      <c r="D3770" s="484">
        <v>7560.3596969999999</v>
      </c>
      <c r="E3770" s="484">
        <v>2.1253000000000002</v>
      </c>
      <c r="F3770" s="484">
        <v>2.1257999999999999</v>
      </c>
      <c r="G3770" s="83">
        <f t="shared" si="57"/>
        <v>2.511544444444445</v>
      </c>
    </row>
    <row r="3771" spans="1:7" x14ac:dyDescent="0.2">
      <c r="A3771" s="75">
        <v>44201</v>
      </c>
      <c r="B3771" s="76" t="s">
        <v>35</v>
      </c>
      <c r="C3771" s="76" t="s">
        <v>536</v>
      </c>
      <c r="D3771" s="484">
        <v>7540.7594939999999</v>
      </c>
      <c r="E3771" s="484">
        <v>2.1269</v>
      </c>
      <c r="F3771" s="484">
        <v>2.1934</v>
      </c>
      <c r="G3771" s="83">
        <f t="shared" si="57"/>
        <v>2.5062317460317463</v>
      </c>
    </row>
    <row r="3772" spans="1:7" x14ac:dyDescent="0.2">
      <c r="A3772" s="75">
        <v>44202</v>
      </c>
      <c r="B3772" s="76" t="s">
        <v>35</v>
      </c>
      <c r="C3772" s="76" t="s">
        <v>536</v>
      </c>
      <c r="D3772" s="484">
        <v>7533.1261329999998</v>
      </c>
      <c r="E3772" s="484">
        <v>2.1945999999999999</v>
      </c>
      <c r="F3772" s="484">
        <v>2.2288000000000001</v>
      </c>
      <c r="G3772" s="83">
        <f t="shared" si="57"/>
        <v>2.5000523809523818</v>
      </c>
    </row>
    <row r="3773" spans="1:7" x14ac:dyDescent="0.2">
      <c r="A3773" s="75">
        <v>44203</v>
      </c>
      <c r="B3773" s="76" t="s">
        <v>35</v>
      </c>
      <c r="C3773" s="76" t="s">
        <v>536</v>
      </c>
      <c r="D3773" s="484">
        <v>7491.8918100000001</v>
      </c>
      <c r="E3773" s="484">
        <v>2.2299000000000002</v>
      </c>
      <c r="F3773" s="484">
        <v>2.3557999999999999</v>
      </c>
      <c r="G3773" s="83">
        <f t="shared" si="57"/>
        <v>2.4956126984126983</v>
      </c>
    </row>
    <row r="3774" spans="1:7" x14ac:dyDescent="0.2">
      <c r="A3774" s="75">
        <v>44204</v>
      </c>
      <c r="B3774" s="76" t="s">
        <v>35</v>
      </c>
      <c r="C3774" s="76" t="s">
        <v>536</v>
      </c>
      <c r="D3774" s="484">
        <v>7485.9453960000001</v>
      </c>
      <c r="E3774" s="484">
        <v>2.3569</v>
      </c>
      <c r="F3774" s="484">
        <v>2.3868</v>
      </c>
      <c r="G3774" s="83">
        <f t="shared" si="57"/>
        <v>2.4927555555555556</v>
      </c>
    </row>
    <row r="3775" spans="1:7" x14ac:dyDescent="0.2">
      <c r="A3775" s="75">
        <v>44207</v>
      </c>
      <c r="B3775" s="76" t="s">
        <v>35</v>
      </c>
      <c r="C3775" s="76" t="s">
        <v>536</v>
      </c>
      <c r="D3775" s="484">
        <v>7428.4898199999998</v>
      </c>
      <c r="E3775" s="484">
        <v>2.3879000000000001</v>
      </c>
      <c r="F3775" s="484">
        <v>2.5596000000000001</v>
      </c>
      <c r="G3775" s="83">
        <f t="shared" si="57"/>
        <v>2.4896619047619044</v>
      </c>
    </row>
    <row r="3776" spans="1:7" x14ac:dyDescent="0.2">
      <c r="A3776" s="75">
        <v>44208</v>
      </c>
      <c r="B3776" s="76" t="s">
        <v>35</v>
      </c>
      <c r="C3776" s="76" t="s">
        <v>536</v>
      </c>
      <c r="D3776" s="484">
        <v>7463.5510320000003</v>
      </c>
      <c r="E3776" s="484">
        <v>2.5607000000000002</v>
      </c>
      <c r="F3776" s="484">
        <v>2.5022000000000002</v>
      </c>
      <c r="G3776" s="83">
        <f t="shared" si="57"/>
        <v>2.4899428571428568</v>
      </c>
    </row>
    <row r="3777" spans="1:7" x14ac:dyDescent="0.2">
      <c r="A3777" s="75">
        <v>44209</v>
      </c>
      <c r="B3777" s="76" t="s">
        <v>35</v>
      </c>
      <c r="C3777" s="76" t="s">
        <v>536</v>
      </c>
      <c r="D3777" s="484">
        <v>7437.0978640000003</v>
      </c>
      <c r="E3777" s="484">
        <v>2.5032999999999999</v>
      </c>
      <c r="F3777" s="484">
        <v>2.5912999999999999</v>
      </c>
      <c r="G3777" s="83">
        <f t="shared" si="57"/>
        <v>2.4899380952380947</v>
      </c>
    </row>
    <row r="3778" spans="1:7" x14ac:dyDescent="0.2">
      <c r="A3778" s="75">
        <v>44210</v>
      </c>
      <c r="B3778" s="76" t="s">
        <v>35</v>
      </c>
      <c r="C3778" s="76" t="s">
        <v>536</v>
      </c>
      <c r="D3778" s="484">
        <v>7466.6806880000004</v>
      </c>
      <c r="E3778" s="484">
        <v>2.5922999999999998</v>
      </c>
      <c r="F3778" s="484">
        <v>2.5259999999999998</v>
      </c>
      <c r="G3778" s="83">
        <f t="shared" si="57"/>
        <v>2.4909190476190468</v>
      </c>
    </row>
    <row r="3779" spans="1:7" x14ac:dyDescent="0.2">
      <c r="A3779" s="75">
        <v>44211</v>
      </c>
      <c r="B3779" s="76" t="s">
        <v>35</v>
      </c>
      <c r="C3779" s="76" t="s">
        <v>536</v>
      </c>
      <c r="D3779" s="484">
        <v>7462.2215059999999</v>
      </c>
      <c r="E3779" s="484">
        <v>2.5270000000000001</v>
      </c>
      <c r="F3779" s="484">
        <v>2.5543999999999998</v>
      </c>
      <c r="G3779" s="83">
        <f t="shared" ref="G3779:G3842" si="58">+AVERAGE(E3717:E3779)</f>
        <v>2.4910888888888882</v>
      </c>
    </row>
    <row r="3780" spans="1:7" x14ac:dyDescent="0.2">
      <c r="A3780" s="75">
        <v>44214</v>
      </c>
      <c r="B3780" s="76" t="s">
        <v>35</v>
      </c>
      <c r="C3780" s="76" t="s">
        <v>536</v>
      </c>
      <c r="D3780" s="484">
        <v>7469.3471829999999</v>
      </c>
      <c r="E3780" s="484">
        <v>2.5554999999999999</v>
      </c>
      <c r="F3780" s="484">
        <v>2.5406</v>
      </c>
      <c r="G3780" s="83">
        <f t="shared" si="58"/>
        <v>2.49015238095238</v>
      </c>
    </row>
    <row r="3781" spans="1:7" x14ac:dyDescent="0.2">
      <c r="A3781" s="75">
        <v>44215</v>
      </c>
      <c r="B3781" s="76" t="s">
        <v>35</v>
      </c>
      <c r="C3781" s="76" t="s">
        <v>536</v>
      </c>
      <c r="D3781" s="484">
        <v>7457.0519809999996</v>
      </c>
      <c r="E3781" s="484">
        <v>2.5417000000000001</v>
      </c>
      <c r="F3781" s="484">
        <v>2.5802</v>
      </c>
      <c r="G3781" s="83">
        <f t="shared" si="58"/>
        <v>2.4888253968253959</v>
      </c>
    </row>
    <row r="3782" spans="1:7" x14ac:dyDescent="0.2">
      <c r="A3782" s="75">
        <v>44216</v>
      </c>
      <c r="B3782" s="76" t="s">
        <v>35</v>
      </c>
      <c r="C3782" s="76" t="s">
        <v>536</v>
      </c>
      <c r="D3782" s="484">
        <v>7459.635698</v>
      </c>
      <c r="E3782" s="484">
        <v>2.5813000000000001</v>
      </c>
      <c r="F3782" s="484">
        <v>2.5789</v>
      </c>
      <c r="G3782" s="83">
        <f t="shared" si="58"/>
        <v>2.4888253968253955</v>
      </c>
    </row>
    <row r="3783" spans="1:7" x14ac:dyDescent="0.2">
      <c r="A3783" s="75">
        <v>44217</v>
      </c>
      <c r="B3783" s="76" t="s">
        <v>35</v>
      </c>
      <c r="C3783" s="76" t="s">
        <v>536</v>
      </c>
      <c r="D3783" s="484">
        <v>7439.545916</v>
      </c>
      <c r="E3783" s="484">
        <v>2.5798999999999999</v>
      </c>
      <c r="F3783" s="484">
        <v>2.64</v>
      </c>
      <c r="G3783" s="83">
        <f t="shared" si="58"/>
        <v>2.4896999999999987</v>
      </c>
    </row>
    <row r="3784" spans="1:7" x14ac:dyDescent="0.2">
      <c r="A3784" s="75">
        <v>44218</v>
      </c>
      <c r="B3784" s="76" t="s">
        <v>35</v>
      </c>
      <c r="C3784" s="76" t="s">
        <v>536</v>
      </c>
      <c r="D3784" s="484">
        <v>7402.3121849999998</v>
      </c>
      <c r="E3784" s="484">
        <v>2.6410999999999998</v>
      </c>
      <c r="F3784" s="484">
        <v>2.7490000000000001</v>
      </c>
      <c r="G3784" s="83">
        <f t="shared" si="58"/>
        <v>2.4918015873015857</v>
      </c>
    </row>
    <row r="3785" spans="1:7" x14ac:dyDescent="0.2">
      <c r="A3785" s="75">
        <v>44221</v>
      </c>
      <c r="B3785" s="76" t="s">
        <v>35</v>
      </c>
      <c r="C3785" s="76" t="s">
        <v>536</v>
      </c>
      <c r="D3785" s="484">
        <v>7403.6997199999996</v>
      </c>
      <c r="E3785" s="484">
        <v>2.75</v>
      </c>
      <c r="F3785" s="484">
        <v>2.7509999999999999</v>
      </c>
      <c r="G3785" s="83">
        <f t="shared" si="58"/>
        <v>2.4950412698412689</v>
      </c>
    </row>
    <row r="3786" spans="1:7" x14ac:dyDescent="0.2">
      <c r="A3786" s="75">
        <v>44222</v>
      </c>
      <c r="B3786" s="76" t="s">
        <v>35</v>
      </c>
      <c r="C3786" s="76" t="s">
        <v>536</v>
      </c>
      <c r="D3786" s="484">
        <v>7414.8170630000004</v>
      </c>
      <c r="E3786" s="484">
        <v>2.7519999999999998</v>
      </c>
      <c r="F3786" s="484">
        <v>2.726</v>
      </c>
      <c r="G3786" s="83">
        <f t="shared" si="58"/>
        <v>2.4969380952380944</v>
      </c>
    </row>
    <row r="3787" spans="1:7" x14ac:dyDescent="0.2">
      <c r="A3787" s="75">
        <v>44223</v>
      </c>
      <c r="B3787" s="76" t="s">
        <v>35</v>
      </c>
      <c r="C3787" s="76" t="s">
        <v>536</v>
      </c>
      <c r="D3787" s="484">
        <v>7430.587203</v>
      </c>
      <c r="E3787" s="484">
        <v>2.7269999999999999</v>
      </c>
      <c r="F3787" s="484">
        <v>2.6905000000000001</v>
      </c>
      <c r="G3787" s="83">
        <f t="shared" si="58"/>
        <v>2.4975904761904757</v>
      </c>
    </row>
    <row r="3788" spans="1:7" x14ac:dyDescent="0.2">
      <c r="A3788" s="75">
        <v>44224</v>
      </c>
      <c r="B3788" s="76" t="s">
        <v>35</v>
      </c>
      <c r="C3788" s="76" t="s">
        <v>536</v>
      </c>
      <c r="D3788" s="484">
        <v>7461.4983769999999</v>
      </c>
      <c r="E3788" s="484">
        <v>2.6915</v>
      </c>
      <c r="F3788" s="484">
        <v>2.6113</v>
      </c>
      <c r="G3788" s="83">
        <f t="shared" si="58"/>
        <v>2.4965174603174591</v>
      </c>
    </row>
    <row r="3789" spans="1:7" x14ac:dyDescent="0.2">
      <c r="A3789" s="75">
        <v>44225</v>
      </c>
      <c r="B3789" s="76" t="s">
        <v>35</v>
      </c>
      <c r="C3789" s="76" t="s">
        <v>536</v>
      </c>
      <c r="D3789" s="484">
        <v>7493.5235890000004</v>
      </c>
      <c r="E3789" s="484">
        <v>2.6122000000000001</v>
      </c>
      <c r="F3789" s="484">
        <v>2.5293000000000001</v>
      </c>
      <c r="G3789" s="83">
        <f t="shared" si="58"/>
        <v>2.49421111111111</v>
      </c>
    </row>
    <row r="3790" spans="1:7" x14ac:dyDescent="0.2">
      <c r="A3790" s="75">
        <v>44228</v>
      </c>
      <c r="B3790" s="76" t="s">
        <v>35</v>
      </c>
      <c r="C3790" s="76" t="s">
        <v>536</v>
      </c>
      <c r="D3790" s="484">
        <v>7490.2976500000004</v>
      </c>
      <c r="E3790" s="484">
        <v>2.5303</v>
      </c>
      <c r="F3790" s="484">
        <v>2.5440999999999998</v>
      </c>
      <c r="G3790" s="83">
        <f t="shared" si="58"/>
        <v>2.4909047619047615</v>
      </c>
    </row>
    <row r="3791" spans="1:7" x14ac:dyDescent="0.2">
      <c r="A3791" s="75">
        <v>44229</v>
      </c>
      <c r="B3791" s="76" t="s">
        <v>35</v>
      </c>
      <c r="C3791" s="76" t="s">
        <v>536</v>
      </c>
      <c r="D3791" s="484">
        <v>7522.0433679999996</v>
      </c>
      <c r="E3791" s="484">
        <v>2.5451000000000001</v>
      </c>
      <c r="F3791" s="484">
        <v>2.4632999999999998</v>
      </c>
      <c r="G3791" s="83">
        <f t="shared" si="58"/>
        <v>2.4869047619047611</v>
      </c>
    </row>
    <row r="3792" spans="1:7" x14ac:dyDescent="0.2">
      <c r="A3792" s="75">
        <v>44230</v>
      </c>
      <c r="B3792" s="76" t="s">
        <v>35</v>
      </c>
      <c r="C3792" s="76" t="s">
        <v>536</v>
      </c>
      <c r="D3792" s="484">
        <v>7534.8217269999996</v>
      </c>
      <c r="E3792" s="484">
        <v>2.4643000000000002</v>
      </c>
      <c r="F3792" s="484">
        <v>2.4344000000000001</v>
      </c>
      <c r="G3792" s="83">
        <f t="shared" si="58"/>
        <v>2.4814444444444441</v>
      </c>
    </row>
    <row r="3793" spans="1:7" x14ac:dyDescent="0.2">
      <c r="A3793" s="75">
        <v>44231</v>
      </c>
      <c r="B3793" s="76" t="s">
        <v>35</v>
      </c>
      <c r="C3793" s="76" t="s">
        <v>536</v>
      </c>
      <c r="D3793" s="484">
        <v>7509.3643099999999</v>
      </c>
      <c r="E3793" s="484">
        <v>2.4354</v>
      </c>
      <c r="F3793" s="484">
        <v>2.5097</v>
      </c>
      <c r="G3793" s="83">
        <f t="shared" si="58"/>
        <v>2.4767079365079363</v>
      </c>
    </row>
    <row r="3794" spans="1:7" x14ac:dyDescent="0.2">
      <c r="A3794" s="75">
        <v>44232</v>
      </c>
      <c r="B3794" s="76" t="s">
        <v>35</v>
      </c>
      <c r="C3794" s="76" t="s">
        <v>536</v>
      </c>
      <c r="D3794" s="484">
        <v>7516.1551710000003</v>
      </c>
      <c r="E3794" s="484">
        <v>2.5108000000000001</v>
      </c>
      <c r="F3794" s="484">
        <v>2.4971999999999999</v>
      </c>
      <c r="G3794" s="83">
        <f t="shared" si="58"/>
        <v>2.4741888888888881</v>
      </c>
    </row>
    <row r="3795" spans="1:7" x14ac:dyDescent="0.2">
      <c r="A3795" s="75">
        <v>44235</v>
      </c>
      <c r="B3795" s="76" t="s">
        <v>35</v>
      </c>
      <c r="C3795" s="76" t="s">
        <v>536</v>
      </c>
      <c r="D3795" s="484">
        <v>7507.6383130000004</v>
      </c>
      <c r="E3795" s="484">
        <v>2.4984000000000002</v>
      </c>
      <c r="F3795" s="484">
        <v>2.5266000000000002</v>
      </c>
      <c r="G3795" s="83">
        <f t="shared" si="58"/>
        <v>2.4724761904761898</v>
      </c>
    </row>
    <row r="3796" spans="1:7" x14ac:dyDescent="0.2">
      <c r="A3796" s="75">
        <v>44236</v>
      </c>
      <c r="B3796" s="76" t="s">
        <v>35</v>
      </c>
      <c r="C3796" s="76" t="s">
        <v>536</v>
      </c>
      <c r="D3796" s="484">
        <v>7477.3362999999999</v>
      </c>
      <c r="E3796" s="484">
        <v>2.5276999999999998</v>
      </c>
      <c r="F3796" s="484">
        <v>2.6074000000000002</v>
      </c>
      <c r="G3796" s="83">
        <f t="shared" si="58"/>
        <v>2.4721555555555552</v>
      </c>
    </row>
    <row r="3797" spans="1:7" x14ac:dyDescent="0.2">
      <c r="A3797" s="75">
        <v>44237</v>
      </c>
      <c r="B3797" s="76" t="s">
        <v>35</v>
      </c>
      <c r="C3797" s="76" t="s">
        <v>536</v>
      </c>
      <c r="D3797" s="484">
        <v>7502.4852000000001</v>
      </c>
      <c r="E3797" s="484">
        <v>2.6084999999999998</v>
      </c>
      <c r="F3797" s="484">
        <v>2.5440999999999998</v>
      </c>
      <c r="G3797" s="83">
        <f t="shared" si="58"/>
        <v>2.4725507936507927</v>
      </c>
    </row>
    <row r="3798" spans="1:7" x14ac:dyDescent="0.2">
      <c r="A3798" s="75">
        <v>44238</v>
      </c>
      <c r="B3798" s="76" t="s">
        <v>35</v>
      </c>
      <c r="C3798" s="76" t="s">
        <v>536</v>
      </c>
      <c r="D3798" s="484">
        <v>7506.3196230000003</v>
      </c>
      <c r="E3798" s="484">
        <v>2.5453000000000001</v>
      </c>
      <c r="F3798" s="484">
        <v>2.5392999999999999</v>
      </c>
      <c r="G3798" s="83">
        <f t="shared" si="58"/>
        <v>2.4707158730158727</v>
      </c>
    </row>
    <row r="3799" spans="1:7" x14ac:dyDescent="0.2">
      <c r="A3799" s="75">
        <v>44239</v>
      </c>
      <c r="B3799" s="76" t="s">
        <v>35</v>
      </c>
      <c r="C3799" s="76" t="s">
        <v>536</v>
      </c>
      <c r="D3799" s="484">
        <v>7507.4473779999998</v>
      </c>
      <c r="E3799" s="484">
        <v>2.5405000000000002</v>
      </c>
      <c r="F3799" s="484">
        <v>2.5419</v>
      </c>
      <c r="G3799" s="83">
        <f t="shared" si="58"/>
        <v>2.4682841269841265</v>
      </c>
    </row>
    <row r="3800" spans="1:7" x14ac:dyDescent="0.2">
      <c r="A3800" s="75">
        <v>44244</v>
      </c>
      <c r="B3800" s="76" t="s">
        <v>35</v>
      </c>
      <c r="C3800" s="76" t="s">
        <v>536</v>
      </c>
      <c r="D3800" s="484">
        <v>7492.8289269999996</v>
      </c>
      <c r="E3800" s="484">
        <v>2.5430000000000001</v>
      </c>
      <c r="F3800" s="484">
        <v>2.5874999999999999</v>
      </c>
      <c r="G3800" s="83">
        <f t="shared" si="58"/>
        <v>2.4665222222222218</v>
      </c>
    </row>
    <row r="3801" spans="1:7" x14ac:dyDescent="0.2">
      <c r="A3801" s="75">
        <v>44245</v>
      </c>
      <c r="B3801" s="76" t="s">
        <v>35</v>
      </c>
      <c r="C3801" s="76" t="s">
        <v>536</v>
      </c>
      <c r="D3801" s="484">
        <v>7499.5779560000001</v>
      </c>
      <c r="E3801" s="484">
        <v>2.5886999999999998</v>
      </c>
      <c r="F3801" s="484">
        <v>2.5798000000000001</v>
      </c>
      <c r="G3801" s="83">
        <f t="shared" si="58"/>
        <v>2.4662047619047613</v>
      </c>
    </row>
    <row r="3802" spans="1:7" x14ac:dyDescent="0.2">
      <c r="A3802" s="75">
        <v>44246</v>
      </c>
      <c r="B3802" s="76" t="s">
        <v>35</v>
      </c>
      <c r="C3802" s="76" t="s">
        <v>536</v>
      </c>
      <c r="D3802" s="484">
        <v>7489.8270979999998</v>
      </c>
      <c r="E3802" s="484">
        <v>2.581</v>
      </c>
      <c r="F3802" s="484">
        <v>2.6173000000000002</v>
      </c>
      <c r="G3802" s="83">
        <f t="shared" si="58"/>
        <v>2.4658238095238088</v>
      </c>
    </row>
    <row r="3803" spans="1:7" x14ac:dyDescent="0.2">
      <c r="A3803" s="75">
        <v>44249</v>
      </c>
      <c r="B3803" s="76" t="s">
        <v>35</v>
      </c>
      <c r="C3803" s="76" t="s">
        <v>536</v>
      </c>
      <c r="D3803" s="484">
        <v>7445.5799829999996</v>
      </c>
      <c r="E3803" s="484">
        <v>2.6185</v>
      </c>
      <c r="F3803" s="484">
        <v>2.7498999999999998</v>
      </c>
      <c r="G3803" s="83">
        <f t="shared" si="58"/>
        <v>2.4645555555555552</v>
      </c>
    </row>
    <row r="3804" spans="1:7" x14ac:dyDescent="0.2">
      <c r="A3804" s="75">
        <v>44250</v>
      </c>
      <c r="B3804" s="76" t="s">
        <v>35</v>
      </c>
      <c r="C3804" s="76" t="s">
        <v>536</v>
      </c>
      <c r="D3804" s="484">
        <v>7452.7992180000001</v>
      </c>
      <c r="E3804" s="484">
        <v>2.7509999999999999</v>
      </c>
      <c r="F3804" s="484">
        <v>2.7408000000000001</v>
      </c>
      <c r="G3804" s="83">
        <f t="shared" si="58"/>
        <v>2.4653047619047621</v>
      </c>
    </row>
    <row r="3805" spans="1:7" x14ac:dyDescent="0.2">
      <c r="A3805" s="75">
        <v>44251</v>
      </c>
      <c r="B3805" s="76" t="s">
        <v>35</v>
      </c>
      <c r="C3805" s="76" t="s">
        <v>536</v>
      </c>
      <c r="D3805" s="484">
        <v>7427.3851000000004</v>
      </c>
      <c r="E3805" s="484">
        <v>2.742</v>
      </c>
      <c r="F3805" s="484">
        <v>2.8220000000000001</v>
      </c>
      <c r="G3805" s="83">
        <f t="shared" si="58"/>
        <v>2.4649047619047617</v>
      </c>
    </row>
    <row r="3806" spans="1:7" x14ac:dyDescent="0.2">
      <c r="A3806" s="75">
        <v>44252</v>
      </c>
      <c r="B3806" s="76" t="s">
        <v>35</v>
      </c>
      <c r="C3806" s="76" t="s">
        <v>536</v>
      </c>
      <c r="D3806" s="484">
        <v>7371.4173860000001</v>
      </c>
      <c r="E3806" s="484">
        <v>2.8231999999999999</v>
      </c>
      <c r="F3806" s="484">
        <v>2.9887999999999999</v>
      </c>
      <c r="G3806" s="83">
        <f t="shared" si="58"/>
        <v>2.4646031746031745</v>
      </c>
    </row>
    <row r="3807" spans="1:7" x14ac:dyDescent="0.2">
      <c r="A3807" s="75">
        <v>44253</v>
      </c>
      <c r="B3807" s="76" t="s">
        <v>35</v>
      </c>
      <c r="C3807" s="76" t="s">
        <v>536</v>
      </c>
      <c r="D3807" s="484">
        <v>7327.4335849999998</v>
      </c>
      <c r="E3807" s="484">
        <v>2.9897999999999998</v>
      </c>
      <c r="F3807" s="484">
        <v>3.1232000000000002</v>
      </c>
      <c r="G3807" s="83">
        <f t="shared" si="58"/>
        <v>2.4676</v>
      </c>
    </row>
    <row r="3808" spans="1:7" x14ac:dyDescent="0.2">
      <c r="A3808" s="75">
        <v>44256</v>
      </c>
      <c r="B3808" s="76" t="s">
        <v>35</v>
      </c>
      <c r="C3808" s="76" t="s">
        <v>536</v>
      </c>
      <c r="D3808" s="484">
        <v>7302.7657140000001</v>
      </c>
      <c r="E3808" s="484">
        <v>3.1240000000000001</v>
      </c>
      <c r="F3808" s="484">
        <v>3.2037</v>
      </c>
      <c r="G3808" s="83">
        <f t="shared" si="58"/>
        <v>2.472720634920635</v>
      </c>
    </row>
    <row r="3809" spans="1:7" x14ac:dyDescent="0.2">
      <c r="A3809" s="75">
        <v>44257</v>
      </c>
      <c r="B3809" s="76" t="s">
        <v>35</v>
      </c>
      <c r="C3809" s="76" t="s">
        <v>536</v>
      </c>
      <c r="D3809" s="484">
        <v>7282.9095340000003</v>
      </c>
      <c r="E3809" s="484">
        <v>3.2044999999999999</v>
      </c>
      <c r="F3809" s="484">
        <v>3.2709000000000001</v>
      </c>
      <c r="G3809" s="83">
        <f t="shared" si="58"/>
        <v>2.4798047619047621</v>
      </c>
    </row>
    <row r="3810" spans="1:7" x14ac:dyDescent="0.2">
      <c r="A3810" s="75">
        <v>44258</v>
      </c>
      <c r="B3810" s="76" t="s">
        <v>35</v>
      </c>
      <c r="C3810" s="76" t="s">
        <v>536</v>
      </c>
      <c r="D3810" s="484">
        <v>7282.978435</v>
      </c>
      <c r="E3810" s="484">
        <v>3.2717000000000001</v>
      </c>
      <c r="F3810" s="484">
        <v>3.2816999999999998</v>
      </c>
      <c r="G3810" s="83">
        <f t="shared" si="58"/>
        <v>2.4896015873015869</v>
      </c>
    </row>
    <row r="3811" spans="1:7" x14ac:dyDescent="0.2">
      <c r="A3811" s="75">
        <v>44259</v>
      </c>
      <c r="B3811" s="76" t="s">
        <v>35</v>
      </c>
      <c r="C3811" s="76" t="s">
        <v>536</v>
      </c>
      <c r="D3811" s="484">
        <v>7369.9013640000003</v>
      </c>
      <c r="E3811" s="484">
        <v>3.2825000000000002</v>
      </c>
      <c r="F3811" s="484">
        <v>3.0476999999999999</v>
      </c>
      <c r="G3811" s="83">
        <f t="shared" si="58"/>
        <v>2.4993111111111106</v>
      </c>
    </row>
    <row r="3812" spans="1:7" x14ac:dyDescent="0.2">
      <c r="A3812" s="75">
        <v>44260</v>
      </c>
      <c r="B3812" s="76" t="s">
        <v>35</v>
      </c>
      <c r="C3812" s="76" t="s">
        <v>536</v>
      </c>
      <c r="D3812" s="484">
        <v>7467.3081499999998</v>
      </c>
      <c r="E3812" s="484">
        <v>3.0486</v>
      </c>
      <c r="F3812" s="484">
        <v>2.7881</v>
      </c>
      <c r="G3812" s="83">
        <f t="shared" si="58"/>
        <v>2.5068222222222225</v>
      </c>
    </row>
    <row r="3813" spans="1:7" x14ac:dyDescent="0.2">
      <c r="A3813" s="75">
        <v>44263</v>
      </c>
      <c r="B3813" s="76" t="s">
        <v>35</v>
      </c>
      <c r="C3813" s="76" t="s">
        <v>536</v>
      </c>
      <c r="D3813" s="484">
        <v>7408.3851759999998</v>
      </c>
      <c r="E3813" s="484">
        <v>2.7888999999999999</v>
      </c>
      <c r="F3813" s="484">
        <v>2.9618000000000002</v>
      </c>
      <c r="G3813" s="83">
        <f t="shared" si="58"/>
        <v>2.5110063492063497</v>
      </c>
    </row>
    <row r="3814" spans="1:7" x14ac:dyDescent="0.2">
      <c r="A3814" s="75">
        <v>44264</v>
      </c>
      <c r="B3814" s="76" t="s">
        <v>35</v>
      </c>
      <c r="C3814" s="76" t="s">
        <v>536</v>
      </c>
      <c r="D3814" s="484">
        <v>7390.3747169999997</v>
      </c>
      <c r="E3814" s="484">
        <v>2.9626000000000001</v>
      </c>
      <c r="F3814" s="484">
        <v>3.0226999999999999</v>
      </c>
      <c r="G3814" s="83">
        <f t="shared" si="58"/>
        <v>2.5205920634920642</v>
      </c>
    </row>
    <row r="3815" spans="1:7" x14ac:dyDescent="0.2">
      <c r="A3815" s="75">
        <v>44265</v>
      </c>
      <c r="B3815" s="76" t="s">
        <v>35</v>
      </c>
      <c r="C3815" s="76" t="s">
        <v>536</v>
      </c>
      <c r="D3815" s="484">
        <v>7403.962074</v>
      </c>
      <c r="E3815" s="484">
        <v>3.0234999999999999</v>
      </c>
      <c r="F3815" s="484">
        <v>2.9956</v>
      </c>
      <c r="G3815" s="83">
        <f t="shared" si="58"/>
        <v>2.5313984126984139</v>
      </c>
    </row>
    <row r="3816" spans="1:7" x14ac:dyDescent="0.2">
      <c r="A3816" s="75">
        <v>44266</v>
      </c>
      <c r="B3816" s="76" t="s">
        <v>35</v>
      </c>
      <c r="C3816" s="76" t="s">
        <v>536</v>
      </c>
      <c r="D3816" s="484">
        <v>7425.9102229999999</v>
      </c>
      <c r="E3816" s="484">
        <v>2.9964</v>
      </c>
      <c r="F3816" s="484">
        <v>2.9817</v>
      </c>
      <c r="G3816" s="83">
        <f t="shared" si="58"/>
        <v>2.5418444444444455</v>
      </c>
    </row>
    <row r="3817" spans="1:7" x14ac:dyDescent="0.2">
      <c r="A3817" s="75">
        <v>44267</v>
      </c>
      <c r="B3817" s="76" t="s">
        <v>35</v>
      </c>
      <c r="C3817" s="76" t="s">
        <v>536</v>
      </c>
      <c r="D3817" s="484">
        <v>7404.051821</v>
      </c>
      <c r="E3817" s="484">
        <v>2.9824999999999999</v>
      </c>
      <c r="F3817" s="484">
        <v>3.0554999999999999</v>
      </c>
      <c r="G3817" s="83">
        <f t="shared" si="58"/>
        <v>2.5524142857142862</v>
      </c>
    </row>
    <row r="3818" spans="1:7" x14ac:dyDescent="0.2">
      <c r="A3818" s="75">
        <v>44270</v>
      </c>
      <c r="B3818" s="76" t="s">
        <v>35</v>
      </c>
      <c r="C3818" s="76" t="s">
        <v>536</v>
      </c>
      <c r="D3818" s="484">
        <v>7399.2725280000004</v>
      </c>
      <c r="E3818" s="484">
        <v>3.0562999999999998</v>
      </c>
      <c r="F3818" s="484">
        <v>3.0819000000000001</v>
      </c>
      <c r="G3818" s="83">
        <f t="shared" si="58"/>
        <v>2.5640936507936511</v>
      </c>
    </row>
    <row r="3819" spans="1:7" x14ac:dyDescent="0.2">
      <c r="A3819" s="75">
        <v>44271</v>
      </c>
      <c r="B3819" s="76" t="s">
        <v>35</v>
      </c>
      <c r="C3819" s="76" t="s">
        <v>536</v>
      </c>
      <c r="D3819" s="484">
        <v>7396.4057949999997</v>
      </c>
      <c r="E3819" s="484">
        <v>3.0825999999999998</v>
      </c>
      <c r="F3819" s="484">
        <v>3.1013000000000002</v>
      </c>
      <c r="G3819" s="83">
        <f t="shared" si="58"/>
        <v>2.5766412698412711</v>
      </c>
    </row>
    <row r="3820" spans="1:7" x14ac:dyDescent="0.2">
      <c r="A3820" s="75">
        <v>44272</v>
      </c>
      <c r="B3820" s="76" t="s">
        <v>35</v>
      </c>
      <c r="C3820" s="76" t="s">
        <v>536</v>
      </c>
      <c r="D3820" s="484">
        <v>7404.625454</v>
      </c>
      <c r="E3820" s="484">
        <v>3.1019999999999999</v>
      </c>
      <c r="F3820" s="484">
        <v>3.0897999999999999</v>
      </c>
      <c r="G3820" s="83">
        <f t="shared" si="58"/>
        <v>2.5908952380952393</v>
      </c>
    </row>
    <row r="3821" spans="1:7" x14ac:dyDescent="0.2">
      <c r="A3821" s="75">
        <v>44273</v>
      </c>
      <c r="B3821" s="76" t="s">
        <v>35</v>
      </c>
      <c r="C3821" s="76" t="s">
        <v>536</v>
      </c>
      <c r="D3821" s="484">
        <v>7376.24107</v>
      </c>
      <c r="E3821" s="484">
        <v>3.0905</v>
      </c>
      <c r="F3821" s="484">
        <v>3.1804999999999999</v>
      </c>
      <c r="G3821" s="83">
        <f t="shared" si="58"/>
        <v>2.6046968253968257</v>
      </c>
    </row>
    <row r="3822" spans="1:7" x14ac:dyDescent="0.2">
      <c r="A3822" s="75">
        <v>44274</v>
      </c>
      <c r="B3822" s="76" t="s">
        <v>35</v>
      </c>
      <c r="C3822" s="76" t="s">
        <v>536</v>
      </c>
      <c r="D3822" s="484">
        <v>7322.3364750000001</v>
      </c>
      <c r="E3822" s="484">
        <v>3.1812</v>
      </c>
      <c r="F3822" s="484">
        <v>3.3435999999999999</v>
      </c>
      <c r="G3822" s="83">
        <f t="shared" si="58"/>
        <v>2.6205809523809527</v>
      </c>
    </row>
    <row r="3823" spans="1:7" x14ac:dyDescent="0.2">
      <c r="A3823" s="75">
        <v>44277</v>
      </c>
      <c r="B3823" s="76" t="s">
        <v>35</v>
      </c>
      <c r="C3823" s="76" t="s">
        <v>536</v>
      </c>
      <c r="D3823" s="484">
        <v>7304.7841440000002</v>
      </c>
      <c r="E3823" s="484">
        <v>3.3443000000000001</v>
      </c>
      <c r="F3823" s="484">
        <v>3.4049</v>
      </c>
      <c r="G3823" s="83">
        <f t="shared" si="58"/>
        <v>2.6384619047619053</v>
      </c>
    </row>
    <row r="3824" spans="1:7" x14ac:dyDescent="0.2">
      <c r="A3824" s="75">
        <v>44278</v>
      </c>
      <c r="B3824" s="76" t="s">
        <v>35</v>
      </c>
      <c r="C3824" s="76" t="s">
        <v>536</v>
      </c>
      <c r="D3824" s="484">
        <v>7270.5773140000001</v>
      </c>
      <c r="E3824" s="484">
        <v>3.4056000000000002</v>
      </c>
      <c r="F3824" s="484">
        <v>3.5137999999999998</v>
      </c>
      <c r="G3824" s="83">
        <f t="shared" si="58"/>
        <v>2.6573761904761906</v>
      </c>
    </row>
    <row r="3825" spans="1:7" x14ac:dyDescent="0.2">
      <c r="A3825" s="75">
        <v>44279</v>
      </c>
      <c r="B3825" s="76" t="s">
        <v>35</v>
      </c>
      <c r="C3825" s="76" t="s">
        <v>536</v>
      </c>
      <c r="D3825" s="484">
        <v>7257.1160950000003</v>
      </c>
      <c r="E3825" s="484">
        <v>3.5145</v>
      </c>
      <c r="F3825" s="484">
        <v>3.5640000000000001</v>
      </c>
      <c r="G3825" s="83">
        <f t="shared" si="58"/>
        <v>2.6778238095238094</v>
      </c>
    </row>
    <row r="3826" spans="1:7" x14ac:dyDescent="0.2">
      <c r="A3826" s="75">
        <v>44280</v>
      </c>
      <c r="B3826" s="76" t="s">
        <v>35</v>
      </c>
      <c r="C3826" s="76" t="s">
        <v>536</v>
      </c>
      <c r="D3826" s="484">
        <v>7256.4641009999996</v>
      </c>
      <c r="E3826" s="484">
        <v>3.5647000000000002</v>
      </c>
      <c r="F3826" s="484">
        <v>3.5777000000000001</v>
      </c>
      <c r="G3826" s="83">
        <f t="shared" si="58"/>
        <v>2.6987428571428569</v>
      </c>
    </row>
    <row r="3827" spans="1:7" x14ac:dyDescent="0.2">
      <c r="A3827" s="75">
        <v>44281</v>
      </c>
      <c r="B3827" s="76" t="s">
        <v>35</v>
      </c>
      <c r="C3827" s="76" t="s">
        <v>536</v>
      </c>
      <c r="D3827" s="484">
        <v>7279.8118119999999</v>
      </c>
      <c r="E3827" s="484">
        <v>3.5783</v>
      </c>
      <c r="F3827" s="484">
        <v>3.5363000000000002</v>
      </c>
      <c r="G3827" s="83">
        <f t="shared" si="58"/>
        <v>2.7197793650793649</v>
      </c>
    </row>
    <row r="3828" spans="1:7" x14ac:dyDescent="0.2">
      <c r="A3828" s="75">
        <v>44284</v>
      </c>
      <c r="B3828" s="76" t="s">
        <v>35</v>
      </c>
      <c r="C3828" s="76" t="s">
        <v>536</v>
      </c>
      <c r="D3828" s="484">
        <v>7267.5329019999999</v>
      </c>
      <c r="E3828" s="484">
        <v>3.5369000000000002</v>
      </c>
      <c r="F3828" s="484">
        <v>3.5844999999999998</v>
      </c>
      <c r="G3828" s="83">
        <f t="shared" si="58"/>
        <v>2.7412698412698409</v>
      </c>
    </row>
    <row r="3829" spans="1:7" x14ac:dyDescent="0.2">
      <c r="A3829" s="75">
        <v>44285</v>
      </c>
      <c r="B3829" s="76" t="s">
        <v>35</v>
      </c>
      <c r="C3829" s="76" t="s">
        <v>536</v>
      </c>
      <c r="D3829" s="484">
        <v>7280.0401830000001</v>
      </c>
      <c r="E3829" s="484">
        <v>3.5851000000000002</v>
      </c>
      <c r="F3829" s="484">
        <v>3.5621</v>
      </c>
      <c r="G3829" s="83">
        <f t="shared" si="58"/>
        <v>2.7634999999999996</v>
      </c>
    </row>
    <row r="3830" spans="1:7" x14ac:dyDescent="0.2">
      <c r="A3830" s="75">
        <v>44286</v>
      </c>
      <c r="B3830" s="76" t="s">
        <v>35</v>
      </c>
      <c r="C3830" s="76" t="s">
        <v>536</v>
      </c>
      <c r="D3830" s="484">
        <v>7285.2497169999997</v>
      </c>
      <c r="E3830" s="484">
        <v>3.5627</v>
      </c>
      <c r="F3830" s="484">
        <v>3.5605000000000002</v>
      </c>
      <c r="G3830" s="83">
        <f t="shared" si="58"/>
        <v>2.7848587301587302</v>
      </c>
    </row>
    <row r="3831" spans="1:7" x14ac:dyDescent="0.2">
      <c r="A3831" s="75">
        <v>44287</v>
      </c>
      <c r="B3831" s="76" t="s">
        <v>35</v>
      </c>
      <c r="C3831" s="76" t="s">
        <v>536</v>
      </c>
      <c r="D3831" s="484">
        <v>7286.0325620000003</v>
      </c>
      <c r="E3831" s="484">
        <v>3.5611999999999999</v>
      </c>
      <c r="F3831" s="484">
        <v>3.5716000000000001</v>
      </c>
      <c r="G3831" s="83">
        <f t="shared" si="58"/>
        <v>2.8072587301587304</v>
      </c>
    </row>
    <row r="3832" spans="1:7" x14ac:dyDescent="0.2">
      <c r="A3832" s="75">
        <v>44291</v>
      </c>
      <c r="B3832" s="76" t="s">
        <v>35</v>
      </c>
      <c r="C3832" s="76" t="s">
        <v>536</v>
      </c>
      <c r="D3832" s="484">
        <v>7278.9513790000001</v>
      </c>
      <c r="E3832" s="484">
        <v>3.5722999999999998</v>
      </c>
      <c r="F3832" s="484">
        <v>3.6051000000000002</v>
      </c>
      <c r="G3832" s="83">
        <f t="shared" si="58"/>
        <v>2.8302206349206354</v>
      </c>
    </row>
    <row r="3833" spans="1:7" x14ac:dyDescent="0.2">
      <c r="A3833" s="75">
        <v>44292</v>
      </c>
      <c r="B3833" s="76" t="s">
        <v>35</v>
      </c>
      <c r="C3833" s="76" t="s">
        <v>536</v>
      </c>
      <c r="D3833" s="484">
        <v>7264.357927</v>
      </c>
      <c r="E3833" s="484">
        <v>3.6057000000000001</v>
      </c>
      <c r="F3833" s="484">
        <v>3.66</v>
      </c>
      <c r="G3833" s="83">
        <f t="shared" si="58"/>
        <v>2.8537190476190482</v>
      </c>
    </row>
    <row r="3834" spans="1:7" x14ac:dyDescent="0.2">
      <c r="A3834" s="75">
        <v>44293</v>
      </c>
      <c r="B3834" s="76" t="s">
        <v>35</v>
      </c>
      <c r="C3834" s="76" t="s">
        <v>536</v>
      </c>
      <c r="D3834" s="484">
        <v>7257.2622350000001</v>
      </c>
      <c r="E3834" s="484">
        <v>3.6606999999999998</v>
      </c>
      <c r="F3834" s="484">
        <v>3.6937000000000002</v>
      </c>
      <c r="G3834" s="83">
        <f t="shared" si="58"/>
        <v>2.8780650793650797</v>
      </c>
    </row>
    <row r="3835" spans="1:7" x14ac:dyDescent="0.2">
      <c r="A3835" s="75">
        <v>44294</v>
      </c>
      <c r="B3835" s="76" t="s">
        <v>35</v>
      </c>
      <c r="C3835" s="76" t="s">
        <v>536</v>
      </c>
      <c r="D3835" s="484">
        <v>7312.2075670000004</v>
      </c>
      <c r="E3835" s="484">
        <v>3.6943000000000001</v>
      </c>
      <c r="F3835" s="484">
        <v>3.5506000000000002</v>
      </c>
      <c r="G3835" s="83">
        <f t="shared" si="58"/>
        <v>2.9018698412698414</v>
      </c>
    </row>
    <row r="3836" spans="1:7" x14ac:dyDescent="0.2">
      <c r="A3836" s="75">
        <v>44295</v>
      </c>
      <c r="B3836" s="76" t="s">
        <v>35</v>
      </c>
      <c r="C3836" s="76" t="s">
        <v>536</v>
      </c>
      <c r="D3836" s="484">
        <v>7269.4387360000001</v>
      </c>
      <c r="E3836" s="484">
        <v>3.5512000000000001</v>
      </c>
      <c r="F3836" s="484">
        <v>3.6669999999999998</v>
      </c>
      <c r="G3836" s="83">
        <f t="shared" si="58"/>
        <v>2.9228428571428569</v>
      </c>
    </row>
    <row r="3837" spans="1:7" x14ac:dyDescent="0.2">
      <c r="A3837" s="75">
        <v>44298</v>
      </c>
      <c r="B3837" s="76" t="s">
        <v>35</v>
      </c>
      <c r="C3837" s="76" t="s">
        <v>536</v>
      </c>
      <c r="D3837" s="484">
        <v>7259.8824640000003</v>
      </c>
      <c r="E3837" s="484">
        <v>3.6676000000000002</v>
      </c>
      <c r="F3837" s="484">
        <v>3.7065999999999999</v>
      </c>
      <c r="G3837" s="83">
        <f t="shared" si="58"/>
        <v>2.9436476190476193</v>
      </c>
    </row>
    <row r="3838" spans="1:7" x14ac:dyDescent="0.2">
      <c r="A3838" s="75">
        <v>44299</v>
      </c>
      <c r="B3838" s="76" t="s">
        <v>35</v>
      </c>
      <c r="C3838" s="76" t="s">
        <v>536</v>
      </c>
      <c r="D3838" s="484">
        <v>7227.77232</v>
      </c>
      <c r="E3838" s="484">
        <v>3.7071999999999998</v>
      </c>
      <c r="F3838" s="484">
        <v>3.8109999999999999</v>
      </c>
      <c r="G3838" s="83">
        <f t="shared" si="58"/>
        <v>2.9645888888888892</v>
      </c>
    </row>
    <row r="3839" spans="1:7" x14ac:dyDescent="0.2">
      <c r="A3839" s="75">
        <v>44300</v>
      </c>
      <c r="B3839" s="76" t="s">
        <v>35</v>
      </c>
      <c r="C3839" s="76" t="s">
        <v>536</v>
      </c>
      <c r="D3839" s="484">
        <v>7225.6610469999996</v>
      </c>
      <c r="E3839" s="484">
        <v>3.8117000000000001</v>
      </c>
      <c r="F3839" s="484">
        <v>3.8296000000000001</v>
      </c>
      <c r="G3839" s="83">
        <f t="shared" si="58"/>
        <v>2.9844460317460322</v>
      </c>
    </row>
    <row r="3840" spans="1:7" x14ac:dyDescent="0.2">
      <c r="A3840" s="75">
        <v>44301</v>
      </c>
      <c r="B3840" s="76" t="s">
        <v>35</v>
      </c>
      <c r="C3840" s="76" t="s">
        <v>536</v>
      </c>
      <c r="D3840" s="484">
        <v>7250.4798280000005</v>
      </c>
      <c r="E3840" s="484">
        <v>3.8302</v>
      </c>
      <c r="F3840" s="484">
        <v>3.7707999999999999</v>
      </c>
      <c r="G3840" s="83">
        <f t="shared" si="58"/>
        <v>3.0055079365079371</v>
      </c>
    </row>
    <row r="3841" spans="1:7" x14ac:dyDescent="0.2">
      <c r="A3841" s="75">
        <v>44302</v>
      </c>
      <c r="B3841" s="76" t="s">
        <v>35</v>
      </c>
      <c r="C3841" s="76" t="s">
        <v>536</v>
      </c>
      <c r="D3841" s="484">
        <v>7284.5735119999999</v>
      </c>
      <c r="E3841" s="484">
        <v>3.7715000000000001</v>
      </c>
      <c r="F3841" s="484">
        <v>3.681</v>
      </c>
      <c r="G3841" s="83">
        <f t="shared" si="58"/>
        <v>3.0242253968253974</v>
      </c>
    </row>
    <row r="3842" spans="1:7" x14ac:dyDescent="0.2">
      <c r="A3842" s="75">
        <v>44305</v>
      </c>
      <c r="B3842" s="76" t="s">
        <v>35</v>
      </c>
      <c r="C3842" s="76" t="s">
        <v>536</v>
      </c>
      <c r="D3842" s="484">
        <v>7316.5008250000001</v>
      </c>
      <c r="E3842" s="484">
        <v>3.6818</v>
      </c>
      <c r="F3842" s="484">
        <v>3.5979000000000001</v>
      </c>
      <c r="G3842" s="83">
        <f t="shared" si="58"/>
        <v>3.0425555555555568</v>
      </c>
    </row>
    <row r="3843" spans="1:7" x14ac:dyDescent="0.2">
      <c r="A3843" s="75">
        <v>44306</v>
      </c>
      <c r="B3843" s="76" t="s">
        <v>35</v>
      </c>
      <c r="C3843" s="76" t="s">
        <v>536</v>
      </c>
      <c r="D3843" s="484">
        <v>7279.0252030000001</v>
      </c>
      <c r="E3843" s="484">
        <v>3.5988000000000002</v>
      </c>
      <c r="F3843" s="484">
        <v>3.7121</v>
      </c>
      <c r="G3843" s="83">
        <f t="shared" ref="G3843:G3906" si="59">+AVERAGE(E3781:E3843)</f>
        <v>3.0591158730158741</v>
      </c>
    </row>
    <row r="3844" spans="1:7" x14ac:dyDescent="0.2">
      <c r="A3844" s="75">
        <v>44308</v>
      </c>
      <c r="B3844" s="76" t="s">
        <v>35</v>
      </c>
      <c r="C3844" s="76" t="s">
        <v>536</v>
      </c>
      <c r="D3844" s="484">
        <v>7332.9616020000003</v>
      </c>
      <c r="E3844" s="484">
        <v>3.7130000000000001</v>
      </c>
      <c r="F3844" s="484">
        <v>3.5667</v>
      </c>
      <c r="G3844" s="83">
        <f t="shared" si="59"/>
        <v>3.0777079365079376</v>
      </c>
    </row>
    <row r="3845" spans="1:7" x14ac:dyDescent="0.2">
      <c r="A3845" s="75">
        <v>44309</v>
      </c>
      <c r="B3845" s="76" t="s">
        <v>35</v>
      </c>
      <c r="C3845" s="76" t="s">
        <v>536</v>
      </c>
      <c r="D3845" s="484">
        <v>7353.5918080000001</v>
      </c>
      <c r="E3845" s="484">
        <v>3.5676999999999999</v>
      </c>
      <c r="F3845" s="484">
        <v>3.5162</v>
      </c>
      <c r="G3845" s="83">
        <f t="shared" si="59"/>
        <v>3.0933650793650798</v>
      </c>
    </row>
    <row r="3846" spans="1:7" x14ac:dyDescent="0.2">
      <c r="A3846" s="75">
        <v>44312</v>
      </c>
      <c r="B3846" s="76" t="s">
        <v>35</v>
      </c>
      <c r="C3846" s="76" t="s">
        <v>536</v>
      </c>
      <c r="D3846" s="484">
        <v>7367.6551769999996</v>
      </c>
      <c r="E3846" s="484">
        <v>3.5171000000000001</v>
      </c>
      <c r="F3846" s="484">
        <v>3.4842</v>
      </c>
      <c r="G3846" s="83">
        <f t="shared" si="59"/>
        <v>3.1082412698412702</v>
      </c>
    </row>
    <row r="3847" spans="1:7" x14ac:dyDescent="0.2">
      <c r="A3847" s="75">
        <v>44313</v>
      </c>
      <c r="B3847" s="76" t="s">
        <v>35</v>
      </c>
      <c r="C3847" s="76" t="s">
        <v>536</v>
      </c>
      <c r="D3847" s="484">
        <v>7387.1610099999998</v>
      </c>
      <c r="E3847" s="484">
        <v>3.4851000000000001</v>
      </c>
      <c r="F3847" s="484">
        <v>3.4369999999999998</v>
      </c>
      <c r="G3847" s="83">
        <f t="shared" si="59"/>
        <v>3.1216380952380955</v>
      </c>
    </row>
    <row r="3848" spans="1:7" x14ac:dyDescent="0.2">
      <c r="A3848" s="75">
        <v>44314</v>
      </c>
      <c r="B3848" s="76" t="s">
        <v>35</v>
      </c>
      <c r="C3848" s="76" t="s">
        <v>536</v>
      </c>
      <c r="D3848" s="484">
        <v>7410.0223770000002</v>
      </c>
      <c r="E3848" s="484">
        <v>3.4379</v>
      </c>
      <c r="F3848" s="484">
        <v>3.3727</v>
      </c>
      <c r="G3848" s="83">
        <f t="shared" si="59"/>
        <v>3.1325571428571433</v>
      </c>
    </row>
    <row r="3849" spans="1:7" x14ac:dyDescent="0.2">
      <c r="A3849" s="75">
        <v>44315</v>
      </c>
      <c r="B3849" s="76" t="s">
        <v>35</v>
      </c>
      <c r="C3849" s="76" t="s">
        <v>536</v>
      </c>
      <c r="D3849" s="484">
        <v>7419.2245480000001</v>
      </c>
      <c r="E3849" s="484">
        <v>3.3736000000000002</v>
      </c>
      <c r="F3849" s="484">
        <v>3.3534999999999999</v>
      </c>
      <c r="G3849" s="83">
        <f t="shared" si="59"/>
        <v>3.1424238095238102</v>
      </c>
    </row>
    <row r="3850" spans="1:7" x14ac:dyDescent="0.2">
      <c r="A3850" s="75">
        <v>44316</v>
      </c>
      <c r="B3850" s="76" t="s">
        <v>35</v>
      </c>
      <c r="C3850" s="76" t="s">
        <v>536</v>
      </c>
      <c r="D3850" s="484">
        <v>7392.8728199999996</v>
      </c>
      <c r="E3850" s="484">
        <v>3.3544999999999998</v>
      </c>
      <c r="F3850" s="484">
        <v>3.4337</v>
      </c>
      <c r="G3850" s="83">
        <f t="shared" si="59"/>
        <v>3.1523841269841277</v>
      </c>
    </row>
    <row r="3851" spans="1:7" x14ac:dyDescent="0.2">
      <c r="A3851" s="75">
        <v>44319</v>
      </c>
      <c r="B3851" s="76" t="s">
        <v>35</v>
      </c>
      <c r="C3851" s="76" t="s">
        <v>536</v>
      </c>
      <c r="D3851" s="484">
        <v>7387.3513380000004</v>
      </c>
      <c r="E3851" s="484">
        <v>3.4348000000000001</v>
      </c>
      <c r="F3851" s="484">
        <v>3.4559000000000002</v>
      </c>
      <c r="G3851" s="83">
        <f t="shared" si="59"/>
        <v>3.1641825396825403</v>
      </c>
    </row>
    <row r="3852" spans="1:7" x14ac:dyDescent="0.2">
      <c r="A3852" s="75">
        <v>44320</v>
      </c>
      <c r="B3852" s="76" t="s">
        <v>35</v>
      </c>
      <c r="C3852" s="76" t="s">
        <v>536</v>
      </c>
      <c r="D3852" s="484">
        <v>7356.021291</v>
      </c>
      <c r="E3852" s="484">
        <v>3.4569000000000001</v>
      </c>
      <c r="F3852" s="484">
        <v>3.5506000000000002</v>
      </c>
      <c r="G3852" s="83">
        <f t="shared" si="59"/>
        <v>3.1775904761904767</v>
      </c>
    </row>
    <row r="3853" spans="1:7" x14ac:dyDescent="0.2">
      <c r="A3853" s="75">
        <v>44321</v>
      </c>
      <c r="B3853" s="76" t="s">
        <v>35</v>
      </c>
      <c r="C3853" s="76" t="s">
        <v>536</v>
      </c>
      <c r="D3853" s="484">
        <v>7362.8135840000004</v>
      </c>
      <c r="E3853" s="484">
        <v>3.5516999999999999</v>
      </c>
      <c r="F3853" s="484">
        <v>3.5383</v>
      </c>
      <c r="G3853" s="83">
        <f t="shared" si="59"/>
        <v>3.193803174603175</v>
      </c>
    </row>
    <row r="3854" spans="1:7" x14ac:dyDescent="0.2">
      <c r="A3854" s="75">
        <v>44322</v>
      </c>
      <c r="B3854" s="76" t="s">
        <v>35</v>
      </c>
      <c r="C3854" s="76" t="s">
        <v>536</v>
      </c>
      <c r="D3854" s="484">
        <v>7376.7619240000004</v>
      </c>
      <c r="E3854" s="484">
        <v>3.5394000000000001</v>
      </c>
      <c r="F3854" s="484">
        <v>3.5059</v>
      </c>
      <c r="G3854" s="83">
        <f t="shared" si="59"/>
        <v>3.2095857142857147</v>
      </c>
    </row>
    <row r="3855" spans="1:7" x14ac:dyDescent="0.2">
      <c r="A3855" s="75">
        <v>44323</v>
      </c>
      <c r="B3855" s="76" t="s">
        <v>35</v>
      </c>
      <c r="C3855" s="76" t="s">
        <v>536</v>
      </c>
      <c r="D3855" s="484">
        <v>7389.375376</v>
      </c>
      <c r="E3855" s="484">
        <v>3.5070000000000001</v>
      </c>
      <c r="F3855" s="484">
        <v>3.4773000000000001</v>
      </c>
      <c r="G3855" s="83">
        <f t="shared" si="59"/>
        <v>3.2261365079365087</v>
      </c>
    </row>
    <row r="3856" spans="1:7" x14ac:dyDescent="0.2">
      <c r="A3856" s="75">
        <v>44326</v>
      </c>
      <c r="B3856" s="76" t="s">
        <v>35</v>
      </c>
      <c r="C3856" s="76" t="s">
        <v>536</v>
      </c>
      <c r="D3856" s="484">
        <v>7378.8840650000002</v>
      </c>
      <c r="E3856" s="484">
        <v>3.4784000000000002</v>
      </c>
      <c r="F3856" s="484">
        <v>3.5135000000000001</v>
      </c>
      <c r="G3856" s="83">
        <f t="shared" si="59"/>
        <v>3.2426920634920644</v>
      </c>
    </row>
    <row r="3857" spans="1:7" x14ac:dyDescent="0.2">
      <c r="A3857" s="75">
        <v>44327</v>
      </c>
      <c r="B3857" s="76" t="s">
        <v>35</v>
      </c>
      <c r="C3857" s="76" t="s">
        <v>536</v>
      </c>
      <c r="D3857" s="484">
        <v>7417.0472090000003</v>
      </c>
      <c r="E3857" s="484">
        <v>3.5145</v>
      </c>
      <c r="F3857" s="484">
        <v>3.4167000000000001</v>
      </c>
      <c r="G3857" s="83">
        <f t="shared" si="59"/>
        <v>3.2586238095238103</v>
      </c>
    </row>
    <row r="3858" spans="1:7" x14ac:dyDescent="0.2">
      <c r="A3858" s="75">
        <v>44328</v>
      </c>
      <c r="B3858" s="76" t="s">
        <v>35</v>
      </c>
      <c r="C3858" s="76" t="s">
        <v>536</v>
      </c>
      <c r="D3858" s="484">
        <v>7386.350531</v>
      </c>
      <c r="E3858" s="484">
        <v>3.4178000000000002</v>
      </c>
      <c r="F3858" s="484">
        <v>3.5095000000000001</v>
      </c>
      <c r="G3858" s="83">
        <f t="shared" si="59"/>
        <v>3.2732174603174609</v>
      </c>
    </row>
    <row r="3859" spans="1:7" x14ac:dyDescent="0.2">
      <c r="A3859" s="75">
        <v>44329</v>
      </c>
      <c r="B3859" s="76" t="s">
        <v>35</v>
      </c>
      <c r="C3859" s="76" t="s">
        <v>536</v>
      </c>
      <c r="D3859" s="484">
        <v>7383.1038829999998</v>
      </c>
      <c r="E3859" s="484">
        <v>3.5105</v>
      </c>
      <c r="F3859" s="484">
        <v>3.5255000000000001</v>
      </c>
      <c r="G3859" s="83">
        <f t="shared" si="59"/>
        <v>3.2888174603174614</v>
      </c>
    </row>
    <row r="3860" spans="1:7" x14ac:dyDescent="0.2">
      <c r="A3860" s="75">
        <v>44330</v>
      </c>
      <c r="B3860" s="76" t="s">
        <v>35</v>
      </c>
      <c r="C3860" s="76" t="s">
        <v>536</v>
      </c>
      <c r="D3860" s="484">
        <v>7385.528472</v>
      </c>
      <c r="E3860" s="484">
        <v>3.5266000000000002</v>
      </c>
      <c r="F3860" s="484">
        <v>3.5257000000000001</v>
      </c>
      <c r="G3860" s="83">
        <f t="shared" si="59"/>
        <v>3.3033904761904771</v>
      </c>
    </row>
    <row r="3861" spans="1:7" x14ac:dyDescent="0.2">
      <c r="A3861" s="75">
        <v>44333</v>
      </c>
      <c r="B3861" s="76" t="s">
        <v>35</v>
      </c>
      <c r="C3861" s="76" t="s">
        <v>536</v>
      </c>
      <c r="D3861" s="484">
        <v>7416.4353380000002</v>
      </c>
      <c r="E3861" s="484">
        <v>3.5268000000000002</v>
      </c>
      <c r="F3861" s="484">
        <v>3.4462000000000002</v>
      </c>
      <c r="G3861" s="83">
        <f t="shared" si="59"/>
        <v>3.3189698412698423</v>
      </c>
    </row>
    <row r="3862" spans="1:7" x14ac:dyDescent="0.2">
      <c r="A3862" s="75">
        <v>44334</v>
      </c>
      <c r="B3862" s="76" t="s">
        <v>35</v>
      </c>
      <c r="C3862" s="76" t="s">
        <v>536</v>
      </c>
      <c r="D3862" s="484">
        <v>7377.5230270000002</v>
      </c>
      <c r="E3862" s="484">
        <v>3.4472999999999998</v>
      </c>
      <c r="F3862" s="484">
        <v>3.5663</v>
      </c>
      <c r="G3862" s="83">
        <f t="shared" si="59"/>
        <v>3.3333634920634929</v>
      </c>
    </row>
    <row r="3863" spans="1:7" x14ac:dyDescent="0.2">
      <c r="A3863" s="75">
        <v>44335</v>
      </c>
      <c r="B3863" s="76" t="s">
        <v>35</v>
      </c>
      <c r="C3863" s="76" t="s">
        <v>536</v>
      </c>
      <c r="D3863" s="484">
        <v>7371.7659510000003</v>
      </c>
      <c r="E3863" s="484">
        <v>3.5674000000000001</v>
      </c>
      <c r="F3863" s="484">
        <v>3.5937000000000001</v>
      </c>
      <c r="G3863" s="83">
        <f t="shared" si="59"/>
        <v>3.3496238095238104</v>
      </c>
    </row>
    <row r="3864" spans="1:7" x14ac:dyDescent="0.2">
      <c r="A3864" s="75">
        <v>44336</v>
      </c>
      <c r="B3864" s="76" t="s">
        <v>35</v>
      </c>
      <c r="C3864" s="76" t="s">
        <v>536</v>
      </c>
      <c r="D3864" s="484">
        <v>7402.3201499999996</v>
      </c>
      <c r="E3864" s="484">
        <v>3.5947</v>
      </c>
      <c r="F3864" s="484">
        <v>3.5190999999999999</v>
      </c>
      <c r="G3864" s="83">
        <f t="shared" si="59"/>
        <v>3.365592063492064</v>
      </c>
    </row>
    <row r="3865" spans="1:7" x14ac:dyDescent="0.2">
      <c r="A3865" s="75">
        <v>44337</v>
      </c>
      <c r="B3865" s="76" t="s">
        <v>35</v>
      </c>
      <c r="C3865" s="76" t="s">
        <v>536</v>
      </c>
      <c r="D3865" s="484">
        <v>7412.28442</v>
      </c>
      <c r="E3865" s="484">
        <v>3.5202</v>
      </c>
      <c r="F3865" s="484">
        <v>3.5024000000000002</v>
      </c>
      <c r="G3865" s="83">
        <f t="shared" si="59"/>
        <v>3.3805000000000005</v>
      </c>
    </row>
    <row r="3866" spans="1:7" x14ac:dyDescent="0.2">
      <c r="A3866" s="75">
        <v>44340</v>
      </c>
      <c r="B3866" s="76" t="s">
        <v>35</v>
      </c>
      <c r="C3866" s="76" t="s">
        <v>536</v>
      </c>
      <c r="D3866" s="484">
        <v>7390.8769840000004</v>
      </c>
      <c r="E3866" s="484">
        <v>3.5034000000000001</v>
      </c>
      <c r="F3866" s="484">
        <v>3.5733999999999999</v>
      </c>
      <c r="G3866" s="83">
        <f t="shared" si="59"/>
        <v>3.3945460317460321</v>
      </c>
    </row>
    <row r="3867" spans="1:7" x14ac:dyDescent="0.2">
      <c r="A3867" s="75">
        <v>44341</v>
      </c>
      <c r="B3867" s="76" t="s">
        <v>35</v>
      </c>
      <c r="C3867" s="76" t="s">
        <v>536</v>
      </c>
      <c r="D3867" s="484">
        <v>7377.3887779999995</v>
      </c>
      <c r="E3867" s="484">
        <v>3.5745</v>
      </c>
      <c r="F3867" s="484">
        <v>3.6225000000000001</v>
      </c>
      <c r="G3867" s="83">
        <f t="shared" si="59"/>
        <v>3.4076174603174603</v>
      </c>
    </row>
    <row r="3868" spans="1:7" x14ac:dyDescent="0.2">
      <c r="A3868" s="75">
        <v>44342</v>
      </c>
      <c r="B3868" s="76" t="s">
        <v>35</v>
      </c>
      <c r="C3868" s="76" t="s">
        <v>536</v>
      </c>
      <c r="D3868" s="484">
        <v>7377.4901909999999</v>
      </c>
      <c r="E3868" s="484">
        <v>3.6234999999999999</v>
      </c>
      <c r="F3868" s="484">
        <v>3.6341000000000001</v>
      </c>
      <c r="G3868" s="83">
        <f t="shared" si="59"/>
        <v>3.4216095238095243</v>
      </c>
    </row>
    <row r="3869" spans="1:7" x14ac:dyDescent="0.2">
      <c r="A3869" s="75">
        <v>44343</v>
      </c>
      <c r="B3869" s="76" t="s">
        <v>35</v>
      </c>
      <c r="C3869" s="76" t="s">
        <v>536</v>
      </c>
      <c r="D3869" s="484">
        <v>7404.4972390000003</v>
      </c>
      <c r="E3869" s="484">
        <v>3.6351</v>
      </c>
      <c r="F3869" s="484">
        <v>3.5695999999999999</v>
      </c>
      <c r="G3869" s="83">
        <f t="shared" si="59"/>
        <v>3.4344968253968258</v>
      </c>
    </row>
    <row r="3870" spans="1:7" x14ac:dyDescent="0.2">
      <c r="A3870" s="75">
        <v>44344</v>
      </c>
      <c r="B3870" s="76" t="s">
        <v>35</v>
      </c>
      <c r="C3870" s="76" t="s">
        <v>536</v>
      </c>
      <c r="D3870" s="484">
        <v>7438.1673229999997</v>
      </c>
      <c r="E3870" s="484">
        <v>3.5706000000000002</v>
      </c>
      <c r="F3870" s="484">
        <v>3.4868000000000001</v>
      </c>
      <c r="G3870" s="83">
        <f t="shared" si="59"/>
        <v>3.4437158730158726</v>
      </c>
    </row>
    <row r="3871" spans="1:7" x14ac:dyDescent="0.2">
      <c r="A3871" s="75">
        <v>44347</v>
      </c>
      <c r="B3871" s="76" t="s">
        <v>35</v>
      </c>
      <c r="C3871" s="76" t="s">
        <v>536</v>
      </c>
      <c r="D3871" s="484">
        <v>7427.3498810000001</v>
      </c>
      <c r="E3871" s="484">
        <v>3.4878</v>
      </c>
      <c r="F3871" s="484">
        <v>3.5280999999999998</v>
      </c>
      <c r="G3871" s="83">
        <f t="shared" si="59"/>
        <v>3.4494904761904763</v>
      </c>
    </row>
    <row r="3872" spans="1:7" x14ac:dyDescent="0.2">
      <c r="A3872" s="75">
        <v>44348</v>
      </c>
      <c r="B3872" s="76" t="s">
        <v>35</v>
      </c>
      <c r="C3872" s="76" t="s">
        <v>536</v>
      </c>
      <c r="D3872" s="484">
        <v>7445.9361289999997</v>
      </c>
      <c r="E3872" s="484">
        <v>3.5291000000000001</v>
      </c>
      <c r="F3872" s="484">
        <v>3.4874999999999998</v>
      </c>
      <c r="G3872" s="83">
        <f t="shared" si="59"/>
        <v>3.4546428571428573</v>
      </c>
    </row>
    <row r="3873" spans="1:7" x14ac:dyDescent="0.2">
      <c r="A3873" s="75">
        <v>44349</v>
      </c>
      <c r="B3873" s="76" t="s">
        <v>35</v>
      </c>
      <c r="C3873" s="76" t="s">
        <v>536</v>
      </c>
      <c r="D3873" s="484">
        <v>7470.5504250000004</v>
      </c>
      <c r="E3873" s="484">
        <v>3.4885000000000002</v>
      </c>
      <c r="F3873" s="484">
        <v>3.4302999999999999</v>
      </c>
      <c r="G3873" s="83">
        <f t="shared" si="59"/>
        <v>3.4580841269841271</v>
      </c>
    </row>
    <row r="3874" spans="1:7" x14ac:dyDescent="0.2">
      <c r="A3874" s="75">
        <v>44351</v>
      </c>
      <c r="B3874" s="76" t="s">
        <v>35</v>
      </c>
      <c r="C3874" s="76" t="s">
        <v>536</v>
      </c>
      <c r="D3874" s="484">
        <v>7492.8871440000003</v>
      </c>
      <c r="E3874" s="484">
        <v>3.4312999999999998</v>
      </c>
      <c r="F3874" s="484">
        <v>3.3795999999999999</v>
      </c>
      <c r="G3874" s="83">
        <f t="shared" si="59"/>
        <v>3.4604460317460317</v>
      </c>
    </row>
    <row r="3875" spans="1:7" x14ac:dyDescent="0.2">
      <c r="A3875" s="75">
        <v>44354</v>
      </c>
      <c r="B3875" s="76" t="s">
        <v>35</v>
      </c>
      <c r="C3875" s="76" t="s">
        <v>536</v>
      </c>
      <c r="D3875" s="484">
        <v>7475.7306630000003</v>
      </c>
      <c r="E3875" s="484">
        <v>3.3805999999999998</v>
      </c>
      <c r="F3875" s="484">
        <v>3.4380999999999999</v>
      </c>
      <c r="G3875" s="83">
        <f t="shared" si="59"/>
        <v>3.4657158730158724</v>
      </c>
    </row>
    <row r="3876" spans="1:7" x14ac:dyDescent="0.2">
      <c r="A3876" s="75">
        <v>44355</v>
      </c>
      <c r="B3876" s="76" t="s">
        <v>35</v>
      </c>
      <c r="C3876" s="76" t="s">
        <v>536</v>
      </c>
      <c r="D3876" s="484">
        <v>7486.9337859999996</v>
      </c>
      <c r="E3876" s="484">
        <v>3.4390000000000001</v>
      </c>
      <c r="F3876" s="484">
        <v>3.4180999999999999</v>
      </c>
      <c r="G3876" s="83">
        <f t="shared" si="59"/>
        <v>3.4760349206349201</v>
      </c>
    </row>
    <row r="3877" spans="1:7" x14ac:dyDescent="0.2">
      <c r="A3877" s="75">
        <v>44356</v>
      </c>
      <c r="B3877" s="76" t="s">
        <v>35</v>
      </c>
      <c r="C3877" s="76" t="s">
        <v>536</v>
      </c>
      <c r="D3877" s="484">
        <v>7487.6641369999998</v>
      </c>
      <c r="E3877" s="484">
        <v>3.4188999999999998</v>
      </c>
      <c r="F3877" s="484">
        <v>3.4466999999999999</v>
      </c>
      <c r="G3877" s="83">
        <f t="shared" si="59"/>
        <v>3.483277777777777</v>
      </c>
    </row>
    <row r="3878" spans="1:7" x14ac:dyDescent="0.2">
      <c r="A3878" s="75">
        <v>44357</v>
      </c>
      <c r="B3878" s="76" t="s">
        <v>35</v>
      </c>
      <c r="C3878" s="76" t="s">
        <v>536</v>
      </c>
      <c r="D3878" s="484">
        <v>7466.2390509999996</v>
      </c>
      <c r="E3878" s="484">
        <v>3.4476</v>
      </c>
      <c r="F3878" s="484">
        <v>3.5183</v>
      </c>
      <c r="G3878" s="83">
        <f t="shared" si="59"/>
        <v>3.490009523809523</v>
      </c>
    </row>
    <row r="3879" spans="1:7" x14ac:dyDescent="0.2">
      <c r="A3879" s="75">
        <v>44358</v>
      </c>
      <c r="B3879" s="76" t="s">
        <v>35</v>
      </c>
      <c r="C3879" s="76" t="s">
        <v>536</v>
      </c>
      <c r="D3879" s="484">
        <v>7448.4689470000003</v>
      </c>
      <c r="E3879" s="484">
        <v>3.5190999999999999</v>
      </c>
      <c r="F3879" s="484">
        <v>3.5798999999999999</v>
      </c>
      <c r="G3879" s="83">
        <f t="shared" si="59"/>
        <v>3.4983063492063486</v>
      </c>
    </row>
    <row r="3880" spans="1:7" x14ac:dyDescent="0.2">
      <c r="A3880" s="75">
        <v>44361</v>
      </c>
      <c r="B3880" s="76" t="s">
        <v>35</v>
      </c>
      <c r="C3880" s="76" t="s">
        <v>536</v>
      </c>
      <c r="D3880" s="484">
        <v>7453.5951219999997</v>
      </c>
      <c r="E3880" s="484">
        <v>3.5807000000000002</v>
      </c>
      <c r="F3880" s="484">
        <v>3.5779000000000001</v>
      </c>
      <c r="G3880" s="83">
        <f t="shared" si="59"/>
        <v>3.5078015873015871</v>
      </c>
    </row>
    <row r="3881" spans="1:7" x14ac:dyDescent="0.2">
      <c r="A3881" s="75">
        <v>44362</v>
      </c>
      <c r="B3881" s="76" t="s">
        <v>35</v>
      </c>
      <c r="C3881" s="76" t="s">
        <v>536</v>
      </c>
      <c r="D3881" s="484">
        <v>7448.6946500000004</v>
      </c>
      <c r="E3881" s="484">
        <v>3.5787</v>
      </c>
      <c r="F3881" s="484">
        <v>3.6038000000000001</v>
      </c>
      <c r="G3881" s="83">
        <f t="shared" si="59"/>
        <v>3.5160936507936507</v>
      </c>
    </row>
    <row r="3882" spans="1:7" x14ac:dyDescent="0.2">
      <c r="A3882" s="75">
        <v>44363</v>
      </c>
      <c r="B3882" s="76" t="s">
        <v>35</v>
      </c>
      <c r="C3882" s="76" t="s">
        <v>536</v>
      </c>
      <c r="D3882" s="484">
        <v>7444.270673</v>
      </c>
      <c r="E3882" s="484">
        <v>3.6044999999999998</v>
      </c>
      <c r="F3882" s="484">
        <v>3.625</v>
      </c>
      <c r="G3882" s="83">
        <f t="shared" si="59"/>
        <v>3.5243777777777772</v>
      </c>
    </row>
    <row r="3883" spans="1:7" x14ac:dyDescent="0.2">
      <c r="A3883" s="75">
        <v>44364</v>
      </c>
      <c r="B3883" s="76" t="s">
        <v>35</v>
      </c>
      <c r="C3883" s="76" t="s">
        <v>536</v>
      </c>
      <c r="D3883" s="484">
        <v>7369.4674000000005</v>
      </c>
      <c r="E3883" s="484">
        <v>3.6257000000000001</v>
      </c>
      <c r="F3883" s="484">
        <v>3.8435999999999999</v>
      </c>
      <c r="G3883" s="83">
        <f t="shared" si="59"/>
        <v>3.5326904761904756</v>
      </c>
    </row>
    <row r="3884" spans="1:7" x14ac:dyDescent="0.2">
      <c r="A3884" s="75">
        <v>44365</v>
      </c>
      <c r="B3884" s="76" t="s">
        <v>35</v>
      </c>
      <c r="C3884" s="76" t="s">
        <v>536</v>
      </c>
      <c r="D3884" s="484">
        <v>7342.4724660000002</v>
      </c>
      <c r="E3884" s="484">
        <v>3.8441999999999998</v>
      </c>
      <c r="F3884" s="484">
        <v>3.9289000000000001</v>
      </c>
      <c r="G3884" s="83">
        <f t="shared" si="59"/>
        <v>3.5446539682539675</v>
      </c>
    </row>
    <row r="3885" spans="1:7" x14ac:dyDescent="0.2">
      <c r="A3885" s="75">
        <v>44368</v>
      </c>
      <c r="B3885" s="76" t="s">
        <v>35</v>
      </c>
      <c r="C3885" s="76" t="s">
        <v>536</v>
      </c>
      <c r="D3885" s="484">
        <v>7372.6740650000002</v>
      </c>
      <c r="E3885" s="484">
        <v>3.9293999999999998</v>
      </c>
      <c r="F3885" s="484">
        <v>3.8525</v>
      </c>
      <c r="G3885" s="83">
        <f t="shared" si="59"/>
        <v>3.5565301587301583</v>
      </c>
    </row>
    <row r="3886" spans="1:7" x14ac:dyDescent="0.2">
      <c r="A3886" s="75">
        <v>44369</v>
      </c>
      <c r="B3886" s="76" t="s">
        <v>35</v>
      </c>
      <c r="C3886" s="76" t="s">
        <v>536</v>
      </c>
      <c r="D3886" s="484">
        <v>7340.2373029999999</v>
      </c>
      <c r="E3886" s="484">
        <v>3.8531</v>
      </c>
      <c r="F3886" s="484">
        <v>3.9531999999999998</v>
      </c>
      <c r="G3886" s="83">
        <f t="shared" si="59"/>
        <v>3.5646063492063482</v>
      </c>
    </row>
    <row r="3887" spans="1:7" x14ac:dyDescent="0.2">
      <c r="A3887" s="75">
        <v>44370</v>
      </c>
      <c r="B3887" s="76" t="s">
        <v>35</v>
      </c>
      <c r="C3887" s="76" t="s">
        <v>536</v>
      </c>
      <c r="D3887" s="484">
        <v>7361.39743</v>
      </c>
      <c r="E3887" s="484">
        <v>3.9538000000000002</v>
      </c>
      <c r="F3887" s="484">
        <v>3.9024000000000001</v>
      </c>
      <c r="G3887" s="83">
        <f t="shared" si="59"/>
        <v>3.5733079365079359</v>
      </c>
    </row>
    <row r="3888" spans="1:7" x14ac:dyDescent="0.2">
      <c r="A3888" s="75">
        <v>44371</v>
      </c>
      <c r="B3888" s="76" t="s">
        <v>35</v>
      </c>
      <c r="C3888" s="76" t="s">
        <v>536</v>
      </c>
      <c r="D3888" s="484">
        <v>7395.2342150000004</v>
      </c>
      <c r="E3888" s="484">
        <v>3.9028999999999998</v>
      </c>
      <c r="F3888" s="484">
        <v>3.8159999999999998</v>
      </c>
      <c r="G3888" s="83">
        <f t="shared" si="59"/>
        <v>3.579473015873015</v>
      </c>
    </row>
    <row r="3889" spans="1:7" x14ac:dyDescent="0.2">
      <c r="A3889" s="75">
        <v>44372</v>
      </c>
      <c r="B3889" s="76" t="s">
        <v>35</v>
      </c>
      <c r="C3889" s="76" t="s">
        <v>536</v>
      </c>
      <c r="D3889" s="484">
        <v>7404.6586349999998</v>
      </c>
      <c r="E3889" s="484">
        <v>3.8165</v>
      </c>
      <c r="F3889" s="484">
        <v>3.7984</v>
      </c>
      <c r="G3889" s="83">
        <f t="shared" si="59"/>
        <v>3.58346984126984</v>
      </c>
    </row>
    <row r="3890" spans="1:7" x14ac:dyDescent="0.2">
      <c r="A3890" s="75">
        <v>44375</v>
      </c>
      <c r="B3890" s="76" t="s">
        <v>35</v>
      </c>
      <c r="C3890" s="76" t="s">
        <v>536</v>
      </c>
      <c r="D3890" s="484">
        <v>7432.3168439999999</v>
      </c>
      <c r="E3890" s="484">
        <v>3.7988</v>
      </c>
      <c r="F3890" s="484">
        <v>3.7313999999999998</v>
      </c>
      <c r="G3890" s="83">
        <f t="shared" si="59"/>
        <v>3.5869698412698399</v>
      </c>
    </row>
    <row r="3891" spans="1:7" x14ac:dyDescent="0.2">
      <c r="A3891" s="75">
        <v>44376</v>
      </c>
      <c r="B3891" s="76" t="s">
        <v>35</v>
      </c>
      <c r="C3891" s="76" t="s">
        <v>536</v>
      </c>
      <c r="D3891" s="484">
        <v>7432.630827</v>
      </c>
      <c r="E3891" s="484">
        <v>3.7319</v>
      </c>
      <c r="F3891" s="484">
        <v>3.7395</v>
      </c>
      <c r="G3891" s="83">
        <f t="shared" si="59"/>
        <v>3.5900650793650781</v>
      </c>
    </row>
    <row r="3892" spans="1:7" x14ac:dyDescent="0.2">
      <c r="A3892" s="75">
        <v>44377</v>
      </c>
      <c r="B3892" s="76" t="s">
        <v>35</v>
      </c>
      <c r="C3892" s="76" t="s">
        <v>536</v>
      </c>
      <c r="D3892" s="484">
        <v>7426.686584</v>
      </c>
      <c r="E3892" s="484">
        <v>3.74</v>
      </c>
      <c r="F3892" s="484">
        <v>3.7650999999999999</v>
      </c>
      <c r="G3892" s="83">
        <f t="shared" si="59"/>
        <v>3.5925238095238088</v>
      </c>
    </row>
    <row r="3893" spans="1:7" x14ac:dyDescent="0.2">
      <c r="A3893" s="75">
        <v>44378</v>
      </c>
      <c r="B3893" s="76" t="s">
        <v>35</v>
      </c>
      <c r="C3893" s="76" t="s">
        <v>536</v>
      </c>
      <c r="D3893" s="484">
        <v>7420.1493970000001</v>
      </c>
      <c r="E3893" s="484">
        <v>3.7656999999999998</v>
      </c>
      <c r="F3893" s="484">
        <v>3.7925</v>
      </c>
      <c r="G3893" s="83">
        <f t="shared" si="59"/>
        <v>3.5957460317460312</v>
      </c>
    </row>
    <row r="3894" spans="1:7" x14ac:dyDescent="0.2">
      <c r="A3894" s="75">
        <v>44379</v>
      </c>
      <c r="B3894" s="76" t="s">
        <v>35</v>
      </c>
      <c r="C3894" s="76" t="s">
        <v>536</v>
      </c>
      <c r="D3894" s="484">
        <v>7438.6877789999999</v>
      </c>
      <c r="E3894" s="484">
        <v>3.7930000000000001</v>
      </c>
      <c r="F3894" s="484">
        <v>3.7496999999999998</v>
      </c>
      <c r="G3894" s="83">
        <f t="shared" si="59"/>
        <v>3.5994253968253966</v>
      </c>
    </row>
    <row r="3895" spans="1:7" x14ac:dyDescent="0.2">
      <c r="A3895" s="75">
        <v>44382</v>
      </c>
      <c r="B3895" s="76" t="s">
        <v>35</v>
      </c>
      <c r="C3895" s="76" t="s">
        <v>536</v>
      </c>
      <c r="D3895" s="484">
        <v>7436.2144269999999</v>
      </c>
      <c r="E3895" s="484">
        <v>3.7502</v>
      </c>
      <c r="F3895" s="484">
        <v>3.7656000000000001</v>
      </c>
      <c r="G3895" s="83">
        <f t="shared" si="59"/>
        <v>3.6022492063492058</v>
      </c>
    </row>
    <row r="3896" spans="1:7" x14ac:dyDescent="0.2">
      <c r="A3896" s="75">
        <v>44383</v>
      </c>
      <c r="B3896" s="76" t="s">
        <v>35</v>
      </c>
      <c r="C3896" s="76" t="s">
        <v>536</v>
      </c>
      <c r="D3896" s="484">
        <v>7418.8425120000002</v>
      </c>
      <c r="E3896" s="484">
        <v>3.7662</v>
      </c>
      <c r="F3896" s="484">
        <v>3.8233000000000001</v>
      </c>
      <c r="G3896" s="83">
        <f t="shared" si="59"/>
        <v>3.604796825396825</v>
      </c>
    </row>
    <row r="3897" spans="1:7" x14ac:dyDescent="0.2">
      <c r="A3897" s="75">
        <v>44384</v>
      </c>
      <c r="B3897" s="76" t="s">
        <v>35</v>
      </c>
      <c r="C3897" s="76" t="s">
        <v>536</v>
      </c>
      <c r="D3897" s="484">
        <v>7438.241137</v>
      </c>
      <c r="E3897" s="484">
        <v>3.8237999999999999</v>
      </c>
      <c r="F3897" s="484">
        <v>3.7780999999999998</v>
      </c>
      <c r="G3897" s="83">
        <f t="shared" si="59"/>
        <v>3.6073857142857144</v>
      </c>
    </row>
    <row r="3898" spans="1:7" x14ac:dyDescent="0.2">
      <c r="A3898" s="75">
        <v>44385</v>
      </c>
      <c r="B3898" s="76" t="s">
        <v>35</v>
      </c>
      <c r="C3898" s="76" t="s">
        <v>536</v>
      </c>
      <c r="D3898" s="484">
        <v>7432.3489239999999</v>
      </c>
      <c r="E3898" s="484">
        <v>3.7786</v>
      </c>
      <c r="F3898" s="484">
        <v>3.7955999999999999</v>
      </c>
      <c r="G3898" s="83">
        <f t="shared" si="59"/>
        <v>3.6087238095238097</v>
      </c>
    </row>
    <row r="3899" spans="1:7" x14ac:dyDescent="0.2">
      <c r="A3899" s="75">
        <v>44386</v>
      </c>
      <c r="B3899" s="76" t="s">
        <v>35</v>
      </c>
      <c r="C3899" s="76" t="s">
        <v>536</v>
      </c>
      <c r="D3899" s="484">
        <v>7435.8784159999996</v>
      </c>
      <c r="E3899" s="484">
        <v>3.7961999999999998</v>
      </c>
      <c r="F3899" s="484">
        <v>3.7944</v>
      </c>
      <c r="G3899" s="83">
        <f t="shared" si="59"/>
        <v>3.6126126984126983</v>
      </c>
    </row>
    <row r="3900" spans="1:7" x14ac:dyDescent="0.2">
      <c r="A3900" s="75">
        <v>44389</v>
      </c>
      <c r="B3900" s="76" t="s">
        <v>35</v>
      </c>
      <c r="C3900" s="76" t="s">
        <v>536</v>
      </c>
      <c r="D3900" s="484">
        <v>7418.8174170000002</v>
      </c>
      <c r="E3900" s="484">
        <v>3.7949999999999999</v>
      </c>
      <c r="F3900" s="484">
        <v>3.8508</v>
      </c>
      <c r="G3900" s="83">
        <f t="shared" si="59"/>
        <v>3.6146349206349209</v>
      </c>
    </row>
    <row r="3901" spans="1:7" x14ac:dyDescent="0.2">
      <c r="A3901" s="75">
        <v>44390</v>
      </c>
      <c r="B3901" s="76" t="s">
        <v>35</v>
      </c>
      <c r="C3901" s="76" t="s">
        <v>536</v>
      </c>
      <c r="D3901" s="484">
        <v>7405.5602639999997</v>
      </c>
      <c r="E3901" s="484">
        <v>3.8513000000000002</v>
      </c>
      <c r="F3901" s="484">
        <v>3.8965999999999998</v>
      </c>
      <c r="G3901" s="83">
        <f t="shared" si="59"/>
        <v>3.6169222222222226</v>
      </c>
    </row>
    <row r="3902" spans="1:7" x14ac:dyDescent="0.2">
      <c r="A3902" s="75">
        <v>44391</v>
      </c>
      <c r="B3902" s="76" t="s">
        <v>35</v>
      </c>
      <c r="C3902" s="76" t="s">
        <v>536</v>
      </c>
      <c r="D3902" s="484">
        <v>7437.9240870000003</v>
      </c>
      <c r="E3902" s="484">
        <v>3.8971</v>
      </c>
      <c r="F3902" s="484">
        <v>3.8146</v>
      </c>
      <c r="G3902" s="83">
        <f t="shared" si="59"/>
        <v>3.6182777777777781</v>
      </c>
    </row>
    <row r="3903" spans="1:7" x14ac:dyDescent="0.2">
      <c r="A3903" s="75">
        <v>44392</v>
      </c>
      <c r="B3903" s="76" t="s">
        <v>35</v>
      </c>
      <c r="C3903" s="76" t="s">
        <v>536</v>
      </c>
      <c r="D3903" s="484">
        <v>7495.3048310000004</v>
      </c>
      <c r="E3903" s="484">
        <v>3.8151000000000002</v>
      </c>
      <c r="F3903" s="484">
        <v>3.6636000000000002</v>
      </c>
      <c r="G3903" s="83">
        <f t="shared" si="59"/>
        <v>3.6180380952380955</v>
      </c>
    </row>
    <row r="3904" spans="1:7" x14ac:dyDescent="0.2">
      <c r="A3904" s="75">
        <v>44393</v>
      </c>
      <c r="B3904" s="76" t="s">
        <v>35</v>
      </c>
      <c r="C3904" s="76" t="s">
        <v>536</v>
      </c>
      <c r="D3904" s="484">
        <v>7483.9344339999998</v>
      </c>
      <c r="E3904" s="484">
        <v>3.7907000000000002</v>
      </c>
      <c r="F3904" s="484">
        <v>3.706</v>
      </c>
      <c r="G3904" s="83">
        <f t="shared" si="59"/>
        <v>3.6183428571428573</v>
      </c>
    </row>
    <row r="3905" spans="1:7" x14ac:dyDescent="0.2">
      <c r="A3905" s="75">
        <v>44396</v>
      </c>
      <c r="B3905" s="76" t="s">
        <v>35</v>
      </c>
      <c r="C3905" s="76" t="s">
        <v>536</v>
      </c>
      <c r="D3905" s="484">
        <v>7479.3323369999998</v>
      </c>
      <c r="E3905" s="484">
        <v>3.7065000000000001</v>
      </c>
      <c r="F3905" s="484">
        <v>3.7296</v>
      </c>
      <c r="G3905" s="83">
        <f t="shared" si="59"/>
        <v>3.6187349206349202</v>
      </c>
    </row>
    <row r="3906" spans="1:7" x14ac:dyDescent="0.2">
      <c r="A3906" s="75">
        <v>44397</v>
      </c>
      <c r="B3906" s="76" t="s">
        <v>35</v>
      </c>
      <c r="C3906" s="76" t="s">
        <v>536</v>
      </c>
      <c r="D3906" s="484">
        <v>7502.4097490000004</v>
      </c>
      <c r="E3906" s="484">
        <v>3.7301000000000002</v>
      </c>
      <c r="F3906" s="484">
        <v>3.6764999999999999</v>
      </c>
      <c r="G3906" s="83">
        <f t="shared" si="59"/>
        <v>3.6208190476190474</v>
      </c>
    </row>
    <row r="3907" spans="1:7" x14ac:dyDescent="0.2">
      <c r="A3907" s="75">
        <v>44398</v>
      </c>
      <c r="B3907" s="76" t="s">
        <v>35</v>
      </c>
      <c r="C3907" s="76" t="s">
        <v>536</v>
      </c>
      <c r="D3907" s="484">
        <v>7503.6038989999997</v>
      </c>
      <c r="E3907" s="484">
        <v>3.677</v>
      </c>
      <c r="F3907" s="484">
        <v>3.6840000000000002</v>
      </c>
      <c r="G3907" s="83">
        <f t="shared" ref="G3907:G3970" si="60">+AVERAGE(E3845:E3907)</f>
        <v>3.6202476190476189</v>
      </c>
    </row>
    <row r="3908" spans="1:7" x14ac:dyDescent="0.2">
      <c r="A3908" s="75">
        <v>44399</v>
      </c>
      <c r="B3908" s="76" t="s">
        <v>35</v>
      </c>
      <c r="C3908" s="76" t="s">
        <v>536</v>
      </c>
      <c r="D3908" s="484">
        <v>7508.4899230000001</v>
      </c>
      <c r="E3908" s="484">
        <v>3.6844999999999999</v>
      </c>
      <c r="F3908" s="484">
        <v>3.6812999999999998</v>
      </c>
      <c r="G3908" s="83">
        <f t="shared" si="60"/>
        <v>3.6221015873015867</v>
      </c>
    </row>
    <row r="3909" spans="1:7" x14ac:dyDescent="0.2">
      <c r="A3909" s="75">
        <v>44400</v>
      </c>
      <c r="B3909" s="76" t="s">
        <v>35</v>
      </c>
      <c r="C3909" s="76" t="s">
        <v>536</v>
      </c>
      <c r="D3909" s="484">
        <v>7475.0462230000003</v>
      </c>
      <c r="E3909" s="484">
        <v>3.6818</v>
      </c>
      <c r="F3909" s="484">
        <v>3.7848000000000002</v>
      </c>
      <c r="G3909" s="83">
        <f t="shared" si="60"/>
        <v>3.6247158730158731</v>
      </c>
    </row>
    <row r="3910" spans="1:7" x14ac:dyDescent="0.2">
      <c r="A3910" s="75">
        <v>44403</v>
      </c>
      <c r="B3910" s="76" t="s">
        <v>35</v>
      </c>
      <c r="C3910" s="76" t="s">
        <v>536</v>
      </c>
      <c r="D3910" s="484">
        <v>7477.9725010000002</v>
      </c>
      <c r="E3910" s="484">
        <v>3.7852999999999999</v>
      </c>
      <c r="F3910" s="484">
        <v>3.7974000000000001</v>
      </c>
      <c r="G3910" s="83">
        <f t="shared" si="60"/>
        <v>3.6294809523809528</v>
      </c>
    </row>
    <row r="3911" spans="1:7" x14ac:dyDescent="0.2">
      <c r="A3911" s="75">
        <v>44404</v>
      </c>
      <c r="B3911" s="76" t="s">
        <v>35</v>
      </c>
      <c r="C3911" s="76" t="s">
        <v>536</v>
      </c>
      <c r="D3911" s="484">
        <v>7433.9397760000002</v>
      </c>
      <c r="E3911" s="484">
        <v>3.7978000000000001</v>
      </c>
      <c r="F3911" s="484">
        <v>3.9323999999999999</v>
      </c>
      <c r="G3911" s="83">
        <f t="shared" si="60"/>
        <v>3.6351936507936506</v>
      </c>
    </row>
    <row r="3912" spans="1:7" x14ac:dyDescent="0.2">
      <c r="A3912" s="75">
        <v>44405</v>
      </c>
      <c r="B3912" s="76" t="s">
        <v>35</v>
      </c>
      <c r="C3912" s="76" t="s">
        <v>536</v>
      </c>
      <c r="D3912" s="484">
        <v>7420.6759099999999</v>
      </c>
      <c r="E3912" s="484">
        <v>3.9327999999999999</v>
      </c>
      <c r="F3912" s="484">
        <v>3.9819</v>
      </c>
      <c r="G3912" s="83">
        <f t="shared" si="60"/>
        <v>3.6440698412698409</v>
      </c>
    </row>
    <row r="3913" spans="1:7" x14ac:dyDescent="0.2">
      <c r="A3913" s="75">
        <v>44406</v>
      </c>
      <c r="B3913" s="76" t="s">
        <v>35</v>
      </c>
      <c r="C3913" s="76" t="s">
        <v>536</v>
      </c>
      <c r="D3913" s="484">
        <v>7437.8414409999996</v>
      </c>
      <c r="E3913" s="484">
        <v>3.9823</v>
      </c>
      <c r="F3913" s="484">
        <v>3.9462000000000002</v>
      </c>
      <c r="G3913" s="83">
        <f t="shared" si="60"/>
        <v>3.6540349206349201</v>
      </c>
    </row>
    <row r="3914" spans="1:7" x14ac:dyDescent="0.2">
      <c r="A3914" s="75">
        <v>44407</v>
      </c>
      <c r="B3914" s="76" t="s">
        <v>35</v>
      </c>
      <c r="C3914" s="76" t="s">
        <v>536</v>
      </c>
      <c r="D3914" s="484">
        <v>7384.119232</v>
      </c>
      <c r="E3914" s="484">
        <v>3.9466000000000001</v>
      </c>
      <c r="F3914" s="484">
        <v>4.1094999999999997</v>
      </c>
      <c r="G3914" s="83">
        <f t="shared" si="60"/>
        <v>3.6621587301587293</v>
      </c>
    </row>
    <row r="3915" spans="1:7" x14ac:dyDescent="0.2">
      <c r="A3915" s="75">
        <v>44410</v>
      </c>
      <c r="B3915" s="76" t="s">
        <v>35</v>
      </c>
      <c r="C3915" s="76" t="s">
        <v>536</v>
      </c>
      <c r="D3915" s="484">
        <v>7379.4439609999999</v>
      </c>
      <c r="E3915" s="484">
        <v>4.1097999999999999</v>
      </c>
      <c r="F3915" s="484">
        <v>4.1351000000000004</v>
      </c>
      <c r="G3915" s="83">
        <f t="shared" si="60"/>
        <v>3.6725222222222222</v>
      </c>
    </row>
    <row r="3916" spans="1:7" x14ac:dyDescent="0.2">
      <c r="A3916" s="75">
        <v>44411</v>
      </c>
      <c r="B3916" s="76" t="s">
        <v>35</v>
      </c>
      <c r="C3916" s="76" t="s">
        <v>536</v>
      </c>
      <c r="D3916" s="484">
        <v>7392.4574929999999</v>
      </c>
      <c r="E3916" s="484">
        <v>4.1353999999999997</v>
      </c>
      <c r="F3916" s="484">
        <v>4.1108000000000002</v>
      </c>
      <c r="G3916" s="83">
        <f t="shared" si="60"/>
        <v>3.6817873015873017</v>
      </c>
    </row>
    <row r="3917" spans="1:7" x14ac:dyDescent="0.2">
      <c r="A3917" s="75">
        <v>44412</v>
      </c>
      <c r="B3917" s="76" t="s">
        <v>35</v>
      </c>
      <c r="C3917" s="76" t="s">
        <v>536</v>
      </c>
      <c r="D3917" s="484">
        <v>7381.5779339999999</v>
      </c>
      <c r="E3917" s="484">
        <v>4.1111000000000004</v>
      </c>
      <c r="F3917" s="484">
        <v>4.1539000000000001</v>
      </c>
      <c r="G3917" s="83">
        <f t="shared" si="60"/>
        <v>3.6908619047619049</v>
      </c>
    </row>
    <row r="3918" spans="1:7" x14ac:dyDescent="0.2">
      <c r="A3918" s="75">
        <v>44413</v>
      </c>
      <c r="B3918" s="76" t="s">
        <v>35</v>
      </c>
      <c r="C3918" s="76" t="s">
        <v>536</v>
      </c>
      <c r="D3918" s="484">
        <v>7344.6358959999998</v>
      </c>
      <c r="E3918" s="484">
        <v>4.1542000000000003</v>
      </c>
      <c r="F3918" s="484">
        <v>4.2709999999999999</v>
      </c>
      <c r="G3918" s="83">
        <f t="shared" si="60"/>
        <v>3.7011349206349209</v>
      </c>
    </row>
    <row r="3919" spans="1:7" x14ac:dyDescent="0.2">
      <c r="A3919" s="75">
        <v>44414</v>
      </c>
      <c r="B3919" s="76" t="s">
        <v>35</v>
      </c>
      <c r="C3919" s="76" t="s">
        <v>536</v>
      </c>
      <c r="D3919" s="484">
        <v>7354.9355189999997</v>
      </c>
      <c r="E3919" s="484">
        <v>4.2713000000000001</v>
      </c>
      <c r="F3919" s="484">
        <v>4.2542999999999997</v>
      </c>
      <c r="G3919" s="83">
        <f t="shared" si="60"/>
        <v>3.7137206349206346</v>
      </c>
    </row>
    <row r="3920" spans="1:7" x14ac:dyDescent="0.2">
      <c r="A3920" s="75">
        <v>44417</v>
      </c>
      <c r="B3920" s="76" t="s">
        <v>35</v>
      </c>
      <c r="C3920" s="76" t="s">
        <v>536</v>
      </c>
      <c r="D3920" s="484">
        <v>7336.9293559999996</v>
      </c>
      <c r="E3920" s="484">
        <v>4.2546999999999997</v>
      </c>
      <c r="F3920" s="484">
        <v>4.3181000000000003</v>
      </c>
      <c r="G3920" s="83">
        <f t="shared" si="60"/>
        <v>3.7254698412698408</v>
      </c>
    </row>
    <row r="3921" spans="1:7" x14ac:dyDescent="0.2">
      <c r="A3921" s="75">
        <v>44418</v>
      </c>
      <c r="B3921" s="76" t="s">
        <v>35</v>
      </c>
      <c r="C3921" s="76" t="s">
        <v>536</v>
      </c>
      <c r="D3921" s="484">
        <v>7350.6330310000003</v>
      </c>
      <c r="E3921" s="484">
        <v>4.3185000000000002</v>
      </c>
      <c r="F3921" s="484">
        <v>4.2968999999999999</v>
      </c>
      <c r="G3921" s="83">
        <f t="shared" si="60"/>
        <v>3.7397666666666662</v>
      </c>
    </row>
    <row r="3922" spans="1:7" x14ac:dyDescent="0.2">
      <c r="A3922" s="75">
        <v>44419</v>
      </c>
      <c r="B3922" s="76" t="s">
        <v>35</v>
      </c>
      <c r="C3922" s="76" t="s">
        <v>536</v>
      </c>
      <c r="D3922" s="484">
        <v>7336.690192</v>
      </c>
      <c r="E3922" s="484">
        <v>4.2972000000000001</v>
      </c>
      <c r="F3922" s="484">
        <v>4.3494000000000002</v>
      </c>
      <c r="G3922" s="83">
        <f t="shared" si="60"/>
        <v>3.7522539682539682</v>
      </c>
    </row>
    <row r="3923" spans="1:7" x14ac:dyDescent="0.2">
      <c r="A3923" s="75">
        <v>44420</v>
      </c>
      <c r="B3923" s="76" t="s">
        <v>35</v>
      </c>
      <c r="C3923" s="76" t="s">
        <v>536</v>
      </c>
      <c r="D3923" s="484">
        <v>7311.5593840000001</v>
      </c>
      <c r="E3923" s="484">
        <v>4.3497000000000003</v>
      </c>
      <c r="F3923" s="484">
        <v>4.4340000000000002</v>
      </c>
      <c r="G3923" s="83">
        <f t="shared" si="60"/>
        <v>3.7653190476190472</v>
      </c>
    </row>
    <row r="3924" spans="1:7" x14ac:dyDescent="0.2">
      <c r="A3924" s="75">
        <v>44421</v>
      </c>
      <c r="B3924" s="76" t="s">
        <v>35</v>
      </c>
      <c r="C3924" s="76" t="s">
        <v>536</v>
      </c>
      <c r="D3924" s="484">
        <v>7274.9050260000004</v>
      </c>
      <c r="E3924" s="484">
        <v>4.4343000000000004</v>
      </c>
      <c r="F3924" s="484">
        <v>4.5521000000000003</v>
      </c>
      <c r="G3924" s="83">
        <f t="shared" si="60"/>
        <v>3.7797238095238095</v>
      </c>
    </row>
    <row r="3925" spans="1:7" x14ac:dyDescent="0.2">
      <c r="A3925" s="75">
        <v>44424</v>
      </c>
      <c r="B3925" s="76" t="s">
        <v>35</v>
      </c>
      <c r="C3925" s="76" t="s">
        <v>536</v>
      </c>
      <c r="D3925" s="484">
        <v>7262.0876159999998</v>
      </c>
      <c r="E3925" s="484">
        <v>4.5523999999999996</v>
      </c>
      <c r="F3925" s="484">
        <v>4.6021000000000001</v>
      </c>
      <c r="G3925" s="83">
        <f t="shared" si="60"/>
        <v>3.7972650793650797</v>
      </c>
    </row>
    <row r="3926" spans="1:7" x14ac:dyDescent="0.2">
      <c r="A3926" s="75">
        <v>44425</v>
      </c>
      <c r="B3926" s="76" t="s">
        <v>35</v>
      </c>
      <c r="C3926" s="76" t="s">
        <v>536</v>
      </c>
      <c r="D3926" s="484">
        <v>7274.0673779999997</v>
      </c>
      <c r="E3926" s="484">
        <v>4.6024000000000003</v>
      </c>
      <c r="F3926" s="484">
        <v>4.5770999999999997</v>
      </c>
      <c r="G3926" s="83">
        <f t="shared" si="60"/>
        <v>3.8136936507936507</v>
      </c>
    </row>
    <row r="3927" spans="1:7" x14ac:dyDescent="0.2">
      <c r="A3927" s="75">
        <v>44426</v>
      </c>
      <c r="B3927" s="76" t="s">
        <v>35</v>
      </c>
      <c r="C3927" s="76" t="s">
        <v>536</v>
      </c>
      <c r="D3927" s="484">
        <v>7212.1474479999997</v>
      </c>
      <c r="E3927" s="484">
        <v>4.5774999999999997</v>
      </c>
      <c r="F3927" s="484">
        <v>4.7657999999999996</v>
      </c>
      <c r="G3927" s="83">
        <f t="shared" si="60"/>
        <v>3.8292936507936508</v>
      </c>
    </row>
    <row r="3928" spans="1:7" x14ac:dyDescent="0.2">
      <c r="A3928" s="75">
        <v>44427</v>
      </c>
      <c r="B3928" s="76" t="s">
        <v>35</v>
      </c>
      <c r="C3928" s="76" t="s">
        <v>536</v>
      </c>
      <c r="D3928" s="484">
        <v>7229.2814390000003</v>
      </c>
      <c r="E3928" s="484">
        <v>4.7660999999999998</v>
      </c>
      <c r="F3928" s="484">
        <v>4.7256999999999998</v>
      </c>
      <c r="G3928" s="83">
        <f t="shared" si="60"/>
        <v>3.8490698412698414</v>
      </c>
    </row>
    <row r="3929" spans="1:7" x14ac:dyDescent="0.2">
      <c r="A3929" s="75">
        <v>44428</v>
      </c>
      <c r="B3929" s="76" t="s">
        <v>35</v>
      </c>
      <c r="C3929" s="76" t="s">
        <v>536</v>
      </c>
      <c r="D3929" s="484">
        <v>7267.4442360000003</v>
      </c>
      <c r="E3929" s="484">
        <v>4.726</v>
      </c>
      <c r="F3929" s="484">
        <v>4.625</v>
      </c>
      <c r="G3929" s="83">
        <f t="shared" si="60"/>
        <v>3.8684761904761906</v>
      </c>
    </row>
    <row r="3930" spans="1:7" x14ac:dyDescent="0.2">
      <c r="A3930" s="75">
        <v>44431</v>
      </c>
      <c r="B3930" s="76" t="s">
        <v>35</v>
      </c>
      <c r="C3930" s="76" t="s">
        <v>536</v>
      </c>
      <c r="D3930" s="484">
        <v>7250.9935969999997</v>
      </c>
      <c r="E3930" s="484">
        <v>4.6253000000000002</v>
      </c>
      <c r="F3930" s="484">
        <v>4.6820000000000004</v>
      </c>
      <c r="G3930" s="83">
        <f t="shared" si="60"/>
        <v>3.8851555555555555</v>
      </c>
    </row>
    <row r="3931" spans="1:7" x14ac:dyDescent="0.2">
      <c r="A3931" s="75">
        <v>44432</v>
      </c>
      <c r="B3931" s="76" t="s">
        <v>35</v>
      </c>
      <c r="C3931" s="76" t="s">
        <v>536</v>
      </c>
      <c r="D3931" s="484">
        <v>7292.0600240000003</v>
      </c>
      <c r="E3931" s="484">
        <v>4.6822999999999997</v>
      </c>
      <c r="F3931" s="484">
        <v>4.5732999999999997</v>
      </c>
      <c r="G3931" s="83">
        <f t="shared" si="60"/>
        <v>3.9019619047619041</v>
      </c>
    </row>
    <row r="3932" spans="1:7" x14ac:dyDescent="0.2">
      <c r="A3932" s="75">
        <v>44433</v>
      </c>
      <c r="B3932" s="76" t="s">
        <v>35</v>
      </c>
      <c r="C3932" s="76" t="s">
        <v>536</v>
      </c>
      <c r="D3932" s="484">
        <v>7340.8082670000003</v>
      </c>
      <c r="E3932" s="484">
        <v>4.5735999999999999</v>
      </c>
      <c r="F3932" s="484">
        <v>4.4433999999999996</v>
      </c>
      <c r="G3932" s="83">
        <f t="shared" si="60"/>
        <v>3.9168587301587303</v>
      </c>
    </row>
    <row r="3933" spans="1:7" x14ac:dyDescent="0.2">
      <c r="A3933" s="75">
        <v>44434</v>
      </c>
      <c r="B3933" s="76" t="s">
        <v>35</v>
      </c>
      <c r="C3933" s="76" t="s">
        <v>536</v>
      </c>
      <c r="D3933" s="484">
        <v>7334.5186759999997</v>
      </c>
      <c r="E3933" s="484">
        <v>4.4436</v>
      </c>
      <c r="F3933" s="484">
        <v>4.4793000000000003</v>
      </c>
      <c r="G3933" s="83">
        <f t="shared" si="60"/>
        <v>3.9307158730158731</v>
      </c>
    </row>
    <row r="3934" spans="1:7" x14ac:dyDescent="0.2">
      <c r="A3934" s="75">
        <v>44435</v>
      </c>
      <c r="B3934" s="76" t="s">
        <v>35</v>
      </c>
      <c r="C3934" s="76" t="s">
        <v>536</v>
      </c>
      <c r="D3934" s="484">
        <v>7372.294852</v>
      </c>
      <c r="E3934" s="484">
        <v>4.4795999999999996</v>
      </c>
      <c r="F3934" s="484">
        <v>4.3823999999999996</v>
      </c>
      <c r="G3934" s="83">
        <f t="shared" si="60"/>
        <v>3.9464587301587302</v>
      </c>
    </row>
    <row r="3935" spans="1:7" x14ac:dyDescent="0.2">
      <c r="A3935" s="75">
        <v>44438</v>
      </c>
      <c r="B3935" s="76" t="s">
        <v>35</v>
      </c>
      <c r="C3935" s="76" t="s">
        <v>536</v>
      </c>
      <c r="D3935" s="484">
        <v>7383.8435879999997</v>
      </c>
      <c r="E3935" s="484">
        <v>4.3826999999999998</v>
      </c>
      <c r="F3935" s="484">
        <v>4.3601000000000001</v>
      </c>
      <c r="G3935" s="83">
        <f t="shared" si="60"/>
        <v>3.9600079365079361</v>
      </c>
    </row>
    <row r="3936" spans="1:7" x14ac:dyDescent="0.2">
      <c r="A3936" s="75">
        <v>44439</v>
      </c>
      <c r="B3936" s="76" t="s">
        <v>35</v>
      </c>
      <c r="C3936" s="76" t="s">
        <v>536</v>
      </c>
      <c r="D3936" s="484">
        <v>7352.7415590000001</v>
      </c>
      <c r="E3936" s="484">
        <v>4.3604000000000003</v>
      </c>
      <c r="F3936" s="484">
        <v>4.4587000000000003</v>
      </c>
      <c r="G3936" s="83">
        <f t="shared" si="60"/>
        <v>3.97384761904762</v>
      </c>
    </row>
    <row r="3937" spans="1:7" x14ac:dyDescent="0.2">
      <c r="A3937" s="75">
        <v>44440</v>
      </c>
      <c r="B3937" s="76" t="s">
        <v>35</v>
      </c>
      <c r="C3937" s="76" t="s">
        <v>536</v>
      </c>
      <c r="D3937" s="484">
        <v>7368.0811359999998</v>
      </c>
      <c r="E3937" s="484">
        <v>4.4589999999999996</v>
      </c>
      <c r="F3937" s="484">
        <v>4.4256000000000002</v>
      </c>
      <c r="G3937" s="83">
        <f t="shared" si="60"/>
        <v>3.990160317460318</v>
      </c>
    </row>
    <row r="3938" spans="1:7" x14ac:dyDescent="0.2">
      <c r="A3938" s="75">
        <v>44441</v>
      </c>
      <c r="B3938" s="76" t="s">
        <v>35</v>
      </c>
      <c r="C3938" s="76" t="s">
        <v>536</v>
      </c>
      <c r="D3938" s="484">
        <v>7333.474295</v>
      </c>
      <c r="E3938" s="484">
        <v>4.4259000000000004</v>
      </c>
      <c r="F3938" s="484">
        <v>4.5345000000000004</v>
      </c>
      <c r="G3938" s="83">
        <f t="shared" si="60"/>
        <v>4.0067523809523813</v>
      </c>
    </row>
    <row r="3939" spans="1:7" x14ac:dyDescent="0.2">
      <c r="A3939" s="75">
        <v>44442</v>
      </c>
      <c r="B3939" s="76" t="s">
        <v>35</v>
      </c>
      <c r="C3939" s="76" t="s">
        <v>536</v>
      </c>
      <c r="D3939" s="484">
        <v>7321.0588429999998</v>
      </c>
      <c r="E3939" s="484">
        <v>4.5347999999999997</v>
      </c>
      <c r="F3939" s="484">
        <v>4.5804999999999998</v>
      </c>
      <c r="G3939" s="83">
        <f t="shared" si="60"/>
        <v>4.0241460317460325</v>
      </c>
    </row>
    <row r="3940" spans="1:7" x14ac:dyDescent="0.2">
      <c r="A3940" s="75">
        <v>44445</v>
      </c>
      <c r="B3940" s="76" t="s">
        <v>35</v>
      </c>
      <c r="C3940" s="76" t="s">
        <v>536</v>
      </c>
      <c r="D3940" s="484">
        <v>7324.6542929999996</v>
      </c>
      <c r="E3940" s="484">
        <v>4.5808</v>
      </c>
      <c r="F3940" s="484">
        <v>4.5808</v>
      </c>
      <c r="G3940" s="83">
        <f t="shared" si="60"/>
        <v>4.0425888888888899</v>
      </c>
    </row>
    <row r="3941" spans="1:7" x14ac:dyDescent="0.2">
      <c r="A3941" s="75">
        <v>44447</v>
      </c>
      <c r="B3941" s="76" t="s">
        <v>35</v>
      </c>
      <c r="C3941" s="76" t="s">
        <v>536</v>
      </c>
      <c r="D3941" s="484">
        <v>7284.0565930000002</v>
      </c>
      <c r="E3941" s="484">
        <v>4.5811000000000002</v>
      </c>
      <c r="F3941" s="484">
        <v>4.7077999999999998</v>
      </c>
      <c r="G3941" s="83">
        <f t="shared" si="60"/>
        <v>4.0605809523809526</v>
      </c>
    </row>
    <row r="3942" spans="1:7" x14ac:dyDescent="0.2">
      <c r="A3942" s="75">
        <v>44448</v>
      </c>
      <c r="B3942" s="76" t="s">
        <v>35</v>
      </c>
      <c r="C3942" s="76" t="s">
        <v>536</v>
      </c>
      <c r="D3942" s="484">
        <v>7333.78377</v>
      </c>
      <c r="E3942" s="484">
        <v>4.7081</v>
      </c>
      <c r="F3942" s="484">
        <v>4.6113</v>
      </c>
      <c r="G3942" s="83">
        <f t="shared" si="60"/>
        <v>4.0794539682539686</v>
      </c>
    </row>
    <row r="3943" spans="1:7" x14ac:dyDescent="0.2">
      <c r="A3943" s="75">
        <v>44449</v>
      </c>
      <c r="B3943" s="76" t="s">
        <v>35</v>
      </c>
      <c r="C3943" s="76" t="s">
        <v>536</v>
      </c>
      <c r="D3943" s="484">
        <v>7334.4085290000003</v>
      </c>
      <c r="E3943" s="484">
        <v>4.6116000000000001</v>
      </c>
      <c r="F3943" s="484">
        <v>4.6222000000000003</v>
      </c>
      <c r="G3943" s="83">
        <f t="shared" si="60"/>
        <v>4.09581746031746</v>
      </c>
    </row>
    <row r="3944" spans="1:7" x14ac:dyDescent="0.2">
      <c r="A3944" s="75">
        <v>44452</v>
      </c>
      <c r="B3944" s="76" t="s">
        <v>35</v>
      </c>
      <c r="C3944" s="76" t="s">
        <v>536</v>
      </c>
      <c r="D3944" s="484">
        <v>7346.008906</v>
      </c>
      <c r="E3944" s="484">
        <v>4.6223999999999998</v>
      </c>
      <c r="F3944" s="484">
        <v>4.6017000000000001</v>
      </c>
      <c r="G3944" s="83">
        <f t="shared" si="60"/>
        <v>4.1123841269841277</v>
      </c>
    </row>
    <row r="3945" spans="1:7" x14ac:dyDescent="0.2">
      <c r="A3945" s="75">
        <v>44453</v>
      </c>
      <c r="B3945" s="76" t="s">
        <v>35</v>
      </c>
      <c r="C3945" s="76" t="s">
        <v>536</v>
      </c>
      <c r="D3945" s="484">
        <v>7360.0842350000003</v>
      </c>
      <c r="E3945" s="484">
        <v>4.6018999999999997</v>
      </c>
      <c r="F3945" s="484">
        <v>4.5742000000000003</v>
      </c>
      <c r="G3945" s="83">
        <f t="shared" si="60"/>
        <v>4.1282158730158729</v>
      </c>
    </row>
    <row r="3946" spans="1:7" x14ac:dyDescent="0.2">
      <c r="A3946" s="75">
        <v>44454</v>
      </c>
      <c r="B3946" s="76" t="s">
        <v>35</v>
      </c>
      <c r="C3946" s="76" t="s">
        <v>536</v>
      </c>
      <c r="D3946" s="484">
        <v>7372.7367809999996</v>
      </c>
      <c r="E3946" s="484">
        <v>4.5744999999999996</v>
      </c>
      <c r="F3946" s="484">
        <v>4.5509000000000004</v>
      </c>
      <c r="G3946" s="83">
        <f t="shared" si="60"/>
        <v>4.1432761904761906</v>
      </c>
    </row>
    <row r="3947" spans="1:7" x14ac:dyDescent="0.2">
      <c r="A3947" s="75">
        <v>44455</v>
      </c>
      <c r="B3947" s="76" t="s">
        <v>35</v>
      </c>
      <c r="C3947" s="76" t="s">
        <v>536</v>
      </c>
      <c r="D3947" s="484">
        <v>7367.8471280000003</v>
      </c>
      <c r="E3947" s="484">
        <v>4.5511999999999997</v>
      </c>
      <c r="F3947" s="484">
        <v>4.5785999999999998</v>
      </c>
      <c r="G3947" s="83">
        <f t="shared" si="60"/>
        <v>4.1544984126984126</v>
      </c>
    </row>
    <row r="3948" spans="1:7" x14ac:dyDescent="0.2">
      <c r="A3948" s="75">
        <v>44456</v>
      </c>
      <c r="B3948" s="76" t="s">
        <v>35</v>
      </c>
      <c r="C3948" s="76" t="s">
        <v>536</v>
      </c>
      <c r="D3948" s="484">
        <v>7363.4633549999999</v>
      </c>
      <c r="E3948" s="484">
        <v>4.5789</v>
      </c>
      <c r="F3948" s="484">
        <v>4.6048999999999998</v>
      </c>
      <c r="G3948" s="83">
        <f t="shared" si="60"/>
        <v>4.1648079365079367</v>
      </c>
    </row>
    <row r="3949" spans="1:7" x14ac:dyDescent="0.2">
      <c r="A3949" s="75">
        <v>44459</v>
      </c>
      <c r="B3949" s="76" t="s">
        <v>35</v>
      </c>
      <c r="C3949" s="76" t="s">
        <v>536</v>
      </c>
      <c r="D3949" s="484">
        <v>7361.3060130000003</v>
      </c>
      <c r="E3949" s="484">
        <v>4.6052999999999997</v>
      </c>
      <c r="F3949" s="484">
        <v>4.625</v>
      </c>
      <c r="G3949" s="83">
        <f t="shared" si="60"/>
        <v>4.1767476190476192</v>
      </c>
    </row>
    <row r="3950" spans="1:7" x14ac:dyDescent="0.2">
      <c r="A3950" s="75">
        <v>44460</v>
      </c>
      <c r="B3950" s="76" t="s">
        <v>35</v>
      </c>
      <c r="C3950" s="76" t="s">
        <v>536</v>
      </c>
      <c r="D3950" s="484">
        <v>7396.7950270000001</v>
      </c>
      <c r="E3950" s="484">
        <v>4.6253000000000002</v>
      </c>
      <c r="F3950" s="484">
        <v>4.5381999999999998</v>
      </c>
      <c r="G3950" s="83">
        <f t="shared" si="60"/>
        <v>4.1874063492063494</v>
      </c>
    </row>
    <row r="3951" spans="1:7" x14ac:dyDescent="0.2">
      <c r="A3951" s="75">
        <v>44461</v>
      </c>
      <c r="B3951" s="76" t="s">
        <v>35</v>
      </c>
      <c r="C3951" s="76" t="s">
        <v>536</v>
      </c>
      <c r="D3951" s="484">
        <v>7389.3423460000004</v>
      </c>
      <c r="E3951" s="484">
        <v>4.5385</v>
      </c>
      <c r="F3951" s="484">
        <v>4.5731000000000002</v>
      </c>
      <c r="G3951" s="83">
        <f t="shared" si="60"/>
        <v>4.1974952380952386</v>
      </c>
    </row>
    <row r="3952" spans="1:7" x14ac:dyDescent="0.2">
      <c r="A3952" s="75">
        <v>44462</v>
      </c>
      <c r="B3952" s="76" t="s">
        <v>35</v>
      </c>
      <c r="C3952" s="76" t="s">
        <v>536</v>
      </c>
      <c r="D3952" s="484">
        <v>7373.138618</v>
      </c>
      <c r="E3952" s="484">
        <v>4.5734000000000004</v>
      </c>
      <c r="F3952" s="484">
        <v>4.6329000000000002</v>
      </c>
      <c r="G3952" s="83">
        <f t="shared" si="60"/>
        <v>4.2095095238095235</v>
      </c>
    </row>
    <row r="3953" spans="1:7" x14ac:dyDescent="0.2">
      <c r="A3953" s="75">
        <v>44463</v>
      </c>
      <c r="B3953" s="76" t="s">
        <v>35</v>
      </c>
      <c r="C3953" s="76" t="s">
        <v>536</v>
      </c>
      <c r="D3953" s="484">
        <v>7373.1701629999998</v>
      </c>
      <c r="E3953" s="484">
        <v>4.6332000000000004</v>
      </c>
      <c r="F3953" s="484">
        <v>4.6467000000000001</v>
      </c>
      <c r="G3953" s="83">
        <f t="shared" si="60"/>
        <v>4.2227539682539685</v>
      </c>
    </row>
    <row r="3954" spans="1:7" x14ac:dyDescent="0.2">
      <c r="A3954" s="75">
        <v>44466</v>
      </c>
      <c r="B3954" s="76" t="s">
        <v>35</v>
      </c>
      <c r="C3954" s="76" t="s">
        <v>536</v>
      </c>
      <c r="D3954" s="484">
        <v>7375.1576789999999</v>
      </c>
      <c r="E3954" s="484">
        <v>4.6471</v>
      </c>
      <c r="F3954" s="484">
        <v>4.6740000000000004</v>
      </c>
      <c r="G3954" s="83">
        <f t="shared" si="60"/>
        <v>4.2372809523809529</v>
      </c>
    </row>
    <row r="3955" spans="1:7" x14ac:dyDescent="0.2">
      <c r="A3955" s="75">
        <v>44467</v>
      </c>
      <c r="B3955" s="76" t="s">
        <v>35</v>
      </c>
      <c r="C3955" s="76" t="s">
        <v>536</v>
      </c>
      <c r="D3955" s="484">
        <v>7372.2005790000003</v>
      </c>
      <c r="E3955" s="484">
        <v>4.6742999999999997</v>
      </c>
      <c r="F3955" s="484">
        <v>4.6986999999999997</v>
      </c>
      <c r="G3955" s="83">
        <f t="shared" si="60"/>
        <v>4.2521111111111116</v>
      </c>
    </row>
    <row r="3956" spans="1:7" x14ac:dyDescent="0.2">
      <c r="A3956" s="75">
        <v>44468</v>
      </c>
      <c r="B3956" s="76" t="s">
        <v>35</v>
      </c>
      <c r="C3956" s="76" t="s">
        <v>536</v>
      </c>
      <c r="D3956" s="484">
        <v>7379.3869979999999</v>
      </c>
      <c r="E3956" s="484">
        <v>4.6989999999999998</v>
      </c>
      <c r="F3956" s="484">
        <v>4.6946000000000003</v>
      </c>
      <c r="G3956" s="83">
        <f t="shared" si="60"/>
        <v>4.266925396825398</v>
      </c>
    </row>
    <row r="3957" spans="1:7" x14ac:dyDescent="0.2">
      <c r="A3957" s="75">
        <v>44469</v>
      </c>
      <c r="B3957" s="76" t="s">
        <v>35</v>
      </c>
      <c r="C3957" s="76" t="s">
        <v>536</v>
      </c>
      <c r="D3957" s="484">
        <v>7369.9285639999998</v>
      </c>
      <c r="E3957" s="484">
        <v>4.6948999999999996</v>
      </c>
      <c r="F3957" s="484">
        <v>4.7378</v>
      </c>
      <c r="G3957" s="83">
        <f t="shared" si="60"/>
        <v>4.2812412698412707</v>
      </c>
    </row>
    <row r="3958" spans="1:7" x14ac:dyDescent="0.2">
      <c r="A3958" s="75">
        <v>44470</v>
      </c>
      <c r="B3958" s="76" t="s">
        <v>35</v>
      </c>
      <c r="C3958" s="76" t="s">
        <v>536</v>
      </c>
      <c r="D3958" s="484">
        <v>7396.6143259999999</v>
      </c>
      <c r="E3958" s="484">
        <v>4.7381000000000002</v>
      </c>
      <c r="F3958" s="484">
        <v>4.6783999999999999</v>
      </c>
      <c r="G3958" s="83">
        <f t="shared" si="60"/>
        <v>4.2969222222222232</v>
      </c>
    </row>
    <row r="3959" spans="1:7" x14ac:dyDescent="0.2">
      <c r="A3959" s="75">
        <v>44473</v>
      </c>
      <c r="B3959" s="76" t="s">
        <v>35</v>
      </c>
      <c r="C3959" s="76" t="s">
        <v>536</v>
      </c>
      <c r="D3959" s="484">
        <v>7383.9911659999998</v>
      </c>
      <c r="E3959" s="484">
        <v>4.6787000000000001</v>
      </c>
      <c r="F3959" s="484">
        <v>4.7305000000000001</v>
      </c>
      <c r="G3959" s="83">
        <f t="shared" si="60"/>
        <v>4.311406349206349</v>
      </c>
    </row>
    <row r="3960" spans="1:7" x14ac:dyDescent="0.2">
      <c r="A3960" s="75">
        <v>44474</v>
      </c>
      <c r="B3960" s="76" t="s">
        <v>35</v>
      </c>
      <c r="C3960" s="76" t="s">
        <v>536</v>
      </c>
      <c r="D3960" s="484">
        <v>7372.1512970000003</v>
      </c>
      <c r="E3960" s="484">
        <v>4.7308000000000003</v>
      </c>
      <c r="F3960" s="484">
        <v>4.7805</v>
      </c>
      <c r="G3960" s="83">
        <f t="shared" si="60"/>
        <v>4.3258031746031742</v>
      </c>
    </row>
    <row r="3961" spans="1:7" x14ac:dyDescent="0.2">
      <c r="A3961" s="75">
        <v>44475</v>
      </c>
      <c r="B3961" s="76" t="s">
        <v>35</v>
      </c>
      <c r="C3961" s="76" t="s">
        <v>536</v>
      </c>
      <c r="D3961" s="484">
        <v>7399.9428289999996</v>
      </c>
      <c r="E3961" s="484">
        <v>4.7808000000000002</v>
      </c>
      <c r="F3961" s="484">
        <v>4.718</v>
      </c>
      <c r="G3961" s="83">
        <f t="shared" si="60"/>
        <v>4.3417111111111115</v>
      </c>
    </row>
    <row r="3962" spans="1:7" x14ac:dyDescent="0.2">
      <c r="A3962" s="75">
        <v>44476</v>
      </c>
      <c r="B3962" s="76" t="s">
        <v>35</v>
      </c>
      <c r="C3962" s="76" t="s">
        <v>536</v>
      </c>
      <c r="D3962" s="484">
        <v>7387.966144</v>
      </c>
      <c r="E3962" s="484">
        <v>4.7183999999999999</v>
      </c>
      <c r="F3962" s="484">
        <v>4.7683999999999997</v>
      </c>
      <c r="G3962" s="83">
        <f t="shared" si="60"/>
        <v>4.356349206349206</v>
      </c>
    </row>
    <row r="3963" spans="1:7" x14ac:dyDescent="0.2">
      <c r="A3963" s="75">
        <v>44477</v>
      </c>
      <c r="B3963" s="76" t="s">
        <v>35</v>
      </c>
      <c r="C3963" s="76" t="s">
        <v>536</v>
      </c>
      <c r="D3963" s="484">
        <v>7407.526484</v>
      </c>
      <c r="E3963" s="484">
        <v>4.7687999999999997</v>
      </c>
      <c r="F3963" s="484">
        <v>4.7176999999999998</v>
      </c>
      <c r="G3963" s="83">
        <f t="shared" si="60"/>
        <v>4.3718063492063486</v>
      </c>
    </row>
    <row r="3964" spans="1:7" x14ac:dyDescent="0.2">
      <c r="A3964" s="75">
        <v>44480</v>
      </c>
      <c r="B3964" s="76" t="s">
        <v>35</v>
      </c>
      <c r="C3964" s="76" t="s">
        <v>536</v>
      </c>
      <c r="D3964" s="484">
        <v>7398.0097100000003</v>
      </c>
      <c r="E3964" s="484">
        <v>4.7180999999999997</v>
      </c>
      <c r="F3964" s="484">
        <v>4.7603999999999997</v>
      </c>
      <c r="G3964" s="83">
        <f t="shared" si="60"/>
        <v>4.3855650793650787</v>
      </c>
    </row>
    <row r="3965" spans="1:7" x14ac:dyDescent="0.2">
      <c r="A3965" s="75">
        <v>44482</v>
      </c>
      <c r="B3965" s="76" t="s">
        <v>35</v>
      </c>
      <c r="C3965" s="76" t="s">
        <v>536</v>
      </c>
      <c r="D3965" s="484">
        <v>7404.2520709999999</v>
      </c>
      <c r="E3965" s="484">
        <v>4.7607999999999997</v>
      </c>
      <c r="F3965" s="484">
        <v>4.7584999999999997</v>
      </c>
      <c r="G3965" s="83">
        <f t="shared" si="60"/>
        <v>4.3992746031746028</v>
      </c>
    </row>
    <row r="3966" spans="1:7" x14ac:dyDescent="0.2">
      <c r="A3966" s="75">
        <v>44483</v>
      </c>
      <c r="B3966" s="76" t="s">
        <v>35</v>
      </c>
      <c r="C3966" s="76" t="s">
        <v>536</v>
      </c>
      <c r="D3966" s="484">
        <v>7398.6356770000002</v>
      </c>
      <c r="E3966" s="484">
        <v>4.7588999999999997</v>
      </c>
      <c r="F3966" s="484">
        <v>4.7901999999999996</v>
      </c>
      <c r="G3966" s="83">
        <f t="shared" si="60"/>
        <v>4.4142555555555543</v>
      </c>
    </row>
    <row r="3967" spans="1:7" x14ac:dyDescent="0.2">
      <c r="A3967" s="75">
        <v>44484</v>
      </c>
      <c r="B3967" s="76" t="s">
        <v>35</v>
      </c>
      <c r="C3967" s="76" t="s">
        <v>536</v>
      </c>
      <c r="D3967" s="484">
        <v>7385.2533510000003</v>
      </c>
      <c r="E3967" s="484">
        <v>4.7906000000000004</v>
      </c>
      <c r="F3967" s="484">
        <v>4.8440000000000003</v>
      </c>
      <c r="G3967" s="83">
        <f t="shared" si="60"/>
        <v>4.430126984126983</v>
      </c>
    </row>
    <row r="3968" spans="1:7" x14ac:dyDescent="0.2">
      <c r="A3968" s="75">
        <v>44487</v>
      </c>
      <c r="B3968" s="76" t="s">
        <v>35</v>
      </c>
      <c r="C3968" s="76" t="s">
        <v>536</v>
      </c>
      <c r="D3968" s="484">
        <v>7376.132087</v>
      </c>
      <c r="E3968" s="484">
        <v>4.8444000000000003</v>
      </c>
      <c r="F3968" s="484">
        <v>4.8815999999999997</v>
      </c>
      <c r="G3968" s="83">
        <f t="shared" si="60"/>
        <v>4.4481888888888887</v>
      </c>
    </row>
    <row r="3969" spans="1:7" x14ac:dyDescent="0.2">
      <c r="A3969" s="75">
        <v>44488</v>
      </c>
      <c r="B3969" s="76" t="s">
        <v>35</v>
      </c>
      <c r="C3969" s="76" t="s">
        <v>536</v>
      </c>
      <c r="D3969" s="484">
        <v>7319.1299410000001</v>
      </c>
      <c r="E3969" s="484">
        <v>4.8818999999999999</v>
      </c>
      <c r="F3969" s="484">
        <v>5.0561999999999996</v>
      </c>
      <c r="G3969" s="83">
        <f t="shared" si="60"/>
        <v>4.4664714285714275</v>
      </c>
    </row>
    <row r="3970" spans="1:7" x14ac:dyDescent="0.2">
      <c r="A3970" s="75">
        <v>44489</v>
      </c>
      <c r="B3970" s="76" t="s">
        <v>35</v>
      </c>
      <c r="C3970" s="76" t="s">
        <v>536</v>
      </c>
      <c r="D3970" s="484">
        <v>7308.8199130000003</v>
      </c>
      <c r="E3970" s="484">
        <v>5.0564</v>
      </c>
      <c r="F3970" s="484">
        <v>5.0975000000000001</v>
      </c>
      <c r="G3970" s="83">
        <f t="shared" si="60"/>
        <v>4.4883666666666651</v>
      </c>
    </row>
    <row r="3971" spans="1:7" x14ac:dyDescent="0.2">
      <c r="A3971" s="75">
        <v>44490</v>
      </c>
      <c r="B3971" s="76" t="s">
        <v>35</v>
      </c>
      <c r="C3971" s="76" t="s">
        <v>536</v>
      </c>
      <c r="D3971" s="484">
        <v>7283.681259</v>
      </c>
      <c r="E3971" s="484">
        <v>5.0978000000000003</v>
      </c>
      <c r="F3971" s="484">
        <v>5.1818</v>
      </c>
      <c r="G3971" s="83">
        <f t="shared" ref="G3971:G4034" si="61">+AVERAGE(E3909:E3971)</f>
        <v>4.5107999999999988</v>
      </c>
    </row>
    <row r="3972" spans="1:7" x14ac:dyDescent="0.2">
      <c r="A3972" s="75">
        <v>44491</v>
      </c>
      <c r="B3972" s="76" t="s">
        <v>35</v>
      </c>
      <c r="C3972" s="76" t="s">
        <v>536</v>
      </c>
      <c r="D3972" s="484">
        <v>7286.4023809999999</v>
      </c>
      <c r="E3972" s="484">
        <v>5.1820000000000004</v>
      </c>
      <c r="F3972" s="484">
        <v>5.1856999999999998</v>
      </c>
      <c r="G3972" s="83">
        <f t="shared" si="61"/>
        <v>4.5346126984126975</v>
      </c>
    </row>
    <row r="3973" spans="1:7" x14ac:dyDescent="0.2">
      <c r="A3973" s="75">
        <v>44494</v>
      </c>
      <c r="B3973" s="76" t="s">
        <v>35</v>
      </c>
      <c r="C3973" s="76" t="s">
        <v>536</v>
      </c>
      <c r="D3973" s="484">
        <v>7237.9660540000004</v>
      </c>
      <c r="E3973" s="484">
        <v>5.1859000000000002</v>
      </c>
      <c r="F3973" s="484">
        <v>5.3380000000000001</v>
      </c>
      <c r="G3973" s="83">
        <f t="shared" si="61"/>
        <v>4.5568444444444438</v>
      </c>
    </row>
    <row r="3974" spans="1:7" x14ac:dyDescent="0.2">
      <c r="A3974" s="75">
        <v>44495</v>
      </c>
      <c r="B3974" s="76" t="s">
        <v>35</v>
      </c>
      <c r="C3974" s="76" t="s">
        <v>536</v>
      </c>
      <c r="D3974" s="484">
        <v>7199.6123189999998</v>
      </c>
      <c r="E3974" s="484">
        <v>5.3380999999999998</v>
      </c>
      <c r="F3974" s="484">
        <v>5.4619</v>
      </c>
      <c r="G3974" s="83">
        <f t="shared" si="61"/>
        <v>4.5812936507936506</v>
      </c>
    </row>
    <row r="3975" spans="1:7" x14ac:dyDescent="0.2">
      <c r="A3975" s="75">
        <v>44496</v>
      </c>
      <c r="B3975" s="76" t="s">
        <v>35</v>
      </c>
      <c r="C3975" s="76" t="s">
        <v>536</v>
      </c>
      <c r="D3975" s="484">
        <v>7205.9740650000003</v>
      </c>
      <c r="E3975" s="484">
        <v>5.4619</v>
      </c>
      <c r="F3975" s="484">
        <v>5.4827000000000004</v>
      </c>
      <c r="G3975" s="83">
        <f t="shared" si="61"/>
        <v>4.6055650793650793</v>
      </c>
    </row>
    <row r="3976" spans="1:7" x14ac:dyDescent="0.2">
      <c r="A3976" s="75">
        <v>44497</v>
      </c>
      <c r="B3976" s="76" t="s">
        <v>35</v>
      </c>
      <c r="C3976" s="76" t="s">
        <v>536</v>
      </c>
      <c r="D3976" s="484">
        <v>7129.9813109999996</v>
      </c>
      <c r="E3976" s="484">
        <v>5.4827000000000004</v>
      </c>
      <c r="F3976" s="484">
        <v>5.7221000000000002</v>
      </c>
      <c r="G3976" s="83">
        <f t="shared" si="61"/>
        <v>4.629380952380953</v>
      </c>
    </row>
    <row r="3977" spans="1:7" x14ac:dyDescent="0.2">
      <c r="A3977" s="75">
        <v>44498</v>
      </c>
      <c r="B3977" s="76" t="s">
        <v>35</v>
      </c>
      <c r="C3977" s="76" t="s">
        <v>536</v>
      </c>
      <c r="D3977" s="484">
        <v>7228.2185390000004</v>
      </c>
      <c r="E3977" s="484">
        <v>5.7220000000000004</v>
      </c>
      <c r="F3977" s="484">
        <v>5.4482999999999997</v>
      </c>
      <c r="G3977" s="83">
        <f t="shared" si="61"/>
        <v>4.6575619047619048</v>
      </c>
    </row>
    <row r="3978" spans="1:7" x14ac:dyDescent="0.2">
      <c r="A3978" s="75">
        <v>44501</v>
      </c>
      <c r="B3978" s="76" t="s">
        <v>35</v>
      </c>
      <c r="C3978" s="76" t="s">
        <v>536</v>
      </c>
      <c r="D3978" s="484">
        <v>7213.9425579999997</v>
      </c>
      <c r="E3978" s="484">
        <v>5.4482999999999997</v>
      </c>
      <c r="F3978" s="484">
        <v>5.5053000000000001</v>
      </c>
      <c r="G3978" s="83">
        <f t="shared" si="61"/>
        <v>4.6788079365079369</v>
      </c>
    </row>
    <row r="3979" spans="1:7" x14ac:dyDescent="0.2">
      <c r="A3979" s="75">
        <v>44503</v>
      </c>
      <c r="B3979" s="76" t="s">
        <v>35</v>
      </c>
      <c r="C3979" s="76" t="s">
        <v>536</v>
      </c>
      <c r="D3979" s="484">
        <v>7325.7757849999998</v>
      </c>
      <c r="E3979" s="484">
        <v>5.5053000000000001</v>
      </c>
      <c r="F3979" s="484">
        <v>5.1962000000000002</v>
      </c>
      <c r="G3979" s="83">
        <f t="shared" si="61"/>
        <v>4.7005523809523808</v>
      </c>
    </row>
    <row r="3980" spans="1:7" x14ac:dyDescent="0.2">
      <c r="A3980" s="75">
        <v>44504</v>
      </c>
      <c r="B3980" s="76" t="s">
        <v>35</v>
      </c>
      <c r="C3980" s="76" t="s">
        <v>536</v>
      </c>
      <c r="D3980" s="484">
        <v>7303.5256019999997</v>
      </c>
      <c r="E3980" s="484">
        <v>5.1961000000000004</v>
      </c>
      <c r="F3980" s="484">
        <v>5.2751999999999999</v>
      </c>
      <c r="G3980" s="83">
        <f t="shared" si="61"/>
        <v>4.7177746031746022</v>
      </c>
    </row>
    <row r="3981" spans="1:7" x14ac:dyDescent="0.2">
      <c r="A3981" s="75">
        <v>44505</v>
      </c>
      <c r="B3981" s="76" t="s">
        <v>35</v>
      </c>
      <c r="C3981" s="76" t="s">
        <v>536</v>
      </c>
      <c r="D3981" s="484">
        <v>7299.3323870000004</v>
      </c>
      <c r="E3981" s="484">
        <v>5.2751000000000001</v>
      </c>
      <c r="F3981" s="484">
        <v>5.3022999999999998</v>
      </c>
      <c r="G3981" s="83">
        <f t="shared" si="61"/>
        <v>4.7355666666666671</v>
      </c>
    </row>
    <row r="3982" spans="1:7" x14ac:dyDescent="0.2">
      <c r="A3982" s="75">
        <v>44508</v>
      </c>
      <c r="B3982" s="76" t="s">
        <v>35</v>
      </c>
      <c r="C3982" s="76" t="s">
        <v>536</v>
      </c>
      <c r="D3982" s="484">
        <v>7296.3280949999998</v>
      </c>
      <c r="E3982" s="484">
        <v>5.3022999999999998</v>
      </c>
      <c r="F3982" s="484">
        <v>5.3261000000000003</v>
      </c>
      <c r="G3982" s="83">
        <f t="shared" si="61"/>
        <v>4.7519317460317456</v>
      </c>
    </row>
    <row r="3983" spans="1:7" x14ac:dyDescent="0.2">
      <c r="A3983" s="75">
        <v>44509</v>
      </c>
      <c r="B3983" s="76" t="s">
        <v>35</v>
      </c>
      <c r="C3983" s="76" t="s">
        <v>536</v>
      </c>
      <c r="D3983" s="484">
        <v>7337.4534100000001</v>
      </c>
      <c r="E3983" s="484">
        <v>5.3258999999999999</v>
      </c>
      <c r="F3983" s="484">
        <v>5.2225999999999999</v>
      </c>
      <c r="G3983" s="83">
        <f t="shared" si="61"/>
        <v>4.7689349206349201</v>
      </c>
    </row>
    <row r="3984" spans="1:7" x14ac:dyDescent="0.2">
      <c r="A3984" s="75">
        <v>44510</v>
      </c>
      <c r="B3984" s="76" t="s">
        <v>35</v>
      </c>
      <c r="C3984" s="76" t="s">
        <v>536</v>
      </c>
      <c r="D3984" s="484">
        <v>7331.4296299999996</v>
      </c>
      <c r="E3984" s="484">
        <v>5.2224000000000004</v>
      </c>
      <c r="F3984" s="484">
        <v>5.2937000000000003</v>
      </c>
      <c r="G3984" s="83">
        <f t="shared" si="61"/>
        <v>4.7832825396825394</v>
      </c>
    </row>
    <row r="3985" spans="1:7" x14ac:dyDescent="0.2">
      <c r="A3985" s="75">
        <v>44511</v>
      </c>
      <c r="B3985" s="76" t="s">
        <v>35</v>
      </c>
      <c r="C3985" s="76" t="s">
        <v>536</v>
      </c>
      <c r="D3985" s="484">
        <v>7341.0037339999999</v>
      </c>
      <c r="E3985" s="484">
        <v>5.2934999999999999</v>
      </c>
      <c r="F3985" s="484">
        <v>5.2834000000000003</v>
      </c>
      <c r="G3985" s="83">
        <f t="shared" si="61"/>
        <v>4.7990968253968243</v>
      </c>
    </row>
    <row r="3986" spans="1:7" x14ac:dyDescent="0.2">
      <c r="A3986" s="75">
        <v>44512</v>
      </c>
      <c r="B3986" s="76" t="s">
        <v>35</v>
      </c>
      <c r="C3986" s="76" t="s">
        <v>536</v>
      </c>
      <c r="D3986" s="484">
        <v>7384.589422</v>
      </c>
      <c r="E3986" s="484">
        <v>5.2831999999999999</v>
      </c>
      <c r="F3986" s="484">
        <v>5.1759000000000004</v>
      </c>
      <c r="G3986" s="83">
        <f t="shared" si="61"/>
        <v>4.8139142857142856</v>
      </c>
    </row>
    <row r="3987" spans="1:7" x14ac:dyDescent="0.2">
      <c r="A3987" s="75">
        <v>44516</v>
      </c>
      <c r="B3987" s="76" t="s">
        <v>35</v>
      </c>
      <c r="C3987" s="76" t="s">
        <v>536</v>
      </c>
      <c r="D3987" s="484">
        <v>7363.7190989999999</v>
      </c>
      <c r="E3987" s="484">
        <v>5.1757</v>
      </c>
      <c r="F3987" s="484">
        <v>5.2526000000000002</v>
      </c>
      <c r="G3987" s="83">
        <f t="shared" si="61"/>
        <v>4.8256825396825391</v>
      </c>
    </row>
    <row r="3988" spans="1:7" x14ac:dyDescent="0.2">
      <c r="A3988" s="75">
        <v>44517</v>
      </c>
      <c r="B3988" s="76" t="s">
        <v>35</v>
      </c>
      <c r="C3988" s="76" t="s">
        <v>536</v>
      </c>
      <c r="D3988" s="484">
        <v>7365.8385660000004</v>
      </c>
      <c r="E3988" s="484">
        <v>5.2525000000000004</v>
      </c>
      <c r="F3988" s="484">
        <v>5.2606000000000002</v>
      </c>
      <c r="G3988" s="83">
        <f t="shared" si="61"/>
        <v>4.8367952380952381</v>
      </c>
    </row>
    <row r="3989" spans="1:7" x14ac:dyDescent="0.2">
      <c r="A3989" s="75">
        <v>44518</v>
      </c>
      <c r="B3989" s="76" t="s">
        <v>35</v>
      </c>
      <c r="C3989" s="76" t="s">
        <v>536</v>
      </c>
      <c r="D3989" s="484">
        <v>7370.9690879999998</v>
      </c>
      <c r="E3989" s="484">
        <v>5.2605000000000004</v>
      </c>
      <c r="F3989" s="484">
        <v>5.26</v>
      </c>
      <c r="G3989" s="83">
        <f t="shared" si="61"/>
        <v>4.8472412698412697</v>
      </c>
    </row>
    <row r="3990" spans="1:7" x14ac:dyDescent="0.2">
      <c r="A3990" s="75">
        <v>44519</v>
      </c>
      <c r="B3990" s="76" t="s">
        <v>35</v>
      </c>
      <c r="C3990" s="76" t="s">
        <v>536</v>
      </c>
      <c r="D3990" s="484">
        <v>7414.6996730000001</v>
      </c>
      <c r="E3990" s="484">
        <v>5.2598000000000003</v>
      </c>
      <c r="F3990" s="484">
        <v>5.1494</v>
      </c>
      <c r="G3990" s="83">
        <f t="shared" si="61"/>
        <v>4.858071428571427</v>
      </c>
    </row>
    <row r="3991" spans="1:7" x14ac:dyDescent="0.2">
      <c r="A3991" s="75">
        <v>44522</v>
      </c>
      <c r="B3991" s="76" t="s">
        <v>35</v>
      </c>
      <c r="C3991" s="76" t="s">
        <v>536</v>
      </c>
      <c r="D3991" s="484">
        <v>7390.3253599999998</v>
      </c>
      <c r="E3991" s="484">
        <v>5.1493000000000002</v>
      </c>
      <c r="F3991" s="484">
        <v>5.2327000000000004</v>
      </c>
      <c r="G3991" s="83">
        <f t="shared" si="61"/>
        <v>4.8641539682539676</v>
      </c>
    </row>
    <row r="3992" spans="1:7" x14ac:dyDescent="0.2">
      <c r="A3992" s="75">
        <v>44523</v>
      </c>
      <c r="B3992" s="76" t="s">
        <v>35</v>
      </c>
      <c r="C3992" s="76" t="s">
        <v>536</v>
      </c>
      <c r="D3992" s="484">
        <v>7417.8010400000003</v>
      </c>
      <c r="E3992" s="484">
        <v>5.2325999999999997</v>
      </c>
      <c r="F3992" s="484">
        <v>5.1685999999999996</v>
      </c>
      <c r="G3992" s="83">
        <f t="shared" si="61"/>
        <v>4.8721952380952374</v>
      </c>
    </row>
    <row r="3993" spans="1:7" x14ac:dyDescent="0.2">
      <c r="A3993" s="75">
        <v>44524</v>
      </c>
      <c r="B3993" s="76" t="s">
        <v>35</v>
      </c>
      <c r="C3993" s="76" t="s">
        <v>536</v>
      </c>
      <c r="D3993" s="484">
        <v>7438.0884290000004</v>
      </c>
      <c r="E3993" s="484">
        <v>5.1684000000000001</v>
      </c>
      <c r="F3993" s="484">
        <v>5.125</v>
      </c>
      <c r="G3993" s="83">
        <f t="shared" si="61"/>
        <v>4.8808158730158722</v>
      </c>
    </row>
    <row r="3994" spans="1:7" x14ac:dyDescent="0.2">
      <c r="A3994" s="75">
        <v>44525</v>
      </c>
      <c r="B3994" s="76" t="s">
        <v>35</v>
      </c>
      <c r="C3994" s="76" t="s">
        <v>536</v>
      </c>
      <c r="D3994" s="484">
        <v>7425.7813020000003</v>
      </c>
      <c r="E3994" s="484">
        <v>5.1249000000000002</v>
      </c>
      <c r="F3994" s="484">
        <v>5.1738</v>
      </c>
      <c r="G3994" s="83">
        <f t="shared" si="61"/>
        <v>4.8878412698412692</v>
      </c>
    </row>
    <row r="3995" spans="1:7" x14ac:dyDescent="0.2">
      <c r="A3995" s="75">
        <v>44526</v>
      </c>
      <c r="B3995" s="76" t="s">
        <v>35</v>
      </c>
      <c r="C3995" s="76" t="s">
        <v>536</v>
      </c>
      <c r="D3995" s="484">
        <v>7427.0987429999996</v>
      </c>
      <c r="E3995" s="484">
        <v>5.1737000000000002</v>
      </c>
      <c r="F3995" s="484">
        <v>5.1912000000000003</v>
      </c>
      <c r="G3995" s="83">
        <f t="shared" si="61"/>
        <v>4.8973666666666666</v>
      </c>
    </row>
    <row r="3996" spans="1:7" x14ac:dyDescent="0.2">
      <c r="A3996" s="75">
        <v>44529</v>
      </c>
      <c r="B3996" s="76" t="s">
        <v>35</v>
      </c>
      <c r="C3996" s="76" t="s">
        <v>536</v>
      </c>
      <c r="D3996" s="484">
        <v>7452.2263789999997</v>
      </c>
      <c r="E3996" s="484">
        <v>5.1912000000000003</v>
      </c>
      <c r="F3996" s="484">
        <v>5.1351000000000004</v>
      </c>
      <c r="G3996" s="83">
        <f t="shared" si="61"/>
        <v>4.9092333333333338</v>
      </c>
    </row>
    <row r="3997" spans="1:7" x14ac:dyDescent="0.2">
      <c r="A3997" s="75">
        <v>44530</v>
      </c>
      <c r="B3997" s="76" t="s">
        <v>35</v>
      </c>
      <c r="C3997" s="76" t="s">
        <v>536</v>
      </c>
      <c r="D3997" s="484">
        <v>7473.417762</v>
      </c>
      <c r="E3997" s="484">
        <v>5.1349999999999998</v>
      </c>
      <c r="F3997" s="484">
        <v>5.0902000000000003</v>
      </c>
      <c r="G3997" s="83">
        <f t="shared" si="61"/>
        <v>4.9196365079365068</v>
      </c>
    </row>
    <row r="3998" spans="1:7" x14ac:dyDescent="0.2">
      <c r="A3998" s="75">
        <v>44531</v>
      </c>
      <c r="B3998" s="76" t="s">
        <v>35</v>
      </c>
      <c r="C3998" s="76" t="s">
        <v>536</v>
      </c>
      <c r="D3998" s="484">
        <v>7466.0704470000001</v>
      </c>
      <c r="E3998" s="484">
        <v>5.0900999999999996</v>
      </c>
      <c r="F3998" s="484">
        <v>5.1257000000000001</v>
      </c>
      <c r="G3998" s="83">
        <f t="shared" si="61"/>
        <v>4.9308650793650797</v>
      </c>
    </row>
    <row r="3999" spans="1:7" x14ac:dyDescent="0.2">
      <c r="A3999" s="75">
        <v>44532</v>
      </c>
      <c r="B3999" s="76" t="s">
        <v>35</v>
      </c>
      <c r="C3999" s="76" t="s">
        <v>536</v>
      </c>
      <c r="D3999" s="484">
        <v>7482.9940980000001</v>
      </c>
      <c r="E3999" s="484">
        <v>5.1257000000000001</v>
      </c>
      <c r="F3999" s="484">
        <v>5.093</v>
      </c>
      <c r="G3999" s="83">
        <f t="shared" si="61"/>
        <v>4.9430126984126987</v>
      </c>
    </row>
    <row r="4000" spans="1:7" x14ac:dyDescent="0.2">
      <c r="A4000" s="75">
        <v>44533</v>
      </c>
      <c r="B4000" s="76" t="s">
        <v>35</v>
      </c>
      <c r="C4000" s="76" t="s">
        <v>536</v>
      </c>
      <c r="D4000" s="484">
        <v>7540.9209060000003</v>
      </c>
      <c r="E4000" s="484">
        <v>5.0930999999999997</v>
      </c>
      <c r="F4000" s="484">
        <v>4.9459</v>
      </c>
      <c r="G4000" s="83">
        <f t="shared" si="61"/>
        <v>4.9530777777777777</v>
      </c>
    </row>
    <row r="4001" spans="1:7" x14ac:dyDescent="0.2">
      <c r="A4001" s="75">
        <v>44536</v>
      </c>
      <c r="B4001" s="76" t="s">
        <v>35</v>
      </c>
      <c r="C4001" s="76" t="s">
        <v>536</v>
      </c>
      <c r="D4001" s="484">
        <v>7518.6953039999999</v>
      </c>
      <c r="E4001" s="484">
        <v>4.9459999999999997</v>
      </c>
      <c r="F4001" s="484">
        <v>5.0228000000000002</v>
      </c>
      <c r="G4001" s="83">
        <f t="shared" si="61"/>
        <v>4.961333333333334</v>
      </c>
    </row>
    <row r="4002" spans="1:7" x14ac:dyDescent="0.2">
      <c r="A4002" s="75">
        <v>44537</v>
      </c>
      <c r="B4002" s="76" t="s">
        <v>35</v>
      </c>
      <c r="C4002" s="76" t="s">
        <v>536</v>
      </c>
      <c r="D4002" s="484">
        <v>7518.4600890000002</v>
      </c>
      <c r="E4002" s="484">
        <v>5.0229999999999997</v>
      </c>
      <c r="F4002" s="484">
        <v>5.0385</v>
      </c>
      <c r="G4002" s="83">
        <f t="shared" si="61"/>
        <v>4.9690825396825407</v>
      </c>
    </row>
    <row r="4003" spans="1:7" x14ac:dyDescent="0.2">
      <c r="A4003" s="75">
        <v>44538</v>
      </c>
      <c r="B4003" s="76" t="s">
        <v>35</v>
      </c>
      <c r="C4003" s="76" t="s">
        <v>536</v>
      </c>
      <c r="D4003" s="484">
        <v>7543.0569180000002</v>
      </c>
      <c r="E4003" s="484">
        <v>5.0385999999999997</v>
      </c>
      <c r="F4003" s="484">
        <v>4.9847999999999999</v>
      </c>
      <c r="G4003" s="83">
        <f t="shared" si="61"/>
        <v>4.976349206349207</v>
      </c>
    </row>
    <row r="4004" spans="1:7" x14ac:dyDescent="0.2">
      <c r="A4004" s="75">
        <v>44539</v>
      </c>
      <c r="B4004" s="76" t="s">
        <v>35</v>
      </c>
      <c r="C4004" s="76" t="s">
        <v>536</v>
      </c>
      <c r="D4004" s="484">
        <v>7539.4353199999996</v>
      </c>
      <c r="E4004" s="484">
        <v>4.9847999999999999</v>
      </c>
      <c r="F4004" s="484">
        <v>5.0096999999999996</v>
      </c>
      <c r="G4004" s="83">
        <f t="shared" si="61"/>
        <v>4.9827571428571442</v>
      </c>
    </row>
    <row r="4005" spans="1:7" x14ac:dyDescent="0.2">
      <c r="A4005" s="75">
        <v>44540</v>
      </c>
      <c r="B4005" s="76" t="s">
        <v>35</v>
      </c>
      <c r="C4005" s="76" t="s">
        <v>536</v>
      </c>
      <c r="D4005" s="484">
        <v>7580.0510670000003</v>
      </c>
      <c r="E4005" s="484">
        <v>5.0096999999999996</v>
      </c>
      <c r="F4005" s="484">
        <v>4.8884999999999996</v>
      </c>
      <c r="G4005" s="83">
        <f t="shared" si="61"/>
        <v>4.9875444444444446</v>
      </c>
    </row>
    <row r="4006" spans="1:7" x14ac:dyDescent="0.2">
      <c r="A4006" s="75">
        <v>44543</v>
      </c>
      <c r="B4006" s="76" t="s">
        <v>35</v>
      </c>
      <c r="C4006" s="76" t="s">
        <v>536</v>
      </c>
      <c r="D4006" s="484">
        <v>7551.2474039999997</v>
      </c>
      <c r="E4006" s="484">
        <v>4.8883999999999999</v>
      </c>
      <c r="F4006" s="484">
        <v>4.9817999999999998</v>
      </c>
      <c r="G4006" s="83">
        <f t="shared" si="61"/>
        <v>4.991938095238095</v>
      </c>
    </row>
    <row r="4007" spans="1:7" x14ac:dyDescent="0.2">
      <c r="A4007" s="75">
        <v>44544</v>
      </c>
      <c r="B4007" s="76" t="s">
        <v>35</v>
      </c>
      <c r="C4007" s="76" t="s">
        <v>536</v>
      </c>
      <c r="D4007" s="484">
        <v>7558.8754060000001</v>
      </c>
      <c r="E4007" s="484">
        <v>4.9817999999999998</v>
      </c>
      <c r="F4007" s="484">
        <v>4.9741</v>
      </c>
      <c r="G4007" s="83">
        <f t="shared" si="61"/>
        <v>4.9976428571428571</v>
      </c>
    </row>
    <row r="4008" spans="1:7" x14ac:dyDescent="0.2">
      <c r="A4008" s="75">
        <v>44545</v>
      </c>
      <c r="B4008" s="76" t="s">
        <v>35</v>
      </c>
      <c r="C4008" s="76" t="s">
        <v>536</v>
      </c>
      <c r="D4008" s="484">
        <v>7563.4126809999998</v>
      </c>
      <c r="E4008" s="484">
        <v>4.9741</v>
      </c>
      <c r="F4008" s="484">
        <v>4.9749999999999996</v>
      </c>
      <c r="G4008" s="83">
        <f t="shared" si="61"/>
        <v>5.0035507936507946</v>
      </c>
    </row>
    <row r="4009" spans="1:7" x14ac:dyDescent="0.2">
      <c r="A4009" s="75">
        <v>44546</v>
      </c>
      <c r="B4009" s="76" t="s">
        <v>35</v>
      </c>
      <c r="C4009" s="76" t="s">
        <v>536</v>
      </c>
      <c r="D4009" s="484">
        <v>7538.7450559999997</v>
      </c>
      <c r="E4009" s="484">
        <v>4.9748999999999999</v>
      </c>
      <c r="F4009" s="484">
        <v>5.0538999999999996</v>
      </c>
      <c r="G4009" s="83">
        <f t="shared" si="61"/>
        <v>5.0099063492063491</v>
      </c>
    </row>
    <row r="4010" spans="1:7" x14ac:dyDescent="0.2">
      <c r="A4010" s="75">
        <v>44547</v>
      </c>
      <c r="B4010" s="76" t="s">
        <v>35</v>
      </c>
      <c r="C4010" s="76" t="s">
        <v>536</v>
      </c>
      <c r="D4010" s="484">
        <v>7518.7023570000001</v>
      </c>
      <c r="E4010" s="484">
        <v>5.0537999999999998</v>
      </c>
      <c r="F4010" s="484">
        <v>5.1201999999999996</v>
      </c>
      <c r="G4010" s="83">
        <f t="shared" si="61"/>
        <v>5.0178841269841286</v>
      </c>
    </row>
    <row r="4011" spans="1:7" x14ac:dyDescent="0.2">
      <c r="A4011" s="75">
        <v>44550</v>
      </c>
      <c r="B4011" s="76" t="s">
        <v>35</v>
      </c>
      <c r="C4011" s="76" t="s">
        <v>536</v>
      </c>
      <c r="D4011" s="484">
        <v>7533.5338380000003</v>
      </c>
      <c r="E4011" s="484">
        <v>5.1200999999999999</v>
      </c>
      <c r="F4011" s="484">
        <v>5.0891000000000002</v>
      </c>
      <c r="G4011" s="83">
        <f t="shared" si="61"/>
        <v>5.0264746031746048</v>
      </c>
    </row>
    <row r="4012" spans="1:7" x14ac:dyDescent="0.2">
      <c r="A4012" s="75">
        <v>44551</v>
      </c>
      <c r="B4012" s="76" t="s">
        <v>35</v>
      </c>
      <c r="C4012" s="76" t="s">
        <v>536</v>
      </c>
      <c r="D4012" s="484">
        <v>7555.392691</v>
      </c>
      <c r="E4012" s="484">
        <v>5.0890000000000004</v>
      </c>
      <c r="F4012" s="484">
        <v>5.0385</v>
      </c>
      <c r="G4012" s="83">
        <f t="shared" si="61"/>
        <v>5.0341523809523823</v>
      </c>
    </row>
    <row r="4013" spans="1:7" x14ac:dyDescent="0.2">
      <c r="A4013" s="75">
        <v>44552</v>
      </c>
      <c r="B4013" s="76" t="s">
        <v>35</v>
      </c>
      <c r="C4013" s="76" t="s">
        <v>536</v>
      </c>
      <c r="D4013" s="484">
        <v>7572.1911019999998</v>
      </c>
      <c r="E4013" s="484">
        <v>5.0384000000000002</v>
      </c>
      <c r="F4013" s="484">
        <v>5.0021000000000004</v>
      </c>
      <c r="G4013" s="83">
        <f t="shared" si="61"/>
        <v>5.0407095238095252</v>
      </c>
    </row>
    <row r="4014" spans="1:7" x14ac:dyDescent="0.2">
      <c r="A4014" s="75">
        <v>44553</v>
      </c>
      <c r="B4014" s="76" t="s">
        <v>35</v>
      </c>
      <c r="C4014" s="76" t="s">
        <v>536</v>
      </c>
      <c r="D4014" s="484">
        <v>7570.1577070000003</v>
      </c>
      <c r="E4014" s="484">
        <v>5.0019999999999998</v>
      </c>
      <c r="F4014" s="484">
        <v>5.0179999999999998</v>
      </c>
      <c r="G4014" s="83">
        <f t="shared" si="61"/>
        <v>5.0480666666666671</v>
      </c>
    </row>
    <row r="4015" spans="1:7" x14ac:dyDescent="0.2">
      <c r="A4015" s="75">
        <v>44554</v>
      </c>
      <c r="B4015" s="76" t="s">
        <v>35</v>
      </c>
      <c r="C4015" s="76" t="s">
        <v>536</v>
      </c>
      <c r="D4015" s="484">
        <v>7572.9382310000001</v>
      </c>
      <c r="E4015" s="484">
        <v>5.0179</v>
      </c>
      <c r="F4015" s="484">
        <v>5.0160999999999998</v>
      </c>
      <c r="G4015" s="83">
        <f t="shared" si="61"/>
        <v>5.0551222222222227</v>
      </c>
    </row>
    <row r="4016" spans="1:7" x14ac:dyDescent="0.2">
      <c r="A4016" s="75">
        <v>44557</v>
      </c>
      <c r="B4016" s="76" t="s">
        <v>35</v>
      </c>
      <c r="C4016" s="76" t="s">
        <v>536</v>
      </c>
      <c r="D4016" s="484">
        <v>7579.5454909999999</v>
      </c>
      <c r="E4016" s="484">
        <v>5.016</v>
      </c>
      <c r="F4016" s="484">
        <v>5.0073999999999996</v>
      </c>
      <c r="G4016" s="83">
        <f t="shared" si="61"/>
        <v>5.0611984126984133</v>
      </c>
    </row>
    <row r="4017" spans="1:7" x14ac:dyDescent="0.2">
      <c r="A4017" s="75">
        <v>44558</v>
      </c>
      <c r="B4017" s="76" t="s">
        <v>35</v>
      </c>
      <c r="C4017" s="76" t="s">
        <v>536</v>
      </c>
      <c r="D4017" s="484">
        <v>7575.552858</v>
      </c>
      <c r="E4017" s="484">
        <v>5.0072999999999999</v>
      </c>
      <c r="F4017" s="484">
        <v>5.0281000000000002</v>
      </c>
      <c r="G4017" s="83">
        <f t="shared" si="61"/>
        <v>5.0669158730158737</v>
      </c>
    </row>
    <row r="4018" spans="1:7" x14ac:dyDescent="0.2">
      <c r="A4018" s="75">
        <v>44559</v>
      </c>
      <c r="B4018" s="76" t="s">
        <v>35</v>
      </c>
      <c r="C4018" s="76" t="s">
        <v>536</v>
      </c>
      <c r="D4018" s="484">
        <v>7550.3238199999996</v>
      </c>
      <c r="E4018" s="484">
        <v>5.0279999999999996</v>
      </c>
      <c r="F4018" s="484">
        <v>5.1078999999999999</v>
      </c>
      <c r="G4018" s="83">
        <f t="shared" si="61"/>
        <v>5.0725301587301601</v>
      </c>
    </row>
    <row r="4019" spans="1:7" x14ac:dyDescent="0.2">
      <c r="A4019" s="75">
        <v>44560</v>
      </c>
      <c r="B4019" s="76" t="s">
        <v>35</v>
      </c>
      <c r="C4019" s="76" t="s">
        <v>536</v>
      </c>
      <c r="D4019" s="484">
        <v>7560.3843939999997</v>
      </c>
      <c r="E4019" s="484">
        <v>5.1078000000000001</v>
      </c>
      <c r="F4019" s="484">
        <v>5.0895999999999999</v>
      </c>
      <c r="G4019" s="83">
        <f>+AVERAGE(E3957:E4019)</f>
        <v>5.0790190476190489</v>
      </c>
    </row>
    <row r="4020" spans="1:7" x14ac:dyDescent="0.2">
      <c r="A4020" s="75">
        <v>44561</v>
      </c>
      <c r="B4020" s="76" t="s">
        <v>35</v>
      </c>
      <c r="C4020" s="76" t="s">
        <v>536</v>
      </c>
      <c r="D4020" s="484">
        <v>7564.4817110000004</v>
      </c>
      <c r="E4020" s="484">
        <v>5.0896999999999997</v>
      </c>
      <c r="F4020" s="484">
        <v>5.0880999999999998</v>
      </c>
      <c r="G4020" s="83">
        <f>+AVERAGE(E3958:E4020)</f>
        <v>5.0852857142857149</v>
      </c>
    </row>
    <row r="4021" spans="1:7" x14ac:dyDescent="0.2">
      <c r="A4021" s="75">
        <v>44564</v>
      </c>
      <c r="B4021" s="76" t="s">
        <v>35</v>
      </c>
      <c r="C4021" s="76" t="s">
        <v>536</v>
      </c>
      <c r="D4021" s="484">
        <v>7549.3953689999998</v>
      </c>
      <c r="E4021" s="484">
        <v>5.0881999999999996</v>
      </c>
      <c r="F4021" s="484">
        <v>5.14</v>
      </c>
      <c r="G4021" s="83">
        <f t="shared" si="61"/>
        <v>5.0908428571428566</v>
      </c>
    </row>
    <row r="4022" spans="1:7" x14ac:dyDescent="0.2">
      <c r="A4022" s="75">
        <v>44565</v>
      </c>
      <c r="B4022" s="76" t="s">
        <v>35</v>
      </c>
      <c r="C4022" s="76" t="s">
        <v>536</v>
      </c>
      <c r="D4022" s="484">
        <v>7526.1380399999998</v>
      </c>
      <c r="E4022" s="484">
        <v>5.14</v>
      </c>
      <c r="F4022" s="484">
        <v>5.2148000000000003</v>
      </c>
      <c r="G4022" s="83">
        <f t="shared" si="61"/>
        <v>5.0981650793650788</v>
      </c>
    </row>
    <row r="4023" spans="1:7" x14ac:dyDescent="0.2">
      <c r="A4023" s="75">
        <v>44566</v>
      </c>
      <c r="B4023" s="76" t="s">
        <v>35</v>
      </c>
      <c r="C4023" s="76" t="s">
        <v>536</v>
      </c>
      <c r="D4023" s="484">
        <v>7492.2854580000003</v>
      </c>
      <c r="E4023" s="484">
        <v>5.2148000000000003</v>
      </c>
      <c r="F4023" s="484">
        <v>5.3197000000000001</v>
      </c>
      <c r="G4023" s="83">
        <f t="shared" si="61"/>
        <v>5.1058476190476183</v>
      </c>
    </row>
    <row r="4024" spans="1:7" x14ac:dyDescent="0.2">
      <c r="A4024" s="75">
        <v>44567</v>
      </c>
      <c r="B4024" s="76" t="s">
        <v>35</v>
      </c>
      <c r="C4024" s="76" t="s">
        <v>536</v>
      </c>
      <c r="D4024" s="484">
        <v>7468.3793850000002</v>
      </c>
      <c r="E4024" s="484">
        <v>5.3196000000000003</v>
      </c>
      <c r="F4024" s="484">
        <v>5.3970000000000002</v>
      </c>
      <c r="G4024" s="83">
        <f t="shared" si="61"/>
        <v>5.1143999999999989</v>
      </c>
    </row>
    <row r="4025" spans="1:7" x14ac:dyDescent="0.2">
      <c r="A4025" s="75">
        <v>44568</v>
      </c>
      <c r="B4025" s="76" t="s">
        <v>35</v>
      </c>
      <c r="C4025" s="76" t="s">
        <v>536</v>
      </c>
      <c r="D4025" s="484">
        <v>7450.4830629999997</v>
      </c>
      <c r="E4025" s="484">
        <v>5.3970000000000002</v>
      </c>
      <c r="F4025" s="484">
        <v>5.4577</v>
      </c>
      <c r="G4025" s="83">
        <f t="shared" si="61"/>
        <v>5.125171428571428</v>
      </c>
    </row>
    <row r="4026" spans="1:7" x14ac:dyDescent="0.2">
      <c r="A4026" s="75">
        <v>44571</v>
      </c>
      <c r="B4026" s="76" t="s">
        <v>35</v>
      </c>
      <c r="C4026" s="76" t="s">
        <v>536</v>
      </c>
      <c r="D4026" s="484">
        <v>7454.3397210000003</v>
      </c>
      <c r="E4026" s="484">
        <v>5.4577</v>
      </c>
      <c r="F4026" s="484">
        <v>5.4569000000000001</v>
      </c>
      <c r="G4026" s="83">
        <f t="shared" si="61"/>
        <v>5.1361063492063481</v>
      </c>
    </row>
    <row r="4027" spans="1:7" x14ac:dyDescent="0.2">
      <c r="A4027" s="75">
        <v>44572</v>
      </c>
      <c r="B4027" s="76" t="s">
        <v>35</v>
      </c>
      <c r="C4027" s="76" t="s">
        <v>536</v>
      </c>
      <c r="D4027" s="484">
        <v>7437.652908</v>
      </c>
      <c r="E4027" s="484">
        <v>5.4569000000000001</v>
      </c>
      <c r="F4027" s="484">
        <v>5.5334000000000003</v>
      </c>
      <c r="G4027" s="83">
        <f t="shared" si="61"/>
        <v>5.1478333333333328</v>
      </c>
    </row>
    <row r="4028" spans="1:7" x14ac:dyDescent="0.2">
      <c r="A4028" s="75">
        <v>44573</v>
      </c>
      <c r="B4028" s="76" t="s">
        <v>35</v>
      </c>
      <c r="C4028" s="76" t="s">
        <v>536</v>
      </c>
      <c r="D4028" s="484">
        <v>7473.2766300000003</v>
      </c>
      <c r="E4028" s="484">
        <v>5.5335000000000001</v>
      </c>
      <c r="F4028" s="484">
        <v>5.4438000000000004</v>
      </c>
      <c r="G4028" s="83">
        <f t="shared" si="61"/>
        <v>5.160098412698412</v>
      </c>
    </row>
    <row r="4029" spans="1:7" x14ac:dyDescent="0.2">
      <c r="A4029" s="75">
        <v>44574</v>
      </c>
      <c r="B4029" s="76" t="s">
        <v>35</v>
      </c>
      <c r="C4029" s="76" t="s">
        <v>536</v>
      </c>
      <c r="D4029" s="484">
        <v>7482.9902899999997</v>
      </c>
      <c r="E4029" s="484">
        <v>5.4439000000000002</v>
      </c>
      <c r="F4029" s="484">
        <v>5.4276</v>
      </c>
      <c r="G4029" s="83">
        <f t="shared" si="61"/>
        <v>5.170971428571427</v>
      </c>
    </row>
    <row r="4030" spans="1:7" x14ac:dyDescent="0.2">
      <c r="A4030" s="75">
        <v>44575</v>
      </c>
      <c r="B4030" s="76" t="s">
        <v>35</v>
      </c>
      <c r="C4030" s="76" t="s">
        <v>536</v>
      </c>
      <c r="D4030" s="484">
        <v>7498.113077</v>
      </c>
      <c r="E4030" s="484">
        <v>5.4276999999999997</v>
      </c>
      <c r="F4030" s="484">
        <v>5.3962000000000003</v>
      </c>
      <c r="G4030" s="83">
        <f t="shared" si="61"/>
        <v>5.1810841269841257</v>
      </c>
    </row>
    <row r="4031" spans="1:7" x14ac:dyDescent="0.2">
      <c r="A4031" s="75">
        <v>44578</v>
      </c>
      <c r="B4031" s="76" t="s">
        <v>35</v>
      </c>
      <c r="C4031" s="76" t="s">
        <v>536</v>
      </c>
      <c r="D4031" s="484">
        <v>7461.9580249999999</v>
      </c>
      <c r="E4031" s="484">
        <v>5.3963000000000001</v>
      </c>
      <c r="F4031" s="484">
        <v>5.5094000000000003</v>
      </c>
      <c r="G4031" s="83">
        <f t="shared" si="61"/>
        <v>5.1898444444444429</v>
      </c>
    </row>
    <row r="4032" spans="1:7" x14ac:dyDescent="0.2">
      <c r="A4032" s="75">
        <v>44579</v>
      </c>
      <c r="B4032" s="76" t="s">
        <v>35</v>
      </c>
      <c r="C4032" s="76" t="s">
        <v>536</v>
      </c>
      <c r="D4032" s="484">
        <v>7463.3396210000001</v>
      </c>
      <c r="E4032" s="484">
        <v>5.5094000000000003</v>
      </c>
      <c r="F4032" s="484">
        <v>5.5145</v>
      </c>
      <c r="G4032" s="83">
        <f t="shared" si="61"/>
        <v>5.1998047619047609</v>
      </c>
    </row>
    <row r="4033" spans="1:7" x14ac:dyDescent="0.2">
      <c r="A4033" s="75">
        <v>44580</v>
      </c>
      <c r="B4033" s="76" t="s">
        <v>35</v>
      </c>
      <c r="C4033" s="76" t="s">
        <v>536</v>
      </c>
      <c r="D4033" s="484">
        <v>7497.6791860000003</v>
      </c>
      <c r="E4033" s="484">
        <v>5.5145999999999997</v>
      </c>
      <c r="F4033" s="484">
        <v>5.4267000000000003</v>
      </c>
      <c r="G4033" s="83">
        <f t="shared" si="61"/>
        <v>5.2070777777777764</v>
      </c>
    </row>
    <row r="4034" spans="1:7" x14ac:dyDescent="0.2">
      <c r="A4034" s="75">
        <v>44581</v>
      </c>
      <c r="B4034" s="76" t="s">
        <v>35</v>
      </c>
      <c r="C4034" s="76" t="s">
        <v>536</v>
      </c>
      <c r="D4034" s="484">
        <v>7539.61294</v>
      </c>
      <c r="E4034" s="484">
        <v>5.4268000000000001</v>
      </c>
      <c r="F4034" s="484">
        <v>5.3181000000000003</v>
      </c>
      <c r="G4034" s="83">
        <f t="shared" si="61"/>
        <v>5.2122999999999982</v>
      </c>
    </row>
    <row r="4035" spans="1:7" x14ac:dyDescent="0.2">
      <c r="A4035" s="75">
        <v>44582</v>
      </c>
      <c r="B4035" s="76" t="s">
        <v>35</v>
      </c>
      <c r="C4035" s="76" t="s">
        <v>536</v>
      </c>
      <c r="D4035" s="484">
        <v>7543.2052860000003</v>
      </c>
      <c r="E4035" s="484">
        <v>5.3182</v>
      </c>
      <c r="F4035" s="484">
        <v>5.3170000000000002</v>
      </c>
      <c r="G4035" s="83">
        <f t="shared" ref="G4035:G4075" si="62">+AVERAGE(E3973:E4035)</f>
        <v>5.2144619047619036</v>
      </c>
    </row>
    <row r="4036" spans="1:7" x14ac:dyDescent="0.2">
      <c r="A4036" s="75">
        <v>44585</v>
      </c>
      <c r="B4036" s="76" t="s">
        <v>35</v>
      </c>
      <c r="C4036" s="76" t="s">
        <v>536</v>
      </c>
      <c r="D4036" s="484">
        <v>7552.9239710000002</v>
      </c>
      <c r="E4036" s="484">
        <v>5.3170999999999999</v>
      </c>
      <c r="F4036" s="484">
        <v>5.2988</v>
      </c>
      <c r="G4036" s="83">
        <f t="shared" si="62"/>
        <v>5.2165444444444429</v>
      </c>
    </row>
    <row r="4037" spans="1:7" x14ac:dyDescent="0.2">
      <c r="A4037" s="75">
        <v>44586</v>
      </c>
      <c r="B4037" s="76" t="s">
        <v>35</v>
      </c>
      <c r="C4037" s="76" t="s">
        <v>536</v>
      </c>
      <c r="D4037" s="484">
        <v>7546.1641870000003</v>
      </c>
      <c r="E4037" s="484">
        <v>5.2988999999999997</v>
      </c>
      <c r="F4037" s="484">
        <v>5.3266</v>
      </c>
      <c r="G4037" s="83">
        <f t="shared" si="62"/>
        <v>5.215922222222221</v>
      </c>
    </row>
    <row r="4038" spans="1:7" x14ac:dyDescent="0.2">
      <c r="A4038" s="75">
        <v>44587</v>
      </c>
      <c r="B4038" s="76" t="s">
        <v>35</v>
      </c>
      <c r="C4038" s="76" t="s">
        <v>536</v>
      </c>
      <c r="D4038" s="484">
        <v>7534.6319130000002</v>
      </c>
      <c r="E4038" s="484">
        <v>5.3266999999999998</v>
      </c>
      <c r="F4038" s="484">
        <v>5.3677999999999999</v>
      </c>
      <c r="G4038" s="83">
        <f t="shared" si="62"/>
        <v>5.2137761904761897</v>
      </c>
    </row>
    <row r="4039" spans="1:7" x14ac:dyDescent="0.2">
      <c r="A4039" s="75">
        <v>44588</v>
      </c>
      <c r="B4039" s="76" t="s">
        <v>35</v>
      </c>
      <c r="C4039" s="76" t="s">
        <v>536</v>
      </c>
      <c r="D4039" s="484">
        <v>7517.4318450000001</v>
      </c>
      <c r="E4039" s="484">
        <v>5.3680000000000003</v>
      </c>
      <c r="F4039" s="484">
        <v>5.4330999999999996</v>
      </c>
      <c r="G4039" s="83">
        <f t="shared" si="62"/>
        <v>5.211955555555555</v>
      </c>
    </row>
    <row r="4040" spans="1:7" x14ac:dyDescent="0.2">
      <c r="A4040" s="75">
        <v>44589</v>
      </c>
      <c r="B4040" s="76" t="s">
        <v>35</v>
      </c>
      <c r="C4040" s="76" t="s">
        <v>536</v>
      </c>
      <c r="D4040" s="484">
        <v>7523.1487569999999</v>
      </c>
      <c r="E4040" s="484">
        <v>5.4332000000000003</v>
      </c>
      <c r="F4040" s="484">
        <v>5.4271000000000003</v>
      </c>
      <c r="G4040" s="83">
        <f t="shared" si="62"/>
        <v>5.2073714285714274</v>
      </c>
    </row>
    <row r="4041" spans="1:7" x14ac:dyDescent="0.2">
      <c r="A4041" s="75">
        <v>44592</v>
      </c>
      <c r="B4041" s="76" t="s">
        <v>35</v>
      </c>
      <c r="C4041" s="76" t="s">
        <v>536</v>
      </c>
      <c r="D4041" s="484">
        <v>7527.2273670000004</v>
      </c>
      <c r="E4041" s="484">
        <v>5.4272</v>
      </c>
      <c r="F4041" s="484">
        <v>5.4257</v>
      </c>
      <c r="G4041" s="83">
        <f>+AVERAGE(E3979:E4041)</f>
        <v>5.2070365079365066</v>
      </c>
    </row>
    <row r="4042" spans="1:7" x14ac:dyDescent="0.2">
      <c r="A4042" s="75">
        <v>44593</v>
      </c>
      <c r="B4042" s="76" t="s">
        <v>35</v>
      </c>
      <c r="C4042" s="76" t="s">
        <v>536</v>
      </c>
      <c r="D4042" s="484">
        <v>7545.2783710000003</v>
      </c>
      <c r="E4042" s="484">
        <v>5.4257</v>
      </c>
      <c r="F4042" s="484">
        <v>5.3851000000000004</v>
      </c>
      <c r="G4042" s="83">
        <f t="shared" si="62"/>
        <v>5.2057730158730156</v>
      </c>
    </row>
    <row r="4043" spans="1:7" ht="16" thickBot="1" x14ac:dyDescent="0.25">
      <c r="A4043" s="77">
        <v>44594</v>
      </c>
      <c r="B4043" s="78" t="s">
        <v>35</v>
      </c>
      <c r="C4043" s="78" t="s">
        <v>536</v>
      </c>
      <c r="D4043" s="485">
        <v>7569.8265760000004</v>
      </c>
      <c r="E4043" s="485">
        <v>5.3851000000000004</v>
      </c>
      <c r="F4043" s="485">
        <v>5.3265000000000002</v>
      </c>
      <c r="G4043" s="83">
        <f t="shared" si="62"/>
        <v>5.2087730158730157</v>
      </c>
    </row>
    <row r="4044" spans="1:7" x14ac:dyDescent="0.2">
      <c r="A4044" s="75">
        <v>44595</v>
      </c>
      <c r="B4044" s="76" t="s">
        <v>35</v>
      </c>
      <c r="C4044" s="76" t="s">
        <v>536</v>
      </c>
      <c r="D4044" s="484">
        <v>7624.2191830000002</v>
      </c>
      <c r="E4044" s="484">
        <v>5.3266</v>
      </c>
      <c r="F4044" s="484">
        <v>5.1856</v>
      </c>
      <c r="G4044" s="83">
        <f t="shared" si="62"/>
        <v>5.2095904761904759</v>
      </c>
    </row>
    <row r="4045" spans="1:7" x14ac:dyDescent="0.2">
      <c r="A4045" s="75">
        <v>44596</v>
      </c>
      <c r="B4045" s="76" t="s">
        <v>35</v>
      </c>
      <c r="C4045" s="76" t="s">
        <v>536</v>
      </c>
      <c r="D4045" s="484">
        <v>7593.9203090000001</v>
      </c>
      <c r="E4045" s="484">
        <v>5.1858000000000004</v>
      </c>
      <c r="F4045" s="484">
        <v>5.2793999999999999</v>
      </c>
      <c r="G4045" s="83">
        <f t="shared" si="62"/>
        <v>5.2077412698412688</v>
      </c>
    </row>
    <row r="4046" spans="1:7" x14ac:dyDescent="0.2">
      <c r="A4046" s="75">
        <v>44599</v>
      </c>
      <c r="B4046" s="76" t="s">
        <v>35</v>
      </c>
      <c r="C4046" s="76" t="s">
        <v>536</v>
      </c>
      <c r="D4046" s="484">
        <v>7605.3195500000002</v>
      </c>
      <c r="E4046" s="484">
        <v>5.2796000000000003</v>
      </c>
      <c r="F4046" s="484">
        <v>5.2577999999999996</v>
      </c>
      <c r="G4046" s="83">
        <f t="shared" si="62"/>
        <v>5.2070063492063472</v>
      </c>
    </row>
    <row r="4047" spans="1:7" x14ac:dyDescent="0.2">
      <c r="A4047" s="75">
        <v>44600</v>
      </c>
      <c r="B4047" s="76" t="s">
        <v>35</v>
      </c>
      <c r="C4047" s="76" t="s">
        <v>536</v>
      </c>
      <c r="D4047" s="484">
        <v>7583.9827789999999</v>
      </c>
      <c r="E4047" s="484">
        <v>5.258</v>
      </c>
      <c r="F4047" s="484">
        <v>5.327</v>
      </c>
      <c r="G4047" s="83">
        <f t="shared" si="62"/>
        <v>5.207571428571427</v>
      </c>
    </row>
    <row r="4048" spans="1:7" x14ac:dyDescent="0.2">
      <c r="A4048" s="75">
        <v>44601</v>
      </c>
      <c r="B4048" s="76" t="s">
        <v>35</v>
      </c>
      <c r="C4048" s="76" t="s">
        <v>536</v>
      </c>
      <c r="D4048" s="484">
        <v>7559.8051169999999</v>
      </c>
      <c r="E4048" s="484">
        <v>5.3270999999999997</v>
      </c>
      <c r="F4048" s="484">
        <v>5.4025999999999996</v>
      </c>
      <c r="G4048" s="83">
        <f t="shared" si="62"/>
        <v>5.2081047619047593</v>
      </c>
    </row>
    <row r="4049" spans="1:7" x14ac:dyDescent="0.2">
      <c r="A4049" s="75">
        <v>44602</v>
      </c>
      <c r="B4049" s="76" t="s">
        <v>35</v>
      </c>
      <c r="C4049" s="76" t="s">
        <v>536</v>
      </c>
      <c r="D4049" s="484">
        <v>7551.8975609999998</v>
      </c>
      <c r="E4049" s="484">
        <v>5.4027000000000003</v>
      </c>
      <c r="F4049" s="484">
        <v>5.4345999999999997</v>
      </c>
      <c r="G4049" s="83">
        <f t="shared" si="62"/>
        <v>5.2100015873015852</v>
      </c>
    </row>
    <row r="4050" spans="1:7" x14ac:dyDescent="0.2">
      <c r="A4050" s="75">
        <v>44603</v>
      </c>
      <c r="B4050" s="76" t="s">
        <v>35</v>
      </c>
      <c r="C4050" s="76" t="s">
        <v>536</v>
      </c>
      <c r="D4050" s="484">
        <v>7538.0456519999998</v>
      </c>
      <c r="E4050" s="484">
        <v>5.4347000000000003</v>
      </c>
      <c r="F4050" s="484">
        <v>5.4832999999999998</v>
      </c>
      <c r="G4050" s="83">
        <f t="shared" si="62"/>
        <v>5.2141126984126966</v>
      </c>
    </row>
    <row r="4051" spans="1:7" x14ac:dyDescent="0.2">
      <c r="A4051" s="75">
        <v>44606</v>
      </c>
      <c r="B4051" s="76" t="s">
        <v>35</v>
      </c>
      <c r="C4051" s="76" t="s">
        <v>536</v>
      </c>
      <c r="D4051" s="484">
        <v>7554.8066170000002</v>
      </c>
      <c r="E4051" s="484">
        <v>5.4832999999999998</v>
      </c>
      <c r="F4051" s="484">
        <v>5.4462999999999999</v>
      </c>
      <c r="G4051" s="83">
        <f t="shared" si="62"/>
        <v>5.2177761904761892</v>
      </c>
    </row>
    <row r="4052" spans="1:7" x14ac:dyDescent="0.2">
      <c r="A4052" s="75">
        <v>44607</v>
      </c>
      <c r="B4052" s="76" t="s">
        <v>35</v>
      </c>
      <c r="C4052" s="76" t="s">
        <v>536</v>
      </c>
      <c r="D4052" s="484">
        <v>7586.8692819999997</v>
      </c>
      <c r="E4052" s="484">
        <v>5.4463999999999997</v>
      </c>
      <c r="F4052" s="484">
        <v>5.3669000000000002</v>
      </c>
      <c r="G4052" s="83">
        <f t="shared" si="62"/>
        <v>5.2207269841269817</v>
      </c>
    </row>
    <row r="4053" spans="1:7" x14ac:dyDescent="0.2">
      <c r="A4053" s="75">
        <v>44608</v>
      </c>
      <c r="B4053" s="76" t="s">
        <v>35</v>
      </c>
      <c r="C4053" s="76" t="s">
        <v>536</v>
      </c>
      <c r="D4053" s="484">
        <v>7584.2290650000004</v>
      </c>
      <c r="E4053" s="484">
        <v>5.367</v>
      </c>
      <c r="F4053" s="484">
        <v>5.3891</v>
      </c>
      <c r="G4053" s="83">
        <f t="shared" si="62"/>
        <v>5.2224285714285701</v>
      </c>
    </row>
    <row r="4054" spans="1:7" x14ac:dyDescent="0.2">
      <c r="A4054" s="75">
        <v>44609</v>
      </c>
      <c r="B4054" s="76" t="s">
        <v>35</v>
      </c>
      <c r="C4054" s="76" t="s">
        <v>536</v>
      </c>
      <c r="D4054" s="484">
        <v>7565.4484080000002</v>
      </c>
      <c r="E4054" s="484">
        <v>5.3891999999999998</v>
      </c>
      <c r="F4054" s="484">
        <v>5.4562999999999997</v>
      </c>
      <c r="G4054" s="83">
        <f t="shared" si="62"/>
        <v>5.2262365079365063</v>
      </c>
    </row>
    <row r="4055" spans="1:7" x14ac:dyDescent="0.2">
      <c r="A4055" s="75">
        <v>44610</v>
      </c>
      <c r="B4055" s="76" t="s">
        <v>35</v>
      </c>
      <c r="C4055" s="76" t="s">
        <v>536</v>
      </c>
      <c r="D4055" s="484">
        <v>7560.2333710000003</v>
      </c>
      <c r="E4055" s="484">
        <v>5.4564000000000004</v>
      </c>
      <c r="F4055" s="484">
        <v>5.4858000000000002</v>
      </c>
      <c r="G4055" s="83">
        <f t="shared" si="62"/>
        <v>5.2297888888888862</v>
      </c>
    </row>
    <row r="4056" spans="1:7" x14ac:dyDescent="0.2">
      <c r="A4056" s="75">
        <v>44613</v>
      </c>
      <c r="B4056" s="76" t="s">
        <v>35</v>
      </c>
      <c r="C4056" s="76" t="s">
        <v>536</v>
      </c>
      <c r="D4056" s="484">
        <v>7565.1649470000002</v>
      </c>
      <c r="E4056" s="484">
        <v>5.4859</v>
      </c>
      <c r="F4056" s="484">
        <v>5.4870000000000001</v>
      </c>
      <c r="G4056" s="83">
        <f t="shared" si="62"/>
        <v>5.2348285714285705</v>
      </c>
    </row>
    <row r="4057" spans="1:7" x14ac:dyDescent="0.2">
      <c r="A4057" s="75">
        <v>44614</v>
      </c>
      <c r="B4057" s="76" t="s">
        <v>35</v>
      </c>
      <c r="C4057" s="76" t="s">
        <v>536</v>
      </c>
      <c r="D4057" s="484">
        <v>7547.231702</v>
      </c>
      <c r="E4057" s="484">
        <v>5.4870999999999999</v>
      </c>
      <c r="F4057" s="484">
        <v>5.5521000000000003</v>
      </c>
      <c r="G4057" s="83">
        <f t="shared" si="62"/>
        <v>5.2405777777777764</v>
      </c>
    </row>
    <row r="4058" spans="1:7" x14ac:dyDescent="0.2">
      <c r="A4058" s="75">
        <v>44615</v>
      </c>
      <c r="B4058" s="76" t="s">
        <v>35</v>
      </c>
      <c r="C4058" s="76" t="s">
        <v>536</v>
      </c>
      <c r="D4058" s="484">
        <v>7555.4633480000002</v>
      </c>
      <c r="E4058" s="484">
        <v>5.5522</v>
      </c>
      <c r="F4058" s="484">
        <v>5.5441000000000003</v>
      </c>
      <c r="G4058" s="83">
        <f t="shared" si="62"/>
        <v>5.2465857142857129</v>
      </c>
    </row>
    <row r="4059" spans="1:7" x14ac:dyDescent="0.2">
      <c r="A4059" s="75">
        <v>44616</v>
      </c>
      <c r="B4059" s="76" t="s">
        <v>35</v>
      </c>
      <c r="C4059" s="76" t="s">
        <v>536</v>
      </c>
      <c r="D4059" s="484">
        <v>7546.7426379999997</v>
      </c>
      <c r="E4059" s="484">
        <v>5.5442</v>
      </c>
      <c r="F4059" s="484">
        <v>5.5876000000000001</v>
      </c>
      <c r="G4059" s="83">
        <f t="shared" si="62"/>
        <v>5.2521888888888881</v>
      </c>
    </row>
    <row r="4060" spans="1:7" x14ac:dyDescent="0.2">
      <c r="A4060" s="75">
        <v>44617</v>
      </c>
      <c r="B4060" s="76" t="s">
        <v>35</v>
      </c>
      <c r="C4060" s="76" t="s">
        <v>536</v>
      </c>
      <c r="D4060" s="484">
        <v>7549.7232620000004</v>
      </c>
      <c r="E4060" s="484">
        <v>5.5876999999999999</v>
      </c>
      <c r="F4060" s="484">
        <v>5.5949</v>
      </c>
      <c r="G4060" s="83">
        <f t="shared" si="62"/>
        <v>5.259374603174602</v>
      </c>
    </row>
    <row r="4061" spans="1:7" x14ac:dyDescent="0.2">
      <c r="A4061" s="75">
        <v>44622</v>
      </c>
      <c r="B4061" s="76" t="s">
        <v>35</v>
      </c>
      <c r="C4061" s="76" t="s">
        <v>536</v>
      </c>
      <c r="D4061" s="484">
        <v>7544.5657339999998</v>
      </c>
      <c r="E4061" s="484">
        <v>5.5949999999999998</v>
      </c>
      <c r="F4061" s="484">
        <v>5.625</v>
      </c>
      <c r="G4061" s="83">
        <f t="shared" si="62"/>
        <v>5.2673888888888882</v>
      </c>
    </row>
    <row r="4062" spans="1:7" x14ac:dyDescent="0.2">
      <c r="A4062" s="75">
        <v>44623</v>
      </c>
      <c r="B4062" s="76" t="s">
        <v>35</v>
      </c>
      <c r="C4062" s="76" t="s">
        <v>536</v>
      </c>
      <c r="D4062" s="484">
        <v>7539.958095</v>
      </c>
      <c r="E4062" s="484">
        <v>5.6250999999999998</v>
      </c>
      <c r="F4062" s="484">
        <v>5.6536</v>
      </c>
      <c r="G4062" s="83">
        <f t="shared" si="62"/>
        <v>5.2753158730158729</v>
      </c>
    </row>
    <row r="4063" spans="1:7" x14ac:dyDescent="0.2">
      <c r="A4063" s="75">
        <v>44624</v>
      </c>
      <c r="B4063" s="76" t="s">
        <v>35</v>
      </c>
      <c r="C4063" s="76" t="s">
        <v>536</v>
      </c>
      <c r="D4063" s="484">
        <v>7520.1005290000003</v>
      </c>
      <c r="E4063" s="484">
        <v>5.6536999999999997</v>
      </c>
      <c r="F4063" s="484">
        <v>5.7251000000000003</v>
      </c>
      <c r="G4063" s="83">
        <f t="shared" si="62"/>
        <v>5.2842142857142864</v>
      </c>
    </row>
    <row r="4064" spans="1:7" x14ac:dyDescent="0.2">
      <c r="A4064" s="75">
        <v>44627</v>
      </c>
      <c r="B4064" s="76" t="s">
        <v>35</v>
      </c>
      <c r="C4064" s="76" t="s">
        <v>536</v>
      </c>
      <c r="D4064" s="484">
        <v>7501.8910820000001</v>
      </c>
      <c r="E4064" s="484">
        <v>5.7251000000000003</v>
      </c>
      <c r="F4064" s="484">
        <v>5.7920999999999996</v>
      </c>
      <c r="G4064" s="83">
        <f t="shared" si="62"/>
        <v>5.2965809523809533</v>
      </c>
    </row>
    <row r="4065" spans="1:7" x14ac:dyDescent="0.2">
      <c r="A4065" s="75">
        <v>44628</v>
      </c>
      <c r="B4065" s="76" t="s">
        <v>35</v>
      </c>
      <c r="C4065" s="76" t="s">
        <v>536</v>
      </c>
      <c r="D4065" s="484">
        <v>7493.0555379999996</v>
      </c>
      <c r="E4065" s="484">
        <v>5.7920999999999996</v>
      </c>
      <c r="F4065" s="484">
        <v>5.8327999999999998</v>
      </c>
      <c r="G4065" s="83">
        <f t="shared" si="62"/>
        <v>5.3087888888888894</v>
      </c>
    </row>
    <row r="4066" spans="1:7" x14ac:dyDescent="0.2">
      <c r="A4066" s="75">
        <v>44629</v>
      </c>
      <c r="B4066" s="76" t="s">
        <v>35</v>
      </c>
      <c r="C4066" s="76" t="s">
        <v>536</v>
      </c>
      <c r="D4066" s="484">
        <v>7535.4189470000001</v>
      </c>
      <c r="E4066" s="484">
        <v>5.8329000000000004</v>
      </c>
      <c r="F4066" s="484">
        <v>5.7293000000000003</v>
      </c>
      <c r="G4066" s="83">
        <f t="shared" si="62"/>
        <v>5.3213968253968265</v>
      </c>
    </row>
    <row r="4067" spans="1:7" x14ac:dyDescent="0.2">
      <c r="A4067" s="75">
        <v>44630</v>
      </c>
      <c r="B4067" s="76" t="s">
        <v>35</v>
      </c>
      <c r="C4067" s="76" t="s">
        <v>536</v>
      </c>
      <c r="D4067" s="484">
        <v>7531.3900629999998</v>
      </c>
      <c r="E4067" s="484">
        <v>5.7294</v>
      </c>
      <c r="F4067" s="484">
        <v>5.7564000000000002</v>
      </c>
      <c r="G4067" s="83">
        <f t="shared" si="62"/>
        <v>5.3332158730158739</v>
      </c>
    </row>
    <row r="4068" spans="1:7" x14ac:dyDescent="0.2">
      <c r="A4068" s="75">
        <v>44631</v>
      </c>
      <c r="B4068" s="76" t="s">
        <v>35</v>
      </c>
      <c r="C4068" s="76" t="s">
        <v>536</v>
      </c>
      <c r="D4068" s="484">
        <v>7540.8456740000001</v>
      </c>
      <c r="E4068" s="484">
        <v>5.7564000000000002</v>
      </c>
      <c r="F4068" s="484">
        <v>5.7586000000000004</v>
      </c>
      <c r="G4068" s="83">
        <f t="shared" si="62"/>
        <v>5.3450682539682539</v>
      </c>
    </row>
    <row r="4069" spans="1:7" x14ac:dyDescent="0.2">
      <c r="A4069" s="75">
        <v>44634</v>
      </c>
      <c r="B4069" s="76" t="s">
        <v>35</v>
      </c>
      <c r="C4069" s="76" t="s">
        <v>536</v>
      </c>
      <c r="D4069" s="484">
        <v>7526.5521959999996</v>
      </c>
      <c r="E4069" s="484">
        <v>5.7587000000000002</v>
      </c>
      <c r="F4069" s="484">
        <v>5.8154000000000003</v>
      </c>
      <c r="G4069" s="83">
        <f t="shared" si="62"/>
        <v>5.3588825396825399</v>
      </c>
    </row>
    <row r="4070" spans="1:7" x14ac:dyDescent="0.2">
      <c r="A4070" s="75">
        <v>44635</v>
      </c>
      <c r="B4070" s="76" t="s">
        <v>35</v>
      </c>
      <c r="C4070" s="76" t="s">
        <v>536</v>
      </c>
      <c r="D4070" s="484">
        <v>7554.5336360000001</v>
      </c>
      <c r="E4070" s="484">
        <v>5.8155000000000001</v>
      </c>
      <c r="F4070" s="484">
        <v>5.7534999999999998</v>
      </c>
      <c r="G4070" s="83">
        <f t="shared" si="62"/>
        <v>5.3721158730158729</v>
      </c>
    </row>
    <row r="4071" spans="1:7" x14ac:dyDescent="0.2">
      <c r="A4071" s="75">
        <v>44636</v>
      </c>
      <c r="B4071" s="76" t="s">
        <v>35</v>
      </c>
      <c r="C4071" s="76" t="s">
        <v>536</v>
      </c>
      <c r="D4071" s="484">
        <v>7548.2599870000004</v>
      </c>
      <c r="E4071" s="484">
        <v>5.7535999999999996</v>
      </c>
      <c r="F4071" s="484">
        <v>5.7845000000000004</v>
      </c>
      <c r="G4071" s="83">
        <f t="shared" si="62"/>
        <v>5.384488888888888</v>
      </c>
    </row>
    <row r="4072" spans="1:7" x14ac:dyDescent="0.2">
      <c r="A4072" s="75">
        <v>44637</v>
      </c>
      <c r="B4072" s="76" t="s">
        <v>35</v>
      </c>
      <c r="C4072" s="76" t="s">
        <v>536</v>
      </c>
      <c r="D4072" s="484">
        <v>7581.1169200000004</v>
      </c>
      <c r="E4072" s="484">
        <v>5.7846000000000002</v>
      </c>
      <c r="F4072" s="484">
        <v>5.7060000000000004</v>
      </c>
      <c r="G4072" s="83">
        <f t="shared" si="62"/>
        <v>5.3973412698412684</v>
      </c>
    </row>
    <row r="4073" spans="1:7" x14ac:dyDescent="0.2">
      <c r="A4073" s="75">
        <v>44638</v>
      </c>
      <c r="B4073" s="76" t="s">
        <v>35</v>
      </c>
      <c r="C4073" s="76" t="s">
        <v>536</v>
      </c>
      <c r="D4073" s="484">
        <v>7612.5310520000003</v>
      </c>
      <c r="E4073" s="484">
        <v>5.7061999999999999</v>
      </c>
      <c r="F4073" s="484">
        <v>5.6319999999999997</v>
      </c>
      <c r="G4073" s="83">
        <f t="shared" si="62"/>
        <v>5.4076968253968252</v>
      </c>
    </row>
    <row r="4074" spans="1:7" x14ac:dyDescent="0.2">
      <c r="A4074" s="75">
        <v>44641</v>
      </c>
      <c r="B4074" s="76" t="s">
        <v>35</v>
      </c>
      <c r="C4074" s="76" t="s">
        <v>536</v>
      </c>
      <c r="D4074" s="484">
        <v>7616.2757469999997</v>
      </c>
      <c r="E4074" s="484">
        <v>5.6322000000000001</v>
      </c>
      <c r="F4074" s="484">
        <v>5.6349999999999998</v>
      </c>
      <c r="G4074" s="83">
        <f t="shared" si="62"/>
        <v>5.4158253968253964</v>
      </c>
    </row>
    <row r="4075" spans="1:7" x14ac:dyDescent="0.2">
      <c r="A4075" s="75">
        <v>44642</v>
      </c>
      <c r="B4075" s="76" t="s">
        <v>35</v>
      </c>
      <c r="C4075" s="76" t="s">
        <v>536</v>
      </c>
      <c r="D4075" s="484">
        <v>7654.5329869999996</v>
      </c>
      <c r="E4075" s="484">
        <v>5.6352000000000002</v>
      </c>
      <c r="F4075" s="484">
        <v>5.5425000000000004</v>
      </c>
      <c r="G4075" s="83">
        <f t="shared" si="62"/>
        <v>5.4244952380952371</v>
      </c>
    </row>
    <row r="4076" spans="1:7" x14ac:dyDescent="0.2">
      <c r="A4076" s="354">
        <v>44643</v>
      </c>
      <c r="B4076" t="s">
        <v>3103</v>
      </c>
      <c r="C4076" s="76" t="s">
        <v>536</v>
      </c>
      <c r="D4076" s="38">
        <v>7680.3866319999997</v>
      </c>
      <c r="E4076" s="38">
        <v>5.5427</v>
      </c>
      <c r="F4076" s="38">
        <v>5.4846000000000004</v>
      </c>
      <c r="G4076" s="83">
        <f>+AVERAGE(E4015:E4076)</f>
        <v>5.4394435483870964</v>
      </c>
    </row>
    <row r="4077" spans="1:7" x14ac:dyDescent="0.2">
      <c r="A4077" s="354">
        <v>44644</v>
      </c>
      <c r="B4077" t="s">
        <v>3103</v>
      </c>
      <c r="C4077" s="76" t="s">
        <v>536</v>
      </c>
      <c r="D4077" s="38">
        <v>7781.1819599999999</v>
      </c>
      <c r="E4077" s="38">
        <v>5.4847999999999999</v>
      </c>
      <c r="F4077" s="38">
        <v>5.2229000000000001</v>
      </c>
      <c r="G4077" s="83">
        <f>+AVERAGE(E4016:E4077)</f>
        <v>5.4469741935483871</v>
      </c>
    </row>
    <row r="4078" spans="1:7" x14ac:dyDescent="0.2">
      <c r="A4078" s="354">
        <v>44645</v>
      </c>
      <c r="B4078" t="s">
        <v>3103</v>
      </c>
      <c r="C4078" s="76" t="s">
        <v>536</v>
      </c>
      <c r="D4078" s="38">
        <v>7831.73711</v>
      </c>
      <c r="E4078" s="38">
        <v>5.2232000000000003</v>
      </c>
      <c r="F4078" s="38">
        <v>5.0997000000000003</v>
      </c>
      <c r="G4078" s="83">
        <f>+AVERAGE(E4018:E4078)</f>
        <v>5.45757868852459</v>
      </c>
    </row>
    <row r="4079" spans="1:7" x14ac:dyDescent="0.2">
      <c r="A4079" s="354">
        <v>44648</v>
      </c>
      <c r="B4079" t="s">
        <v>3103</v>
      </c>
      <c r="C4079" s="76" t="s">
        <v>536</v>
      </c>
      <c r="D4079" s="38">
        <v>7836.6878790000001</v>
      </c>
      <c r="E4079" s="38">
        <v>5.0998999999999999</v>
      </c>
      <c r="F4079" s="38">
        <v>5.1269999999999998</v>
      </c>
      <c r="G4079" s="83">
        <f>+AVERAGE(E4020:E4079)</f>
        <v>5.4646066666666675</v>
      </c>
    </row>
    <row r="4080" spans="1:7" x14ac:dyDescent="0.2">
      <c r="A4080" s="354">
        <v>44649</v>
      </c>
      <c r="B4080" t="s">
        <v>3103</v>
      </c>
      <c r="C4080" s="76" t="s">
        <v>536</v>
      </c>
      <c r="D4080" s="38">
        <v>7820.2914920000003</v>
      </c>
      <c r="E4080" s="38">
        <v>5.1272000000000002</v>
      </c>
      <c r="F4080" s="38">
        <v>5.1871</v>
      </c>
      <c r="G4080" s="83">
        <f>+AVERAGE(E4022:E4080)</f>
        <v>5.4716220338983055</v>
      </c>
    </row>
    <row r="4081" spans="1:7" x14ac:dyDescent="0.2">
      <c r="A4081" s="354">
        <v>44650</v>
      </c>
      <c r="B4081" t="s">
        <v>3103</v>
      </c>
      <c r="C4081" s="76" t="s">
        <v>536</v>
      </c>
      <c r="D4081" s="38">
        <v>7798.1463279999998</v>
      </c>
      <c r="E4081" s="38">
        <v>5.1872999999999996</v>
      </c>
      <c r="F4081" s="38">
        <v>5.2629000000000001</v>
      </c>
      <c r="G4081" s="83">
        <f>+AVERAGE(E4025:E4081)</f>
        <v>5.4796245614035097</v>
      </c>
    </row>
    <row r="4082" spans="1:7" x14ac:dyDescent="0.2">
      <c r="A4082" s="354">
        <v>44651</v>
      </c>
      <c r="B4082" t="s">
        <v>3103</v>
      </c>
      <c r="C4082" s="76" t="s">
        <v>536</v>
      </c>
      <c r="D4082" s="38">
        <v>7805.2705409999999</v>
      </c>
      <c r="E4082" s="38">
        <v>5.2630999999999997</v>
      </c>
      <c r="F4082" s="38">
        <v>5.2598000000000003</v>
      </c>
      <c r="G4082" s="83">
        <f t="shared" ref="G4082:G4113" si="63">+AVERAGE(E4027:E4082)</f>
        <v>5.4776250000000015</v>
      </c>
    </row>
    <row r="4083" spans="1:7" x14ac:dyDescent="0.2">
      <c r="A4083" s="354">
        <v>44652</v>
      </c>
      <c r="B4083" t="s">
        <v>3103</v>
      </c>
      <c r="C4083" s="76" t="s">
        <v>536</v>
      </c>
      <c r="D4083" s="38">
        <v>7867.1021309999996</v>
      </c>
      <c r="E4083" s="38">
        <v>5.2599</v>
      </c>
      <c r="F4083" s="38">
        <v>5.1097000000000001</v>
      </c>
      <c r="G4083" s="83">
        <f t="shared" si="63"/>
        <v>5.4741071428571431</v>
      </c>
    </row>
    <row r="4084" spans="1:7" x14ac:dyDescent="0.2">
      <c r="A4084" s="354">
        <v>44652</v>
      </c>
      <c r="B4084" t="s">
        <v>3103</v>
      </c>
      <c r="C4084" s="76" t="s">
        <v>536</v>
      </c>
      <c r="D4084" s="38">
        <v>7867.1021309999996</v>
      </c>
      <c r="E4084" s="38">
        <v>5.2599</v>
      </c>
      <c r="F4084" s="38">
        <v>5.1097000000000001</v>
      </c>
      <c r="G4084" s="83">
        <f t="shared" si="63"/>
        <v>5.4692214285714309</v>
      </c>
    </row>
    <row r="4085" spans="1:7" x14ac:dyDescent="0.2">
      <c r="A4085" s="354">
        <v>44655</v>
      </c>
      <c r="B4085" t="s">
        <v>3103</v>
      </c>
      <c r="C4085" s="76" t="s">
        <v>536</v>
      </c>
      <c r="D4085" s="38">
        <v>7881.5857470000001</v>
      </c>
      <c r="E4085" s="38">
        <v>5.1098999999999997</v>
      </c>
      <c r="F4085" s="38">
        <v>5.0869999999999997</v>
      </c>
      <c r="G4085" s="83">
        <f t="shared" si="63"/>
        <v>5.4632571428571444</v>
      </c>
    </row>
    <row r="4086" spans="1:7" x14ac:dyDescent="0.2">
      <c r="A4086" s="354">
        <v>44655</v>
      </c>
      <c r="B4086" t="s">
        <v>3103</v>
      </c>
      <c r="C4086" s="76" t="s">
        <v>536</v>
      </c>
      <c r="D4086" s="38">
        <v>7881.5857470000001</v>
      </c>
      <c r="E4086" s="38">
        <v>5.1098999999999997</v>
      </c>
      <c r="F4086" s="38">
        <v>5.0869999999999997</v>
      </c>
      <c r="G4086" s="83">
        <f t="shared" si="63"/>
        <v>5.4575821428571434</v>
      </c>
    </row>
    <row r="4087" spans="1:7" x14ac:dyDescent="0.2">
      <c r="A4087" s="354">
        <v>44656</v>
      </c>
      <c r="B4087" t="s">
        <v>3103</v>
      </c>
      <c r="C4087" s="76" t="s">
        <v>536</v>
      </c>
      <c r="D4087" s="38">
        <v>7846.453571</v>
      </c>
      <c r="E4087" s="38">
        <v>5.0872000000000002</v>
      </c>
      <c r="F4087" s="38">
        <v>5.1970000000000001</v>
      </c>
      <c r="G4087" s="83">
        <f t="shared" si="63"/>
        <v>5.4520625000000011</v>
      </c>
    </row>
    <row r="4088" spans="1:7" x14ac:dyDescent="0.2">
      <c r="A4088" s="354">
        <v>44656</v>
      </c>
      <c r="B4088" t="s">
        <v>3103</v>
      </c>
      <c r="C4088" s="76" t="s">
        <v>536</v>
      </c>
      <c r="D4088" s="38">
        <v>7846.453571</v>
      </c>
      <c r="E4088" s="38">
        <v>5.0872000000000002</v>
      </c>
      <c r="F4088" s="38">
        <v>5.1970000000000001</v>
      </c>
      <c r="G4088" s="83">
        <f t="shared" si="63"/>
        <v>5.4445232142857156</v>
      </c>
    </row>
    <row r="4089" spans="1:7" x14ac:dyDescent="0.2">
      <c r="A4089" s="354">
        <v>44657</v>
      </c>
      <c r="B4089" t="s">
        <v>3103</v>
      </c>
      <c r="C4089" s="76" t="s">
        <v>536</v>
      </c>
      <c r="D4089" s="38">
        <v>7850.2843210000001</v>
      </c>
      <c r="E4089" s="38">
        <v>5.1970999999999998</v>
      </c>
      <c r="F4089" s="38">
        <v>5.2027000000000001</v>
      </c>
      <c r="G4089" s="83">
        <f t="shared" si="63"/>
        <v>5.4388535714285711</v>
      </c>
    </row>
    <row r="4090" spans="1:7" x14ac:dyDescent="0.2">
      <c r="A4090" s="354">
        <v>44657</v>
      </c>
      <c r="B4090" t="s">
        <v>3103</v>
      </c>
      <c r="C4090" s="76" t="s">
        <v>536</v>
      </c>
      <c r="D4090" s="38">
        <v>7850.2843210000001</v>
      </c>
      <c r="E4090" s="38">
        <v>5.1970999999999998</v>
      </c>
      <c r="F4090" s="38">
        <v>5.2027000000000001</v>
      </c>
      <c r="G4090" s="83">
        <f t="shared" si="63"/>
        <v>5.4347517857142851</v>
      </c>
    </row>
    <row r="4091" spans="1:7" x14ac:dyDescent="0.2">
      <c r="A4091" s="354">
        <v>44658</v>
      </c>
      <c r="B4091" t="s">
        <v>3103</v>
      </c>
      <c r="C4091" s="76" t="s">
        <v>536</v>
      </c>
      <c r="D4091" s="38">
        <v>7859.0811059999996</v>
      </c>
      <c r="E4091" s="38">
        <v>5.2027999999999999</v>
      </c>
      <c r="F4091" s="38">
        <v>5.1951000000000001</v>
      </c>
      <c r="G4091" s="83">
        <f t="shared" si="63"/>
        <v>5.4326910714285708</v>
      </c>
    </row>
    <row r="4092" spans="1:7" x14ac:dyDescent="0.2">
      <c r="A4092" s="354">
        <v>44658</v>
      </c>
      <c r="B4092" t="s">
        <v>3103</v>
      </c>
      <c r="C4092" s="76" t="s">
        <v>536</v>
      </c>
      <c r="D4092" s="38">
        <v>7859.0811059999996</v>
      </c>
      <c r="E4092" s="38">
        <v>5.2027999999999999</v>
      </c>
      <c r="F4092" s="38">
        <v>5.1951000000000001</v>
      </c>
      <c r="G4092" s="83">
        <f t="shared" si="63"/>
        <v>5.43065</v>
      </c>
    </row>
    <row r="4093" spans="1:7" x14ac:dyDescent="0.2">
      <c r="A4093" s="354">
        <v>44659</v>
      </c>
      <c r="B4093" t="s">
        <v>3103</v>
      </c>
      <c r="C4093" s="76" t="s">
        <v>536</v>
      </c>
      <c r="D4093" s="38">
        <v>7845.9770989999997</v>
      </c>
      <c r="E4093" s="38">
        <v>5.1951000000000001</v>
      </c>
      <c r="F4093" s="38">
        <v>5.3014000000000001</v>
      </c>
      <c r="G4093" s="83">
        <f t="shared" si="63"/>
        <v>5.4287964285714283</v>
      </c>
    </row>
    <row r="4094" spans="1:7" x14ac:dyDescent="0.2">
      <c r="A4094" s="354">
        <v>44659</v>
      </c>
      <c r="B4094" t="s">
        <v>3103</v>
      </c>
      <c r="C4094" s="76" t="s">
        <v>536</v>
      </c>
      <c r="D4094" s="38">
        <v>7845.9770989999997</v>
      </c>
      <c r="E4094" s="38">
        <v>5.1951000000000001</v>
      </c>
      <c r="F4094" s="38">
        <v>5.3014000000000001</v>
      </c>
      <c r="G4094" s="83">
        <f t="shared" si="63"/>
        <v>5.4264464285714284</v>
      </c>
    </row>
    <row r="4095" spans="1:7" x14ac:dyDescent="0.2">
      <c r="A4095" s="354">
        <v>44662</v>
      </c>
      <c r="B4095" t="s">
        <v>3103</v>
      </c>
      <c r="C4095" s="76" t="s">
        <v>536</v>
      </c>
      <c r="D4095" s="38">
        <v>7798.7872790000001</v>
      </c>
      <c r="E4095" s="38">
        <v>5.3014000000000001</v>
      </c>
      <c r="F4095" s="38">
        <v>5.4477000000000002</v>
      </c>
      <c r="G4095" s="83">
        <f t="shared" si="63"/>
        <v>5.4252571428571432</v>
      </c>
    </row>
    <row r="4096" spans="1:7" x14ac:dyDescent="0.2">
      <c r="A4096" s="354">
        <v>44662</v>
      </c>
      <c r="B4096" t="s">
        <v>3103</v>
      </c>
      <c r="C4096" s="76" t="s">
        <v>536</v>
      </c>
      <c r="D4096" s="38">
        <v>7798.7872790000001</v>
      </c>
      <c r="E4096" s="38">
        <v>5.3014000000000001</v>
      </c>
      <c r="F4096" s="38">
        <v>5.4477000000000002</v>
      </c>
      <c r="G4096" s="83">
        <f t="shared" si="63"/>
        <v>5.4229035714285727</v>
      </c>
    </row>
    <row r="4097" spans="1:7" x14ac:dyDescent="0.2">
      <c r="A4097" s="354">
        <v>44663</v>
      </c>
      <c r="B4097" t="s">
        <v>3103</v>
      </c>
      <c r="C4097" s="76" t="s">
        <v>536</v>
      </c>
      <c r="D4097" s="38">
        <v>7791.658179</v>
      </c>
      <c r="E4097" s="38">
        <v>5.4477000000000002</v>
      </c>
      <c r="F4097" s="38">
        <v>5.4862000000000002</v>
      </c>
      <c r="G4097" s="83">
        <f t="shared" si="63"/>
        <v>5.4232696428571439</v>
      </c>
    </row>
    <row r="4098" spans="1:7" x14ac:dyDescent="0.2">
      <c r="A4098" s="354">
        <v>44663</v>
      </c>
      <c r="B4098" t="s">
        <v>3103</v>
      </c>
      <c r="C4098" s="76" t="s">
        <v>536</v>
      </c>
      <c r="D4098" s="38">
        <v>7791.658179</v>
      </c>
      <c r="E4098" s="38">
        <v>5.4477000000000002</v>
      </c>
      <c r="F4098" s="38">
        <v>5.4862000000000002</v>
      </c>
      <c r="G4098" s="83">
        <f t="shared" si="63"/>
        <v>5.4236625000000007</v>
      </c>
    </row>
    <row r="4099" spans="1:7" x14ac:dyDescent="0.2">
      <c r="A4099" s="354">
        <v>44664</v>
      </c>
      <c r="B4099" t="s">
        <v>3103</v>
      </c>
      <c r="C4099" s="76" t="s">
        <v>536</v>
      </c>
      <c r="D4099" s="38">
        <v>7810.0324170000004</v>
      </c>
      <c r="E4099" s="38">
        <v>5.4862000000000002</v>
      </c>
      <c r="F4099" s="38">
        <v>5.4557000000000002</v>
      </c>
      <c r="G4099" s="83">
        <f t="shared" si="63"/>
        <v>5.4254678571428583</v>
      </c>
    </row>
    <row r="4100" spans="1:7" x14ac:dyDescent="0.2">
      <c r="A4100" s="354">
        <v>44664</v>
      </c>
      <c r="B4100" t="s">
        <v>3103</v>
      </c>
      <c r="C4100" s="76" t="s">
        <v>536</v>
      </c>
      <c r="D4100" s="38">
        <v>7810.0324170000004</v>
      </c>
      <c r="E4100" s="38">
        <v>5.4862000000000002</v>
      </c>
      <c r="F4100" s="38">
        <v>5.4557000000000002</v>
      </c>
      <c r="G4100" s="83">
        <f t="shared" si="63"/>
        <v>5.4283178571428579</v>
      </c>
    </row>
    <row r="4101" spans="1:7" x14ac:dyDescent="0.2">
      <c r="A4101" s="354">
        <v>44665</v>
      </c>
      <c r="B4101" t="s">
        <v>3103</v>
      </c>
      <c r="C4101" s="76" t="s">
        <v>536</v>
      </c>
      <c r="D4101" s="38">
        <v>7808.5528080000004</v>
      </c>
      <c r="E4101" s="38">
        <v>5.4558</v>
      </c>
      <c r="F4101" s="38">
        <v>5.4790000000000001</v>
      </c>
      <c r="G4101" s="83">
        <f t="shared" si="63"/>
        <v>5.4331392857142857</v>
      </c>
    </row>
    <row r="4102" spans="1:7" x14ac:dyDescent="0.2">
      <c r="A4102" s="354">
        <v>44665</v>
      </c>
      <c r="B4102" t="s">
        <v>3103</v>
      </c>
      <c r="C4102" s="76" t="s">
        <v>536</v>
      </c>
      <c r="D4102" s="38">
        <v>7808.5528080000004</v>
      </c>
      <c r="E4102" s="38">
        <v>5.4558</v>
      </c>
      <c r="F4102" s="38">
        <v>5.4790000000000001</v>
      </c>
      <c r="G4102" s="83">
        <f t="shared" si="63"/>
        <v>5.4362857142857148</v>
      </c>
    </row>
    <row r="4103" spans="1:7" x14ac:dyDescent="0.2">
      <c r="A4103" s="354">
        <v>44669</v>
      </c>
      <c r="B4103" t="s">
        <v>3103</v>
      </c>
      <c r="C4103" s="76" t="s">
        <v>536</v>
      </c>
      <c r="D4103" s="38">
        <v>7846.203004</v>
      </c>
      <c r="E4103" s="38">
        <v>5.4790999999999999</v>
      </c>
      <c r="F4103" s="38">
        <v>5.3967999999999998</v>
      </c>
      <c r="G4103" s="83">
        <f t="shared" si="63"/>
        <v>5.4402339285714287</v>
      </c>
    </row>
    <row r="4104" spans="1:7" x14ac:dyDescent="0.2">
      <c r="A4104" s="354">
        <v>44669</v>
      </c>
      <c r="B4104" t="s">
        <v>3103</v>
      </c>
      <c r="C4104" s="76" t="s">
        <v>536</v>
      </c>
      <c r="D4104" s="38">
        <v>7846.203004</v>
      </c>
      <c r="E4104" s="38">
        <v>5.4790999999999999</v>
      </c>
      <c r="F4104" s="38">
        <v>5.3967999999999998</v>
      </c>
      <c r="G4104" s="83">
        <f t="shared" si="63"/>
        <v>5.4429482142857148</v>
      </c>
    </row>
    <row r="4105" spans="1:7" x14ac:dyDescent="0.2">
      <c r="A4105" s="354">
        <v>44670</v>
      </c>
      <c r="B4105" t="s">
        <v>3103</v>
      </c>
      <c r="C4105" s="76" t="s">
        <v>536</v>
      </c>
      <c r="D4105" s="38">
        <v>7839.626851</v>
      </c>
      <c r="E4105" s="38">
        <v>5.3968999999999996</v>
      </c>
      <c r="F4105" s="38">
        <v>5.4273999999999996</v>
      </c>
      <c r="G4105" s="83">
        <f t="shared" si="63"/>
        <v>5.4428446428571444</v>
      </c>
    </row>
    <row r="4106" spans="1:7" x14ac:dyDescent="0.2">
      <c r="A4106" s="354">
        <v>44670</v>
      </c>
      <c r="B4106" t="s">
        <v>3103</v>
      </c>
      <c r="C4106" s="76" t="s">
        <v>536</v>
      </c>
      <c r="D4106" s="38">
        <v>7839.626851</v>
      </c>
      <c r="E4106" s="38">
        <v>5.3968999999999996</v>
      </c>
      <c r="F4106" s="38">
        <v>5.4273999999999996</v>
      </c>
      <c r="G4106" s="83">
        <f t="shared" si="63"/>
        <v>5.4421696428571442</v>
      </c>
    </row>
    <row r="4107" spans="1:7" x14ac:dyDescent="0.2">
      <c r="A4107" s="354">
        <v>44671</v>
      </c>
      <c r="B4107" t="s">
        <v>3103</v>
      </c>
      <c r="C4107" s="76" t="s">
        <v>536</v>
      </c>
      <c r="D4107" s="38">
        <v>7844.3965440000002</v>
      </c>
      <c r="E4107" s="38">
        <v>5.4275000000000002</v>
      </c>
      <c r="F4107" s="38">
        <v>5.4275000000000002</v>
      </c>
      <c r="G4107" s="83">
        <f t="shared" si="63"/>
        <v>5.4411732142857145</v>
      </c>
    </row>
    <row r="4108" spans="1:7" x14ac:dyDescent="0.2">
      <c r="A4108" s="354">
        <v>44671</v>
      </c>
      <c r="B4108" t="s">
        <v>3103</v>
      </c>
      <c r="C4108" s="76" t="s">
        <v>536</v>
      </c>
      <c r="D4108" s="38">
        <v>7844.3965440000002</v>
      </c>
      <c r="E4108" s="38">
        <v>5.4275000000000002</v>
      </c>
      <c r="F4108" s="38">
        <v>5.4275000000000002</v>
      </c>
      <c r="G4108" s="83">
        <f t="shared" si="63"/>
        <v>5.4408357142857158</v>
      </c>
    </row>
    <row r="4109" spans="1:7" x14ac:dyDescent="0.2">
      <c r="A4109" s="354">
        <v>44673</v>
      </c>
      <c r="B4109" t="s">
        <v>3103</v>
      </c>
      <c r="C4109" s="76" t="s">
        <v>536</v>
      </c>
      <c r="D4109" s="38">
        <v>7837.9085269999996</v>
      </c>
      <c r="E4109" s="38">
        <v>5.4276</v>
      </c>
      <c r="F4109" s="38">
        <v>5.4579000000000004</v>
      </c>
      <c r="G4109" s="83">
        <f t="shared" si="63"/>
        <v>5.4419178571428573</v>
      </c>
    </row>
    <row r="4110" spans="1:7" x14ac:dyDescent="0.2">
      <c r="A4110" s="354">
        <v>44673</v>
      </c>
      <c r="B4110" t="s">
        <v>3103</v>
      </c>
      <c r="C4110" s="76" t="s">
        <v>536</v>
      </c>
      <c r="D4110" s="38">
        <v>7837.9085269999996</v>
      </c>
      <c r="E4110" s="38">
        <v>5.4276</v>
      </c>
      <c r="F4110" s="38">
        <v>5.4579000000000004</v>
      </c>
      <c r="G4110" s="83">
        <f t="shared" si="63"/>
        <v>5.4426035714285712</v>
      </c>
    </row>
    <row r="4111" spans="1:7" x14ac:dyDescent="0.2">
      <c r="A4111" s="354">
        <v>44676</v>
      </c>
      <c r="B4111" t="s">
        <v>3103</v>
      </c>
      <c r="C4111" s="76" t="s">
        <v>536</v>
      </c>
      <c r="D4111" s="38">
        <v>7849.4145879999996</v>
      </c>
      <c r="E4111" s="38">
        <v>5.4580000000000002</v>
      </c>
      <c r="F4111" s="38">
        <v>5.4398999999999997</v>
      </c>
      <c r="G4111" s="83">
        <f t="shared" si="63"/>
        <v>5.4426321428571436</v>
      </c>
    </row>
    <row r="4112" spans="1:7" x14ac:dyDescent="0.2">
      <c r="A4112" s="354">
        <v>44676</v>
      </c>
      <c r="B4112" t="s">
        <v>3103</v>
      </c>
      <c r="C4112" s="76" t="s">
        <v>536</v>
      </c>
      <c r="D4112" s="38">
        <v>7849.4145879999996</v>
      </c>
      <c r="E4112" s="38">
        <v>5.4580000000000002</v>
      </c>
      <c r="F4112" s="38">
        <v>5.4398999999999997</v>
      </c>
      <c r="G4112" s="83">
        <f t="shared" si="63"/>
        <v>5.4421339285714296</v>
      </c>
    </row>
    <row r="4113" spans="1:7" x14ac:dyDescent="0.2">
      <c r="A4113" s="354">
        <v>44677</v>
      </c>
      <c r="B4113" t="s">
        <v>3103</v>
      </c>
      <c r="C4113" s="76" t="s">
        <v>536</v>
      </c>
      <c r="D4113" s="38">
        <v>7825.7119469999998</v>
      </c>
      <c r="E4113" s="38">
        <v>5.44</v>
      </c>
      <c r="F4113" s="38">
        <v>5.5167000000000002</v>
      </c>
      <c r="G4113" s="83">
        <f t="shared" si="63"/>
        <v>5.4412928571428569</v>
      </c>
    </row>
    <row r="4114" spans="1:7" x14ac:dyDescent="0.2">
      <c r="A4114" s="354">
        <v>44677</v>
      </c>
      <c r="B4114" t="s">
        <v>3103</v>
      </c>
      <c r="C4114" s="76" t="s">
        <v>536</v>
      </c>
      <c r="D4114" s="38">
        <v>7825.7119469999998</v>
      </c>
      <c r="E4114" s="38">
        <v>5.44</v>
      </c>
      <c r="F4114" s="38">
        <v>5.5167000000000002</v>
      </c>
      <c r="G4114" s="83">
        <f t="shared" ref="G4114:G4131" si="64">+AVERAGE(E4059:E4114)</f>
        <v>5.4392892857142865</v>
      </c>
    </row>
    <row r="4115" spans="1:7" x14ac:dyDescent="0.2">
      <c r="A4115" s="354">
        <v>44678</v>
      </c>
      <c r="B4115" t="s">
        <v>3103</v>
      </c>
      <c r="C4115" s="76" t="s">
        <v>536</v>
      </c>
      <c r="D4115" s="38">
        <v>7848.3574289999997</v>
      </c>
      <c r="E4115" s="38">
        <v>5.5167000000000002</v>
      </c>
      <c r="F4115" s="38">
        <v>5.4686000000000003</v>
      </c>
      <c r="G4115" s="83">
        <f t="shared" si="64"/>
        <v>5.4387982142857139</v>
      </c>
    </row>
    <row r="4116" spans="1:7" x14ac:dyDescent="0.2">
      <c r="A4116" s="354">
        <v>44678</v>
      </c>
      <c r="B4116" t="s">
        <v>3103</v>
      </c>
      <c r="C4116" s="76" t="s">
        <v>536</v>
      </c>
      <c r="D4116" s="38">
        <v>7848.3574289999997</v>
      </c>
      <c r="E4116" s="38">
        <v>5.5167000000000002</v>
      </c>
      <c r="F4116" s="38">
        <v>5.4686000000000003</v>
      </c>
      <c r="G4116" s="83">
        <f t="shared" si="64"/>
        <v>5.4375303571428573</v>
      </c>
    </row>
    <row r="4117" spans="1:7" x14ac:dyDescent="0.2">
      <c r="A4117" s="354">
        <v>44679</v>
      </c>
      <c r="B4117" t="s">
        <v>3103</v>
      </c>
      <c r="C4117" s="76" t="s">
        <v>536</v>
      </c>
      <c r="D4117" s="38">
        <v>7860.5441229999997</v>
      </c>
      <c r="E4117" s="38">
        <v>5.4686000000000003</v>
      </c>
      <c r="F4117" s="38">
        <v>5.4626000000000001</v>
      </c>
      <c r="G4117" s="83">
        <f t="shared" si="64"/>
        <v>5.435273214285715</v>
      </c>
    </row>
    <row r="4118" spans="1:7" x14ac:dyDescent="0.2">
      <c r="A4118" s="354">
        <v>44679</v>
      </c>
      <c r="B4118" t="s">
        <v>3103</v>
      </c>
      <c r="C4118" s="76" t="s">
        <v>536</v>
      </c>
      <c r="D4118" s="38">
        <v>7860.5441229999997</v>
      </c>
      <c r="E4118" s="38">
        <v>5.4686000000000003</v>
      </c>
      <c r="F4118" s="38">
        <v>5.4626000000000001</v>
      </c>
      <c r="G4118" s="83">
        <f t="shared" si="64"/>
        <v>5.4324785714285708</v>
      </c>
    </row>
    <row r="4119" spans="1:7" x14ac:dyDescent="0.2">
      <c r="A4119" s="354">
        <v>44680</v>
      </c>
      <c r="B4119" t="s">
        <v>3103</v>
      </c>
      <c r="C4119" s="76" t="s">
        <v>536</v>
      </c>
      <c r="D4119" s="38">
        <v>7850.369428</v>
      </c>
      <c r="E4119" s="38">
        <v>5.4626000000000001</v>
      </c>
      <c r="F4119" s="38">
        <v>5.5048000000000004</v>
      </c>
      <c r="G4119" s="83">
        <f t="shared" si="64"/>
        <v>5.4290660714285721</v>
      </c>
    </row>
    <row r="4120" spans="1:7" x14ac:dyDescent="0.2">
      <c r="A4120" s="354">
        <v>44680</v>
      </c>
      <c r="B4120" t="s">
        <v>3103</v>
      </c>
      <c r="C4120" s="76" t="s">
        <v>536</v>
      </c>
      <c r="D4120" s="38">
        <v>7850.369428</v>
      </c>
      <c r="E4120" s="38">
        <v>5.4626000000000001</v>
      </c>
      <c r="F4120" s="38">
        <v>5.5048000000000004</v>
      </c>
      <c r="G4120" s="83">
        <f t="shared" si="64"/>
        <v>5.424378571428571</v>
      </c>
    </row>
    <row r="4121" spans="1:7" x14ac:dyDescent="0.2">
      <c r="A4121" s="354">
        <v>44683</v>
      </c>
      <c r="B4121" t="s">
        <v>3103</v>
      </c>
      <c r="C4121" s="76" t="s">
        <v>536</v>
      </c>
      <c r="D4121" s="38">
        <v>7835.8489829999999</v>
      </c>
      <c r="E4121" s="38">
        <v>5.5049000000000001</v>
      </c>
      <c r="F4121" s="38">
        <v>5.5589000000000004</v>
      </c>
      <c r="G4121" s="83">
        <f t="shared" si="64"/>
        <v>5.4192499999999999</v>
      </c>
    </row>
    <row r="4122" spans="1:7" x14ac:dyDescent="0.2">
      <c r="A4122" s="354">
        <v>44683</v>
      </c>
      <c r="B4122" t="s">
        <v>3103</v>
      </c>
      <c r="C4122" s="76" t="s">
        <v>536</v>
      </c>
      <c r="D4122" s="38">
        <v>7835.8489829999999</v>
      </c>
      <c r="E4122" s="38">
        <v>5.5049000000000001</v>
      </c>
      <c r="F4122" s="38">
        <v>5.5589000000000004</v>
      </c>
      <c r="G4122" s="83">
        <f t="shared" si="64"/>
        <v>5.413392857142858</v>
      </c>
    </row>
    <row r="4123" spans="1:7" x14ac:dyDescent="0.2">
      <c r="A4123" s="354">
        <v>44684</v>
      </c>
      <c r="B4123" t="s">
        <v>3103</v>
      </c>
      <c r="C4123" s="76" t="s">
        <v>536</v>
      </c>
      <c r="D4123" s="38">
        <v>7845.7724790000002</v>
      </c>
      <c r="E4123" s="38">
        <v>5.5589000000000004</v>
      </c>
      <c r="F4123" s="38">
        <v>5.5471000000000004</v>
      </c>
      <c r="G4123" s="83">
        <f t="shared" si="64"/>
        <v>5.4103482142857144</v>
      </c>
    </row>
    <row r="4124" spans="1:7" x14ac:dyDescent="0.2">
      <c r="A4124" s="354">
        <v>44684</v>
      </c>
      <c r="B4124" t="s">
        <v>3103</v>
      </c>
      <c r="C4124" s="76" t="s">
        <v>536</v>
      </c>
      <c r="D4124" s="38">
        <v>7845.7724790000002</v>
      </c>
      <c r="E4124" s="38">
        <v>5.5589000000000004</v>
      </c>
      <c r="F4124" s="38">
        <v>5.5471000000000004</v>
      </c>
      <c r="G4124" s="83">
        <f t="shared" si="64"/>
        <v>5.406821428571428</v>
      </c>
    </row>
    <row r="4125" spans="1:7" x14ac:dyDescent="0.2">
      <c r="A4125" s="354">
        <v>44685</v>
      </c>
      <c r="B4125" t="s">
        <v>3103</v>
      </c>
      <c r="C4125" s="76" t="s">
        <v>536</v>
      </c>
      <c r="D4125" s="38">
        <v>7893.785723</v>
      </c>
      <c r="E4125" s="38">
        <v>5.5472000000000001</v>
      </c>
      <c r="F4125" s="38">
        <v>5.4333</v>
      </c>
      <c r="G4125" s="83">
        <f t="shared" si="64"/>
        <v>5.4030446428571421</v>
      </c>
    </row>
    <row r="4126" spans="1:7" x14ac:dyDescent="0.2">
      <c r="A4126" s="354">
        <v>44685</v>
      </c>
      <c r="B4126" t="s">
        <v>3103</v>
      </c>
      <c r="C4126" s="76" t="s">
        <v>536</v>
      </c>
      <c r="D4126" s="38">
        <v>7893.785723</v>
      </c>
      <c r="E4126" s="38">
        <v>5.5472000000000001</v>
      </c>
      <c r="F4126" s="38">
        <v>5.4333</v>
      </c>
      <c r="G4126" s="83">
        <f t="shared" si="64"/>
        <v>5.3982535714285715</v>
      </c>
    </row>
    <row r="4127" spans="1:7" x14ac:dyDescent="0.2">
      <c r="A4127" s="354">
        <v>44686</v>
      </c>
      <c r="B4127" t="s">
        <v>3103</v>
      </c>
      <c r="C4127" s="76" t="s">
        <v>536</v>
      </c>
      <c r="D4127" s="38">
        <v>7859.5880159999997</v>
      </c>
      <c r="E4127" s="38">
        <v>5.4333999999999998</v>
      </c>
      <c r="F4127" s="38">
        <v>5.5399000000000003</v>
      </c>
      <c r="G4127" s="83">
        <f t="shared" si="64"/>
        <v>5.3925357142857147</v>
      </c>
    </row>
    <row r="4128" spans="1:7" x14ac:dyDescent="0.2">
      <c r="A4128" s="354">
        <v>44686</v>
      </c>
      <c r="B4128" t="s">
        <v>3103</v>
      </c>
      <c r="C4128" s="76" t="s">
        <v>536</v>
      </c>
      <c r="D4128" s="38">
        <v>7859.5880159999997</v>
      </c>
      <c r="E4128" s="38">
        <v>5.4333999999999998</v>
      </c>
      <c r="F4128" s="38">
        <v>5.5399000000000003</v>
      </c>
      <c r="G4128" s="83">
        <f t="shared" si="64"/>
        <v>5.3862642857142857</v>
      </c>
    </row>
    <row r="4129" spans="1:7" x14ac:dyDescent="0.2">
      <c r="A4129" s="354">
        <v>44687</v>
      </c>
      <c r="B4129" t="s">
        <v>3103</v>
      </c>
      <c r="C4129" s="76" t="s">
        <v>536</v>
      </c>
      <c r="D4129" s="38">
        <v>7834.0528359999998</v>
      </c>
      <c r="E4129" s="38">
        <v>5.54</v>
      </c>
      <c r="F4129" s="38">
        <v>5.6237000000000004</v>
      </c>
      <c r="G4129" s="83">
        <f t="shared" si="64"/>
        <v>5.3832964285714295</v>
      </c>
    </row>
    <row r="4130" spans="1:7" x14ac:dyDescent="0.2">
      <c r="A4130" s="354">
        <v>44687</v>
      </c>
      <c r="B4130" t="s">
        <v>3103</v>
      </c>
      <c r="C4130" s="76" t="s">
        <v>536</v>
      </c>
      <c r="D4130" s="38">
        <v>7834.0528359999998</v>
      </c>
      <c r="E4130" s="38">
        <v>5.54</v>
      </c>
      <c r="F4130" s="38">
        <v>5.6237000000000004</v>
      </c>
      <c r="G4130" s="83">
        <f t="shared" si="64"/>
        <v>5.3816500000000005</v>
      </c>
    </row>
    <row r="4131" spans="1:7" x14ac:dyDescent="0.2">
      <c r="A4131" s="354">
        <v>44690</v>
      </c>
      <c r="B4131" t="s">
        <v>3103</v>
      </c>
      <c r="C4131" s="76" t="s">
        <v>536</v>
      </c>
      <c r="D4131" s="38">
        <v>7847.8507040000004</v>
      </c>
      <c r="E4131" s="38">
        <v>5.6238000000000001</v>
      </c>
      <c r="F4131" s="38">
        <v>5.6016000000000004</v>
      </c>
      <c r="G4131" s="83">
        <f t="shared" si="64"/>
        <v>5.3814464285714294</v>
      </c>
    </row>
    <row r="4132" spans="1:7" x14ac:dyDescent="0.2">
      <c r="A4132" s="354">
        <v>44690</v>
      </c>
      <c r="B4132" t="s">
        <v>3103</v>
      </c>
      <c r="C4132" s="76" t="s">
        <v>536</v>
      </c>
      <c r="D4132" s="38">
        <v>7847.8507040000004</v>
      </c>
      <c r="E4132" s="38">
        <v>5.6238000000000001</v>
      </c>
      <c r="F4132" s="38">
        <v>5.6016000000000004</v>
      </c>
      <c r="G4132" s="83">
        <f>+AVERAGE(E4076:E4132)</f>
        <v>5.3856982456140363</v>
      </c>
    </row>
    <row r="4133" spans="1:7" x14ac:dyDescent="0.2">
      <c r="A4133" s="354">
        <v>44691</v>
      </c>
      <c r="B4133" t="s">
        <v>3103</v>
      </c>
      <c r="C4133" s="76" t="s">
        <v>536</v>
      </c>
      <c r="D4133" s="38">
        <v>7839.1998309999999</v>
      </c>
      <c r="E4133" s="38">
        <v>5.6017999999999999</v>
      </c>
      <c r="F4133" s="38">
        <v>5.6401000000000003</v>
      </c>
      <c r="G4133" s="83">
        <f>+AVERAGE(E4077:E4133)</f>
        <v>5.3867350877192992</v>
      </c>
    </row>
    <row r="4134" spans="1:7" x14ac:dyDescent="0.2">
      <c r="A4134" s="354">
        <v>44691</v>
      </c>
      <c r="B4134" t="s">
        <v>3103</v>
      </c>
      <c r="C4134" s="76" t="s">
        <v>536</v>
      </c>
      <c r="D4134" s="38">
        <v>7839.1998309999999</v>
      </c>
      <c r="E4134" s="38">
        <v>5.6017999999999999</v>
      </c>
      <c r="F4134" s="38">
        <v>5.6401000000000003</v>
      </c>
      <c r="G4134" s="83">
        <f>+AVERAGE(E4078:E4134)</f>
        <v>5.3887877192982474</v>
      </c>
    </row>
    <row r="4135" spans="1:7" x14ac:dyDescent="0.2">
      <c r="A4135" s="354">
        <v>44692</v>
      </c>
      <c r="B4135" t="s">
        <v>3103</v>
      </c>
      <c r="C4135" s="76" t="s">
        <v>536</v>
      </c>
      <c r="D4135" s="38">
        <v>7848.05656</v>
      </c>
      <c r="E4135" s="38">
        <v>5.6402000000000001</v>
      </c>
      <c r="F4135" s="38">
        <v>5.6524999999999999</v>
      </c>
      <c r="G4135" s="83">
        <f>+AVERAGE(E4078:E4135)</f>
        <v>5.3931224137931046</v>
      </c>
    </row>
    <row r="4136" spans="1:7" x14ac:dyDescent="0.2">
      <c r="A4136" s="354">
        <v>44692</v>
      </c>
      <c r="B4136" t="s">
        <v>3103</v>
      </c>
      <c r="C4136" s="76" t="s">
        <v>536</v>
      </c>
      <c r="D4136" s="38">
        <v>7848.05656</v>
      </c>
      <c r="E4136" s="38">
        <v>5.6402000000000001</v>
      </c>
      <c r="F4136" s="38">
        <v>5.6524999999999999</v>
      </c>
      <c r="G4136" s="83">
        <f>+AVERAGE(E4079:E4136)</f>
        <v>5.4003120689655191</v>
      </c>
    </row>
    <row r="4137" spans="1:7" x14ac:dyDescent="0.2">
      <c r="A4137" s="354">
        <v>44693</v>
      </c>
      <c r="B4137" t="s">
        <v>3103</v>
      </c>
      <c r="C4137" s="76" t="s">
        <v>536</v>
      </c>
      <c r="D4137" s="38">
        <v>7861.5590000000002</v>
      </c>
      <c r="E4137" s="38">
        <v>5.6525999999999996</v>
      </c>
      <c r="F4137" s="38">
        <v>5.6326000000000001</v>
      </c>
      <c r="G4137" s="83">
        <f>+AVERAGE(E4079:E4137)</f>
        <v>5.4045881355932224</v>
      </c>
    </row>
    <row r="4138" spans="1:7" x14ac:dyDescent="0.2">
      <c r="A4138" s="354">
        <v>44693</v>
      </c>
      <c r="B4138" t="s">
        <v>3103</v>
      </c>
      <c r="C4138" s="76" t="s">
        <v>536</v>
      </c>
      <c r="D4138" s="38">
        <v>7861.5590000000002</v>
      </c>
      <c r="E4138" s="38">
        <v>5.6525999999999996</v>
      </c>
      <c r="F4138" s="38">
        <v>5.6326000000000001</v>
      </c>
      <c r="G4138" s="83">
        <f>+AVERAGE(E4080:E4138)</f>
        <v>5.4139559322033923</v>
      </c>
    </row>
    <row r="4139" spans="1:7" x14ac:dyDescent="0.2">
      <c r="A4139" s="354">
        <v>44694</v>
      </c>
      <c r="B4139" t="s">
        <v>3103</v>
      </c>
      <c r="C4139" s="76" t="s">
        <v>536</v>
      </c>
      <c r="D4139" s="38">
        <v>7891.1559960000004</v>
      </c>
      <c r="E4139" s="38">
        <v>5.6326999999999998</v>
      </c>
      <c r="F4139" s="38">
        <v>5.5696000000000003</v>
      </c>
      <c r="G4139" s="83">
        <f>+AVERAGE(E4080:E4139)</f>
        <v>5.4176016666666689</v>
      </c>
    </row>
    <row r="4140" spans="1:7" x14ac:dyDescent="0.2">
      <c r="A4140" s="354">
        <v>44694</v>
      </c>
      <c r="B4140" t="s">
        <v>3103</v>
      </c>
      <c r="C4140" s="76" t="s">
        <v>536</v>
      </c>
      <c r="D4140" s="38">
        <v>7891.1559960000004</v>
      </c>
      <c r="E4140" s="38">
        <v>5.6326999999999998</v>
      </c>
      <c r="F4140" s="38">
        <v>5.5696000000000003</v>
      </c>
      <c r="G4140" s="83">
        <f>+AVERAGE(E4081:E4140)</f>
        <v>5.4260266666666697</v>
      </c>
    </row>
    <row r="4141" spans="1:7" x14ac:dyDescent="0.2">
      <c r="A4141" s="354">
        <v>44697</v>
      </c>
      <c r="B4141" t="s">
        <v>3103</v>
      </c>
      <c r="C4141" s="76" t="s">
        <v>536</v>
      </c>
      <c r="D4141" s="38">
        <v>7928.8912659999996</v>
      </c>
      <c r="E4141" s="38">
        <v>5.5697000000000001</v>
      </c>
      <c r="F4141" s="38">
        <v>5.4851999999999999</v>
      </c>
      <c r="G4141" s="83">
        <f>+AVERAGE(E4081:E4141)</f>
        <v>5.4283819672131175</v>
      </c>
    </row>
    <row r="4142" spans="1:7" x14ac:dyDescent="0.2">
      <c r="A4142" s="354">
        <v>44697</v>
      </c>
      <c r="B4142" t="s">
        <v>3103</v>
      </c>
      <c r="C4142" s="76" t="s">
        <v>536</v>
      </c>
      <c r="D4142" s="38">
        <v>7928.8912659999996</v>
      </c>
      <c r="E4142" s="38">
        <v>5.5697000000000001</v>
      </c>
      <c r="F4142" s="38">
        <v>5.4851999999999999</v>
      </c>
      <c r="G4142" s="83">
        <f>+AVERAGE(E4081:E4142)</f>
        <v>5.4306612903225835</v>
      </c>
    </row>
    <row r="4143" spans="1:7" x14ac:dyDescent="0.2">
      <c r="A4143" s="354">
        <v>44698</v>
      </c>
      <c r="B4143" t="s">
        <v>3103</v>
      </c>
      <c r="C4143" s="76" t="s">
        <v>536</v>
      </c>
      <c r="D4143" s="38">
        <v>7929.5218320000004</v>
      </c>
      <c r="E4143" s="38">
        <v>5.4852999999999996</v>
      </c>
      <c r="F4143" s="38">
        <v>5.4924999999999997</v>
      </c>
      <c r="G4143" s="83">
        <f>+AVERAGE(E4082:E4143)</f>
        <v>5.4354677419354873</v>
      </c>
    </row>
    <row r="4144" spans="1:7" x14ac:dyDescent="0.2">
      <c r="A4144" s="354">
        <v>44698</v>
      </c>
      <c r="B4144" t="s">
        <v>3103</v>
      </c>
      <c r="C4144" s="76" t="s">
        <v>536</v>
      </c>
      <c r="D4144" s="38">
        <v>7929.5218320000004</v>
      </c>
      <c r="E4144" s="38">
        <v>5.4852999999999996</v>
      </c>
      <c r="F4144" s="38">
        <v>5.4924999999999997</v>
      </c>
      <c r="G4144" s="83">
        <f t="shared" ref="G4144:G4155" si="65">+AVERAGE(E4082:E4144)</f>
        <v>5.4362587301587331</v>
      </c>
    </row>
    <row r="4145" spans="1:7" x14ac:dyDescent="0.2">
      <c r="A4145" s="354">
        <v>44699</v>
      </c>
      <c r="B4145" t="s">
        <v>3103</v>
      </c>
      <c r="C4145" s="76" t="s">
        <v>536</v>
      </c>
      <c r="D4145" s="38">
        <v>7929.0282580000003</v>
      </c>
      <c r="E4145" s="38">
        <v>5.4924999999999997</v>
      </c>
      <c r="F4145" s="38">
        <v>5.5026999999999999</v>
      </c>
      <c r="G4145" s="83">
        <f t="shared" si="65"/>
        <v>5.4399000000000024</v>
      </c>
    </row>
    <row r="4146" spans="1:7" x14ac:dyDescent="0.2">
      <c r="A4146" s="354">
        <v>44699</v>
      </c>
      <c r="B4146" t="s">
        <v>3103</v>
      </c>
      <c r="C4146" s="76" t="s">
        <v>536</v>
      </c>
      <c r="D4146" s="38">
        <v>7929.0282580000003</v>
      </c>
      <c r="E4146" s="38">
        <v>5.4924999999999997</v>
      </c>
      <c r="F4146" s="38">
        <v>5.5026999999999999</v>
      </c>
      <c r="G4146" s="83">
        <f t="shared" si="65"/>
        <v>5.4435920634920656</v>
      </c>
    </row>
    <row r="4147" spans="1:7" x14ac:dyDescent="0.2">
      <c r="A4147" s="354">
        <v>44700</v>
      </c>
      <c r="B4147" t="s">
        <v>3103</v>
      </c>
      <c r="C4147" s="76" t="s">
        <v>536</v>
      </c>
      <c r="D4147" s="38">
        <v>7938.6069669999997</v>
      </c>
      <c r="E4147" s="38">
        <v>5.5027999999999997</v>
      </c>
      <c r="F4147" s="38">
        <v>5.4862000000000002</v>
      </c>
      <c r="G4147" s="83">
        <f t="shared" si="65"/>
        <v>5.4474476190476198</v>
      </c>
    </row>
    <row r="4148" spans="1:7" x14ac:dyDescent="0.2">
      <c r="A4148" s="354">
        <v>44700</v>
      </c>
      <c r="B4148" t="s">
        <v>3103</v>
      </c>
      <c r="C4148" s="76" t="s">
        <v>536</v>
      </c>
      <c r="D4148" s="38">
        <v>7938.6069669999997</v>
      </c>
      <c r="E4148" s="38">
        <v>5.5027999999999997</v>
      </c>
      <c r="F4148" s="38">
        <v>5.4862000000000002</v>
      </c>
      <c r="G4148" s="83">
        <f t="shared" si="65"/>
        <v>5.4536841269841272</v>
      </c>
    </row>
    <row r="4149" spans="1:7" x14ac:dyDescent="0.2">
      <c r="A4149" s="354">
        <v>44701</v>
      </c>
      <c r="B4149" t="s">
        <v>3103</v>
      </c>
      <c r="C4149" s="76" t="s">
        <v>536</v>
      </c>
      <c r="D4149" s="38">
        <v>7946.7627149999998</v>
      </c>
      <c r="E4149" s="38">
        <v>5.4862000000000002</v>
      </c>
      <c r="F4149" s="38">
        <v>5.4733999999999998</v>
      </c>
      <c r="G4149" s="83">
        <f t="shared" si="65"/>
        <v>5.459657142857143</v>
      </c>
    </row>
    <row r="4150" spans="1:7" x14ac:dyDescent="0.2">
      <c r="A4150" s="354">
        <v>44701</v>
      </c>
      <c r="B4150" t="s">
        <v>3103</v>
      </c>
      <c r="C4150" s="76" t="s">
        <v>536</v>
      </c>
      <c r="D4150" s="38">
        <v>7946.7627149999998</v>
      </c>
      <c r="E4150" s="38">
        <v>5.4862000000000002</v>
      </c>
      <c r="F4150" s="38">
        <v>5.4733999999999998</v>
      </c>
      <c r="G4150" s="83">
        <f t="shared" si="65"/>
        <v>5.4659904761904761</v>
      </c>
    </row>
    <row r="4151" spans="1:7" x14ac:dyDescent="0.2">
      <c r="A4151" s="354">
        <v>44704</v>
      </c>
      <c r="B4151" t="s">
        <v>3103</v>
      </c>
      <c r="C4151" s="76" t="s">
        <v>536</v>
      </c>
      <c r="D4151" s="38">
        <v>7950.6665370000001</v>
      </c>
      <c r="E4151" s="38">
        <v>5.4733999999999998</v>
      </c>
      <c r="F4151" s="38">
        <v>5.4718999999999998</v>
      </c>
      <c r="G4151" s="83">
        <f t="shared" si="65"/>
        <v>5.4721206349206346</v>
      </c>
    </row>
    <row r="4152" spans="1:7" x14ac:dyDescent="0.2">
      <c r="A4152" s="354">
        <v>44704</v>
      </c>
      <c r="B4152" t="s">
        <v>3103</v>
      </c>
      <c r="C4152" s="76" t="s">
        <v>536</v>
      </c>
      <c r="D4152" s="38">
        <v>7950.6665370000001</v>
      </c>
      <c r="E4152" s="38">
        <v>5.4733999999999998</v>
      </c>
      <c r="F4152" s="38">
        <v>5.4718999999999998</v>
      </c>
      <c r="G4152" s="83">
        <f t="shared" si="65"/>
        <v>5.4765063492063497</v>
      </c>
    </row>
    <row r="4153" spans="1:7" x14ac:dyDescent="0.2">
      <c r="A4153" s="354">
        <v>44705</v>
      </c>
      <c r="B4153" t="s">
        <v>3103</v>
      </c>
      <c r="C4153" s="76" t="s">
        <v>536</v>
      </c>
      <c r="D4153" s="38">
        <v>7909.5844550000002</v>
      </c>
      <c r="E4153" s="38">
        <v>5.4718999999999998</v>
      </c>
      <c r="F4153" s="38">
        <v>5.5902000000000003</v>
      </c>
      <c r="G4153" s="83">
        <f t="shared" si="65"/>
        <v>5.4808682539682545</v>
      </c>
    </row>
    <row r="4154" spans="1:7" x14ac:dyDescent="0.2">
      <c r="A4154" s="354">
        <v>44705</v>
      </c>
      <c r="B4154" t="s">
        <v>3103</v>
      </c>
      <c r="C4154" s="76" t="s">
        <v>536</v>
      </c>
      <c r="D4154" s="38">
        <v>7909.5844550000002</v>
      </c>
      <c r="E4154" s="38">
        <v>5.4718999999999998</v>
      </c>
      <c r="F4154" s="38">
        <v>5.5902000000000003</v>
      </c>
      <c r="G4154" s="83">
        <f t="shared" si="65"/>
        <v>5.4851396825396828</v>
      </c>
    </row>
    <row r="4155" spans="1:7" x14ac:dyDescent="0.2">
      <c r="A4155" s="354">
        <v>44706</v>
      </c>
      <c r="B4155" t="s">
        <v>3103</v>
      </c>
      <c r="C4155" s="76" t="s">
        <v>536</v>
      </c>
      <c r="D4155" s="38">
        <v>7907.7770170000003</v>
      </c>
      <c r="E4155" s="38">
        <v>5.5902000000000003</v>
      </c>
      <c r="F4155" s="38">
        <v>5.6127000000000002</v>
      </c>
      <c r="G4155" s="83">
        <f t="shared" si="65"/>
        <v>5.4912888888888887</v>
      </c>
    </row>
    <row r="4156" spans="1:7" x14ac:dyDescent="0.2">
      <c r="A4156" s="354">
        <v>44706</v>
      </c>
      <c r="B4156" t="s">
        <v>3103</v>
      </c>
      <c r="C4156" s="76" t="s">
        <v>536</v>
      </c>
      <c r="D4156" s="38">
        <v>7907.7770170000003</v>
      </c>
      <c r="E4156" s="38">
        <v>5.5902000000000003</v>
      </c>
      <c r="F4156" s="38">
        <v>5.6127000000000002</v>
      </c>
      <c r="G4156" s="83">
        <f t="shared" ref="G4156:G4219" si="66">+AVERAGE(E4094:E4156)</f>
        <v>5.4975603174603167</v>
      </c>
    </row>
    <row r="4157" spans="1:7" x14ac:dyDescent="0.2">
      <c r="A4157" s="354">
        <v>44707</v>
      </c>
      <c r="B4157" t="s">
        <v>3103</v>
      </c>
      <c r="C4157" s="76" t="s">
        <v>536</v>
      </c>
      <c r="D4157" s="38">
        <v>7938.6079499999996</v>
      </c>
      <c r="E4157" s="38">
        <v>5.6127000000000002</v>
      </c>
      <c r="F4157" s="38">
        <v>5.5407000000000002</v>
      </c>
      <c r="G4157" s="83">
        <f t="shared" si="66"/>
        <v>5.5041888888888888</v>
      </c>
    </row>
    <row r="4158" spans="1:7" x14ac:dyDescent="0.2">
      <c r="A4158" s="354">
        <v>44707</v>
      </c>
      <c r="B4158" t="s">
        <v>3103</v>
      </c>
      <c r="C4158" s="76" t="s">
        <v>536</v>
      </c>
      <c r="D4158" s="38">
        <v>7938.6079499999996</v>
      </c>
      <c r="E4158" s="38">
        <v>5.6127000000000002</v>
      </c>
      <c r="F4158" s="38">
        <v>5.5407000000000002</v>
      </c>
      <c r="G4158" s="83">
        <f t="shared" si="66"/>
        <v>5.5091301587301578</v>
      </c>
    </row>
    <row r="4159" spans="1:7" x14ac:dyDescent="0.2">
      <c r="A4159" s="354">
        <v>44708</v>
      </c>
      <c r="B4159" t="s">
        <v>3103</v>
      </c>
      <c r="C4159" s="76" t="s">
        <v>536</v>
      </c>
      <c r="D4159" s="38">
        <v>7933.0001769999999</v>
      </c>
      <c r="E4159" s="38">
        <v>5.5407000000000002</v>
      </c>
      <c r="F4159" s="38">
        <v>5.5658000000000003</v>
      </c>
      <c r="G4159" s="83">
        <f t="shared" si="66"/>
        <v>5.5129285714285716</v>
      </c>
    </row>
    <row r="4160" spans="1:7" x14ac:dyDescent="0.2">
      <c r="A4160" s="354">
        <v>44708</v>
      </c>
      <c r="B4160" t="s">
        <v>3103</v>
      </c>
      <c r="C4160" s="76" t="s">
        <v>536</v>
      </c>
      <c r="D4160" s="38">
        <v>7933.0001769999999</v>
      </c>
      <c r="E4160" s="38">
        <v>5.5407000000000002</v>
      </c>
      <c r="F4160" s="38">
        <v>5.5658000000000003</v>
      </c>
      <c r="G4160" s="83">
        <f t="shared" si="66"/>
        <v>5.5144047619047623</v>
      </c>
    </row>
    <row r="4161" spans="1:7" x14ac:dyDescent="0.2">
      <c r="A4161" s="354">
        <v>44711</v>
      </c>
      <c r="B4161" t="s">
        <v>3103</v>
      </c>
      <c r="C4161" s="76" t="s">
        <v>536</v>
      </c>
      <c r="D4161" s="38">
        <v>7898.2514069999997</v>
      </c>
      <c r="E4161" s="38">
        <v>5.5656999999999996</v>
      </c>
      <c r="F4161" s="38">
        <v>5.6687000000000003</v>
      </c>
      <c r="G4161" s="83">
        <f t="shared" si="66"/>
        <v>5.5162777777777778</v>
      </c>
    </row>
    <row r="4162" spans="1:7" x14ac:dyDescent="0.2">
      <c r="A4162" s="354">
        <v>44711</v>
      </c>
      <c r="B4162" t="s">
        <v>3103</v>
      </c>
      <c r="C4162" s="76" t="s">
        <v>536</v>
      </c>
      <c r="D4162" s="38">
        <v>7898.2514069999997</v>
      </c>
      <c r="E4162" s="38">
        <v>5.5656999999999996</v>
      </c>
      <c r="F4162" s="38">
        <v>5.6687000000000003</v>
      </c>
      <c r="G4162" s="83">
        <f t="shared" si="66"/>
        <v>5.5175396825396827</v>
      </c>
    </row>
    <row r="4163" spans="1:7" x14ac:dyDescent="0.2">
      <c r="A4163" s="354">
        <v>44712</v>
      </c>
      <c r="B4163" t="s">
        <v>3103</v>
      </c>
      <c r="C4163" s="76" t="s">
        <v>536</v>
      </c>
      <c r="D4163" s="38">
        <v>7936.0288920000003</v>
      </c>
      <c r="E4163" s="38">
        <v>5.6685999999999996</v>
      </c>
      <c r="F4163" s="38">
        <v>5.5780000000000003</v>
      </c>
      <c r="G4163" s="83">
        <f t="shared" si="66"/>
        <v>5.520434920634921</v>
      </c>
    </row>
    <row r="4164" spans="1:7" x14ac:dyDescent="0.2">
      <c r="A4164" s="354">
        <v>44712</v>
      </c>
      <c r="B4164" t="s">
        <v>3103</v>
      </c>
      <c r="C4164" s="76" t="s">
        <v>536</v>
      </c>
      <c r="D4164" s="38">
        <v>7936.0288920000003</v>
      </c>
      <c r="E4164" s="38">
        <v>5.6685999999999996</v>
      </c>
      <c r="F4164" s="38">
        <v>5.5780000000000003</v>
      </c>
      <c r="G4164" s="83">
        <f t="shared" si="66"/>
        <v>5.5238126984126996</v>
      </c>
    </row>
    <row r="4165" spans="1:7" x14ac:dyDescent="0.2">
      <c r="A4165" s="354">
        <v>44713</v>
      </c>
      <c r="B4165" t="s">
        <v>3103</v>
      </c>
      <c r="C4165" s="76" t="s">
        <v>536</v>
      </c>
      <c r="D4165" s="38">
        <v>7935.1288350000004</v>
      </c>
      <c r="E4165" s="38">
        <v>5.5778999999999996</v>
      </c>
      <c r="F4165" s="38">
        <v>5.5904999999999996</v>
      </c>
      <c r="G4165" s="83">
        <f t="shared" si="66"/>
        <v>5.5257507936507952</v>
      </c>
    </row>
    <row r="4166" spans="1:7" x14ac:dyDescent="0.2">
      <c r="A4166" s="354">
        <v>44713</v>
      </c>
      <c r="B4166" t="s">
        <v>3103</v>
      </c>
      <c r="C4166" s="76" t="s">
        <v>536</v>
      </c>
      <c r="D4166" s="38">
        <v>7935.1288350000004</v>
      </c>
      <c r="E4166" s="38">
        <v>5.5778999999999996</v>
      </c>
      <c r="F4166" s="38">
        <v>5.5904999999999996</v>
      </c>
      <c r="G4166" s="83">
        <f t="shared" si="66"/>
        <v>5.5273190476190495</v>
      </c>
    </row>
    <row r="4167" spans="1:7" x14ac:dyDescent="0.2">
      <c r="A4167" s="354">
        <v>44714</v>
      </c>
      <c r="B4167" t="s">
        <v>3103</v>
      </c>
      <c r="C4167" s="76" t="s">
        <v>536</v>
      </c>
      <c r="D4167" s="38">
        <v>7938.3259129999997</v>
      </c>
      <c r="E4167" s="38">
        <v>5.5903999999999998</v>
      </c>
      <c r="F4167" s="38">
        <v>5.5921000000000003</v>
      </c>
      <c r="G4167" s="83">
        <f t="shared" si="66"/>
        <v>5.5290857142857153</v>
      </c>
    </row>
    <row r="4168" spans="1:7" x14ac:dyDescent="0.2">
      <c r="A4168" s="354">
        <v>44714</v>
      </c>
      <c r="B4168" t="s">
        <v>3103</v>
      </c>
      <c r="C4168" s="76" t="s">
        <v>536</v>
      </c>
      <c r="D4168" s="38">
        <v>7938.3259129999997</v>
      </c>
      <c r="E4168" s="38">
        <v>5.5903999999999998</v>
      </c>
      <c r="F4168" s="38">
        <v>5.5921000000000003</v>
      </c>
      <c r="G4168" s="83">
        <f t="shared" si="66"/>
        <v>5.5321571428571437</v>
      </c>
    </row>
    <row r="4169" spans="1:7" x14ac:dyDescent="0.2">
      <c r="A4169" s="354">
        <v>44715</v>
      </c>
      <c r="B4169" t="s">
        <v>3103</v>
      </c>
      <c r="C4169" s="76" t="s">
        <v>536</v>
      </c>
      <c r="D4169" s="38">
        <v>7957.5131529999999</v>
      </c>
      <c r="E4169" s="38">
        <v>5.5921000000000003</v>
      </c>
      <c r="F4169" s="38">
        <v>5.5513000000000003</v>
      </c>
      <c r="G4169" s="83">
        <f t="shared" si="66"/>
        <v>5.5352555555555574</v>
      </c>
    </row>
    <row r="4170" spans="1:7" x14ac:dyDescent="0.2">
      <c r="A4170" s="354">
        <v>44715</v>
      </c>
      <c r="B4170" t="s">
        <v>3103</v>
      </c>
      <c r="C4170" s="76" t="s">
        <v>536</v>
      </c>
      <c r="D4170" s="38">
        <v>7957.5131529999999</v>
      </c>
      <c r="E4170" s="38">
        <v>5.5921000000000003</v>
      </c>
      <c r="F4170" s="38">
        <v>5.5513000000000003</v>
      </c>
      <c r="G4170" s="83">
        <f t="shared" si="66"/>
        <v>5.5378682539682558</v>
      </c>
    </row>
    <row r="4171" spans="1:7" x14ac:dyDescent="0.2">
      <c r="A4171" s="354">
        <v>44718</v>
      </c>
      <c r="B4171" t="s">
        <v>3103</v>
      </c>
      <c r="C4171" s="76" t="s">
        <v>536</v>
      </c>
      <c r="D4171" s="38">
        <v>7957.5053209999996</v>
      </c>
      <c r="E4171" s="38">
        <v>5.5513000000000003</v>
      </c>
      <c r="F4171" s="38">
        <v>5.5614999999999997</v>
      </c>
      <c r="G4171" s="83">
        <f t="shared" si="66"/>
        <v>5.5398333333333358</v>
      </c>
    </row>
    <row r="4172" spans="1:7" x14ac:dyDescent="0.2">
      <c r="A4172" s="354">
        <v>44718</v>
      </c>
      <c r="B4172" t="s">
        <v>3103</v>
      </c>
      <c r="C4172" s="76" t="s">
        <v>536</v>
      </c>
      <c r="D4172" s="38">
        <v>7957.5053209999996</v>
      </c>
      <c r="E4172" s="38">
        <v>5.5513000000000003</v>
      </c>
      <c r="F4172" s="38">
        <v>5.5614999999999997</v>
      </c>
      <c r="G4172" s="83">
        <f t="shared" si="66"/>
        <v>5.5417968253968297</v>
      </c>
    </row>
    <row r="4173" spans="1:7" x14ac:dyDescent="0.2">
      <c r="A4173" s="354">
        <v>44719</v>
      </c>
      <c r="B4173" t="s">
        <v>3103</v>
      </c>
      <c r="C4173" s="76" t="s">
        <v>536</v>
      </c>
      <c r="D4173" s="38">
        <v>7952.569579</v>
      </c>
      <c r="E4173" s="38">
        <v>5.5614999999999997</v>
      </c>
      <c r="F4173" s="38">
        <v>5.5848000000000004</v>
      </c>
      <c r="G4173" s="83">
        <f t="shared" si="66"/>
        <v>5.5439222222222266</v>
      </c>
    </row>
    <row r="4174" spans="1:7" x14ac:dyDescent="0.2">
      <c r="A4174" s="354">
        <v>44719</v>
      </c>
      <c r="B4174" t="s">
        <v>3103</v>
      </c>
      <c r="C4174" s="76" t="s">
        <v>536</v>
      </c>
      <c r="D4174" s="38">
        <v>7952.569579</v>
      </c>
      <c r="E4174" s="38">
        <v>5.5614999999999997</v>
      </c>
      <c r="F4174" s="38">
        <v>5.5848000000000004</v>
      </c>
      <c r="G4174" s="83">
        <f t="shared" si="66"/>
        <v>5.5455650793650832</v>
      </c>
    </row>
    <row r="4175" spans="1:7" x14ac:dyDescent="0.2">
      <c r="A4175" s="354">
        <v>44720</v>
      </c>
      <c r="B4175" t="s">
        <v>3103</v>
      </c>
      <c r="C4175" s="76" t="s">
        <v>536</v>
      </c>
      <c r="D4175" s="38">
        <v>7960.780557</v>
      </c>
      <c r="E4175" s="38">
        <v>5.5848000000000004</v>
      </c>
      <c r="F4175" s="38">
        <v>5.5731999999999999</v>
      </c>
      <c r="G4175" s="83">
        <f t="shared" si="66"/>
        <v>5.5475777777777813</v>
      </c>
    </row>
    <row r="4176" spans="1:7" x14ac:dyDescent="0.2">
      <c r="A4176" s="354">
        <v>44720</v>
      </c>
      <c r="B4176" t="s">
        <v>3103</v>
      </c>
      <c r="C4176" s="76" t="s">
        <v>536</v>
      </c>
      <c r="D4176" s="38">
        <v>7960.780557</v>
      </c>
      <c r="E4176" s="38">
        <v>5.5848000000000004</v>
      </c>
      <c r="F4176" s="38">
        <v>5.5731999999999999</v>
      </c>
      <c r="G4176" s="83">
        <f t="shared" si="66"/>
        <v>5.5498761904761933</v>
      </c>
    </row>
    <row r="4177" spans="1:7" x14ac:dyDescent="0.2">
      <c r="A4177" s="354">
        <v>44721</v>
      </c>
      <c r="B4177" t="s">
        <v>3103</v>
      </c>
      <c r="C4177" s="76" t="s">
        <v>536</v>
      </c>
      <c r="D4177" s="38">
        <v>7981.8608750000003</v>
      </c>
      <c r="E4177" s="38">
        <v>5.5731999999999999</v>
      </c>
      <c r="F4177" s="38">
        <v>5.5068999999999999</v>
      </c>
      <c r="G4177" s="83">
        <f t="shared" si="66"/>
        <v>5.551990476190479</v>
      </c>
    </row>
    <row r="4178" spans="1:7" x14ac:dyDescent="0.2">
      <c r="A4178" s="354">
        <v>44721</v>
      </c>
      <c r="B4178" t="s">
        <v>3103</v>
      </c>
      <c r="C4178" s="76" t="s">
        <v>536</v>
      </c>
      <c r="D4178" s="38">
        <v>7981.8608750000003</v>
      </c>
      <c r="E4178" s="38">
        <v>5.5731999999999999</v>
      </c>
      <c r="F4178" s="38">
        <v>5.5068999999999999</v>
      </c>
      <c r="G4178" s="83">
        <f t="shared" si="66"/>
        <v>5.5528873015873037</v>
      </c>
    </row>
    <row r="4179" spans="1:7" x14ac:dyDescent="0.2">
      <c r="A4179" s="354">
        <v>44722</v>
      </c>
      <c r="B4179" t="s">
        <v>3103</v>
      </c>
      <c r="C4179" s="76" t="s">
        <v>536</v>
      </c>
      <c r="D4179" s="38">
        <v>7986.5843050000003</v>
      </c>
      <c r="E4179" s="38">
        <v>5.5068000000000001</v>
      </c>
      <c r="F4179" s="38">
        <v>5.5033000000000003</v>
      </c>
      <c r="G4179" s="83">
        <f t="shared" si="66"/>
        <v>5.5527301587301601</v>
      </c>
    </row>
    <row r="4180" spans="1:7" x14ac:dyDescent="0.2">
      <c r="A4180" s="354">
        <v>44722</v>
      </c>
      <c r="B4180" t="s">
        <v>3103</v>
      </c>
      <c r="C4180" s="76" t="s">
        <v>536</v>
      </c>
      <c r="D4180" s="38">
        <v>7986.5843050000003</v>
      </c>
      <c r="E4180" s="38">
        <v>5.5068000000000001</v>
      </c>
      <c r="F4180" s="38">
        <v>5.5033000000000003</v>
      </c>
      <c r="G4180" s="83">
        <f t="shared" si="66"/>
        <v>5.5533365079365096</v>
      </c>
    </row>
    <row r="4181" spans="1:7" x14ac:dyDescent="0.2">
      <c r="A4181" s="354">
        <v>44725</v>
      </c>
      <c r="B4181" t="s">
        <v>3103</v>
      </c>
      <c r="C4181" s="76" t="s">
        <v>536</v>
      </c>
      <c r="D4181" s="38">
        <v>7950.8645619999998</v>
      </c>
      <c r="E4181" s="38">
        <v>5.5033000000000003</v>
      </c>
      <c r="F4181" s="38">
        <v>5.6070000000000002</v>
      </c>
      <c r="G4181" s="83">
        <f t="shared" si="66"/>
        <v>5.5538873015873014</v>
      </c>
    </row>
    <row r="4182" spans="1:7" x14ac:dyDescent="0.2">
      <c r="A4182" s="354">
        <v>44725</v>
      </c>
      <c r="B4182" t="s">
        <v>3103</v>
      </c>
      <c r="C4182" s="76" t="s">
        <v>536</v>
      </c>
      <c r="D4182" s="38">
        <v>7950.8645619999998</v>
      </c>
      <c r="E4182" s="38">
        <v>5.5033000000000003</v>
      </c>
      <c r="F4182" s="38">
        <v>5.6070000000000002</v>
      </c>
      <c r="G4182" s="83">
        <f t="shared" si="66"/>
        <v>5.5545333333333335</v>
      </c>
    </row>
    <row r="4183" spans="1:7" x14ac:dyDescent="0.2">
      <c r="A4183" s="354">
        <v>44726</v>
      </c>
      <c r="B4183" t="s">
        <v>3103</v>
      </c>
      <c r="C4183" s="76" t="s">
        <v>536</v>
      </c>
      <c r="D4183" s="38">
        <v>7942.9266440000001</v>
      </c>
      <c r="E4183" s="38">
        <v>5.6069000000000004</v>
      </c>
      <c r="F4183" s="38">
        <v>5.6371000000000002</v>
      </c>
      <c r="G4183" s="83">
        <f t="shared" si="66"/>
        <v>5.5568238095238103</v>
      </c>
    </row>
    <row r="4184" spans="1:7" x14ac:dyDescent="0.2">
      <c r="A4184" s="354">
        <v>44726</v>
      </c>
      <c r="B4184" t="s">
        <v>3103</v>
      </c>
      <c r="C4184" s="76" t="s">
        <v>536</v>
      </c>
      <c r="D4184" s="38">
        <v>7942.9266440000001</v>
      </c>
      <c r="E4184" s="38">
        <v>5.6069000000000004</v>
      </c>
      <c r="F4184" s="38">
        <v>5.6371000000000002</v>
      </c>
      <c r="G4184" s="83">
        <f t="shared" si="66"/>
        <v>5.5584428571428575</v>
      </c>
    </row>
    <row r="4185" spans="1:7" x14ac:dyDescent="0.2">
      <c r="A4185" s="354">
        <v>44727</v>
      </c>
      <c r="B4185" t="s">
        <v>3103</v>
      </c>
      <c r="C4185" s="76" t="s">
        <v>536</v>
      </c>
      <c r="D4185" s="38">
        <v>8011.1163770000003</v>
      </c>
      <c r="E4185" s="38">
        <v>5.6369999999999996</v>
      </c>
      <c r="F4185" s="38">
        <v>5.4654999999999996</v>
      </c>
      <c r="G4185" s="83">
        <f t="shared" si="66"/>
        <v>5.5605396825396829</v>
      </c>
    </row>
    <row r="4186" spans="1:7" x14ac:dyDescent="0.2">
      <c r="A4186" s="354">
        <v>44727</v>
      </c>
      <c r="B4186" t="s">
        <v>3103</v>
      </c>
      <c r="C4186" s="76" t="s">
        <v>536</v>
      </c>
      <c r="D4186" s="38">
        <v>8011.1163770000003</v>
      </c>
      <c r="E4186" s="38">
        <v>5.6369999999999996</v>
      </c>
      <c r="F4186" s="38">
        <v>5.4654999999999996</v>
      </c>
      <c r="G4186" s="83">
        <f t="shared" si="66"/>
        <v>5.5617793650793645</v>
      </c>
    </row>
    <row r="4187" spans="1:7" x14ac:dyDescent="0.2">
      <c r="A4187" s="354">
        <v>44729</v>
      </c>
      <c r="B4187" t="s">
        <v>3103</v>
      </c>
      <c r="C4187" s="76" t="s">
        <v>536</v>
      </c>
      <c r="D4187" s="38">
        <v>8034.9017590000003</v>
      </c>
      <c r="E4187" s="38">
        <v>5.4653999999999998</v>
      </c>
      <c r="F4187" s="38">
        <v>5.4137000000000004</v>
      </c>
      <c r="G4187" s="83">
        <f t="shared" si="66"/>
        <v>5.5602952380952368</v>
      </c>
    </row>
    <row r="4188" spans="1:7" x14ac:dyDescent="0.2">
      <c r="A4188" s="354">
        <v>44729</v>
      </c>
      <c r="B4188" t="s">
        <v>3103</v>
      </c>
      <c r="C4188" s="76" t="s">
        <v>536</v>
      </c>
      <c r="D4188" s="38">
        <v>8034.9017590000003</v>
      </c>
      <c r="E4188" s="38">
        <v>5.4653999999999998</v>
      </c>
      <c r="F4188" s="38">
        <v>5.4137000000000004</v>
      </c>
      <c r="G4188" s="83">
        <f t="shared" si="66"/>
        <v>5.5589968253968234</v>
      </c>
    </row>
    <row r="4189" spans="1:7" x14ac:dyDescent="0.2">
      <c r="A4189" s="354">
        <v>44732</v>
      </c>
      <c r="B4189" t="s">
        <v>3103</v>
      </c>
      <c r="C4189" s="76" t="s">
        <v>536</v>
      </c>
      <c r="D4189" s="38">
        <v>8011.6864489999998</v>
      </c>
      <c r="E4189" s="38">
        <v>5.4138000000000002</v>
      </c>
      <c r="F4189" s="38">
        <v>5.4856999999999996</v>
      </c>
      <c r="G4189" s="83">
        <f t="shared" si="66"/>
        <v>5.5568793650793618</v>
      </c>
    </row>
    <row r="4190" spans="1:7" x14ac:dyDescent="0.2">
      <c r="A4190" s="354">
        <v>44732</v>
      </c>
      <c r="B4190" t="s">
        <v>3103</v>
      </c>
      <c r="C4190" s="76" t="s">
        <v>536</v>
      </c>
      <c r="D4190" s="38">
        <v>8011.6864489999998</v>
      </c>
      <c r="E4190" s="38">
        <v>5.4138000000000002</v>
      </c>
      <c r="F4190" s="38">
        <v>5.4856999999999996</v>
      </c>
      <c r="G4190" s="83">
        <f t="shared" si="66"/>
        <v>5.5565682539682504</v>
      </c>
    </row>
    <row r="4191" spans="1:7" x14ac:dyDescent="0.2">
      <c r="A4191" s="354">
        <v>44733</v>
      </c>
      <c r="B4191" t="s">
        <v>3103</v>
      </c>
      <c r="C4191" s="76" t="s">
        <v>536</v>
      </c>
      <c r="D4191" s="38">
        <v>7979.9255389999998</v>
      </c>
      <c r="E4191" s="38">
        <v>5.4856999999999996</v>
      </c>
      <c r="F4191" s="38">
        <v>5.5804999999999998</v>
      </c>
      <c r="G4191" s="83">
        <f t="shared" si="66"/>
        <v>5.5573984126984097</v>
      </c>
    </row>
    <row r="4192" spans="1:7" x14ac:dyDescent="0.2">
      <c r="A4192" s="354">
        <v>44733</v>
      </c>
      <c r="B4192" t="s">
        <v>3103</v>
      </c>
      <c r="C4192" s="76" t="s">
        <v>536</v>
      </c>
      <c r="D4192" s="38">
        <v>7979.9255389999998</v>
      </c>
      <c r="E4192" s="38">
        <v>5.4856999999999996</v>
      </c>
      <c r="F4192" s="38">
        <v>5.5804999999999998</v>
      </c>
      <c r="G4192" s="83">
        <f t="shared" si="66"/>
        <v>5.5565365079365048</v>
      </c>
    </row>
    <row r="4193" spans="1:7" x14ac:dyDescent="0.2">
      <c r="A4193" s="354">
        <v>44734</v>
      </c>
      <c r="B4193" t="s">
        <v>3103</v>
      </c>
      <c r="C4193" s="76" t="s">
        <v>536</v>
      </c>
      <c r="D4193" s="38">
        <v>7988.2653769999997</v>
      </c>
      <c r="E4193" s="38">
        <v>5.5804999999999998</v>
      </c>
      <c r="F4193" s="38">
        <v>5.5693999999999999</v>
      </c>
      <c r="G4193" s="83">
        <f t="shared" si="66"/>
        <v>5.5571793650793619</v>
      </c>
    </row>
    <row r="4194" spans="1:7" x14ac:dyDescent="0.2">
      <c r="A4194" s="354">
        <v>44734</v>
      </c>
      <c r="B4194" t="s">
        <v>3103</v>
      </c>
      <c r="C4194" s="76" t="s">
        <v>536</v>
      </c>
      <c r="D4194" s="38">
        <v>7988.2653769999997</v>
      </c>
      <c r="E4194" s="38">
        <v>5.5804999999999998</v>
      </c>
      <c r="F4194" s="38">
        <v>5.5693999999999999</v>
      </c>
      <c r="G4194" s="83">
        <f t="shared" si="66"/>
        <v>5.55649206349206</v>
      </c>
    </row>
    <row r="4195" spans="1:7" x14ac:dyDescent="0.2">
      <c r="A4195" s="354">
        <v>44735</v>
      </c>
      <c r="B4195" t="s">
        <v>3103</v>
      </c>
      <c r="C4195" s="76" t="s">
        <v>536</v>
      </c>
      <c r="D4195" s="38">
        <v>8021.2194929999996</v>
      </c>
      <c r="E4195" s="38">
        <v>5.5693000000000001</v>
      </c>
      <c r="F4195" s="38">
        <v>5.4932999999999996</v>
      </c>
      <c r="G4195" s="83">
        <f t="shared" si="66"/>
        <v>5.555626984126981</v>
      </c>
    </row>
    <row r="4196" spans="1:7" x14ac:dyDescent="0.2">
      <c r="A4196" s="354">
        <v>44735</v>
      </c>
      <c r="B4196" t="s">
        <v>3103</v>
      </c>
      <c r="C4196" s="76" t="s">
        <v>536</v>
      </c>
      <c r="D4196" s="38">
        <v>8021.2194929999996</v>
      </c>
      <c r="E4196" s="38">
        <v>5.5693000000000001</v>
      </c>
      <c r="F4196" s="38">
        <v>5.4932999999999996</v>
      </c>
      <c r="G4196" s="83">
        <f t="shared" si="66"/>
        <v>5.5551111111111071</v>
      </c>
    </row>
    <row r="4197" spans="1:7" x14ac:dyDescent="0.2">
      <c r="A4197" s="354">
        <v>44736</v>
      </c>
      <c r="B4197" t="s">
        <v>3103</v>
      </c>
      <c r="C4197" s="76" t="s">
        <v>536</v>
      </c>
      <c r="D4197" s="38">
        <v>7992.2236030000004</v>
      </c>
      <c r="E4197" s="38">
        <v>5.4931999999999999</v>
      </c>
      <c r="F4197" s="38">
        <v>5.5805999999999996</v>
      </c>
      <c r="G4197" s="83">
        <f t="shared" si="66"/>
        <v>5.5533873015872981</v>
      </c>
    </row>
    <row r="4198" spans="1:7" x14ac:dyDescent="0.2">
      <c r="A4198" s="354">
        <v>44736</v>
      </c>
      <c r="B4198" t="s">
        <v>3103</v>
      </c>
      <c r="C4198" s="76" t="s">
        <v>536</v>
      </c>
      <c r="D4198" s="38">
        <v>7992.2236030000004</v>
      </c>
      <c r="E4198" s="38">
        <v>5.4931999999999999</v>
      </c>
      <c r="F4198" s="38">
        <v>5.5805999999999996</v>
      </c>
      <c r="G4198" s="83">
        <f t="shared" si="66"/>
        <v>5.5510539682539637</v>
      </c>
    </row>
    <row r="4199" spans="1:7" x14ac:dyDescent="0.2">
      <c r="A4199" s="354">
        <v>44739</v>
      </c>
      <c r="B4199" t="s">
        <v>3103</v>
      </c>
      <c r="C4199" s="76" t="s">
        <v>536</v>
      </c>
      <c r="D4199" s="38">
        <v>7988.546249</v>
      </c>
      <c r="E4199" s="38">
        <v>5.5805999999999996</v>
      </c>
      <c r="F4199" s="38">
        <v>5.6075999999999997</v>
      </c>
      <c r="G4199" s="83">
        <f t="shared" si="66"/>
        <v>5.5501079365079331</v>
      </c>
    </row>
    <row r="4200" spans="1:7" x14ac:dyDescent="0.2">
      <c r="A4200" s="354">
        <v>44739</v>
      </c>
      <c r="B4200" t="s">
        <v>3103</v>
      </c>
      <c r="C4200" s="76" t="s">
        <v>536</v>
      </c>
      <c r="D4200" s="38">
        <v>7988.546249</v>
      </c>
      <c r="E4200" s="38">
        <v>5.5805999999999996</v>
      </c>
      <c r="F4200" s="38">
        <v>5.6075999999999997</v>
      </c>
      <c r="G4200" s="83">
        <f t="shared" si="66"/>
        <v>5.5489650793650762</v>
      </c>
    </row>
    <row r="4201" spans="1:7" x14ac:dyDescent="0.2">
      <c r="A4201" s="354">
        <v>44740</v>
      </c>
      <c r="B4201" t="s">
        <v>3103</v>
      </c>
      <c r="C4201" s="76" t="s">
        <v>536</v>
      </c>
      <c r="D4201" s="38">
        <v>7934.6907060000003</v>
      </c>
      <c r="E4201" s="38">
        <v>5.6075999999999997</v>
      </c>
      <c r="F4201" s="38">
        <v>5.7625999999999999</v>
      </c>
      <c r="G4201" s="83">
        <f t="shared" si="66"/>
        <v>5.5482507936507899</v>
      </c>
    </row>
    <row r="4202" spans="1:7" x14ac:dyDescent="0.2">
      <c r="A4202" s="354">
        <v>44740</v>
      </c>
      <c r="B4202" t="s">
        <v>3103</v>
      </c>
      <c r="C4202" s="76" t="s">
        <v>536</v>
      </c>
      <c r="D4202" s="38">
        <v>7934.6907060000003</v>
      </c>
      <c r="E4202" s="38">
        <v>5.6075999999999997</v>
      </c>
      <c r="F4202" s="38">
        <v>5.7625999999999999</v>
      </c>
      <c r="G4202" s="83">
        <f t="shared" si="66"/>
        <v>5.547852380952377</v>
      </c>
    </row>
    <row r="4203" spans="1:7" x14ac:dyDescent="0.2">
      <c r="A4203" s="354">
        <v>44741</v>
      </c>
      <c r="B4203" t="s">
        <v>3103</v>
      </c>
      <c r="C4203" s="76" t="s">
        <v>536</v>
      </c>
      <c r="D4203" s="38">
        <v>7924.9309279999998</v>
      </c>
      <c r="E4203" s="38">
        <v>5.7625000000000002</v>
      </c>
      <c r="F4203" s="38">
        <v>5.8006000000000002</v>
      </c>
      <c r="G4203" s="83">
        <f t="shared" si="66"/>
        <v>5.5499126984126947</v>
      </c>
    </row>
    <row r="4204" spans="1:7" x14ac:dyDescent="0.2">
      <c r="A4204" s="354">
        <v>44741</v>
      </c>
      <c r="B4204" t="s">
        <v>3103</v>
      </c>
      <c r="C4204" s="76" t="s">
        <v>536</v>
      </c>
      <c r="D4204" s="38">
        <v>7924.9309279999998</v>
      </c>
      <c r="E4204" s="38">
        <v>5.7625000000000002</v>
      </c>
      <c r="F4204" s="38">
        <v>5.8006000000000002</v>
      </c>
      <c r="G4204" s="83">
        <f t="shared" si="66"/>
        <v>5.552973015873012</v>
      </c>
    </row>
    <row r="4205" spans="1:7" x14ac:dyDescent="0.2">
      <c r="A4205" s="354">
        <v>44742</v>
      </c>
      <c r="B4205" t="s">
        <v>3103</v>
      </c>
      <c r="C4205" s="76" t="s">
        <v>536</v>
      </c>
      <c r="D4205" s="38">
        <v>7952.7814550000003</v>
      </c>
      <c r="E4205" s="38">
        <v>5.8005000000000004</v>
      </c>
      <c r="F4205" s="38">
        <v>5.7382999999999997</v>
      </c>
      <c r="G4205" s="83">
        <f t="shared" si="66"/>
        <v>5.5566365079365037</v>
      </c>
    </row>
    <row r="4206" spans="1:7" x14ac:dyDescent="0.2">
      <c r="A4206" s="354">
        <v>44742</v>
      </c>
      <c r="B4206" t="s">
        <v>3103</v>
      </c>
      <c r="C4206" s="76" t="s">
        <v>536</v>
      </c>
      <c r="D4206" s="38">
        <v>7952.7814550000003</v>
      </c>
      <c r="E4206" s="38">
        <v>5.8005000000000004</v>
      </c>
      <c r="F4206" s="38">
        <v>5.7382999999999997</v>
      </c>
      <c r="G4206" s="83">
        <f t="shared" si="66"/>
        <v>5.5616396825396794</v>
      </c>
    </row>
    <row r="4207" spans="1:7" x14ac:dyDescent="0.2">
      <c r="A4207" s="354">
        <v>44743</v>
      </c>
      <c r="B4207" t="s">
        <v>3103</v>
      </c>
      <c r="C4207" s="76" t="s">
        <v>536</v>
      </c>
      <c r="D4207" s="38">
        <v>7939.0883430000004</v>
      </c>
      <c r="E4207" s="38">
        <v>5.7382</v>
      </c>
      <c r="F4207" s="38">
        <v>5.7866999999999997</v>
      </c>
      <c r="G4207" s="83">
        <f t="shared" si="66"/>
        <v>5.5656539682539661</v>
      </c>
    </row>
    <row r="4208" spans="1:7" x14ac:dyDescent="0.2">
      <c r="A4208" s="354">
        <v>44743</v>
      </c>
      <c r="B4208" t="s">
        <v>3103</v>
      </c>
      <c r="C4208" s="76" t="s">
        <v>536</v>
      </c>
      <c r="D4208" s="38">
        <v>7939.0883430000004</v>
      </c>
      <c r="E4208" s="38">
        <v>5.7382</v>
      </c>
      <c r="F4208" s="38">
        <v>5.7866999999999997</v>
      </c>
      <c r="G4208" s="83">
        <f t="shared" si="66"/>
        <v>5.5695539682539659</v>
      </c>
    </row>
    <row r="4209" spans="1:7" x14ac:dyDescent="0.2">
      <c r="A4209" s="354">
        <v>44746</v>
      </c>
      <c r="B4209" t="s">
        <v>3103</v>
      </c>
      <c r="C4209" s="76" t="s">
        <v>536</v>
      </c>
      <c r="D4209" s="38">
        <v>7919.4955689999997</v>
      </c>
      <c r="E4209" s="38">
        <v>5.7866</v>
      </c>
      <c r="F4209" s="38">
        <v>5.851</v>
      </c>
      <c r="G4209" s="83">
        <f t="shared" si="66"/>
        <v>5.5742222222222209</v>
      </c>
    </row>
    <row r="4210" spans="1:7" x14ac:dyDescent="0.2">
      <c r="A4210" s="354">
        <v>44746</v>
      </c>
      <c r="B4210" t="s">
        <v>3103</v>
      </c>
      <c r="C4210" s="76" t="s">
        <v>536</v>
      </c>
      <c r="D4210" s="38">
        <v>7919.4955689999997</v>
      </c>
      <c r="E4210" s="38">
        <v>5.7866</v>
      </c>
      <c r="F4210" s="38">
        <v>5.851</v>
      </c>
      <c r="G4210" s="83">
        <f t="shared" si="66"/>
        <v>5.578726984126984</v>
      </c>
    </row>
    <row r="4211" spans="1:7" x14ac:dyDescent="0.2">
      <c r="A4211" s="354">
        <v>44747</v>
      </c>
      <c r="B4211" t="s">
        <v>3103</v>
      </c>
      <c r="C4211" s="76" t="s">
        <v>536</v>
      </c>
      <c r="D4211" s="38">
        <v>7906.1362630000003</v>
      </c>
      <c r="E4211" s="38">
        <v>5.8509000000000002</v>
      </c>
      <c r="F4211" s="38">
        <v>5.8987999999999996</v>
      </c>
      <c r="G4211" s="83">
        <f t="shared" si="66"/>
        <v>5.584252380952381</v>
      </c>
    </row>
    <row r="4212" spans="1:7" x14ac:dyDescent="0.2">
      <c r="A4212" s="354">
        <v>44747</v>
      </c>
      <c r="B4212" t="s">
        <v>3103</v>
      </c>
      <c r="C4212" s="76" t="s">
        <v>536</v>
      </c>
      <c r="D4212" s="38">
        <v>7906.1362630000003</v>
      </c>
      <c r="E4212" s="38">
        <v>5.8509000000000002</v>
      </c>
      <c r="F4212" s="38">
        <v>5.8987999999999996</v>
      </c>
      <c r="G4212" s="83">
        <f t="shared" si="66"/>
        <v>5.5900412698412705</v>
      </c>
    </row>
    <row r="4213" spans="1:7" x14ac:dyDescent="0.2">
      <c r="A4213" s="354">
        <v>44748</v>
      </c>
      <c r="B4213" t="s">
        <v>3103</v>
      </c>
      <c r="C4213" s="76" t="s">
        <v>536</v>
      </c>
      <c r="D4213" s="38">
        <v>7891.4819180000004</v>
      </c>
      <c r="E4213" s="38">
        <v>5.8986999999999998</v>
      </c>
      <c r="F4213" s="38">
        <v>5.9501999999999997</v>
      </c>
      <c r="G4213" s="83">
        <f t="shared" si="66"/>
        <v>5.5965888888888902</v>
      </c>
    </row>
    <row r="4214" spans="1:7" x14ac:dyDescent="0.2">
      <c r="A4214" s="354">
        <v>44748</v>
      </c>
      <c r="B4214" t="s">
        <v>3103</v>
      </c>
      <c r="C4214" s="76" t="s">
        <v>536</v>
      </c>
      <c r="D4214" s="38">
        <v>7891.4819180000004</v>
      </c>
      <c r="E4214" s="38">
        <v>5.8986999999999998</v>
      </c>
      <c r="F4214" s="38">
        <v>5.9501999999999997</v>
      </c>
      <c r="G4214" s="83">
        <f t="shared" si="66"/>
        <v>5.6033396825396844</v>
      </c>
    </row>
    <row r="4215" spans="1:7" x14ac:dyDescent="0.2">
      <c r="A4215" s="354">
        <v>44749</v>
      </c>
      <c r="B4215" t="s">
        <v>3103</v>
      </c>
      <c r="C4215" s="76" t="s">
        <v>536</v>
      </c>
      <c r="D4215" s="38">
        <v>7896.8828830000002</v>
      </c>
      <c r="E4215" s="38">
        <v>5.9500999999999999</v>
      </c>
      <c r="F4215" s="38">
        <v>5.9478</v>
      </c>
      <c r="G4215" s="83">
        <f t="shared" si="66"/>
        <v>5.6109063492063509</v>
      </c>
    </row>
    <row r="4216" spans="1:7" x14ac:dyDescent="0.2">
      <c r="A4216" s="354">
        <v>44749</v>
      </c>
      <c r="B4216" t="s">
        <v>3103</v>
      </c>
      <c r="C4216" s="76" t="s">
        <v>536</v>
      </c>
      <c r="D4216" s="38">
        <v>7896.8828830000002</v>
      </c>
      <c r="E4216" s="38">
        <v>5.9500999999999999</v>
      </c>
      <c r="F4216" s="38">
        <v>5.9478</v>
      </c>
      <c r="G4216" s="83">
        <f t="shared" si="66"/>
        <v>5.6184968253968277</v>
      </c>
    </row>
    <row r="4217" spans="1:7" x14ac:dyDescent="0.2">
      <c r="A4217" s="354">
        <v>44750</v>
      </c>
      <c r="B4217" t="s">
        <v>3103</v>
      </c>
      <c r="C4217" s="76" t="s">
        <v>536</v>
      </c>
      <c r="D4217" s="38">
        <v>7858.0066370000004</v>
      </c>
      <c r="E4217" s="38">
        <v>5.9477000000000002</v>
      </c>
      <c r="F4217" s="38">
        <v>6.0549999999999997</v>
      </c>
      <c r="G4217" s="83">
        <f t="shared" si="66"/>
        <v>5.626049206349208</v>
      </c>
    </row>
    <row r="4218" spans="1:7" x14ac:dyDescent="0.2">
      <c r="A4218" s="354">
        <v>44750</v>
      </c>
      <c r="B4218" t="s">
        <v>3103</v>
      </c>
      <c r="C4218" s="76" t="s">
        <v>536</v>
      </c>
      <c r="D4218" s="38">
        <v>7858.0066370000004</v>
      </c>
      <c r="E4218" s="38">
        <v>5.9477000000000002</v>
      </c>
      <c r="F4218" s="38">
        <v>6.0549999999999997</v>
      </c>
      <c r="G4218" s="83">
        <f t="shared" si="66"/>
        <v>5.6317238095238116</v>
      </c>
    </row>
    <row r="4219" spans="1:7" x14ac:dyDescent="0.2">
      <c r="A4219" s="354">
        <v>44753</v>
      </c>
      <c r="B4219" t="s">
        <v>3103</v>
      </c>
      <c r="C4219" s="76" t="s">
        <v>536</v>
      </c>
      <c r="D4219" s="38">
        <v>7823.7125379999998</v>
      </c>
      <c r="E4219" s="38">
        <v>6.0548999999999999</v>
      </c>
      <c r="F4219" s="38">
        <v>6.1595000000000004</v>
      </c>
      <c r="G4219" s="83">
        <f t="shared" si="66"/>
        <v>5.6391000000000018</v>
      </c>
    </row>
    <row r="4220" spans="1:7" x14ac:dyDescent="0.2">
      <c r="A4220" s="354">
        <v>44753</v>
      </c>
      <c r="B4220" t="s">
        <v>3103</v>
      </c>
      <c r="C4220" s="76" t="s">
        <v>536</v>
      </c>
      <c r="D4220" s="38">
        <v>7823.7125379999998</v>
      </c>
      <c r="E4220" s="38">
        <v>6.0548999999999999</v>
      </c>
      <c r="F4220" s="38">
        <v>6.1595000000000004</v>
      </c>
      <c r="G4220" s="83">
        <f t="shared" ref="G4220:G4283" si="67">+AVERAGE(E4158:E4220)</f>
        <v>5.6461190476190488</v>
      </c>
    </row>
    <row r="4221" spans="1:7" x14ac:dyDescent="0.2">
      <c r="A4221" s="354">
        <v>44754</v>
      </c>
      <c r="B4221" t="s">
        <v>3103</v>
      </c>
      <c r="C4221" s="76" t="s">
        <v>536</v>
      </c>
      <c r="D4221" s="38">
        <v>7835.4665070000001</v>
      </c>
      <c r="E4221" s="38">
        <v>6.1593</v>
      </c>
      <c r="F4221" s="38">
        <v>6.1391999999999998</v>
      </c>
      <c r="G4221" s="83">
        <f t="shared" si="67"/>
        <v>5.6547952380952395</v>
      </c>
    </row>
    <row r="4222" spans="1:7" x14ac:dyDescent="0.2">
      <c r="A4222" s="354">
        <v>44754</v>
      </c>
      <c r="B4222" t="s">
        <v>3103</v>
      </c>
      <c r="C4222" s="76" t="s">
        <v>536</v>
      </c>
      <c r="D4222" s="38">
        <v>7835.4665070000001</v>
      </c>
      <c r="E4222" s="38">
        <v>6.1593</v>
      </c>
      <c r="F4222" s="38">
        <v>6.1391999999999998</v>
      </c>
      <c r="G4222" s="83">
        <f t="shared" si="67"/>
        <v>5.6646142857142863</v>
      </c>
    </row>
    <row r="4223" spans="1:7" x14ac:dyDescent="0.2">
      <c r="A4223" s="354">
        <v>44755</v>
      </c>
      <c r="B4223" t="s">
        <v>3103</v>
      </c>
      <c r="C4223" s="76" t="s">
        <v>536</v>
      </c>
      <c r="D4223" s="38">
        <v>7842.4325870000002</v>
      </c>
      <c r="E4223" s="38">
        <v>6.1390000000000002</v>
      </c>
      <c r="F4223" s="38">
        <v>6.1318999999999999</v>
      </c>
      <c r="G4223" s="83">
        <f t="shared" si="67"/>
        <v>5.6741111111111122</v>
      </c>
    </row>
    <row r="4224" spans="1:7" x14ac:dyDescent="0.2">
      <c r="A4224" s="354">
        <v>44755</v>
      </c>
      <c r="B4224" t="s">
        <v>3103</v>
      </c>
      <c r="C4224" s="76" t="s">
        <v>536</v>
      </c>
      <c r="D4224" s="38">
        <v>7842.4325870000002</v>
      </c>
      <c r="E4224" s="38">
        <v>6.1390000000000002</v>
      </c>
      <c r="F4224" s="38">
        <v>6.1318999999999999</v>
      </c>
      <c r="G4224" s="83">
        <f t="shared" si="67"/>
        <v>5.6832111111111123</v>
      </c>
    </row>
    <row r="4225" spans="1:7" x14ac:dyDescent="0.2">
      <c r="A4225" s="354">
        <v>44756</v>
      </c>
      <c r="B4225" t="s">
        <v>3103</v>
      </c>
      <c r="C4225" s="76" t="s">
        <v>536</v>
      </c>
      <c r="D4225" s="38">
        <v>7835.4865280000004</v>
      </c>
      <c r="E4225" s="38">
        <v>6.1315999999999997</v>
      </c>
      <c r="F4225" s="38">
        <v>6.1622000000000003</v>
      </c>
      <c r="G4225" s="83">
        <f t="shared" si="67"/>
        <v>5.6921936507936506</v>
      </c>
    </row>
    <row r="4226" spans="1:7" x14ac:dyDescent="0.2">
      <c r="A4226" s="354">
        <v>44756</v>
      </c>
      <c r="B4226" t="s">
        <v>3103</v>
      </c>
      <c r="C4226" s="76" t="s">
        <v>536</v>
      </c>
      <c r="D4226" s="38">
        <v>7835.4865280000004</v>
      </c>
      <c r="E4226" s="38">
        <v>6.1315999999999997</v>
      </c>
      <c r="F4226" s="38">
        <v>6.1622000000000003</v>
      </c>
      <c r="G4226" s="83">
        <f t="shared" si="67"/>
        <v>5.6995428571428572</v>
      </c>
    </row>
    <row r="4227" spans="1:7" x14ac:dyDescent="0.2">
      <c r="A4227" s="354">
        <v>44757</v>
      </c>
      <c r="B4227" t="s">
        <v>3103</v>
      </c>
      <c r="C4227" s="76" t="s">
        <v>536</v>
      </c>
      <c r="D4227" s="38">
        <v>7861.0876550000003</v>
      </c>
      <c r="E4227" s="38">
        <v>6.1619000000000002</v>
      </c>
      <c r="F4227" s="38">
        <v>6.1044</v>
      </c>
      <c r="G4227" s="83">
        <f t="shared" si="67"/>
        <v>5.7073730158730163</v>
      </c>
    </row>
    <row r="4228" spans="1:7" x14ac:dyDescent="0.2">
      <c r="A4228" s="354">
        <v>44757</v>
      </c>
      <c r="B4228" t="s">
        <v>3103</v>
      </c>
      <c r="C4228" s="76" t="s">
        <v>536</v>
      </c>
      <c r="D4228" s="38">
        <v>7861.0876550000003</v>
      </c>
      <c r="E4228" s="38">
        <v>6.1619000000000002</v>
      </c>
      <c r="F4228" s="38">
        <v>6.1044</v>
      </c>
      <c r="G4228" s="83">
        <f t="shared" si="67"/>
        <v>5.7166428571428574</v>
      </c>
    </row>
    <row r="4229" spans="1:7" x14ac:dyDescent="0.2">
      <c r="A4229" s="354">
        <v>44760</v>
      </c>
      <c r="B4229" t="s">
        <v>3103</v>
      </c>
      <c r="C4229" s="76" t="s">
        <v>536</v>
      </c>
      <c r="D4229" s="38">
        <v>7796.4475000000002</v>
      </c>
      <c r="E4229" s="38">
        <v>6.1041999999999996</v>
      </c>
      <c r="F4229" s="38">
        <v>6.2782999999999998</v>
      </c>
      <c r="G4229" s="83">
        <f t="shared" si="67"/>
        <v>5.7249968253968246</v>
      </c>
    </row>
    <row r="4230" spans="1:7" x14ac:dyDescent="0.2">
      <c r="A4230" s="354">
        <v>44760</v>
      </c>
      <c r="B4230" t="s">
        <v>3103</v>
      </c>
      <c r="C4230" s="76" t="s">
        <v>536</v>
      </c>
      <c r="D4230" s="38">
        <v>7796.4475000000002</v>
      </c>
      <c r="E4230" s="38">
        <v>6.1041999999999996</v>
      </c>
      <c r="F4230" s="38">
        <v>6.2782999999999998</v>
      </c>
      <c r="G4230" s="83">
        <f t="shared" si="67"/>
        <v>5.7331523809523794</v>
      </c>
    </row>
    <row r="4231" spans="1:7" x14ac:dyDescent="0.2">
      <c r="A4231" s="354">
        <v>44761</v>
      </c>
      <c r="B4231" t="s">
        <v>3103</v>
      </c>
      <c r="C4231" s="76" t="s">
        <v>536</v>
      </c>
      <c r="D4231" s="38">
        <v>7755.6146040000003</v>
      </c>
      <c r="E4231" s="38">
        <v>6.2779999999999996</v>
      </c>
      <c r="F4231" s="38">
        <v>6.3884999999999996</v>
      </c>
      <c r="G4231" s="83">
        <f t="shared" si="67"/>
        <v>5.7440666666666642</v>
      </c>
    </row>
    <row r="4232" spans="1:7" x14ac:dyDescent="0.2">
      <c r="A4232" s="354">
        <v>44761</v>
      </c>
      <c r="B4232" t="s">
        <v>3103</v>
      </c>
      <c r="C4232" s="76" t="s">
        <v>536</v>
      </c>
      <c r="D4232" s="38">
        <v>7755.6146040000003</v>
      </c>
      <c r="E4232" s="38">
        <v>6.2779999999999996</v>
      </c>
      <c r="F4232" s="38">
        <v>6.3884999999999996</v>
      </c>
      <c r="G4232" s="83">
        <f t="shared" si="67"/>
        <v>5.7549539682539663</v>
      </c>
    </row>
    <row r="4233" spans="1:7" x14ac:dyDescent="0.2">
      <c r="A4233" s="354">
        <v>44762</v>
      </c>
      <c r="B4233" t="s">
        <v>3103</v>
      </c>
      <c r="C4233" s="76" t="s">
        <v>536</v>
      </c>
      <c r="D4233" s="38">
        <v>7784.7163570000002</v>
      </c>
      <c r="E4233" s="38">
        <v>6.3882000000000003</v>
      </c>
      <c r="F4233" s="38">
        <v>6.3072999999999997</v>
      </c>
      <c r="G4233" s="83">
        <f t="shared" si="67"/>
        <v>5.7675904761904739</v>
      </c>
    </row>
    <row r="4234" spans="1:7" x14ac:dyDescent="0.2">
      <c r="A4234" s="354">
        <v>44762</v>
      </c>
      <c r="B4234" t="s">
        <v>3103</v>
      </c>
      <c r="C4234" s="76" t="s">
        <v>536</v>
      </c>
      <c r="D4234" s="38">
        <v>7784.7163570000002</v>
      </c>
      <c r="E4234" s="38">
        <v>6.3882000000000003</v>
      </c>
      <c r="F4234" s="38">
        <v>6.3072999999999997</v>
      </c>
      <c r="G4234" s="83">
        <f t="shared" si="67"/>
        <v>5.7808746031745999</v>
      </c>
    </row>
    <row r="4235" spans="1:7" x14ac:dyDescent="0.2">
      <c r="A4235" s="354">
        <v>44763</v>
      </c>
      <c r="B4235" t="s">
        <v>3103</v>
      </c>
      <c r="C4235" s="76" t="s">
        <v>536</v>
      </c>
      <c r="D4235" s="38">
        <v>7775.233193</v>
      </c>
      <c r="E4235" s="38">
        <v>6.3070000000000004</v>
      </c>
      <c r="F4235" s="38">
        <v>6.3316999999999997</v>
      </c>
      <c r="G4235" s="83">
        <f t="shared" si="67"/>
        <v>5.7928698412698392</v>
      </c>
    </row>
    <row r="4236" spans="1:7" x14ac:dyDescent="0.2">
      <c r="A4236" s="354">
        <v>44763</v>
      </c>
      <c r="B4236" t="s">
        <v>3103</v>
      </c>
      <c r="C4236" s="76" t="s">
        <v>536</v>
      </c>
      <c r="D4236" s="38">
        <v>7775.233193</v>
      </c>
      <c r="E4236" s="38">
        <v>6.3070000000000004</v>
      </c>
      <c r="F4236" s="38">
        <v>6.3316999999999997</v>
      </c>
      <c r="G4236" s="83">
        <f t="shared" si="67"/>
        <v>5.8047031746031719</v>
      </c>
    </row>
    <row r="4237" spans="1:7" x14ac:dyDescent="0.2">
      <c r="A4237" s="354">
        <v>44764</v>
      </c>
      <c r="B4237" t="s">
        <v>3103</v>
      </c>
      <c r="C4237" s="76" t="s">
        <v>536</v>
      </c>
      <c r="D4237" s="38">
        <v>7809.4006230000005</v>
      </c>
      <c r="E4237" s="38">
        <v>6.3314000000000004</v>
      </c>
      <c r="F4237" s="38">
        <v>6.2369000000000003</v>
      </c>
      <c r="G4237" s="83">
        <f t="shared" si="67"/>
        <v>5.8169238095238072</v>
      </c>
    </row>
    <row r="4238" spans="1:7" x14ac:dyDescent="0.2">
      <c r="A4238" s="354">
        <v>44764</v>
      </c>
      <c r="B4238" t="s">
        <v>3103</v>
      </c>
      <c r="C4238" s="76" t="s">
        <v>536</v>
      </c>
      <c r="D4238" s="38">
        <v>7809.4006230000005</v>
      </c>
      <c r="E4238" s="38">
        <v>6.3314000000000004</v>
      </c>
      <c r="F4238" s="38">
        <v>6.2369000000000003</v>
      </c>
      <c r="G4238" s="83">
        <f t="shared" si="67"/>
        <v>5.8287746031746011</v>
      </c>
    </row>
    <row r="4239" spans="1:7" x14ac:dyDescent="0.2">
      <c r="A4239" s="354">
        <v>44767</v>
      </c>
      <c r="B4239" t="s">
        <v>3103</v>
      </c>
      <c r="C4239" s="76" t="s">
        <v>536</v>
      </c>
      <c r="D4239" s="38">
        <v>7801.034541</v>
      </c>
      <c r="E4239" s="38">
        <v>6.2366999999999999</v>
      </c>
      <c r="F4239" s="38">
        <v>6.2582000000000004</v>
      </c>
      <c r="G4239" s="83">
        <f t="shared" si="67"/>
        <v>5.8391222222222199</v>
      </c>
    </row>
    <row r="4240" spans="1:7" x14ac:dyDescent="0.2">
      <c r="A4240" s="354">
        <v>44767</v>
      </c>
      <c r="B4240" t="s">
        <v>3103</v>
      </c>
      <c r="C4240" s="76" t="s">
        <v>536</v>
      </c>
      <c r="D4240" s="38">
        <v>7801.034541</v>
      </c>
      <c r="E4240" s="38">
        <v>6.2366999999999999</v>
      </c>
      <c r="F4240" s="38">
        <v>6.2582000000000004</v>
      </c>
      <c r="G4240" s="83">
        <f t="shared" si="67"/>
        <v>5.8496539682539659</v>
      </c>
    </row>
    <row r="4241" spans="1:7" x14ac:dyDescent="0.2">
      <c r="A4241" s="354">
        <v>44768</v>
      </c>
      <c r="B4241" t="s">
        <v>3103</v>
      </c>
      <c r="C4241" s="76" t="s">
        <v>536</v>
      </c>
      <c r="D4241" s="38">
        <v>7775.7100360000004</v>
      </c>
      <c r="E4241" s="38">
        <v>6.2579000000000002</v>
      </c>
      <c r="F4241" s="38">
        <v>6.3258000000000001</v>
      </c>
      <c r="G4241" s="83">
        <f t="shared" si="67"/>
        <v>5.8605222222222206</v>
      </c>
    </row>
    <row r="4242" spans="1:7" x14ac:dyDescent="0.2">
      <c r="A4242" s="354">
        <v>44768</v>
      </c>
      <c r="B4242" t="s">
        <v>3103</v>
      </c>
      <c r="C4242" s="76" t="s">
        <v>536</v>
      </c>
      <c r="D4242" s="38">
        <v>7775.7100360000004</v>
      </c>
      <c r="E4242" s="38">
        <v>6.2579000000000002</v>
      </c>
      <c r="F4242" s="38">
        <v>6.3258000000000001</v>
      </c>
      <c r="G4242" s="83">
        <f t="shared" si="67"/>
        <v>5.8724444444444428</v>
      </c>
    </row>
    <row r="4243" spans="1:7" x14ac:dyDescent="0.2">
      <c r="A4243" s="354">
        <v>44769</v>
      </c>
      <c r="B4243" t="s">
        <v>3103</v>
      </c>
      <c r="C4243" s="76" t="s">
        <v>536</v>
      </c>
      <c r="D4243" s="38">
        <v>7796.1768659999998</v>
      </c>
      <c r="E4243" s="38">
        <v>6.3254999999999999</v>
      </c>
      <c r="F4243" s="38">
        <v>6.2659000000000002</v>
      </c>
      <c r="G4243" s="83">
        <f t="shared" si="67"/>
        <v>5.8854396825396815</v>
      </c>
    </row>
    <row r="4244" spans="1:7" x14ac:dyDescent="0.2">
      <c r="A4244" s="354">
        <v>44769</v>
      </c>
      <c r="B4244" t="s">
        <v>3103</v>
      </c>
      <c r="C4244" s="76" t="s">
        <v>536</v>
      </c>
      <c r="D4244" s="38">
        <v>7796.1768659999998</v>
      </c>
      <c r="E4244" s="38">
        <v>6.3254999999999999</v>
      </c>
      <c r="F4244" s="38">
        <v>6.2659000000000002</v>
      </c>
      <c r="G4244" s="83">
        <f t="shared" si="67"/>
        <v>5.8984904761904753</v>
      </c>
    </row>
    <row r="4245" spans="1:7" x14ac:dyDescent="0.2">
      <c r="A4245" s="354">
        <v>44770</v>
      </c>
      <c r="B4245" t="s">
        <v>3103</v>
      </c>
      <c r="C4245" s="76" t="s">
        <v>536</v>
      </c>
      <c r="D4245" s="38">
        <v>7850.6971569999996</v>
      </c>
      <c r="E4245" s="38">
        <v>6.2656999999999998</v>
      </c>
      <c r="F4245" s="38">
        <v>6.1159999999999997</v>
      </c>
      <c r="G4245" s="83">
        <f t="shared" si="67"/>
        <v>5.9105920634920617</v>
      </c>
    </row>
    <row r="4246" spans="1:7" x14ac:dyDescent="0.2">
      <c r="A4246" s="354">
        <v>44770</v>
      </c>
      <c r="B4246" t="s">
        <v>3103</v>
      </c>
      <c r="C4246" s="76" t="s">
        <v>536</v>
      </c>
      <c r="D4246" s="38">
        <v>7850.6971569999996</v>
      </c>
      <c r="E4246" s="38">
        <v>6.2656999999999998</v>
      </c>
      <c r="F4246" s="38">
        <v>6.1159999999999997</v>
      </c>
      <c r="G4246" s="83">
        <f t="shared" si="67"/>
        <v>5.9210492063492044</v>
      </c>
    </row>
    <row r="4247" spans="1:7" x14ac:dyDescent="0.2">
      <c r="A4247" s="354">
        <v>44771</v>
      </c>
      <c r="B4247" t="s">
        <v>3103</v>
      </c>
      <c r="C4247" s="76" t="s">
        <v>536</v>
      </c>
      <c r="D4247" s="38">
        <v>7889.588033</v>
      </c>
      <c r="E4247" s="38">
        <v>6.1158000000000001</v>
      </c>
      <c r="F4247" s="38">
        <v>6.0091999999999999</v>
      </c>
      <c r="G4247" s="83">
        <f t="shared" si="67"/>
        <v>5.9291269841269818</v>
      </c>
    </row>
    <row r="4248" spans="1:7" x14ac:dyDescent="0.2">
      <c r="A4248" s="354">
        <v>44771</v>
      </c>
      <c r="B4248" t="s">
        <v>3103</v>
      </c>
      <c r="C4248" s="76" t="s">
        <v>536</v>
      </c>
      <c r="D4248" s="38">
        <v>7889.588033</v>
      </c>
      <c r="E4248" s="38">
        <v>6.1158000000000001</v>
      </c>
      <c r="F4248" s="38">
        <v>6.0091999999999999</v>
      </c>
      <c r="G4248" s="83">
        <f t="shared" si="67"/>
        <v>5.9367269841269819</v>
      </c>
    </row>
    <row r="4249" spans="1:7" x14ac:dyDescent="0.2">
      <c r="A4249" s="354">
        <v>44774</v>
      </c>
      <c r="B4249" t="s">
        <v>3103</v>
      </c>
      <c r="C4249" s="76" t="s">
        <v>536</v>
      </c>
      <c r="D4249" s="38">
        <v>7901.9528309999996</v>
      </c>
      <c r="E4249" s="38">
        <v>6.0091000000000001</v>
      </c>
      <c r="F4249" s="38">
        <v>5.9741</v>
      </c>
      <c r="G4249" s="83">
        <f t="shared" si="67"/>
        <v>5.9426333333333305</v>
      </c>
    </row>
    <row r="4250" spans="1:7" x14ac:dyDescent="0.2">
      <c r="A4250" s="354">
        <v>44774</v>
      </c>
      <c r="B4250" t="s">
        <v>3103</v>
      </c>
      <c r="C4250" s="76" t="s">
        <v>536</v>
      </c>
      <c r="D4250" s="38">
        <v>7901.9528309999996</v>
      </c>
      <c r="E4250" s="38">
        <v>6.0091000000000001</v>
      </c>
      <c r="F4250" s="38">
        <v>5.9741</v>
      </c>
      <c r="G4250" s="83">
        <f t="shared" si="67"/>
        <v>5.9512634920634886</v>
      </c>
    </row>
    <row r="4251" spans="1:7" x14ac:dyDescent="0.2">
      <c r="A4251" s="354">
        <v>44775</v>
      </c>
      <c r="B4251" t="s">
        <v>3103</v>
      </c>
      <c r="C4251" s="76" t="s">
        <v>536</v>
      </c>
      <c r="D4251" s="38">
        <v>7875.0718210000005</v>
      </c>
      <c r="E4251" s="38">
        <v>5.9740000000000002</v>
      </c>
      <c r="F4251" s="38">
        <v>6.0445000000000002</v>
      </c>
      <c r="G4251" s="83">
        <f t="shared" si="67"/>
        <v>5.9593365079365039</v>
      </c>
    </row>
    <row r="4252" spans="1:7" x14ac:dyDescent="0.2">
      <c r="A4252" s="354">
        <v>44775</v>
      </c>
      <c r="B4252" t="s">
        <v>3103</v>
      </c>
      <c r="C4252" s="76" t="s">
        <v>536</v>
      </c>
      <c r="D4252" s="38">
        <v>7875.0718210000005</v>
      </c>
      <c r="E4252" s="38">
        <v>5.9740000000000002</v>
      </c>
      <c r="F4252" s="38">
        <v>6.0445000000000002</v>
      </c>
      <c r="G4252" s="83">
        <f t="shared" si="67"/>
        <v>5.9682285714285666</v>
      </c>
    </row>
    <row r="4253" spans="1:7" x14ac:dyDescent="0.2">
      <c r="A4253" s="354">
        <v>44776</v>
      </c>
      <c r="B4253" t="s">
        <v>3103</v>
      </c>
      <c r="C4253" s="76" t="s">
        <v>536</v>
      </c>
      <c r="D4253" s="38">
        <v>7909.9848339999999</v>
      </c>
      <c r="E4253" s="38">
        <v>6.0445000000000002</v>
      </c>
      <c r="F4253" s="38">
        <v>5.9489000000000001</v>
      </c>
      <c r="G4253" s="83">
        <f t="shared" si="67"/>
        <v>5.9782396825396784</v>
      </c>
    </row>
    <row r="4254" spans="1:7" x14ac:dyDescent="0.2">
      <c r="A4254" s="354">
        <v>44776</v>
      </c>
      <c r="B4254" t="s">
        <v>3103</v>
      </c>
      <c r="C4254" s="76" t="s">
        <v>536</v>
      </c>
      <c r="D4254" s="38">
        <v>7909.9848339999999</v>
      </c>
      <c r="E4254" s="38">
        <v>6.0445000000000002</v>
      </c>
      <c r="F4254" s="38">
        <v>5.9489000000000001</v>
      </c>
      <c r="G4254" s="83">
        <f t="shared" si="67"/>
        <v>5.9871095238095213</v>
      </c>
    </row>
    <row r="4255" spans="1:7" x14ac:dyDescent="0.2">
      <c r="A4255" s="354">
        <v>44777</v>
      </c>
      <c r="B4255" t="s">
        <v>3103</v>
      </c>
      <c r="C4255" s="76" t="s">
        <v>536</v>
      </c>
      <c r="D4255" s="38">
        <v>8030.4629930000001</v>
      </c>
      <c r="E4255" s="38">
        <v>5.9489000000000001</v>
      </c>
      <c r="F4255" s="38">
        <v>5.6269999999999998</v>
      </c>
      <c r="G4255" s="83">
        <f t="shared" si="67"/>
        <v>5.9944619047619012</v>
      </c>
    </row>
    <row r="4256" spans="1:7" x14ac:dyDescent="0.2">
      <c r="A4256" s="354">
        <v>44777</v>
      </c>
      <c r="B4256" t="s">
        <v>3103</v>
      </c>
      <c r="C4256" s="76" t="s">
        <v>536</v>
      </c>
      <c r="D4256" s="38">
        <v>8030.4629930000001</v>
      </c>
      <c r="E4256" s="38">
        <v>5.9489000000000001</v>
      </c>
      <c r="F4256" s="38">
        <v>5.6269999999999998</v>
      </c>
      <c r="G4256" s="83">
        <f t="shared" si="67"/>
        <v>6.0003095238095199</v>
      </c>
    </row>
    <row r="4257" spans="1:7" x14ac:dyDescent="0.2">
      <c r="A4257" s="354">
        <v>44778</v>
      </c>
      <c r="B4257" t="s">
        <v>3103</v>
      </c>
      <c r="C4257" s="76" t="s">
        <v>536</v>
      </c>
      <c r="D4257" s="38">
        <v>8051.663493</v>
      </c>
      <c r="E4257" s="38">
        <v>5.6271000000000004</v>
      </c>
      <c r="F4257" s="38">
        <v>5.5693000000000001</v>
      </c>
      <c r="G4257" s="83">
        <f t="shared" si="67"/>
        <v>6.0010492063492036</v>
      </c>
    </row>
    <row r="4258" spans="1:7" x14ac:dyDescent="0.2">
      <c r="A4258" s="354">
        <v>44778</v>
      </c>
      <c r="B4258" t="s">
        <v>3103</v>
      </c>
      <c r="C4258" s="76" t="s">
        <v>536</v>
      </c>
      <c r="D4258" s="38">
        <v>8051.663493</v>
      </c>
      <c r="E4258" s="38">
        <v>5.6271000000000004</v>
      </c>
      <c r="F4258" s="38">
        <v>5.5693000000000001</v>
      </c>
      <c r="G4258" s="83">
        <f t="shared" si="67"/>
        <v>6.0019666666666627</v>
      </c>
    </row>
    <row r="4259" spans="1:7" x14ac:dyDescent="0.2">
      <c r="A4259" s="354">
        <v>44781</v>
      </c>
      <c r="B4259" t="s">
        <v>3103</v>
      </c>
      <c r="C4259" s="76" t="s">
        <v>536</v>
      </c>
      <c r="D4259" s="38">
        <v>8088.3754479999998</v>
      </c>
      <c r="E4259" s="38">
        <v>5.5693999999999999</v>
      </c>
      <c r="F4259" s="38">
        <v>5.4711999999999996</v>
      </c>
      <c r="G4259" s="83">
        <f t="shared" si="67"/>
        <v>6.0019682539682506</v>
      </c>
    </row>
    <row r="4260" spans="1:7" x14ac:dyDescent="0.2">
      <c r="A4260" s="354">
        <v>44781</v>
      </c>
      <c r="B4260" t="s">
        <v>3103</v>
      </c>
      <c r="C4260" s="76" t="s">
        <v>536</v>
      </c>
      <c r="D4260" s="38">
        <v>8088.3754479999998</v>
      </c>
      <c r="E4260" s="38">
        <v>5.5693999999999999</v>
      </c>
      <c r="F4260" s="38">
        <v>5.4711999999999996</v>
      </c>
      <c r="G4260" s="83">
        <f t="shared" si="67"/>
        <v>6.0031777777777737</v>
      </c>
    </row>
    <row r="4261" spans="1:7" x14ac:dyDescent="0.2">
      <c r="A4261" s="354">
        <v>44782</v>
      </c>
      <c r="B4261" t="s">
        <v>3103</v>
      </c>
      <c r="C4261" s="76" t="s">
        <v>536</v>
      </c>
      <c r="D4261" s="38">
        <v>8051.0312169999997</v>
      </c>
      <c r="E4261" s="38">
        <v>5.4713000000000003</v>
      </c>
      <c r="F4261" s="38">
        <v>5.5633999999999997</v>
      </c>
      <c r="G4261" s="83">
        <f t="shared" si="67"/>
        <v>6.0028301587301547</v>
      </c>
    </row>
    <row r="4262" spans="1:7" x14ac:dyDescent="0.2">
      <c r="A4262" s="354">
        <v>44782</v>
      </c>
      <c r="B4262" t="s">
        <v>3103</v>
      </c>
      <c r="C4262" s="76" t="s">
        <v>536</v>
      </c>
      <c r="D4262" s="38">
        <v>8051.0312169999997</v>
      </c>
      <c r="E4262" s="38">
        <v>5.4713000000000003</v>
      </c>
      <c r="F4262" s="38">
        <v>5.5633999999999997</v>
      </c>
      <c r="G4262" s="83">
        <f t="shared" si="67"/>
        <v>6.0010952380952336</v>
      </c>
    </row>
    <row r="4263" spans="1:7" x14ac:dyDescent="0.2">
      <c r="A4263" s="354">
        <v>44783</v>
      </c>
      <c r="B4263" t="s">
        <v>3103</v>
      </c>
      <c r="C4263" s="76" t="s">
        <v>536</v>
      </c>
      <c r="D4263" s="38">
        <v>8039.9042390000004</v>
      </c>
      <c r="E4263" s="38">
        <v>5.5633999999999997</v>
      </c>
      <c r="F4263" s="38">
        <v>5.5903</v>
      </c>
      <c r="G4263" s="83">
        <f t="shared" si="67"/>
        <v>6.0008222222222187</v>
      </c>
    </row>
    <row r="4264" spans="1:7" x14ac:dyDescent="0.2">
      <c r="A4264" s="354">
        <v>44783</v>
      </c>
      <c r="B4264" t="s">
        <v>3103</v>
      </c>
      <c r="C4264" s="76" t="s">
        <v>536</v>
      </c>
      <c r="D4264" s="38">
        <v>8039.9042390000004</v>
      </c>
      <c r="E4264" s="38">
        <v>5.5633999999999997</v>
      </c>
      <c r="F4264" s="38">
        <v>5.5903</v>
      </c>
      <c r="G4264" s="83">
        <f t="shared" si="67"/>
        <v>6.0001206349206315</v>
      </c>
    </row>
    <row r="4265" spans="1:7" x14ac:dyDescent="0.2">
      <c r="A4265" s="354">
        <v>44784</v>
      </c>
      <c r="B4265" t="s">
        <v>3103</v>
      </c>
      <c r="C4265" s="76" t="s">
        <v>536</v>
      </c>
      <c r="D4265" s="38">
        <v>7996.7880960000002</v>
      </c>
      <c r="E4265" s="38">
        <v>5.5903</v>
      </c>
      <c r="F4265" s="38">
        <v>5.7016999999999998</v>
      </c>
      <c r="G4265" s="83">
        <f t="shared" si="67"/>
        <v>5.9998460317460287</v>
      </c>
    </row>
    <row r="4266" spans="1:7" x14ac:dyDescent="0.2">
      <c r="A4266" s="354">
        <v>44784</v>
      </c>
      <c r="B4266" t="s">
        <v>3103</v>
      </c>
      <c r="C4266" s="76" t="s">
        <v>536</v>
      </c>
      <c r="D4266" s="38">
        <v>7996.7880960000002</v>
      </c>
      <c r="E4266" s="38">
        <v>5.5903</v>
      </c>
      <c r="F4266" s="38">
        <v>5.7016999999999998</v>
      </c>
      <c r="G4266" s="83">
        <f t="shared" si="67"/>
        <v>5.997112698412697</v>
      </c>
    </row>
    <row r="4267" spans="1:7" x14ac:dyDescent="0.2">
      <c r="A4267" s="354">
        <v>44785</v>
      </c>
      <c r="B4267" t="s">
        <v>3103</v>
      </c>
      <c r="C4267" s="76" t="s">
        <v>536</v>
      </c>
      <c r="D4267" s="38">
        <v>8024.2408889999997</v>
      </c>
      <c r="E4267" s="38">
        <v>5.7016999999999998</v>
      </c>
      <c r="F4267" s="38">
        <v>5.6269999999999998</v>
      </c>
      <c r="G4267" s="83">
        <f t="shared" si="67"/>
        <v>5.9961476190476182</v>
      </c>
    </row>
    <row r="4268" spans="1:7" x14ac:dyDescent="0.2">
      <c r="A4268" s="354">
        <v>44785</v>
      </c>
      <c r="B4268" t="s">
        <v>3103</v>
      </c>
      <c r="C4268" s="76" t="s">
        <v>536</v>
      </c>
      <c r="D4268" s="38">
        <v>8024.2408889999997</v>
      </c>
      <c r="E4268" s="38">
        <v>5.7016999999999998</v>
      </c>
      <c r="F4268" s="38">
        <v>5.6269999999999998</v>
      </c>
      <c r="G4268" s="83">
        <f t="shared" si="67"/>
        <v>5.994579365079364</v>
      </c>
    </row>
    <row r="4269" spans="1:7" x14ac:dyDescent="0.2">
      <c r="A4269" s="354">
        <v>44788</v>
      </c>
      <c r="B4269" t="s">
        <v>3103</v>
      </c>
      <c r="C4269" s="76" t="s">
        <v>536</v>
      </c>
      <c r="D4269" s="38">
        <v>8068.9573250000003</v>
      </c>
      <c r="E4269" s="38">
        <v>5.6269999999999998</v>
      </c>
      <c r="F4269" s="38">
        <v>5.5072999999999999</v>
      </c>
      <c r="G4269" s="83">
        <f t="shared" si="67"/>
        <v>5.9918253968253961</v>
      </c>
    </row>
    <row r="4270" spans="1:7" x14ac:dyDescent="0.2">
      <c r="A4270" s="354">
        <v>44788</v>
      </c>
      <c r="B4270" t="s">
        <v>3103</v>
      </c>
      <c r="C4270" s="76" t="s">
        <v>536</v>
      </c>
      <c r="D4270" s="38">
        <v>8068.9573250000003</v>
      </c>
      <c r="E4270" s="38">
        <v>5.6269999999999998</v>
      </c>
      <c r="F4270" s="38">
        <v>5.5072999999999999</v>
      </c>
      <c r="G4270" s="83">
        <f t="shared" si="67"/>
        <v>5.9900603174603173</v>
      </c>
    </row>
    <row r="4271" spans="1:7" x14ac:dyDescent="0.2">
      <c r="A4271" s="354">
        <v>44789</v>
      </c>
      <c r="B4271" t="s">
        <v>3103</v>
      </c>
      <c r="C4271" s="76" t="s">
        <v>536</v>
      </c>
      <c r="D4271" s="38">
        <v>8029.5976540000001</v>
      </c>
      <c r="E4271" s="38">
        <v>5.5072999999999999</v>
      </c>
      <c r="F4271" s="38">
        <v>5.6128999999999998</v>
      </c>
      <c r="G4271" s="83">
        <f t="shared" si="67"/>
        <v>5.9863952380952377</v>
      </c>
    </row>
    <row r="4272" spans="1:7" x14ac:dyDescent="0.2">
      <c r="A4272" s="354">
        <v>44789</v>
      </c>
      <c r="B4272" t="s">
        <v>3103</v>
      </c>
      <c r="C4272" s="76" t="s">
        <v>536</v>
      </c>
      <c r="D4272" s="38">
        <v>8029.5976540000001</v>
      </c>
      <c r="E4272" s="38">
        <v>5.5072999999999999</v>
      </c>
      <c r="F4272" s="38">
        <v>5.6128999999999998</v>
      </c>
      <c r="G4272" s="83">
        <f t="shared" si="67"/>
        <v>5.9819619047619055</v>
      </c>
    </row>
    <row r="4273" spans="1:7" x14ac:dyDescent="0.2">
      <c r="A4273" s="354">
        <v>44790</v>
      </c>
      <c r="B4273" t="s">
        <v>3103</v>
      </c>
      <c r="C4273" s="76" t="s">
        <v>536</v>
      </c>
      <c r="D4273" s="38">
        <v>8004.4879490000003</v>
      </c>
      <c r="E4273" s="38">
        <v>5.6128</v>
      </c>
      <c r="F4273" s="38">
        <v>5.6814</v>
      </c>
      <c r="G4273" s="83">
        <f t="shared" si="67"/>
        <v>5.9792031746031755</v>
      </c>
    </row>
    <row r="4274" spans="1:7" x14ac:dyDescent="0.2">
      <c r="A4274" s="354">
        <v>44790</v>
      </c>
      <c r="B4274" t="s">
        <v>3103</v>
      </c>
      <c r="C4274" s="76" t="s">
        <v>536</v>
      </c>
      <c r="D4274" s="38">
        <v>8004.4879490000003</v>
      </c>
      <c r="E4274" s="38">
        <v>5.6128</v>
      </c>
      <c r="F4274" s="38">
        <v>5.6814</v>
      </c>
      <c r="G4274" s="83">
        <f t="shared" si="67"/>
        <v>5.9754238095238099</v>
      </c>
    </row>
    <row r="4275" spans="1:7" x14ac:dyDescent="0.2">
      <c r="A4275" s="354">
        <v>44791</v>
      </c>
      <c r="B4275" t="s">
        <v>3103</v>
      </c>
      <c r="C4275" s="76" t="s">
        <v>536</v>
      </c>
      <c r="D4275" s="38">
        <v>8007.6007849999996</v>
      </c>
      <c r="E4275" s="38">
        <v>5.6813000000000002</v>
      </c>
      <c r="F4275" s="38">
        <v>5.6755000000000004</v>
      </c>
      <c r="G4275" s="83">
        <f t="shared" si="67"/>
        <v>5.9727317460317462</v>
      </c>
    </row>
    <row r="4276" spans="1:7" x14ac:dyDescent="0.2">
      <c r="A4276" s="354">
        <v>44791</v>
      </c>
      <c r="B4276" t="s">
        <v>3103</v>
      </c>
      <c r="C4276" s="76" t="s">
        <v>536</v>
      </c>
      <c r="D4276" s="38">
        <v>8007.6007849999996</v>
      </c>
      <c r="E4276" s="38">
        <v>5.6813000000000002</v>
      </c>
      <c r="F4276" s="38">
        <v>5.6755000000000004</v>
      </c>
      <c r="G4276" s="83">
        <f t="shared" si="67"/>
        <v>5.9692809523809522</v>
      </c>
    </row>
    <row r="4277" spans="1:7" x14ac:dyDescent="0.2">
      <c r="A4277" s="354">
        <v>44792</v>
      </c>
      <c r="B4277" t="s">
        <v>3103</v>
      </c>
      <c r="C4277" s="76" t="s">
        <v>536</v>
      </c>
      <c r="D4277" s="38">
        <v>8005.3750170000003</v>
      </c>
      <c r="E4277" s="38">
        <v>5.6753999999999998</v>
      </c>
      <c r="F4277" s="38">
        <v>5.6837</v>
      </c>
      <c r="G4277" s="83">
        <f t="shared" si="67"/>
        <v>5.9657365079365094</v>
      </c>
    </row>
    <row r="4278" spans="1:7" x14ac:dyDescent="0.2">
      <c r="A4278" s="354">
        <v>44792</v>
      </c>
      <c r="B4278" t="s">
        <v>3103</v>
      </c>
      <c r="C4278" s="76" t="s">
        <v>536</v>
      </c>
      <c r="D4278" s="38">
        <v>8005.3750170000003</v>
      </c>
      <c r="E4278" s="38">
        <v>5.6753999999999998</v>
      </c>
      <c r="F4278" s="38">
        <v>5.6837</v>
      </c>
      <c r="G4278" s="83">
        <f t="shared" si="67"/>
        <v>5.9613761904761926</v>
      </c>
    </row>
    <row r="4279" spans="1:7" x14ac:dyDescent="0.2">
      <c r="A4279" s="354">
        <v>44795</v>
      </c>
      <c r="B4279" t="s">
        <v>3103</v>
      </c>
      <c r="C4279" s="76" t="s">
        <v>536</v>
      </c>
      <c r="D4279" s="38">
        <v>8001.2234870000002</v>
      </c>
      <c r="E4279" s="38">
        <v>5.6836000000000002</v>
      </c>
      <c r="F4279" s="38">
        <v>5.6970000000000001</v>
      </c>
      <c r="G4279" s="83">
        <f t="shared" si="67"/>
        <v>5.9571460317460341</v>
      </c>
    </row>
    <row r="4280" spans="1:7" x14ac:dyDescent="0.2">
      <c r="A4280" s="354">
        <v>44795</v>
      </c>
      <c r="B4280" t="s">
        <v>3103</v>
      </c>
      <c r="C4280" s="76" t="s">
        <v>536</v>
      </c>
      <c r="D4280" s="38">
        <v>8001.2234870000002</v>
      </c>
      <c r="E4280" s="38">
        <v>5.6836000000000002</v>
      </c>
      <c r="F4280" s="38">
        <v>5.6970000000000001</v>
      </c>
      <c r="G4280" s="83">
        <f t="shared" si="67"/>
        <v>5.9529539682539712</v>
      </c>
    </row>
    <row r="4281" spans="1:7" x14ac:dyDescent="0.2">
      <c r="A4281" s="354">
        <v>44796</v>
      </c>
      <c r="B4281" t="s">
        <v>3103</v>
      </c>
      <c r="C4281" s="76" t="s">
        <v>536</v>
      </c>
      <c r="D4281" s="38">
        <v>8045.1381019999999</v>
      </c>
      <c r="E4281" s="38">
        <v>5.6969000000000003</v>
      </c>
      <c r="F4281" s="38">
        <v>5.5835999999999997</v>
      </c>
      <c r="G4281" s="83">
        <f t="shared" si="67"/>
        <v>5.9489730158730199</v>
      </c>
    </row>
    <row r="4282" spans="1:7" x14ac:dyDescent="0.2">
      <c r="A4282" s="354">
        <v>44796</v>
      </c>
      <c r="B4282" t="s">
        <v>3103</v>
      </c>
      <c r="C4282" s="76" t="s">
        <v>536</v>
      </c>
      <c r="D4282" s="38">
        <v>8045.1381019999999</v>
      </c>
      <c r="E4282" s="38">
        <v>5.6969000000000003</v>
      </c>
      <c r="F4282" s="38">
        <v>5.5835999999999997</v>
      </c>
      <c r="G4282" s="83">
        <f t="shared" si="67"/>
        <v>5.943290476190481</v>
      </c>
    </row>
    <row r="4283" spans="1:7" x14ac:dyDescent="0.2">
      <c r="A4283" s="354">
        <v>44797</v>
      </c>
      <c r="B4283" t="s">
        <v>3103</v>
      </c>
      <c r="C4283" s="76" t="s">
        <v>536</v>
      </c>
      <c r="D4283" s="38">
        <v>8033.7445250000001</v>
      </c>
      <c r="E4283" s="38">
        <v>5.5834999999999999</v>
      </c>
      <c r="F4283" s="38">
        <v>5.6158000000000001</v>
      </c>
      <c r="G4283" s="83">
        <f t="shared" si="67"/>
        <v>5.9358079365079419</v>
      </c>
    </row>
    <row r="4284" spans="1:7" x14ac:dyDescent="0.2">
      <c r="A4284" s="354">
        <v>44797</v>
      </c>
      <c r="B4284" t="s">
        <v>3103</v>
      </c>
      <c r="C4284" s="76" t="s">
        <v>536</v>
      </c>
      <c r="D4284" s="38">
        <v>8033.7445250000001</v>
      </c>
      <c r="E4284" s="38">
        <v>5.5834999999999999</v>
      </c>
      <c r="F4284" s="38">
        <v>5.6158000000000001</v>
      </c>
      <c r="G4284" s="83">
        <f t="shared" ref="G4284:G4347" si="68">+AVERAGE(E4222:E4284)</f>
        <v>5.9266682539682591</v>
      </c>
    </row>
    <row r="4285" spans="1:7" x14ac:dyDescent="0.2">
      <c r="A4285" s="354">
        <v>44798</v>
      </c>
      <c r="B4285" t="s">
        <v>3103</v>
      </c>
      <c r="C4285" s="76" t="s">
        <v>536</v>
      </c>
      <c r="D4285" s="38">
        <v>7993.4906609999998</v>
      </c>
      <c r="E4285" s="38">
        <v>5.6157000000000004</v>
      </c>
      <c r="F4285" s="38">
        <v>5.7165999999999997</v>
      </c>
      <c r="G4285" s="83">
        <f t="shared" si="68"/>
        <v>5.9180396825396882</v>
      </c>
    </row>
    <row r="4286" spans="1:7" x14ac:dyDescent="0.2">
      <c r="A4286" s="354">
        <v>44798</v>
      </c>
      <c r="B4286" t="s">
        <v>3103</v>
      </c>
      <c r="C4286" s="76" t="s">
        <v>536</v>
      </c>
      <c r="D4286" s="38">
        <v>7993.4906609999998</v>
      </c>
      <c r="E4286" s="38">
        <v>5.6157000000000004</v>
      </c>
      <c r="F4286" s="38">
        <v>5.7165999999999997</v>
      </c>
      <c r="G4286" s="83">
        <f t="shared" si="68"/>
        <v>5.9097333333333388</v>
      </c>
    </row>
    <row r="4287" spans="1:7" x14ac:dyDescent="0.2">
      <c r="A4287" s="354">
        <v>44799</v>
      </c>
      <c r="B4287" t="s">
        <v>3103</v>
      </c>
      <c r="C4287" s="76" t="s">
        <v>536</v>
      </c>
      <c r="D4287" s="38">
        <v>8007.4401959999996</v>
      </c>
      <c r="E4287" s="38">
        <v>5.7164999999999999</v>
      </c>
      <c r="F4287" s="38">
        <v>5.6810999999999998</v>
      </c>
      <c r="G4287" s="83">
        <f t="shared" si="68"/>
        <v>5.9030269841269893</v>
      </c>
    </row>
    <row r="4288" spans="1:7" x14ac:dyDescent="0.2">
      <c r="A4288" s="354">
        <v>44799</v>
      </c>
      <c r="B4288" t="s">
        <v>3103</v>
      </c>
      <c r="C4288" s="76" t="s">
        <v>536</v>
      </c>
      <c r="D4288" s="38">
        <v>8007.4401959999996</v>
      </c>
      <c r="E4288" s="38">
        <v>5.7164999999999999</v>
      </c>
      <c r="F4288" s="38">
        <v>5.6810999999999998</v>
      </c>
      <c r="G4288" s="83">
        <f t="shared" si="68"/>
        <v>5.8964380952380999</v>
      </c>
    </row>
    <row r="4289" spans="1:7" x14ac:dyDescent="0.2">
      <c r="A4289" s="354">
        <v>44802</v>
      </c>
      <c r="B4289" t="s">
        <v>3103</v>
      </c>
      <c r="C4289" s="76" t="s">
        <v>536</v>
      </c>
      <c r="D4289" s="38">
        <v>7958.4330049999999</v>
      </c>
      <c r="E4289" s="38">
        <v>5.681</v>
      </c>
      <c r="F4289" s="38">
        <v>5.8124000000000002</v>
      </c>
      <c r="G4289" s="83">
        <f t="shared" si="68"/>
        <v>5.8892857142857178</v>
      </c>
    </row>
    <row r="4290" spans="1:7" x14ac:dyDescent="0.2">
      <c r="A4290" s="354">
        <v>44802</v>
      </c>
      <c r="B4290" t="s">
        <v>3103</v>
      </c>
      <c r="C4290" s="76" t="s">
        <v>536</v>
      </c>
      <c r="D4290" s="38">
        <v>7958.4330049999999</v>
      </c>
      <c r="E4290" s="38">
        <v>5.681</v>
      </c>
      <c r="F4290" s="38">
        <v>5.8124000000000002</v>
      </c>
      <c r="G4290" s="83">
        <f t="shared" si="68"/>
        <v>5.8816523809523842</v>
      </c>
    </row>
    <row r="4291" spans="1:7" x14ac:dyDescent="0.2">
      <c r="A4291" s="354">
        <v>44803</v>
      </c>
      <c r="B4291" t="s">
        <v>3103</v>
      </c>
      <c r="C4291" s="76" t="s">
        <v>536</v>
      </c>
      <c r="D4291" s="38">
        <v>7948.7327699999996</v>
      </c>
      <c r="E4291" s="38">
        <v>5.8122999999999996</v>
      </c>
      <c r="F4291" s="38">
        <v>5.8396999999999997</v>
      </c>
      <c r="G4291" s="83">
        <f t="shared" si="68"/>
        <v>5.8761031746031787</v>
      </c>
    </row>
    <row r="4292" spans="1:7" x14ac:dyDescent="0.2">
      <c r="A4292" s="354">
        <v>44803</v>
      </c>
      <c r="B4292" t="s">
        <v>3103</v>
      </c>
      <c r="C4292" s="76" t="s">
        <v>536</v>
      </c>
      <c r="D4292" s="38">
        <v>7948.7327699999996</v>
      </c>
      <c r="E4292" s="38">
        <v>5.8122999999999996</v>
      </c>
      <c r="F4292" s="38">
        <v>5.8396999999999997</v>
      </c>
      <c r="G4292" s="83">
        <f t="shared" si="68"/>
        <v>5.8714698412698452</v>
      </c>
    </row>
    <row r="4293" spans="1:7" x14ac:dyDescent="0.2">
      <c r="A4293" s="354">
        <v>44804</v>
      </c>
      <c r="B4293" t="s">
        <v>3103</v>
      </c>
      <c r="C4293" s="76" t="s">
        <v>536</v>
      </c>
      <c r="D4293" s="38">
        <v>7964.505682</v>
      </c>
      <c r="E4293" s="38">
        <v>5.8395000000000001</v>
      </c>
      <c r="F4293" s="38">
        <v>5.7991000000000001</v>
      </c>
      <c r="G4293" s="83">
        <f t="shared" si="68"/>
        <v>5.8672682539682572</v>
      </c>
    </row>
    <row r="4294" spans="1:7" x14ac:dyDescent="0.2">
      <c r="A4294" s="354">
        <v>44804</v>
      </c>
      <c r="B4294" t="s">
        <v>3103</v>
      </c>
      <c r="C4294" s="76" t="s">
        <v>536</v>
      </c>
      <c r="D4294" s="38">
        <v>7964.505682</v>
      </c>
      <c r="E4294" s="38">
        <v>5.8395000000000001</v>
      </c>
      <c r="F4294" s="38">
        <v>5.7991000000000001</v>
      </c>
      <c r="G4294" s="83">
        <f t="shared" si="68"/>
        <v>5.8603079365079394</v>
      </c>
    </row>
    <row r="4295" spans="1:7" x14ac:dyDescent="0.2">
      <c r="A4295" s="354">
        <v>44805</v>
      </c>
      <c r="B4295" t="s">
        <v>3103</v>
      </c>
      <c r="C4295" s="76" t="s">
        <v>536</v>
      </c>
      <c r="D4295" s="38">
        <v>8018.7162859999999</v>
      </c>
      <c r="E4295" s="38">
        <v>5.7988999999999997</v>
      </c>
      <c r="F4295" s="38">
        <v>5.6569000000000003</v>
      </c>
      <c r="G4295" s="83">
        <f t="shared" si="68"/>
        <v>5.8527031746031772</v>
      </c>
    </row>
    <row r="4296" spans="1:7" x14ac:dyDescent="0.2">
      <c r="A4296" s="354">
        <v>44805</v>
      </c>
      <c r="B4296" t="s">
        <v>3103</v>
      </c>
      <c r="C4296" s="76" t="s">
        <v>536</v>
      </c>
      <c r="D4296" s="38">
        <v>8018.7162859999999</v>
      </c>
      <c r="E4296" s="38">
        <v>5.7988999999999997</v>
      </c>
      <c r="F4296" s="38">
        <v>5.6569000000000003</v>
      </c>
      <c r="G4296" s="83">
        <f t="shared" si="68"/>
        <v>5.8433492063492087</v>
      </c>
    </row>
    <row r="4297" spans="1:7" x14ac:dyDescent="0.2">
      <c r="A4297" s="354">
        <v>44806</v>
      </c>
      <c r="B4297" t="s">
        <v>3103</v>
      </c>
      <c r="C4297" s="76" t="s">
        <v>536</v>
      </c>
      <c r="D4297" s="38">
        <v>8030.6859430000004</v>
      </c>
      <c r="E4297" s="38">
        <v>5.6566999999999998</v>
      </c>
      <c r="F4297" s="38">
        <v>5.6265999999999998</v>
      </c>
      <c r="G4297" s="83">
        <f t="shared" si="68"/>
        <v>5.8317380952380971</v>
      </c>
    </row>
    <row r="4298" spans="1:7" x14ac:dyDescent="0.2">
      <c r="A4298" s="354">
        <v>44806</v>
      </c>
      <c r="B4298" t="s">
        <v>3103</v>
      </c>
      <c r="C4298" s="76" t="s">
        <v>536</v>
      </c>
      <c r="D4298" s="38">
        <v>8030.6859430000004</v>
      </c>
      <c r="E4298" s="38">
        <v>5.6566999999999998</v>
      </c>
      <c r="F4298" s="38">
        <v>5.6265999999999998</v>
      </c>
      <c r="G4298" s="83">
        <f t="shared" si="68"/>
        <v>5.8214158730158738</v>
      </c>
    </row>
    <row r="4299" spans="1:7" x14ac:dyDescent="0.2">
      <c r="A4299" s="354">
        <v>44809</v>
      </c>
      <c r="B4299" t="s">
        <v>3103</v>
      </c>
      <c r="C4299" s="76" t="s">
        <v>536</v>
      </c>
      <c r="D4299" s="38">
        <v>8021.013097</v>
      </c>
      <c r="E4299" s="38">
        <v>5.6265000000000001</v>
      </c>
      <c r="F4299" s="38">
        <v>5.6534000000000004</v>
      </c>
      <c r="G4299" s="83">
        <f t="shared" si="68"/>
        <v>5.8106142857142871</v>
      </c>
    </row>
    <row r="4300" spans="1:7" x14ac:dyDescent="0.2">
      <c r="A4300" s="354">
        <v>44809</v>
      </c>
      <c r="B4300" t="s">
        <v>3103</v>
      </c>
      <c r="C4300" s="76" t="s">
        <v>536</v>
      </c>
      <c r="D4300" s="38">
        <v>8021.013097</v>
      </c>
      <c r="E4300" s="38">
        <v>5.6265000000000001</v>
      </c>
      <c r="F4300" s="38">
        <v>5.6534000000000004</v>
      </c>
      <c r="G4300" s="83">
        <f t="shared" si="68"/>
        <v>5.7994253968253977</v>
      </c>
    </row>
    <row r="4301" spans="1:7" x14ac:dyDescent="0.2">
      <c r="A4301" s="354">
        <v>44810</v>
      </c>
      <c r="B4301" t="s">
        <v>3103</v>
      </c>
      <c r="C4301" s="76" t="s">
        <v>536</v>
      </c>
      <c r="D4301" s="38">
        <v>7994.794457</v>
      </c>
      <c r="E4301" s="38">
        <v>5.6532999999999998</v>
      </c>
      <c r="F4301" s="38">
        <v>5.7240000000000002</v>
      </c>
      <c r="G4301" s="83">
        <f t="shared" si="68"/>
        <v>5.7886619047619057</v>
      </c>
    </row>
    <row r="4302" spans="1:7" x14ac:dyDescent="0.2">
      <c r="A4302" s="354">
        <v>44810</v>
      </c>
      <c r="B4302" t="s">
        <v>3103</v>
      </c>
      <c r="C4302" s="76" t="s">
        <v>536</v>
      </c>
      <c r="D4302" s="38">
        <v>7994.794457</v>
      </c>
      <c r="E4302" s="38">
        <v>5.6532999999999998</v>
      </c>
      <c r="F4302" s="38">
        <v>5.7240000000000002</v>
      </c>
      <c r="G4302" s="83">
        <f t="shared" si="68"/>
        <v>5.7794015873015869</v>
      </c>
    </row>
    <row r="4303" spans="1:7" x14ac:dyDescent="0.2">
      <c r="A4303" s="354">
        <v>44812</v>
      </c>
      <c r="B4303" t="s">
        <v>3103</v>
      </c>
      <c r="C4303" s="76" t="s">
        <v>536</v>
      </c>
      <c r="D4303" s="38">
        <v>8027.1341579999998</v>
      </c>
      <c r="E4303" s="38">
        <v>5.7237999999999998</v>
      </c>
      <c r="F4303" s="38">
        <v>5.6398999999999999</v>
      </c>
      <c r="G4303" s="83">
        <f t="shared" si="68"/>
        <v>5.7712603174603156</v>
      </c>
    </row>
    <row r="4304" spans="1:7" x14ac:dyDescent="0.2">
      <c r="A4304" s="354">
        <v>44812</v>
      </c>
      <c r="B4304" t="s">
        <v>3103</v>
      </c>
      <c r="C4304" s="76" t="s">
        <v>536</v>
      </c>
      <c r="D4304" s="38">
        <v>8027.1341579999998</v>
      </c>
      <c r="E4304" s="38">
        <v>5.7237999999999998</v>
      </c>
      <c r="F4304" s="38">
        <v>5.6398999999999999</v>
      </c>
      <c r="G4304" s="83">
        <f t="shared" si="68"/>
        <v>5.7627825396825374</v>
      </c>
    </row>
    <row r="4305" spans="1:7" x14ac:dyDescent="0.2">
      <c r="A4305" s="354">
        <v>44813</v>
      </c>
      <c r="B4305" t="s">
        <v>3103</v>
      </c>
      <c r="C4305" s="76" t="s">
        <v>536</v>
      </c>
      <c r="D4305" s="38">
        <v>8030.1821479999999</v>
      </c>
      <c r="E4305" s="38">
        <v>5.6397000000000004</v>
      </c>
      <c r="F4305" s="38">
        <v>5.6279000000000003</v>
      </c>
      <c r="G4305" s="83">
        <f t="shared" si="68"/>
        <v>5.7529698412698398</v>
      </c>
    </row>
    <row r="4306" spans="1:7" x14ac:dyDescent="0.2">
      <c r="A4306" s="354">
        <v>44813</v>
      </c>
      <c r="B4306" t="s">
        <v>3103</v>
      </c>
      <c r="C4306" s="76" t="s">
        <v>536</v>
      </c>
      <c r="D4306" s="38">
        <v>8030.1821479999999</v>
      </c>
      <c r="E4306" s="38">
        <v>5.6397000000000004</v>
      </c>
      <c r="F4306" s="38">
        <v>5.6279000000000003</v>
      </c>
      <c r="G4306" s="83">
        <f t="shared" si="68"/>
        <v>5.7420841269841256</v>
      </c>
    </row>
    <row r="4307" spans="1:7" x14ac:dyDescent="0.2">
      <c r="A4307" s="354">
        <v>44816</v>
      </c>
      <c r="B4307" t="s">
        <v>3103</v>
      </c>
      <c r="C4307" s="76" t="s">
        <v>536</v>
      </c>
      <c r="D4307" s="38">
        <v>8011.6457769999997</v>
      </c>
      <c r="E4307" s="38">
        <v>5.6277999999999997</v>
      </c>
      <c r="F4307" s="38">
        <v>5.6778000000000004</v>
      </c>
      <c r="G4307" s="83">
        <f t="shared" si="68"/>
        <v>5.7310095238095222</v>
      </c>
    </row>
    <row r="4308" spans="1:7" x14ac:dyDescent="0.2">
      <c r="A4308" s="354">
        <v>44816</v>
      </c>
      <c r="B4308" t="s">
        <v>3103</v>
      </c>
      <c r="C4308" s="76" t="s">
        <v>536</v>
      </c>
      <c r="D4308" s="38">
        <v>8011.6457769999997</v>
      </c>
      <c r="E4308" s="38">
        <v>5.6277999999999997</v>
      </c>
      <c r="F4308" s="38">
        <v>5.6778000000000004</v>
      </c>
      <c r="G4308" s="83">
        <f t="shared" si="68"/>
        <v>5.7208841269841253</v>
      </c>
    </row>
    <row r="4309" spans="1:7" x14ac:dyDescent="0.2">
      <c r="A4309" s="354">
        <v>44817</v>
      </c>
      <c r="B4309" t="s">
        <v>3103</v>
      </c>
      <c r="C4309" s="76" t="s">
        <v>536</v>
      </c>
      <c r="D4309" s="38">
        <v>7987.7392730000001</v>
      </c>
      <c r="E4309" s="38">
        <v>5.6776</v>
      </c>
      <c r="F4309" s="38">
        <v>5.742</v>
      </c>
      <c r="G4309" s="83">
        <f t="shared" si="68"/>
        <v>5.711549206349205</v>
      </c>
    </row>
    <row r="4310" spans="1:7" x14ac:dyDescent="0.2">
      <c r="A4310" s="354">
        <v>44817</v>
      </c>
      <c r="B4310" t="s">
        <v>3103</v>
      </c>
      <c r="C4310" s="76" t="s">
        <v>536</v>
      </c>
      <c r="D4310" s="38">
        <v>7987.7392730000001</v>
      </c>
      <c r="E4310" s="38">
        <v>5.6776</v>
      </c>
      <c r="F4310" s="38">
        <v>5.742</v>
      </c>
      <c r="G4310" s="83">
        <f t="shared" si="68"/>
        <v>5.7045936507936492</v>
      </c>
    </row>
    <row r="4311" spans="1:7" x14ac:dyDescent="0.2">
      <c r="A4311" s="354">
        <v>44818</v>
      </c>
      <c r="B4311" t="s">
        <v>3103</v>
      </c>
      <c r="C4311" s="76" t="s">
        <v>536</v>
      </c>
      <c r="D4311" s="38">
        <v>7982.6161780000002</v>
      </c>
      <c r="E4311" s="38">
        <v>5.7417999999999996</v>
      </c>
      <c r="F4311" s="38">
        <v>5.7565999999999997</v>
      </c>
      <c r="G4311" s="83">
        <f t="shared" si="68"/>
        <v>5.6986571428571411</v>
      </c>
    </row>
    <row r="4312" spans="1:7" x14ac:dyDescent="0.2">
      <c r="A4312" s="354">
        <v>44818</v>
      </c>
      <c r="B4312" t="s">
        <v>3103</v>
      </c>
      <c r="C4312" s="76" t="s">
        <v>536</v>
      </c>
      <c r="D4312" s="38">
        <v>7982.6161780000002</v>
      </c>
      <c r="E4312" s="38">
        <v>5.7417999999999996</v>
      </c>
      <c r="F4312" s="38">
        <v>5.7565999999999997</v>
      </c>
      <c r="G4312" s="83">
        <f t="shared" si="68"/>
        <v>5.6944142857142843</v>
      </c>
    </row>
    <row r="4313" spans="1:7" x14ac:dyDescent="0.2">
      <c r="A4313" s="354">
        <v>44819</v>
      </c>
      <c r="B4313" t="s">
        <v>3103</v>
      </c>
      <c r="C4313" s="76" t="s">
        <v>536</v>
      </c>
      <c r="D4313" s="38">
        <v>7960.3787060000004</v>
      </c>
      <c r="E4313" s="38">
        <v>5.7565</v>
      </c>
      <c r="F4313" s="38">
        <v>5.8167999999999997</v>
      </c>
      <c r="G4313" s="83">
        <f t="shared" si="68"/>
        <v>5.6904047619047606</v>
      </c>
    </row>
    <row r="4314" spans="1:7" x14ac:dyDescent="0.2">
      <c r="A4314" s="354">
        <v>44819</v>
      </c>
      <c r="B4314" t="s">
        <v>3103</v>
      </c>
      <c r="C4314" s="76" t="s">
        <v>536</v>
      </c>
      <c r="D4314" s="38">
        <v>7960.3787060000004</v>
      </c>
      <c r="E4314" s="38">
        <v>5.7565</v>
      </c>
      <c r="F4314" s="38">
        <v>5.8167999999999997</v>
      </c>
      <c r="G4314" s="83">
        <f t="shared" si="68"/>
        <v>5.6869523809523805</v>
      </c>
    </row>
    <row r="4315" spans="1:7" x14ac:dyDescent="0.2">
      <c r="A4315" s="354">
        <v>44820</v>
      </c>
      <c r="B4315" t="s">
        <v>3103</v>
      </c>
      <c r="C4315" s="76" t="s">
        <v>536</v>
      </c>
      <c r="D4315" s="38">
        <v>7994.2674239999997</v>
      </c>
      <c r="E4315" s="38">
        <v>5.8167</v>
      </c>
      <c r="F4315" s="38">
        <v>5.7302999999999997</v>
      </c>
      <c r="G4315" s="83">
        <f t="shared" si="68"/>
        <v>5.6844555555555552</v>
      </c>
    </row>
    <row r="4316" spans="1:7" x14ac:dyDescent="0.2">
      <c r="A4316" s="354">
        <v>44820</v>
      </c>
      <c r="B4316" t="s">
        <v>3103</v>
      </c>
      <c r="C4316" s="76" t="s">
        <v>536</v>
      </c>
      <c r="D4316" s="38">
        <v>7994.2674239999997</v>
      </c>
      <c r="E4316" s="38">
        <v>5.8167</v>
      </c>
      <c r="F4316" s="38">
        <v>5.7302999999999997</v>
      </c>
      <c r="G4316" s="83">
        <f t="shared" si="68"/>
        <v>5.6808396825396823</v>
      </c>
    </row>
    <row r="4317" spans="1:7" x14ac:dyDescent="0.2">
      <c r="A4317" s="354">
        <v>44823</v>
      </c>
      <c r="B4317" t="s">
        <v>3103</v>
      </c>
      <c r="C4317" s="76" t="s">
        <v>536</v>
      </c>
      <c r="D4317" s="38">
        <v>8012.4877079999997</v>
      </c>
      <c r="E4317" s="38">
        <v>5.7302</v>
      </c>
      <c r="F4317" s="38">
        <v>5.6855000000000002</v>
      </c>
      <c r="G4317" s="83">
        <f t="shared" si="68"/>
        <v>5.6758507936507936</v>
      </c>
    </row>
    <row r="4318" spans="1:7" x14ac:dyDescent="0.2">
      <c r="A4318" s="354">
        <v>44823</v>
      </c>
      <c r="B4318" t="s">
        <v>3103</v>
      </c>
      <c r="C4318" s="76" t="s">
        <v>536</v>
      </c>
      <c r="D4318" s="38">
        <v>8012.4877079999997</v>
      </c>
      <c r="E4318" s="38">
        <v>5.7302</v>
      </c>
      <c r="F4318" s="38">
        <v>5.6855000000000002</v>
      </c>
      <c r="G4318" s="83">
        <f t="shared" si="68"/>
        <v>5.6723793650793644</v>
      </c>
    </row>
    <row r="4319" spans="1:7" x14ac:dyDescent="0.2">
      <c r="A4319" s="354">
        <v>44824</v>
      </c>
      <c r="B4319" t="s">
        <v>3103</v>
      </c>
      <c r="C4319" s="76" t="s">
        <v>536</v>
      </c>
      <c r="D4319" s="38">
        <v>8017.4635630000002</v>
      </c>
      <c r="E4319" s="38">
        <v>5.6853999999999996</v>
      </c>
      <c r="F4319" s="38">
        <v>5.6757</v>
      </c>
      <c r="G4319" s="83">
        <f t="shared" si="68"/>
        <v>5.6681968253968256</v>
      </c>
    </row>
    <row r="4320" spans="1:7" x14ac:dyDescent="0.2">
      <c r="A4320" s="354">
        <v>44824</v>
      </c>
      <c r="B4320" t="s">
        <v>3103</v>
      </c>
      <c r="C4320" s="76" t="s">
        <v>536</v>
      </c>
      <c r="D4320" s="38">
        <v>8017.4635630000002</v>
      </c>
      <c r="E4320" s="38">
        <v>5.6853999999999996</v>
      </c>
      <c r="F4320" s="38">
        <v>5.6757</v>
      </c>
      <c r="G4320" s="83">
        <f t="shared" si="68"/>
        <v>5.6691222222222226</v>
      </c>
    </row>
    <row r="4321" spans="1:7" x14ac:dyDescent="0.2">
      <c r="A4321" s="354">
        <v>44825</v>
      </c>
      <c r="B4321" t="s">
        <v>3103</v>
      </c>
      <c r="C4321" s="76" t="s">
        <v>536</v>
      </c>
      <c r="D4321" s="38">
        <v>8038.7702259999996</v>
      </c>
      <c r="E4321" s="38">
        <v>5.6755000000000004</v>
      </c>
      <c r="F4321" s="38">
        <v>5.6227999999999998</v>
      </c>
      <c r="G4321" s="83">
        <f t="shared" si="68"/>
        <v>5.6698904761904769</v>
      </c>
    </row>
    <row r="4322" spans="1:7" x14ac:dyDescent="0.2">
      <c r="A4322" s="354">
        <v>44825</v>
      </c>
      <c r="B4322" t="s">
        <v>3103</v>
      </c>
      <c r="C4322" s="76" t="s">
        <v>536</v>
      </c>
      <c r="D4322" s="38">
        <v>8038.7702259999996</v>
      </c>
      <c r="E4322" s="38">
        <v>5.6755000000000004</v>
      </c>
      <c r="F4322" s="38">
        <v>5.6227999999999998</v>
      </c>
      <c r="G4322" s="83">
        <f t="shared" si="68"/>
        <v>5.6715746031746042</v>
      </c>
    </row>
    <row r="4323" spans="1:7" x14ac:dyDescent="0.2">
      <c r="A4323" s="354">
        <v>44826</v>
      </c>
      <c r="B4323" t="s">
        <v>3103</v>
      </c>
      <c r="C4323" s="76" t="s">
        <v>536</v>
      </c>
      <c r="D4323" s="38">
        <v>8079.1502010000004</v>
      </c>
      <c r="E4323" s="38">
        <v>5.6226000000000003</v>
      </c>
      <c r="F4323" s="38">
        <v>5.5201000000000002</v>
      </c>
      <c r="G4323" s="83">
        <f t="shared" si="68"/>
        <v>5.6724190476190479</v>
      </c>
    </row>
    <row r="4324" spans="1:7" x14ac:dyDescent="0.2">
      <c r="A4324" s="354">
        <v>44826</v>
      </c>
      <c r="B4324" t="s">
        <v>3103</v>
      </c>
      <c r="C4324" s="76" t="s">
        <v>536</v>
      </c>
      <c r="D4324" s="38">
        <v>8079.1502010000004</v>
      </c>
      <c r="E4324" s="38">
        <v>5.6226000000000003</v>
      </c>
      <c r="F4324" s="38">
        <v>5.5201000000000002</v>
      </c>
      <c r="G4324" s="83">
        <f t="shared" si="68"/>
        <v>5.6748206349206365</v>
      </c>
    </row>
    <row r="4325" spans="1:7" x14ac:dyDescent="0.2">
      <c r="A4325" s="354">
        <v>44827</v>
      </c>
      <c r="B4325" t="s">
        <v>3103</v>
      </c>
      <c r="C4325" s="76" t="s">
        <v>536</v>
      </c>
      <c r="D4325" s="38">
        <v>8046.6374699999997</v>
      </c>
      <c r="E4325" s="38">
        <v>5.52</v>
      </c>
      <c r="F4325" s="38">
        <v>5.6085000000000003</v>
      </c>
      <c r="G4325" s="83">
        <f t="shared" si="68"/>
        <v>5.675593650793652</v>
      </c>
    </row>
    <row r="4326" spans="1:7" x14ac:dyDescent="0.2">
      <c r="A4326" s="354">
        <v>44827</v>
      </c>
      <c r="B4326" t="s">
        <v>3103</v>
      </c>
      <c r="C4326" s="76" t="s">
        <v>536</v>
      </c>
      <c r="D4326" s="38">
        <v>8046.6374699999997</v>
      </c>
      <c r="E4326" s="38">
        <v>5.52</v>
      </c>
      <c r="F4326" s="38">
        <v>5.6085000000000003</v>
      </c>
      <c r="G4326" s="83">
        <f t="shared" si="68"/>
        <v>5.6749047619047639</v>
      </c>
    </row>
    <row r="4327" spans="1:7" x14ac:dyDescent="0.2">
      <c r="A4327" s="354">
        <v>44830</v>
      </c>
      <c r="B4327" t="s">
        <v>3103</v>
      </c>
      <c r="C4327" s="76" t="s">
        <v>536</v>
      </c>
      <c r="D4327" s="38">
        <v>8006.7761010000004</v>
      </c>
      <c r="E4327" s="38">
        <v>5.6083999999999996</v>
      </c>
      <c r="F4327" s="38">
        <v>5.7168000000000001</v>
      </c>
      <c r="G4327" s="83">
        <f t="shared" si="68"/>
        <v>5.6756190476190493</v>
      </c>
    </row>
    <row r="4328" spans="1:7" x14ac:dyDescent="0.2">
      <c r="A4328" s="354">
        <v>44830</v>
      </c>
      <c r="B4328" t="s">
        <v>3103</v>
      </c>
      <c r="C4328" s="76" t="s">
        <v>536</v>
      </c>
      <c r="D4328" s="38">
        <v>8006.7761010000004</v>
      </c>
      <c r="E4328" s="38">
        <v>5.6083999999999996</v>
      </c>
      <c r="F4328" s="38">
        <v>5.7168000000000001</v>
      </c>
      <c r="G4328" s="83">
        <f t="shared" si="68"/>
        <v>5.6759063492063522</v>
      </c>
    </row>
    <row r="4329" spans="1:7" x14ac:dyDescent="0.2">
      <c r="A4329" s="354">
        <v>44831</v>
      </c>
      <c r="B4329" t="s">
        <v>3103</v>
      </c>
      <c r="C4329" s="76" t="s">
        <v>536</v>
      </c>
      <c r="D4329" s="38">
        <v>8020.2061720000002</v>
      </c>
      <c r="E4329" s="38">
        <v>5.7165999999999997</v>
      </c>
      <c r="F4329" s="38">
        <v>5.6845999999999997</v>
      </c>
      <c r="G4329" s="83">
        <f t="shared" si="68"/>
        <v>5.677911111111114</v>
      </c>
    </row>
    <row r="4330" spans="1:7" x14ac:dyDescent="0.2">
      <c r="A4330" s="354">
        <v>44831</v>
      </c>
      <c r="B4330" t="s">
        <v>3103</v>
      </c>
      <c r="C4330" s="76" t="s">
        <v>536</v>
      </c>
      <c r="D4330" s="38">
        <v>8020.2061720000002</v>
      </c>
      <c r="E4330" s="38">
        <v>5.7165999999999997</v>
      </c>
      <c r="F4330" s="38">
        <v>5.6845999999999997</v>
      </c>
      <c r="G4330" s="83">
        <f t="shared" si="68"/>
        <v>5.6781476190476203</v>
      </c>
    </row>
    <row r="4331" spans="1:7" x14ac:dyDescent="0.2">
      <c r="A4331" s="354">
        <v>44832</v>
      </c>
      <c r="B4331" t="s">
        <v>3103</v>
      </c>
      <c r="C4331" s="76" t="s">
        <v>536</v>
      </c>
      <c r="D4331" s="38">
        <v>7989.8115230000003</v>
      </c>
      <c r="E4331" s="38">
        <v>5.6845999999999997</v>
      </c>
      <c r="F4331" s="38">
        <v>5.7502000000000004</v>
      </c>
      <c r="G4331" s="83">
        <f t="shared" si="68"/>
        <v>5.6778761904761925</v>
      </c>
    </row>
    <row r="4332" spans="1:7" x14ac:dyDescent="0.2">
      <c r="A4332" s="354">
        <v>44832</v>
      </c>
      <c r="B4332" t="s">
        <v>3103</v>
      </c>
      <c r="C4332" s="76" t="s">
        <v>536</v>
      </c>
      <c r="D4332" s="38">
        <v>7989.8115230000003</v>
      </c>
      <c r="E4332" s="38">
        <v>5.6845999999999997</v>
      </c>
      <c r="F4332" s="38">
        <v>5.7502000000000004</v>
      </c>
      <c r="G4332" s="83">
        <f t="shared" si="68"/>
        <v>5.6787904761904775</v>
      </c>
    </row>
    <row r="4333" spans="1:7" x14ac:dyDescent="0.2">
      <c r="A4333" s="354">
        <v>44833</v>
      </c>
      <c r="B4333" t="s">
        <v>3103</v>
      </c>
      <c r="C4333" s="76" t="s">
        <v>536</v>
      </c>
      <c r="D4333" s="38">
        <v>7992.592302</v>
      </c>
      <c r="E4333" s="38">
        <v>5.7500999999999998</v>
      </c>
      <c r="F4333" s="38">
        <v>5.7442000000000002</v>
      </c>
      <c r="G4333" s="83">
        <f t="shared" si="68"/>
        <v>5.6807444444444437</v>
      </c>
    </row>
    <row r="4334" spans="1:7" x14ac:dyDescent="0.2">
      <c r="A4334" s="354">
        <v>44833</v>
      </c>
      <c r="B4334" t="s">
        <v>3103</v>
      </c>
      <c r="C4334" s="76" t="s">
        <v>536</v>
      </c>
      <c r="D4334" s="38">
        <v>7992.592302</v>
      </c>
      <c r="E4334" s="38">
        <v>5.7500999999999998</v>
      </c>
      <c r="F4334" s="38">
        <v>5.7442000000000002</v>
      </c>
      <c r="G4334" s="83">
        <f t="shared" si="68"/>
        <v>5.6845984126984117</v>
      </c>
    </row>
    <row r="4335" spans="1:7" x14ac:dyDescent="0.2">
      <c r="A4335" s="354">
        <v>44834</v>
      </c>
      <c r="B4335" t="s">
        <v>3103</v>
      </c>
      <c r="C4335" s="76" t="s">
        <v>536</v>
      </c>
      <c r="D4335" s="38">
        <v>8009.970421</v>
      </c>
      <c r="E4335" s="38">
        <v>5.7441000000000004</v>
      </c>
      <c r="F4335" s="38">
        <v>5.6996000000000002</v>
      </c>
      <c r="G4335" s="83">
        <f t="shared" si="68"/>
        <v>5.688357142857142</v>
      </c>
    </row>
    <row r="4336" spans="1:7" x14ac:dyDescent="0.2">
      <c r="A4336" s="354">
        <v>44834</v>
      </c>
      <c r="B4336" t="s">
        <v>3103</v>
      </c>
      <c r="C4336" s="76" t="s">
        <v>536</v>
      </c>
      <c r="D4336" s="38">
        <v>8009.970421</v>
      </c>
      <c r="E4336" s="38">
        <v>5.7441000000000004</v>
      </c>
      <c r="F4336" s="38">
        <v>5.6996000000000002</v>
      </c>
      <c r="G4336" s="83">
        <f t="shared" si="68"/>
        <v>5.6904412698412692</v>
      </c>
    </row>
    <row r="4337" spans="1:7" x14ac:dyDescent="0.2">
      <c r="A4337" s="354">
        <v>44837</v>
      </c>
      <c r="B4337" t="s">
        <v>3103</v>
      </c>
      <c r="C4337" s="76" t="s">
        <v>536</v>
      </c>
      <c r="D4337" s="38">
        <v>8036.4962509999996</v>
      </c>
      <c r="E4337" s="38">
        <v>5.6993999999999998</v>
      </c>
      <c r="F4337" s="38">
        <v>5.6308999999999996</v>
      </c>
      <c r="G4337" s="83">
        <f t="shared" si="68"/>
        <v>5.6918158730158712</v>
      </c>
    </row>
    <row r="4338" spans="1:7" x14ac:dyDescent="0.2">
      <c r="A4338" s="354">
        <v>44837</v>
      </c>
      <c r="B4338" t="s">
        <v>3103</v>
      </c>
      <c r="C4338" s="76" t="s">
        <v>536</v>
      </c>
      <c r="D4338" s="38">
        <v>8036.4962509999996</v>
      </c>
      <c r="E4338" s="38">
        <v>5.6993999999999998</v>
      </c>
      <c r="F4338" s="38">
        <v>5.6308999999999996</v>
      </c>
      <c r="G4338" s="83">
        <f t="shared" si="68"/>
        <v>5.6921031746031741</v>
      </c>
    </row>
    <row r="4339" spans="1:7" x14ac:dyDescent="0.2">
      <c r="A4339" s="354">
        <v>44838</v>
      </c>
      <c r="B4339" t="s">
        <v>3103</v>
      </c>
      <c r="C4339" s="76" t="s">
        <v>536</v>
      </c>
      <c r="D4339" s="38">
        <v>8039.0696740000003</v>
      </c>
      <c r="E4339" s="38">
        <v>5.6307999999999998</v>
      </c>
      <c r="F4339" s="38">
        <v>5.6254</v>
      </c>
      <c r="G4339" s="83">
        <f t="shared" si="68"/>
        <v>5.6913015873015862</v>
      </c>
    </row>
    <row r="4340" spans="1:7" x14ac:dyDescent="0.2">
      <c r="A4340" s="354">
        <v>44838</v>
      </c>
      <c r="B4340" t="s">
        <v>3103</v>
      </c>
      <c r="C4340" s="76" t="s">
        <v>536</v>
      </c>
      <c r="D4340" s="38">
        <v>8039.0696740000003</v>
      </c>
      <c r="E4340" s="38">
        <v>5.6307999999999998</v>
      </c>
      <c r="F4340" s="38">
        <v>5.6254</v>
      </c>
      <c r="G4340" s="83">
        <f t="shared" si="68"/>
        <v>5.6905936507936499</v>
      </c>
    </row>
    <row r="4341" spans="1:7" x14ac:dyDescent="0.2">
      <c r="A4341" s="354">
        <v>44839</v>
      </c>
      <c r="B4341" t="s">
        <v>3103</v>
      </c>
      <c r="C4341" s="76" t="s">
        <v>536</v>
      </c>
      <c r="D4341" s="38">
        <v>8042.707531</v>
      </c>
      <c r="E4341" s="38">
        <v>5.6253000000000002</v>
      </c>
      <c r="F4341" s="38">
        <v>5.6170999999999998</v>
      </c>
      <c r="G4341" s="83">
        <f t="shared" si="68"/>
        <v>5.689798412698412</v>
      </c>
    </row>
    <row r="4342" spans="1:7" x14ac:dyDescent="0.2">
      <c r="A4342" s="354">
        <v>44839</v>
      </c>
      <c r="B4342" t="s">
        <v>3103</v>
      </c>
      <c r="C4342" s="76" t="s">
        <v>536</v>
      </c>
      <c r="D4342" s="38">
        <v>8042.707531</v>
      </c>
      <c r="E4342" s="38">
        <v>5.6253000000000002</v>
      </c>
      <c r="F4342" s="38">
        <v>5.6170999999999998</v>
      </c>
      <c r="G4342" s="83">
        <f t="shared" si="68"/>
        <v>5.6888730158730159</v>
      </c>
    </row>
    <row r="4343" spans="1:7" x14ac:dyDescent="0.2">
      <c r="A4343" s="354">
        <v>44840</v>
      </c>
      <c r="B4343" t="s">
        <v>3103</v>
      </c>
      <c r="C4343" s="76" t="s">
        <v>536</v>
      </c>
      <c r="D4343" s="38">
        <v>8011.3028169999998</v>
      </c>
      <c r="E4343" s="38">
        <v>5.617</v>
      </c>
      <c r="F4343" s="38">
        <v>5.7011000000000003</v>
      </c>
      <c r="G4343" s="83">
        <f t="shared" si="68"/>
        <v>5.6878158730158743</v>
      </c>
    </row>
    <row r="4344" spans="1:7" x14ac:dyDescent="0.2">
      <c r="A4344" s="354">
        <v>44840</v>
      </c>
      <c r="B4344" t="s">
        <v>3103</v>
      </c>
      <c r="C4344" s="76" t="s">
        <v>536</v>
      </c>
      <c r="D4344" s="38">
        <v>8011.3028169999998</v>
      </c>
      <c r="E4344" s="38">
        <v>5.617</v>
      </c>
      <c r="F4344" s="38">
        <v>5.7011000000000003</v>
      </c>
      <c r="G4344" s="83">
        <f t="shared" si="68"/>
        <v>5.6865476190476203</v>
      </c>
    </row>
    <row r="4345" spans="1:7" x14ac:dyDescent="0.2">
      <c r="A4345" s="354">
        <v>44841</v>
      </c>
      <c r="B4345" t="s">
        <v>3103</v>
      </c>
      <c r="C4345" s="76" t="s">
        <v>536</v>
      </c>
      <c r="D4345" s="38">
        <v>8009.268161</v>
      </c>
      <c r="E4345" s="38">
        <v>5.7009999999999996</v>
      </c>
      <c r="F4345" s="38">
        <v>5.7077999999999998</v>
      </c>
      <c r="G4345" s="83">
        <f t="shared" si="68"/>
        <v>5.6866126984126995</v>
      </c>
    </row>
    <row r="4346" spans="1:7" x14ac:dyDescent="0.2">
      <c r="A4346" s="354">
        <v>44841</v>
      </c>
      <c r="B4346" t="s">
        <v>3103</v>
      </c>
      <c r="C4346" s="76" t="s">
        <v>536</v>
      </c>
      <c r="D4346" s="38">
        <v>8009.268161</v>
      </c>
      <c r="E4346" s="38">
        <v>5.7009999999999996</v>
      </c>
      <c r="F4346" s="38">
        <v>5.7077999999999998</v>
      </c>
      <c r="G4346" s="83">
        <f t="shared" si="68"/>
        <v>5.6884777777777797</v>
      </c>
    </row>
    <row r="4347" spans="1:7" x14ac:dyDescent="0.2">
      <c r="A4347" s="354">
        <v>44844</v>
      </c>
      <c r="B4347" t="s">
        <v>3103</v>
      </c>
      <c r="C4347" s="76" t="s">
        <v>536</v>
      </c>
      <c r="D4347" s="38">
        <v>8023.0728959999997</v>
      </c>
      <c r="E4347" s="38">
        <v>5.7077</v>
      </c>
      <c r="F4347" s="38">
        <v>5.6726999999999999</v>
      </c>
      <c r="G4347" s="83">
        <f t="shared" si="68"/>
        <v>5.6904492063492071</v>
      </c>
    </row>
    <row r="4348" spans="1:7" x14ac:dyDescent="0.2">
      <c r="A4348" s="354">
        <v>44844</v>
      </c>
      <c r="B4348" t="s">
        <v>3103</v>
      </c>
      <c r="C4348" s="76" t="s">
        <v>536</v>
      </c>
      <c r="D4348" s="38">
        <v>8023.0728959999997</v>
      </c>
      <c r="E4348" s="38">
        <v>5.7077</v>
      </c>
      <c r="F4348" s="38">
        <v>5.6726999999999999</v>
      </c>
      <c r="G4348" s="83">
        <f t="shared" ref="G4348:G4411" si="69">+AVERAGE(E4286:E4348)</f>
        <v>5.6919095238095245</v>
      </c>
    </row>
    <row r="4349" spans="1:7" x14ac:dyDescent="0.2">
      <c r="A4349" s="354">
        <v>44845</v>
      </c>
      <c r="B4349" t="s">
        <v>3103</v>
      </c>
      <c r="C4349" s="76" t="s">
        <v>536</v>
      </c>
      <c r="D4349" s="38">
        <v>8018.845961</v>
      </c>
      <c r="E4349" s="38">
        <v>5.6726999999999999</v>
      </c>
      <c r="F4349" s="38">
        <v>5.6906999999999996</v>
      </c>
      <c r="G4349" s="83">
        <f t="shared" si="69"/>
        <v>5.6928142857142872</v>
      </c>
    </row>
    <row r="4350" spans="1:7" x14ac:dyDescent="0.2">
      <c r="A4350" s="354">
        <v>44845</v>
      </c>
      <c r="B4350" t="s">
        <v>3103</v>
      </c>
      <c r="C4350" s="76" t="s">
        <v>536</v>
      </c>
      <c r="D4350" s="38">
        <v>8018.845961</v>
      </c>
      <c r="E4350" s="38">
        <v>5.6726999999999999</v>
      </c>
      <c r="F4350" s="38">
        <v>5.6906999999999996</v>
      </c>
      <c r="G4350" s="83">
        <f t="shared" si="69"/>
        <v>5.6921190476190482</v>
      </c>
    </row>
    <row r="4351" spans="1:7" x14ac:dyDescent="0.2">
      <c r="A4351" s="354">
        <v>44847</v>
      </c>
      <c r="B4351" t="s">
        <v>3103</v>
      </c>
      <c r="C4351" s="76" t="s">
        <v>536</v>
      </c>
      <c r="D4351" s="38">
        <v>8000.9865259999997</v>
      </c>
      <c r="E4351" s="38">
        <v>5.6906999999999996</v>
      </c>
      <c r="F4351" s="38">
        <v>5.7396000000000003</v>
      </c>
      <c r="G4351" s="83">
        <f t="shared" si="69"/>
        <v>5.691709523809525</v>
      </c>
    </row>
    <row r="4352" spans="1:7" x14ac:dyDescent="0.2">
      <c r="A4352" s="354">
        <v>44847</v>
      </c>
      <c r="B4352" t="s">
        <v>3103</v>
      </c>
      <c r="C4352" s="76" t="s">
        <v>536</v>
      </c>
      <c r="D4352" s="38">
        <v>8000.9865259999997</v>
      </c>
      <c r="E4352" s="38">
        <v>5.6906999999999996</v>
      </c>
      <c r="F4352" s="38">
        <v>5.7396000000000003</v>
      </c>
      <c r="G4352" s="83">
        <f t="shared" si="69"/>
        <v>5.6918634920634927</v>
      </c>
    </row>
    <row r="4353" spans="1:7" x14ac:dyDescent="0.2">
      <c r="A4353" s="354">
        <v>44848</v>
      </c>
      <c r="B4353" t="s">
        <v>3103</v>
      </c>
      <c r="C4353" s="76" t="s">
        <v>536</v>
      </c>
      <c r="D4353" s="38">
        <v>8024.9814200000001</v>
      </c>
      <c r="E4353" s="38">
        <v>5.7394999999999996</v>
      </c>
      <c r="F4353" s="38">
        <v>5.6779000000000002</v>
      </c>
      <c r="G4353" s="83">
        <f t="shared" si="69"/>
        <v>5.6927920634920648</v>
      </c>
    </row>
    <row r="4354" spans="1:7" x14ac:dyDescent="0.2">
      <c r="A4354" s="354">
        <v>44848</v>
      </c>
      <c r="B4354" t="s">
        <v>3103</v>
      </c>
      <c r="C4354" s="76" t="s">
        <v>536</v>
      </c>
      <c r="D4354" s="38">
        <v>8024.9814200000001</v>
      </c>
      <c r="E4354" s="38">
        <v>5.7394999999999996</v>
      </c>
      <c r="F4354" s="38">
        <v>5.6779000000000002</v>
      </c>
      <c r="G4354" s="83">
        <f t="shared" si="69"/>
        <v>5.6916365079365097</v>
      </c>
    </row>
    <row r="4355" spans="1:7" x14ac:dyDescent="0.2">
      <c r="A4355" s="354">
        <v>44851</v>
      </c>
      <c r="B4355" t="s">
        <v>3103</v>
      </c>
      <c r="C4355" s="76" t="s">
        <v>536</v>
      </c>
      <c r="D4355" s="38">
        <v>8045.5794070000002</v>
      </c>
      <c r="E4355" s="38">
        <v>5.6779000000000002</v>
      </c>
      <c r="F4355" s="38">
        <v>5.6254</v>
      </c>
      <c r="G4355" s="83">
        <f t="shared" si="69"/>
        <v>5.6895031746031774</v>
      </c>
    </row>
    <row r="4356" spans="1:7" x14ac:dyDescent="0.2">
      <c r="A4356" s="354">
        <v>44851</v>
      </c>
      <c r="B4356" t="s">
        <v>3103</v>
      </c>
      <c r="C4356" s="76" t="s">
        <v>536</v>
      </c>
      <c r="D4356" s="38">
        <v>8045.5794070000002</v>
      </c>
      <c r="E4356" s="38">
        <v>5.6779000000000002</v>
      </c>
      <c r="F4356" s="38">
        <v>5.6254</v>
      </c>
      <c r="G4356" s="83">
        <f t="shared" si="69"/>
        <v>5.686938095238097</v>
      </c>
    </row>
    <row r="4357" spans="1:7" x14ac:dyDescent="0.2">
      <c r="A4357" s="354">
        <v>44852</v>
      </c>
      <c r="B4357" t="s">
        <v>3103</v>
      </c>
      <c r="C4357" s="76" t="s">
        <v>536</v>
      </c>
      <c r="D4357" s="38">
        <v>8066.1494469999998</v>
      </c>
      <c r="E4357" s="38">
        <v>5.6254</v>
      </c>
      <c r="F4357" s="38">
        <v>5.5795000000000003</v>
      </c>
      <c r="G4357" s="83">
        <f t="shared" si="69"/>
        <v>5.683539682539684</v>
      </c>
    </row>
    <row r="4358" spans="1:7" x14ac:dyDescent="0.2">
      <c r="A4358" s="354">
        <v>44852</v>
      </c>
      <c r="B4358" t="s">
        <v>3103</v>
      </c>
      <c r="C4358" s="76" t="s">
        <v>536</v>
      </c>
      <c r="D4358" s="38">
        <v>8066.1494469999998</v>
      </c>
      <c r="E4358" s="38">
        <v>5.6254</v>
      </c>
      <c r="F4358" s="38">
        <v>5.5795000000000003</v>
      </c>
      <c r="G4358" s="83">
        <f t="shared" si="69"/>
        <v>5.6807857142857161</v>
      </c>
    </row>
    <row r="4359" spans="1:7" x14ac:dyDescent="0.2">
      <c r="A4359" s="354">
        <v>44853</v>
      </c>
      <c r="B4359" t="s">
        <v>3103</v>
      </c>
      <c r="C4359" s="76" t="s">
        <v>536</v>
      </c>
      <c r="D4359" s="38">
        <v>8064.6743459999998</v>
      </c>
      <c r="E4359" s="38">
        <v>5.5796000000000001</v>
      </c>
      <c r="F4359" s="38">
        <v>5.5914999999999999</v>
      </c>
      <c r="G4359" s="83">
        <f t="shared" si="69"/>
        <v>5.6773047619047654</v>
      </c>
    </row>
    <row r="4360" spans="1:7" x14ac:dyDescent="0.2">
      <c r="A4360" s="354">
        <v>44853</v>
      </c>
      <c r="B4360" t="s">
        <v>3103</v>
      </c>
      <c r="C4360" s="76" t="s">
        <v>536</v>
      </c>
      <c r="D4360" s="38">
        <v>8064.6743459999998</v>
      </c>
      <c r="E4360" s="38">
        <v>5.5796000000000001</v>
      </c>
      <c r="F4360" s="38">
        <v>5.5914999999999999</v>
      </c>
      <c r="G4360" s="83">
        <f t="shared" si="69"/>
        <v>5.6760809523809561</v>
      </c>
    </row>
    <row r="4361" spans="1:7" x14ac:dyDescent="0.2">
      <c r="A4361" s="354">
        <v>44854</v>
      </c>
      <c r="B4361" t="s">
        <v>3103</v>
      </c>
      <c r="C4361" s="76" t="s">
        <v>536</v>
      </c>
      <c r="D4361" s="38">
        <v>8062.1737910000002</v>
      </c>
      <c r="E4361" s="38">
        <v>5.5915999999999997</v>
      </c>
      <c r="F4361" s="38">
        <v>5.6062000000000003</v>
      </c>
      <c r="G4361" s="83">
        <f t="shared" si="69"/>
        <v>5.6750476190476231</v>
      </c>
    </row>
    <row r="4362" spans="1:7" x14ac:dyDescent="0.2">
      <c r="A4362" s="354">
        <v>44854</v>
      </c>
      <c r="B4362" t="s">
        <v>3103</v>
      </c>
      <c r="C4362" s="76" t="s">
        <v>536</v>
      </c>
      <c r="D4362" s="38">
        <v>8062.1737910000002</v>
      </c>
      <c r="E4362" s="38">
        <v>5.5915999999999997</v>
      </c>
      <c r="F4362" s="38">
        <v>5.6062000000000003</v>
      </c>
      <c r="G4362" s="83">
        <f t="shared" si="69"/>
        <v>5.6744936507936528</v>
      </c>
    </row>
    <row r="4363" spans="1:7" x14ac:dyDescent="0.2">
      <c r="A4363" s="354">
        <v>44855</v>
      </c>
      <c r="B4363" t="s">
        <v>3103</v>
      </c>
      <c r="C4363" s="76" t="s">
        <v>536</v>
      </c>
      <c r="D4363" s="38">
        <v>8075.137033</v>
      </c>
      <c r="E4363" s="38">
        <v>5.6063000000000001</v>
      </c>
      <c r="F4363" s="38">
        <v>5.5804</v>
      </c>
      <c r="G4363" s="83">
        <f t="shared" si="69"/>
        <v>5.6741730158730164</v>
      </c>
    </row>
    <row r="4364" spans="1:7" x14ac:dyDescent="0.2">
      <c r="A4364" s="354">
        <v>44855</v>
      </c>
      <c r="B4364" t="s">
        <v>3103</v>
      </c>
      <c r="C4364" s="76" t="s">
        <v>536</v>
      </c>
      <c r="D4364" s="38">
        <v>8075.137033</v>
      </c>
      <c r="E4364" s="38">
        <v>5.6063000000000001</v>
      </c>
      <c r="F4364" s="38">
        <v>5.5804</v>
      </c>
      <c r="G4364" s="83">
        <f t="shared" si="69"/>
        <v>5.6734269841269853</v>
      </c>
    </row>
    <row r="4365" spans="1:7" x14ac:dyDescent="0.2">
      <c r="A4365" s="354">
        <v>44858</v>
      </c>
      <c r="B4365" t="s">
        <v>3103</v>
      </c>
      <c r="C4365" s="76" t="s">
        <v>536</v>
      </c>
      <c r="D4365" s="38">
        <v>8054.1687039999997</v>
      </c>
      <c r="E4365" s="38">
        <v>5.5804999999999998</v>
      </c>
      <c r="F4365" s="38">
        <v>5.6435000000000004</v>
      </c>
      <c r="G4365" s="83">
        <f t="shared" si="69"/>
        <v>5.6722714285714284</v>
      </c>
    </row>
    <row r="4366" spans="1:7" x14ac:dyDescent="0.2">
      <c r="A4366" s="354">
        <v>44858</v>
      </c>
      <c r="B4366" t="s">
        <v>3103</v>
      </c>
      <c r="C4366" s="76" t="s">
        <v>536</v>
      </c>
      <c r="D4366" s="38">
        <v>8054.1687039999997</v>
      </c>
      <c r="E4366" s="38">
        <v>5.5804999999999998</v>
      </c>
      <c r="F4366" s="38">
        <v>5.6435000000000004</v>
      </c>
      <c r="G4366" s="83">
        <f t="shared" si="69"/>
        <v>5.6699968253968249</v>
      </c>
    </row>
    <row r="4367" spans="1:7" x14ac:dyDescent="0.2">
      <c r="A4367" s="354">
        <v>44859</v>
      </c>
      <c r="B4367" t="s">
        <v>3103</v>
      </c>
      <c r="C4367" s="76" t="s">
        <v>536</v>
      </c>
      <c r="D4367" s="38">
        <v>8054.0888569999997</v>
      </c>
      <c r="E4367" s="38">
        <v>5.6436000000000002</v>
      </c>
      <c r="F4367" s="38">
        <v>5.6519000000000004</v>
      </c>
      <c r="G4367" s="83">
        <f t="shared" si="69"/>
        <v>5.6687238095238088</v>
      </c>
    </row>
    <row r="4368" spans="1:7" x14ac:dyDescent="0.2">
      <c r="A4368" s="354">
        <v>44859</v>
      </c>
      <c r="B4368" t="s">
        <v>3103</v>
      </c>
      <c r="C4368" s="76" t="s">
        <v>536</v>
      </c>
      <c r="D4368" s="38">
        <v>8054.0888569999997</v>
      </c>
      <c r="E4368" s="38">
        <v>5.6436000000000002</v>
      </c>
      <c r="F4368" s="38">
        <v>5.6519000000000004</v>
      </c>
      <c r="G4368" s="83">
        <f t="shared" si="69"/>
        <v>5.668785714285713</v>
      </c>
    </row>
    <row r="4369" spans="1:7" x14ac:dyDescent="0.2">
      <c r="A4369" s="354">
        <v>44860</v>
      </c>
      <c r="B4369" t="s">
        <v>3103</v>
      </c>
      <c r="C4369" s="76" t="s">
        <v>536</v>
      </c>
      <c r="D4369" s="38">
        <v>8034.6236049999998</v>
      </c>
      <c r="E4369" s="38">
        <v>5.6520000000000001</v>
      </c>
      <c r="F4369" s="38">
        <v>5.7194000000000003</v>
      </c>
      <c r="G4369" s="83">
        <f t="shared" si="69"/>
        <v>5.6689809523809513</v>
      </c>
    </row>
    <row r="4370" spans="1:7" x14ac:dyDescent="0.2">
      <c r="A4370" s="354">
        <v>44860</v>
      </c>
      <c r="B4370" t="s">
        <v>3103</v>
      </c>
      <c r="C4370" s="76" t="s">
        <v>536</v>
      </c>
      <c r="D4370" s="38">
        <v>8034.6236049999998</v>
      </c>
      <c r="E4370" s="38">
        <v>5.6520000000000001</v>
      </c>
      <c r="F4370" s="38">
        <v>5.7194000000000003</v>
      </c>
      <c r="G4370" s="83">
        <f t="shared" si="69"/>
        <v>5.6693650793650772</v>
      </c>
    </row>
    <row r="4371" spans="1:7" x14ac:dyDescent="0.2">
      <c r="A4371" s="354">
        <v>44861</v>
      </c>
      <c r="B4371" t="s">
        <v>3103</v>
      </c>
      <c r="C4371" s="76" t="s">
        <v>536</v>
      </c>
      <c r="D4371" s="38">
        <v>8059.5438109999996</v>
      </c>
      <c r="E4371" s="38">
        <v>5.7195</v>
      </c>
      <c r="F4371" s="38">
        <v>5.6632999999999996</v>
      </c>
      <c r="G4371" s="83">
        <f t="shared" si="69"/>
        <v>5.6708206349206325</v>
      </c>
    </row>
    <row r="4372" spans="1:7" x14ac:dyDescent="0.2">
      <c r="A4372" s="354">
        <v>44861</v>
      </c>
      <c r="B4372" t="s">
        <v>3103</v>
      </c>
      <c r="C4372" s="76" t="s">
        <v>536</v>
      </c>
      <c r="D4372" s="38">
        <v>8059.5438109999996</v>
      </c>
      <c r="E4372" s="38">
        <v>5.7195</v>
      </c>
      <c r="F4372" s="38">
        <v>5.6632999999999996</v>
      </c>
      <c r="G4372" s="83">
        <f t="shared" si="69"/>
        <v>5.671485714285712</v>
      </c>
    </row>
    <row r="4373" spans="1:7" x14ac:dyDescent="0.2">
      <c r="A4373" s="354">
        <v>44862</v>
      </c>
      <c r="B4373" t="s">
        <v>3103</v>
      </c>
      <c r="C4373" s="76" t="s">
        <v>536</v>
      </c>
      <c r="D4373" s="38">
        <v>8071.5827390000004</v>
      </c>
      <c r="E4373" s="38">
        <v>5.6634000000000002</v>
      </c>
      <c r="F4373" s="38">
        <v>5.6410999999999998</v>
      </c>
      <c r="G4373" s="83">
        <f t="shared" si="69"/>
        <v>5.6712603174603142</v>
      </c>
    </row>
    <row r="4374" spans="1:7" x14ac:dyDescent="0.2">
      <c r="A4374" s="354">
        <v>44862</v>
      </c>
      <c r="B4374" t="s">
        <v>3103</v>
      </c>
      <c r="C4374" s="76" t="s">
        <v>536</v>
      </c>
      <c r="D4374" s="38">
        <v>8071.5827390000004</v>
      </c>
      <c r="E4374" s="38">
        <v>5.6634000000000002</v>
      </c>
      <c r="F4374" s="38">
        <v>5.6410999999999998</v>
      </c>
      <c r="G4374" s="83">
        <f t="shared" si="69"/>
        <v>5.6700158730158696</v>
      </c>
    </row>
    <row r="4375" spans="1:7" x14ac:dyDescent="0.2">
      <c r="A4375" s="354">
        <v>44865</v>
      </c>
      <c r="B4375" t="s">
        <v>3103</v>
      </c>
      <c r="C4375" s="76" t="s">
        <v>536</v>
      </c>
      <c r="D4375" s="38">
        <v>8127.020571</v>
      </c>
      <c r="E4375" s="38">
        <v>5.6412000000000004</v>
      </c>
      <c r="F4375" s="38">
        <v>5.5057999999999998</v>
      </c>
      <c r="G4375" s="83">
        <f t="shared" si="69"/>
        <v>5.6684190476190448</v>
      </c>
    </row>
    <row r="4376" spans="1:7" x14ac:dyDescent="0.2">
      <c r="A4376" s="354">
        <v>44865</v>
      </c>
      <c r="B4376" t="s">
        <v>3103</v>
      </c>
      <c r="C4376" s="76" t="s">
        <v>536</v>
      </c>
      <c r="D4376" s="38">
        <v>8127.020571</v>
      </c>
      <c r="E4376" s="38">
        <v>5.6412000000000004</v>
      </c>
      <c r="F4376" s="38">
        <v>5.5057999999999998</v>
      </c>
      <c r="G4376" s="83">
        <f t="shared" si="69"/>
        <v>5.6665888888888869</v>
      </c>
    </row>
    <row r="4377" spans="1:7" x14ac:dyDescent="0.2">
      <c r="A4377" s="354">
        <v>44866</v>
      </c>
      <c r="B4377" t="s">
        <v>3103</v>
      </c>
      <c r="C4377" s="76" t="s">
        <v>536</v>
      </c>
      <c r="D4377" s="38">
        <v>8127.5314680000001</v>
      </c>
      <c r="E4377" s="38">
        <v>5.5058999999999996</v>
      </c>
      <c r="F4377" s="38">
        <v>5.5137</v>
      </c>
      <c r="G4377" s="83">
        <f t="shared" si="69"/>
        <v>5.6626111111111079</v>
      </c>
    </row>
    <row r="4378" spans="1:7" x14ac:dyDescent="0.2">
      <c r="A4378" s="354">
        <v>44866</v>
      </c>
      <c r="B4378" t="s">
        <v>3103</v>
      </c>
      <c r="C4378" s="76" t="s">
        <v>536</v>
      </c>
      <c r="D4378" s="38">
        <v>8127.5314680000001</v>
      </c>
      <c r="E4378" s="38">
        <v>5.5058999999999996</v>
      </c>
      <c r="F4378" s="38">
        <v>5.5137</v>
      </c>
      <c r="G4378" s="83">
        <f t="shared" si="69"/>
        <v>5.6576777777777751</v>
      </c>
    </row>
    <row r="4379" spans="1:7" x14ac:dyDescent="0.2">
      <c r="A4379" s="354">
        <v>44868</v>
      </c>
      <c r="B4379" t="s">
        <v>3103</v>
      </c>
      <c r="C4379" s="76" t="s">
        <v>536</v>
      </c>
      <c r="D4379" s="38">
        <v>8112.9381039999998</v>
      </c>
      <c r="E4379" s="38">
        <v>5.5138999999999996</v>
      </c>
      <c r="F4379" s="38">
        <v>5.5609999999999999</v>
      </c>
      <c r="G4379" s="83">
        <f t="shared" si="69"/>
        <v>5.6528714285714257</v>
      </c>
    </row>
    <row r="4380" spans="1:7" x14ac:dyDescent="0.2">
      <c r="A4380" s="354">
        <v>44868</v>
      </c>
      <c r="B4380" t="s">
        <v>3103</v>
      </c>
      <c r="C4380" s="76" t="s">
        <v>536</v>
      </c>
      <c r="D4380" s="38">
        <v>8112.9381039999998</v>
      </c>
      <c r="E4380" s="38">
        <v>5.5138999999999996</v>
      </c>
      <c r="F4380" s="38">
        <v>5.5609999999999999</v>
      </c>
      <c r="G4380" s="83">
        <f t="shared" si="69"/>
        <v>5.6494380952380929</v>
      </c>
    </row>
    <row r="4381" spans="1:7" x14ac:dyDescent="0.2">
      <c r="A4381" s="354">
        <v>44869</v>
      </c>
      <c r="B4381" t="s">
        <v>3103</v>
      </c>
      <c r="C4381" s="76" t="s">
        <v>536</v>
      </c>
      <c r="D4381" s="38">
        <v>8115.8859890000003</v>
      </c>
      <c r="E4381" s="38">
        <v>5.5612000000000004</v>
      </c>
      <c r="F4381" s="38">
        <v>5.5627000000000004</v>
      </c>
      <c r="G4381" s="83">
        <f t="shared" si="69"/>
        <v>5.6467555555555524</v>
      </c>
    </row>
    <row r="4382" spans="1:7" x14ac:dyDescent="0.2">
      <c r="A4382" s="354">
        <v>44869</v>
      </c>
      <c r="B4382" t="s">
        <v>3103</v>
      </c>
      <c r="C4382" s="76" t="s">
        <v>536</v>
      </c>
      <c r="D4382" s="38">
        <v>8115.8859890000003</v>
      </c>
      <c r="E4382" s="38">
        <v>5.5612000000000004</v>
      </c>
      <c r="F4382" s="38">
        <v>5.5627000000000004</v>
      </c>
      <c r="G4382" s="83">
        <f t="shared" si="69"/>
        <v>5.6447841269841241</v>
      </c>
    </row>
    <row r="4383" spans="1:7" x14ac:dyDescent="0.2">
      <c r="A4383" s="354">
        <v>44872</v>
      </c>
      <c r="B4383" t="s">
        <v>3103</v>
      </c>
      <c r="C4383" s="76" t="s">
        <v>536</v>
      </c>
      <c r="D4383" s="38">
        <v>8069.7548740000002</v>
      </c>
      <c r="E4383" s="38">
        <v>5.5629</v>
      </c>
      <c r="F4383" s="38">
        <v>5.6925999999999997</v>
      </c>
      <c r="G4383" s="83">
        <f t="shared" si="69"/>
        <v>5.6428396825396803</v>
      </c>
    </row>
    <row r="4384" spans="1:7" x14ac:dyDescent="0.2">
      <c r="A4384" s="354">
        <v>44872</v>
      </c>
      <c r="B4384" t="s">
        <v>3103</v>
      </c>
      <c r="C4384" s="76" t="s">
        <v>536</v>
      </c>
      <c r="D4384" s="38">
        <v>8069.7548740000002</v>
      </c>
      <c r="E4384" s="38">
        <v>5.5629</v>
      </c>
      <c r="F4384" s="38">
        <v>5.6925999999999997</v>
      </c>
      <c r="G4384" s="83">
        <f t="shared" si="69"/>
        <v>5.64105238095238</v>
      </c>
    </row>
    <row r="4385" spans="1:7" x14ac:dyDescent="0.2">
      <c r="A4385" s="354">
        <v>44873</v>
      </c>
      <c r="B4385" t="s">
        <v>3103</v>
      </c>
      <c r="C4385" s="76" t="s">
        <v>536</v>
      </c>
      <c r="D4385" s="38">
        <v>8069.5994060000003</v>
      </c>
      <c r="E4385" s="38">
        <v>5.6928000000000001</v>
      </c>
      <c r="F4385" s="38">
        <v>5.7024999999999997</v>
      </c>
      <c r="G4385" s="83">
        <f t="shared" si="69"/>
        <v>5.6413269841269829</v>
      </c>
    </row>
    <row r="4386" spans="1:7" x14ac:dyDescent="0.2">
      <c r="A4386" s="354">
        <v>44873</v>
      </c>
      <c r="B4386" t="s">
        <v>3103</v>
      </c>
      <c r="C4386" s="76" t="s">
        <v>536</v>
      </c>
      <c r="D4386" s="38">
        <v>8069.5994060000003</v>
      </c>
      <c r="E4386" s="38">
        <v>5.6928000000000001</v>
      </c>
      <c r="F4386" s="38">
        <v>5.7024999999999997</v>
      </c>
      <c r="G4386" s="83">
        <f t="shared" si="69"/>
        <v>5.6424412698412674</v>
      </c>
    </row>
    <row r="4387" spans="1:7" x14ac:dyDescent="0.2">
      <c r="A4387" s="354">
        <v>44874</v>
      </c>
      <c r="B4387" t="s">
        <v>3103</v>
      </c>
      <c r="C4387" s="76" t="s">
        <v>536</v>
      </c>
      <c r="D4387" s="38">
        <v>8053.3347489999996</v>
      </c>
      <c r="E4387" s="38">
        <v>5.7026000000000003</v>
      </c>
      <c r="F4387" s="38">
        <v>5.7545999999999999</v>
      </c>
      <c r="G4387" s="83">
        <f t="shared" si="69"/>
        <v>5.6437111111111093</v>
      </c>
    </row>
    <row r="4388" spans="1:7" x14ac:dyDescent="0.2">
      <c r="A4388" s="354">
        <v>44874</v>
      </c>
      <c r="B4388" t="s">
        <v>3103</v>
      </c>
      <c r="C4388" s="76" t="s">
        <v>536</v>
      </c>
      <c r="D4388" s="38">
        <v>8053.3347489999996</v>
      </c>
      <c r="E4388" s="38">
        <v>5.7026000000000003</v>
      </c>
      <c r="F4388" s="38">
        <v>5.7545999999999999</v>
      </c>
      <c r="G4388" s="83">
        <f t="shared" si="69"/>
        <v>5.6466095238095226</v>
      </c>
    </row>
    <row r="4389" spans="1:7" x14ac:dyDescent="0.2">
      <c r="A4389" s="354">
        <v>44875</v>
      </c>
      <c r="B4389" t="s">
        <v>3103</v>
      </c>
      <c r="C4389" s="76" t="s">
        <v>536</v>
      </c>
      <c r="D4389" s="38">
        <v>7941.8534650000001</v>
      </c>
      <c r="E4389" s="38">
        <v>5.7546999999999997</v>
      </c>
      <c r="F4389" s="38">
        <v>6.0865</v>
      </c>
      <c r="G4389" s="83">
        <f t="shared" si="69"/>
        <v>5.6503349206349203</v>
      </c>
    </row>
    <row r="4390" spans="1:7" x14ac:dyDescent="0.2">
      <c r="A4390" s="354">
        <v>44875</v>
      </c>
      <c r="B4390" t="s">
        <v>3103</v>
      </c>
      <c r="C4390" s="76" t="s">
        <v>536</v>
      </c>
      <c r="D4390" s="38">
        <v>7941.8534650000001</v>
      </c>
      <c r="E4390" s="38">
        <v>5.7546999999999997</v>
      </c>
      <c r="F4390" s="38">
        <v>6.0865</v>
      </c>
      <c r="G4390" s="83">
        <f t="shared" si="69"/>
        <v>5.6526571428571435</v>
      </c>
    </row>
    <row r="4391" spans="1:7" x14ac:dyDescent="0.2">
      <c r="A4391" s="354">
        <v>44876</v>
      </c>
      <c r="B4391" t="s">
        <v>3103</v>
      </c>
      <c r="C4391" s="76" t="s">
        <v>536</v>
      </c>
      <c r="D4391" s="38">
        <v>7935.6580190000004</v>
      </c>
      <c r="E4391" s="38">
        <v>6.0865</v>
      </c>
      <c r="F4391" s="38">
        <v>6.1143000000000001</v>
      </c>
      <c r="G4391" s="83">
        <f t="shared" si="69"/>
        <v>5.6602460317460324</v>
      </c>
    </row>
    <row r="4392" spans="1:7" x14ac:dyDescent="0.2">
      <c r="A4392" s="354">
        <v>44876</v>
      </c>
      <c r="B4392" t="s">
        <v>3103</v>
      </c>
      <c r="C4392" s="76" t="s">
        <v>536</v>
      </c>
      <c r="D4392" s="38">
        <v>7935.6580190000004</v>
      </c>
      <c r="E4392" s="38">
        <v>6.0865</v>
      </c>
      <c r="F4392" s="38">
        <v>6.1143000000000001</v>
      </c>
      <c r="G4392" s="83">
        <f t="shared" si="69"/>
        <v>5.6661174603174604</v>
      </c>
    </row>
    <row r="4393" spans="1:7" x14ac:dyDescent="0.2">
      <c r="A4393" s="354">
        <v>44879</v>
      </c>
      <c r="B4393" t="s">
        <v>3103</v>
      </c>
      <c r="C4393" s="76" t="s">
        <v>536</v>
      </c>
      <c r="D4393" s="38">
        <v>8009.3823620000003</v>
      </c>
      <c r="E4393" s="38">
        <v>6.1143000000000001</v>
      </c>
      <c r="F4393" s="38">
        <v>5.9292999999999996</v>
      </c>
      <c r="G4393" s="83">
        <f t="shared" si="69"/>
        <v>5.6724301587301582</v>
      </c>
    </row>
    <row r="4394" spans="1:7" x14ac:dyDescent="0.2">
      <c r="A4394" s="354">
        <v>44879</v>
      </c>
      <c r="B4394" t="s">
        <v>3103</v>
      </c>
      <c r="C4394" s="76" t="s">
        <v>536</v>
      </c>
      <c r="D4394" s="38">
        <v>8009.3823620000003</v>
      </c>
      <c r="E4394" s="38">
        <v>6.1143000000000001</v>
      </c>
      <c r="F4394" s="38">
        <v>5.9292999999999996</v>
      </c>
      <c r="G4394" s="83">
        <f t="shared" si="69"/>
        <v>5.6792507936507937</v>
      </c>
    </row>
    <row r="4395" spans="1:7" x14ac:dyDescent="0.2">
      <c r="A4395" s="354">
        <v>44881</v>
      </c>
      <c r="B4395" t="s">
        <v>3103</v>
      </c>
      <c r="C4395" s="76" t="s">
        <v>536</v>
      </c>
      <c r="D4395" s="38">
        <v>7980.5062010000001</v>
      </c>
      <c r="E4395" s="38">
        <v>5.9292999999999996</v>
      </c>
      <c r="F4395" s="38">
        <v>6.0170000000000003</v>
      </c>
      <c r="G4395" s="83">
        <f t="shared" si="69"/>
        <v>5.6831349206349211</v>
      </c>
    </row>
    <row r="4396" spans="1:7" x14ac:dyDescent="0.2">
      <c r="A4396" s="354">
        <v>44881</v>
      </c>
      <c r="B4396" t="s">
        <v>3103</v>
      </c>
      <c r="C4396" s="76" t="s">
        <v>536</v>
      </c>
      <c r="D4396" s="38">
        <v>7980.5062010000001</v>
      </c>
      <c r="E4396" s="38">
        <v>5.9292999999999996</v>
      </c>
      <c r="F4396" s="38">
        <v>6.0170000000000003</v>
      </c>
      <c r="G4396" s="83">
        <f t="shared" si="69"/>
        <v>5.6859793650793655</v>
      </c>
    </row>
    <row r="4397" spans="1:7" x14ac:dyDescent="0.2">
      <c r="A4397" s="354">
        <v>44882</v>
      </c>
      <c r="B4397" t="s">
        <v>3103</v>
      </c>
      <c r="C4397" s="76" t="s">
        <v>536</v>
      </c>
      <c r="D4397" s="38">
        <v>7982.5588230000003</v>
      </c>
      <c r="E4397" s="38">
        <v>6.0170000000000003</v>
      </c>
      <c r="F4397" s="38">
        <v>6.0209999999999999</v>
      </c>
      <c r="G4397" s="83">
        <f t="shared" si="69"/>
        <v>5.6902158730158732</v>
      </c>
    </row>
    <row r="4398" spans="1:7" x14ac:dyDescent="0.2">
      <c r="A4398" s="354">
        <v>44882</v>
      </c>
      <c r="B4398" t="s">
        <v>3103</v>
      </c>
      <c r="C4398" s="76" t="s">
        <v>536</v>
      </c>
      <c r="D4398" s="38">
        <v>7982.5588230000003</v>
      </c>
      <c r="E4398" s="38">
        <v>6.0170000000000003</v>
      </c>
      <c r="F4398" s="38">
        <v>6.0209999999999999</v>
      </c>
      <c r="G4398" s="83">
        <f t="shared" si="69"/>
        <v>5.6945476190476194</v>
      </c>
    </row>
    <row r="4399" spans="1:7" x14ac:dyDescent="0.2">
      <c r="A4399" s="354">
        <v>44883</v>
      </c>
      <c r="B4399" t="s">
        <v>3103</v>
      </c>
      <c r="C4399" s="76" t="s">
        <v>536</v>
      </c>
      <c r="D4399" s="38">
        <v>7949.9761950000002</v>
      </c>
      <c r="E4399" s="38">
        <v>6.0209000000000001</v>
      </c>
      <c r="F4399" s="38">
        <v>6.1172000000000004</v>
      </c>
      <c r="G4399" s="83">
        <f t="shared" si="69"/>
        <v>5.6989412698412707</v>
      </c>
    </row>
    <row r="4400" spans="1:7" x14ac:dyDescent="0.2">
      <c r="A4400" s="354">
        <v>44883</v>
      </c>
      <c r="B4400" t="s">
        <v>3103</v>
      </c>
      <c r="C4400" s="76" t="s">
        <v>536</v>
      </c>
      <c r="D4400" s="38">
        <v>7949.9761950000002</v>
      </c>
      <c r="E4400" s="38">
        <v>6.0209000000000001</v>
      </c>
      <c r="F4400" s="38">
        <v>6.1172000000000004</v>
      </c>
      <c r="G4400" s="83">
        <f t="shared" si="69"/>
        <v>5.7040444444444445</v>
      </c>
    </row>
    <row r="4401" spans="1:7" x14ac:dyDescent="0.2">
      <c r="A4401" s="354">
        <v>44886</v>
      </c>
      <c r="B4401" t="s">
        <v>3103</v>
      </c>
      <c r="C4401" s="76" t="s">
        <v>536</v>
      </c>
      <c r="D4401" s="38">
        <v>7972.4493000000002</v>
      </c>
      <c r="E4401" s="38">
        <v>6.1170999999999998</v>
      </c>
      <c r="F4401" s="38">
        <v>6.0667</v>
      </c>
      <c r="G4401" s="83">
        <f t="shared" si="69"/>
        <v>5.7106746031746036</v>
      </c>
    </row>
    <row r="4402" spans="1:7" x14ac:dyDescent="0.2">
      <c r="A4402" s="354">
        <v>44886</v>
      </c>
      <c r="B4402" t="s">
        <v>3103</v>
      </c>
      <c r="C4402" s="76" t="s">
        <v>536</v>
      </c>
      <c r="D4402" s="38">
        <v>7972.4493000000002</v>
      </c>
      <c r="E4402" s="38">
        <v>6.1170999999999998</v>
      </c>
      <c r="F4402" s="38">
        <v>6.0667</v>
      </c>
      <c r="G4402" s="83">
        <f t="shared" si="69"/>
        <v>5.7183936507936517</v>
      </c>
    </row>
    <row r="4403" spans="1:7" x14ac:dyDescent="0.2">
      <c r="A4403" s="354">
        <v>44887</v>
      </c>
      <c r="B4403" t="s">
        <v>3103</v>
      </c>
      <c r="C4403" s="76" t="s">
        <v>536</v>
      </c>
      <c r="D4403" s="38">
        <v>7913.7212280000003</v>
      </c>
      <c r="E4403" s="38">
        <v>6.0666000000000002</v>
      </c>
      <c r="F4403" s="38">
        <v>6.2332000000000001</v>
      </c>
      <c r="G4403" s="83">
        <f t="shared" si="69"/>
        <v>5.7253111111111128</v>
      </c>
    </row>
    <row r="4404" spans="1:7" x14ac:dyDescent="0.2">
      <c r="A4404" s="354">
        <v>44887</v>
      </c>
      <c r="B4404" t="s">
        <v>3103</v>
      </c>
      <c r="C4404" s="76" t="s">
        <v>536</v>
      </c>
      <c r="D4404" s="38">
        <v>7913.7212280000003</v>
      </c>
      <c r="E4404" s="38">
        <v>6.0666000000000002</v>
      </c>
      <c r="F4404" s="38">
        <v>6.2332000000000001</v>
      </c>
      <c r="G4404" s="83">
        <f t="shared" si="69"/>
        <v>5.7323158730158736</v>
      </c>
    </row>
    <row r="4405" spans="1:7" x14ac:dyDescent="0.2">
      <c r="A4405" s="354">
        <v>44888</v>
      </c>
      <c r="B4405" t="s">
        <v>3103</v>
      </c>
      <c r="C4405" s="76" t="s">
        <v>536</v>
      </c>
      <c r="D4405" s="38">
        <v>7882.886735</v>
      </c>
      <c r="E4405" s="38">
        <v>6.2329999999999997</v>
      </c>
      <c r="F4405" s="38">
        <v>6.3257000000000003</v>
      </c>
      <c r="G4405" s="83">
        <f t="shared" si="69"/>
        <v>5.7419619047619053</v>
      </c>
    </row>
    <row r="4406" spans="1:7" x14ac:dyDescent="0.2">
      <c r="A4406" s="354">
        <v>44888</v>
      </c>
      <c r="B4406" t="s">
        <v>3103</v>
      </c>
      <c r="C4406" s="76" t="s">
        <v>536</v>
      </c>
      <c r="D4406" s="38">
        <v>7882.886735</v>
      </c>
      <c r="E4406" s="38">
        <v>6.2329999999999997</v>
      </c>
      <c r="F4406" s="38">
        <v>6.3257000000000003</v>
      </c>
      <c r="G4406" s="83">
        <f t="shared" si="69"/>
        <v>5.7517396825396823</v>
      </c>
    </row>
    <row r="4407" spans="1:7" x14ac:dyDescent="0.2">
      <c r="A4407" s="354">
        <v>44889</v>
      </c>
      <c r="B4407" t="s">
        <v>3103</v>
      </c>
      <c r="C4407" s="76" t="s">
        <v>536</v>
      </c>
      <c r="D4407" s="38">
        <v>7928.7982469999997</v>
      </c>
      <c r="E4407" s="38">
        <v>6.3254999999999999</v>
      </c>
      <c r="F4407" s="38">
        <v>6.2117000000000004</v>
      </c>
      <c r="G4407" s="83">
        <f t="shared" si="69"/>
        <v>5.7629857142857146</v>
      </c>
    </row>
    <row r="4408" spans="1:7" x14ac:dyDescent="0.2">
      <c r="A4408" s="354">
        <v>44889</v>
      </c>
      <c r="B4408" t="s">
        <v>3103</v>
      </c>
      <c r="C4408" s="76" t="s">
        <v>536</v>
      </c>
      <c r="D4408" s="38">
        <v>7928.7982469999997</v>
      </c>
      <c r="E4408" s="38">
        <v>6.3254999999999999</v>
      </c>
      <c r="F4408" s="38">
        <v>6.2117000000000004</v>
      </c>
      <c r="G4408" s="83">
        <f t="shared" si="69"/>
        <v>5.7728984126984129</v>
      </c>
    </row>
    <row r="4409" spans="1:7" x14ac:dyDescent="0.2">
      <c r="A4409" s="354">
        <v>44890</v>
      </c>
      <c r="B4409" t="s">
        <v>3103</v>
      </c>
      <c r="C4409" s="76" t="s">
        <v>536</v>
      </c>
      <c r="D4409" s="38">
        <v>7878.7891509999999</v>
      </c>
      <c r="E4409" s="38">
        <v>6.2115</v>
      </c>
      <c r="F4409" s="38">
        <v>6.3628</v>
      </c>
      <c r="G4409" s="83">
        <f t="shared" si="69"/>
        <v>5.7810015873015876</v>
      </c>
    </row>
    <row r="4410" spans="1:7" x14ac:dyDescent="0.2">
      <c r="A4410" s="354">
        <v>44890</v>
      </c>
      <c r="B4410" t="s">
        <v>3103</v>
      </c>
      <c r="C4410" s="76" t="s">
        <v>536</v>
      </c>
      <c r="D4410" s="38">
        <v>7878.7891509999999</v>
      </c>
      <c r="E4410" s="38">
        <v>6.2115</v>
      </c>
      <c r="F4410" s="38">
        <v>6.3628</v>
      </c>
      <c r="G4410" s="83">
        <f t="shared" si="69"/>
        <v>5.7889984126984126</v>
      </c>
    </row>
    <row r="4411" spans="1:7" x14ac:dyDescent="0.2">
      <c r="A4411" s="354">
        <v>44893</v>
      </c>
      <c r="B4411" t="s">
        <v>3103</v>
      </c>
      <c r="C4411" s="76" t="s">
        <v>536</v>
      </c>
      <c r="D4411" s="38">
        <v>7914.0643899999995</v>
      </c>
      <c r="E4411" s="38">
        <v>6.3624999999999998</v>
      </c>
      <c r="F4411" s="38">
        <v>6.2782</v>
      </c>
      <c r="G4411" s="83">
        <f t="shared" si="69"/>
        <v>5.7993920634920642</v>
      </c>
    </row>
    <row r="4412" spans="1:7" x14ac:dyDescent="0.2">
      <c r="A4412" s="354">
        <v>44893</v>
      </c>
      <c r="B4412" t="s">
        <v>3103</v>
      </c>
      <c r="C4412" s="76" t="s">
        <v>536</v>
      </c>
      <c r="D4412" s="38">
        <v>7914.0643899999995</v>
      </c>
      <c r="E4412" s="38">
        <v>6.3624999999999998</v>
      </c>
      <c r="F4412" s="38">
        <v>6.2782</v>
      </c>
      <c r="G4412" s="83">
        <f t="shared" ref="G4412:G4475" si="70">+AVERAGE(E4350:E4412)</f>
        <v>5.8103412698412704</v>
      </c>
    </row>
    <row r="4413" spans="1:7" x14ac:dyDescent="0.2">
      <c r="A4413" s="354">
        <v>44894</v>
      </c>
      <c r="B4413" t="s">
        <v>3103</v>
      </c>
      <c r="C4413" s="76" t="s">
        <v>536</v>
      </c>
      <c r="D4413" s="38">
        <v>8010.0609199999999</v>
      </c>
      <c r="E4413" s="38">
        <v>6.2779999999999996</v>
      </c>
      <c r="F4413" s="38">
        <v>6.0324999999999998</v>
      </c>
      <c r="G4413" s="83">
        <f t="shared" si="70"/>
        <v>5.8199492063492082</v>
      </c>
    </row>
    <row r="4414" spans="1:7" x14ac:dyDescent="0.2">
      <c r="A4414" s="354">
        <v>44894</v>
      </c>
      <c r="B4414" t="s">
        <v>3103</v>
      </c>
      <c r="C4414" s="76" t="s">
        <v>536</v>
      </c>
      <c r="D4414" s="38">
        <v>8010.0609199999999</v>
      </c>
      <c r="E4414" s="38">
        <v>6.2779999999999996</v>
      </c>
      <c r="F4414" s="38">
        <v>6.0324999999999998</v>
      </c>
      <c r="G4414" s="83">
        <f t="shared" si="70"/>
        <v>5.8292714285714293</v>
      </c>
    </row>
    <row r="4415" spans="1:7" x14ac:dyDescent="0.2">
      <c r="A4415" s="354">
        <v>44895</v>
      </c>
      <c r="B4415" t="s">
        <v>3103</v>
      </c>
      <c r="C4415" s="76" t="s">
        <v>536</v>
      </c>
      <c r="D4415" s="38">
        <v>8059.25443</v>
      </c>
      <c r="E4415" s="38">
        <v>6.0323000000000002</v>
      </c>
      <c r="F4415" s="38">
        <v>5.9128999999999996</v>
      </c>
      <c r="G4415" s="83">
        <f t="shared" si="70"/>
        <v>5.8346936507936524</v>
      </c>
    </row>
    <row r="4416" spans="1:7" x14ac:dyDescent="0.2">
      <c r="A4416" s="354">
        <v>44895</v>
      </c>
      <c r="B4416" t="s">
        <v>3103</v>
      </c>
      <c r="C4416" s="76" t="s">
        <v>536</v>
      </c>
      <c r="D4416" s="38">
        <v>8059.25443</v>
      </c>
      <c r="E4416" s="38">
        <v>6.0323000000000002</v>
      </c>
      <c r="F4416" s="38">
        <v>5.9128999999999996</v>
      </c>
      <c r="G4416" s="83">
        <f t="shared" si="70"/>
        <v>5.8393412698412712</v>
      </c>
    </row>
    <row r="4417" spans="1:7" x14ac:dyDescent="0.2">
      <c r="A4417" s="354">
        <v>44896</v>
      </c>
      <c r="B4417" t="s">
        <v>3103</v>
      </c>
      <c r="C4417" s="76" t="s">
        <v>536</v>
      </c>
      <c r="D4417" s="38">
        <v>8039.7708050000001</v>
      </c>
      <c r="E4417" s="38">
        <v>5.9127000000000001</v>
      </c>
      <c r="F4417" s="38">
        <v>5.9744000000000002</v>
      </c>
      <c r="G4417" s="83">
        <f t="shared" si="70"/>
        <v>5.8420904761904779</v>
      </c>
    </row>
    <row r="4418" spans="1:7" x14ac:dyDescent="0.2">
      <c r="A4418" s="354">
        <v>44896</v>
      </c>
      <c r="B4418" t="s">
        <v>3103</v>
      </c>
      <c r="C4418" s="76" t="s">
        <v>536</v>
      </c>
      <c r="D4418" s="38">
        <v>8039.7708050000001</v>
      </c>
      <c r="E4418" s="38">
        <v>5.9127000000000001</v>
      </c>
      <c r="F4418" s="38">
        <v>5.9744000000000002</v>
      </c>
      <c r="G4418" s="83">
        <f t="shared" si="70"/>
        <v>5.8458174603174617</v>
      </c>
    </row>
    <row r="4419" spans="1:7" x14ac:dyDescent="0.2">
      <c r="A4419" s="354">
        <v>44897</v>
      </c>
      <c r="B4419" t="s">
        <v>3103</v>
      </c>
      <c r="C4419" s="76" t="s">
        <v>536</v>
      </c>
      <c r="D4419" s="38">
        <v>8066.3240450000003</v>
      </c>
      <c r="E4419" s="38">
        <v>5.9741999999999997</v>
      </c>
      <c r="F4419" s="38">
        <v>5.9146999999999998</v>
      </c>
      <c r="G4419" s="83">
        <f t="shared" si="70"/>
        <v>5.8505206349206365</v>
      </c>
    </row>
    <row r="4420" spans="1:7" x14ac:dyDescent="0.2">
      <c r="A4420" s="354">
        <v>44897</v>
      </c>
      <c r="B4420" t="s">
        <v>3103</v>
      </c>
      <c r="C4420" s="76" t="s">
        <v>536</v>
      </c>
      <c r="D4420" s="38">
        <v>8066.3240450000003</v>
      </c>
      <c r="E4420" s="38">
        <v>5.9741999999999997</v>
      </c>
      <c r="F4420" s="38">
        <v>5.9146999999999998</v>
      </c>
      <c r="G4420" s="83">
        <f t="shared" si="70"/>
        <v>5.8560571428571437</v>
      </c>
    </row>
    <row r="4421" spans="1:7" x14ac:dyDescent="0.2">
      <c r="A4421" s="354">
        <v>44900</v>
      </c>
      <c r="B4421" t="s">
        <v>3103</v>
      </c>
      <c r="C4421" s="76" t="s">
        <v>536</v>
      </c>
      <c r="D4421" s="38">
        <v>8026.6353069999996</v>
      </c>
      <c r="E4421" s="38">
        <v>5.9145000000000003</v>
      </c>
      <c r="F4421" s="38">
        <v>6.0294999999999996</v>
      </c>
      <c r="G4421" s="83">
        <f t="shared" si="70"/>
        <v>5.8606460317460334</v>
      </c>
    </row>
    <row r="4422" spans="1:7" x14ac:dyDescent="0.2">
      <c r="A4422" s="354">
        <v>44900</v>
      </c>
      <c r="B4422" t="s">
        <v>3103</v>
      </c>
      <c r="C4422" s="76" t="s">
        <v>536</v>
      </c>
      <c r="D4422" s="38">
        <v>8026.6353069999996</v>
      </c>
      <c r="E4422" s="38">
        <v>5.9145000000000003</v>
      </c>
      <c r="F4422" s="38">
        <v>6.0294999999999996</v>
      </c>
      <c r="G4422" s="83">
        <f t="shared" si="70"/>
        <v>5.8659619047619049</v>
      </c>
    </row>
    <row r="4423" spans="1:7" x14ac:dyDescent="0.2">
      <c r="A4423" s="354">
        <v>44901</v>
      </c>
      <c r="B4423" t="s">
        <v>3103</v>
      </c>
      <c r="C4423" s="76" t="s">
        <v>536</v>
      </c>
      <c r="D4423" s="38">
        <v>8004.6143929999998</v>
      </c>
      <c r="E4423" s="38">
        <v>6.0293000000000001</v>
      </c>
      <c r="F4423" s="38">
        <v>6.0980999999999996</v>
      </c>
      <c r="G4423" s="83">
        <f t="shared" si="70"/>
        <v>5.8731</v>
      </c>
    </row>
    <row r="4424" spans="1:7" x14ac:dyDescent="0.2">
      <c r="A4424" s="354">
        <v>44901</v>
      </c>
      <c r="B4424" t="s">
        <v>3103</v>
      </c>
      <c r="C4424" s="76" t="s">
        <v>536</v>
      </c>
      <c r="D4424" s="38">
        <v>8004.6143929999998</v>
      </c>
      <c r="E4424" s="38">
        <v>6.0293000000000001</v>
      </c>
      <c r="F4424" s="38">
        <v>6.0980999999999996</v>
      </c>
      <c r="G4424" s="83">
        <f t="shared" si="70"/>
        <v>5.8800476190476179</v>
      </c>
    </row>
    <row r="4425" spans="1:7" x14ac:dyDescent="0.2">
      <c r="A4425" s="354">
        <v>44902</v>
      </c>
      <c r="B4425" t="s">
        <v>3103</v>
      </c>
      <c r="C4425" s="76" t="s">
        <v>536</v>
      </c>
      <c r="D4425" s="38">
        <v>8021.0427149999996</v>
      </c>
      <c r="E4425" s="38">
        <v>6.0979999999999999</v>
      </c>
      <c r="F4425" s="38">
        <v>6.0650000000000004</v>
      </c>
      <c r="G4425" s="83">
        <f t="shared" si="70"/>
        <v>5.8880857142857135</v>
      </c>
    </row>
    <row r="4426" spans="1:7" x14ac:dyDescent="0.2">
      <c r="A4426" s="354">
        <v>44902</v>
      </c>
      <c r="B4426" t="s">
        <v>3103</v>
      </c>
      <c r="C4426" s="76" t="s">
        <v>536</v>
      </c>
      <c r="D4426" s="38">
        <v>8021.0427149999996</v>
      </c>
      <c r="E4426" s="38">
        <v>6.0979999999999999</v>
      </c>
      <c r="F4426" s="38">
        <v>6.0650000000000004</v>
      </c>
      <c r="G4426" s="83">
        <f t="shared" si="70"/>
        <v>5.8958904761904769</v>
      </c>
    </row>
    <row r="4427" spans="1:7" x14ac:dyDescent="0.2">
      <c r="A4427" s="354">
        <v>44903</v>
      </c>
      <c r="B4427" t="s">
        <v>3103</v>
      </c>
      <c r="C4427" s="76" t="s">
        <v>536</v>
      </c>
      <c r="D4427" s="38">
        <v>8020.1383740000001</v>
      </c>
      <c r="E4427" s="38">
        <v>6.0650000000000004</v>
      </c>
      <c r="F4427" s="38">
        <v>6.0778999999999996</v>
      </c>
      <c r="G4427" s="83">
        <f t="shared" si="70"/>
        <v>5.9031714285714294</v>
      </c>
    </row>
    <row r="4428" spans="1:7" x14ac:dyDescent="0.2">
      <c r="A4428" s="354">
        <v>44903</v>
      </c>
      <c r="B4428" t="s">
        <v>3103</v>
      </c>
      <c r="C4428" s="76" t="s">
        <v>536</v>
      </c>
      <c r="D4428" s="38">
        <v>8020.1383740000001</v>
      </c>
      <c r="E4428" s="38">
        <v>6.0650000000000004</v>
      </c>
      <c r="F4428" s="38">
        <v>6.0778999999999996</v>
      </c>
      <c r="G4428" s="83">
        <f t="shared" si="70"/>
        <v>5.910861904761906</v>
      </c>
    </row>
    <row r="4429" spans="1:7" x14ac:dyDescent="0.2">
      <c r="A4429" s="354">
        <v>44904</v>
      </c>
      <c r="B4429" t="s">
        <v>3103</v>
      </c>
      <c r="C4429" s="76" t="s">
        <v>536</v>
      </c>
      <c r="D4429" s="38">
        <v>7992.0390129999996</v>
      </c>
      <c r="E4429" s="38">
        <v>6.0778999999999996</v>
      </c>
      <c r="F4429" s="38">
        <v>6.1390000000000002</v>
      </c>
      <c r="G4429" s="83">
        <f t="shared" si="70"/>
        <v>5.9187571428571442</v>
      </c>
    </row>
    <row r="4430" spans="1:7" x14ac:dyDescent="0.2">
      <c r="A4430" s="354">
        <v>44904</v>
      </c>
      <c r="B4430" t="s">
        <v>3103</v>
      </c>
      <c r="C4430" s="76" t="s">
        <v>536</v>
      </c>
      <c r="D4430" s="38">
        <v>7992.0390129999996</v>
      </c>
      <c r="E4430" s="38">
        <v>6.0778999999999996</v>
      </c>
      <c r="F4430" s="38">
        <v>6.1390000000000002</v>
      </c>
      <c r="G4430" s="83">
        <f t="shared" si="70"/>
        <v>5.9256507936507941</v>
      </c>
    </row>
    <row r="4431" spans="1:7" x14ac:dyDescent="0.2">
      <c r="A4431" s="354">
        <v>44907</v>
      </c>
      <c r="B4431" t="s">
        <v>3103</v>
      </c>
      <c r="C4431" s="76" t="s">
        <v>536</v>
      </c>
      <c r="D4431" s="38">
        <v>7938.9359320000003</v>
      </c>
      <c r="E4431" s="38">
        <v>6.1390000000000002</v>
      </c>
      <c r="F4431" s="38">
        <v>6.2899000000000003</v>
      </c>
      <c r="G4431" s="83">
        <f t="shared" si="70"/>
        <v>5.9335142857142866</v>
      </c>
    </row>
    <row r="4432" spans="1:7" x14ac:dyDescent="0.2">
      <c r="A4432" s="354">
        <v>44907</v>
      </c>
      <c r="B4432" t="s">
        <v>3103</v>
      </c>
      <c r="C4432" s="76" t="s">
        <v>536</v>
      </c>
      <c r="D4432" s="38">
        <v>7938.9359320000003</v>
      </c>
      <c r="E4432" s="38">
        <v>6.1390000000000002</v>
      </c>
      <c r="F4432" s="38">
        <v>6.2899000000000003</v>
      </c>
      <c r="G4432" s="83">
        <f t="shared" si="70"/>
        <v>5.941244444444445</v>
      </c>
    </row>
    <row r="4433" spans="1:7" x14ac:dyDescent="0.2">
      <c r="A4433" s="354">
        <v>44908</v>
      </c>
      <c r="B4433" t="s">
        <v>3103</v>
      </c>
      <c r="C4433" s="76" t="s">
        <v>536</v>
      </c>
      <c r="D4433" s="38">
        <v>7911.603126</v>
      </c>
      <c r="E4433" s="38">
        <v>6.2899000000000003</v>
      </c>
      <c r="F4433" s="38">
        <v>6.3726000000000003</v>
      </c>
      <c r="G4433" s="83">
        <f t="shared" si="70"/>
        <v>5.951369841269841</v>
      </c>
    </row>
    <row r="4434" spans="1:7" x14ac:dyDescent="0.2">
      <c r="A4434" s="354">
        <v>44908</v>
      </c>
      <c r="B4434" t="s">
        <v>3103</v>
      </c>
      <c r="C4434" s="76" t="s">
        <v>536</v>
      </c>
      <c r="D4434" s="38">
        <v>7911.603126</v>
      </c>
      <c r="E4434" s="38">
        <v>6.2899000000000003</v>
      </c>
      <c r="F4434" s="38">
        <v>6.3726000000000003</v>
      </c>
      <c r="G4434" s="83">
        <f t="shared" si="70"/>
        <v>5.9604238095238093</v>
      </c>
    </row>
    <row r="4435" spans="1:7" x14ac:dyDescent="0.2">
      <c r="A4435" s="354">
        <v>44909</v>
      </c>
      <c r="B4435" t="s">
        <v>3103</v>
      </c>
      <c r="C4435" s="76" t="s">
        <v>536</v>
      </c>
      <c r="D4435" s="38">
        <v>7904.1643219999996</v>
      </c>
      <c r="E4435" s="38">
        <v>6.3724999999999996</v>
      </c>
      <c r="F4435" s="38">
        <v>6.4019000000000004</v>
      </c>
      <c r="G4435" s="83">
        <f t="shared" si="70"/>
        <v>5.9707888888888876</v>
      </c>
    </row>
    <row r="4436" spans="1:7" x14ac:dyDescent="0.2">
      <c r="A4436" s="354">
        <v>44909</v>
      </c>
      <c r="B4436" t="s">
        <v>3103</v>
      </c>
      <c r="C4436" s="76" t="s">
        <v>536</v>
      </c>
      <c r="D4436" s="38">
        <v>7904.1643219999996</v>
      </c>
      <c r="E4436" s="38">
        <v>6.3724999999999996</v>
      </c>
      <c r="F4436" s="38">
        <v>6.4019000000000004</v>
      </c>
      <c r="G4436" s="83">
        <f t="shared" si="70"/>
        <v>5.9820444444444432</v>
      </c>
    </row>
    <row r="4437" spans="1:7" x14ac:dyDescent="0.2">
      <c r="A4437" s="354">
        <v>44910</v>
      </c>
      <c r="B4437" t="s">
        <v>3103</v>
      </c>
      <c r="C4437" s="76" t="s">
        <v>536</v>
      </c>
      <c r="D4437" s="38">
        <v>7928.365151</v>
      </c>
      <c r="E4437" s="38">
        <v>6.4017999999999997</v>
      </c>
      <c r="F4437" s="38">
        <v>6.3460999999999999</v>
      </c>
      <c r="G4437" s="83">
        <f t="shared" si="70"/>
        <v>5.9937650793650779</v>
      </c>
    </row>
    <row r="4438" spans="1:7" x14ac:dyDescent="0.2">
      <c r="A4438" s="354">
        <v>44910</v>
      </c>
      <c r="B4438" t="s">
        <v>3103</v>
      </c>
      <c r="C4438" s="76" t="s">
        <v>536</v>
      </c>
      <c r="D4438" s="38">
        <v>7928.365151</v>
      </c>
      <c r="E4438" s="38">
        <v>6.4017999999999997</v>
      </c>
      <c r="F4438" s="38">
        <v>6.3460999999999999</v>
      </c>
      <c r="G4438" s="83">
        <f t="shared" si="70"/>
        <v>6.0058380952380936</v>
      </c>
    </row>
    <row r="4439" spans="1:7" x14ac:dyDescent="0.2">
      <c r="A4439" s="354">
        <v>44911</v>
      </c>
      <c r="B4439" t="s">
        <v>3103</v>
      </c>
      <c r="C4439" s="76" t="s">
        <v>536</v>
      </c>
      <c r="D4439" s="38">
        <v>7894.3772259999996</v>
      </c>
      <c r="E4439" s="38">
        <v>6.3460000000000001</v>
      </c>
      <c r="F4439" s="38">
        <v>6.4480000000000004</v>
      </c>
      <c r="G4439" s="83">
        <f t="shared" si="70"/>
        <v>6.0170253968253951</v>
      </c>
    </row>
    <row r="4440" spans="1:7" x14ac:dyDescent="0.2">
      <c r="A4440" s="354">
        <v>44911</v>
      </c>
      <c r="B4440" t="s">
        <v>3103</v>
      </c>
      <c r="C4440" s="76" t="s">
        <v>536</v>
      </c>
      <c r="D4440" s="38">
        <v>7894.3772259999996</v>
      </c>
      <c r="E4440" s="38">
        <v>6.3460000000000001</v>
      </c>
      <c r="F4440" s="38">
        <v>6.4480000000000004</v>
      </c>
      <c r="G4440" s="83">
        <f t="shared" si="70"/>
        <v>6.0303603174603149</v>
      </c>
    </row>
    <row r="4441" spans="1:7" x14ac:dyDescent="0.2">
      <c r="A4441" s="354">
        <v>44914</v>
      </c>
      <c r="B4441" t="s">
        <v>3103</v>
      </c>
      <c r="C4441" s="76" t="s">
        <v>536</v>
      </c>
      <c r="D4441" s="38">
        <v>7894.4867350000004</v>
      </c>
      <c r="E4441" s="38">
        <v>6.4478</v>
      </c>
      <c r="F4441" s="38">
        <v>6.4581</v>
      </c>
      <c r="G4441" s="83">
        <f t="shared" si="70"/>
        <v>6.0453111111111086</v>
      </c>
    </row>
    <row r="4442" spans="1:7" x14ac:dyDescent="0.2">
      <c r="A4442" s="354">
        <v>44914</v>
      </c>
      <c r="B4442" t="s">
        <v>3103</v>
      </c>
      <c r="C4442" s="76" t="s">
        <v>536</v>
      </c>
      <c r="D4442" s="38">
        <v>7894.4867350000004</v>
      </c>
      <c r="E4442" s="38">
        <v>6.4478</v>
      </c>
      <c r="F4442" s="38">
        <v>6.4581</v>
      </c>
      <c r="G4442" s="83">
        <f t="shared" si="70"/>
        <v>6.0601349206349182</v>
      </c>
    </row>
    <row r="4443" spans="1:7" x14ac:dyDescent="0.2">
      <c r="A4443" s="354">
        <v>44915</v>
      </c>
      <c r="B4443" t="s">
        <v>3103</v>
      </c>
      <c r="C4443" s="76" t="s">
        <v>536</v>
      </c>
      <c r="D4443" s="38">
        <v>7954.6637110000001</v>
      </c>
      <c r="E4443" s="38">
        <v>6.4579000000000004</v>
      </c>
      <c r="F4443" s="38">
        <v>6.3068</v>
      </c>
      <c r="G4443" s="83">
        <f t="shared" si="70"/>
        <v>6.0751190476190464</v>
      </c>
    </row>
    <row r="4444" spans="1:7" x14ac:dyDescent="0.2">
      <c r="A4444" s="354">
        <v>44915</v>
      </c>
      <c r="B4444" t="s">
        <v>3103</v>
      </c>
      <c r="C4444" s="76" t="s">
        <v>536</v>
      </c>
      <c r="D4444" s="38">
        <v>7954.6637110000001</v>
      </c>
      <c r="E4444" s="38">
        <v>6.4579000000000004</v>
      </c>
      <c r="F4444" s="38">
        <v>6.3068</v>
      </c>
      <c r="G4444" s="83">
        <f t="shared" si="70"/>
        <v>6.0893523809523797</v>
      </c>
    </row>
    <row r="4445" spans="1:7" x14ac:dyDescent="0.2">
      <c r="A4445" s="354">
        <v>44916</v>
      </c>
      <c r="B4445" t="s">
        <v>3103</v>
      </c>
      <c r="C4445" s="76" t="s">
        <v>536</v>
      </c>
      <c r="D4445" s="38">
        <v>7953.5310079999999</v>
      </c>
      <c r="E4445" s="38">
        <v>6.3067000000000002</v>
      </c>
      <c r="F4445" s="38">
        <v>6.3201999999999998</v>
      </c>
      <c r="G4445" s="83">
        <f t="shared" si="70"/>
        <v>6.1011857142857124</v>
      </c>
    </row>
    <row r="4446" spans="1:7" x14ac:dyDescent="0.2">
      <c r="A4446" s="354">
        <v>44916</v>
      </c>
      <c r="B4446" t="s">
        <v>3103</v>
      </c>
      <c r="C4446" s="76" t="s">
        <v>536</v>
      </c>
      <c r="D4446" s="38">
        <v>7953.5310079999999</v>
      </c>
      <c r="E4446" s="38">
        <v>6.3067000000000002</v>
      </c>
      <c r="F4446" s="38">
        <v>6.3201999999999998</v>
      </c>
      <c r="G4446" s="83">
        <f t="shared" si="70"/>
        <v>6.1129920634920616</v>
      </c>
    </row>
    <row r="4447" spans="1:7" x14ac:dyDescent="0.2">
      <c r="A4447" s="354">
        <v>44917</v>
      </c>
      <c r="B4447" t="s">
        <v>3103</v>
      </c>
      <c r="C4447" s="76" t="s">
        <v>536</v>
      </c>
      <c r="D4447" s="38">
        <v>7967.7774820000004</v>
      </c>
      <c r="E4447" s="38">
        <v>6.3201000000000001</v>
      </c>
      <c r="F4447" s="38">
        <v>6.2925000000000004</v>
      </c>
      <c r="G4447" s="83">
        <f t="shared" si="70"/>
        <v>6.1250111111111094</v>
      </c>
    </row>
    <row r="4448" spans="1:7" x14ac:dyDescent="0.2">
      <c r="A4448" s="354">
        <v>44917</v>
      </c>
      <c r="B4448" t="s">
        <v>3103</v>
      </c>
      <c r="C4448" s="76" t="s">
        <v>536</v>
      </c>
      <c r="D4448" s="38">
        <v>7967.7774820000004</v>
      </c>
      <c r="E4448" s="38">
        <v>6.3201000000000001</v>
      </c>
      <c r="F4448" s="38">
        <v>6.2925000000000004</v>
      </c>
      <c r="G4448" s="83">
        <f t="shared" si="70"/>
        <v>6.1349682539682524</v>
      </c>
    </row>
    <row r="4449" spans="1:7" x14ac:dyDescent="0.2">
      <c r="A4449" s="354">
        <v>44918</v>
      </c>
      <c r="B4449" t="s">
        <v>3103</v>
      </c>
      <c r="C4449" s="76" t="s">
        <v>536</v>
      </c>
      <c r="D4449" s="38">
        <v>8005.4270569999999</v>
      </c>
      <c r="E4449" s="38">
        <v>6.2923</v>
      </c>
      <c r="F4449" s="38">
        <v>6.2024999999999997</v>
      </c>
      <c r="G4449" s="83">
        <f t="shared" si="70"/>
        <v>6.1444841269841257</v>
      </c>
    </row>
    <row r="4450" spans="1:7" x14ac:dyDescent="0.2">
      <c r="A4450" s="354">
        <v>44918</v>
      </c>
      <c r="B4450" t="s">
        <v>3103</v>
      </c>
      <c r="C4450" s="76" t="s">
        <v>536</v>
      </c>
      <c r="D4450" s="38">
        <v>8005.4270569999999</v>
      </c>
      <c r="E4450" s="38">
        <v>6.2923</v>
      </c>
      <c r="F4450" s="38">
        <v>6.2024999999999997</v>
      </c>
      <c r="G4450" s="83">
        <f t="shared" si="70"/>
        <v>6.1538444444444433</v>
      </c>
    </row>
    <row r="4451" spans="1:7" x14ac:dyDescent="0.2">
      <c r="A4451" s="354">
        <v>44921</v>
      </c>
      <c r="B4451" t="s">
        <v>3103</v>
      </c>
      <c r="C4451" s="76" t="s">
        <v>536</v>
      </c>
      <c r="D4451" s="38">
        <v>8006.0669459999999</v>
      </c>
      <c r="E4451" s="38">
        <v>6.2023999999999999</v>
      </c>
      <c r="F4451" s="38">
        <v>6.2030000000000003</v>
      </c>
      <c r="G4451" s="83">
        <f t="shared" si="70"/>
        <v>6.1617777777777771</v>
      </c>
    </row>
    <row r="4452" spans="1:7" x14ac:dyDescent="0.2">
      <c r="A4452" s="354">
        <v>44921</v>
      </c>
      <c r="B4452" t="s">
        <v>3103</v>
      </c>
      <c r="C4452" s="76" t="s">
        <v>536</v>
      </c>
      <c r="D4452" s="38">
        <v>8006.0669459999999</v>
      </c>
      <c r="E4452" s="38">
        <v>6.2023999999999999</v>
      </c>
      <c r="F4452" s="38">
        <v>6.2030000000000003</v>
      </c>
      <c r="G4452" s="83">
        <f t="shared" si="70"/>
        <v>6.1688841269841266</v>
      </c>
    </row>
    <row r="4453" spans="1:7" x14ac:dyDescent="0.2">
      <c r="A4453" s="354">
        <v>44922</v>
      </c>
      <c r="B4453" t="s">
        <v>3103</v>
      </c>
      <c r="C4453" s="76" t="s">
        <v>536</v>
      </c>
      <c r="D4453" s="38">
        <v>8010.7469600000004</v>
      </c>
      <c r="E4453" s="38">
        <v>6.2028999999999996</v>
      </c>
      <c r="F4453" s="38">
        <v>6.1997</v>
      </c>
      <c r="G4453" s="83">
        <f t="shared" si="70"/>
        <v>6.1759984126984113</v>
      </c>
    </row>
    <row r="4454" spans="1:7" x14ac:dyDescent="0.2">
      <c r="A4454" s="354">
        <v>44922</v>
      </c>
      <c r="B4454" t="s">
        <v>3103</v>
      </c>
      <c r="C4454" s="76" t="s">
        <v>536</v>
      </c>
      <c r="D4454" s="38">
        <v>8010.7469600000004</v>
      </c>
      <c r="E4454" s="38">
        <v>6.2028999999999996</v>
      </c>
      <c r="F4454" s="38">
        <v>6.1997</v>
      </c>
      <c r="G4454" s="83">
        <f t="shared" si="70"/>
        <v>6.1778460317460313</v>
      </c>
    </row>
    <row r="4455" spans="1:7" x14ac:dyDescent="0.2">
      <c r="A4455" s="354">
        <v>44923</v>
      </c>
      <c r="B4455" t="s">
        <v>3103</v>
      </c>
      <c r="C4455" s="76" t="s">
        <v>536</v>
      </c>
      <c r="D4455" s="38">
        <v>8058.9349659999998</v>
      </c>
      <c r="E4455" s="38">
        <v>6.1996000000000002</v>
      </c>
      <c r="F4455" s="38">
        <v>6.0814000000000004</v>
      </c>
      <c r="G4455" s="83">
        <f t="shared" si="70"/>
        <v>6.1796412698412695</v>
      </c>
    </row>
    <row r="4456" spans="1:7" x14ac:dyDescent="0.2">
      <c r="A4456" s="354">
        <v>44923</v>
      </c>
      <c r="B4456" t="s">
        <v>3103</v>
      </c>
      <c r="C4456" s="76" t="s">
        <v>536</v>
      </c>
      <c r="D4456" s="38">
        <v>8058.9349659999998</v>
      </c>
      <c r="E4456" s="38">
        <v>6.1996000000000002</v>
      </c>
      <c r="F4456" s="38">
        <v>6.0814000000000004</v>
      </c>
      <c r="G4456" s="83">
        <f t="shared" si="70"/>
        <v>6.1809952380952371</v>
      </c>
    </row>
    <row r="4457" spans="1:7" x14ac:dyDescent="0.2">
      <c r="A4457" s="354">
        <v>44924</v>
      </c>
      <c r="B4457" t="s">
        <v>3103</v>
      </c>
      <c r="C4457" s="76" t="s">
        <v>536</v>
      </c>
      <c r="D4457" s="38">
        <v>8055.1089890000003</v>
      </c>
      <c r="E4457" s="38">
        <v>6.0812999999999997</v>
      </c>
      <c r="F4457" s="38">
        <v>6.1005000000000003</v>
      </c>
      <c r="G4457" s="83">
        <f t="shared" si="70"/>
        <v>6.1804714285714279</v>
      </c>
    </row>
    <row r="4458" spans="1:7" x14ac:dyDescent="0.2">
      <c r="A4458" s="354">
        <v>44924</v>
      </c>
      <c r="B4458" t="s">
        <v>3103</v>
      </c>
      <c r="C4458" s="76" t="s">
        <v>536</v>
      </c>
      <c r="D4458" s="38">
        <v>8055.1089890000003</v>
      </c>
      <c r="E4458" s="38">
        <v>6.0812999999999997</v>
      </c>
      <c r="F4458" s="38">
        <v>6.1005000000000003</v>
      </c>
      <c r="G4458" s="83">
        <f t="shared" si="70"/>
        <v>6.1828841269841259</v>
      </c>
    </row>
    <row r="4459" spans="1:7" x14ac:dyDescent="0.2">
      <c r="A4459" s="354">
        <v>44925</v>
      </c>
      <c r="B4459" t="s">
        <v>3103</v>
      </c>
      <c r="C4459" s="76" t="s">
        <v>536</v>
      </c>
      <c r="D4459" s="38">
        <v>8058.3838480000004</v>
      </c>
      <c r="E4459" s="38">
        <v>6.1003999999999996</v>
      </c>
      <c r="F4459" s="38">
        <v>6.1009000000000002</v>
      </c>
      <c r="G4459" s="83">
        <f t="shared" si="70"/>
        <v>6.1856</v>
      </c>
    </row>
    <row r="4460" spans="1:7" x14ac:dyDescent="0.2">
      <c r="A4460" s="354">
        <v>44925</v>
      </c>
      <c r="B4460" t="s">
        <v>3103</v>
      </c>
      <c r="C4460" s="76" t="s">
        <v>536</v>
      </c>
      <c r="D4460" s="38">
        <v>8058.3838480000004</v>
      </c>
      <c r="E4460" s="38">
        <v>6.1003999999999996</v>
      </c>
      <c r="F4460" s="38">
        <v>6.1009000000000002</v>
      </c>
      <c r="G4460" s="83">
        <f t="shared" si="70"/>
        <v>6.186923809523809</v>
      </c>
    </row>
    <row r="4461" spans="1:7" x14ac:dyDescent="0.2">
      <c r="A4461" s="354">
        <v>44928</v>
      </c>
      <c r="B4461" t="s">
        <v>3103</v>
      </c>
      <c r="C4461" s="76" t="s">
        <v>536</v>
      </c>
      <c r="D4461" s="38">
        <v>8007.7462880000003</v>
      </c>
      <c r="E4461" s="38">
        <v>6.1007999999999996</v>
      </c>
      <c r="F4461" s="38">
        <v>6.2439</v>
      </c>
      <c r="G4461" s="83">
        <f t="shared" si="70"/>
        <v>6.1882539682539672</v>
      </c>
    </row>
    <row r="4462" spans="1:7" x14ac:dyDescent="0.2">
      <c r="A4462" s="354">
        <v>44928</v>
      </c>
      <c r="B4462" t="s">
        <v>3103</v>
      </c>
      <c r="C4462" s="76" t="s">
        <v>536</v>
      </c>
      <c r="D4462" s="38">
        <v>8007.7462880000003</v>
      </c>
      <c r="E4462" s="38">
        <v>6.1007999999999996</v>
      </c>
      <c r="F4462" s="38">
        <v>6.2439</v>
      </c>
      <c r="G4462" s="83">
        <f t="shared" si="70"/>
        <v>6.1895222222222213</v>
      </c>
    </row>
    <row r="4463" spans="1:7" x14ac:dyDescent="0.2">
      <c r="A4463" s="354">
        <v>44929</v>
      </c>
      <c r="B4463" t="s">
        <v>3103</v>
      </c>
      <c r="C4463" s="76" t="s">
        <v>536</v>
      </c>
      <c r="D4463" s="38">
        <v>7978.0140670000001</v>
      </c>
      <c r="E4463" s="38">
        <v>6.2436999999999996</v>
      </c>
      <c r="F4463" s="38">
        <v>6.3320999999999996</v>
      </c>
      <c r="G4463" s="83">
        <f t="shared" si="70"/>
        <v>6.1930587301587297</v>
      </c>
    </row>
    <row r="4464" spans="1:7" x14ac:dyDescent="0.2">
      <c r="A4464" s="354">
        <v>44929</v>
      </c>
      <c r="B4464" t="s">
        <v>3103</v>
      </c>
      <c r="C4464" s="76" t="s">
        <v>536</v>
      </c>
      <c r="D4464" s="38">
        <v>7978.0140670000001</v>
      </c>
      <c r="E4464" s="38">
        <v>6.2436999999999996</v>
      </c>
      <c r="F4464" s="38">
        <v>6.3320999999999996</v>
      </c>
      <c r="G4464" s="83">
        <f t="shared" si="70"/>
        <v>6.1950682539682544</v>
      </c>
    </row>
    <row r="4465" spans="1:7" x14ac:dyDescent="0.2">
      <c r="A4465" s="354">
        <v>44930</v>
      </c>
      <c r="B4465" t="s">
        <v>3103</v>
      </c>
      <c r="C4465" s="76" t="s">
        <v>536</v>
      </c>
      <c r="D4465" s="38">
        <v>7961.8928640000004</v>
      </c>
      <c r="E4465" s="38">
        <v>6.3319999999999999</v>
      </c>
      <c r="F4465" s="38">
        <v>6.3844000000000003</v>
      </c>
      <c r="G4465" s="83">
        <f t="shared" si="70"/>
        <v>6.1984793650793648</v>
      </c>
    </row>
    <row r="4466" spans="1:7" x14ac:dyDescent="0.2">
      <c r="A4466" s="354">
        <v>44930</v>
      </c>
      <c r="B4466" t="s">
        <v>3103</v>
      </c>
      <c r="C4466" s="76" t="s">
        <v>536</v>
      </c>
      <c r="D4466" s="38">
        <v>7961.8928640000004</v>
      </c>
      <c r="E4466" s="38">
        <v>6.3319999999999999</v>
      </c>
      <c r="F4466" s="38">
        <v>6.3844000000000003</v>
      </c>
      <c r="G4466" s="83">
        <f t="shared" si="70"/>
        <v>6.202692063492063</v>
      </c>
    </row>
    <row r="4467" spans="1:7" x14ac:dyDescent="0.2">
      <c r="A4467" s="354">
        <v>44931</v>
      </c>
      <c r="B4467" t="s">
        <v>3103</v>
      </c>
      <c r="C4467" s="76" t="s">
        <v>536</v>
      </c>
      <c r="D4467" s="38">
        <v>7990.8499869999996</v>
      </c>
      <c r="E4467" s="38">
        <v>6.3841999999999999</v>
      </c>
      <c r="F4467" s="38">
        <v>6.3163</v>
      </c>
      <c r="G4467" s="83">
        <f t="shared" si="70"/>
        <v>6.2077333333333335</v>
      </c>
    </row>
    <row r="4468" spans="1:7" x14ac:dyDescent="0.2">
      <c r="A4468" s="354">
        <v>44931</v>
      </c>
      <c r="B4468" t="s">
        <v>3103</v>
      </c>
      <c r="C4468" s="76" t="s">
        <v>536</v>
      </c>
      <c r="D4468" s="38">
        <v>7990.8499869999996</v>
      </c>
      <c r="E4468" s="38">
        <v>6.3841999999999999</v>
      </c>
      <c r="F4468" s="38">
        <v>6.3163</v>
      </c>
      <c r="G4468" s="83">
        <f t="shared" si="70"/>
        <v>6.2101333333333333</v>
      </c>
    </row>
    <row r="4469" spans="1:7" x14ac:dyDescent="0.2">
      <c r="A4469" s="354">
        <v>44932</v>
      </c>
      <c r="B4469" t="s">
        <v>3103</v>
      </c>
      <c r="C4469" s="76" t="s">
        <v>536</v>
      </c>
      <c r="D4469" s="38">
        <v>8029.7961409999998</v>
      </c>
      <c r="E4469" s="38">
        <v>6.3162000000000003</v>
      </c>
      <c r="F4469" s="38">
        <v>6.2221000000000002</v>
      </c>
      <c r="G4469" s="83">
        <f t="shared" si="70"/>
        <v>6.2114539682539682</v>
      </c>
    </row>
    <row r="4470" spans="1:7" x14ac:dyDescent="0.2">
      <c r="A4470" s="354">
        <v>44932</v>
      </c>
      <c r="B4470" t="s">
        <v>3103</v>
      </c>
      <c r="C4470" s="76" t="s">
        <v>536</v>
      </c>
      <c r="D4470" s="38">
        <v>8029.7961409999998</v>
      </c>
      <c r="E4470" s="38">
        <v>6.3162000000000003</v>
      </c>
      <c r="F4470" s="38">
        <v>6.2221000000000002</v>
      </c>
      <c r="G4470" s="83">
        <f t="shared" si="70"/>
        <v>6.2113063492063478</v>
      </c>
    </row>
    <row r="4471" spans="1:7" x14ac:dyDescent="0.2">
      <c r="A4471" s="354">
        <v>44935</v>
      </c>
      <c r="B4471" t="s">
        <v>3103</v>
      </c>
      <c r="C4471" s="76" t="s">
        <v>536</v>
      </c>
      <c r="D4471" s="38">
        <v>8037.7463109999999</v>
      </c>
      <c r="E4471" s="38">
        <v>6.2220000000000004</v>
      </c>
      <c r="F4471" s="38">
        <v>6.2102000000000004</v>
      </c>
      <c r="G4471" s="83">
        <f t="shared" si="70"/>
        <v>6.2096634920634912</v>
      </c>
    </row>
    <row r="4472" spans="1:7" x14ac:dyDescent="0.2">
      <c r="A4472" s="354">
        <v>44935</v>
      </c>
      <c r="B4472" t="s">
        <v>3103</v>
      </c>
      <c r="C4472" s="76" t="s">
        <v>536</v>
      </c>
      <c r="D4472" s="38">
        <v>8037.7463109999999</v>
      </c>
      <c r="E4472" s="38">
        <v>6.2220000000000004</v>
      </c>
      <c r="F4472" s="38">
        <v>6.2102000000000004</v>
      </c>
      <c r="G4472" s="83">
        <f t="shared" si="70"/>
        <v>6.2098301587301563</v>
      </c>
    </row>
    <row r="4473" spans="1:7" x14ac:dyDescent="0.2">
      <c r="A4473" s="354">
        <v>44936</v>
      </c>
      <c r="B4473" t="s">
        <v>3103</v>
      </c>
      <c r="C4473" s="76" t="s">
        <v>536</v>
      </c>
      <c r="D4473" s="38">
        <v>8088.1279009999998</v>
      </c>
      <c r="E4473" s="38">
        <v>6.2100999999999997</v>
      </c>
      <c r="F4473" s="38">
        <v>6.1193999999999997</v>
      </c>
      <c r="G4473" s="83">
        <f t="shared" si="70"/>
        <v>6.2098079365079348</v>
      </c>
    </row>
    <row r="4474" spans="1:7" x14ac:dyDescent="0.2">
      <c r="A4474" s="354">
        <v>44936</v>
      </c>
      <c r="B4474" t="s">
        <v>3103</v>
      </c>
      <c r="C4474" s="76" t="s">
        <v>536</v>
      </c>
      <c r="D4474" s="38">
        <v>8088.1279009999998</v>
      </c>
      <c r="E4474" s="38">
        <v>6.2100999999999997</v>
      </c>
      <c r="F4474" s="38">
        <v>6.1193999999999997</v>
      </c>
      <c r="G4474" s="83">
        <f t="shared" si="70"/>
        <v>6.2073888888888877</v>
      </c>
    </row>
    <row r="4475" spans="1:7" x14ac:dyDescent="0.2">
      <c r="A4475" s="354">
        <v>44937</v>
      </c>
      <c r="B4475" t="s">
        <v>3103</v>
      </c>
      <c r="C4475" s="76" t="s">
        <v>536</v>
      </c>
      <c r="D4475" s="38">
        <v>8133.5792739999997</v>
      </c>
      <c r="E4475" s="38">
        <v>6.1193</v>
      </c>
      <c r="F4475" s="38">
        <v>6.0113000000000003</v>
      </c>
      <c r="G4475" s="83">
        <f t="shared" si="70"/>
        <v>6.2035285714285706</v>
      </c>
    </row>
    <row r="4476" spans="1:7" x14ac:dyDescent="0.2">
      <c r="A4476" s="354">
        <v>44937</v>
      </c>
      <c r="B4476" t="s">
        <v>3103</v>
      </c>
      <c r="C4476" s="76" t="s">
        <v>536</v>
      </c>
      <c r="D4476" s="38">
        <v>8133.5792739999997</v>
      </c>
      <c r="E4476" s="38">
        <v>6.1193</v>
      </c>
      <c r="F4476" s="38">
        <v>6.0113000000000003</v>
      </c>
      <c r="G4476" s="83">
        <f t="shared" ref="G4476:G4539" si="71">+AVERAGE(E4414:E4476)</f>
        <v>6.2010095238095229</v>
      </c>
    </row>
    <row r="4477" spans="1:7" x14ac:dyDescent="0.2">
      <c r="A4477" s="354">
        <v>44938</v>
      </c>
      <c r="B4477" t="s">
        <v>3103</v>
      </c>
      <c r="C4477" s="76" t="s">
        <v>536</v>
      </c>
      <c r="D4477" s="38">
        <v>8162.1846779999996</v>
      </c>
      <c r="E4477" s="38">
        <v>6.0113000000000003</v>
      </c>
      <c r="F4477" s="38">
        <v>5.9477000000000002</v>
      </c>
      <c r="G4477" s="83">
        <f t="shared" si="71"/>
        <v>6.1967761904761902</v>
      </c>
    </row>
    <row r="4478" spans="1:7" x14ac:dyDescent="0.2">
      <c r="A4478" s="354">
        <v>44938</v>
      </c>
      <c r="B4478" t="s">
        <v>3103</v>
      </c>
      <c r="C4478" s="76" t="s">
        <v>536</v>
      </c>
      <c r="D4478" s="38">
        <v>8162.1846779999996</v>
      </c>
      <c r="E4478" s="38">
        <v>6.0113000000000003</v>
      </c>
      <c r="F4478" s="38">
        <v>5.9477000000000002</v>
      </c>
      <c r="G4478" s="83">
        <f t="shared" si="71"/>
        <v>6.1964428571428574</v>
      </c>
    </row>
    <row r="4479" spans="1:7" x14ac:dyDescent="0.2">
      <c r="A4479" s="354">
        <v>44939</v>
      </c>
      <c r="B4479" t="s">
        <v>3103</v>
      </c>
      <c r="C4479" s="76" t="s">
        <v>536</v>
      </c>
      <c r="D4479" s="38">
        <v>8168.3528569999999</v>
      </c>
      <c r="E4479" s="38">
        <v>5.9477000000000002</v>
      </c>
      <c r="F4479" s="38">
        <v>5.9424999999999999</v>
      </c>
      <c r="G4479" s="83">
        <f t="shared" si="71"/>
        <v>6.1951000000000001</v>
      </c>
    </row>
    <row r="4480" spans="1:7" x14ac:dyDescent="0.2">
      <c r="A4480" s="354">
        <v>44939</v>
      </c>
      <c r="B4480" t="s">
        <v>3103</v>
      </c>
      <c r="C4480" s="76" t="s">
        <v>536</v>
      </c>
      <c r="D4480" s="38">
        <v>8168.3528569999999</v>
      </c>
      <c r="E4480" s="38">
        <v>5.9477000000000002</v>
      </c>
      <c r="F4480" s="38">
        <v>5.9424999999999999</v>
      </c>
      <c r="G4480" s="83">
        <f t="shared" si="71"/>
        <v>6.1956555555555557</v>
      </c>
    </row>
    <row r="4481" spans="1:7" x14ac:dyDescent="0.2">
      <c r="A4481" s="354">
        <v>44942</v>
      </c>
      <c r="B4481" t="s">
        <v>3103</v>
      </c>
      <c r="C4481" s="76" t="s">
        <v>536</v>
      </c>
      <c r="D4481" s="38">
        <v>8145.672012</v>
      </c>
      <c r="E4481" s="38">
        <v>5.9424999999999999</v>
      </c>
      <c r="F4481" s="38">
        <v>6.0122999999999998</v>
      </c>
      <c r="G4481" s="83">
        <f t="shared" si="71"/>
        <v>6.196128571428571</v>
      </c>
    </row>
    <row r="4482" spans="1:7" x14ac:dyDescent="0.2">
      <c r="A4482" s="354">
        <v>44942</v>
      </c>
      <c r="B4482" t="s">
        <v>3103</v>
      </c>
      <c r="C4482" s="76" t="s">
        <v>536</v>
      </c>
      <c r="D4482" s="38">
        <v>8145.672012</v>
      </c>
      <c r="E4482" s="38">
        <v>5.9424999999999999</v>
      </c>
      <c r="F4482" s="38">
        <v>6.0122999999999998</v>
      </c>
      <c r="G4482" s="83">
        <f t="shared" si="71"/>
        <v>6.1956253968253971</v>
      </c>
    </row>
    <row r="4483" spans="1:7" x14ac:dyDescent="0.2">
      <c r="A4483" s="354">
        <v>44943</v>
      </c>
      <c r="B4483" t="s">
        <v>3103</v>
      </c>
      <c r="C4483" s="76" t="s">
        <v>536</v>
      </c>
      <c r="D4483" s="38">
        <v>8175.6854110000004</v>
      </c>
      <c r="E4483" s="38">
        <v>6.0122999999999998</v>
      </c>
      <c r="F4483" s="38">
        <v>5.9442000000000004</v>
      </c>
      <c r="G4483" s="83">
        <f t="shared" si="71"/>
        <v>6.1962301587301587</v>
      </c>
    </row>
    <row r="4484" spans="1:7" x14ac:dyDescent="0.2">
      <c r="A4484" s="354">
        <v>44943</v>
      </c>
      <c r="B4484" t="s">
        <v>3103</v>
      </c>
      <c r="C4484" s="76" t="s">
        <v>536</v>
      </c>
      <c r="D4484" s="38">
        <v>8175.6854110000004</v>
      </c>
      <c r="E4484" s="38">
        <v>6.0122999999999998</v>
      </c>
      <c r="F4484" s="38">
        <v>5.9442000000000004</v>
      </c>
      <c r="G4484" s="83">
        <f t="shared" si="71"/>
        <v>6.1977825396825397</v>
      </c>
    </row>
    <row r="4485" spans="1:7" x14ac:dyDescent="0.2">
      <c r="A4485" s="354">
        <v>44944</v>
      </c>
      <c r="B4485" t="s">
        <v>3103</v>
      </c>
      <c r="C4485" s="76" t="s">
        <v>536</v>
      </c>
      <c r="D4485" s="38">
        <v>8173.0100229999998</v>
      </c>
      <c r="E4485" s="38">
        <v>5.9442000000000004</v>
      </c>
      <c r="F4485" s="38">
        <v>5.9610000000000003</v>
      </c>
      <c r="G4485" s="83">
        <f t="shared" si="71"/>
        <v>6.1982539682539688</v>
      </c>
    </row>
    <row r="4486" spans="1:7" x14ac:dyDescent="0.2">
      <c r="A4486" s="354">
        <v>44944</v>
      </c>
      <c r="B4486" t="s">
        <v>3103</v>
      </c>
      <c r="C4486" s="76" t="s">
        <v>536</v>
      </c>
      <c r="D4486" s="38">
        <v>8173.0100229999998</v>
      </c>
      <c r="E4486" s="38">
        <v>5.9442000000000004</v>
      </c>
      <c r="F4486" s="38">
        <v>5.9610000000000003</v>
      </c>
      <c r="G4486" s="83">
        <f t="shared" si="71"/>
        <v>6.1969031746031753</v>
      </c>
    </row>
    <row r="4487" spans="1:7" x14ac:dyDescent="0.2">
      <c r="A4487" s="354">
        <v>44945</v>
      </c>
      <c r="B4487" t="s">
        <v>3103</v>
      </c>
      <c r="C4487" s="76" t="s">
        <v>536</v>
      </c>
      <c r="D4487" s="38">
        <v>8185.7658590000001</v>
      </c>
      <c r="E4487" s="38">
        <v>5.9610000000000003</v>
      </c>
      <c r="F4487" s="38">
        <v>5.9378000000000002</v>
      </c>
      <c r="G4487" s="83">
        <f t="shared" si="71"/>
        <v>6.1958190476190484</v>
      </c>
    </row>
    <row r="4488" spans="1:7" x14ac:dyDescent="0.2">
      <c r="A4488" s="354">
        <v>44945</v>
      </c>
      <c r="B4488" t="s">
        <v>3103</v>
      </c>
      <c r="C4488" s="76" t="s">
        <v>536</v>
      </c>
      <c r="D4488" s="38">
        <v>8185.7658590000001</v>
      </c>
      <c r="E4488" s="38">
        <v>5.9610000000000003</v>
      </c>
      <c r="F4488" s="38">
        <v>5.9378000000000002</v>
      </c>
      <c r="G4488" s="83">
        <f t="shared" si="71"/>
        <v>6.1936444444444456</v>
      </c>
    </row>
    <row r="4489" spans="1:7" x14ac:dyDescent="0.2">
      <c r="A4489" s="354">
        <v>44946</v>
      </c>
      <c r="B4489" t="s">
        <v>3103</v>
      </c>
      <c r="C4489" s="76" t="s">
        <v>536</v>
      </c>
      <c r="D4489" s="38">
        <v>8146.4887580000004</v>
      </c>
      <c r="E4489" s="38">
        <v>5.9379</v>
      </c>
      <c r="F4489" s="38">
        <v>6.0498000000000003</v>
      </c>
      <c r="G4489" s="83">
        <f t="shared" si="71"/>
        <v>6.1911031746031764</v>
      </c>
    </row>
    <row r="4490" spans="1:7" x14ac:dyDescent="0.2">
      <c r="A4490" s="354">
        <v>44946</v>
      </c>
      <c r="B4490" t="s">
        <v>3103</v>
      </c>
      <c r="C4490" s="76" t="s">
        <v>536</v>
      </c>
      <c r="D4490" s="38">
        <v>8146.4887580000004</v>
      </c>
      <c r="E4490" s="38">
        <v>5.9379</v>
      </c>
      <c r="F4490" s="38">
        <v>6.0498000000000003</v>
      </c>
      <c r="G4490" s="83">
        <f t="shared" si="71"/>
        <v>6.1890857142857154</v>
      </c>
    </row>
    <row r="4491" spans="1:7" x14ac:dyDescent="0.2">
      <c r="A4491" s="354">
        <v>44949</v>
      </c>
      <c r="B4491" t="s">
        <v>3103</v>
      </c>
      <c r="C4491" s="76" t="s">
        <v>536</v>
      </c>
      <c r="D4491" s="38">
        <v>8128.4967660000002</v>
      </c>
      <c r="E4491" s="38">
        <v>6.05</v>
      </c>
      <c r="F4491" s="38">
        <v>6.1069000000000004</v>
      </c>
      <c r="G4491" s="83">
        <f t="shared" si="71"/>
        <v>6.1888476190476203</v>
      </c>
    </row>
    <row r="4492" spans="1:7" x14ac:dyDescent="0.2">
      <c r="A4492" s="354">
        <v>44949</v>
      </c>
      <c r="B4492" t="s">
        <v>3103</v>
      </c>
      <c r="C4492" s="76" t="s">
        <v>536</v>
      </c>
      <c r="D4492" s="38">
        <v>8128.4967660000002</v>
      </c>
      <c r="E4492" s="38">
        <v>6.05</v>
      </c>
      <c r="F4492" s="38">
        <v>6.1069000000000004</v>
      </c>
      <c r="G4492" s="83">
        <f t="shared" si="71"/>
        <v>6.1884047619047626</v>
      </c>
    </row>
    <row r="4493" spans="1:7" x14ac:dyDescent="0.2">
      <c r="A4493" s="354">
        <v>44950</v>
      </c>
      <c r="B4493" t="s">
        <v>3103</v>
      </c>
      <c r="C4493" s="76" t="s">
        <v>536</v>
      </c>
      <c r="D4493" s="38">
        <v>8155.2627570000004</v>
      </c>
      <c r="E4493" s="38">
        <v>6.1071</v>
      </c>
      <c r="F4493" s="38">
        <v>6.0472999999999999</v>
      </c>
      <c r="G4493" s="83">
        <f t="shared" si="71"/>
        <v>6.1888682539682556</v>
      </c>
    </row>
    <row r="4494" spans="1:7" x14ac:dyDescent="0.2">
      <c r="A4494" s="354">
        <v>44950</v>
      </c>
      <c r="B4494" t="s">
        <v>3103</v>
      </c>
      <c r="C4494" s="76" t="s">
        <v>536</v>
      </c>
      <c r="D4494" s="38">
        <v>8155.2627570000004</v>
      </c>
      <c r="E4494" s="38">
        <v>6.1071</v>
      </c>
      <c r="F4494" s="38">
        <v>6.0472999999999999</v>
      </c>
      <c r="G4494" s="83">
        <f t="shared" si="71"/>
        <v>6.1883619047619067</v>
      </c>
    </row>
    <row r="4495" spans="1:7" x14ac:dyDescent="0.2">
      <c r="A4495" s="354">
        <v>44951</v>
      </c>
      <c r="B4495" t="s">
        <v>3103</v>
      </c>
      <c r="C4495" s="76" t="s">
        <v>536</v>
      </c>
      <c r="D4495" s="38">
        <v>8169.2750450000003</v>
      </c>
      <c r="E4495" s="38">
        <v>6.0473999999999997</v>
      </c>
      <c r="F4495" s="38">
        <v>6.0236000000000001</v>
      </c>
      <c r="G4495" s="83">
        <f t="shared" si="71"/>
        <v>6.1869079365079385</v>
      </c>
    </row>
    <row r="4496" spans="1:7" x14ac:dyDescent="0.2">
      <c r="A4496" s="354">
        <v>44951</v>
      </c>
      <c r="B4496" t="s">
        <v>3103</v>
      </c>
      <c r="C4496" s="76" t="s">
        <v>536</v>
      </c>
      <c r="D4496" s="38">
        <v>8169.2750450000003</v>
      </c>
      <c r="E4496" s="38">
        <v>6.0473999999999997</v>
      </c>
      <c r="F4496" s="38">
        <v>6.0236000000000001</v>
      </c>
      <c r="G4496" s="83">
        <f t="shared" si="71"/>
        <v>6.1830587301587316</v>
      </c>
    </row>
    <row r="4497" spans="1:7" x14ac:dyDescent="0.2">
      <c r="A4497" s="354">
        <v>44952</v>
      </c>
      <c r="B4497" t="s">
        <v>3103</v>
      </c>
      <c r="C4497" s="76" t="s">
        <v>536</v>
      </c>
      <c r="D4497" s="38">
        <v>8158.0883389999999</v>
      </c>
      <c r="E4497" s="38">
        <v>6.0237999999999996</v>
      </c>
      <c r="F4497" s="38">
        <v>6.0632000000000001</v>
      </c>
      <c r="G4497" s="83">
        <f t="shared" si="71"/>
        <v>6.1788349206349213</v>
      </c>
    </row>
    <row r="4498" spans="1:7" x14ac:dyDescent="0.2">
      <c r="A4498" s="354">
        <v>44952</v>
      </c>
      <c r="B4498" t="s">
        <v>3103</v>
      </c>
      <c r="C4498" s="76" t="s">
        <v>536</v>
      </c>
      <c r="D4498" s="38">
        <v>8158.0883389999999</v>
      </c>
      <c r="E4498" s="38">
        <v>6.0237999999999996</v>
      </c>
      <c r="F4498" s="38">
        <v>6.0632000000000001</v>
      </c>
      <c r="G4498" s="83">
        <f t="shared" si="71"/>
        <v>6.1733000000000002</v>
      </c>
    </row>
    <row r="4499" spans="1:7" x14ac:dyDescent="0.2">
      <c r="A4499" s="354">
        <v>44953</v>
      </c>
      <c r="B4499" t="s">
        <v>3103</v>
      </c>
      <c r="C4499" s="76" t="s">
        <v>536</v>
      </c>
      <c r="D4499" s="38">
        <v>8122.8099860000002</v>
      </c>
      <c r="E4499" s="38">
        <v>6.0632999999999999</v>
      </c>
      <c r="F4499" s="38">
        <v>6.1657000000000002</v>
      </c>
      <c r="G4499" s="83">
        <f t="shared" si="71"/>
        <v>6.1683920634920648</v>
      </c>
    </row>
    <row r="4500" spans="1:7" x14ac:dyDescent="0.2">
      <c r="A4500" s="354">
        <v>44953</v>
      </c>
      <c r="B4500" t="s">
        <v>3103</v>
      </c>
      <c r="C4500" s="76" t="s">
        <v>536</v>
      </c>
      <c r="D4500" s="38">
        <v>8122.8099860000002</v>
      </c>
      <c r="E4500" s="38">
        <v>6.0632999999999999</v>
      </c>
      <c r="F4500" s="38">
        <v>6.1657000000000002</v>
      </c>
      <c r="G4500" s="83">
        <f t="shared" si="71"/>
        <v>6.1630190476190494</v>
      </c>
    </row>
    <row r="4501" spans="1:7" x14ac:dyDescent="0.2">
      <c r="A4501" s="354">
        <v>44956</v>
      </c>
      <c r="B4501" t="s">
        <v>3103</v>
      </c>
      <c r="C4501" s="76" t="s">
        <v>536</v>
      </c>
      <c r="D4501" s="38">
        <v>8119.1187769999997</v>
      </c>
      <c r="E4501" s="38">
        <v>6.1657999999999999</v>
      </c>
      <c r="F4501" s="38">
        <v>6.1859000000000002</v>
      </c>
      <c r="G4501" s="83">
        <f t="shared" si="71"/>
        <v>6.1592730158730173</v>
      </c>
    </row>
    <row r="4502" spans="1:7" x14ac:dyDescent="0.2">
      <c r="A4502" s="354">
        <v>44956</v>
      </c>
      <c r="B4502" t="s">
        <v>3103</v>
      </c>
      <c r="C4502" s="76" t="s">
        <v>536</v>
      </c>
      <c r="D4502" s="38">
        <v>8119.1187769999997</v>
      </c>
      <c r="E4502" s="38">
        <v>6.1657999999999999</v>
      </c>
      <c r="F4502" s="38">
        <v>6.1859000000000002</v>
      </c>
      <c r="G4502" s="83">
        <f t="shared" si="71"/>
        <v>6.1564126984126997</v>
      </c>
    </row>
    <row r="4503" spans="1:7" x14ac:dyDescent="0.2">
      <c r="A4503" s="354">
        <v>44957</v>
      </c>
      <c r="B4503" t="s">
        <v>3103</v>
      </c>
      <c r="C4503" s="76" t="s">
        <v>536</v>
      </c>
      <c r="D4503" s="38">
        <v>8122.0827090000002</v>
      </c>
      <c r="E4503" s="38">
        <v>6.1860999999999997</v>
      </c>
      <c r="F4503" s="38">
        <v>6.1887999999999996</v>
      </c>
      <c r="G4503" s="83">
        <f t="shared" si="71"/>
        <v>6.1538746031746046</v>
      </c>
    </row>
    <row r="4504" spans="1:7" x14ac:dyDescent="0.2">
      <c r="A4504" s="354">
        <v>44957</v>
      </c>
      <c r="B4504" t="s">
        <v>3103</v>
      </c>
      <c r="C4504" s="76" t="s">
        <v>536</v>
      </c>
      <c r="D4504" s="38">
        <v>8122.0827090000002</v>
      </c>
      <c r="E4504" s="38">
        <v>6.1860999999999997</v>
      </c>
      <c r="F4504" s="38">
        <v>6.1887999999999996</v>
      </c>
      <c r="G4504" s="83">
        <f t="shared" si="71"/>
        <v>6.1497206349206364</v>
      </c>
    </row>
    <row r="4505" spans="1:7" x14ac:dyDescent="0.2">
      <c r="A4505" s="354">
        <v>44958</v>
      </c>
      <c r="B4505" t="s">
        <v>3103</v>
      </c>
      <c r="C4505" s="76" t="s">
        <v>536</v>
      </c>
      <c r="D4505" s="38">
        <v>8122.3350840000003</v>
      </c>
      <c r="E4505" s="38">
        <v>6.1889000000000003</v>
      </c>
      <c r="F4505" s="38">
        <v>6.1986999999999997</v>
      </c>
      <c r="G4505" s="83">
        <f t="shared" si="71"/>
        <v>6.1456111111111129</v>
      </c>
    </row>
    <row r="4506" spans="1:7" x14ac:dyDescent="0.2">
      <c r="A4506" s="354">
        <v>44958</v>
      </c>
      <c r="B4506" t="s">
        <v>3103</v>
      </c>
      <c r="C4506" s="76" t="s">
        <v>536</v>
      </c>
      <c r="D4506" s="38">
        <v>8122.3350840000003</v>
      </c>
      <c r="E4506" s="38">
        <v>6.1889000000000003</v>
      </c>
      <c r="F4506" s="38">
        <v>6.1986999999999997</v>
      </c>
      <c r="G4506" s="83">
        <f t="shared" si="71"/>
        <v>6.1413412698412726</v>
      </c>
    </row>
    <row r="4507" spans="1:7" x14ac:dyDescent="0.2">
      <c r="A4507" s="354">
        <v>44959</v>
      </c>
      <c r="B4507" t="s">
        <v>3103</v>
      </c>
      <c r="C4507" s="76" t="s">
        <v>536</v>
      </c>
      <c r="D4507" s="38">
        <v>8106.3335509999997</v>
      </c>
      <c r="E4507" s="38">
        <v>6.1988000000000003</v>
      </c>
      <c r="F4507" s="38">
        <v>6.2511999999999999</v>
      </c>
      <c r="G4507" s="83">
        <f t="shared" si="71"/>
        <v>6.1372285714285733</v>
      </c>
    </row>
    <row r="4508" spans="1:7" x14ac:dyDescent="0.2">
      <c r="A4508" s="354">
        <v>44959</v>
      </c>
      <c r="B4508" t="s">
        <v>3103</v>
      </c>
      <c r="C4508" s="76" t="s">
        <v>536</v>
      </c>
      <c r="D4508" s="38">
        <v>8106.3335509999997</v>
      </c>
      <c r="E4508" s="38">
        <v>6.1988000000000003</v>
      </c>
      <c r="F4508" s="38">
        <v>6.2511999999999999</v>
      </c>
      <c r="G4508" s="83">
        <f t="shared" si="71"/>
        <v>6.1355158730158745</v>
      </c>
    </row>
    <row r="4509" spans="1:7" x14ac:dyDescent="0.2">
      <c r="A4509" s="354">
        <v>44960</v>
      </c>
      <c r="B4509" t="s">
        <v>3103</v>
      </c>
      <c r="C4509" s="76" t="s">
        <v>536</v>
      </c>
      <c r="D4509" s="38">
        <v>8066.6667230000003</v>
      </c>
      <c r="E4509" s="38">
        <v>6.2512999999999996</v>
      </c>
      <c r="F4509" s="38">
        <v>6.3662000000000001</v>
      </c>
      <c r="G4509" s="83">
        <f t="shared" si="71"/>
        <v>6.1346365079365102</v>
      </c>
    </row>
    <row r="4510" spans="1:7" x14ac:dyDescent="0.2">
      <c r="A4510" s="354">
        <v>44960</v>
      </c>
      <c r="B4510" t="s">
        <v>3103</v>
      </c>
      <c r="C4510" s="76" t="s">
        <v>536</v>
      </c>
      <c r="D4510" s="38">
        <v>8066.6667230000003</v>
      </c>
      <c r="E4510" s="38">
        <v>6.2512999999999996</v>
      </c>
      <c r="F4510" s="38">
        <v>6.3662000000000001</v>
      </c>
      <c r="G4510" s="83">
        <f t="shared" si="71"/>
        <v>6.1335444444444471</v>
      </c>
    </row>
    <row r="4511" spans="1:7" x14ac:dyDescent="0.2">
      <c r="A4511" s="354">
        <v>44963</v>
      </c>
      <c r="B4511" t="s">
        <v>3103</v>
      </c>
      <c r="C4511" s="76" t="s">
        <v>536</v>
      </c>
      <c r="D4511" s="38">
        <v>8096.7843400000002</v>
      </c>
      <c r="E4511" s="38">
        <v>6.3662999999999998</v>
      </c>
      <c r="F4511" s="38">
        <v>6.2976000000000001</v>
      </c>
      <c r="G4511" s="83">
        <f t="shared" si="71"/>
        <v>6.1342777777777799</v>
      </c>
    </row>
    <row r="4512" spans="1:7" x14ac:dyDescent="0.2">
      <c r="A4512" s="354">
        <v>44963</v>
      </c>
      <c r="B4512" t="s">
        <v>3103</v>
      </c>
      <c r="C4512" s="76" t="s">
        <v>536</v>
      </c>
      <c r="D4512" s="38">
        <v>8096.7843400000002</v>
      </c>
      <c r="E4512" s="38">
        <v>6.3662999999999998</v>
      </c>
      <c r="F4512" s="38">
        <v>6.2976000000000001</v>
      </c>
      <c r="G4512" s="83">
        <f t="shared" si="71"/>
        <v>6.1354523809523833</v>
      </c>
    </row>
    <row r="4513" spans="1:7" x14ac:dyDescent="0.2">
      <c r="A4513" s="354">
        <v>44964</v>
      </c>
      <c r="B4513" t="s">
        <v>3103</v>
      </c>
      <c r="C4513" s="76" t="s">
        <v>536</v>
      </c>
      <c r="D4513" s="38">
        <v>8117.461765</v>
      </c>
      <c r="E4513" s="38">
        <v>6.2976000000000001</v>
      </c>
      <c r="F4513" s="38">
        <v>6.2538999999999998</v>
      </c>
      <c r="G4513" s="83">
        <f t="shared" si="71"/>
        <v>6.1355365079365107</v>
      </c>
    </row>
    <row r="4514" spans="1:7" x14ac:dyDescent="0.2">
      <c r="A4514" s="354">
        <v>44964</v>
      </c>
      <c r="B4514" t="s">
        <v>3103</v>
      </c>
      <c r="C4514" s="76" t="s">
        <v>536</v>
      </c>
      <c r="D4514" s="38">
        <v>8117.461765</v>
      </c>
      <c r="E4514" s="38">
        <v>6.2976000000000001</v>
      </c>
      <c r="F4514" s="38">
        <v>6.2538999999999998</v>
      </c>
      <c r="G4514" s="83">
        <f t="shared" si="71"/>
        <v>6.1370476190476211</v>
      </c>
    </row>
    <row r="4515" spans="1:7" x14ac:dyDescent="0.2">
      <c r="A4515" s="354">
        <v>44965</v>
      </c>
      <c r="B4515" t="s">
        <v>3103</v>
      </c>
      <c r="C4515" s="76" t="s">
        <v>536</v>
      </c>
      <c r="D4515" s="38">
        <v>8167.1881000000003</v>
      </c>
      <c r="E4515" s="38">
        <v>6.2539999999999996</v>
      </c>
      <c r="F4515" s="38">
        <v>6.1346999999999996</v>
      </c>
      <c r="G4515" s="83">
        <f t="shared" si="71"/>
        <v>6.1378666666666692</v>
      </c>
    </row>
    <row r="4516" spans="1:7" x14ac:dyDescent="0.2">
      <c r="A4516" s="354">
        <v>44965</v>
      </c>
      <c r="B4516" t="s">
        <v>3103</v>
      </c>
      <c r="C4516" s="76" t="s">
        <v>536</v>
      </c>
      <c r="D4516" s="38">
        <v>8167.1881000000003</v>
      </c>
      <c r="E4516" s="38">
        <v>6.2539999999999996</v>
      </c>
      <c r="F4516" s="38">
        <v>6.1346999999999996</v>
      </c>
      <c r="G4516" s="83">
        <f t="shared" si="71"/>
        <v>6.1386777777777803</v>
      </c>
    </row>
    <row r="4517" spans="1:7" x14ac:dyDescent="0.2">
      <c r="A4517" s="354">
        <v>44966</v>
      </c>
      <c r="B4517" t="s">
        <v>3103</v>
      </c>
      <c r="C4517" s="76" t="s">
        <v>536</v>
      </c>
      <c r="D4517" s="38">
        <v>8139.763852</v>
      </c>
      <c r="E4517" s="38">
        <v>6.1349</v>
      </c>
      <c r="F4517" s="38">
        <v>6.2115999999999998</v>
      </c>
      <c r="G4517" s="83">
        <f t="shared" si="71"/>
        <v>6.1375984126984164</v>
      </c>
    </row>
    <row r="4518" spans="1:7" x14ac:dyDescent="0.2">
      <c r="A4518" s="354">
        <v>44966</v>
      </c>
      <c r="B4518" t="s">
        <v>3103</v>
      </c>
      <c r="C4518" s="76" t="s">
        <v>536</v>
      </c>
      <c r="D4518" s="38">
        <v>8139.763852</v>
      </c>
      <c r="E4518" s="38">
        <v>6.1349</v>
      </c>
      <c r="F4518" s="38">
        <v>6.2115999999999998</v>
      </c>
      <c r="G4518" s="83">
        <f t="shared" si="71"/>
        <v>6.1365714285714317</v>
      </c>
    </row>
    <row r="4519" spans="1:7" x14ac:dyDescent="0.2">
      <c r="A4519" s="354">
        <v>44967</v>
      </c>
      <c r="B4519" t="s">
        <v>3103</v>
      </c>
      <c r="C4519" s="76" t="s">
        <v>536</v>
      </c>
      <c r="D4519" s="38">
        <v>8160.6580180000001</v>
      </c>
      <c r="E4519" s="38">
        <v>6.2118000000000002</v>
      </c>
      <c r="F4519" s="38">
        <v>6.1675000000000004</v>
      </c>
      <c r="G4519" s="83">
        <f t="shared" si="71"/>
        <v>6.136765079365083</v>
      </c>
    </row>
    <row r="4520" spans="1:7" x14ac:dyDescent="0.2">
      <c r="A4520" s="354">
        <v>44967</v>
      </c>
      <c r="B4520" t="s">
        <v>3103</v>
      </c>
      <c r="C4520" s="76" t="s">
        <v>536</v>
      </c>
      <c r="D4520" s="38">
        <v>8160.6580180000001</v>
      </c>
      <c r="E4520" s="38">
        <v>6.2118000000000002</v>
      </c>
      <c r="F4520" s="38">
        <v>6.1675000000000004</v>
      </c>
      <c r="G4520" s="83">
        <f t="shared" si="71"/>
        <v>6.1388365079365101</v>
      </c>
    </row>
    <row r="4521" spans="1:7" x14ac:dyDescent="0.2">
      <c r="A4521" s="354">
        <v>44970</v>
      </c>
      <c r="B4521" t="s">
        <v>3103</v>
      </c>
      <c r="C4521" s="76" t="s">
        <v>536</v>
      </c>
      <c r="D4521" s="38">
        <v>8169.0928860000004</v>
      </c>
      <c r="E4521" s="38">
        <v>6.1677</v>
      </c>
      <c r="F4521" s="38">
        <v>6.1558999999999999</v>
      </c>
      <c r="G4521" s="83">
        <f t="shared" si="71"/>
        <v>6.1402079365079389</v>
      </c>
    </row>
    <row r="4522" spans="1:7" x14ac:dyDescent="0.2">
      <c r="A4522" s="354">
        <v>44970</v>
      </c>
      <c r="B4522" t="s">
        <v>3103</v>
      </c>
      <c r="C4522" s="76" t="s">
        <v>536</v>
      </c>
      <c r="D4522" s="38">
        <v>8169.0928860000004</v>
      </c>
      <c r="E4522" s="38">
        <v>6.1677</v>
      </c>
      <c r="F4522" s="38">
        <v>6.1558999999999999</v>
      </c>
      <c r="G4522" s="83">
        <f t="shared" si="71"/>
        <v>6.1412761904761943</v>
      </c>
    </row>
    <row r="4523" spans="1:7" x14ac:dyDescent="0.2">
      <c r="A4523" s="354">
        <v>44971</v>
      </c>
      <c r="B4523" t="s">
        <v>3103</v>
      </c>
      <c r="C4523" s="76" t="s">
        <v>536</v>
      </c>
      <c r="D4523" s="38">
        <v>8192.2525900000001</v>
      </c>
      <c r="E4523" s="38">
        <v>6.1562000000000001</v>
      </c>
      <c r="F4523" s="38">
        <v>6.1062000000000003</v>
      </c>
      <c r="G4523" s="83">
        <f t="shared" si="71"/>
        <v>6.1421619047619087</v>
      </c>
    </row>
    <row r="4524" spans="1:7" x14ac:dyDescent="0.2">
      <c r="A4524" s="354">
        <v>44971</v>
      </c>
      <c r="B4524" t="s">
        <v>3103</v>
      </c>
      <c r="C4524" s="76" t="s">
        <v>536</v>
      </c>
      <c r="D4524" s="38">
        <v>8192.2525900000001</v>
      </c>
      <c r="E4524" s="38">
        <v>6.1562000000000001</v>
      </c>
      <c r="F4524" s="38">
        <v>6.1062000000000003</v>
      </c>
      <c r="G4524" s="83">
        <f t="shared" si="71"/>
        <v>6.1430412698412731</v>
      </c>
    </row>
    <row r="4525" spans="1:7" x14ac:dyDescent="0.2">
      <c r="A4525" s="354">
        <v>44972</v>
      </c>
      <c r="B4525" t="s">
        <v>3103</v>
      </c>
      <c r="C4525" s="76" t="s">
        <v>536</v>
      </c>
      <c r="D4525" s="38">
        <v>8251.0137159999995</v>
      </c>
      <c r="E4525" s="38">
        <v>6.1063999999999998</v>
      </c>
      <c r="F4525" s="38">
        <v>5.9648000000000003</v>
      </c>
      <c r="G4525" s="83">
        <f t="shared" si="71"/>
        <v>6.1431301587301625</v>
      </c>
    </row>
    <row r="4526" spans="1:7" x14ac:dyDescent="0.2">
      <c r="A4526" s="354">
        <v>44972</v>
      </c>
      <c r="B4526" t="s">
        <v>3103</v>
      </c>
      <c r="C4526" s="76" t="s">
        <v>536</v>
      </c>
      <c r="D4526" s="38">
        <v>8251.0137159999995</v>
      </c>
      <c r="E4526" s="38">
        <v>6.1063999999999998</v>
      </c>
      <c r="F4526" s="38">
        <v>5.9648000000000003</v>
      </c>
      <c r="G4526" s="83">
        <f t="shared" si="71"/>
        <v>6.1409507936507977</v>
      </c>
    </row>
    <row r="4527" spans="1:7" x14ac:dyDescent="0.2">
      <c r="A4527" s="354">
        <v>44973</v>
      </c>
      <c r="B4527" t="s">
        <v>3103</v>
      </c>
      <c r="C4527" s="76" t="s">
        <v>536</v>
      </c>
      <c r="D4527" s="38">
        <v>8265.6089890000003</v>
      </c>
      <c r="E4527" s="38">
        <v>5.9652000000000003</v>
      </c>
      <c r="F4527" s="38">
        <v>5.9420999999999999</v>
      </c>
      <c r="G4527" s="83">
        <f t="shared" si="71"/>
        <v>6.1365301587301628</v>
      </c>
    </row>
    <row r="4528" spans="1:7" x14ac:dyDescent="0.2">
      <c r="A4528" s="354">
        <v>44973</v>
      </c>
      <c r="B4528" t="s">
        <v>3103</v>
      </c>
      <c r="C4528" s="76" t="s">
        <v>536</v>
      </c>
      <c r="D4528" s="38">
        <v>8265.6089890000003</v>
      </c>
      <c r="E4528" s="38">
        <v>5.9652000000000003</v>
      </c>
      <c r="F4528" s="38">
        <v>5.9420999999999999</v>
      </c>
      <c r="G4528" s="83">
        <f t="shared" si="71"/>
        <v>6.1307079365079389</v>
      </c>
    </row>
    <row r="4529" spans="1:7" x14ac:dyDescent="0.2">
      <c r="A4529" s="354">
        <v>44974</v>
      </c>
      <c r="B4529" t="s">
        <v>3103</v>
      </c>
      <c r="C4529" s="76" t="s">
        <v>536</v>
      </c>
      <c r="D4529" s="38">
        <v>8285.5777720000006</v>
      </c>
      <c r="E4529" s="38">
        <v>5.9424999999999999</v>
      </c>
      <c r="F4529" s="38">
        <v>5.9057000000000004</v>
      </c>
      <c r="G4529" s="83">
        <f t="shared" si="71"/>
        <v>6.1245253968253994</v>
      </c>
    </row>
    <row r="4530" spans="1:7" x14ac:dyDescent="0.2">
      <c r="A4530" s="354">
        <v>44974</v>
      </c>
      <c r="B4530" t="s">
        <v>3103</v>
      </c>
      <c r="C4530" s="76" t="s">
        <v>536</v>
      </c>
      <c r="D4530" s="38">
        <v>8285.5777720000006</v>
      </c>
      <c r="E4530" s="38">
        <v>5.9424999999999999</v>
      </c>
      <c r="F4530" s="38">
        <v>5.9057000000000004</v>
      </c>
      <c r="G4530" s="83">
        <f t="shared" si="71"/>
        <v>6.1175142857142868</v>
      </c>
    </row>
    <row r="4531" spans="1:7" x14ac:dyDescent="0.2">
      <c r="A4531" s="354">
        <v>44979</v>
      </c>
      <c r="B4531" t="s">
        <v>3103</v>
      </c>
      <c r="C4531" s="76" t="s">
        <v>536</v>
      </c>
      <c r="D4531" s="38">
        <v>8264.945882</v>
      </c>
      <c r="E4531" s="38">
        <v>5.9061000000000003</v>
      </c>
      <c r="F4531" s="38">
        <v>5.9733000000000001</v>
      </c>
      <c r="G4531" s="83">
        <f t="shared" si="71"/>
        <v>6.1099253968253979</v>
      </c>
    </row>
    <row r="4532" spans="1:7" x14ac:dyDescent="0.2">
      <c r="A4532" s="354">
        <v>44979</v>
      </c>
      <c r="B4532" t="s">
        <v>3103</v>
      </c>
      <c r="C4532" s="76" t="s">
        <v>536</v>
      </c>
      <c r="D4532" s="38">
        <v>8264.945882</v>
      </c>
      <c r="E4532" s="38">
        <v>5.9061000000000003</v>
      </c>
      <c r="F4532" s="38">
        <v>5.9733000000000001</v>
      </c>
      <c r="G4532" s="83">
        <f t="shared" si="71"/>
        <v>6.103415873015873</v>
      </c>
    </row>
    <row r="4533" spans="1:7" x14ac:dyDescent="0.2">
      <c r="A4533" s="354">
        <v>44980</v>
      </c>
      <c r="B4533" t="s">
        <v>3103</v>
      </c>
      <c r="C4533" s="76" t="s">
        <v>536</v>
      </c>
      <c r="D4533" s="38">
        <v>8257.6221310000001</v>
      </c>
      <c r="E4533" s="38">
        <v>5.9736000000000002</v>
      </c>
      <c r="F4533" s="38">
        <v>6.0068000000000001</v>
      </c>
      <c r="G4533" s="83">
        <f t="shared" si="71"/>
        <v>6.0979777777777766</v>
      </c>
    </row>
    <row r="4534" spans="1:7" x14ac:dyDescent="0.2">
      <c r="A4534" s="354">
        <v>44980</v>
      </c>
      <c r="B4534" t="s">
        <v>3103</v>
      </c>
      <c r="C4534" s="76" t="s">
        <v>536</v>
      </c>
      <c r="D4534" s="38">
        <v>8257.6221310000001</v>
      </c>
      <c r="E4534" s="38">
        <v>5.9736000000000002</v>
      </c>
      <c r="F4534" s="38">
        <v>6.0068000000000001</v>
      </c>
      <c r="G4534" s="83">
        <f t="shared" si="71"/>
        <v>6.0940349206349191</v>
      </c>
    </row>
    <row r="4535" spans="1:7" x14ac:dyDescent="0.2">
      <c r="A4535" s="354">
        <v>44981</v>
      </c>
      <c r="B4535" t="s">
        <v>3103</v>
      </c>
      <c r="C4535" s="76" t="s">
        <v>536</v>
      </c>
      <c r="D4535" s="38">
        <v>8237.2711149999996</v>
      </c>
      <c r="E4535" s="38">
        <v>6.0072000000000001</v>
      </c>
      <c r="F4535" s="38">
        <v>6.0739999999999998</v>
      </c>
      <c r="G4535" s="83">
        <f t="shared" si="71"/>
        <v>6.0906253968253949</v>
      </c>
    </row>
    <row r="4536" spans="1:7" x14ac:dyDescent="0.2">
      <c r="A4536" s="354">
        <v>44981</v>
      </c>
      <c r="B4536" t="s">
        <v>3103</v>
      </c>
      <c r="C4536" s="76" t="s">
        <v>536</v>
      </c>
      <c r="D4536" s="38">
        <v>8237.2711149999996</v>
      </c>
      <c r="E4536" s="38">
        <v>6.0072000000000001</v>
      </c>
      <c r="F4536" s="38">
        <v>6.0739999999999998</v>
      </c>
      <c r="G4536" s="83">
        <f t="shared" si="71"/>
        <v>6.08740476190476</v>
      </c>
    </row>
    <row r="4537" spans="1:7" x14ac:dyDescent="0.2">
      <c r="A4537" s="354">
        <v>44984</v>
      </c>
      <c r="B4537" t="s">
        <v>3103</v>
      </c>
      <c r="C4537" s="76" t="s">
        <v>536</v>
      </c>
      <c r="D4537" s="38">
        <v>8262.484547</v>
      </c>
      <c r="E4537" s="38">
        <v>6.0743999999999998</v>
      </c>
      <c r="F4537" s="38">
        <v>6.0212000000000003</v>
      </c>
      <c r="G4537" s="83">
        <f t="shared" si="71"/>
        <v>6.0852507936507925</v>
      </c>
    </row>
    <row r="4538" spans="1:7" x14ac:dyDescent="0.2">
      <c r="A4538" s="354">
        <v>44984</v>
      </c>
      <c r="B4538" t="s">
        <v>3103</v>
      </c>
      <c r="C4538" s="76" t="s">
        <v>536</v>
      </c>
      <c r="D4538" s="38">
        <v>8262.484547</v>
      </c>
      <c r="E4538" s="38">
        <v>6.0743999999999998</v>
      </c>
      <c r="F4538" s="38">
        <v>6.0212000000000003</v>
      </c>
      <c r="G4538" s="83">
        <f t="shared" si="71"/>
        <v>6.0845380952380941</v>
      </c>
    </row>
    <row r="4539" spans="1:7" x14ac:dyDescent="0.2">
      <c r="A4539" s="354">
        <v>44985</v>
      </c>
      <c r="B4539" t="s">
        <v>3103</v>
      </c>
      <c r="C4539" s="76" t="s">
        <v>536</v>
      </c>
      <c r="D4539" s="38">
        <v>8251.6969929999996</v>
      </c>
      <c r="E4539" s="38">
        <v>6.0216000000000003</v>
      </c>
      <c r="F4539" s="38">
        <v>6.0632999999999999</v>
      </c>
      <c r="G4539" s="83">
        <f t="shared" si="71"/>
        <v>6.0829873015872993</v>
      </c>
    </row>
    <row r="4540" spans="1:7" x14ac:dyDescent="0.2">
      <c r="A4540" s="354">
        <v>44985</v>
      </c>
      <c r="B4540" t="s">
        <v>3103</v>
      </c>
      <c r="C4540" s="76" t="s">
        <v>536</v>
      </c>
      <c r="D4540" s="38">
        <v>8251.6969929999996</v>
      </c>
      <c r="E4540" s="38">
        <v>6.0216000000000003</v>
      </c>
      <c r="F4540" s="38">
        <v>6.0632999999999999</v>
      </c>
      <c r="G4540" s="83">
        <f t="shared" ref="G4540:G4594" si="72">+AVERAGE(E4478:E4540)</f>
        <v>6.0831507936507911</v>
      </c>
    </row>
    <row r="4541" spans="1:7" x14ac:dyDescent="0.2">
      <c r="A4541" s="354">
        <v>44986</v>
      </c>
      <c r="B4541" t="s">
        <v>3103</v>
      </c>
      <c r="C4541" s="76" t="s">
        <v>536</v>
      </c>
      <c r="D4541" s="38">
        <v>8248.4748290000007</v>
      </c>
      <c r="E4541" s="38">
        <v>6.0636999999999999</v>
      </c>
      <c r="F4541" s="38">
        <v>6.0860000000000003</v>
      </c>
      <c r="G4541" s="83">
        <f t="shared" si="72"/>
        <v>6.0839825396825375</v>
      </c>
    </row>
    <row r="4542" spans="1:7" x14ac:dyDescent="0.2">
      <c r="A4542" s="354">
        <v>44986</v>
      </c>
      <c r="B4542" t="s">
        <v>3103</v>
      </c>
      <c r="C4542" s="76" t="s">
        <v>536</v>
      </c>
      <c r="D4542" s="38">
        <v>8248.4748290000007</v>
      </c>
      <c r="E4542" s="38">
        <v>6.0636999999999999</v>
      </c>
      <c r="F4542" s="38">
        <v>6.0860000000000003</v>
      </c>
      <c r="G4542" s="83">
        <f t="shared" si="72"/>
        <v>6.0858238095238066</v>
      </c>
    </row>
    <row r="4543" spans="1:7" x14ac:dyDescent="0.2">
      <c r="A4543" s="354">
        <v>44987</v>
      </c>
      <c r="B4543" t="s">
        <v>3103</v>
      </c>
      <c r="C4543" s="76" t="s">
        <v>536</v>
      </c>
      <c r="D4543" s="38">
        <v>8219.8813119999995</v>
      </c>
      <c r="E4543" s="38">
        <v>6.0864000000000003</v>
      </c>
      <c r="F4543" s="38">
        <v>6.1741999999999999</v>
      </c>
      <c r="G4543" s="83">
        <f t="shared" si="72"/>
        <v>6.0880253968253948</v>
      </c>
    </row>
    <row r="4544" spans="1:7" x14ac:dyDescent="0.2">
      <c r="A4544" s="354">
        <v>44987</v>
      </c>
      <c r="B4544" t="s">
        <v>3103</v>
      </c>
      <c r="C4544" s="76" t="s">
        <v>536</v>
      </c>
      <c r="D4544" s="38">
        <v>8219.8813119999995</v>
      </c>
      <c r="E4544" s="38">
        <v>6.0864000000000003</v>
      </c>
      <c r="F4544" s="38">
        <v>6.1741999999999999</v>
      </c>
      <c r="G4544" s="83">
        <f t="shared" si="72"/>
        <v>6.0903095238095215</v>
      </c>
    </row>
    <row r="4545" spans="1:7" x14ac:dyDescent="0.2">
      <c r="A4545" s="354">
        <v>44988</v>
      </c>
      <c r="B4545" t="s">
        <v>3103</v>
      </c>
      <c r="C4545" s="76" t="s">
        <v>536</v>
      </c>
      <c r="D4545" s="38">
        <v>8234.0542349999996</v>
      </c>
      <c r="E4545" s="38">
        <v>6.1745000000000001</v>
      </c>
      <c r="F4545" s="38">
        <v>6.1520000000000001</v>
      </c>
      <c r="G4545" s="83">
        <f t="shared" si="72"/>
        <v>6.0939920634920615</v>
      </c>
    </row>
    <row r="4546" spans="1:7" x14ac:dyDescent="0.2">
      <c r="A4546" s="354">
        <v>44988</v>
      </c>
      <c r="B4546" t="s">
        <v>3103</v>
      </c>
      <c r="C4546" s="76" t="s">
        <v>536</v>
      </c>
      <c r="D4546" s="38">
        <v>8234.0542349999996</v>
      </c>
      <c r="E4546" s="38">
        <v>6.1745000000000001</v>
      </c>
      <c r="F4546" s="38">
        <v>6.1520000000000001</v>
      </c>
      <c r="G4546" s="83">
        <f t="shared" si="72"/>
        <v>6.0965666666666642</v>
      </c>
    </row>
    <row r="4547" spans="1:7" x14ac:dyDescent="0.2">
      <c r="A4547" s="354">
        <v>44991</v>
      </c>
      <c r="B4547" t="s">
        <v>3103</v>
      </c>
      <c r="C4547" s="76" t="s">
        <v>536</v>
      </c>
      <c r="D4547" s="38">
        <v>8245.6067800000001</v>
      </c>
      <c r="E4547" s="38">
        <v>6.1524000000000001</v>
      </c>
      <c r="F4547" s="38">
        <v>6.1367000000000003</v>
      </c>
      <c r="G4547" s="83">
        <f t="shared" si="72"/>
        <v>6.0987904761904739</v>
      </c>
    </row>
    <row r="4548" spans="1:7" x14ac:dyDescent="0.2">
      <c r="A4548" s="354">
        <v>44991</v>
      </c>
      <c r="B4548" t="s">
        <v>3103</v>
      </c>
      <c r="C4548" s="76" t="s">
        <v>536</v>
      </c>
      <c r="D4548" s="38">
        <v>8245.6067800000001</v>
      </c>
      <c r="E4548" s="38">
        <v>6.1524000000000001</v>
      </c>
      <c r="F4548" s="38">
        <v>6.1367000000000003</v>
      </c>
      <c r="G4548" s="83">
        <f t="shared" si="72"/>
        <v>6.1020952380952362</v>
      </c>
    </row>
    <row r="4549" spans="1:7" x14ac:dyDescent="0.2">
      <c r="A4549" s="354">
        <v>44992</v>
      </c>
      <c r="B4549" t="s">
        <v>3103</v>
      </c>
      <c r="C4549" s="76" t="s">
        <v>536</v>
      </c>
      <c r="D4549" s="38">
        <v>8272.6217969999998</v>
      </c>
      <c r="E4549" s="38">
        <v>6.1372</v>
      </c>
      <c r="F4549" s="38">
        <v>6.0818000000000003</v>
      </c>
      <c r="G4549" s="83">
        <f t="shared" si="72"/>
        <v>6.1051587301587293</v>
      </c>
    </row>
    <row r="4550" spans="1:7" x14ac:dyDescent="0.2">
      <c r="A4550" s="354">
        <v>44992</v>
      </c>
      <c r="B4550" t="s">
        <v>3103</v>
      </c>
      <c r="C4550" s="76" t="s">
        <v>536</v>
      </c>
      <c r="D4550" s="38">
        <v>8272.6217969999998</v>
      </c>
      <c r="E4550" s="38">
        <v>6.1372</v>
      </c>
      <c r="F4550" s="38">
        <v>6.0818000000000003</v>
      </c>
      <c r="G4550" s="83">
        <f t="shared" si="72"/>
        <v>6.1079555555555567</v>
      </c>
    </row>
    <row r="4551" spans="1:7" x14ac:dyDescent="0.2">
      <c r="A4551" s="354">
        <v>44993</v>
      </c>
      <c r="B4551" t="s">
        <v>3103</v>
      </c>
      <c r="C4551" s="76" t="s">
        <v>536</v>
      </c>
      <c r="D4551" s="38">
        <v>8309.9735469999996</v>
      </c>
      <c r="E4551" s="38">
        <v>6.0823</v>
      </c>
      <c r="F4551" s="38">
        <v>6.0007000000000001</v>
      </c>
      <c r="G4551" s="83">
        <f t="shared" si="72"/>
        <v>6.1098809523809523</v>
      </c>
    </row>
    <row r="4552" spans="1:7" x14ac:dyDescent="0.2">
      <c r="A4552" s="354">
        <v>44993</v>
      </c>
      <c r="B4552" t="s">
        <v>3103</v>
      </c>
      <c r="C4552" s="76" t="s">
        <v>536</v>
      </c>
      <c r="D4552" s="38">
        <v>8309.9735469999996</v>
      </c>
      <c r="E4552" s="38">
        <v>6.0823</v>
      </c>
      <c r="F4552" s="38">
        <v>6.0007000000000001</v>
      </c>
      <c r="G4552" s="83">
        <f t="shared" si="72"/>
        <v>6.1121730158730152</v>
      </c>
    </row>
    <row r="4553" spans="1:7" x14ac:dyDescent="0.2">
      <c r="A4553" s="354">
        <v>44994</v>
      </c>
      <c r="B4553" t="s">
        <v>3103</v>
      </c>
      <c r="C4553" s="76" t="s">
        <v>536</v>
      </c>
      <c r="D4553" s="38">
        <v>8357.5801240000001</v>
      </c>
      <c r="E4553" s="38">
        <v>6.0011000000000001</v>
      </c>
      <c r="F4553" s="38">
        <v>5.8939000000000004</v>
      </c>
      <c r="G4553" s="83">
        <f t="shared" si="72"/>
        <v>6.1131761904761905</v>
      </c>
    </row>
    <row r="4554" spans="1:7" x14ac:dyDescent="0.2">
      <c r="A4554" s="354">
        <v>44994</v>
      </c>
      <c r="B4554" t="s">
        <v>3103</v>
      </c>
      <c r="C4554" s="76" t="s">
        <v>536</v>
      </c>
      <c r="D4554" s="38">
        <v>8357.5801240000001</v>
      </c>
      <c r="E4554" s="38">
        <v>6.0011000000000001</v>
      </c>
      <c r="F4554" s="38">
        <v>5.8939000000000004</v>
      </c>
      <c r="G4554" s="83">
        <f t="shared" si="72"/>
        <v>6.1124000000000009</v>
      </c>
    </row>
    <row r="4555" spans="1:7" x14ac:dyDescent="0.2">
      <c r="A4555" s="354">
        <v>44995</v>
      </c>
      <c r="B4555" t="s">
        <v>3103</v>
      </c>
      <c r="C4555" s="76" t="s">
        <v>536</v>
      </c>
      <c r="D4555" s="38">
        <v>8347.1086670000004</v>
      </c>
      <c r="E4555" s="38">
        <v>5.8944999999999999</v>
      </c>
      <c r="F4555" s="38">
        <v>5.9471999999999996</v>
      </c>
      <c r="G4555" s="83">
        <f t="shared" si="72"/>
        <v>6.109931746031747</v>
      </c>
    </row>
    <row r="4556" spans="1:7" x14ac:dyDescent="0.2">
      <c r="A4556" s="354">
        <v>44995</v>
      </c>
      <c r="B4556" t="s">
        <v>3103</v>
      </c>
      <c r="C4556" s="76" t="s">
        <v>536</v>
      </c>
      <c r="D4556" s="38">
        <v>8347.1086670000004</v>
      </c>
      <c r="E4556" s="38">
        <v>5.8944999999999999</v>
      </c>
      <c r="F4556" s="38">
        <v>5.9471999999999996</v>
      </c>
      <c r="G4556" s="83">
        <f t="shared" si="72"/>
        <v>6.1065571428571443</v>
      </c>
    </row>
    <row r="4557" spans="1:7" x14ac:dyDescent="0.2">
      <c r="A4557" s="354">
        <v>44998</v>
      </c>
      <c r="B4557" t="s">
        <v>3103</v>
      </c>
      <c r="C4557" s="76" t="s">
        <v>536</v>
      </c>
      <c r="D4557" s="38">
        <v>8376.8139150000006</v>
      </c>
      <c r="E4557" s="38">
        <v>5.9477000000000002</v>
      </c>
      <c r="F4557" s="38">
        <v>5.8871000000000002</v>
      </c>
      <c r="G4557" s="83">
        <f t="shared" si="72"/>
        <v>6.1040269841269854</v>
      </c>
    </row>
    <row r="4558" spans="1:7" x14ac:dyDescent="0.2">
      <c r="A4558" s="354">
        <v>44998</v>
      </c>
      <c r="B4558" t="s">
        <v>3103</v>
      </c>
      <c r="C4558" s="76" t="s">
        <v>536</v>
      </c>
      <c r="D4558" s="38">
        <v>8376.8139150000006</v>
      </c>
      <c r="E4558" s="38">
        <v>5.9477000000000002</v>
      </c>
      <c r="F4558" s="38">
        <v>5.8871000000000002</v>
      </c>
      <c r="G4558" s="83">
        <f t="shared" si="72"/>
        <v>6.1024444444444468</v>
      </c>
    </row>
    <row r="4559" spans="1:7" x14ac:dyDescent="0.2">
      <c r="A4559" s="354">
        <v>44999</v>
      </c>
      <c r="B4559" t="s">
        <v>3103</v>
      </c>
      <c r="C4559" s="76" t="s">
        <v>536</v>
      </c>
      <c r="D4559" s="38">
        <v>8366.1370619999998</v>
      </c>
      <c r="E4559" s="38">
        <v>5.8876999999999997</v>
      </c>
      <c r="F4559" s="38">
        <v>5.9294000000000002</v>
      </c>
      <c r="G4559" s="83">
        <f t="shared" si="72"/>
        <v>6.0999095238095258</v>
      </c>
    </row>
    <row r="4560" spans="1:7" x14ac:dyDescent="0.2">
      <c r="A4560" s="354">
        <v>44999</v>
      </c>
      <c r="B4560" t="s">
        <v>3103</v>
      </c>
      <c r="C4560" s="76" t="s">
        <v>536</v>
      </c>
      <c r="D4560" s="38">
        <v>8366.1370619999998</v>
      </c>
      <c r="E4560" s="38">
        <v>5.8876999999999997</v>
      </c>
      <c r="F4560" s="38">
        <v>5.9294000000000002</v>
      </c>
      <c r="G4560" s="83">
        <f t="shared" si="72"/>
        <v>6.0977492063492074</v>
      </c>
    </row>
    <row r="4561" spans="1:7" x14ac:dyDescent="0.2">
      <c r="A4561" s="354">
        <v>45000</v>
      </c>
      <c r="B4561" t="s">
        <v>3103</v>
      </c>
      <c r="C4561" s="76" t="s">
        <v>536</v>
      </c>
      <c r="D4561" s="38">
        <v>8380.8292500000007</v>
      </c>
      <c r="E4561" s="38">
        <v>5.93</v>
      </c>
      <c r="F4561" s="38">
        <v>5.9074999999999998</v>
      </c>
      <c r="G4561" s="83">
        <f t="shared" si="72"/>
        <v>6.0962603174603194</v>
      </c>
    </row>
    <row r="4562" spans="1:7" x14ac:dyDescent="0.2">
      <c r="A4562" s="354">
        <v>45000</v>
      </c>
      <c r="B4562" t="s">
        <v>3103</v>
      </c>
      <c r="C4562" s="76" t="s">
        <v>536</v>
      </c>
      <c r="D4562" s="38">
        <v>8380.8292500000007</v>
      </c>
      <c r="E4562" s="38">
        <v>5.93</v>
      </c>
      <c r="F4562" s="38">
        <v>5.9074999999999998</v>
      </c>
      <c r="G4562" s="83">
        <f t="shared" si="72"/>
        <v>6.0941444444444475</v>
      </c>
    </row>
    <row r="4563" spans="1:7" x14ac:dyDescent="0.2">
      <c r="A4563" s="354">
        <v>45001</v>
      </c>
      <c r="B4563" t="s">
        <v>3103</v>
      </c>
      <c r="C4563" s="76" t="s">
        <v>536</v>
      </c>
      <c r="D4563" s="38">
        <v>8391.8010579999991</v>
      </c>
      <c r="E4563" s="38">
        <v>5.9080000000000004</v>
      </c>
      <c r="F4563" s="38">
        <v>5.8921999999999999</v>
      </c>
      <c r="G4563" s="83">
        <f t="shared" si="72"/>
        <v>6.0916793650793677</v>
      </c>
    </row>
    <row r="4564" spans="1:7" x14ac:dyDescent="0.2">
      <c r="A4564" s="354">
        <v>45001</v>
      </c>
      <c r="B4564" t="s">
        <v>3103</v>
      </c>
      <c r="C4564" s="76" t="s">
        <v>536</v>
      </c>
      <c r="D4564" s="38">
        <v>8391.8010579999991</v>
      </c>
      <c r="E4564" s="38">
        <v>5.9080000000000004</v>
      </c>
      <c r="F4564" s="38">
        <v>5.8921999999999999</v>
      </c>
      <c r="G4564" s="83">
        <f t="shared" si="72"/>
        <v>6.0875873015873054</v>
      </c>
    </row>
    <row r="4565" spans="1:7" x14ac:dyDescent="0.2">
      <c r="A4565" s="354">
        <v>45002</v>
      </c>
      <c r="B4565" t="s">
        <v>3103</v>
      </c>
      <c r="C4565" s="76" t="s">
        <v>536</v>
      </c>
      <c r="D4565" s="38">
        <v>8417.5488019999993</v>
      </c>
      <c r="E4565" s="38">
        <v>5.8926999999999996</v>
      </c>
      <c r="F4565" s="38">
        <v>5.8396999999999997</v>
      </c>
      <c r="G4565" s="83">
        <f t="shared" si="72"/>
        <v>6.0832523809523842</v>
      </c>
    </row>
    <row r="4566" spans="1:7" x14ac:dyDescent="0.2">
      <c r="A4566" s="354">
        <v>45002</v>
      </c>
      <c r="B4566" t="s">
        <v>3103</v>
      </c>
      <c r="C4566" s="76" t="s">
        <v>536</v>
      </c>
      <c r="D4566" s="38">
        <v>8417.5488019999993</v>
      </c>
      <c r="E4566" s="38">
        <v>5.8926999999999996</v>
      </c>
      <c r="F4566" s="38">
        <v>5.8396999999999997</v>
      </c>
      <c r="G4566" s="83">
        <f t="shared" si="72"/>
        <v>6.0785952380952404</v>
      </c>
    </row>
    <row r="4567" spans="1:7" x14ac:dyDescent="0.2">
      <c r="A4567" s="354">
        <v>45005</v>
      </c>
      <c r="B4567" t="s">
        <v>3103</v>
      </c>
      <c r="C4567" s="76" t="s">
        <v>536</v>
      </c>
      <c r="D4567" s="38">
        <v>8425.0107220000009</v>
      </c>
      <c r="E4567" s="38">
        <v>5.8402000000000003</v>
      </c>
      <c r="F4567" s="38">
        <v>5.8333000000000004</v>
      </c>
      <c r="G4567" s="83">
        <f t="shared" si="72"/>
        <v>6.0731047619047622</v>
      </c>
    </row>
    <row r="4568" spans="1:7" x14ac:dyDescent="0.2">
      <c r="A4568" s="354">
        <v>45005</v>
      </c>
      <c r="B4568" t="s">
        <v>3103</v>
      </c>
      <c r="C4568" s="76" t="s">
        <v>536</v>
      </c>
      <c r="D4568" s="38">
        <v>8425.0107220000009</v>
      </c>
      <c r="E4568" s="38">
        <v>5.8402000000000003</v>
      </c>
      <c r="F4568" s="38">
        <v>5.8333000000000004</v>
      </c>
      <c r="G4568" s="83">
        <f t="shared" si="72"/>
        <v>6.067569841269842</v>
      </c>
    </row>
    <row r="4569" spans="1:7" x14ac:dyDescent="0.2">
      <c r="A4569" s="354">
        <v>45006</v>
      </c>
      <c r="B4569" t="s">
        <v>3103</v>
      </c>
      <c r="C4569" s="76" t="s">
        <v>536</v>
      </c>
      <c r="D4569" s="38">
        <v>8426.0312549999999</v>
      </c>
      <c r="E4569" s="38">
        <v>5.8338000000000001</v>
      </c>
      <c r="F4569" s="38">
        <v>5.8430999999999997</v>
      </c>
      <c r="G4569" s="83">
        <f t="shared" si="72"/>
        <v>6.0619333333333332</v>
      </c>
    </row>
    <row r="4570" spans="1:7" x14ac:dyDescent="0.2">
      <c r="A4570" s="354">
        <v>45006</v>
      </c>
      <c r="B4570" t="s">
        <v>3103</v>
      </c>
      <c r="C4570" s="76" t="s">
        <v>536</v>
      </c>
      <c r="D4570" s="38">
        <v>8426.0312549999999</v>
      </c>
      <c r="E4570" s="38">
        <v>5.8338000000000001</v>
      </c>
      <c r="F4570" s="38">
        <v>5.8430999999999997</v>
      </c>
      <c r="G4570" s="83">
        <f t="shared" si="72"/>
        <v>6.0561396825396825</v>
      </c>
    </row>
    <row r="4571" spans="1:7" x14ac:dyDescent="0.2">
      <c r="A4571" s="354">
        <v>45007</v>
      </c>
      <c r="B4571" t="s">
        <v>3103</v>
      </c>
      <c r="C4571" s="76" t="s">
        <v>536</v>
      </c>
      <c r="D4571" s="38">
        <v>8451.9980230000001</v>
      </c>
      <c r="E4571" s="38">
        <v>5.8436000000000003</v>
      </c>
      <c r="F4571" s="38">
        <v>5.7903000000000002</v>
      </c>
      <c r="G4571" s="83">
        <f t="shared" si="72"/>
        <v>6.0505015873015866</v>
      </c>
    </row>
    <row r="4572" spans="1:7" x14ac:dyDescent="0.2">
      <c r="A4572" s="354">
        <v>45007</v>
      </c>
      <c r="B4572" t="s">
        <v>3103</v>
      </c>
      <c r="C4572" s="76" t="s">
        <v>536</v>
      </c>
      <c r="D4572" s="38">
        <v>8451.9980230000001</v>
      </c>
      <c r="E4572" s="38">
        <v>5.8436000000000003</v>
      </c>
      <c r="F4572" s="38">
        <v>5.7903000000000002</v>
      </c>
      <c r="G4572" s="83">
        <f t="shared" si="72"/>
        <v>6.0440301587301573</v>
      </c>
    </row>
    <row r="4573" spans="1:7" x14ac:dyDescent="0.2">
      <c r="A4573" s="354">
        <v>45008</v>
      </c>
      <c r="B4573" t="s">
        <v>3103</v>
      </c>
      <c r="C4573" s="76" t="s">
        <v>536</v>
      </c>
      <c r="D4573" s="38">
        <v>8437.655659</v>
      </c>
      <c r="E4573" s="38">
        <v>5.7907999999999999</v>
      </c>
      <c r="F4573" s="38">
        <v>5.8385999999999996</v>
      </c>
      <c r="G4573" s="83">
        <f t="shared" si="72"/>
        <v>6.0367206349206342</v>
      </c>
    </row>
    <row r="4574" spans="1:7" x14ac:dyDescent="0.2">
      <c r="A4574" s="354">
        <v>45008</v>
      </c>
      <c r="B4574" t="s">
        <v>3103</v>
      </c>
      <c r="C4574" s="76" t="s">
        <v>536</v>
      </c>
      <c r="D4574" s="38">
        <v>8437.655659</v>
      </c>
      <c r="E4574" s="38">
        <v>5.7907999999999999</v>
      </c>
      <c r="F4574" s="38">
        <v>5.8385999999999996</v>
      </c>
      <c r="G4574" s="83">
        <f t="shared" si="72"/>
        <v>6.0275857142857125</v>
      </c>
    </row>
    <row r="4575" spans="1:7" x14ac:dyDescent="0.2">
      <c r="A4575" s="354">
        <v>45009</v>
      </c>
      <c r="B4575" t="s">
        <v>3103</v>
      </c>
      <c r="C4575" s="76" t="s">
        <v>536</v>
      </c>
      <c r="D4575" s="38">
        <v>8470.5362659999992</v>
      </c>
      <c r="E4575" s="38">
        <v>5.8391000000000002</v>
      </c>
      <c r="F4575" s="38">
        <v>5.7686000000000002</v>
      </c>
      <c r="G4575" s="83">
        <f t="shared" si="72"/>
        <v>6.0192174603174591</v>
      </c>
    </row>
    <row r="4576" spans="1:7" x14ac:dyDescent="0.2">
      <c r="A4576" s="354">
        <v>45009</v>
      </c>
      <c r="B4576" t="s">
        <v>3103</v>
      </c>
      <c r="C4576" s="76" t="s">
        <v>536</v>
      </c>
      <c r="D4576" s="38">
        <v>8470.5362659999992</v>
      </c>
      <c r="E4576" s="38">
        <v>5.8391000000000002</v>
      </c>
      <c r="F4576" s="38">
        <v>5.7686000000000002</v>
      </c>
      <c r="G4576" s="83">
        <f t="shared" si="72"/>
        <v>6.0119396825396807</v>
      </c>
    </row>
    <row r="4577" spans="1:7" x14ac:dyDescent="0.2">
      <c r="A4577" s="354">
        <v>45012</v>
      </c>
      <c r="B4577" t="s">
        <v>3103</v>
      </c>
      <c r="C4577" s="76" t="s">
        <v>536</v>
      </c>
      <c r="D4577" s="38">
        <v>8481.120062</v>
      </c>
      <c r="E4577" s="38">
        <v>5.7690999999999999</v>
      </c>
      <c r="F4577" s="38">
        <v>5.7560000000000002</v>
      </c>
      <c r="G4577" s="83">
        <f t="shared" si="72"/>
        <v>6.003550793650791</v>
      </c>
    </row>
    <row r="4578" spans="1:7" x14ac:dyDescent="0.2">
      <c r="A4578" s="354">
        <v>45012</v>
      </c>
      <c r="B4578" t="s">
        <v>3103</v>
      </c>
      <c r="C4578" s="76" t="s">
        <v>536</v>
      </c>
      <c r="D4578" s="38">
        <v>8481.120062</v>
      </c>
      <c r="E4578" s="38">
        <v>5.7690999999999999</v>
      </c>
      <c r="F4578" s="38">
        <v>5.7560000000000002</v>
      </c>
      <c r="G4578" s="83">
        <f t="shared" si="72"/>
        <v>5.9958539682539662</v>
      </c>
    </row>
    <row r="4579" spans="1:7" x14ac:dyDescent="0.2">
      <c r="A4579" s="354">
        <v>45013</v>
      </c>
      <c r="B4579" t="s">
        <v>3103</v>
      </c>
      <c r="C4579" s="76" t="s">
        <v>536</v>
      </c>
      <c r="D4579" s="38">
        <v>8458.1173049999998</v>
      </c>
      <c r="E4579" s="38">
        <v>5.7565</v>
      </c>
      <c r="F4579" s="38">
        <v>5.8259999999999996</v>
      </c>
      <c r="G4579" s="83">
        <f t="shared" si="72"/>
        <v>5.9879571428571401</v>
      </c>
    </row>
    <row r="4580" spans="1:7" x14ac:dyDescent="0.2">
      <c r="A4580" s="354">
        <v>45013</v>
      </c>
      <c r="B4580" t="s">
        <v>3103</v>
      </c>
      <c r="C4580" s="76" t="s">
        <v>536</v>
      </c>
      <c r="D4580" s="38">
        <v>8458.1173049999998</v>
      </c>
      <c r="E4580" s="38">
        <v>5.7565</v>
      </c>
      <c r="F4580" s="38">
        <v>5.8259999999999996</v>
      </c>
      <c r="G4580" s="83">
        <f t="shared" si="72"/>
        <v>5.9819507936507925</v>
      </c>
    </row>
    <row r="4581" spans="1:7" x14ac:dyDescent="0.2">
      <c r="A4581" s="354">
        <v>45014</v>
      </c>
      <c r="B4581" t="s">
        <v>3103</v>
      </c>
      <c r="C4581" s="76" t="s">
        <v>536</v>
      </c>
      <c r="D4581" s="38">
        <v>8448.6016060000002</v>
      </c>
      <c r="E4581" s="38">
        <v>5.8263999999999996</v>
      </c>
      <c r="F4581" s="38">
        <v>5.8623000000000003</v>
      </c>
      <c r="G4581" s="83">
        <f t="shared" si="72"/>
        <v>5.9770539682539656</v>
      </c>
    </row>
    <row r="4582" spans="1:7" x14ac:dyDescent="0.2">
      <c r="A4582" s="354">
        <v>45014</v>
      </c>
      <c r="B4582" t="s">
        <v>3103</v>
      </c>
      <c r="C4582" s="76" t="s">
        <v>536</v>
      </c>
      <c r="D4582" s="38">
        <v>8448.6016060000002</v>
      </c>
      <c r="E4582" s="38">
        <v>5.8263999999999996</v>
      </c>
      <c r="F4582" s="38">
        <v>5.8623000000000003</v>
      </c>
      <c r="G4582" s="83">
        <f t="shared" si="72"/>
        <v>5.9709365079365053</v>
      </c>
    </row>
    <row r="4583" spans="1:7" x14ac:dyDescent="0.2">
      <c r="A4583" s="354">
        <v>45015</v>
      </c>
      <c r="B4583" t="s">
        <v>3103</v>
      </c>
      <c r="C4583" s="76" t="s">
        <v>536</v>
      </c>
      <c r="D4583" s="38">
        <v>8474.9567150000003</v>
      </c>
      <c r="E4583" s="38">
        <v>5.8627000000000002</v>
      </c>
      <c r="F4583" s="38">
        <v>5.8087999999999997</v>
      </c>
      <c r="G4583" s="83">
        <f t="shared" si="72"/>
        <v>5.965395238095236</v>
      </c>
    </row>
    <row r="4584" spans="1:7" x14ac:dyDescent="0.2">
      <c r="A4584" s="354">
        <v>45015</v>
      </c>
      <c r="B4584" t="s">
        <v>3103</v>
      </c>
      <c r="C4584" s="76" t="s">
        <v>536</v>
      </c>
      <c r="D4584" s="38">
        <v>8474.9567150000003</v>
      </c>
      <c r="E4584" s="38">
        <v>5.8627000000000002</v>
      </c>
      <c r="F4584" s="38">
        <v>5.8087999999999997</v>
      </c>
      <c r="G4584" s="83">
        <f t="shared" si="72"/>
        <v>5.9605539682539659</v>
      </c>
    </row>
    <row r="4585" spans="1:7" x14ac:dyDescent="0.2">
      <c r="A4585" s="354">
        <v>45016</v>
      </c>
      <c r="B4585" t="s">
        <v>3103</v>
      </c>
      <c r="C4585" s="76" t="s">
        <v>536</v>
      </c>
      <c r="D4585" s="38">
        <v>8463.8560949999992</v>
      </c>
      <c r="E4585" s="38">
        <v>5.8091999999999997</v>
      </c>
      <c r="F4585" s="38">
        <v>5.8490000000000002</v>
      </c>
      <c r="G4585" s="83">
        <f t="shared" si="72"/>
        <v>5.9548634920634891</v>
      </c>
    </row>
    <row r="4586" spans="1:7" x14ac:dyDescent="0.2">
      <c r="A4586" s="354">
        <v>45016</v>
      </c>
      <c r="B4586" t="s">
        <v>3103</v>
      </c>
      <c r="C4586" s="76" t="s">
        <v>536</v>
      </c>
      <c r="D4586" s="38">
        <v>8463.8560949999992</v>
      </c>
      <c r="E4586" s="38">
        <v>5.8091999999999997</v>
      </c>
      <c r="F4586" s="38">
        <v>5.8490000000000002</v>
      </c>
      <c r="G4586" s="83">
        <f t="shared" si="72"/>
        <v>5.9493555555555515</v>
      </c>
    </row>
    <row r="4587" spans="1:7" x14ac:dyDescent="0.2">
      <c r="A4587" s="354">
        <v>45019</v>
      </c>
      <c r="B4587" t="s">
        <v>3103</v>
      </c>
      <c r="C4587" s="76" t="s">
        <v>536</v>
      </c>
      <c r="D4587" s="38">
        <v>8478.4394130000001</v>
      </c>
      <c r="E4587" s="38">
        <v>5.8493000000000004</v>
      </c>
      <c r="F4587" s="38">
        <v>5.8249000000000004</v>
      </c>
      <c r="G4587" s="83">
        <f t="shared" si="72"/>
        <v>5.9444841269841238</v>
      </c>
    </row>
    <row r="4588" spans="1:7" x14ac:dyDescent="0.2">
      <c r="A4588" s="354">
        <v>45019</v>
      </c>
      <c r="B4588" t="s">
        <v>3103</v>
      </c>
      <c r="C4588" s="76" t="s">
        <v>536</v>
      </c>
      <c r="D4588" s="38">
        <v>8478.4394130000001</v>
      </c>
      <c r="E4588" s="38">
        <v>5.8493000000000004</v>
      </c>
      <c r="F4588" s="38">
        <v>5.8249000000000004</v>
      </c>
      <c r="G4588" s="83">
        <f t="shared" si="72"/>
        <v>5.9404031746031718</v>
      </c>
    </row>
    <row r="4589" spans="1:7" x14ac:dyDescent="0.2">
      <c r="A4589" s="354">
        <v>45020</v>
      </c>
      <c r="B4589" t="s">
        <v>3103</v>
      </c>
      <c r="C4589" s="76" t="s">
        <v>536</v>
      </c>
      <c r="D4589" s="38">
        <v>8494.96774</v>
      </c>
      <c r="E4589" s="38">
        <v>5.8253000000000004</v>
      </c>
      <c r="F4589" s="38">
        <v>5.7961</v>
      </c>
      <c r="G4589" s="83">
        <f t="shared" si="72"/>
        <v>5.9359412698412681</v>
      </c>
    </row>
    <row r="4590" spans="1:7" x14ac:dyDescent="0.2">
      <c r="A4590" s="354">
        <v>45020</v>
      </c>
      <c r="B4590" t="s">
        <v>3103</v>
      </c>
      <c r="C4590" s="76" t="s">
        <v>536</v>
      </c>
      <c r="D4590" s="38">
        <v>8494.96774</v>
      </c>
      <c r="E4590" s="38">
        <v>5.8253000000000004</v>
      </c>
      <c r="F4590" s="38">
        <v>5.7961</v>
      </c>
      <c r="G4590" s="83">
        <f t="shared" si="72"/>
        <v>5.9337206349206335</v>
      </c>
    </row>
    <row r="4591" spans="1:7" x14ac:dyDescent="0.2">
      <c r="A4591" s="354">
        <v>45021</v>
      </c>
      <c r="B4591" t="s">
        <v>3103</v>
      </c>
      <c r="C4591" s="76" t="s">
        <v>536</v>
      </c>
      <c r="D4591" s="38">
        <v>8513.6936979999991</v>
      </c>
      <c r="E4591" s="38">
        <v>5.7965</v>
      </c>
      <c r="F4591" s="38">
        <v>5.7618999999999998</v>
      </c>
      <c r="G4591" s="83">
        <f t="shared" si="72"/>
        <v>5.931042857142856</v>
      </c>
    </row>
    <row r="4592" spans="1:7" x14ac:dyDescent="0.2">
      <c r="A4592" s="354">
        <v>45021</v>
      </c>
      <c r="B4592" t="s">
        <v>3103</v>
      </c>
      <c r="C4592" s="76" t="s">
        <v>536</v>
      </c>
      <c r="D4592" s="38">
        <v>8513.6936979999991</v>
      </c>
      <c r="E4592" s="38">
        <v>5.7965</v>
      </c>
      <c r="F4592" s="38">
        <v>5.7618999999999998</v>
      </c>
      <c r="G4592" s="83">
        <f t="shared" si="72"/>
        <v>5.9287253968253948</v>
      </c>
    </row>
    <row r="4593" spans="1:7" x14ac:dyDescent="0.2">
      <c r="A4593" s="354">
        <v>45022</v>
      </c>
      <c r="B4593" t="s">
        <v>3103</v>
      </c>
      <c r="C4593" s="76" t="s">
        <v>536</v>
      </c>
      <c r="D4593" s="38">
        <v>8497.5435259999995</v>
      </c>
      <c r="E4593" s="38">
        <v>5.7622999999999998</v>
      </c>
      <c r="F4593" s="38">
        <v>5.8144999999999998</v>
      </c>
      <c r="G4593" s="83">
        <f t="shared" si="72"/>
        <v>5.925865079365078</v>
      </c>
    </row>
    <row r="4594" spans="1:7" x14ac:dyDescent="0.2">
      <c r="A4594" s="354">
        <v>45022</v>
      </c>
      <c r="B4594" t="s">
        <v>3103</v>
      </c>
      <c r="C4594" s="76" t="s">
        <v>536</v>
      </c>
      <c r="D4594" s="38">
        <v>8497.5435259999995</v>
      </c>
      <c r="E4594" s="38">
        <v>5.7622999999999998</v>
      </c>
      <c r="F4594" s="38">
        <v>5.8144999999999998</v>
      </c>
      <c r="G4594" s="83">
        <f t="shared" si="72"/>
        <v>5.9235825396825375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A708-70F7-43F7-B7E2-C997DBA73B92}">
  <sheetPr>
    <tabColor rgb="FFC00000"/>
  </sheetPr>
  <dimension ref="A1:B124"/>
  <sheetViews>
    <sheetView workbookViewId="0">
      <selection activeCell="A2" sqref="A2:XFD61"/>
    </sheetView>
  </sheetViews>
  <sheetFormatPr baseColWidth="10" defaultColWidth="9.1640625" defaultRowHeight="15" x14ac:dyDescent="0.2"/>
  <cols>
    <col min="1" max="2" width="9.1640625" style="50"/>
    <col min="3" max="16384" width="9.1640625" style="29"/>
  </cols>
  <sheetData>
    <row r="1" spans="1:2" x14ac:dyDescent="0.2">
      <c r="A1" s="170" t="s">
        <v>523</v>
      </c>
      <c r="B1" s="170" t="s">
        <v>537</v>
      </c>
    </row>
    <row r="2" spans="1:2" x14ac:dyDescent="0.2">
      <c r="A2" s="91">
        <f>'21. TLP e IDkA 5anos'!A83</f>
        <v>41275</v>
      </c>
      <c r="B2" s="53">
        <f>'21. TLP e IDkA 5anos'!C83</f>
        <v>2.7533999999999999E-2</v>
      </c>
    </row>
    <row r="3" spans="1:2" x14ac:dyDescent="0.2">
      <c r="A3" s="91">
        <f>'21. TLP e IDkA 5anos'!A84</f>
        <v>41306</v>
      </c>
      <c r="B3" s="53">
        <f>'21. TLP e IDkA 5anos'!C84</f>
        <v>3.0693999999999999E-2</v>
      </c>
    </row>
    <row r="4" spans="1:2" x14ac:dyDescent="0.2">
      <c r="A4" s="91">
        <f>'21. TLP e IDkA 5anos'!A85</f>
        <v>41334</v>
      </c>
      <c r="B4" s="53">
        <f>'21. TLP e IDkA 5anos'!C85</f>
        <v>3.5158999999999996E-2</v>
      </c>
    </row>
    <row r="5" spans="1:2" x14ac:dyDescent="0.2">
      <c r="A5" s="91">
        <f>'21. TLP e IDkA 5anos'!A86</f>
        <v>41365</v>
      </c>
      <c r="B5" s="53">
        <f>'21. TLP e IDkA 5anos'!C86</f>
        <v>3.6524000000000001E-2</v>
      </c>
    </row>
    <row r="6" spans="1:2" x14ac:dyDescent="0.2">
      <c r="A6" s="91">
        <f>'21. TLP e IDkA 5anos'!A87</f>
        <v>41395</v>
      </c>
      <c r="B6" s="53">
        <f>'21. TLP e IDkA 5anos'!C87</f>
        <v>3.5131999999999997E-2</v>
      </c>
    </row>
    <row r="7" spans="1:2" x14ac:dyDescent="0.2">
      <c r="A7" s="91">
        <f>'21. TLP e IDkA 5anos'!A88</f>
        <v>41426</v>
      </c>
      <c r="B7" s="53">
        <f>'21. TLP e IDkA 5anos'!C88</f>
        <v>4.3764999999999998E-2</v>
      </c>
    </row>
    <row r="8" spans="1:2" x14ac:dyDescent="0.2">
      <c r="A8" s="91">
        <f>'21. TLP e IDkA 5anos'!A89</f>
        <v>41456</v>
      </c>
      <c r="B8" s="53">
        <f>'21. TLP e IDkA 5anos'!C89</f>
        <v>5.0692000000000001E-2</v>
      </c>
    </row>
    <row r="9" spans="1:2" x14ac:dyDescent="0.2">
      <c r="A9" s="91">
        <f>'21. TLP e IDkA 5anos'!A90</f>
        <v>41487</v>
      </c>
      <c r="B9" s="53">
        <f>'21. TLP e IDkA 5anos'!C90</f>
        <v>4.9059999999999999E-2</v>
      </c>
    </row>
    <row r="10" spans="1:2" x14ac:dyDescent="0.2">
      <c r="A10" s="91">
        <f>'21. TLP e IDkA 5anos'!A91</f>
        <v>41518</v>
      </c>
      <c r="B10" s="53">
        <f>'21. TLP e IDkA 5anos'!C91</f>
        <v>5.5506E-2</v>
      </c>
    </row>
    <row r="11" spans="1:2" x14ac:dyDescent="0.2">
      <c r="A11" s="91">
        <f>'21. TLP e IDkA 5anos'!A92</f>
        <v>41548</v>
      </c>
      <c r="B11" s="53">
        <f>'21. TLP e IDkA 5anos'!C92</f>
        <v>5.3617999999999999E-2</v>
      </c>
    </row>
    <row r="12" spans="1:2" x14ac:dyDescent="0.2">
      <c r="A12" s="91">
        <f>'21. TLP e IDkA 5anos'!A93</f>
        <v>41579</v>
      </c>
      <c r="B12" s="53">
        <f>'21. TLP e IDkA 5anos'!C93</f>
        <v>5.5517999999999998E-2</v>
      </c>
    </row>
    <row r="13" spans="1:2" x14ac:dyDescent="0.2">
      <c r="A13" s="91">
        <f>'21. TLP e IDkA 5anos'!A94</f>
        <v>41609</v>
      </c>
      <c r="B13" s="53">
        <f>'21. TLP e IDkA 5anos'!C94</f>
        <v>6.0998000000000004E-2</v>
      </c>
    </row>
    <row r="14" spans="1:2" x14ac:dyDescent="0.2">
      <c r="A14" s="91">
        <f>'21. TLP e IDkA 5anos'!A95</f>
        <v>41640</v>
      </c>
      <c r="B14" s="53">
        <f>'21. TLP e IDkA 5anos'!C95</f>
        <v>6.1622000000000003E-2</v>
      </c>
    </row>
    <row r="15" spans="1:2" x14ac:dyDescent="0.2">
      <c r="A15" s="91">
        <f>'21. TLP e IDkA 5anos'!A96</f>
        <v>41671</v>
      </c>
      <c r="B15" s="53">
        <f>'21. TLP e IDkA 5anos'!C96</f>
        <v>6.8499999999999991E-2</v>
      </c>
    </row>
    <row r="16" spans="1:2" x14ac:dyDescent="0.2">
      <c r="A16" s="91">
        <f>'21. TLP e IDkA 5anos'!A97</f>
        <v>41699</v>
      </c>
      <c r="B16" s="53">
        <f>'21. TLP e IDkA 5anos'!C97</f>
        <v>6.0766000000000001E-2</v>
      </c>
    </row>
    <row r="17" spans="1:2" x14ac:dyDescent="0.2">
      <c r="A17" s="91">
        <f>'21. TLP e IDkA 5anos'!A98</f>
        <v>41730</v>
      </c>
      <c r="B17" s="53">
        <f>'21. TLP e IDkA 5anos'!C98</f>
        <v>6.2127000000000002E-2</v>
      </c>
    </row>
    <row r="18" spans="1:2" x14ac:dyDescent="0.2">
      <c r="A18" s="91">
        <f>'21. TLP e IDkA 5anos'!A99</f>
        <v>41760</v>
      </c>
      <c r="B18" s="53">
        <f>'21. TLP e IDkA 5anos'!C99</f>
        <v>6.1513999999999999E-2</v>
      </c>
    </row>
    <row r="19" spans="1:2" x14ac:dyDescent="0.2">
      <c r="A19" s="91">
        <f>'21. TLP e IDkA 5anos'!A100</f>
        <v>41791</v>
      </c>
      <c r="B19" s="53">
        <f>'21. TLP e IDkA 5anos'!C100</f>
        <v>5.7640000000000004E-2</v>
      </c>
    </row>
    <row r="20" spans="1:2" x14ac:dyDescent="0.2">
      <c r="A20" s="91">
        <f>'21. TLP e IDkA 5anos'!A101</f>
        <v>41821</v>
      </c>
      <c r="B20" s="53">
        <f>'21. TLP e IDkA 5anos'!C101</f>
        <v>5.7460000000000004E-2</v>
      </c>
    </row>
    <row r="21" spans="1:2" x14ac:dyDescent="0.2">
      <c r="A21" s="91">
        <f>'21. TLP e IDkA 5anos'!A102</f>
        <v>41852</v>
      </c>
      <c r="B21" s="53">
        <f>'21. TLP e IDkA 5anos'!C102</f>
        <v>5.7644000000000001E-2</v>
      </c>
    </row>
    <row r="22" spans="1:2" x14ac:dyDescent="0.2">
      <c r="A22" s="91">
        <f>'21. TLP e IDkA 5anos'!A103</f>
        <v>41883</v>
      </c>
      <c r="B22" s="53">
        <f>'21. TLP e IDkA 5anos'!C103</f>
        <v>5.4004000000000003E-2</v>
      </c>
    </row>
    <row r="23" spans="1:2" x14ac:dyDescent="0.2">
      <c r="A23" s="91">
        <f>'21. TLP e IDkA 5anos'!A104</f>
        <v>41913</v>
      </c>
      <c r="B23" s="53">
        <f>'21. TLP e IDkA 5anos'!C104</f>
        <v>5.8516000000000006E-2</v>
      </c>
    </row>
    <row r="24" spans="1:2" x14ac:dyDescent="0.2">
      <c r="A24" s="91">
        <f>'21. TLP e IDkA 5anos'!A105</f>
        <v>41944</v>
      </c>
      <c r="B24" s="53">
        <f>'21. TLP e IDkA 5anos'!C105</f>
        <v>5.7807000000000004E-2</v>
      </c>
    </row>
    <row r="25" spans="1:2" x14ac:dyDescent="0.2">
      <c r="A25" s="91">
        <f>'21. TLP e IDkA 5anos'!A106</f>
        <v>41974</v>
      </c>
      <c r="B25" s="53">
        <f>'21. TLP e IDkA 5anos'!C106</f>
        <v>5.6580000000000005E-2</v>
      </c>
    </row>
    <row r="26" spans="1:2" x14ac:dyDescent="0.2">
      <c r="A26" s="91">
        <f>'21. TLP e IDkA 5anos'!A107</f>
        <v>42005</v>
      </c>
      <c r="B26" s="53">
        <f>'21. TLP e IDkA 5anos'!C107</f>
        <v>6.1497000000000003E-2</v>
      </c>
    </row>
    <row r="27" spans="1:2" x14ac:dyDescent="0.2">
      <c r="A27" s="91">
        <f>'21. TLP e IDkA 5anos'!A108</f>
        <v>42036</v>
      </c>
      <c r="B27" s="53">
        <f>'21. TLP e IDkA 5anos'!C108</f>
        <v>5.7773000000000005E-2</v>
      </c>
    </row>
    <row r="28" spans="1:2" x14ac:dyDescent="0.2">
      <c r="A28" s="91">
        <f>'21. TLP e IDkA 5anos'!A109</f>
        <v>42064</v>
      </c>
      <c r="B28" s="53">
        <f>'21. TLP e IDkA 5anos'!C109</f>
        <v>5.9333999999999998E-2</v>
      </c>
    </row>
    <row r="29" spans="1:2" x14ac:dyDescent="0.2">
      <c r="A29" s="91">
        <f>'21. TLP e IDkA 5anos'!A110</f>
        <v>42095</v>
      </c>
      <c r="B29" s="53">
        <f>'21. TLP e IDkA 5anos'!C110</f>
        <v>6.3632999999999995E-2</v>
      </c>
    </row>
    <row r="30" spans="1:2" x14ac:dyDescent="0.2">
      <c r="A30" s="91">
        <f>'21. TLP e IDkA 5anos'!A111</f>
        <v>42125</v>
      </c>
      <c r="B30" s="53">
        <f>'21. TLP e IDkA 5anos'!C111</f>
        <v>6.4908999999999994E-2</v>
      </c>
    </row>
    <row r="31" spans="1:2" x14ac:dyDescent="0.2">
      <c r="A31" s="91">
        <f>'21. TLP e IDkA 5anos'!A112</f>
        <v>42156</v>
      </c>
      <c r="B31" s="53">
        <f>'21. TLP e IDkA 5anos'!C112</f>
        <v>6.3441999999999998E-2</v>
      </c>
    </row>
    <row r="32" spans="1:2" x14ac:dyDescent="0.2">
      <c r="A32" s="91">
        <f>'21. TLP e IDkA 5anos'!A113</f>
        <v>42186</v>
      </c>
      <c r="B32" s="53">
        <f>'21. TLP e IDkA 5anos'!C113</f>
        <v>6.606200000000001E-2</v>
      </c>
    </row>
    <row r="33" spans="1:2" x14ac:dyDescent="0.2">
      <c r="A33" s="91">
        <f>'21. TLP e IDkA 5anos'!A114</f>
        <v>42217</v>
      </c>
      <c r="B33" s="53">
        <f>'21. TLP e IDkA 5anos'!C114</f>
        <v>6.5587000000000006E-2</v>
      </c>
    </row>
    <row r="34" spans="1:2" x14ac:dyDescent="0.2">
      <c r="A34" s="91">
        <f>'21. TLP e IDkA 5anos'!A115</f>
        <v>42248</v>
      </c>
      <c r="B34" s="53">
        <f>'21. TLP e IDkA 5anos'!C115</f>
        <v>7.2386000000000006E-2</v>
      </c>
    </row>
    <row r="35" spans="1:2" x14ac:dyDescent="0.2">
      <c r="A35" s="91">
        <f>'21. TLP e IDkA 5anos'!A116</f>
        <v>42278</v>
      </c>
      <c r="B35" s="53">
        <f>'21. TLP e IDkA 5anos'!C116</f>
        <v>7.5155E-2</v>
      </c>
    </row>
    <row r="36" spans="1:2" x14ac:dyDescent="0.2">
      <c r="A36" s="91">
        <f>'21. TLP e IDkA 5anos'!A117</f>
        <v>42309</v>
      </c>
      <c r="B36" s="53">
        <f>'21. TLP e IDkA 5anos'!C117</f>
        <v>7.4273999999999993E-2</v>
      </c>
    </row>
    <row r="37" spans="1:2" x14ac:dyDescent="0.2">
      <c r="A37" s="91">
        <f>'21. TLP e IDkA 5anos'!A118</f>
        <v>42339</v>
      </c>
      <c r="B37" s="53">
        <f>'21. TLP e IDkA 5anos'!C118</f>
        <v>7.5852000000000003E-2</v>
      </c>
    </row>
    <row r="38" spans="1:2" x14ac:dyDescent="0.2">
      <c r="A38" s="91">
        <f>'21. TLP e IDkA 5anos'!A119</f>
        <v>42370</v>
      </c>
      <c r="B38" s="53">
        <f>'21. TLP e IDkA 5anos'!C119</f>
        <v>7.3064999999999991E-2</v>
      </c>
    </row>
    <row r="39" spans="1:2" x14ac:dyDescent="0.2">
      <c r="A39" s="91">
        <f>'21. TLP e IDkA 5anos'!A120</f>
        <v>42401</v>
      </c>
      <c r="B39" s="53">
        <f>'21. TLP e IDkA 5anos'!C120</f>
        <v>7.0687E-2</v>
      </c>
    </row>
    <row r="40" spans="1:2" x14ac:dyDescent="0.2">
      <c r="A40" s="91">
        <f>'21. TLP e IDkA 5anos'!A121</f>
        <v>42430</v>
      </c>
      <c r="B40" s="53">
        <f>'21. TLP e IDkA 5anos'!C121</f>
        <v>6.7562999999999998E-2</v>
      </c>
    </row>
    <row r="41" spans="1:2" x14ac:dyDescent="0.2">
      <c r="A41" s="91">
        <f>'21. TLP e IDkA 5anos'!A122</f>
        <v>42461</v>
      </c>
      <c r="B41" s="53">
        <f>'21. TLP e IDkA 5anos'!C122</f>
        <v>6.5688999999999997E-2</v>
      </c>
    </row>
    <row r="42" spans="1:2" x14ac:dyDescent="0.2">
      <c r="A42" s="91">
        <f>'21. TLP e IDkA 5anos'!A123</f>
        <v>42491</v>
      </c>
      <c r="B42" s="53">
        <f>'21. TLP e IDkA 5anos'!C123</f>
        <v>6.0843000000000001E-2</v>
      </c>
    </row>
    <row r="43" spans="1:2" x14ac:dyDescent="0.2">
      <c r="A43" s="91">
        <f>'21. TLP e IDkA 5anos'!A124</f>
        <v>42522</v>
      </c>
      <c r="B43" s="53">
        <f>'21. TLP e IDkA 5anos'!C124</f>
        <v>6.2566999999999998E-2</v>
      </c>
    </row>
    <row r="44" spans="1:2" x14ac:dyDescent="0.2">
      <c r="A44" s="91">
        <f>'21. TLP e IDkA 5anos'!A125</f>
        <v>42552</v>
      </c>
      <c r="B44" s="53">
        <f>'21. TLP e IDkA 5anos'!C125</f>
        <v>6.3794000000000003E-2</v>
      </c>
    </row>
    <row r="45" spans="1:2" x14ac:dyDescent="0.2">
      <c r="A45" s="91">
        <f>'21. TLP e IDkA 5anos'!A126</f>
        <v>42583</v>
      </c>
      <c r="B45" s="53">
        <f>'21. TLP e IDkA 5anos'!C126</f>
        <v>6.1473000000000007E-2</v>
      </c>
    </row>
    <row r="46" spans="1:2" x14ac:dyDescent="0.2">
      <c r="A46" s="91">
        <f>'21. TLP e IDkA 5anos'!A127</f>
        <v>42614</v>
      </c>
      <c r="B46" s="53">
        <f>'21. TLP e IDkA 5anos'!C127</f>
        <v>6.1295000000000002E-2</v>
      </c>
    </row>
    <row r="47" spans="1:2" x14ac:dyDescent="0.2">
      <c r="A47" s="91">
        <f>'21. TLP e IDkA 5anos'!A128</f>
        <v>42644</v>
      </c>
      <c r="B47" s="53">
        <f>'21. TLP e IDkA 5anos'!C128</f>
        <v>5.9676E-2</v>
      </c>
    </row>
    <row r="48" spans="1:2" x14ac:dyDescent="0.2">
      <c r="A48" s="91">
        <f>'21. TLP e IDkA 5anos'!A129</f>
        <v>42675</v>
      </c>
      <c r="B48" s="53">
        <f>'21. TLP e IDkA 5anos'!C129</f>
        <v>5.9859000000000002E-2</v>
      </c>
    </row>
    <row r="49" spans="1:2" x14ac:dyDescent="0.2">
      <c r="A49" s="91">
        <f>'21. TLP e IDkA 5anos'!A130</f>
        <v>42705</v>
      </c>
      <c r="B49" s="53">
        <f>'21. TLP e IDkA 5anos'!C130</f>
        <v>6.1691999999999997E-2</v>
      </c>
    </row>
    <row r="50" spans="1:2" x14ac:dyDescent="0.2">
      <c r="A50" s="91">
        <f>'21. TLP e IDkA 5anos'!A131</f>
        <v>42736</v>
      </c>
      <c r="B50" s="53">
        <f>'21. TLP e IDkA 5anos'!C131</f>
        <v>5.9490000000000001E-2</v>
      </c>
    </row>
    <row r="51" spans="1:2" x14ac:dyDescent="0.2">
      <c r="A51" s="91">
        <f>'21. TLP e IDkA 5anos'!A132</f>
        <v>42767</v>
      </c>
      <c r="B51" s="53">
        <f>'21. TLP e IDkA 5anos'!C132</f>
        <v>5.8365E-2</v>
      </c>
    </row>
    <row r="52" spans="1:2" x14ac:dyDescent="0.2">
      <c r="A52" s="91">
        <f>'21. TLP e IDkA 5anos'!A133</f>
        <v>42795</v>
      </c>
      <c r="B52" s="53">
        <f>'21. TLP e IDkA 5anos'!C133</f>
        <v>5.4123000000000004E-2</v>
      </c>
    </row>
    <row r="53" spans="1:2" x14ac:dyDescent="0.2">
      <c r="A53" s="91">
        <f>'21. TLP e IDkA 5anos'!A134</f>
        <v>42826</v>
      </c>
      <c r="B53" s="53">
        <f>'21. TLP e IDkA 5anos'!C134</f>
        <v>5.2327000000000005E-2</v>
      </c>
    </row>
    <row r="54" spans="1:2" x14ac:dyDescent="0.2">
      <c r="A54" s="91">
        <f>'21. TLP e IDkA 5anos'!A135</f>
        <v>42856</v>
      </c>
      <c r="B54" s="53">
        <f>'21. TLP e IDkA 5anos'!C135</f>
        <v>5.3139000000000006E-2</v>
      </c>
    </row>
    <row r="55" spans="1:2" x14ac:dyDescent="0.2">
      <c r="A55" s="91">
        <f>'21. TLP e IDkA 5anos'!A136</f>
        <v>42887</v>
      </c>
      <c r="B55" s="53">
        <f>'21. TLP e IDkA 5anos'!C136</f>
        <v>5.5723000000000002E-2</v>
      </c>
    </row>
    <row r="56" spans="1:2" x14ac:dyDescent="0.2">
      <c r="A56" s="91">
        <f>'21. TLP e IDkA 5anos'!A137</f>
        <v>42917</v>
      </c>
      <c r="B56" s="53">
        <f>'21. TLP e IDkA 5anos'!C137</f>
        <v>5.6041999999999995E-2</v>
      </c>
    </row>
    <row r="57" spans="1:2" x14ac:dyDescent="0.2">
      <c r="A57" s="91">
        <f>'21. TLP e IDkA 5anos'!A138</f>
        <v>42948</v>
      </c>
      <c r="B57" s="53">
        <f>'21. TLP e IDkA 5anos'!C138</f>
        <v>4.8620999999999998E-2</v>
      </c>
    </row>
    <row r="58" spans="1:2" x14ac:dyDescent="0.2">
      <c r="A58" s="91">
        <f>'21. TLP e IDkA 5anos'!A139</f>
        <v>42979</v>
      </c>
      <c r="B58" s="53">
        <f>'21. TLP e IDkA 5anos'!C139</f>
        <v>4.6764E-2</v>
      </c>
    </row>
    <row r="59" spans="1:2" x14ac:dyDescent="0.2">
      <c r="A59" s="91">
        <f>'21. TLP e IDkA 5anos'!A140</f>
        <v>43009</v>
      </c>
      <c r="B59" s="53">
        <f>'21. TLP e IDkA 5anos'!C140</f>
        <v>4.4888999999999998E-2</v>
      </c>
    </row>
    <row r="60" spans="1:2" x14ac:dyDescent="0.2">
      <c r="A60" s="91">
        <f>'21. TLP e IDkA 5anos'!A141</f>
        <v>43040</v>
      </c>
      <c r="B60" s="53">
        <f>'21. TLP e IDkA 5anos'!C141</f>
        <v>4.6768000000000004E-2</v>
      </c>
    </row>
    <row r="61" spans="1:2" x14ac:dyDescent="0.2">
      <c r="A61" s="91">
        <f>'21. TLP e IDkA 5anos'!A142</f>
        <v>43070</v>
      </c>
      <c r="B61" s="53">
        <f>'21. TLP e IDkA 5anos'!C142</f>
        <v>4.9199E-2</v>
      </c>
    </row>
    <row r="62" spans="1:2" x14ac:dyDescent="0.2">
      <c r="A62" s="91">
        <f>'21. TLP e IDkA 5anos'!A143</f>
        <v>43101</v>
      </c>
      <c r="B62" s="53">
        <f>'21. TLP e IDkA 5anos'!C143</f>
        <v>4.8829000000000004E-2</v>
      </c>
    </row>
    <row r="63" spans="1:2" x14ac:dyDescent="0.2">
      <c r="A63" s="91">
        <f>'21. TLP e IDkA 5anos'!A144</f>
        <v>43132</v>
      </c>
      <c r="B63" s="53">
        <f>'21. TLP e IDkA 5anos'!C144</f>
        <v>4.5572000000000001E-2</v>
      </c>
    </row>
    <row r="64" spans="1:2" x14ac:dyDescent="0.2">
      <c r="A64" s="91">
        <f>'21. TLP e IDkA 5anos'!A145</f>
        <v>43160</v>
      </c>
      <c r="B64" s="53">
        <f>'21. TLP e IDkA 5anos'!C145</f>
        <v>4.5749000000000005E-2</v>
      </c>
    </row>
    <row r="65" spans="1:2" x14ac:dyDescent="0.2">
      <c r="A65" s="91">
        <f>'21. TLP e IDkA 5anos'!A146</f>
        <v>43191</v>
      </c>
      <c r="B65" s="53">
        <f>'21. TLP e IDkA 5anos'!C146</f>
        <v>4.2652999999999996E-2</v>
      </c>
    </row>
    <row r="66" spans="1:2" x14ac:dyDescent="0.2">
      <c r="A66" s="91">
        <f>'21. TLP e IDkA 5anos'!A147</f>
        <v>43221</v>
      </c>
      <c r="B66" s="53">
        <f>'21. TLP e IDkA 5anos'!C147</f>
        <v>4.3997000000000001E-2</v>
      </c>
    </row>
    <row r="67" spans="1:2" x14ac:dyDescent="0.2">
      <c r="A67" s="91">
        <f>'21. TLP e IDkA 5anos'!A148</f>
        <v>43252</v>
      </c>
      <c r="B67" s="53">
        <f>'21. TLP e IDkA 5anos'!C148</f>
        <v>5.2826999999999999E-2</v>
      </c>
    </row>
    <row r="68" spans="1:2" x14ac:dyDescent="0.2">
      <c r="A68" s="91">
        <f>'21. TLP e IDkA 5anos'!A149</f>
        <v>43282</v>
      </c>
      <c r="B68" s="53">
        <f>'21. TLP e IDkA 5anos'!C149</f>
        <v>5.5591000000000002E-2</v>
      </c>
    </row>
    <row r="69" spans="1:2" x14ac:dyDescent="0.2">
      <c r="A69" s="91">
        <f>'21. TLP e IDkA 5anos'!A150</f>
        <v>43313</v>
      </c>
      <c r="B69" s="53">
        <f>'21. TLP e IDkA 5anos'!C150</f>
        <v>5.3815999999999996E-2</v>
      </c>
    </row>
    <row r="70" spans="1:2" x14ac:dyDescent="0.2">
      <c r="A70" s="91">
        <f>'21. TLP e IDkA 5anos'!A151</f>
        <v>43344</v>
      </c>
      <c r="B70" s="53">
        <f>'21. TLP e IDkA 5anos'!C151</f>
        <v>5.6330999999999999E-2</v>
      </c>
    </row>
    <row r="71" spans="1:2" x14ac:dyDescent="0.2">
      <c r="A71" s="91">
        <f>'21. TLP e IDkA 5anos'!A152</f>
        <v>43374</v>
      </c>
      <c r="B71" s="53">
        <f>'21. TLP e IDkA 5anos'!C152</f>
        <v>5.7884000000000005E-2</v>
      </c>
    </row>
    <row r="72" spans="1:2" x14ac:dyDescent="0.2">
      <c r="A72" s="91">
        <f>'21. TLP e IDkA 5anos'!A153</f>
        <v>43405</v>
      </c>
      <c r="B72" s="53">
        <f>'21. TLP e IDkA 5anos'!C153</f>
        <v>4.6994000000000001E-2</v>
      </c>
    </row>
    <row r="73" spans="1:2" x14ac:dyDescent="0.2">
      <c r="A73" s="91">
        <f>'21. TLP e IDkA 5anos'!A154</f>
        <v>43435</v>
      </c>
      <c r="B73" s="53">
        <f>'21. TLP e IDkA 5anos'!C154</f>
        <v>4.7651000000000006E-2</v>
      </c>
    </row>
    <row r="74" spans="1:2" x14ac:dyDescent="0.2">
      <c r="A74" s="91">
        <f>'21. TLP e IDkA 5anos'!A155</f>
        <v>43466</v>
      </c>
      <c r="B74" s="53">
        <f>'21. TLP e IDkA 5anos'!C155</f>
        <v>4.4202999999999999E-2</v>
      </c>
    </row>
    <row r="75" spans="1:2" x14ac:dyDescent="0.2">
      <c r="A75" s="91">
        <f>'21. TLP e IDkA 5anos'!A156</f>
        <v>43497</v>
      </c>
      <c r="B75" s="53">
        <f>'21. TLP e IDkA 5anos'!C156</f>
        <v>4.0122999999999999E-2</v>
      </c>
    </row>
    <row r="76" spans="1:2" x14ac:dyDescent="0.2">
      <c r="A76" s="91">
        <f>'21. TLP e IDkA 5anos'!A157</f>
        <v>43525</v>
      </c>
      <c r="B76" s="53">
        <f>'21. TLP e IDkA 5anos'!C157</f>
        <v>4.0529000000000003E-2</v>
      </c>
    </row>
    <row r="77" spans="1:2" x14ac:dyDescent="0.2">
      <c r="A77" s="91">
        <f>'21. TLP e IDkA 5anos'!A158</f>
        <v>43556</v>
      </c>
      <c r="B77" s="53">
        <f>'21. TLP e IDkA 5anos'!C158</f>
        <v>4.0423000000000001E-2</v>
      </c>
    </row>
    <row r="78" spans="1:2" x14ac:dyDescent="0.2">
      <c r="A78" s="91">
        <f>'21. TLP e IDkA 5anos'!A159</f>
        <v>43586</v>
      </c>
      <c r="B78" s="53">
        <f>'21. TLP e IDkA 5anos'!C159</f>
        <v>4.0315999999999998E-2</v>
      </c>
    </row>
    <row r="79" spans="1:2" x14ac:dyDescent="0.2">
      <c r="A79" s="91">
        <f>'21. TLP e IDkA 5anos'!A160</f>
        <v>43617</v>
      </c>
      <c r="B79" s="53">
        <f>'21. TLP e IDkA 5anos'!C160</f>
        <v>3.6334999999999999E-2</v>
      </c>
    </row>
    <row r="80" spans="1:2" x14ac:dyDescent="0.2">
      <c r="A80" s="91">
        <f>'21. TLP e IDkA 5anos'!A161</f>
        <v>43647</v>
      </c>
      <c r="B80" s="53">
        <f>'21. TLP e IDkA 5anos'!C161</f>
        <v>3.0699999999999998E-2</v>
      </c>
    </row>
    <row r="81" spans="1:2" x14ac:dyDescent="0.2">
      <c r="A81" s="91">
        <f>'21. TLP e IDkA 5anos'!A162</f>
        <v>43678</v>
      </c>
      <c r="B81" s="53">
        <f>'21. TLP e IDkA 5anos'!C162</f>
        <v>2.9558000000000001E-2</v>
      </c>
    </row>
    <row r="82" spans="1:2" x14ac:dyDescent="0.2">
      <c r="A82" s="91">
        <f>'21. TLP e IDkA 5anos'!A163</f>
        <v>43709</v>
      </c>
      <c r="B82" s="53">
        <f>'21. TLP e IDkA 5anos'!C163</f>
        <v>3.0454999999999999E-2</v>
      </c>
    </row>
    <row r="83" spans="1:2" x14ac:dyDescent="0.2">
      <c r="A83" s="91">
        <f>'21. TLP e IDkA 5anos'!A164</f>
        <v>43739</v>
      </c>
      <c r="B83" s="53">
        <f>'21. TLP e IDkA 5anos'!C164</f>
        <v>2.5974000000000001E-2</v>
      </c>
    </row>
    <row r="84" spans="1:2" x14ac:dyDescent="0.2">
      <c r="A84" s="91">
        <f>'21. TLP e IDkA 5anos'!A165</f>
        <v>43770</v>
      </c>
      <c r="B84" s="53">
        <f>'21. TLP e IDkA 5anos'!C165</f>
        <v>2.1009000000000003E-2</v>
      </c>
    </row>
    <row r="85" spans="1:2" x14ac:dyDescent="0.2">
      <c r="A85" s="91">
        <f>'21. TLP e IDkA 5anos'!A166</f>
        <v>43800</v>
      </c>
      <c r="B85" s="53">
        <f>'21. TLP e IDkA 5anos'!C166</f>
        <v>2.5156999999999999E-2</v>
      </c>
    </row>
    <row r="86" spans="1:2" x14ac:dyDescent="0.2">
      <c r="A86" s="91">
        <f>'21. TLP e IDkA 5anos'!A167</f>
        <v>43831</v>
      </c>
      <c r="B86" s="53">
        <f>'21. TLP e IDkA 5anos'!C167</f>
        <v>2.4565999999999998E-2</v>
      </c>
    </row>
    <row r="87" spans="1:2" x14ac:dyDescent="0.2">
      <c r="A87" s="91">
        <f>'21. TLP e IDkA 5anos'!A168</f>
        <v>43862</v>
      </c>
      <c r="B87" s="53">
        <f>'21. TLP e IDkA 5anos'!C168</f>
        <v>2.4674000000000001E-2</v>
      </c>
    </row>
    <row r="88" spans="1:2" x14ac:dyDescent="0.2">
      <c r="A88" s="91">
        <f>'21. TLP e IDkA 5anos'!A169</f>
        <v>43891</v>
      </c>
      <c r="B88" s="53">
        <f>'21. TLP e IDkA 5anos'!C169</f>
        <v>2.3593000000000003E-2</v>
      </c>
    </row>
    <row r="89" spans="1:2" x14ac:dyDescent="0.2">
      <c r="A89" s="91">
        <f>'21. TLP e IDkA 5anos'!A170</f>
        <v>43922</v>
      </c>
      <c r="B89" s="53">
        <f>'21. TLP e IDkA 5anos'!C170</f>
        <v>3.2729000000000001E-2</v>
      </c>
    </row>
    <row r="90" spans="1:2" x14ac:dyDescent="0.2">
      <c r="A90" s="91">
        <f>'21. TLP e IDkA 5anos'!A171</f>
        <v>43952</v>
      </c>
      <c r="B90" s="53">
        <f>'21. TLP e IDkA 5anos'!C171</f>
        <v>3.1061999999999999E-2</v>
      </c>
    </row>
    <row r="91" spans="1:2" x14ac:dyDescent="0.2">
      <c r="A91" s="91">
        <f>'21. TLP e IDkA 5anos'!A172</f>
        <v>43983</v>
      </c>
      <c r="B91" s="53">
        <f>'21. TLP e IDkA 5anos'!C172</f>
        <v>2.3847999999999998E-2</v>
      </c>
    </row>
    <row r="92" spans="1:2" x14ac:dyDescent="0.2">
      <c r="A92" s="91">
        <f>'21. TLP e IDkA 5anos'!A173</f>
        <v>44013</v>
      </c>
      <c r="B92" s="53">
        <f>'21. TLP e IDkA 5anos'!C173</f>
        <v>2.1387E-2</v>
      </c>
    </row>
    <row r="93" spans="1:2" x14ac:dyDescent="0.2">
      <c r="A93" s="91">
        <f>'21. TLP e IDkA 5anos'!A174</f>
        <v>44044</v>
      </c>
      <c r="B93" s="53">
        <f>'21. TLP e IDkA 5anos'!C174</f>
        <v>1.7385999999999999E-2</v>
      </c>
    </row>
    <row r="94" spans="1:2" x14ac:dyDescent="0.2">
      <c r="A94" s="91">
        <f>'21. TLP e IDkA 5anos'!A175</f>
        <v>44075</v>
      </c>
      <c r="B94" s="53">
        <f>'21. TLP e IDkA 5anos'!C175</f>
        <v>2.0931000000000002E-2</v>
      </c>
    </row>
    <row r="95" spans="1:2" x14ac:dyDescent="0.2">
      <c r="A95" s="91">
        <f>'21. TLP e IDkA 5anos'!A176</f>
        <v>44105</v>
      </c>
      <c r="B95" s="53">
        <f>'21. TLP e IDkA 5anos'!C176</f>
        <v>2.4784E-2</v>
      </c>
    </row>
    <row r="96" spans="1:2" x14ac:dyDescent="0.2">
      <c r="A96" s="91">
        <f>'21. TLP e IDkA 5anos'!A177</f>
        <v>44136</v>
      </c>
      <c r="B96" s="53">
        <f>'21. TLP e IDkA 5anos'!C177</f>
        <v>2.7956999999999999E-2</v>
      </c>
    </row>
    <row r="97" spans="1:2" x14ac:dyDescent="0.2">
      <c r="A97" s="91">
        <f>'21. TLP e IDkA 5anos'!A178</f>
        <v>44166</v>
      </c>
      <c r="B97" s="53">
        <f>'21. TLP e IDkA 5anos'!C178</f>
        <v>2.6695000000000003E-2</v>
      </c>
    </row>
    <row r="98" spans="1:2" x14ac:dyDescent="0.2">
      <c r="A98" s="91">
        <f>'21. TLP e IDkA 5anos'!A179</f>
        <v>44197</v>
      </c>
      <c r="B98" s="53">
        <f>'21. TLP e IDkA 5anos'!C179</f>
        <v>2.1242E-2</v>
      </c>
    </row>
    <row r="99" spans="1:2" x14ac:dyDescent="0.2">
      <c r="A99" s="91">
        <f>'21. TLP e IDkA 5anos'!A180</f>
        <v>44228</v>
      </c>
      <c r="B99" s="53">
        <f>'21. TLP e IDkA 5anos'!C180</f>
        <v>2.5293E-2</v>
      </c>
    </row>
    <row r="100" spans="1:2" x14ac:dyDescent="0.2">
      <c r="A100" s="91">
        <f>'21. TLP e IDkA 5anos'!A181</f>
        <v>44256</v>
      </c>
      <c r="B100" s="53">
        <f>'21. TLP e IDkA 5anos'!C181</f>
        <v>3.1232000000000003E-2</v>
      </c>
    </row>
    <row r="101" spans="1:2" x14ac:dyDescent="0.2">
      <c r="A101" s="91">
        <f>'21. TLP e IDkA 5anos'!A182</f>
        <v>44287</v>
      </c>
      <c r="B101" s="53">
        <f>'21. TLP e IDkA 5anos'!C182</f>
        <v>3.5605000000000005E-2</v>
      </c>
    </row>
    <row r="102" spans="1:2" x14ac:dyDescent="0.2">
      <c r="A102" s="91">
        <f>'21. TLP e IDkA 5anos'!A183</f>
        <v>44317</v>
      </c>
      <c r="B102" s="53">
        <f>'21. TLP e IDkA 5anos'!C183</f>
        <v>3.4336999999999999E-2</v>
      </c>
    </row>
    <row r="103" spans="1:2" x14ac:dyDescent="0.2">
      <c r="A103" s="91">
        <f>'21. TLP e IDkA 5anos'!A184</f>
        <v>44348</v>
      </c>
      <c r="B103" s="53">
        <f>'21. TLP e IDkA 5anos'!C184</f>
        <v>3.5281E-2</v>
      </c>
    </row>
    <row r="104" spans="1:2" x14ac:dyDescent="0.2">
      <c r="A104" s="91">
        <f>'21. TLP e IDkA 5anos'!A185</f>
        <v>44378</v>
      </c>
      <c r="B104" s="53">
        <f>'21. TLP e IDkA 5anos'!C185</f>
        <v>3.7650999999999997E-2</v>
      </c>
    </row>
    <row r="105" spans="1:2" x14ac:dyDescent="0.2">
      <c r="A105" s="91">
        <f>'21. TLP e IDkA 5anos'!A186</f>
        <v>44409</v>
      </c>
      <c r="B105" s="53">
        <f>'21. TLP e IDkA 5anos'!C186</f>
        <v>4.1095E-2</v>
      </c>
    </row>
    <row r="106" spans="1:2" x14ac:dyDescent="0.2">
      <c r="A106" s="91">
        <f>'21. TLP e IDkA 5anos'!A187</f>
        <v>44440</v>
      </c>
      <c r="B106" s="53">
        <f>'21. TLP e IDkA 5anos'!C187</f>
        <v>4.4587000000000002E-2</v>
      </c>
    </row>
    <row r="107" spans="1:2" x14ac:dyDescent="0.2">
      <c r="A107" s="91">
        <f>'21. TLP e IDkA 5anos'!A188</f>
        <v>44470</v>
      </c>
      <c r="B107" s="53">
        <f>'21. TLP e IDkA 5anos'!C188</f>
        <v>4.7378000000000003E-2</v>
      </c>
    </row>
    <row r="108" spans="1:2" x14ac:dyDescent="0.2">
      <c r="A108" s="91">
        <f>'21. TLP e IDkA 5anos'!A189</f>
        <v>44501</v>
      </c>
      <c r="B108" s="53">
        <f>'21. TLP e IDkA 5anos'!C189</f>
        <v>5.4482999999999997E-2</v>
      </c>
    </row>
    <row r="109" spans="1:2" x14ac:dyDescent="0.2">
      <c r="A109" s="91">
        <f>'21. TLP e IDkA 5anos'!A190</f>
        <v>44531</v>
      </c>
      <c r="B109" s="53">
        <f>'21. TLP e IDkA 5anos'!C190</f>
        <v>5.0902000000000003E-2</v>
      </c>
    </row>
    <row r="110" spans="1:2" x14ac:dyDescent="0.2">
      <c r="A110" s="91">
        <f>'21. TLP e IDkA 5anos'!A191</f>
        <v>44562</v>
      </c>
      <c r="B110" s="53">
        <f>'21. TLP e IDkA 5anos'!C191</f>
        <v>5.0880999999999996E-2</v>
      </c>
    </row>
    <row r="111" spans="1:2" x14ac:dyDescent="0.2">
      <c r="A111" s="91">
        <f>'21. TLP e IDkA 5anos'!A192</f>
        <v>44593</v>
      </c>
      <c r="B111" s="53">
        <f>'21. TLP e IDkA 5anos'!C192</f>
        <v>5.4257E-2</v>
      </c>
    </row>
    <row r="112" spans="1:2" x14ac:dyDescent="0.2">
      <c r="A112" s="91">
        <f>'21. TLP e IDkA 5anos'!A193</f>
        <v>44621</v>
      </c>
      <c r="B112" s="53">
        <f>'21. TLP e IDkA 5anos'!C193</f>
        <v>5.3800000000000001E-2</v>
      </c>
    </row>
    <row r="113" spans="1:2" x14ac:dyDescent="0.2">
      <c r="A113" s="91">
        <f>'21. TLP e IDkA 5anos'!A194</f>
        <v>44652</v>
      </c>
      <c r="B113" s="53">
        <f>'21. TLP e IDkA 5anos'!C194</f>
        <v>5.2598000000000006E-2</v>
      </c>
    </row>
    <row r="114" spans="1:2" x14ac:dyDescent="0.2">
      <c r="A114" s="91">
        <f>'21. TLP e IDkA 5anos'!A195</f>
        <v>44682</v>
      </c>
      <c r="B114" s="53">
        <f>'21. TLP e IDkA 5anos'!C195</f>
        <v>5.5048000000000007E-2</v>
      </c>
    </row>
    <row r="115" spans="1:2" x14ac:dyDescent="0.2">
      <c r="A115" s="91">
        <f>'21. TLP e IDkA 5anos'!A196</f>
        <v>44713</v>
      </c>
      <c r="B115" s="53">
        <f>'21. TLP e IDkA 5anos'!C196</f>
        <v>5.5780000000000003E-2</v>
      </c>
    </row>
    <row r="116" spans="1:2" x14ac:dyDescent="0.2">
      <c r="A116" s="91">
        <f>'21. TLP e IDkA 5anos'!A197</f>
        <v>44743</v>
      </c>
      <c r="B116" s="53">
        <f>'21. TLP e IDkA 5anos'!C197</f>
        <v>5.7382999999999997E-2</v>
      </c>
    </row>
    <row r="117" spans="1:2" x14ac:dyDescent="0.2">
      <c r="A117" s="91">
        <f>'21. TLP e IDkA 5anos'!A198</f>
        <v>44774</v>
      </c>
      <c r="B117" s="53">
        <f>'21. TLP e IDkA 5anos'!C198</f>
        <v>6.0092E-2</v>
      </c>
    </row>
    <row r="118" spans="1:2" x14ac:dyDescent="0.2">
      <c r="A118" s="91">
        <f>'21. TLP e IDkA 5anos'!A199</f>
        <v>44805</v>
      </c>
      <c r="B118" s="53">
        <f>'21. TLP e IDkA 5anos'!C199</f>
        <v>5.7991000000000001E-2</v>
      </c>
    </row>
    <row r="119" spans="1:2" x14ac:dyDescent="0.2">
      <c r="A119" s="91">
        <f>'21. TLP e IDkA 5anos'!A200</f>
        <v>44835</v>
      </c>
      <c r="B119" s="53">
        <f>'21. TLP e IDkA 5anos'!C200</f>
        <v>5.6996000000000005E-2</v>
      </c>
    </row>
    <row r="120" spans="1:2" x14ac:dyDescent="0.2">
      <c r="A120" s="91">
        <f>'21. TLP e IDkA 5anos'!A201</f>
        <v>44866</v>
      </c>
      <c r="B120" s="53">
        <f>'21. TLP e IDkA 5anos'!C201</f>
        <v>5.5057999999999996E-2</v>
      </c>
    </row>
    <row r="121" spans="1:2" x14ac:dyDescent="0.2">
      <c r="A121" s="91">
        <f>'21. TLP e IDkA 5anos'!A202</f>
        <v>44896</v>
      </c>
      <c r="B121" s="53">
        <f>'21. TLP e IDkA 5anos'!C202</f>
        <v>5.9128999999999994E-2</v>
      </c>
    </row>
    <row r="122" spans="1:2" x14ac:dyDescent="0.2">
      <c r="A122" s="91">
        <f>'21. TLP e IDkA 5anos'!A203</f>
        <v>44927</v>
      </c>
      <c r="B122" s="53">
        <f>'21. TLP e IDkA 5anos'!C203</f>
        <v>6.1009000000000001E-2</v>
      </c>
    </row>
    <row r="123" spans="1:2" x14ac:dyDescent="0.2">
      <c r="A123" s="91">
        <f>'21. TLP e IDkA 5anos'!A204</f>
        <v>44958</v>
      </c>
      <c r="B123" s="53">
        <f>'21. TLP e IDkA 5anos'!C204</f>
        <v>6.1887999999999999E-2</v>
      </c>
    </row>
    <row r="124" spans="1:2" x14ac:dyDescent="0.2">
      <c r="A124" s="91">
        <f>'21. TLP e IDkA 5anos'!A205</f>
        <v>44986</v>
      </c>
      <c r="B124" s="53">
        <f>'21. TLP e IDkA 5anos'!C205</f>
        <v>6.0632999999999999E-2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B869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1" width="8.6640625" customWidth="1"/>
    <col min="2" max="2" width="19.5" style="49" bestFit="1" customWidth="1"/>
    <col min="3" max="26" width="8.6640625" style="29" customWidth="1"/>
    <col min="27" max="16384" width="14.5" style="29"/>
  </cols>
  <sheetData>
    <row r="1" spans="1:2" x14ac:dyDescent="0.2">
      <c r="A1" s="25" t="s">
        <v>523</v>
      </c>
      <c r="B1" s="170" t="s">
        <v>574</v>
      </c>
    </row>
    <row r="2" spans="1:2" ht="15.75" customHeight="1" x14ac:dyDescent="0.2">
      <c r="A2" s="28">
        <f>'21. TLP e IDkA 5anos'!A83</f>
        <v>41275</v>
      </c>
      <c r="B2" s="171">
        <f>'21. TLP e IDkA 5anos'!B83</f>
        <v>2.9558825396825396E-2</v>
      </c>
    </row>
    <row r="3" spans="1:2" ht="15.75" customHeight="1" x14ac:dyDescent="0.2">
      <c r="A3" s="28">
        <f>'21. TLP e IDkA 5anos'!A84</f>
        <v>41306</v>
      </c>
      <c r="B3" s="171">
        <f>'21. TLP e IDkA 5anos'!B84</f>
        <v>2.8411333333333327E-2</v>
      </c>
    </row>
    <row r="4" spans="1:2" ht="15.75" customHeight="1" x14ac:dyDescent="0.2">
      <c r="A4" s="28">
        <f>'21. TLP e IDkA 5anos'!A85</f>
        <v>41334</v>
      </c>
      <c r="B4" s="171">
        <f>'21. TLP e IDkA 5anos'!B85</f>
        <v>2.9532206349206343E-2</v>
      </c>
    </row>
    <row r="5" spans="1:2" ht="15.75" customHeight="1" x14ac:dyDescent="0.2">
      <c r="A5" s="28">
        <f>'21. TLP e IDkA 5anos'!A86</f>
        <v>41365</v>
      </c>
      <c r="B5" s="171">
        <f>'21. TLP e IDkA 5anos'!B86</f>
        <v>3.1923222222222235E-2</v>
      </c>
    </row>
    <row r="6" spans="1:2" ht="15.75" customHeight="1" x14ac:dyDescent="0.2">
      <c r="A6" s="28">
        <f>'21. TLP e IDkA 5anos'!A87</f>
        <v>41395</v>
      </c>
      <c r="B6" s="171">
        <f>'21. TLP e IDkA 5anos'!B87</f>
        <v>3.5084746031746022E-2</v>
      </c>
    </row>
    <row r="7" spans="1:2" ht="15.75" customHeight="1" x14ac:dyDescent="0.2">
      <c r="A7" s="28">
        <f>'21. TLP e IDkA 5anos'!A88</f>
        <v>41426</v>
      </c>
      <c r="B7" s="171">
        <f>'21. TLP e IDkA 5anos'!B88</f>
        <v>3.6000190476190463E-2</v>
      </c>
    </row>
    <row r="8" spans="1:2" ht="15.75" customHeight="1" x14ac:dyDescent="0.2">
      <c r="A8" s="28">
        <f>'21. TLP e IDkA 5anos'!A89</f>
        <v>41456</v>
      </c>
      <c r="B8" s="171">
        <f>'21. TLP e IDkA 5anos'!B89</f>
        <v>4.0509619047619037E-2</v>
      </c>
    </row>
    <row r="9" spans="1:2" ht="15.75" customHeight="1" x14ac:dyDescent="0.2">
      <c r="A9" s="28">
        <f>'21. TLP e IDkA 5anos'!A90</f>
        <v>41487</v>
      </c>
      <c r="B9" s="171">
        <f>'21. TLP e IDkA 5anos'!B90</f>
        <v>4.5259349206349227E-2</v>
      </c>
    </row>
    <row r="10" spans="1:2" ht="15.75" customHeight="1" x14ac:dyDescent="0.2">
      <c r="A10" s="28">
        <f>'21. TLP e IDkA 5anos'!A91</f>
        <v>41518</v>
      </c>
      <c r="B10" s="171">
        <f>'21. TLP e IDkA 5anos'!B91</f>
        <v>5.0675333333333336E-2</v>
      </c>
    </row>
    <row r="11" spans="1:2" ht="15.75" customHeight="1" x14ac:dyDescent="0.2">
      <c r="A11" s="28">
        <f>'21. TLP e IDkA 5anos'!A92</f>
        <v>41548</v>
      </c>
      <c r="B11" s="171">
        <f>'21. TLP e IDkA 5anos'!B92</f>
        <v>5.2067777777777782E-2</v>
      </c>
    </row>
    <row r="12" spans="1:2" ht="15.75" customHeight="1" x14ac:dyDescent="0.2">
      <c r="A12" s="28">
        <f>'21. TLP e IDkA 5anos'!A93</f>
        <v>41579</v>
      </c>
      <c r="B12" s="171">
        <f>'21. TLP e IDkA 5anos'!B93</f>
        <v>5.3889714285714263E-2</v>
      </c>
    </row>
    <row r="13" spans="1:2" ht="15.75" customHeight="1" x14ac:dyDescent="0.2">
      <c r="A13" s="28">
        <f>'21. TLP e IDkA 5anos'!A94</f>
        <v>41609</v>
      </c>
      <c r="B13" s="171">
        <f>'21. TLP e IDkA 5anos'!B94</f>
        <v>5.5693333333333365E-2</v>
      </c>
    </row>
    <row r="14" spans="1:2" ht="15.75" customHeight="1" x14ac:dyDescent="0.2">
      <c r="A14" s="28">
        <f>'21. TLP e IDkA 5anos'!A95</f>
        <v>41640</v>
      </c>
      <c r="B14" s="171">
        <f>'21. TLP e IDkA 5anos'!B95</f>
        <v>5.8090285714285733E-2</v>
      </c>
    </row>
    <row r="15" spans="1:2" ht="15.75" customHeight="1" x14ac:dyDescent="0.2">
      <c r="A15" s="28">
        <f>'21. TLP e IDkA 5anos'!A96</f>
        <v>41671</v>
      </c>
      <c r="B15" s="171">
        <f>'21. TLP e IDkA 5anos'!B96</f>
        <v>6.1501873015873024E-2</v>
      </c>
    </row>
    <row r="16" spans="1:2" ht="15.75" customHeight="1" x14ac:dyDescent="0.2">
      <c r="A16" s="28">
        <f>'21. TLP e IDkA 5anos'!A97</f>
        <v>41699</v>
      </c>
      <c r="B16" s="171">
        <f>'21. TLP e IDkA 5anos'!B97</f>
        <v>6.3235984126984127E-2</v>
      </c>
    </row>
    <row r="17" spans="1:2" ht="15.75" customHeight="1" x14ac:dyDescent="0.2">
      <c r="A17" s="28">
        <f>'21. TLP e IDkA 5anos'!A98</f>
        <v>41730</v>
      </c>
      <c r="B17" s="171">
        <f>'21. TLP e IDkA 5anos'!B98</f>
        <v>6.3741809523809506E-2</v>
      </c>
    </row>
    <row r="18" spans="1:2" ht="15.75" customHeight="1" x14ac:dyDescent="0.2">
      <c r="A18" s="28">
        <f>'21. TLP e IDkA 5anos'!A99</f>
        <v>41760</v>
      </c>
      <c r="B18" s="171">
        <f>'21. TLP e IDkA 5anos'!B99</f>
        <v>6.3246999999999998E-2</v>
      </c>
    </row>
    <row r="19" spans="1:2" ht="15.75" customHeight="1" x14ac:dyDescent="0.2">
      <c r="A19" s="28">
        <f>'21. TLP e IDkA 5anos'!A100</f>
        <v>41791</v>
      </c>
      <c r="B19" s="171">
        <f>'21. TLP e IDkA 5anos'!B100</f>
        <v>6.1655349206349207E-2</v>
      </c>
    </row>
    <row r="20" spans="1:2" ht="15.75" customHeight="1" x14ac:dyDescent="0.2">
      <c r="A20" s="28">
        <f>'21. TLP e IDkA 5anos'!A101</f>
        <v>41821</v>
      </c>
      <c r="B20" s="171">
        <f>'21. TLP e IDkA 5anos'!B101</f>
        <v>6.0029555555555551E-2</v>
      </c>
    </row>
    <row r="21" spans="1:2" ht="15.75" customHeight="1" x14ac:dyDescent="0.2">
      <c r="A21" s="28">
        <f>'21. TLP e IDkA 5anos'!A102</f>
        <v>41852</v>
      </c>
      <c r="B21" s="171">
        <f>'21. TLP e IDkA 5anos'!B102</f>
        <v>5.8299031746031779E-2</v>
      </c>
    </row>
    <row r="22" spans="1:2" ht="15.75" customHeight="1" x14ac:dyDescent="0.2">
      <c r="A22" s="28">
        <f>'21. TLP e IDkA 5anos'!A103</f>
        <v>41883</v>
      </c>
      <c r="B22" s="171">
        <f>'21. TLP e IDkA 5anos'!B103</f>
        <v>5.7071063492063485E-2</v>
      </c>
    </row>
    <row r="23" spans="1:2" ht="15.75" customHeight="1" x14ac:dyDescent="0.2">
      <c r="A23" s="28">
        <f>'21. TLP e IDkA 5anos'!A104</f>
        <v>41913</v>
      </c>
      <c r="B23" s="171">
        <f>'21. TLP e IDkA 5anos'!B104</f>
        <v>5.6481968253968257E-2</v>
      </c>
    </row>
    <row r="24" spans="1:2" ht="15.75" customHeight="1" x14ac:dyDescent="0.2">
      <c r="A24" s="28">
        <f>'21. TLP e IDkA 5anos'!A105</f>
        <v>41944</v>
      </c>
      <c r="B24" s="171">
        <f>'21. TLP e IDkA 5anos'!B105</f>
        <v>5.6516777777777777E-2</v>
      </c>
    </row>
    <row r="25" spans="1:2" ht="15.75" customHeight="1" x14ac:dyDescent="0.2">
      <c r="A25" s="28">
        <f>'21. TLP e IDkA 5anos'!A106</f>
        <v>41974</v>
      </c>
      <c r="B25" s="171">
        <f>'21. TLP e IDkA 5anos'!B106</f>
        <v>5.7313238095238077E-2</v>
      </c>
    </row>
    <row r="26" spans="1:2" ht="15.75" customHeight="1" x14ac:dyDescent="0.2">
      <c r="A26" s="28">
        <f>'21. TLP e IDkA 5anos'!A107</f>
        <v>42005</v>
      </c>
      <c r="B26" s="171">
        <f>'21. TLP e IDkA 5anos'!B107</f>
        <v>5.8747507936507931E-2</v>
      </c>
    </row>
    <row r="27" spans="1:2" ht="15.75" customHeight="1" x14ac:dyDescent="0.2">
      <c r="A27" s="28">
        <f>'21. TLP e IDkA 5anos'!A108</f>
        <v>42036</v>
      </c>
      <c r="B27" s="171">
        <f>'21. TLP e IDkA 5anos'!B108</f>
        <v>5.9339206349206364E-2</v>
      </c>
    </row>
    <row r="28" spans="1:2" ht="15.75" customHeight="1" x14ac:dyDescent="0.2">
      <c r="A28" s="28">
        <f>'21. TLP e IDkA 5anos'!A109</f>
        <v>42064</v>
      </c>
      <c r="B28" s="171">
        <f>'21. TLP e IDkA 5anos'!B109</f>
        <v>5.9822698412698452E-2</v>
      </c>
    </row>
    <row r="29" spans="1:2" ht="15.75" customHeight="1" x14ac:dyDescent="0.2">
      <c r="A29" s="28">
        <f>'21. TLP e IDkA 5anos'!A110</f>
        <v>42095</v>
      </c>
      <c r="B29" s="171">
        <f>'21. TLP e IDkA 5anos'!B110</f>
        <v>6.0789825396825405E-2</v>
      </c>
    </row>
    <row r="30" spans="1:2" ht="15.75" customHeight="1" x14ac:dyDescent="0.2">
      <c r="A30" s="28">
        <f>'21. TLP e IDkA 5anos'!A111</f>
        <v>42125</v>
      </c>
      <c r="B30" s="171">
        <f>'21. TLP e IDkA 5anos'!B111</f>
        <v>6.2006888888888903E-2</v>
      </c>
    </row>
    <row r="31" spans="1:2" ht="15.75" customHeight="1" x14ac:dyDescent="0.2">
      <c r="A31" s="28">
        <f>'21. TLP e IDkA 5anos'!A112</f>
        <v>42156</v>
      </c>
      <c r="B31" s="171">
        <f>'21. TLP e IDkA 5anos'!B112</f>
        <v>6.3149619047619052E-2</v>
      </c>
    </row>
    <row r="32" spans="1:2" ht="15.75" customHeight="1" x14ac:dyDescent="0.2">
      <c r="A32" s="28">
        <f>'21. TLP e IDkA 5anos'!A113</f>
        <v>42186</v>
      </c>
      <c r="B32" s="171">
        <f>'21. TLP e IDkA 5anos'!B113</f>
        <v>6.375744444444445E-2</v>
      </c>
    </row>
    <row r="33" spans="1:2" ht="15.75" customHeight="1" x14ac:dyDescent="0.2">
      <c r="A33" s="28">
        <f>'21. TLP e IDkA 5anos'!A114</f>
        <v>42217</v>
      </c>
      <c r="B33" s="171">
        <f>'21. TLP e IDkA 5anos'!B114</f>
        <v>6.4664428571428567E-2</v>
      </c>
    </row>
    <row r="34" spans="1:2" ht="15.75" customHeight="1" x14ac:dyDescent="0.2">
      <c r="A34" s="28">
        <f>'21. TLP e IDkA 5anos'!A115</f>
        <v>42248</v>
      </c>
      <c r="B34" s="171">
        <f>'21. TLP e IDkA 5anos'!B115</f>
        <v>6.6771063492063479E-2</v>
      </c>
    </row>
    <row r="35" spans="1:2" ht="15.75" customHeight="1" x14ac:dyDescent="0.2">
      <c r="A35" s="28">
        <f>'21. TLP e IDkA 5anos'!A116</f>
        <v>42278</v>
      </c>
      <c r="B35" s="171">
        <f>'21. TLP e IDkA 5anos'!B116</f>
        <v>7.0293380952380954E-2</v>
      </c>
    </row>
    <row r="36" spans="1:2" ht="15.75" customHeight="1" x14ac:dyDescent="0.2">
      <c r="A36" s="28">
        <f>'21. TLP e IDkA 5anos'!A117</f>
        <v>42309</v>
      </c>
      <c r="B36" s="171">
        <f>'21. TLP e IDkA 5anos'!B117</f>
        <v>7.3074444444444456E-2</v>
      </c>
    </row>
    <row r="37" spans="1:2" ht="15.75" customHeight="1" x14ac:dyDescent="0.2">
      <c r="A37" s="28">
        <f>'21. TLP e IDkA 5anos'!A118</f>
        <v>42339</v>
      </c>
      <c r="B37" s="171">
        <f>'21. TLP e IDkA 5anos'!B118</f>
        <v>7.3679301587301585E-2</v>
      </c>
    </row>
    <row r="38" spans="1:2" ht="15.75" customHeight="1" x14ac:dyDescent="0.2">
      <c r="A38" s="28">
        <f>'21. TLP e IDkA 5anos'!A119</f>
        <v>42370</v>
      </c>
      <c r="B38" s="171">
        <f>'21. TLP e IDkA 5anos'!B119</f>
        <v>7.3509841269841253E-2</v>
      </c>
    </row>
    <row r="39" spans="1:2" ht="15.75" customHeight="1" x14ac:dyDescent="0.2">
      <c r="A39" s="28">
        <f>'21. TLP e IDkA 5anos'!A120</f>
        <v>42401</v>
      </c>
      <c r="B39" s="171">
        <f>'21. TLP e IDkA 5anos'!B120</f>
        <v>7.2584920634920641E-2</v>
      </c>
    </row>
    <row r="40" spans="1:2" ht="15.75" customHeight="1" x14ac:dyDescent="0.2">
      <c r="A40" s="28">
        <f>'21. TLP e IDkA 5anos'!A121</f>
        <v>42430</v>
      </c>
      <c r="B40" s="171">
        <f>'21. TLP e IDkA 5anos'!B121</f>
        <v>7.1834444444444451E-2</v>
      </c>
    </row>
    <row r="41" spans="1:2" ht="15.75" customHeight="1" x14ac:dyDescent="0.2">
      <c r="A41" s="28">
        <f>'21. TLP e IDkA 5anos'!A122</f>
        <v>42461</v>
      </c>
      <c r="B41" s="171">
        <f>'21. TLP e IDkA 5anos'!B122</f>
        <v>6.8314523809523825E-2</v>
      </c>
    </row>
    <row r="42" spans="1:2" ht="15.75" customHeight="1" x14ac:dyDescent="0.2">
      <c r="A42" s="28">
        <f>'21. TLP e IDkA 5anos'!A123</f>
        <v>42491</v>
      </c>
      <c r="B42" s="171">
        <f>'21. TLP e IDkA 5anos'!B123</f>
        <v>6.5936269841269823E-2</v>
      </c>
    </row>
    <row r="43" spans="1:2" ht="15.75" customHeight="1" x14ac:dyDescent="0.2">
      <c r="A43" s="28">
        <f>'21. TLP e IDkA 5anos'!A124</f>
        <v>42522</v>
      </c>
      <c r="B43" s="171">
        <f>'21. TLP e IDkA 5anos'!B124</f>
        <v>6.2877761904761909E-2</v>
      </c>
    </row>
    <row r="44" spans="1:2" ht="15.75" customHeight="1" x14ac:dyDescent="0.2">
      <c r="A44" s="28">
        <f>'21. TLP e IDkA 5anos'!A125</f>
        <v>42552</v>
      </c>
      <c r="B44" s="171">
        <f>'21. TLP e IDkA 5anos'!B125</f>
        <v>6.1637047619047633E-2</v>
      </c>
    </row>
    <row r="45" spans="1:2" ht="15.75" customHeight="1" x14ac:dyDescent="0.2">
      <c r="A45" s="28">
        <f>'21. TLP e IDkA 5anos'!A126</f>
        <v>42583</v>
      </c>
      <c r="B45" s="171">
        <f>'21. TLP e IDkA 5anos'!B126</f>
        <v>6.117565079365081E-2</v>
      </c>
    </row>
    <row r="46" spans="1:2" ht="15.75" customHeight="1" x14ac:dyDescent="0.2">
      <c r="A46" s="28">
        <f>'21. TLP e IDkA 5anos'!A127</f>
        <v>42614</v>
      </c>
      <c r="B46" s="171">
        <f>'21. TLP e IDkA 5anos'!B127</f>
        <v>6.1072333333333298E-2</v>
      </c>
    </row>
    <row r="47" spans="1:2" ht="15.75" customHeight="1" x14ac:dyDescent="0.2">
      <c r="A47" s="28">
        <f>'21. TLP e IDkA 5anos'!A128</f>
        <v>42644</v>
      </c>
      <c r="B47" s="171">
        <f>'21. TLP e IDkA 5anos'!B128</f>
        <v>6.0946825396825395E-2</v>
      </c>
    </row>
    <row r="48" spans="1:2" ht="15.75" customHeight="1" x14ac:dyDescent="0.2">
      <c r="A48" s="28">
        <f>'21. TLP e IDkA 5anos'!A129</f>
        <v>42675</v>
      </c>
      <c r="B48" s="171">
        <f>'21. TLP e IDkA 5anos'!B129</f>
        <v>5.9957079365079352E-2</v>
      </c>
    </row>
    <row r="49" spans="1:2" ht="15.75" customHeight="1" x14ac:dyDescent="0.2">
      <c r="A49" s="28">
        <f>'21. TLP e IDkA 5anos'!A130</f>
        <v>42705</v>
      </c>
      <c r="B49" s="171">
        <f>'21. TLP e IDkA 5anos'!B130</f>
        <v>6.0614476190476198E-2</v>
      </c>
    </row>
    <row r="50" spans="1:2" ht="15.75" customHeight="1" x14ac:dyDescent="0.2">
      <c r="A50" s="28">
        <f>'21. TLP e IDkA 5anos'!A131</f>
        <v>42736</v>
      </c>
      <c r="B50" s="171">
        <f>'21. TLP e IDkA 5anos'!B131</f>
        <v>6.0943492063492054E-2</v>
      </c>
    </row>
    <row r="51" spans="1:2" ht="15.75" customHeight="1" x14ac:dyDescent="0.2">
      <c r="A51" s="28">
        <f>'21. TLP e IDkA 5anos'!A132</f>
        <v>42767</v>
      </c>
      <c r="B51" s="171">
        <f>'21. TLP e IDkA 5anos'!B132</f>
        <v>6.0502444444444435E-2</v>
      </c>
    </row>
    <row r="52" spans="1:2" ht="15.75" customHeight="1" x14ac:dyDescent="0.2">
      <c r="A52" s="28">
        <f>'21. TLP e IDkA 5anos'!A133</f>
        <v>42795</v>
      </c>
      <c r="B52" s="171">
        <f>'21. TLP e IDkA 5anos'!B133</f>
        <v>5.8672666666666679E-2</v>
      </c>
    </row>
    <row r="53" spans="1:2" ht="15.75" customHeight="1" x14ac:dyDescent="0.2">
      <c r="A53" s="28">
        <f>'21. TLP e IDkA 5anos'!A134</f>
        <v>42826</v>
      </c>
      <c r="B53" s="171">
        <f>'21. TLP e IDkA 5anos'!B134</f>
        <v>5.5512761904761919E-2</v>
      </c>
    </row>
    <row r="54" spans="1:2" ht="15.75" customHeight="1" x14ac:dyDescent="0.2">
      <c r="A54" s="28">
        <f>'21. TLP e IDkA 5anos'!A135</f>
        <v>42856</v>
      </c>
      <c r="B54" s="171">
        <f>'21. TLP e IDkA 5anos'!B135</f>
        <v>5.3983984126984144E-2</v>
      </c>
    </row>
    <row r="55" spans="1:2" ht="15.75" customHeight="1" x14ac:dyDescent="0.2">
      <c r="A55" s="28">
        <f>'21. TLP e IDkA 5anos'!A136</f>
        <v>42887</v>
      </c>
      <c r="B55" s="171">
        <f>'21. TLP e IDkA 5anos'!B136</f>
        <v>5.3381746031746037E-2</v>
      </c>
    </row>
    <row r="56" spans="1:2" ht="15.75" customHeight="1" x14ac:dyDescent="0.2">
      <c r="A56" s="28">
        <f>'21. TLP e IDkA 5anos'!A137</f>
        <v>42917</v>
      </c>
      <c r="B56" s="171">
        <f>'21. TLP e IDkA 5anos'!B137</f>
        <v>5.4476841269841286E-2</v>
      </c>
    </row>
    <row r="57" spans="1:2" ht="15.75" customHeight="1" x14ac:dyDescent="0.2">
      <c r="A57" s="28">
        <f>'21. TLP e IDkA 5anos'!A138</f>
        <v>42948</v>
      </c>
      <c r="B57" s="171">
        <f>'21. TLP e IDkA 5anos'!B138</f>
        <v>5.4779222222222229E-2</v>
      </c>
    </row>
    <row r="58" spans="1:2" ht="15.75" customHeight="1" x14ac:dyDescent="0.2">
      <c r="A58" s="28">
        <f>'21. TLP e IDkA 5anos'!A139</f>
        <v>42979</v>
      </c>
      <c r="B58" s="171">
        <f>'21. TLP e IDkA 5anos'!B139</f>
        <v>5.2433000000000014E-2</v>
      </c>
    </row>
    <row r="59" spans="1:2" ht="15.75" customHeight="1" x14ac:dyDescent="0.2">
      <c r="A59" s="28">
        <f>'21. TLP e IDkA 5anos'!A140</f>
        <v>43009</v>
      </c>
      <c r="B59" s="171">
        <f>'21. TLP e IDkA 5anos'!B140</f>
        <v>4.9108476190476189E-2</v>
      </c>
    </row>
    <row r="60" spans="1:2" ht="15.75" customHeight="1" x14ac:dyDescent="0.2">
      <c r="A60" s="28">
        <f>'21. TLP e IDkA 5anos'!A141</f>
        <v>43040</v>
      </c>
      <c r="B60" s="171">
        <f>'21. TLP e IDkA 5anos'!B141</f>
        <v>4.6428222222222225E-2</v>
      </c>
    </row>
    <row r="61" spans="1:2" ht="15.75" customHeight="1" x14ac:dyDescent="0.2">
      <c r="A61" s="28">
        <f>'21. TLP e IDkA 5anos'!A142</f>
        <v>43070</v>
      </c>
      <c r="B61" s="171">
        <f>'21. TLP e IDkA 5anos'!B142</f>
        <v>4.6392682539682546E-2</v>
      </c>
    </row>
    <row r="62" spans="1:2" ht="15.75" customHeight="1" x14ac:dyDescent="0.2">
      <c r="A62" s="28">
        <f>'21. TLP e IDkA 5anos'!A143</f>
        <v>43101</v>
      </c>
      <c r="B62" s="171">
        <f>'21. TLP e IDkA 5anos'!B143</f>
        <v>4.7494523809523806E-2</v>
      </c>
    </row>
    <row r="63" spans="1:2" ht="15.75" customHeight="1" x14ac:dyDescent="0.2">
      <c r="A63" s="28">
        <f>'21. TLP e IDkA 5anos'!A144</f>
        <v>43132</v>
      </c>
      <c r="B63" s="171">
        <f>'21. TLP e IDkA 5anos'!B144</f>
        <v>4.8110492063492077E-2</v>
      </c>
    </row>
    <row r="64" spans="1:2" ht="15.75" customHeight="1" x14ac:dyDescent="0.2">
      <c r="A64" s="28">
        <f>'21. TLP e IDkA 5anos'!A145</f>
        <v>43160</v>
      </c>
      <c r="B64" s="171">
        <f>'21. TLP e IDkA 5anos'!B145</f>
        <v>4.7604269841269836E-2</v>
      </c>
    </row>
    <row r="65" spans="1:2" ht="15.75" customHeight="1" x14ac:dyDescent="0.2">
      <c r="A65" s="28">
        <f>'21. TLP e IDkA 5anos'!A146</f>
        <v>43191</v>
      </c>
      <c r="B65" s="171">
        <f>'21. TLP e IDkA 5anos'!B146</f>
        <v>4.598098412698412E-2</v>
      </c>
    </row>
    <row r="66" spans="1:2" ht="15.75" customHeight="1" x14ac:dyDescent="0.2">
      <c r="A66" s="28">
        <f>'21. TLP e IDkA 5anos'!A147</f>
        <v>43221</v>
      </c>
      <c r="B66" s="171">
        <f>'21. TLP e IDkA 5anos'!B147</f>
        <v>4.4907603174603176E-2</v>
      </c>
    </row>
    <row r="67" spans="1:2" ht="15.75" customHeight="1" x14ac:dyDescent="0.2">
      <c r="A67" s="28">
        <f>'21. TLP e IDkA 5anos'!A148</f>
        <v>43252</v>
      </c>
      <c r="B67" s="171">
        <f>'21. TLP e IDkA 5anos'!B148</f>
        <v>4.5525253968253958E-2</v>
      </c>
    </row>
    <row r="68" spans="1:2" ht="15.75" customHeight="1" x14ac:dyDescent="0.2">
      <c r="A68" s="28">
        <f>'21. TLP e IDkA 5anos'!A149</f>
        <v>43282</v>
      </c>
      <c r="B68" s="171">
        <f>'21. TLP e IDkA 5anos'!B149</f>
        <v>4.907485714285717E-2</v>
      </c>
    </row>
    <row r="69" spans="1:2" ht="15.75" customHeight="1" x14ac:dyDescent="0.2">
      <c r="A69" s="28">
        <f>'21. TLP e IDkA 5anos'!A150</f>
        <v>43313</v>
      </c>
      <c r="B69" s="171">
        <f>'21. TLP e IDkA 5anos'!B150</f>
        <v>5.294930158730158E-2</v>
      </c>
    </row>
    <row r="70" spans="1:2" ht="15.75" customHeight="1" x14ac:dyDescent="0.2">
      <c r="A70" s="28">
        <f>'21. TLP e IDkA 5anos'!A151</f>
        <v>43344</v>
      </c>
      <c r="B70" s="171">
        <f>'21. TLP e IDkA 5anos'!B151</f>
        <v>5.5062174603174599E-2</v>
      </c>
    </row>
    <row r="71" spans="1:2" ht="15.75" customHeight="1" x14ac:dyDescent="0.2">
      <c r="A71" s="28">
        <f>'21. TLP e IDkA 5anos'!A152</f>
        <v>43374</v>
      </c>
      <c r="B71" s="171">
        <f>'21. TLP e IDkA 5anos'!B152</f>
        <v>5.5685507936507929E-2</v>
      </c>
    </row>
    <row r="72" spans="1:2" ht="15.75" customHeight="1" x14ac:dyDescent="0.2">
      <c r="A72" s="28">
        <f>'21. TLP e IDkA 5anos'!A153</f>
        <v>43405</v>
      </c>
      <c r="B72" s="171">
        <f>'21. TLP e IDkA 5anos'!B153</f>
        <v>5.4345666666666653E-2</v>
      </c>
    </row>
    <row r="73" spans="1:2" ht="15.75" customHeight="1" x14ac:dyDescent="0.2">
      <c r="A73" s="28">
        <f>'21. TLP e IDkA 5anos'!A154</f>
        <v>43435</v>
      </c>
      <c r="B73" s="171">
        <f>'21. TLP e IDkA 5anos'!B154</f>
        <v>5.2165047619047618E-2</v>
      </c>
    </row>
    <row r="74" spans="1:2" ht="15.75" customHeight="1" x14ac:dyDescent="0.2">
      <c r="A74" s="28">
        <f>'21. TLP e IDkA 5anos'!A155</f>
        <v>43466</v>
      </c>
      <c r="B74" s="171">
        <f>'21. TLP e IDkA 5anos'!B155</f>
        <v>4.8475301587301581E-2</v>
      </c>
    </row>
    <row r="75" spans="1:2" ht="15.75" customHeight="1" x14ac:dyDescent="0.2">
      <c r="A75" s="28">
        <f>'21. TLP e IDkA 5anos'!A156</f>
        <v>43497</v>
      </c>
      <c r="B75" s="171">
        <f>'21. TLP e IDkA 5anos'!B156</f>
        <v>4.5219206349206342E-2</v>
      </c>
    </row>
    <row r="76" spans="1:2" ht="15.75" customHeight="1" x14ac:dyDescent="0.2">
      <c r="A76" s="28">
        <f>'21. TLP e IDkA 5anos'!A157</f>
        <v>43525</v>
      </c>
      <c r="B76" s="171">
        <f>'21. TLP e IDkA 5anos'!B157</f>
        <v>4.2994507936507942E-2</v>
      </c>
    </row>
    <row r="77" spans="1:2" ht="15.75" customHeight="1" x14ac:dyDescent="0.2">
      <c r="A77" s="28">
        <f>'21. TLP e IDkA 5anos'!A158</f>
        <v>43556</v>
      </c>
      <c r="B77" s="171">
        <f>'21. TLP e IDkA 5anos'!B158</f>
        <v>4.0953555555555569E-2</v>
      </c>
    </row>
    <row r="78" spans="1:2" ht="15.75" customHeight="1" x14ac:dyDescent="0.2">
      <c r="A78" s="28">
        <f>'21. TLP e IDkA 5anos'!A159</f>
        <v>43586</v>
      </c>
      <c r="B78" s="171">
        <f>'21. TLP e IDkA 5anos'!B159</f>
        <v>4.0361206349206348E-2</v>
      </c>
    </row>
    <row r="79" spans="1:2" ht="15.75" customHeight="1" x14ac:dyDescent="0.2">
      <c r="A79" s="28">
        <f>'21. TLP e IDkA 5anos'!A160</f>
        <v>43617</v>
      </c>
      <c r="B79" s="171">
        <f>'21. TLP e IDkA 5anos'!B160</f>
        <v>3.9818111111111117E-2</v>
      </c>
    </row>
    <row r="80" spans="1:2" ht="15.75" customHeight="1" x14ac:dyDescent="0.2">
      <c r="A80" s="28">
        <f>'21. TLP e IDkA 5anos'!A161</f>
        <v>43647</v>
      </c>
      <c r="B80" s="171">
        <f>'21. TLP e IDkA 5anos'!B161</f>
        <v>3.8003301587301593E-2</v>
      </c>
    </row>
    <row r="81" spans="1:2" ht="15.75" customHeight="1" x14ac:dyDescent="0.2">
      <c r="A81" s="28">
        <f>'21. TLP e IDkA 5anos'!A162</f>
        <v>43678</v>
      </c>
      <c r="B81" s="171">
        <f>'21. TLP e IDkA 5anos'!B162</f>
        <v>3.3828952380952383E-2</v>
      </c>
    </row>
    <row r="82" spans="1:2" ht="15.75" customHeight="1" x14ac:dyDescent="0.2">
      <c r="A82" s="28">
        <f>'21. TLP e IDkA 5anos'!A163</f>
        <v>43709</v>
      </c>
      <c r="B82" s="171">
        <f>'21. TLP e IDkA 5anos'!B163</f>
        <v>3.0422841269841266E-2</v>
      </c>
    </row>
    <row r="83" spans="1:2" ht="15.75" customHeight="1" x14ac:dyDescent="0.2">
      <c r="A83" s="28">
        <f>'21. TLP e IDkA 5anos'!A164</f>
        <v>43739</v>
      </c>
      <c r="B83" s="171">
        <f>'21. TLP e IDkA 5anos'!B164</f>
        <v>2.8936714285714281E-2</v>
      </c>
    </row>
    <row r="84" spans="1:2" ht="15.75" customHeight="1" x14ac:dyDescent="0.2">
      <c r="A84" s="28">
        <f>'21. TLP e IDkA 5anos'!A165</f>
        <v>43770</v>
      </c>
      <c r="B84" s="171">
        <f>'21. TLP e IDkA 5anos'!B165</f>
        <v>2.7102666666666667E-2</v>
      </c>
    </row>
    <row r="85" spans="1:2" ht="15.75" customHeight="1" x14ac:dyDescent="0.2">
      <c r="A85" s="28">
        <f>'21. TLP e IDkA 5anos'!A166</f>
        <v>43800</v>
      </c>
      <c r="B85" s="171">
        <f>'21. TLP e IDkA 5anos'!B166</f>
        <v>2.5105571428571428E-2</v>
      </c>
    </row>
    <row r="86" spans="1:2" ht="15.75" customHeight="1" x14ac:dyDescent="0.2">
      <c r="A86" s="28">
        <f>'21. TLP e IDkA 5anos'!A167</f>
        <v>43831</v>
      </c>
      <c r="B86" s="171">
        <f>'21. TLP e IDkA 5anos'!B167</f>
        <v>2.3839587301587303E-2</v>
      </c>
    </row>
    <row r="87" spans="1:2" ht="15.75" customHeight="1" x14ac:dyDescent="0.2">
      <c r="A87" s="28">
        <f>'21. TLP e IDkA 5anos'!A168</f>
        <v>43862</v>
      </c>
      <c r="B87" s="171">
        <f>'21. TLP e IDkA 5anos'!B168</f>
        <v>2.4256555555555545E-2</v>
      </c>
    </row>
    <row r="88" spans="1:2" ht="15.75" customHeight="1" x14ac:dyDescent="0.2">
      <c r="A88" s="28">
        <f>'21. TLP e IDkA 5anos'!A169</f>
        <v>43891</v>
      </c>
      <c r="B88" s="171">
        <f>'21. TLP e IDkA 5anos'!B169</f>
        <v>2.4547825396825387E-2</v>
      </c>
    </row>
    <row r="89" spans="1:2" ht="15.75" customHeight="1" x14ac:dyDescent="0.2">
      <c r="A89" s="28">
        <f>'21. TLP e IDkA 5anos'!A170</f>
        <v>43922</v>
      </c>
      <c r="B89" s="171">
        <f>'21. TLP e IDkA 5anos'!B170</f>
        <v>2.6931634920634925E-2</v>
      </c>
    </row>
    <row r="90" spans="1:2" ht="15.75" customHeight="1" x14ac:dyDescent="0.2">
      <c r="A90" s="28">
        <f>'21. TLP e IDkA 5anos'!A171</f>
        <v>43952</v>
      </c>
      <c r="B90" s="171">
        <f>'21. TLP e IDkA 5anos'!B171</f>
        <v>2.8751269841269834E-2</v>
      </c>
    </row>
    <row r="91" spans="1:2" ht="15.75" customHeight="1" x14ac:dyDescent="0.2">
      <c r="A91" s="28">
        <f>'21. TLP e IDkA 5anos'!A172</f>
        <v>43983</v>
      </c>
      <c r="B91" s="171">
        <f>'21. TLP e IDkA 5anos'!B172</f>
        <v>3.0587015873015867E-2</v>
      </c>
    </row>
    <row r="92" spans="1:2" ht="15.75" customHeight="1" x14ac:dyDescent="0.2">
      <c r="A92" s="28">
        <f>'21. TLP e IDkA 5anos'!A173</f>
        <v>44013</v>
      </c>
      <c r="B92" s="171">
        <f>'21. TLP e IDkA 5anos'!B173</f>
        <v>2.7973730158730167E-2</v>
      </c>
    </row>
    <row r="93" spans="1:2" ht="15.75" customHeight="1" x14ac:dyDescent="0.2">
      <c r="A93" s="28">
        <f>'21. TLP e IDkA 5anos'!A174</f>
        <v>44044</v>
      </c>
      <c r="B93" s="171">
        <f>'21. TLP e IDkA 5anos'!B174</f>
        <v>2.3626492063492068E-2</v>
      </c>
    </row>
    <row r="94" spans="1:2" ht="15.75" customHeight="1" x14ac:dyDescent="0.2">
      <c r="A94" s="28">
        <f>'21. TLP e IDkA 5anos'!A175</f>
        <v>44075</v>
      </c>
      <c r="B94" s="171">
        <f>'21. TLP e IDkA 5anos'!B175</f>
        <v>2.0398539682539681E-2</v>
      </c>
    </row>
    <row r="95" spans="1:2" ht="15.75" customHeight="1" x14ac:dyDescent="0.2">
      <c r="A95" s="28">
        <f>'21. TLP e IDkA 5anos'!A176</f>
        <v>44105</v>
      </c>
      <c r="B95" s="171">
        <f>'21. TLP e IDkA 5anos'!B176</f>
        <v>2.0100714285714291E-2</v>
      </c>
    </row>
    <row r="96" spans="1:2" ht="15.75" customHeight="1" x14ac:dyDescent="0.2">
      <c r="A96" s="28">
        <f>'21. TLP e IDkA 5anos'!A177</f>
        <v>44136</v>
      </c>
      <c r="B96" s="171">
        <f>'21. TLP e IDkA 5anos'!B177</f>
        <v>2.234955555555556E-2</v>
      </c>
    </row>
    <row r="97" spans="1:2" ht="15.75" customHeight="1" x14ac:dyDescent="0.2">
      <c r="A97" s="28">
        <f>'21. TLP e IDkA 5anos'!A178</f>
        <v>44166</v>
      </c>
      <c r="B97" s="171">
        <f>'21. TLP e IDkA 5anos'!B178</f>
        <v>2.4818301587301587E-2</v>
      </c>
    </row>
    <row r="98" spans="1:2" ht="15.75" customHeight="1" x14ac:dyDescent="0.2">
      <c r="A98" s="28">
        <f>'21. TLP e IDkA 5anos'!A179</f>
        <v>44197</v>
      </c>
      <c r="B98" s="171">
        <f>'21. TLP e IDkA 5anos'!B179</f>
        <v>2.5171746031746038E-2</v>
      </c>
    </row>
    <row r="99" spans="1:2" ht="15.75" customHeight="1" x14ac:dyDescent="0.2">
      <c r="A99" s="28">
        <f>'21. TLP e IDkA 5anos'!A180</f>
        <v>44228</v>
      </c>
      <c r="B99" s="171">
        <f>'21. TLP e IDkA 5anos'!B180</f>
        <v>2.4942111111111099E-2</v>
      </c>
    </row>
    <row r="100" spans="1:2" ht="15.75" customHeight="1" x14ac:dyDescent="0.2">
      <c r="A100" s="28">
        <f>'21. TLP e IDkA 5anos'!A181</f>
        <v>44256</v>
      </c>
      <c r="B100" s="171">
        <f>'21. TLP e IDkA 5anos'!B181</f>
        <v>2.4676E-2</v>
      </c>
    </row>
    <row r="101" spans="1:2" ht="15.75" customHeight="1" x14ac:dyDescent="0.2">
      <c r="A101" s="28">
        <f>'21. TLP e IDkA 5anos'!A182</f>
        <v>44287</v>
      </c>
      <c r="B101" s="171">
        <f>'21. TLP e IDkA 5anos'!B182</f>
        <v>2.7848587301587301E-2</v>
      </c>
    </row>
    <row r="102" spans="1:2" ht="15.75" customHeight="1" x14ac:dyDescent="0.2">
      <c r="A102" s="28">
        <f>'21. TLP e IDkA 5anos'!A183</f>
        <v>44317</v>
      </c>
      <c r="B102" s="171">
        <f>'21. TLP e IDkA 5anos'!B183</f>
        <v>3.1523841269841278E-2</v>
      </c>
    </row>
    <row r="103" spans="1:2" ht="15.75" customHeight="1" x14ac:dyDescent="0.2">
      <c r="A103" s="28">
        <f>'21. TLP e IDkA 5anos'!A184</f>
        <v>44348</v>
      </c>
      <c r="B103" s="171">
        <f>'21. TLP e IDkA 5anos'!B184</f>
        <v>3.4494904761904761E-2</v>
      </c>
    </row>
    <row r="104" spans="1:2" ht="15.75" customHeight="1" x14ac:dyDescent="0.2">
      <c r="A104" s="28">
        <f>'21. TLP e IDkA 5anos'!A185</f>
        <v>44378</v>
      </c>
      <c r="B104" s="171">
        <f>'21. TLP e IDkA 5anos'!B185</f>
        <v>3.5925238095238086E-2</v>
      </c>
    </row>
    <row r="105" spans="1:2" ht="15.75" customHeight="1" x14ac:dyDescent="0.2">
      <c r="A105" s="28">
        <f>'21. TLP e IDkA 5anos'!A186</f>
        <v>44409</v>
      </c>
      <c r="B105" s="171">
        <f>'21. TLP e IDkA 5anos'!B186</f>
        <v>3.6621587301587294E-2</v>
      </c>
    </row>
    <row r="106" spans="1:2" ht="15.75" customHeight="1" x14ac:dyDescent="0.2">
      <c r="A106" s="28">
        <f>'21. TLP e IDkA 5anos'!A187</f>
        <v>44440</v>
      </c>
      <c r="B106" s="171">
        <f>'21. TLP e IDkA 5anos'!B187</f>
        <v>3.9738476190476199E-2</v>
      </c>
    </row>
    <row r="107" spans="1:2" ht="15.75" customHeight="1" x14ac:dyDescent="0.2">
      <c r="A107" s="28">
        <f>'21. TLP e IDkA 5anos'!A188</f>
        <v>44470</v>
      </c>
      <c r="B107" s="171">
        <f>'21. TLP e IDkA 5anos'!B188</f>
        <v>4.2812412698412711E-2</v>
      </c>
    </row>
    <row r="108" spans="1:2" ht="15.75" customHeight="1" x14ac:dyDescent="0.2">
      <c r="A108" s="28">
        <f>'21. TLP e IDkA 5anos'!A189</f>
        <v>44501</v>
      </c>
      <c r="B108" s="171">
        <f>'21. TLP e IDkA 5anos'!B189</f>
        <v>4.6575619047619046E-2</v>
      </c>
    </row>
    <row r="109" spans="1:2" ht="15.75" customHeight="1" x14ac:dyDescent="0.2">
      <c r="A109" s="28">
        <f>'21. TLP e IDkA 5anos'!A190</f>
        <v>44531</v>
      </c>
      <c r="B109" s="171">
        <f>'21. TLP e IDkA 5anos'!B190</f>
        <v>4.9196365079365069E-2</v>
      </c>
    </row>
    <row r="110" spans="1:2" ht="15.75" customHeight="1" x14ac:dyDescent="0.2">
      <c r="A110" s="28">
        <f>'21. TLP e IDkA 5anos'!A191</f>
        <v>44562</v>
      </c>
      <c r="B110" s="171">
        <f>'21. TLP e IDkA 5anos'!B191</f>
        <v>5.0852857142857151E-2</v>
      </c>
    </row>
    <row r="111" spans="1:2" ht="15.75" customHeight="1" x14ac:dyDescent="0.2">
      <c r="A111" s="28">
        <f>'21. TLP e IDkA 5anos'!A192</f>
        <v>44593</v>
      </c>
      <c r="B111" s="171">
        <f>'21. TLP e IDkA 5anos'!B192</f>
        <v>5.2070365079365064E-2</v>
      </c>
    </row>
    <row r="112" spans="1:2" ht="15.75" customHeight="1" x14ac:dyDescent="0.2">
      <c r="A112" s="28">
        <f>'21. TLP e IDkA 5anos'!A193</f>
        <v>44621</v>
      </c>
      <c r="B112" s="171">
        <f>'21. TLP e IDkA 5anos'!B193</f>
        <v>5.5800000000000002E-2</v>
      </c>
    </row>
    <row r="113" spans="1:2" ht="15.75" customHeight="1" x14ac:dyDescent="0.2">
      <c r="A113" s="28">
        <f>'21. TLP e IDkA 5anos'!A194</f>
        <v>44652</v>
      </c>
      <c r="B113" s="171">
        <f>'21. TLP e IDkA 5anos'!B194</f>
        <v>5.4776250000000012E-2</v>
      </c>
    </row>
    <row r="114" spans="1:2" ht="15.75" customHeight="1" x14ac:dyDescent="0.2">
      <c r="A114" s="28">
        <f>'21. TLP e IDkA 5anos'!A195</f>
        <v>44682</v>
      </c>
      <c r="B114" s="171">
        <f>'21. TLP e IDkA 5anos'!B195</f>
        <v>5.4290660714285718E-2</v>
      </c>
    </row>
    <row r="115" spans="1:2" ht="15.75" customHeight="1" x14ac:dyDescent="0.2">
      <c r="A115" s="28">
        <f>'21. TLP e IDkA 5anos'!A196</f>
        <v>44713</v>
      </c>
      <c r="B115" s="171">
        <f>'21. TLP e IDkA 5anos'!B196</f>
        <v>5.5204349206349208E-2</v>
      </c>
    </row>
    <row r="116" spans="1:2" ht="15.75" customHeight="1" x14ac:dyDescent="0.2">
      <c r="A116" s="28">
        <f>'21. TLP e IDkA 5anos'!A197</f>
        <v>44743</v>
      </c>
      <c r="B116" s="171">
        <f>'21. TLP e IDkA 5anos'!B197</f>
        <v>5.5566365079365035E-2</v>
      </c>
    </row>
    <row r="117" spans="1:2" ht="15.75" customHeight="1" x14ac:dyDescent="0.2">
      <c r="A117" s="28">
        <f>'21. TLP e IDkA 5anos'!A198</f>
        <v>44774</v>
      </c>
      <c r="B117" s="171">
        <f>'21. TLP e IDkA 5anos'!B198</f>
        <v>5.9291269841269818E-2</v>
      </c>
    </row>
    <row r="118" spans="1:2" ht="15.75" customHeight="1" x14ac:dyDescent="0.2">
      <c r="A118" s="28">
        <f>'21. TLP e IDkA 5anos'!A199</f>
        <v>44805</v>
      </c>
      <c r="B118" s="171">
        <f>'21. TLP e IDkA 5anos'!B199</f>
        <v>5.8672682539682573E-2</v>
      </c>
    </row>
    <row r="119" spans="1:2" ht="15.75" customHeight="1" x14ac:dyDescent="0.2">
      <c r="A119" s="28">
        <f>'21. TLP e IDkA 5anos'!A200</f>
        <v>44835</v>
      </c>
      <c r="B119" s="171">
        <f>'21. TLP e IDkA 5anos'!B200</f>
        <v>5.6883571428571422E-2</v>
      </c>
    </row>
    <row r="120" spans="1:2" ht="15.75" customHeight="1" x14ac:dyDescent="0.2">
      <c r="A120" s="28">
        <f>'21. TLP e IDkA 5anos'!A201</f>
        <v>44866</v>
      </c>
      <c r="B120" s="171">
        <f>'21. TLP e IDkA 5anos'!B201</f>
        <v>5.6684190476190451E-2</v>
      </c>
    </row>
    <row r="121" spans="1:2" ht="15.75" customHeight="1" x14ac:dyDescent="0.2">
      <c r="A121" s="28">
        <f>'21. TLP e IDkA 5anos'!A202</f>
        <v>44896</v>
      </c>
      <c r="B121" s="171">
        <f>'21. TLP e IDkA 5anos'!B202</f>
        <v>5.8346936507936521E-2</v>
      </c>
    </row>
    <row r="122" spans="1:2" ht="15.75" customHeight="1" x14ac:dyDescent="0.2">
      <c r="A122" s="28">
        <f>'21. TLP e IDkA 5anos'!A203</f>
        <v>44927</v>
      </c>
      <c r="B122" s="171">
        <f>'21. TLP e IDkA 5anos'!B203</f>
        <v>6.1856000000000001E-2</v>
      </c>
    </row>
    <row r="123" spans="1:2" ht="15.75" customHeight="1" x14ac:dyDescent="0.2">
      <c r="A123" s="28">
        <f>'21. TLP e IDkA 5anos'!A204</f>
        <v>44958</v>
      </c>
      <c r="B123" s="171">
        <f>'21. TLP e IDkA 5anos'!B204</f>
        <v>6.1538746031746049E-2</v>
      </c>
    </row>
    <row r="124" spans="1:2" ht="15.75" customHeight="1" x14ac:dyDescent="0.2">
      <c r="A124" s="28">
        <f>'21. TLP e IDkA 5anos'!A205</f>
        <v>44986</v>
      </c>
      <c r="B124" s="171">
        <f>'21. TLP e IDkA 5anos'!B205</f>
        <v>6.082987301587299E-2</v>
      </c>
    </row>
    <row r="125" spans="1:2" ht="15.75" customHeight="1" x14ac:dyDescent="0.2"/>
    <row r="126" spans="1:2" ht="15.75" customHeight="1" x14ac:dyDescent="0.2"/>
    <row r="127" spans="1:2" ht="15.75" customHeight="1" x14ac:dyDescent="0.2"/>
    <row r="128" spans="1: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CCE1-D8B8-4C51-9532-D95D446A05C1}">
  <sheetPr>
    <tabColor theme="7" tint="0.79998168889431442"/>
  </sheetPr>
  <dimension ref="A1:K236"/>
  <sheetViews>
    <sheetView topLeftCell="A208" workbookViewId="0">
      <selection activeCell="I240" sqref="I240"/>
    </sheetView>
  </sheetViews>
  <sheetFormatPr baseColWidth="10" defaultColWidth="9.1640625" defaultRowHeight="15" x14ac:dyDescent="0.2"/>
  <cols>
    <col min="1" max="1" width="9.1640625" style="97"/>
    <col min="2" max="2" width="18.33203125" style="97" customWidth="1"/>
    <col min="3" max="3" width="17.33203125" style="97" bestFit="1" customWidth="1"/>
    <col min="4" max="4" width="18" style="97" customWidth="1"/>
    <col min="5" max="8" width="9.1640625" style="97"/>
    <col min="9" max="9" width="10.6640625" style="97" bestFit="1" customWidth="1"/>
    <col min="10" max="16384" width="9.1640625" style="97"/>
  </cols>
  <sheetData>
    <row r="1" spans="1:11" x14ac:dyDescent="0.2">
      <c r="A1" s="528" t="s">
        <v>102</v>
      </c>
      <c r="B1" s="528"/>
      <c r="C1" s="528"/>
      <c r="D1" s="528"/>
      <c r="E1" s="528"/>
      <c r="F1" s="528"/>
      <c r="G1" s="528"/>
      <c r="H1" s="528"/>
      <c r="J1" s="98" t="s">
        <v>61</v>
      </c>
      <c r="K1" s="303" t="s">
        <v>538</v>
      </c>
    </row>
    <row r="2" spans="1:11" x14ac:dyDescent="0.2">
      <c r="A2" s="99"/>
      <c r="B2" s="99"/>
      <c r="C2" s="100"/>
      <c r="D2" s="101"/>
      <c r="E2" s="102"/>
      <c r="F2" s="102" t="s">
        <v>539</v>
      </c>
      <c r="G2" s="102"/>
      <c r="H2" s="103"/>
    </row>
    <row r="3" spans="1:11" x14ac:dyDescent="0.2">
      <c r="A3" s="104" t="s">
        <v>540</v>
      </c>
      <c r="B3" s="105" t="s">
        <v>541</v>
      </c>
      <c r="C3" s="106" t="s">
        <v>542</v>
      </c>
      <c r="D3" s="535" t="s">
        <v>543</v>
      </c>
      <c r="E3" s="536"/>
      <c r="F3" s="536"/>
      <c r="G3" s="536"/>
      <c r="H3" s="536"/>
    </row>
    <row r="4" spans="1:11" x14ac:dyDescent="0.2">
      <c r="A4" s="104"/>
      <c r="B4" s="105"/>
      <c r="C4" s="107" t="s">
        <v>544</v>
      </c>
      <c r="D4" s="108" t="s">
        <v>545</v>
      </c>
      <c r="E4" s="108">
        <v>3</v>
      </c>
      <c r="F4" s="108">
        <v>6</v>
      </c>
      <c r="G4" s="108" t="s">
        <v>545</v>
      </c>
      <c r="H4" s="109">
        <v>12</v>
      </c>
    </row>
    <row r="5" spans="1:11" ht="16" thickBot="1" x14ac:dyDescent="0.25">
      <c r="A5" s="110"/>
      <c r="B5" s="110"/>
      <c r="C5" s="111"/>
      <c r="D5" s="112" t="s">
        <v>541</v>
      </c>
      <c r="E5" s="113" t="s">
        <v>546</v>
      </c>
      <c r="F5" s="113" t="s">
        <v>546</v>
      </c>
      <c r="G5" s="113" t="s">
        <v>540</v>
      </c>
      <c r="H5" s="114" t="s">
        <v>546</v>
      </c>
      <c r="J5" s="157" t="s">
        <v>547</v>
      </c>
    </row>
    <row r="6" spans="1:11" x14ac:dyDescent="0.2">
      <c r="A6" s="115"/>
      <c r="B6" s="115"/>
      <c r="C6" s="116"/>
      <c r="D6" s="117"/>
      <c r="E6" s="118"/>
      <c r="F6" s="118"/>
      <c r="G6" s="118"/>
      <c r="H6" s="119"/>
    </row>
    <row r="7" spans="1:11" x14ac:dyDescent="0.2">
      <c r="A7" s="117">
        <v>2004</v>
      </c>
      <c r="B7" s="120" t="s">
        <v>548</v>
      </c>
      <c r="C7" s="121">
        <v>2246.4299999999998</v>
      </c>
      <c r="D7" s="121">
        <v>0.76</v>
      </c>
      <c r="E7" s="122">
        <v>1.63</v>
      </c>
      <c r="F7" s="121">
        <v>3.07</v>
      </c>
      <c r="G7" s="121">
        <v>0.76</v>
      </c>
      <c r="H7" s="123">
        <v>7.71</v>
      </c>
      <c r="I7" s="145">
        <v>37987</v>
      </c>
    </row>
    <row r="8" spans="1:11" x14ac:dyDescent="0.2">
      <c r="A8" s="124"/>
      <c r="B8" s="120" t="s">
        <v>549</v>
      </c>
      <c r="C8" s="121">
        <v>2260.13</v>
      </c>
      <c r="D8" s="121">
        <v>0.61</v>
      </c>
      <c r="E8" s="122">
        <v>1.9</v>
      </c>
      <c r="F8" s="121">
        <v>3.34</v>
      </c>
      <c r="G8" s="121">
        <v>1.37</v>
      </c>
      <c r="H8" s="123">
        <v>6.69</v>
      </c>
      <c r="I8" s="145">
        <v>38018</v>
      </c>
    </row>
    <row r="9" spans="1:11" x14ac:dyDescent="0.2">
      <c r="A9" s="125"/>
      <c r="B9" s="120" t="s">
        <v>550</v>
      </c>
      <c r="C9" s="121">
        <v>2270.75</v>
      </c>
      <c r="D9" s="121">
        <v>0.47</v>
      </c>
      <c r="E9" s="122">
        <v>1.85</v>
      </c>
      <c r="F9" s="121">
        <v>3.03</v>
      </c>
      <c r="G9" s="121">
        <v>1.85</v>
      </c>
      <c r="H9" s="123">
        <v>5.89</v>
      </c>
      <c r="I9" s="145">
        <v>38047</v>
      </c>
    </row>
    <row r="10" spans="1:11" x14ac:dyDescent="0.2">
      <c r="A10" s="126"/>
      <c r="B10" s="120" t="s">
        <v>551</v>
      </c>
      <c r="C10" s="121">
        <v>2279.15</v>
      </c>
      <c r="D10" s="121">
        <v>0.37</v>
      </c>
      <c r="E10" s="122">
        <v>1.46</v>
      </c>
      <c r="F10" s="121">
        <v>3.11</v>
      </c>
      <c r="G10" s="121">
        <v>2.23</v>
      </c>
      <c r="H10" s="127">
        <v>5.26</v>
      </c>
      <c r="I10" s="145">
        <v>38078</v>
      </c>
    </row>
    <row r="11" spans="1:11" x14ac:dyDescent="0.2">
      <c r="A11" s="126"/>
      <c r="B11" s="128" t="s">
        <v>552</v>
      </c>
      <c r="C11" s="121">
        <v>2290.77</v>
      </c>
      <c r="D11" s="121">
        <v>0.51</v>
      </c>
      <c r="E11" s="122">
        <v>1.36</v>
      </c>
      <c r="F11" s="121">
        <v>3.28</v>
      </c>
      <c r="G11" s="121">
        <v>2.75</v>
      </c>
      <c r="H11" s="127">
        <v>5.15</v>
      </c>
      <c r="I11" s="145">
        <v>38108</v>
      </c>
    </row>
    <row r="12" spans="1:11" x14ac:dyDescent="0.2">
      <c r="A12" s="126"/>
      <c r="B12" s="128" t="s">
        <v>553</v>
      </c>
      <c r="C12" s="121">
        <v>2307.0300000000002</v>
      </c>
      <c r="D12" s="121">
        <v>0.71</v>
      </c>
      <c r="E12" s="122">
        <v>1.6</v>
      </c>
      <c r="F12" s="121">
        <v>3.48</v>
      </c>
      <c r="G12" s="121">
        <v>3.48</v>
      </c>
      <c r="H12" s="127">
        <v>6.06</v>
      </c>
      <c r="I12" s="145">
        <v>38139</v>
      </c>
    </row>
    <row r="13" spans="1:11" x14ac:dyDescent="0.2">
      <c r="A13" s="126"/>
      <c r="B13" s="128" t="s">
        <v>554</v>
      </c>
      <c r="C13" s="121">
        <v>2328.02</v>
      </c>
      <c r="D13" s="121">
        <v>0.91</v>
      </c>
      <c r="E13" s="122">
        <v>2.14</v>
      </c>
      <c r="F13" s="121">
        <v>3.63</v>
      </c>
      <c r="G13" s="121">
        <v>4.42</v>
      </c>
      <c r="H13" s="127">
        <v>6.81</v>
      </c>
      <c r="I13" s="145">
        <v>38169</v>
      </c>
    </row>
    <row r="14" spans="1:11" x14ac:dyDescent="0.2">
      <c r="A14" s="126"/>
      <c r="B14" s="128" t="s">
        <v>555</v>
      </c>
      <c r="C14" s="121">
        <v>2344.08</v>
      </c>
      <c r="D14" s="121">
        <v>0.69</v>
      </c>
      <c r="E14" s="122">
        <v>2.33</v>
      </c>
      <c r="F14" s="121">
        <v>3.71</v>
      </c>
      <c r="G14" s="121">
        <v>5.14</v>
      </c>
      <c r="H14" s="127">
        <v>7.18</v>
      </c>
      <c r="I14" s="145">
        <v>38200</v>
      </c>
    </row>
    <row r="15" spans="1:11" x14ac:dyDescent="0.2">
      <c r="A15" s="126"/>
      <c r="B15" s="128" t="s">
        <v>556</v>
      </c>
      <c r="C15" s="121">
        <v>2351.8200000000002</v>
      </c>
      <c r="D15" s="121">
        <v>0.33</v>
      </c>
      <c r="E15" s="122">
        <v>1.94</v>
      </c>
      <c r="F15" s="121">
        <v>3.57</v>
      </c>
      <c r="G15" s="121">
        <v>5.49</v>
      </c>
      <c r="H15" s="127">
        <v>6.7</v>
      </c>
      <c r="I15" s="145">
        <v>38231</v>
      </c>
    </row>
    <row r="16" spans="1:11" x14ac:dyDescent="0.2">
      <c r="A16" s="126"/>
      <c r="B16" s="128" t="s">
        <v>557</v>
      </c>
      <c r="C16" s="121">
        <v>2362.17</v>
      </c>
      <c r="D16" s="121">
        <v>0.44</v>
      </c>
      <c r="E16" s="122">
        <v>1.47</v>
      </c>
      <c r="F16" s="121">
        <v>3.64</v>
      </c>
      <c r="G16" s="121">
        <v>5.95</v>
      </c>
      <c r="H16" s="127">
        <v>6.86</v>
      </c>
      <c r="I16" s="145">
        <v>38261</v>
      </c>
    </row>
    <row r="17" spans="1:10" x14ac:dyDescent="0.2">
      <c r="A17" s="126"/>
      <c r="B17" s="128" t="s">
        <v>558</v>
      </c>
      <c r="C17" s="121">
        <v>2378.4699999999998</v>
      </c>
      <c r="D17" s="121">
        <v>0.69</v>
      </c>
      <c r="E17" s="122">
        <v>1.47</v>
      </c>
      <c r="F17" s="121">
        <v>3.83</v>
      </c>
      <c r="G17" s="121">
        <v>6.68</v>
      </c>
      <c r="H17" s="127">
        <v>7.24</v>
      </c>
      <c r="I17" s="145">
        <v>38292</v>
      </c>
    </row>
    <row r="18" spans="1:10" x14ac:dyDescent="0.2">
      <c r="A18" s="126"/>
      <c r="B18" s="128" t="s">
        <v>559</v>
      </c>
      <c r="C18" s="121">
        <v>2398.92</v>
      </c>
      <c r="D18" s="121">
        <v>0.86</v>
      </c>
      <c r="E18" s="122">
        <v>2</v>
      </c>
      <c r="F18" s="121">
        <v>3.98</v>
      </c>
      <c r="G18" s="121">
        <v>7.6</v>
      </c>
      <c r="H18" s="127">
        <v>7.6</v>
      </c>
      <c r="I18" s="145">
        <v>38322</v>
      </c>
    </row>
    <row r="19" spans="1:10" x14ac:dyDescent="0.2">
      <c r="A19" s="117">
        <v>2005</v>
      </c>
      <c r="B19" s="120" t="s">
        <v>548</v>
      </c>
      <c r="C19" s="121">
        <v>2412.83</v>
      </c>
      <c r="D19" s="121">
        <v>0.57999999999999996</v>
      </c>
      <c r="E19" s="122">
        <v>2.14</v>
      </c>
      <c r="F19" s="121">
        <v>3.64</v>
      </c>
      <c r="G19" s="121">
        <v>0.57999999999999996</v>
      </c>
      <c r="H19" s="123">
        <v>7.41</v>
      </c>
      <c r="I19" s="145">
        <v>38353</v>
      </c>
      <c r="J19" s="158">
        <f>C19/C7-1</f>
        <v>7.407308485018449E-2</v>
      </c>
    </row>
    <row r="20" spans="1:10" x14ac:dyDescent="0.2">
      <c r="A20" s="124"/>
      <c r="B20" s="120" t="s">
        <v>549</v>
      </c>
      <c r="C20" s="121">
        <v>2427.0700000000002</v>
      </c>
      <c r="D20" s="121">
        <v>0.59</v>
      </c>
      <c r="E20" s="122">
        <v>2.04</v>
      </c>
      <c r="F20" s="121">
        <v>3.54</v>
      </c>
      <c r="G20" s="121">
        <v>1.17</v>
      </c>
      <c r="H20" s="123">
        <v>7.39</v>
      </c>
      <c r="I20" s="145">
        <v>38384</v>
      </c>
      <c r="J20" s="158">
        <f t="shared" ref="J20:J83" si="0">C20/C8-1</f>
        <v>7.3863007880077713E-2</v>
      </c>
    </row>
    <row r="21" spans="1:10" x14ac:dyDescent="0.2">
      <c r="A21" s="124"/>
      <c r="B21" s="120" t="s">
        <v>550</v>
      </c>
      <c r="C21" s="121">
        <v>2441.87</v>
      </c>
      <c r="D21" s="121">
        <v>0.61</v>
      </c>
      <c r="E21" s="122">
        <v>1.79</v>
      </c>
      <c r="F21" s="121">
        <v>3.83</v>
      </c>
      <c r="G21" s="121">
        <v>1.79</v>
      </c>
      <c r="H21" s="123">
        <v>7.54</v>
      </c>
      <c r="I21" s="145">
        <v>38412</v>
      </c>
      <c r="J21" s="158">
        <f t="shared" si="0"/>
        <v>7.5358361774743976E-2</v>
      </c>
    </row>
    <row r="22" spans="1:10" x14ac:dyDescent="0.2">
      <c r="A22" s="126"/>
      <c r="B22" s="120" t="s">
        <v>551</v>
      </c>
      <c r="C22" s="121">
        <v>2463.11</v>
      </c>
      <c r="D22" s="121">
        <v>0.87</v>
      </c>
      <c r="E22" s="122">
        <v>2.08</v>
      </c>
      <c r="F22" s="121">
        <v>4.2699999999999996</v>
      </c>
      <c r="G22" s="121">
        <v>2.68</v>
      </c>
      <c r="H22" s="127">
        <v>8.07</v>
      </c>
      <c r="I22" s="145">
        <v>38443</v>
      </c>
      <c r="J22" s="158">
        <f t="shared" si="0"/>
        <v>8.0714301384287923E-2</v>
      </c>
    </row>
    <row r="23" spans="1:10" x14ac:dyDescent="0.2">
      <c r="A23" s="126"/>
      <c r="B23" s="120" t="s">
        <v>552</v>
      </c>
      <c r="C23" s="121">
        <v>2475.1799999999998</v>
      </c>
      <c r="D23" s="121">
        <v>0.49</v>
      </c>
      <c r="E23" s="122">
        <v>1.98</v>
      </c>
      <c r="F23" s="121">
        <v>4.07</v>
      </c>
      <c r="G23" s="121">
        <v>3.18</v>
      </c>
      <c r="H23" s="127">
        <v>8.0500000000000007</v>
      </c>
      <c r="I23" s="145">
        <v>38473</v>
      </c>
      <c r="J23" s="158">
        <f t="shared" si="0"/>
        <v>8.050131615133771E-2</v>
      </c>
    </row>
    <row r="24" spans="1:10" x14ac:dyDescent="0.2">
      <c r="A24" s="126"/>
      <c r="B24" s="120" t="s">
        <v>553</v>
      </c>
      <c r="C24" s="121">
        <v>2474.6799999999998</v>
      </c>
      <c r="D24" s="121">
        <v>-0.02</v>
      </c>
      <c r="E24" s="122">
        <v>1.34</v>
      </c>
      <c r="F24" s="121">
        <v>3.16</v>
      </c>
      <c r="G24" s="121">
        <v>3.16</v>
      </c>
      <c r="H24" s="127">
        <v>7.27</v>
      </c>
      <c r="I24" s="145">
        <v>38504</v>
      </c>
      <c r="J24" s="158">
        <f t="shared" si="0"/>
        <v>7.2669189390688338E-2</v>
      </c>
    </row>
    <row r="25" spans="1:10" x14ac:dyDescent="0.2">
      <c r="A25" s="126"/>
      <c r="B25" s="120" t="s">
        <v>554</v>
      </c>
      <c r="C25" s="121">
        <v>2480.87</v>
      </c>
      <c r="D25" s="121">
        <v>0.25</v>
      </c>
      <c r="E25" s="122">
        <v>0.72</v>
      </c>
      <c r="F25" s="121">
        <v>2.82</v>
      </c>
      <c r="G25" s="121">
        <v>3.42</v>
      </c>
      <c r="H25" s="127">
        <v>6.57</v>
      </c>
      <c r="I25" s="145">
        <v>38534</v>
      </c>
      <c r="J25" s="158">
        <f t="shared" si="0"/>
        <v>6.5656652434257445E-2</v>
      </c>
    </row>
    <row r="26" spans="1:10" x14ac:dyDescent="0.2">
      <c r="A26" s="126"/>
      <c r="B26" s="120" t="s">
        <v>555</v>
      </c>
      <c r="C26" s="121">
        <v>2485.09</v>
      </c>
      <c r="D26" s="121">
        <v>0.17</v>
      </c>
      <c r="E26" s="122">
        <v>0.4</v>
      </c>
      <c r="F26" s="121">
        <v>2.39</v>
      </c>
      <c r="G26" s="121">
        <v>3.59</v>
      </c>
      <c r="H26" s="127">
        <v>6.02</v>
      </c>
      <c r="I26" s="145">
        <v>38565</v>
      </c>
      <c r="J26" s="158">
        <f t="shared" si="0"/>
        <v>6.0155796730487099E-2</v>
      </c>
    </row>
    <row r="27" spans="1:10" x14ac:dyDescent="0.2">
      <c r="A27" s="126"/>
      <c r="B27" s="120" t="s">
        <v>556</v>
      </c>
      <c r="C27" s="121">
        <v>2493.79</v>
      </c>
      <c r="D27" s="121">
        <v>0.35</v>
      </c>
      <c r="E27" s="122">
        <v>0.77</v>
      </c>
      <c r="F27" s="121">
        <v>2.13</v>
      </c>
      <c r="G27" s="121">
        <v>3.95</v>
      </c>
      <c r="H27" s="127">
        <v>6.04</v>
      </c>
      <c r="I27" s="145">
        <v>38596</v>
      </c>
      <c r="J27" s="158">
        <f t="shared" si="0"/>
        <v>6.0366014405864199E-2</v>
      </c>
    </row>
    <row r="28" spans="1:10" x14ac:dyDescent="0.2">
      <c r="A28" s="126"/>
      <c r="B28" s="120" t="s">
        <v>557</v>
      </c>
      <c r="C28" s="121">
        <v>2512.4899999999998</v>
      </c>
      <c r="D28" s="121">
        <v>0.75</v>
      </c>
      <c r="E28" s="122">
        <v>1.27</v>
      </c>
      <c r="F28" s="121">
        <v>2</v>
      </c>
      <c r="G28" s="121">
        <v>4.7300000000000004</v>
      </c>
      <c r="H28" s="127">
        <v>6.36</v>
      </c>
      <c r="I28" s="145">
        <v>38626</v>
      </c>
      <c r="J28" s="158">
        <f t="shared" si="0"/>
        <v>6.363640212177768E-2</v>
      </c>
    </row>
    <row r="29" spans="1:10" x14ac:dyDescent="0.2">
      <c r="A29" s="126"/>
      <c r="B29" s="120" t="s">
        <v>558</v>
      </c>
      <c r="C29" s="121">
        <v>2526.31</v>
      </c>
      <c r="D29" s="121">
        <v>0.55000000000000004</v>
      </c>
      <c r="E29" s="122">
        <v>1.66</v>
      </c>
      <c r="F29" s="121">
        <v>2.0699999999999998</v>
      </c>
      <c r="G29" s="121">
        <v>5.31</v>
      </c>
      <c r="H29" s="127">
        <v>6.22</v>
      </c>
      <c r="I29" s="145">
        <v>38657</v>
      </c>
      <c r="J29" s="158">
        <f t="shared" si="0"/>
        <v>6.2157605519514769E-2</v>
      </c>
    </row>
    <row r="30" spans="1:10" x14ac:dyDescent="0.2">
      <c r="A30" s="126"/>
      <c r="B30" s="120" t="s">
        <v>559</v>
      </c>
      <c r="C30" s="121">
        <v>2535.4</v>
      </c>
      <c r="D30" s="121">
        <v>0.36</v>
      </c>
      <c r="E30" s="122">
        <v>1.67</v>
      </c>
      <c r="F30" s="121">
        <v>2.4500000000000002</v>
      </c>
      <c r="G30" s="121">
        <v>5.69</v>
      </c>
      <c r="H30" s="127">
        <v>5.69</v>
      </c>
      <c r="I30" s="145">
        <v>38687</v>
      </c>
      <c r="J30" s="158">
        <f t="shared" si="0"/>
        <v>5.6892268187350936E-2</v>
      </c>
    </row>
    <row r="31" spans="1:10" x14ac:dyDescent="0.2">
      <c r="A31" s="117">
        <v>2006</v>
      </c>
      <c r="B31" s="120" t="s">
        <v>548</v>
      </c>
      <c r="C31" s="121">
        <v>2550.36</v>
      </c>
      <c r="D31" s="121">
        <v>0.59</v>
      </c>
      <c r="E31" s="122">
        <v>1.51</v>
      </c>
      <c r="F31" s="121">
        <v>2.8</v>
      </c>
      <c r="G31" s="121">
        <v>0.59</v>
      </c>
      <c r="H31" s="123">
        <v>5.7</v>
      </c>
      <c r="I31" s="145">
        <v>38718</v>
      </c>
      <c r="J31" s="158">
        <f t="shared" si="0"/>
        <v>5.6999457069084825E-2</v>
      </c>
    </row>
    <row r="32" spans="1:10" x14ac:dyDescent="0.2">
      <c r="A32" s="124"/>
      <c r="B32" s="120" t="s">
        <v>549</v>
      </c>
      <c r="C32" s="121">
        <v>2560.8200000000002</v>
      </c>
      <c r="D32" s="121">
        <v>0.41</v>
      </c>
      <c r="E32" s="122">
        <v>1.37</v>
      </c>
      <c r="F32" s="121">
        <v>3.05</v>
      </c>
      <c r="G32" s="121">
        <v>1</v>
      </c>
      <c r="H32" s="123">
        <v>5.51</v>
      </c>
      <c r="I32" s="145">
        <v>38749</v>
      </c>
      <c r="J32" s="158">
        <f t="shared" si="0"/>
        <v>5.5107598874363006E-2</v>
      </c>
    </row>
    <row r="33" spans="1:10" x14ac:dyDescent="0.2">
      <c r="A33" s="124"/>
      <c r="B33" s="120" t="s">
        <v>550</v>
      </c>
      <c r="C33" s="121">
        <v>2571.83</v>
      </c>
      <c r="D33" s="121">
        <v>0.43</v>
      </c>
      <c r="E33" s="122">
        <v>1.44</v>
      </c>
      <c r="F33" s="121">
        <v>3.13</v>
      </c>
      <c r="G33" s="121">
        <v>1.44</v>
      </c>
      <c r="H33" s="123">
        <v>5.32</v>
      </c>
      <c r="I33" s="145">
        <v>38777</v>
      </c>
      <c r="J33" s="158">
        <f t="shared" si="0"/>
        <v>5.3221506468403401E-2</v>
      </c>
    </row>
    <row r="34" spans="1:10" x14ac:dyDescent="0.2">
      <c r="A34" s="126"/>
      <c r="B34" s="120" t="s">
        <v>551</v>
      </c>
      <c r="C34" s="121">
        <v>2577.23</v>
      </c>
      <c r="D34" s="121">
        <v>0.21</v>
      </c>
      <c r="E34" s="122">
        <v>1.05</v>
      </c>
      <c r="F34" s="121">
        <v>2.58</v>
      </c>
      <c r="G34" s="121">
        <v>1.65</v>
      </c>
      <c r="H34" s="123">
        <v>4.63</v>
      </c>
      <c r="I34" s="145">
        <v>38808</v>
      </c>
      <c r="J34" s="158">
        <f t="shared" si="0"/>
        <v>4.6331670124355018E-2</v>
      </c>
    </row>
    <row r="35" spans="1:10" x14ac:dyDescent="0.2">
      <c r="A35" s="126"/>
      <c r="B35" s="120" t="s">
        <v>552</v>
      </c>
      <c r="C35" s="121">
        <v>2579.81</v>
      </c>
      <c r="D35" s="121">
        <v>0.1</v>
      </c>
      <c r="E35" s="122">
        <v>0.74</v>
      </c>
      <c r="F35" s="121">
        <v>2.12</v>
      </c>
      <c r="G35" s="121">
        <v>1.75</v>
      </c>
      <c r="H35" s="127">
        <v>4.2300000000000004</v>
      </c>
      <c r="I35" s="145">
        <v>38838</v>
      </c>
      <c r="J35" s="158">
        <f t="shared" si="0"/>
        <v>4.2271673171244251E-2</v>
      </c>
    </row>
    <row r="36" spans="1:10" x14ac:dyDescent="0.2">
      <c r="A36" s="126"/>
      <c r="B36" s="120" t="s">
        <v>553</v>
      </c>
      <c r="C36" s="121">
        <v>2574.39</v>
      </c>
      <c r="D36" s="121">
        <v>-0.21</v>
      </c>
      <c r="E36" s="122">
        <v>0.1</v>
      </c>
      <c r="F36" s="121">
        <v>1.54</v>
      </c>
      <c r="G36" s="121">
        <v>1.54</v>
      </c>
      <c r="H36" s="127">
        <v>4.03</v>
      </c>
      <c r="I36" s="145">
        <v>38869</v>
      </c>
      <c r="J36" s="158">
        <f t="shared" si="0"/>
        <v>4.0292078167682321E-2</v>
      </c>
    </row>
    <row r="37" spans="1:10" x14ac:dyDescent="0.2">
      <c r="A37" s="126"/>
      <c r="B37" s="120" t="s">
        <v>554</v>
      </c>
      <c r="C37" s="121">
        <v>2579.2800000000002</v>
      </c>
      <c r="D37" s="121">
        <v>0.19</v>
      </c>
      <c r="E37" s="122">
        <v>0.08</v>
      </c>
      <c r="F37" s="121">
        <v>1.1299999999999999</v>
      </c>
      <c r="G37" s="121">
        <v>1.73</v>
      </c>
      <c r="H37" s="127">
        <v>3.97</v>
      </c>
      <c r="I37" s="145">
        <v>38899</v>
      </c>
      <c r="J37" s="158">
        <f t="shared" si="0"/>
        <v>3.9667535985359992E-2</v>
      </c>
    </row>
    <row r="38" spans="1:10" x14ac:dyDescent="0.2">
      <c r="A38" s="126"/>
      <c r="B38" s="120" t="s">
        <v>555</v>
      </c>
      <c r="C38" s="121">
        <v>2580.5700000000002</v>
      </c>
      <c r="D38" s="121">
        <v>0.05</v>
      </c>
      <c r="E38" s="122">
        <v>0.03</v>
      </c>
      <c r="F38" s="121">
        <v>0.77</v>
      </c>
      <c r="G38" s="121">
        <v>1.78</v>
      </c>
      <c r="H38" s="127">
        <v>3.84</v>
      </c>
      <c r="I38" s="145">
        <v>38930</v>
      </c>
      <c r="J38" s="158">
        <f t="shared" si="0"/>
        <v>3.8421143701032889E-2</v>
      </c>
    </row>
    <row r="39" spans="1:10" x14ac:dyDescent="0.2">
      <c r="A39" s="126"/>
      <c r="B39" s="120" t="s">
        <v>556</v>
      </c>
      <c r="C39" s="121">
        <v>2585.9899999999998</v>
      </c>
      <c r="D39" s="121">
        <v>0.21</v>
      </c>
      <c r="E39" s="122">
        <v>0.45</v>
      </c>
      <c r="F39" s="121">
        <v>0.55000000000000004</v>
      </c>
      <c r="G39" s="121">
        <v>2</v>
      </c>
      <c r="H39" s="127">
        <v>3.7</v>
      </c>
      <c r="I39" s="145">
        <v>38961</v>
      </c>
      <c r="J39" s="158">
        <f t="shared" si="0"/>
        <v>3.6971838045705363E-2</v>
      </c>
    </row>
    <row r="40" spans="1:10" x14ac:dyDescent="0.2">
      <c r="A40" s="126"/>
      <c r="B40" s="120" t="s">
        <v>557</v>
      </c>
      <c r="C40" s="121">
        <v>2594.52</v>
      </c>
      <c r="D40" s="121">
        <v>0.33</v>
      </c>
      <c r="E40" s="122">
        <v>0.59</v>
      </c>
      <c r="F40" s="121">
        <v>0.67</v>
      </c>
      <c r="G40" s="121">
        <v>2.33</v>
      </c>
      <c r="H40" s="127">
        <v>3.26</v>
      </c>
      <c r="I40" s="145">
        <v>38991</v>
      </c>
      <c r="J40" s="158">
        <f t="shared" si="0"/>
        <v>3.2648886164721169E-2</v>
      </c>
    </row>
    <row r="41" spans="1:10" x14ac:dyDescent="0.2">
      <c r="A41" s="126"/>
      <c r="B41" s="120" t="s">
        <v>558</v>
      </c>
      <c r="C41" s="121">
        <v>2602.56</v>
      </c>
      <c r="D41" s="121">
        <v>0.31</v>
      </c>
      <c r="E41" s="122">
        <v>0.85</v>
      </c>
      <c r="F41" s="121">
        <v>0.88</v>
      </c>
      <c r="G41" s="121">
        <v>2.65</v>
      </c>
      <c r="H41" s="127">
        <v>3.02</v>
      </c>
      <c r="I41" s="145">
        <v>39022</v>
      </c>
      <c r="J41" s="158">
        <f t="shared" si="0"/>
        <v>3.0182360834576816E-2</v>
      </c>
    </row>
    <row r="42" spans="1:10" x14ac:dyDescent="0.2">
      <c r="A42" s="126"/>
      <c r="B42" s="120" t="s">
        <v>559</v>
      </c>
      <c r="C42" s="121">
        <v>2615.0500000000002</v>
      </c>
      <c r="D42" s="121">
        <v>0.48</v>
      </c>
      <c r="E42" s="122">
        <v>1.1200000000000001</v>
      </c>
      <c r="F42" s="121">
        <v>1.58</v>
      </c>
      <c r="G42" s="121">
        <v>3.14</v>
      </c>
      <c r="H42" s="127">
        <v>3.14</v>
      </c>
      <c r="I42" s="145">
        <v>39052</v>
      </c>
      <c r="J42" s="158">
        <f t="shared" si="0"/>
        <v>3.1415161315768714E-2</v>
      </c>
    </row>
    <row r="43" spans="1:10" x14ac:dyDescent="0.2">
      <c r="A43" s="117">
        <v>2007</v>
      </c>
      <c r="B43" s="120" t="s">
        <v>548</v>
      </c>
      <c r="C43" s="121">
        <v>2626.56</v>
      </c>
      <c r="D43" s="121">
        <v>0.44</v>
      </c>
      <c r="E43" s="122">
        <v>1.23</v>
      </c>
      <c r="F43" s="121">
        <v>1.83</v>
      </c>
      <c r="G43" s="121">
        <v>0.44</v>
      </c>
      <c r="H43" s="127">
        <v>2.99</v>
      </c>
      <c r="I43" s="145">
        <v>39083</v>
      </c>
      <c r="J43" s="158">
        <f t="shared" si="0"/>
        <v>2.987813485155022E-2</v>
      </c>
    </row>
    <row r="44" spans="1:10" x14ac:dyDescent="0.2">
      <c r="A44" s="124"/>
      <c r="B44" s="120" t="s">
        <v>549</v>
      </c>
      <c r="C44" s="121">
        <v>2638.12</v>
      </c>
      <c r="D44" s="121">
        <v>0.44</v>
      </c>
      <c r="E44" s="122">
        <v>1.37</v>
      </c>
      <c r="F44" s="121">
        <v>2.23</v>
      </c>
      <c r="G44" s="121">
        <v>0.88</v>
      </c>
      <c r="H44" s="127">
        <v>3.02</v>
      </c>
      <c r="I44" s="145">
        <v>39114</v>
      </c>
      <c r="J44" s="158">
        <f t="shared" si="0"/>
        <v>3.0185643661014616E-2</v>
      </c>
    </row>
    <row r="45" spans="1:10" x14ac:dyDescent="0.2">
      <c r="A45" s="124"/>
      <c r="B45" s="120" t="s">
        <v>550</v>
      </c>
      <c r="C45" s="121">
        <v>2647.88</v>
      </c>
      <c r="D45" s="121">
        <v>0.37</v>
      </c>
      <c r="E45" s="122">
        <v>1.26</v>
      </c>
      <c r="F45" s="121">
        <v>2.39</v>
      </c>
      <c r="G45" s="121">
        <v>1.26</v>
      </c>
      <c r="H45" s="127">
        <v>2.96</v>
      </c>
      <c r="I45" s="145">
        <v>39142</v>
      </c>
      <c r="J45" s="158">
        <f t="shared" si="0"/>
        <v>2.9570383734539352E-2</v>
      </c>
    </row>
    <row r="46" spans="1:10" x14ac:dyDescent="0.2">
      <c r="A46" s="126"/>
      <c r="B46" s="120" t="s">
        <v>551</v>
      </c>
      <c r="C46" s="121">
        <v>2654.5</v>
      </c>
      <c r="D46" s="121">
        <v>0.25</v>
      </c>
      <c r="E46" s="122">
        <v>1.06</v>
      </c>
      <c r="F46" s="121">
        <v>2.31</v>
      </c>
      <c r="G46" s="121">
        <v>1.51</v>
      </c>
      <c r="H46" s="127">
        <v>3</v>
      </c>
      <c r="I46" s="145">
        <v>39173</v>
      </c>
      <c r="J46" s="158">
        <f t="shared" si="0"/>
        <v>2.9981802167443394E-2</v>
      </c>
    </row>
    <row r="47" spans="1:10" x14ac:dyDescent="0.2">
      <c r="A47" s="126"/>
      <c r="B47" s="120" t="s">
        <v>552</v>
      </c>
      <c r="C47" s="121">
        <v>2661.93</v>
      </c>
      <c r="D47" s="121">
        <v>0.28000000000000003</v>
      </c>
      <c r="E47" s="122">
        <v>0.9</v>
      </c>
      <c r="F47" s="121">
        <v>2.2799999999999998</v>
      </c>
      <c r="G47" s="121">
        <v>1.79</v>
      </c>
      <c r="H47" s="127">
        <v>3.18</v>
      </c>
      <c r="I47" s="145">
        <v>39203</v>
      </c>
      <c r="J47" s="158">
        <f t="shared" si="0"/>
        <v>3.1831801566782003E-2</v>
      </c>
    </row>
    <row r="48" spans="1:10" x14ac:dyDescent="0.2">
      <c r="A48" s="126"/>
      <c r="B48" s="120" t="s">
        <v>553</v>
      </c>
      <c r="C48" s="121">
        <v>2669.38</v>
      </c>
      <c r="D48" s="121">
        <v>0.28000000000000003</v>
      </c>
      <c r="E48" s="122">
        <v>0.81</v>
      </c>
      <c r="F48" s="121">
        <v>2.08</v>
      </c>
      <c r="G48" s="121">
        <v>2.08</v>
      </c>
      <c r="H48" s="127">
        <v>3.69</v>
      </c>
      <c r="I48" s="145">
        <v>39234</v>
      </c>
      <c r="J48" s="158">
        <f t="shared" si="0"/>
        <v>3.6898061288305195E-2</v>
      </c>
    </row>
    <row r="49" spans="1:10" x14ac:dyDescent="0.2">
      <c r="A49" s="126"/>
      <c r="B49" s="120" t="s">
        <v>554</v>
      </c>
      <c r="C49" s="121">
        <v>2675.79</v>
      </c>
      <c r="D49" s="121">
        <v>0.24</v>
      </c>
      <c r="E49" s="122">
        <v>0.8</v>
      </c>
      <c r="F49" s="121">
        <v>1.87</v>
      </c>
      <c r="G49" s="121">
        <v>2.3199999999999998</v>
      </c>
      <c r="H49" s="127">
        <v>3.74</v>
      </c>
      <c r="I49" s="145">
        <v>39264</v>
      </c>
      <c r="J49" s="158">
        <f t="shared" si="0"/>
        <v>3.741741881455285E-2</v>
      </c>
    </row>
    <row r="50" spans="1:10" x14ac:dyDescent="0.2">
      <c r="A50" s="126"/>
      <c r="B50" s="120" t="s">
        <v>555</v>
      </c>
      <c r="C50" s="121">
        <v>2688.37</v>
      </c>
      <c r="D50" s="121">
        <v>0.47</v>
      </c>
      <c r="E50" s="122">
        <v>0.99</v>
      </c>
      <c r="F50" s="121">
        <v>1.9</v>
      </c>
      <c r="G50" s="121">
        <v>2.8</v>
      </c>
      <c r="H50" s="127">
        <v>4.18</v>
      </c>
      <c r="I50" s="145">
        <v>39295</v>
      </c>
      <c r="J50" s="158">
        <f t="shared" si="0"/>
        <v>4.1773716659497584E-2</v>
      </c>
    </row>
    <row r="51" spans="1:10" x14ac:dyDescent="0.2">
      <c r="A51" s="126"/>
      <c r="B51" s="120" t="s">
        <v>556</v>
      </c>
      <c r="C51" s="121">
        <v>2693.21</v>
      </c>
      <c r="D51" s="121">
        <v>0.18</v>
      </c>
      <c r="E51" s="122">
        <v>0.89</v>
      </c>
      <c r="F51" s="121">
        <v>1.71</v>
      </c>
      <c r="G51" s="121">
        <v>2.99</v>
      </c>
      <c r="H51" s="127">
        <v>4.1500000000000004</v>
      </c>
      <c r="I51" s="145">
        <v>39326</v>
      </c>
      <c r="J51" s="158">
        <f t="shared" si="0"/>
        <v>4.1461877269440395E-2</v>
      </c>
    </row>
    <row r="52" spans="1:10" x14ac:dyDescent="0.2">
      <c r="A52" s="126"/>
      <c r="B52" s="120" t="s">
        <v>557</v>
      </c>
      <c r="C52" s="121">
        <v>2701.29</v>
      </c>
      <c r="D52" s="121">
        <v>0.3</v>
      </c>
      <c r="E52" s="122">
        <v>0.95</v>
      </c>
      <c r="F52" s="121">
        <v>1.76</v>
      </c>
      <c r="G52" s="121">
        <v>3.3</v>
      </c>
      <c r="H52" s="127">
        <v>4.12</v>
      </c>
      <c r="I52" s="145">
        <v>39356</v>
      </c>
      <c r="J52" s="158">
        <f t="shared" si="0"/>
        <v>4.1152120623467958E-2</v>
      </c>
    </row>
    <row r="53" spans="1:10" x14ac:dyDescent="0.2">
      <c r="A53" s="126"/>
      <c r="B53" s="120" t="s">
        <v>558</v>
      </c>
      <c r="C53" s="121">
        <v>2711.55</v>
      </c>
      <c r="D53" s="121">
        <v>0.38</v>
      </c>
      <c r="E53" s="122">
        <v>0.86</v>
      </c>
      <c r="F53" s="121">
        <v>1.86</v>
      </c>
      <c r="G53" s="121">
        <v>3.69</v>
      </c>
      <c r="H53" s="127">
        <v>4.1900000000000004</v>
      </c>
      <c r="I53" s="145">
        <v>39387</v>
      </c>
      <c r="J53" s="158">
        <f t="shared" si="0"/>
        <v>4.1877997049059479E-2</v>
      </c>
    </row>
    <row r="54" spans="1:10" x14ac:dyDescent="0.2">
      <c r="A54" s="126"/>
      <c r="B54" s="120" t="s">
        <v>559</v>
      </c>
      <c r="C54" s="121">
        <v>2731.62</v>
      </c>
      <c r="D54" s="121">
        <v>0.74</v>
      </c>
      <c r="E54" s="122">
        <v>1.43</v>
      </c>
      <c r="F54" s="121">
        <v>2.33</v>
      </c>
      <c r="G54" s="121">
        <v>4.46</v>
      </c>
      <c r="H54" s="127">
        <v>4.46</v>
      </c>
      <c r="I54" s="145">
        <v>39417</v>
      </c>
      <c r="J54" s="158">
        <f t="shared" si="0"/>
        <v>4.4576585533737223E-2</v>
      </c>
    </row>
    <row r="55" spans="1:10" x14ac:dyDescent="0.2">
      <c r="A55" s="117">
        <v>2008</v>
      </c>
      <c r="B55" s="120" t="s">
        <v>548</v>
      </c>
      <c r="C55" s="121">
        <v>2746.37</v>
      </c>
      <c r="D55" s="121">
        <v>0.54</v>
      </c>
      <c r="E55" s="122">
        <v>1.67</v>
      </c>
      <c r="F55" s="121">
        <v>2.64</v>
      </c>
      <c r="G55" s="121">
        <v>0.54</v>
      </c>
      <c r="H55" s="127">
        <v>4.5599999999999996</v>
      </c>
      <c r="I55" s="145">
        <v>39448</v>
      </c>
      <c r="J55" s="158">
        <f t="shared" si="0"/>
        <v>4.5614796539960922E-2</v>
      </c>
    </row>
    <row r="56" spans="1:10" x14ac:dyDescent="0.2">
      <c r="A56" s="124"/>
      <c r="B56" s="120" t="s">
        <v>549</v>
      </c>
      <c r="C56" s="121">
        <v>2759.83</v>
      </c>
      <c r="D56" s="121">
        <v>0.49</v>
      </c>
      <c r="E56" s="122">
        <v>1.78</v>
      </c>
      <c r="F56" s="121">
        <v>2.66</v>
      </c>
      <c r="G56" s="121">
        <v>1.03</v>
      </c>
      <c r="H56" s="127">
        <v>4.6100000000000003</v>
      </c>
      <c r="I56" s="145">
        <v>39479</v>
      </c>
      <c r="J56" s="158">
        <f t="shared" si="0"/>
        <v>4.6135126529498249E-2</v>
      </c>
    </row>
    <row r="57" spans="1:10" x14ac:dyDescent="0.2">
      <c r="A57" s="124"/>
      <c r="B57" s="120" t="s">
        <v>550</v>
      </c>
      <c r="C57" s="121">
        <v>2773.08</v>
      </c>
      <c r="D57" s="121">
        <v>0.48</v>
      </c>
      <c r="E57" s="122">
        <v>1.52</v>
      </c>
      <c r="F57" s="121">
        <v>2.97</v>
      </c>
      <c r="G57" s="121">
        <v>1.52</v>
      </c>
      <c r="H57" s="127">
        <v>4.7300000000000004</v>
      </c>
      <c r="I57" s="145">
        <v>39508</v>
      </c>
      <c r="J57" s="158">
        <f t="shared" si="0"/>
        <v>4.7283109506472965E-2</v>
      </c>
    </row>
    <row r="58" spans="1:10" x14ac:dyDescent="0.2">
      <c r="A58" s="124"/>
      <c r="B58" s="120" t="s">
        <v>551</v>
      </c>
      <c r="C58" s="121">
        <v>2788.33</v>
      </c>
      <c r="D58" s="121">
        <v>0.55000000000000004</v>
      </c>
      <c r="E58" s="122">
        <v>1.53</v>
      </c>
      <c r="F58" s="121">
        <v>3.22</v>
      </c>
      <c r="G58" s="121">
        <v>2.08</v>
      </c>
      <c r="H58" s="127">
        <v>5.04</v>
      </c>
      <c r="I58" s="145">
        <v>39539</v>
      </c>
      <c r="J58" s="158">
        <f t="shared" si="0"/>
        <v>5.0416274251271487E-2</v>
      </c>
    </row>
    <row r="59" spans="1:10" x14ac:dyDescent="0.2">
      <c r="A59" s="124"/>
      <c r="B59" s="120" t="s">
        <v>552</v>
      </c>
      <c r="C59" s="121">
        <v>2810.36</v>
      </c>
      <c r="D59" s="121">
        <v>0.79</v>
      </c>
      <c r="E59" s="122">
        <v>1.83</v>
      </c>
      <c r="F59" s="121">
        <v>3.64</v>
      </c>
      <c r="G59" s="121">
        <v>2.88</v>
      </c>
      <c r="H59" s="127">
        <v>5.58</v>
      </c>
      <c r="I59" s="145">
        <v>39569</v>
      </c>
      <c r="J59" s="158">
        <f t="shared" si="0"/>
        <v>5.5760294222612972E-2</v>
      </c>
    </row>
    <row r="60" spans="1:10" x14ac:dyDescent="0.2">
      <c r="A60" s="124"/>
      <c r="B60" s="120" t="s">
        <v>553</v>
      </c>
      <c r="C60" s="121">
        <v>2831.16</v>
      </c>
      <c r="D60" s="121">
        <v>0.74</v>
      </c>
      <c r="E60" s="122">
        <v>2.09</v>
      </c>
      <c r="F60" s="121">
        <v>3.64</v>
      </c>
      <c r="G60" s="121">
        <v>3.64</v>
      </c>
      <c r="H60" s="127">
        <v>6.06</v>
      </c>
      <c r="I60" s="145">
        <v>39600</v>
      </c>
      <c r="J60" s="158">
        <f t="shared" si="0"/>
        <v>6.0605833564348233E-2</v>
      </c>
    </row>
    <row r="61" spans="1:10" x14ac:dyDescent="0.2">
      <c r="A61" s="124"/>
      <c r="B61" s="120" t="s">
        <v>554</v>
      </c>
      <c r="C61" s="121">
        <v>2846.16</v>
      </c>
      <c r="D61" s="121">
        <v>0.53</v>
      </c>
      <c r="E61" s="122">
        <v>2.0699999999999998</v>
      </c>
      <c r="F61" s="121">
        <v>3.63</v>
      </c>
      <c r="G61" s="121">
        <v>4.1900000000000004</v>
      </c>
      <c r="H61" s="127">
        <v>6.37</v>
      </c>
      <c r="I61" s="145">
        <v>39630</v>
      </c>
      <c r="J61" s="158">
        <f t="shared" si="0"/>
        <v>6.3670915879048717E-2</v>
      </c>
    </row>
    <row r="62" spans="1:10" x14ac:dyDescent="0.2">
      <c r="A62" s="124"/>
      <c r="B62" s="120" t="s">
        <v>555</v>
      </c>
      <c r="C62" s="121">
        <v>2854.13</v>
      </c>
      <c r="D62" s="121">
        <v>0.28000000000000003</v>
      </c>
      <c r="E62" s="122">
        <v>1.56</v>
      </c>
      <c r="F62" s="121">
        <v>3.42</v>
      </c>
      <c r="G62" s="121">
        <v>4.4800000000000004</v>
      </c>
      <c r="H62" s="127">
        <v>6.17</v>
      </c>
      <c r="I62" s="145">
        <v>39661</v>
      </c>
      <c r="J62" s="158">
        <f t="shared" si="0"/>
        <v>6.1658179491662413E-2</v>
      </c>
    </row>
    <row r="63" spans="1:10" x14ac:dyDescent="0.2">
      <c r="A63" s="124"/>
      <c r="B63" s="120" t="s">
        <v>556</v>
      </c>
      <c r="C63" s="121">
        <v>2861.55</v>
      </c>
      <c r="D63" s="121">
        <v>0.26</v>
      </c>
      <c r="E63" s="122">
        <v>1.07</v>
      </c>
      <c r="F63" s="121">
        <v>3.19</v>
      </c>
      <c r="G63" s="121">
        <v>4.76</v>
      </c>
      <c r="H63" s="127">
        <v>6.25</v>
      </c>
      <c r="I63" s="145">
        <v>39692</v>
      </c>
      <c r="J63" s="158">
        <f t="shared" si="0"/>
        <v>6.2505337496890467E-2</v>
      </c>
    </row>
    <row r="64" spans="1:10" x14ac:dyDescent="0.2">
      <c r="A64" s="124"/>
      <c r="B64" s="120" t="s">
        <v>557</v>
      </c>
      <c r="C64" s="121">
        <v>2874.43</v>
      </c>
      <c r="D64" s="121">
        <v>0.45</v>
      </c>
      <c r="E64" s="122">
        <v>0.99</v>
      </c>
      <c r="F64" s="121">
        <v>3.09</v>
      </c>
      <c r="G64" s="121">
        <v>5.23</v>
      </c>
      <c r="H64" s="127">
        <v>6.41</v>
      </c>
      <c r="I64" s="145">
        <v>39722</v>
      </c>
      <c r="J64" s="158">
        <f t="shared" si="0"/>
        <v>6.4095302614676664E-2</v>
      </c>
    </row>
    <row r="65" spans="1:10" x14ac:dyDescent="0.2">
      <c r="A65" s="124"/>
      <c r="B65" s="120" t="s">
        <v>558</v>
      </c>
      <c r="C65" s="121">
        <v>2884.78</v>
      </c>
      <c r="D65" s="121">
        <v>0.36</v>
      </c>
      <c r="E65" s="122">
        <v>1.07</v>
      </c>
      <c r="F65" s="121">
        <v>2.65</v>
      </c>
      <c r="G65" s="121">
        <v>5.61</v>
      </c>
      <c r="H65" s="127">
        <v>6.39</v>
      </c>
      <c r="I65" s="145">
        <v>39753</v>
      </c>
      <c r="J65" s="158">
        <f t="shared" si="0"/>
        <v>6.3885969279563248E-2</v>
      </c>
    </row>
    <row r="66" spans="1:10" ht="16" thickBot="1" x14ac:dyDescent="0.25">
      <c r="A66" s="129"/>
      <c r="B66" s="130" t="s">
        <v>559</v>
      </c>
      <c r="C66" s="131">
        <v>2892.86</v>
      </c>
      <c r="D66" s="131">
        <v>0.28000000000000003</v>
      </c>
      <c r="E66" s="132">
        <v>1.0900000000000001</v>
      </c>
      <c r="F66" s="131">
        <v>2.1800000000000002</v>
      </c>
      <c r="G66" s="131">
        <v>5.9</v>
      </c>
      <c r="H66" s="133">
        <v>5.9</v>
      </c>
      <c r="I66" s="145">
        <v>39783</v>
      </c>
      <c r="J66" s="158">
        <f t="shared" si="0"/>
        <v>5.9027243906546456E-2</v>
      </c>
    </row>
    <row r="67" spans="1:10" ht="16" thickTop="1" x14ac:dyDescent="0.2">
      <c r="A67" s="117">
        <v>2009</v>
      </c>
      <c r="B67" s="120" t="s">
        <v>548</v>
      </c>
      <c r="C67" s="121">
        <v>2906.74</v>
      </c>
      <c r="D67" s="121">
        <v>0.48</v>
      </c>
      <c r="E67" s="122">
        <v>1.1200000000000001</v>
      </c>
      <c r="F67" s="121">
        <v>2.13</v>
      </c>
      <c r="G67" s="121">
        <v>0.48</v>
      </c>
      <c r="H67" s="127">
        <v>5.84</v>
      </c>
      <c r="I67" s="145">
        <v>39814</v>
      </c>
      <c r="J67" s="158">
        <f t="shared" si="0"/>
        <v>5.8393442981098609E-2</v>
      </c>
    </row>
    <row r="68" spans="1:10" x14ac:dyDescent="0.2">
      <c r="A68" s="124"/>
      <c r="B68" s="120" t="s">
        <v>549</v>
      </c>
      <c r="C68" s="121">
        <v>2922.73</v>
      </c>
      <c r="D68" s="121">
        <v>0.55000000000000004</v>
      </c>
      <c r="E68" s="122">
        <v>1.32</v>
      </c>
      <c r="F68" s="121">
        <v>2.4</v>
      </c>
      <c r="G68" s="121">
        <v>1.03</v>
      </c>
      <c r="H68" s="127">
        <v>5.9</v>
      </c>
      <c r="I68" s="145">
        <v>39845</v>
      </c>
      <c r="J68" s="158">
        <f t="shared" si="0"/>
        <v>5.9025374751343396E-2</v>
      </c>
    </row>
    <row r="69" spans="1:10" x14ac:dyDescent="0.2">
      <c r="A69" s="124"/>
      <c r="B69" s="120" t="s">
        <v>550</v>
      </c>
      <c r="C69" s="121">
        <v>2928.57</v>
      </c>
      <c r="D69" s="121">
        <v>0.2</v>
      </c>
      <c r="E69" s="122">
        <v>1.23</v>
      </c>
      <c r="F69" s="121">
        <v>2.34</v>
      </c>
      <c r="G69" s="121">
        <v>1.23</v>
      </c>
      <c r="H69" s="127">
        <v>5.61</v>
      </c>
      <c r="I69" s="145">
        <v>39873</v>
      </c>
      <c r="J69" s="158">
        <f t="shared" si="0"/>
        <v>5.6071227660219103E-2</v>
      </c>
    </row>
    <row r="70" spans="1:10" x14ac:dyDescent="0.2">
      <c r="A70" s="124"/>
      <c r="B70" s="120" t="s">
        <v>551</v>
      </c>
      <c r="C70" s="121">
        <v>2942.63</v>
      </c>
      <c r="D70" s="121">
        <v>0.48</v>
      </c>
      <c r="E70" s="122">
        <v>1.23</v>
      </c>
      <c r="F70" s="121">
        <v>2.37</v>
      </c>
      <c r="G70" s="121">
        <v>1.72</v>
      </c>
      <c r="H70" s="127">
        <v>5.53</v>
      </c>
      <c r="I70" s="145">
        <v>39904</v>
      </c>
      <c r="J70" s="158">
        <f t="shared" si="0"/>
        <v>5.5337782830583215E-2</v>
      </c>
    </row>
    <row r="71" spans="1:10" x14ac:dyDescent="0.2">
      <c r="A71" s="124"/>
      <c r="B71" s="120" t="s">
        <v>552</v>
      </c>
      <c r="C71" s="121">
        <v>2956.46</v>
      </c>
      <c r="D71" s="121">
        <v>0.47</v>
      </c>
      <c r="E71" s="122">
        <v>1.1499999999999999</v>
      </c>
      <c r="F71" s="121">
        <v>2.48</v>
      </c>
      <c r="G71" s="121">
        <v>2.2000000000000002</v>
      </c>
      <c r="H71" s="127">
        <v>5.2</v>
      </c>
      <c r="I71" s="145">
        <v>39934</v>
      </c>
      <c r="J71" s="158">
        <f t="shared" si="0"/>
        <v>5.1986222405670413E-2</v>
      </c>
    </row>
    <row r="72" spans="1:10" x14ac:dyDescent="0.2">
      <c r="A72" s="124"/>
      <c r="B72" s="120" t="s">
        <v>553</v>
      </c>
      <c r="C72" s="121">
        <v>2967.1</v>
      </c>
      <c r="D72" s="121">
        <v>0.36</v>
      </c>
      <c r="E72" s="122">
        <v>1.32</v>
      </c>
      <c r="F72" s="121">
        <v>2.57</v>
      </c>
      <c r="G72" s="121">
        <v>2.57</v>
      </c>
      <c r="H72" s="127">
        <v>4.8</v>
      </c>
      <c r="I72" s="145">
        <v>39965</v>
      </c>
      <c r="J72" s="158">
        <f t="shared" si="0"/>
        <v>4.8015654360756832E-2</v>
      </c>
    </row>
    <row r="73" spans="1:10" x14ac:dyDescent="0.2">
      <c r="A73" s="124"/>
      <c r="B73" s="120" t="s">
        <v>554</v>
      </c>
      <c r="C73" s="121">
        <v>2974.22</v>
      </c>
      <c r="D73" s="121">
        <v>0.24</v>
      </c>
      <c r="E73" s="122">
        <v>1.07</v>
      </c>
      <c r="F73" s="121">
        <v>2.3199999999999998</v>
      </c>
      <c r="G73" s="121">
        <v>2.81</v>
      </c>
      <c r="H73" s="127">
        <v>4.5</v>
      </c>
      <c r="I73" s="145">
        <v>39995</v>
      </c>
      <c r="J73" s="158">
        <f t="shared" si="0"/>
        <v>4.4993956769823207E-2</v>
      </c>
    </row>
    <row r="74" spans="1:10" x14ac:dyDescent="0.2">
      <c r="A74" s="124"/>
      <c r="B74" s="120" t="s">
        <v>555</v>
      </c>
      <c r="C74" s="121">
        <v>2978.68</v>
      </c>
      <c r="D74" s="121">
        <v>0.15</v>
      </c>
      <c r="E74" s="122">
        <v>0.75</v>
      </c>
      <c r="F74" s="121">
        <v>1.91</v>
      </c>
      <c r="G74" s="121">
        <v>2.97</v>
      </c>
      <c r="H74" s="127">
        <v>4.3600000000000003</v>
      </c>
      <c r="I74" s="145">
        <v>40026</v>
      </c>
      <c r="J74" s="158">
        <f t="shared" si="0"/>
        <v>4.3638516815982298E-2</v>
      </c>
    </row>
    <row r="75" spans="1:10" x14ac:dyDescent="0.2">
      <c r="A75" s="124"/>
      <c r="B75" s="120" t="s">
        <v>556</v>
      </c>
      <c r="C75" s="121">
        <v>2985.83</v>
      </c>
      <c r="D75" s="121">
        <v>0.24</v>
      </c>
      <c r="E75" s="122">
        <v>0.63</v>
      </c>
      <c r="F75" s="121">
        <v>1.96</v>
      </c>
      <c r="G75" s="121">
        <v>3.21</v>
      </c>
      <c r="H75" s="127">
        <v>4.34</v>
      </c>
      <c r="I75" s="145">
        <v>40057</v>
      </c>
      <c r="J75" s="158">
        <f t="shared" si="0"/>
        <v>4.3431007670667876E-2</v>
      </c>
    </row>
    <row r="76" spans="1:10" x14ac:dyDescent="0.2">
      <c r="A76" s="124"/>
      <c r="B76" s="120" t="s">
        <v>557</v>
      </c>
      <c r="C76" s="121">
        <v>2994.19</v>
      </c>
      <c r="D76" s="121">
        <v>0.28000000000000003</v>
      </c>
      <c r="E76" s="122">
        <v>0.67</v>
      </c>
      <c r="F76" s="121">
        <v>1.75</v>
      </c>
      <c r="G76" s="121">
        <v>3.5</v>
      </c>
      <c r="H76" s="127">
        <v>4.17</v>
      </c>
      <c r="I76" s="145">
        <v>40087</v>
      </c>
      <c r="J76" s="158">
        <f t="shared" si="0"/>
        <v>4.1663912497434286E-2</v>
      </c>
    </row>
    <row r="77" spans="1:10" x14ac:dyDescent="0.2">
      <c r="A77" s="124"/>
      <c r="B77" s="120" t="s">
        <v>558</v>
      </c>
      <c r="C77" s="121">
        <v>3006.47</v>
      </c>
      <c r="D77" s="121">
        <v>0.41</v>
      </c>
      <c r="E77" s="122">
        <v>0.93</v>
      </c>
      <c r="F77" s="121">
        <v>1.69</v>
      </c>
      <c r="G77" s="121">
        <v>3.93</v>
      </c>
      <c r="H77" s="127">
        <v>4.22</v>
      </c>
      <c r="I77" s="145">
        <v>40118</v>
      </c>
      <c r="J77" s="158">
        <f t="shared" si="0"/>
        <v>4.2183459397250322E-2</v>
      </c>
    </row>
    <row r="78" spans="1:10" x14ac:dyDescent="0.2">
      <c r="A78" s="124"/>
      <c r="B78" s="120" t="s">
        <v>559</v>
      </c>
      <c r="C78" s="121">
        <v>3017.59</v>
      </c>
      <c r="D78" s="121">
        <v>0.37</v>
      </c>
      <c r="E78" s="122">
        <v>1.06</v>
      </c>
      <c r="F78" s="121">
        <v>1.7</v>
      </c>
      <c r="G78" s="121">
        <v>4.3099999999999996</v>
      </c>
      <c r="H78" s="127">
        <v>4.3099999999999996</v>
      </c>
      <c r="I78" s="145">
        <v>40148</v>
      </c>
      <c r="J78" s="158">
        <f t="shared" si="0"/>
        <v>4.31165006256784E-2</v>
      </c>
    </row>
    <row r="79" spans="1:10" x14ac:dyDescent="0.2">
      <c r="A79" s="117">
        <v>2010</v>
      </c>
      <c r="B79" s="120" t="s">
        <v>548</v>
      </c>
      <c r="C79" s="121">
        <v>3040.22</v>
      </c>
      <c r="D79" s="121">
        <v>0.75</v>
      </c>
      <c r="E79" s="122">
        <v>1.54</v>
      </c>
      <c r="F79" s="121">
        <v>2.2200000000000002</v>
      </c>
      <c r="G79" s="121">
        <v>0.75</v>
      </c>
      <c r="H79" s="127">
        <v>4.59</v>
      </c>
      <c r="I79" s="145">
        <v>40179</v>
      </c>
      <c r="J79" s="158">
        <f t="shared" si="0"/>
        <v>4.5920859794821745E-2</v>
      </c>
    </row>
    <row r="80" spans="1:10" x14ac:dyDescent="0.2">
      <c r="A80" s="124"/>
      <c r="B80" s="120" t="s">
        <v>549</v>
      </c>
      <c r="C80" s="121">
        <v>3063.93</v>
      </c>
      <c r="D80" s="121">
        <v>0.78</v>
      </c>
      <c r="E80" s="122">
        <v>1.91</v>
      </c>
      <c r="F80" s="121">
        <v>2.86</v>
      </c>
      <c r="G80" s="121">
        <v>1.54</v>
      </c>
      <c r="H80" s="127">
        <v>4.83</v>
      </c>
      <c r="I80" s="145">
        <v>40210</v>
      </c>
      <c r="J80" s="158">
        <f t="shared" si="0"/>
        <v>4.8310996910422732E-2</v>
      </c>
    </row>
    <row r="81" spans="1:10" x14ac:dyDescent="0.2">
      <c r="A81" s="124"/>
      <c r="B81" s="120" t="s">
        <v>550</v>
      </c>
      <c r="C81" s="121">
        <v>3079.86</v>
      </c>
      <c r="D81" s="121">
        <v>0.52</v>
      </c>
      <c r="E81" s="122">
        <v>2.06</v>
      </c>
      <c r="F81" s="121">
        <v>3.15</v>
      </c>
      <c r="G81" s="121">
        <v>2.06</v>
      </c>
      <c r="H81" s="127">
        <v>5.17</v>
      </c>
      <c r="I81" s="145">
        <v>40238</v>
      </c>
      <c r="J81" s="158">
        <f t="shared" si="0"/>
        <v>5.1660025200012338E-2</v>
      </c>
    </row>
    <row r="82" spans="1:10" x14ac:dyDescent="0.2">
      <c r="A82" s="124"/>
      <c r="B82" s="120" t="s">
        <v>551</v>
      </c>
      <c r="C82" s="121">
        <v>3097.42</v>
      </c>
      <c r="D82" s="121">
        <v>0.56999999999999995</v>
      </c>
      <c r="E82" s="122">
        <v>1.88</v>
      </c>
      <c r="F82" s="121">
        <v>3.45</v>
      </c>
      <c r="G82" s="121">
        <v>2.65</v>
      </c>
      <c r="H82" s="127">
        <v>5.26</v>
      </c>
      <c r="I82" s="145">
        <v>40269</v>
      </c>
      <c r="J82" s="158">
        <f t="shared" si="0"/>
        <v>5.2602603793205471E-2</v>
      </c>
    </row>
    <row r="83" spans="1:10" x14ac:dyDescent="0.2">
      <c r="A83" s="124"/>
      <c r="B83" s="120" t="s">
        <v>552</v>
      </c>
      <c r="C83" s="121">
        <v>3110.74</v>
      </c>
      <c r="D83" s="121">
        <v>0.43</v>
      </c>
      <c r="E83" s="122">
        <v>1.53</v>
      </c>
      <c r="F83" s="121">
        <v>3.47</v>
      </c>
      <c r="G83" s="121">
        <v>3.09</v>
      </c>
      <c r="H83" s="127">
        <v>5.22</v>
      </c>
      <c r="I83" s="145">
        <v>40299</v>
      </c>
      <c r="J83" s="158">
        <f t="shared" si="0"/>
        <v>5.2184030901821776E-2</v>
      </c>
    </row>
    <row r="84" spans="1:10" x14ac:dyDescent="0.2">
      <c r="A84" s="124"/>
      <c r="B84" s="120" t="s">
        <v>553</v>
      </c>
      <c r="C84" s="121">
        <v>3110.74</v>
      </c>
      <c r="D84" s="121">
        <v>0</v>
      </c>
      <c r="E84" s="122">
        <v>1</v>
      </c>
      <c r="F84" s="121">
        <v>3.09</v>
      </c>
      <c r="G84" s="121">
        <v>3.09</v>
      </c>
      <c r="H84" s="127">
        <v>4.84</v>
      </c>
      <c r="I84" s="145">
        <v>40330</v>
      </c>
      <c r="J84" s="158">
        <f t="shared" ref="J84:J147" si="1">C84/C72-1</f>
        <v>4.8410906272117415E-2</v>
      </c>
    </row>
    <row r="85" spans="1:10" x14ac:dyDescent="0.2">
      <c r="A85" s="124"/>
      <c r="B85" s="120" t="s">
        <v>554</v>
      </c>
      <c r="C85" s="121">
        <v>3111.05</v>
      </c>
      <c r="D85" s="121">
        <v>0.01</v>
      </c>
      <c r="E85" s="122">
        <v>0.44</v>
      </c>
      <c r="F85" s="121">
        <v>2.33</v>
      </c>
      <c r="G85" s="121">
        <v>3.1</v>
      </c>
      <c r="H85" s="127">
        <v>4.5999999999999996</v>
      </c>
      <c r="I85" s="145">
        <v>40360</v>
      </c>
      <c r="J85" s="158">
        <f t="shared" si="1"/>
        <v>4.6005339214987506E-2</v>
      </c>
    </row>
    <row r="86" spans="1:10" x14ac:dyDescent="0.2">
      <c r="A86" s="124"/>
      <c r="B86" s="120" t="s">
        <v>555</v>
      </c>
      <c r="C86" s="121">
        <v>3112.29</v>
      </c>
      <c r="D86" s="121">
        <v>0.04</v>
      </c>
      <c r="E86" s="122">
        <v>0.05</v>
      </c>
      <c r="F86" s="121">
        <v>1.58</v>
      </c>
      <c r="G86" s="121">
        <v>3.14</v>
      </c>
      <c r="H86" s="127">
        <v>4.49</v>
      </c>
      <c r="I86" s="145">
        <v>40391</v>
      </c>
      <c r="J86" s="158">
        <f t="shared" si="1"/>
        <v>4.4855439322115886E-2</v>
      </c>
    </row>
    <row r="87" spans="1:10" x14ac:dyDescent="0.2">
      <c r="A87" s="124"/>
      <c r="B87" s="120" t="s">
        <v>556</v>
      </c>
      <c r="C87" s="121">
        <v>3126.29</v>
      </c>
      <c r="D87" s="121">
        <v>0.45</v>
      </c>
      <c r="E87" s="122">
        <v>0.5</v>
      </c>
      <c r="F87" s="121">
        <v>1.51</v>
      </c>
      <c r="G87" s="121">
        <v>3.6</v>
      </c>
      <c r="H87" s="127">
        <v>4.7</v>
      </c>
      <c r="I87" s="145">
        <v>40422</v>
      </c>
      <c r="J87" s="158">
        <f t="shared" si="1"/>
        <v>4.7042195972309298E-2</v>
      </c>
    </row>
    <row r="88" spans="1:10" x14ac:dyDescent="0.2">
      <c r="A88" s="124"/>
      <c r="B88" s="120" t="s">
        <v>557</v>
      </c>
      <c r="C88" s="121">
        <v>3149.74</v>
      </c>
      <c r="D88" s="121">
        <v>0.75</v>
      </c>
      <c r="E88" s="122">
        <v>1.24</v>
      </c>
      <c r="F88" s="121">
        <v>1.69</v>
      </c>
      <c r="G88" s="121">
        <v>4.38</v>
      </c>
      <c r="H88" s="127">
        <v>5.2</v>
      </c>
      <c r="I88" s="145">
        <v>40452</v>
      </c>
      <c r="J88" s="158">
        <f t="shared" si="1"/>
        <v>5.1950611016668757E-2</v>
      </c>
    </row>
    <row r="89" spans="1:10" x14ac:dyDescent="0.2">
      <c r="A89" s="124"/>
      <c r="B89" s="120" t="s">
        <v>558</v>
      </c>
      <c r="C89" s="121">
        <v>3175.88</v>
      </c>
      <c r="D89" s="121">
        <v>0.83</v>
      </c>
      <c r="E89" s="122">
        <v>2.04</v>
      </c>
      <c r="F89" s="121">
        <v>2.09</v>
      </c>
      <c r="G89" s="121">
        <v>5.25</v>
      </c>
      <c r="H89" s="127">
        <v>5.63</v>
      </c>
      <c r="I89" s="145">
        <v>40483</v>
      </c>
      <c r="J89" s="158">
        <f t="shared" si="1"/>
        <v>5.634847512198693E-2</v>
      </c>
    </row>
    <row r="90" spans="1:10" x14ac:dyDescent="0.2">
      <c r="A90" s="124"/>
      <c r="B90" s="120" t="s">
        <v>559</v>
      </c>
      <c r="C90" s="121">
        <v>3195.89</v>
      </c>
      <c r="D90" s="121">
        <v>0.63</v>
      </c>
      <c r="E90" s="122">
        <v>2.23</v>
      </c>
      <c r="F90" s="121">
        <v>2.74</v>
      </c>
      <c r="G90" s="121">
        <v>5.91</v>
      </c>
      <c r="H90" s="127">
        <v>5.91</v>
      </c>
      <c r="I90" s="145">
        <v>40513</v>
      </c>
      <c r="J90" s="158">
        <f t="shared" si="1"/>
        <v>5.9086887217945305E-2</v>
      </c>
    </row>
    <row r="91" spans="1:10" x14ac:dyDescent="0.2">
      <c r="A91" s="117">
        <v>2011</v>
      </c>
      <c r="B91" s="120" t="s">
        <v>548</v>
      </c>
      <c r="C91" s="121">
        <v>3222.42</v>
      </c>
      <c r="D91" s="121">
        <v>0.83</v>
      </c>
      <c r="E91" s="122">
        <v>2.31</v>
      </c>
      <c r="F91" s="121">
        <v>3.58</v>
      </c>
      <c r="G91" s="121">
        <v>0.83</v>
      </c>
      <c r="H91" s="127">
        <v>5.99</v>
      </c>
      <c r="I91" s="145">
        <v>40544</v>
      </c>
      <c r="J91" s="158">
        <f t="shared" si="1"/>
        <v>5.9929873495996988E-2</v>
      </c>
    </row>
    <row r="92" spans="1:10" x14ac:dyDescent="0.2">
      <c r="A92" s="124"/>
      <c r="B92" s="120" t="s">
        <v>549</v>
      </c>
      <c r="C92" s="121">
        <v>3248.2</v>
      </c>
      <c r="D92" s="121">
        <v>0.8</v>
      </c>
      <c r="E92" s="122">
        <v>2.2799999999999998</v>
      </c>
      <c r="F92" s="121">
        <v>4.37</v>
      </c>
      <c r="G92" s="121">
        <v>1.64</v>
      </c>
      <c r="H92" s="127">
        <v>6.01</v>
      </c>
      <c r="I92" s="145">
        <v>40575</v>
      </c>
      <c r="J92" s="158">
        <f t="shared" si="1"/>
        <v>6.0141713420345688E-2</v>
      </c>
    </row>
    <row r="93" spans="1:10" x14ac:dyDescent="0.2">
      <c r="A93" s="124"/>
      <c r="B93" s="120" t="s">
        <v>550</v>
      </c>
      <c r="C93" s="121">
        <v>3273.86</v>
      </c>
      <c r="D93" s="121">
        <v>0.79</v>
      </c>
      <c r="E93" s="122">
        <v>2.44</v>
      </c>
      <c r="F93" s="121">
        <v>4.72</v>
      </c>
      <c r="G93" s="121">
        <v>2.44</v>
      </c>
      <c r="H93" s="127">
        <v>6.3</v>
      </c>
      <c r="I93" s="145">
        <v>40603</v>
      </c>
      <c r="J93" s="158">
        <f t="shared" si="1"/>
        <v>6.2989876163202174E-2</v>
      </c>
    </row>
    <row r="94" spans="1:10" x14ac:dyDescent="0.2">
      <c r="A94" s="124"/>
      <c r="B94" s="120" t="s">
        <v>551</v>
      </c>
      <c r="C94" s="121">
        <v>3299.07</v>
      </c>
      <c r="D94" s="121">
        <v>0.77</v>
      </c>
      <c r="E94" s="122">
        <v>2.38</v>
      </c>
      <c r="F94" s="121">
        <v>4.74</v>
      </c>
      <c r="G94" s="121">
        <v>3.23</v>
      </c>
      <c r="H94" s="127">
        <v>6.51</v>
      </c>
      <c r="I94" s="145">
        <v>40634</v>
      </c>
      <c r="J94" s="158">
        <f t="shared" si="1"/>
        <v>6.5102569235040875E-2</v>
      </c>
    </row>
    <row r="95" spans="1:10" x14ac:dyDescent="0.2">
      <c r="A95" s="124"/>
      <c r="B95" s="120" t="s">
        <v>552</v>
      </c>
      <c r="C95" s="121">
        <v>3314.58</v>
      </c>
      <c r="D95" s="121">
        <v>0.47</v>
      </c>
      <c r="E95" s="122">
        <v>2.04</v>
      </c>
      <c r="F95" s="121">
        <v>4.37</v>
      </c>
      <c r="G95" s="121">
        <v>3.71</v>
      </c>
      <c r="H95" s="127">
        <v>6.55</v>
      </c>
      <c r="I95" s="145">
        <v>40664</v>
      </c>
      <c r="J95" s="158">
        <f t="shared" si="1"/>
        <v>6.5527816532400696E-2</v>
      </c>
    </row>
    <row r="96" spans="1:10" x14ac:dyDescent="0.2">
      <c r="A96" s="124"/>
      <c r="B96" s="120" t="s">
        <v>553</v>
      </c>
      <c r="C96" s="121">
        <v>3319.55</v>
      </c>
      <c r="D96" s="121">
        <v>0.15</v>
      </c>
      <c r="E96" s="122">
        <v>1.4</v>
      </c>
      <c r="F96" s="121">
        <v>3.87</v>
      </c>
      <c r="G96" s="121">
        <v>3.87</v>
      </c>
      <c r="H96" s="127">
        <v>6.71</v>
      </c>
      <c r="I96" s="145">
        <v>40695</v>
      </c>
      <c r="J96" s="158">
        <f t="shared" si="1"/>
        <v>6.7125507114063065E-2</v>
      </c>
    </row>
    <row r="97" spans="1:10" x14ac:dyDescent="0.2">
      <c r="A97" s="124"/>
      <c r="B97" s="120" t="s">
        <v>554</v>
      </c>
      <c r="C97" s="121">
        <v>3324.86</v>
      </c>
      <c r="D97" s="121">
        <v>0.16</v>
      </c>
      <c r="E97" s="122">
        <v>0.78</v>
      </c>
      <c r="F97" s="121">
        <v>3.18</v>
      </c>
      <c r="G97" s="121">
        <v>4.04</v>
      </c>
      <c r="H97" s="127">
        <v>6.87</v>
      </c>
      <c r="I97" s="145">
        <v>40725</v>
      </c>
      <c r="J97" s="158">
        <f t="shared" si="1"/>
        <v>6.8725992832002092E-2</v>
      </c>
    </row>
    <row r="98" spans="1:10" x14ac:dyDescent="0.2">
      <c r="A98" s="124"/>
      <c r="B98" s="120" t="s">
        <v>555</v>
      </c>
      <c r="C98" s="121">
        <v>3337.16</v>
      </c>
      <c r="D98" s="121">
        <v>0.37</v>
      </c>
      <c r="E98" s="122">
        <v>0.68</v>
      </c>
      <c r="F98" s="121">
        <v>2.74</v>
      </c>
      <c r="G98" s="121">
        <v>4.42</v>
      </c>
      <c r="H98" s="127">
        <v>7.23</v>
      </c>
      <c r="I98" s="145">
        <v>40756</v>
      </c>
      <c r="J98" s="158">
        <f t="shared" si="1"/>
        <v>7.2252264409807587E-2</v>
      </c>
    </row>
    <row r="99" spans="1:10" x14ac:dyDescent="0.2">
      <c r="A99" s="124"/>
      <c r="B99" s="120" t="s">
        <v>556</v>
      </c>
      <c r="C99" s="121">
        <v>3354.85</v>
      </c>
      <c r="D99" s="121">
        <v>0.53</v>
      </c>
      <c r="E99" s="122">
        <v>1.06</v>
      </c>
      <c r="F99" s="121">
        <v>2.4700000000000002</v>
      </c>
      <c r="G99" s="121">
        <v>4.97</v>
      </c>
      <c r="H99" s="127">
        <v>7.31</v>
      </c>
      <c r="I99" s="145">
        <v>40787</v>
      </c>
      <c r="J99" s="158">
        <f t="shared" si="1"/>
        <v>7.3109020596297869E-2</v>
      </c>
    </row>
    <row r="100" spans="1:10" x14ac:dyDescent="0.2">
      <c r="A100" s="124"/>
      <c r="B100" s="120" t="s">
        <v>557</v>
      </c>
      <c r="C100" s="121">
        <v>3369.28</v>
      </c>
      <c r="D100" s="121">
        <v>0.43</v>
      </c>
      <c r="E100" s="122">
        <v>1.34</v>
      </c>
      <c r="F100" s="121">
        <v>2.13</v>
      </c>
      <c r="G100" s="121">
        <v>5.43</v>
      </c>
      <c r="H100" s="127">
        <v>6.97</v>
      </c>
      <c r="I100" s="145">
        <v>40817</v>
      </c>
      <c r="J100" s="158">
        <f t="shared" si="1"/>
        <v>6.9700991192924056E-2</v>
      </c>
    </row>
    <row r="101" spans="1:10" x14ac:dyDescent="0.2">
      <c r="A101" s="124"/>
      <c r="B101" s="120" t="s">
        <v>558</v>
      </c>
      <c r="C101" s="121">
        <v>3386.8</v>
      </c>
      <c r="D101" s="121">
        <v>0.52</v>
      </c>
      <c r="E101" s="122">
        <v>1.49</v>
      </c>
      <c r="F101" s="121">
        <v>2.1800000000000002</v>
      </c>
      <c r="G101" s="121">
        <v>5.97</v>
      </c>
      <c r="H101" s="127">
        <v>6.64</v>
      </c>
      <c r="I101" s="145">
        <v>40848</v>
      </c>
      <c r="J101" s="158">
        <f t="shared" si="1"/>
        <v>6.641308865574258E-2</v>
      </c>
    </row>
    <row r="102" spans="1:10" x14ac:dyDescent="0.2">
      <c r="A102" s="124"/>
      <c r="B102" s="120" t="s">
        <v>559</v>
      </c>
      <c r="C102" s="121">
        <v>3403.73</v>
      </c>
      <c r="D102" s="121">
        <v>0.5</v>
      </c>
      <c r="E102" s="122">
        <v>1.46</v>
      </c>
      <c r="F102" s="121">
        <v>2.54</v>
      </c>
      <c r="G102" s="121">
        <v>6.5</v>
      </c>
      <c r="H102" s="127">
        <v>6.5</v>
      </c>
      <c r="I102" s="145">
        <v>40878</v>
      </c>
      <c r="J102" s="158">
        <f t="shared" si="1"/>
        <v>6.5033527436801686E-2</v>
      </c>
    </row>
    <row r="103" spans="1:10" x14ac:dyDescent="0.2">
      <c r="A103" s="117">
        <v>2012</v>
      </c>
      <c r="B103" s="120" t="s">
        <v>548</v>
      </c>
      <c r="C103" s="121">
        <v>3422.79</v>
      </c>
      <c r="D103" s="121">
        <v>0.56000000000000005</v>
      </c>
      <c r="E103" s="122">
        <v>1.59</v>
      </c>
      <c r="F103" s="121">
        <v>2.95</v>
      </c>
      <c r="G103" s="121">
        <v>0.56000000000000005</v>
      </c>
      <c r="H103" s="127">
        <v>6.22</v>
      </c>
      <c r="I103" s="145">
        <v>40909</v>
      </c>
      <c r="J103" s="158">
        <f t="shared" si="1"/>
        <v>6.2179976539370907E-2</v>
      </c>
    </row>
    <row r="104" spans="1:10" x14ac:dyDescent="0.2">
      <c r="A104" s="124"/>
      <c r="B104" s="120" t="s">
        <v>549</v>
      </c>
      <c r="C104" s="121">
        <v>3438.19</v>
      </c>
      <c r="D104" s="121">
        <v>0.45</v>
      </c>
      <c r="E104" s="122">
        <v>1.52</v>
      </c>
      <c r="F104" s="121">
        <v>3.03</v>
      </c>
      <c r="G104" s="121">
        <v>1.01</v>
      </c>
      <c r="H104" s="127">
        <v>5.85</v>
      </c>
      <c r="I104" s="145">
        <v>40940</v>
      </c>
      <c r="J104" s="158">
        <f t="shared" si="1"/>
        <v>5.8490856474355146E-2</v>
      </c>
    </row>
    <row r="105" spans="1:10" x14ac:dyDescent="0.2">
      <c r="A105" s="124"/>
      <c r="B105" s="120" t="s">
        <v>550</v>
      </c>
      <c r="C105" s="121">
        <v>3445.41</v>
      </c>
      <c r="D105" s="121">
        <v>0.21</v>
      </c>
      <c r="E105" s="122">
        <v>1.22</v>
      </c>
      <c r="F105" s="121">
        <v>2.7</v>
      </c>
      <c r="G105" s="121">
        <v>1.22</v>
      </c>
      <c r="H105" s="127">
        <v>5.24</v>
      </c>
      <c r="I105" s="145">
        <v>40969</v>
      </c>
      <c r="J105" s="158">
        <f t="shared" si="1"/>
        <v>5.2399919361243219E-2</v>
      </c>
    </row>
    <row r="106" spans="1:10" x14ac:dyDescent="0.2">
      <c r="A106" s="124"/>
      <c r="B106" s="120" t="s">
        <v>551</v>
      </c>
      <c r="C106" s="121">
        <v>3467.46</v>
      </c>
      <c r="D106" s="121">
        <v>0.64</v>
      </c>
      <c r="E106" s="122">
        <v>1.31</v>
      </c>
      <c r="F106" s="121">
        <v>2.91</v>
      </c>
      <c r="G106" s="121">
        <v>1.87</v>
      </c>
      <c r="H106" s="127">
        <v>5.0999999999999996</v>
      </c>
      <c r="I106" s="145">
        <v>41000</v>
      </c>
      <c r="J106" s="158">
        <f t="shared" si="1"/>
        <v>5.1041657194300205E-2</v>
      </c>
    </row>
    <row r="107" spans="1:10" x14ac:dyDescent="0.2">
      <c r="A107" s="124"/>
      <c r="B107" s="120" t="s">
        <v>552</v>
      </c>
      <c r="C107" s="121">
        <v>3479.94</v>
      </c>
      <c r="D107" s="121">
        <v>0.36</v>
      </c>
      <c r="E107" s="122">
        <v>1.21</v>
      </c>
      <c r="F107" s="121">
        <v>2.75</v>
      </c>
      <c r="G107" s="121">
        <v>2.2400000000000002</v>
      </c>
      <c r="H107" s="127">
        <v>4.99</v>
      </c>
      <c r="I107" s="145">
        <v>41030</v>
      </c>
      <c r="J107" s="158">
        <f t="shared" si="1"/>
        <v>4.9888673678113005E-2</v>
      </c>
    </row>
    <row r="108" spans="1:10" x14ac:dyDescent="0.2">
      <c r="A108" s="124"/>
      <c r="B108" s="120" t="s">
        <v>553</v>
      </c>
      <c r="C108" s="121">
        <v>3482.72</v>
      </c>
      <c r="D108" s="121">
        <v>0.08</v>
      </c>
      <c r="E108" s="122">
        <v>1.08</v>
      </c>
      <c r="F108" s="121">
        <v>2.3199999999999998</v>
      </c>
      <c r="G108" s="121">
        <v>2.3199999999999998</v>
      </c>
      <c r="H108" s="127">
        <v>4.92</v>
      </c>
      <c r="I108" s="145">
        <v>41061</v>
      </c>
      <c r="J108" s="158">
        <f t="shared" si="1"/>
        <v>4.9154252835474477E-2</v>
      </c>
    </row>
    <row r="109" spans="1:10" x14ac:dyDescent="0.2">
      <c r="A109" s="124"/>
      <c r="B109" s="120" t="s">
        <v>554</v>
      </c>
      <c r="C109" s="121">
        <v>3497.7</v>
      </c>
      <c r="D109" s="121">
        <v>0.43</v>
      </c>
      <c r="E109" s="122">
        <v>0.87</v>
      </c>
      <c r="F109" s="121">
        <v>2.19</v>
      </c>
      <c r="G109" s="121">
        <v>2.76</v>
      </c>
      <c r="H109" s="127">
        <v>5.2</v>
      </c>
      <c r="I109" s="145">
        <v>41091</v>
      </c>
      <c r="J109" s="158">
        <f t="shared" si="1"/>
        <v>5.1984143693268203E-2</v>
      </c>
    </row>
    <row r="110" spans="1:10" x14ac:dyDescent="0.2">
      <c r="A110" s="124"/>
      <c r="B110" s="134" t="s">
        <v>555</v>
      </c>
      <c r="C110" s="135">
        <v>3512.04</v>
      </c>
      <c r="D110" s="135">
        <v>0.41</v>
      </c>
      <c r="E110" s="135">
        <v>0.92</v>
      </c>
      <c r="F110" s="135">
        <v>2.15</v>
      </c>
      <c r="G110" s="135">
        <v>3.18</v>
      </c>
      <c r="H110" s="136">
        <v>5.24</v>
      </c>
      <c r="I110" s="145">
        <v>41122</v>
      </c>
      <c r="J110" s="158">
        <f t="shared" si="1"/>
        <v>5.2403840391230805E-2</v>
      </c>
    </row>
    <row r="111" spans="1:10" x14ac:dyDescent="0.2">
      <c r="A111" s="124"/>
      <c r="B111" s="134" t="s">
        <v>556</v>
      </c>
      <c r="C111" s="135">
        <v>3532.06</v>
      </c>
      <c r="D111" s="135">
        <v>0.56999999999999995</v>
      </c>
      <c r="E111" s="135">
        <v>1.42</v>
      </c>
      <c r="F111" s="135">
        <v>2.5099999999999998</v>
      </c>
      <c r="G111" s="135">
        <v>3.77</v>
      </c>
      <c r="H111" s="136">
        <v>5.28</v>
      </c>
      <c r="I111" s="145">
        <v>41153</v>
      </c>
      <c r="J111" s="158">
        <f t="shared" si="1"/>
        <v>5.2822033772001786E-2</v>
      </c>
    </row>
    <row r="112" spans="1:10" x14ac:dyDescent="0.2">
      <c r="A112" s="137"/>
      <c r="B112" s="134" t="s">
        <v>557</v>
      </c>
      <c r="C112" s="135">
        <v>3552.9</v>
      </c>
      <c r="D112" s="135">
        <v>0.59</v>
      </c>
      <c r="E112" s="135">
        <v>1.58</v>
      </c>
      <c r="F112" s="135">
        <v>2.46</v>
      </c>
      <c r="G112" s="135">
        <v>4.38</v>
      </c>
      <c r="H112" s="136">
        <v>5.45</v>
      </c>
      <c r="I112" s="145">
        <v>41183</v>
      </c>
      <c r="J112" s="158">
        <f t="shared" si="1"/>
        <v>5.449829043593879E-2</v>
      </c>
    </row>
    <row r="113" spans="1:10" x14ac:dyDescent="0.2">
      <c r="A113" s="137"/>
      <c r="B113" s="134" t="s">
        <v>558</v>
      </c>
      <c r="C113" s="135">
        <v>3574.22</v>
      </c>
      <c r="D113" s="135">
        <v>0.6</v>
      </c>
      <c r="E113" s="135">
        <v>1.77</v>
      </c>
      <c r="F113" s="135">
        <v>2.71</v>
      </c>
      <c r="G113" s="135">
        <v>5.01</v>
      </c>
      <c r="H113" s="136">
        <v>5.53</v>
      </c>
      <c r="I113" s="145">
        <v>41214</v>
      </c>
      <c r="J113" s="158">
        <f t="shared" si="1"/>
        <v>5.5338372505019384E-2</v>
      </c>
    </row>
    <row r="114" spans="1:10" x14ac:dyDescent="0.2">
      <c r="A114" s="137"/>
      <c r="B114" s="134" t="s">
        <v>559</v>
      </c>
      <c r="C114" s="135">
        <v>3602.46</v>
      </c>
      <c r="D114" s="135">
        <v>0.79</v>
      </c>
      <c r="E114" s="135">
        <v>1.99</v>
      </c>
      <c r="F114" s="135">
        <v>3.44</v>
      </c>
      <c r="G114" s="135">
        <v>5.84</v>
      </c>
      <c r="H114" s="136">
        <v>5.84</v>
      </c>
      <c r="I114" s="145">
        <v>41244</v>
      </c>
      <c r="J114" s="158">
        <f t="shared" si="1"/>
        <v>5.8385947181474496E-2</v>
      </c>
    </row>
    <row r="115" spans="1:10" x14ac:dyDescent="0.2">
      <c r="A115" s="117">
        <v>2013</v>
      </c>
      <c r="B115" s="138" t="s">
        <v>548</v>
      </c>
      <c r="C115" s="135">
        <v>3633.44</v>
      </c>
      <c r="D115" s="135">
        <v>0.86</v>
      </c>
      <c r="E115" s="135">
        <v>2.27</v>
      </c>
      <c r="F115" s="135">
        <v>3.88</v>
      </c>
      <c r="G115" s="135">
        <v>0.86</v>
      </c>
      <c r="H115" s="136">
        <v>6.15</v>
      </c>
      <c r="I115" s="145">
        <v>41275</v>
      </c>
      <c r="J115" s="158">
        <f t="shared" si="1"/>
        <v>6.1543360825525362E-2</v>
      </c>
    </row>
    <row r="116" spans="1:10" x14ac:dyDescent="0.2">
      <c r="A116" s="117"/>
      <c r="B116" s="138" t="s">
        <v>549</v>
      </c>
      <c r="C116" s="135">
        <v>3655.24</v>
      </c>
      <c r="D116" s="135">
        <v>0.6</v>
      </c>
      <c r="E116" s="135">
        <v>2.27</v>
      </c>
      <c r="F116" s="135">
        <v>4.08</v>
      </c>
      <c r="G116" s="135">
        <v>1.47</v>
      </c>
      <c r="H116" s="136">
        <v>6.31</v>
      </c>
      <c r="I116" s="145">
        <v>41306</v>
      </c>
      <c r="J116" s="158">
        <f t="shared" si="1"/>
        <v>6.3129146440423556E-2</v>
      </c>
    </row>
    <row r="117" spans="1:10" x14ac:dyDescent="0.2">
      <c r="A117" s="117"/>
      <c r="B117" s="138" t="s">
        <v>550</v>
      </c>
      <c r="C117" s="135">
        <v>3672.42</v>
      </c>
      <c r="D117" s="135">
        <v>0.47</v>
      </c>
      <c r="E117" s="135">
        <v>1.94</v>
      </c>
      <c r="F117" s="135">
        <v>3.97</v>
      </c>
      <c r="G117" s="135">
        <v>1.94</v>
      </c>
      <c r="H117" s="136">
        <v>6.59</v>
      </c>
      <c r="I117" s="145">
        <v>41334</v>
      </c>
      <c r="J117" s="158">
        <f t="shared" si="1"/>
        <v>6.588765923358908E-2</v>
      </c>
    </row>
    <row r="118" spans="1:10" x14ac:dyDescent="0.2">
      <c r="A118" s="139"/>
      <c r="B118" s="140" t="s">
        <v>551</v>
      </c>
      <c r="C118" s="135">
        <v>3692.62</v>
      </c>
      <c r="D118" s="135">
        <v>0.55000000000000004</v>
      </c>
      <c r="E118" s="135">
        <v>1.63</v>
      </c>
      <c r="F118" s="135">
        <v>3.93</v>
      </c>
      <c r="G118" s="135">
        <v>2.5</v>
      </c>
      <c r="H118" s="136">
        <v>6.49</v>
      </c>
      <c r="I118" s="145">
        <v>41365</v>
      </c>
      <c r="J118" s="158">
        <f t="shared" si="1"/>
        <v>6.4935139842997369E-2</v>
      </c>
    </row>
    <row r="119" spans="1:10" x14ac:dyDescent="0.2">
      <c r="A119" s="117"/>
      <c r="B119" s="138" t="s">
        <v>552</v>
      </c>
      <c r="C119" s="135">
        <v>3706.28</v>
      </c>
      <c r="D119" s="135">
        <v>0.37</v>
      </c>
      <c r="E119" s="135">
        <v>1.4</v>
      </c>
      <c r="F119" s="135">
        <v>3.69</v>
      </c>
      <c r="G119" s="135">
        <v>2.88</v>
      </c>
      <c r="H119" s="136">
        <v>6.5</v>
      </c>
      <c r="I119" s="145">
        <v>41395</v>
      </c>
      <c r="J119" s="158">
        <f t="shared" si="1"/>
        <v>6.5041351287665972E-2</v>
      </c>
    </row>
    <row r="120" spans="1:10" x14ac:dyDescent="0.2">
      <c r="A120" s="117"/>
      <c r="B120" s="138" t="s">
        <v>553</v>
      </c>
      <c r="C120" s="135">
        <v>3715.92</v>
      </c>
      <c r="D120" s="135">
        <v>0.26</v>
      </c>
      <c r="E120" s="135">
        <v>1.18</v>
      </c>
      <c r="F120" s="135">
        <v>3.15</v>
      </c>
      <c r="G120" s="135">
        <v>3.15</v>
      </c>
      <c r="H120" s="136">
        <v>6.7</v>
      </c>
      <c r="I120" s="145">
        <v>41426</v>
      </c>
      <c r="J120" s="158">
        <f t="shared" si="1"/>
        <v>6.6959158358983917E-2</v>
      </c>
    </row>
    <row r="121" spans="1:10" x14ac:dyDescent="0.2">
      <c r="A121" s="139"/>
      <c r="B121" s="140" t="s">
        <v>554</v>
      </c>
      <c r="C121" s="135">
        <v>3717.03</v>
      </c>
      <c r="D121" s="135">
        <v>0.03</v>
      </c>
      <c r="E121" s="135">
        <v>0.66</v>
      </c>
      <c r="F121" s="135">
        <v>2.2999999999999998</v>
      </c>
      <c r="G121" s="135">
        <v>3.18</v>
      </c>
      <c r="H121" s="136">
        <v>6.27</v>
      </c>
      <c r="I121" s="145">
        <v>41456</v>
      </c>
      <c r="J121" s="158">
        <f t="shared" si="1"/>
        <v>6.2706921691397355E-2</v>
      </c>
    </row>
    <row r="122" spans="1:10" x14ac:dyDescent="0.2">
      <c r="A122" s="139"/>
      <c r="B122" s="140" t="s">
        <v>555</v>
      </c>
      <c r="C122" s="135">
        <v>3725.95</v>
      </c>
      <c r="D122" s="135">
        <v>0.24</v>
      </c>
      <c r="E122" s="135">
        <v>0.53</v>
      </c>
      <c r="F122" s="135">
        <v>1.93</v>
      </c>
      <c r="G122" s="135">
        <v>3.43</v>
      </c>
      <c r="H122" s="136">
        <v>6.09</v>
      </c>
      <c r="I122" s="145">
        <v>41487</v>
      </c>
      <c r="J122" s="158">
        <f t="shared" si="1"/>
        <v>6.0907620642133953E-2</v>
      </c>
    </row>
    <row r="123" spans="1:10" x14ac:dyDescent="0.2">
      <c r="A123" s="139"/>
      <c r="B123" s="140" t="s">
        <v>556</v>
      </c>
      <c r="C123" s="135">
        <v>3738.99</v>
      </c>
      <c r="D123" s="135">
        <v>0.35</v>
      </c>
      <c r="E123" s="135">
        <v>0.62</v>
      </c>
      <c r="F123" s="135">
        <v>1.81</v>
      </c>
      <c r="G123" s="135">
        <v>3.79</v>
      </c>
      <c r="H123" s="136">
        <v>5.86</v>
      </c>
      <c r="I123" s="145">
        <v>41518</v>
      </c>
      <c r="J123" s="158">
        <f t="shared" si="1"/>
        <v>5.858620748231913E-2</v>
      </c>
    </row>
    <row r="124" spans="1:10" x14ac:dyDescent="0.2">
      <c r="A124" s="139"/>
      <c r="B124" s="140" t="s">
        <v>557</v>
      </c>
      <c r="C124" s="135">
        <v>3760.3</v>
      </c>
      <c r="D124" s="135">
        <v>0.56999999999999995</v>
      </c>
      <c r="E124" s="135">
        <v>1.1599999999999999</v>
      </c>
      <c r="F124" s="135">
        <v>1.83</v>
      </c>
      <c r="G124" s="135">
        <v>4.38</v>
      </c>
      <c r="H124" s="136">
        <v>5.84</v>
      </c>
      <c r="I124" s="145">
        <v>41548</v>
      </c>
      <c r="J124" s="158">
        <f t="shared" si="1"/>
        <v>5.8374848715134098E-2</v>
      </c>
    </row>
    <row r="125" spans="1:10" x14ac:dyDescent="0.2">
      <c r="A125" s="139"/>
      <c r="B125" s="140" t="s">
        <v>558</v>
      </c>
      <c r="C125" s="135">
        <v>3780.61</v>
      </c>
      <c r="D125" s="135">
        <v>0.54</v>
      </c>
      <c r="E125" s="135">
        <v>1.47</v>
      </c>
      <c r="F125" s="135">
        <v>2.0099999999999998</v>
      </c>
      <c r="G125" s="135">
        <v>4.95</v>
      </c>
      <c r="H125" s="136">
        <v>5.77</v>
      </c>
      <c r="I125" s="145">
        <v>41579</v>
      </c>
      <c r="J125" s="158">
        <f t="shared" si="1"/>
        <v>5.7744067237047725E-2</v>
      </c>
    </row>
    <row r="126" spans="1:10" ht="16" thickBot="1" x14ac:dyDescent="0.25">
      <c r="A126" s="141"/>
      <c r="B126" s="142" t="s">
        <v>559</v>
      </c>
      <c r="C126" s="143">
        <v>3815.39</v>
      </c>
      <c r="D126" s="143">
        <v>0.92</v>
      </c>
      <c r="E126" s="143">
        <v>2.04</v>
      </c>
      <c r="F126" s="143">
        <v>2.68</v>
      </c>
      <c r="G126" s="143">
        <v>5.91</v>
      </c>
      <c r="H126" s="144">
        <v>5.91</v>
      </c>
      <c r="I126" s="145">
        <v>41609</v>
      </c>
      <c r="J126" s="158">
        <f t="shared" si="1"/>
        <v>5.910683255331084E-2</v>
      </c>
    </row>
    <row r="127" spans="1:10" ht="16" thickTop="1" x14ac:dyDescent="0.2">
      <c r="A127" s="117">
        <v>2014</v>
      </c>
      <c r="B127" s="120" t="s">
        <v>548</v>
      </c>
      <c r="C127" s="121">
        <v>3836.37</v>
      </c>
      <c r="D127" s="121">
        <v>0.55000000000000004</v>
      </c>
      <c r="E127" s="122">
        <v>2.02</v>
      </c>
      <c r="F127" s="121">
        <v>3.21</v>
      </c>
      <c r="G127" s="121">
        <v>0.55000000000000004</v>
      </c>
      <c r="H127" s="127">
        <v>5.59</v>
      </c>
      <c r="I127" s="145">
        <v>41640</v>
      </c>
      <c r="J127" s="158">
        <f t="shared" si="1"/>
        <v>5.5850653925756166E-2</v>
      </c>
    </row>
    <row r="128" spans="1:10" x14ac:dyDescent="0.2">
      <c r="A128" s="124"/>
      <c r="B128" s="120" t="s">
        <v>549</v>
      </c>
      <c r="C128" s="121">
        <v>3862.84</v>
      </c>
      <c r="D128" s="121">
        <v>0.69</v>
      </c>
      <c r="E128" s="122">
        <v>2.1800000000000002</v>
      </c>
      <c r="F128" s="121">
        <v>3.67</v>
      </c>
      <c r="G128" s="121">
        <v>1.24</v>
      </c>
      <c r="H128" s="127">
        <v>5.68</v>
      </c>
      <c r="I128" s="145">
        <v>41671</v>
      </c>
      <c r="J128" s="158">
        <f t="shared" si="1"/>
        <v>5.6795176240137524E-2</v>
      </c>
    </row>
    <row r="129" spans="1:10" x14ac:dyDescent="0.2">
      <c r="A129" s="124"/>
      <c r="B129" s="120" t="s">
        <v>550</v>
      </c>
      <c r="C129" s="121">
        <v>3898.38</v>
      </c>
      <c r="D129" s="121">
        <v>0.92</v>
      </c>
      <c r="E129" s="122">
        <v>2.1800000000000002</v>
      </c>
      <c r="F129" s="121">
        <v>4.26</v>
      </c>
      <c r="G129" s="121">
        <v>2.1800000000000002</v>
      </c>
      <c r="H129" s="127">
        <v>6.15</v>
      </c>
      <c r="I129" s="145">
        <v>41699</v>
      </c>
      <c r="J129" s="158">
        <f t="shared" si="1"/>
        <v>6.1528910091982913E-2</v>
      </c>
    </row>
    <row r="130" spans="1:10" x14ac:dyDescent="0.2">
      <c r="A130" s="124"/>
      <c r="B130" s="120" t="s">
        <v>551</v>
      </c>
      <c r="C130" s="121">
        <v>3924.5</v>
      </c>
      <c r="D130" s="121">
        <v>0.67</v>
      </c>
      <c r="E130" s="122">
        <v>2.2999999999999998</v>
      </c>
      <c r="F130" s="121">
        <v>4.37</v>
      </c>
      <c r="G130" s="121">
        <v>2.86</v>
      </c>
      <c r="H130" s="127">
        <v>6.28</v>
      </c>
      <c r="I130" s="145">
        <v>41730</v>
      </c>
      <c r="J130" s="158">
        <f t="shared" si="1"/>
        <v>6.2795521878774352E-2</v>
      </c>
    </row>
    <row r="131" spans="1:10" x14ac:dyDescent="0.2">
      <c r="A131" s="124"/>
      <c r="B131" s="120" t="s">
        <v>552</v>
      </c>
      <c r="C131" s="121">
        <v>3942.55</v>
      </c>
      <c r="D131" s="121">
        <v>0.46</v>
      </c>
      <c r="E131" s="122">
        <v>2.06</v>
      </c>
      <c r="F131" s="121">
        <v>4.28</v>
      </c>
      <c r="G131" s="121">
        <v>3.33</v>
      </c>
      <c r="H131" s="127">
        <v>6.37</v>
      </c>
      <c r="I131" s="145">
        <v>41760</v>
      </c>
      <c r="J131" s="158">
        <f t="shared" si="1"/>
        <v>6.3748556504095832E-2</v>
      </c>
    </row>
    <row r="132" spans="1:10" x14ac:dyDescent="0.2">
      <c r="A132" s="124"/>
      <c r="B132" s="120" t="s">
        <v>553</v>
      </c>
      <c r="C132" s="121">
        <v>3958.32</v>
      </c>
      <c r="D132" s="121">
        <v>0.4</v>
      </c>
      <c r="E132" s="122">
        <v>1.54</v>
      </c>
      <c r="F132" s="121">
        <v>3.75</v>
      </c>
      <c r="G132" s="121">
        <v>3.75</v>
      </c>
      <c r="H132" s="127">
        <v>6.52</v>
      </c>
      <c r="I132" s="145">
        <v>41791</v>
      </c>
      <c r="J132" s="158">
        <f t="shared" si="1"/>
        <v>6.5232836013692452E-2</v>
      </c>
    </row>
    <row r="133" spans="1:10" x14ac:dyDescent="0.2">
      <c r="A133" s="124"/>
      <c r="B133" s="120" t="s">
        <v>554</v>
      </c>
      <c r="C133" s="121">
        <v>3958.72</v>
      </c>
      <c r="D133" s="121">
        <v>0.01</v>
      </c>
      <c r="E133" s="122">
        <v>0.87</v>
      </c>
      <c r="F133" s="121">
        <v>3.19</v>
      </c>
      <c r="G133" s="121">
        <v>3.76</v>
      </c>
      <c r="H133" s="127">
        <v>6.5</v>
      </c>
      <c r="I133" s="145">
        <v>41821</v>
      </c>
      <c r="J133" s="158">
        <f t="shared" si="1"/>
        <v>6.5022343107265623E-2</v>
      </c>
    </row>
    <row r="134" spans="1:10" x14ac:dyDescent="0.2">
      <c r="A134" s="124"/>
      <c r="B134" s="120" t="s">
        <v>555</v>
      </c>
      <c r="C134" s="121">
        <v>3968.62</v>
      </c>
      <c r="D134" s="121">
        <v>0.25</v>
      </c>
      <c r="E134" s="122">
        <v>0.66</v>
      </c>
      <c r="F134" s="121">
        <v>2.74</v>
      </c>
      <c r="G134" s="121">
        <v>4.0199999999999996</v>
      </c>
      <c r="H134" s="127">
        <v>6.51</v>
      </c>
      <c r="I134" s="145">
        <v>41852</v>
      </c>
      <c r="J134" s="158">
        <f t="shared" si="1"/>
        <v>6.5129698466163122E-2</v>
      </c>
    </row>
    <row r="135" spans="1:10" x14ac:dyDescent="0.2">
      <c r="A135" s="124"/>
      <c r="B135" s="120" t="s">
        <v>556</v>
      </c>
      <c r="C135" s="121">
        <v>3991.24</v>
      </c>
      <c r="D135" s="121">
        <v>0.56999999999999995</v>
      </c>
      <c r="E135" s="122">
        <v>0.83</v>
      </c>
      <c r="F135" s="121">
        <v>2.38</v>
      </c>
      <c r="G135" s="121">
        <v>4.6100000000000003</v>
      </c>
      <c r="H135" s="127">
        <v>6.75</v>
      </c>
      <c r="I135" s="145">
        <v>41883</v>
      </c>
      <c r="J135" s="158">
        <f t="shared" si="1"/>
        <v>6.7464743152562567E-2</v>
      </c>
    </row>
    <row r="136" spans="1:10" x14ac:dyDescent="0.2">
      <c r="A136" s="124"/>
      <c r="B136" s="120" t="s">
        <v>557</v>
      </c>
      <c r="C136" s="121">
        <v>4008</v>
      </c>
      <c r="D136" s="121">
        <v>0.42</v>
      </c>
      <c r="E136" s="122">
        <v>1.24</v>
      </c>
      <c r="F136" s="121">
        <v>2.13</v>
      </c>
      <c r="G136" s="121">
        <v>5.05</v>
      </c>
      <c r="H136" s="127">
        <v>6.59</v>
      </c>
      <c r="I136" s="145">
        <v>41913</v>
      </c>
      <c r="J136" s="158">
        <f t="shared" si="1"/>
        <v>6.5872403797569312E-2</v>
      </c>
    </row>
    <row r="137" spans="1:10" x14ac:dyDescent="0.2">
      <c r="A137" s="124"/>
      <c r="B137" s="120" t="s">
        <v>558</v>
      </c>
      <c r="C137" s="121">
        <v>4028.44</v>
      </c>
      <c r="D137" s="121">
        <v>0.51</v>
      </c>
      <c r="E137" s="122">
        <v>1.51</v>
      </c>
      <c r="F137" s="121">
        <v>2.1800000000000002</v>
      </c>
      <c r="G137" s="121">
        <v>5.58</v>
      </c>
      <c r="H137" s="127">
        <v>6.56</v>
      </c>
      <c r="I137" s="145">
        <v>41944</v>
      </c>
      <c r="J137" s="158">
        <f t="shared" si="1"/>
        <v>6.5552913418734038E-2</v>
      </c>
    </row>
    <row r="138" spans="1:10" x14ac:dyDescent="0.2">
      <c r="A138" s="124"/>
      <c r="B138" s="120" t="s">
        <v>559</v>
      </c>
      <c r="C138" s="121">
        <v>4059.86</v>
      </c>
      <c r="D138" s="121">
        <v>0.78</v>
      </c>
      <c r="E138" s="122">
        <v>1.72</v>
      </c>
      <c r="F138" s="121">
        <v>2.57</v>
      </c>
      <c r="G138" s="121">
        <v>6.41</v>
      </c>
      <c r="H138" s="127">
        <v>6.41</v>
      </c>
      <c r="I138" s="145">
        <v>41974</v>
      </c>
      <c r="J138" s="158">
        <f t="shared" si="1"/>
        <v>6.4074707959081545E-2</v>
      </c>
    </row>
    <row r="139" spans="1:10" x14ac:dyDescent="0.2">
      <c r="A139" s="117">
        <v>2015</v>
      </c>
      <c r="B139" s="120" t="s">
        <v>548</v>
      </c>
      <c r="C139" s="121">
        <v>4110.2</v>
      </c>
      <c r="D139" s="121">
        <v>1.24</v>
      </c>
      <c r="E139" s="122">
        <v>2.5499999999999998</v>
      </c>
      <c r="F139" s="121">
        <v>3.83</v>
      </c>
      <c r="G139" s="121">
        <v>1.24</v>
      </c>
      <c r="H139" s="127">
        <v>7.14</v>
      </c>
      <c r="I139" s="145">
        <v>42005</v>
      </c>
      <c r="J139" s="158">
        <f t="shared" si="1"/>
        <v>7.1377369753178099E-2</v>
      </c>
    </row>
    <row r="140" spans="1:10" x14ac:dyDescent="0.2">
      <c r="A140" s="124"/>
      <c r="B140" s="120" t="s">
        <v>549</v>
      </c>
      <c r="C140" s="121">
        <v>4160.34</v>
      </c>
      <c r="D140" s="121">
        <v>1.22</v>
      </c>
      <c r="E140" s="122">
        <v>3.27</v>
      </c>
      <c r="F140" s="121">
        <v>4.83</v>
      </c>
      <c r="G140" s="121">
        <v>2.48</v>
      </c>
      <c r="H140" s="127">
        <v>7.7</v>
      </c>
      <c r="I140" s="145">
        <v>42036</v>
      </c>
      <c r="J140" s="158">
        <f t="shared" si="1"/>
        <v>7.7015874330803147E-2</v>
      </c>
    </row>
    <row r="141" spans="1:10" x14ac:dyDescent="0.2">
      <c r="A141" s="124"/>
      <c r="B141" s="120" t="s">
        <v>550</v>
      </c>
      <c r="C141" s="121">
        <v>4215.26</v>
      </c>
      <c r="D141" s="121">
        <v>1.32</v>
      </c>
      <c r="E141" s="122">
        <v>3.83</v>
      </c>
      <c r="F141" s="121">
        <v>5.61</v>
      </c>
      <c r="G141" s="121">
        <v>3.83</v>
      </c>
      <c r="H141" s="127">
        <v>8.1300000000000008</v>
      </c>
      <c r="I141" s="145">
        <v>42064</v>
      </c>
      <c r="J141" s="158">
        <f t="shared" si="1"/>
        <v>8.1285046609104405E-2</v>
      </c>
    </row>
    <row r="142" spans="1:10" x14ac:dyDescent="0.2">
      <c r="A142" s="124"/>
      <c r="B142" s="120" t="s">
        <v>551</v>
      </c>
      <c r="C142" s="121">
        <v>4245.1899999999996</v>
      </c>
      <c r="D142" s="121">
        <v>0.71</v>
      </c>
      <c r="E142" s="122">
        <v>3.28</v>
      </c>
      <c r="F142" s="121">
        <v>5.92</v>
      </c>
      <c r="G142" s="121">
        <v>4.5599999999999996</v>
      </c>
      <c r="H142" s="127">
        <v>8.17</v>
      </c>
      <c r="I142" s="145">
        <v>42095</v>
      </c>
      <c r="J142" s="158">
        <f t="shared" si="1"/>
        <v>8.1714868136068208E-2</v>
      </c>
    </row>
    <row r="143" spans="1:10" x14ac:dyDescent="0.2">
      <c r="A143" s="124"/>
      <c r="B143" s="120" t="s">
        <v>552</v>
      </c>
      <c r="C143" s="121">
        <v>4276.6000000000004</v>
      </c>
      <c r="D143" s="121">
        <v>0.74</v>
      </c>
      <c r="E143" s="122">
        <v>2.79</v>
      </c>
      <c r="F143" s="121">
        <v>6.16</v>
      </c>
      <c r="G143" s="121">
        <v>5.34</v>
      </c>
      <c r="H143" s="127">
        <v>8.4700000000000006</v>
      </c>
      <c r="I143" s="145">
        <v>42125</v>
      </c>
      <c r="J143" s="158">
        <f t="shared" si="1"/>
        <v>8.4729426386475737E-2</v>
      </c>
    </row>
    <row r="144" spans="1:10" x14ac:dyDescent="0.2">
      <c r="A144" s="124"/>
      <c r="B144" s="120" t="s">
        <v>553</v>
      </c>
      <c r="C144" s="121">
        <v>4310.3900000000003</v>
      </c>
      <c r="D144" s="121">
        <v>0.79</v>
      </c>
      <c r="E144" s="122">
        <v>2.2599999999999998</v>
      </c>
      <c r="F144" s="121">
        <v>6.17</v>
      </c>
      <c r="G144" s="121">
        <v>6.17</v>
      </c>
      <c r="H144" s="127">
        <v>8.89</v>
      </c>
      <c r="I144" s="145">
        <v>42156</v>
      </c>
      <c r="J144" s="158">
        <f t="shared" si="1"/>
        <v>8.894429960185124E-2</v>
      </c>
    </row>
    <row r="145" spans="1:10" x14ac:dyDescent="0.2">
      <c r="A145" s="124"/>
      <c r="B145" s="120" t="s">
        <v>554</v>
      </c>
      <c r="C145" s="121">
        <v>4337.1099999999997</v>
      </c>
      <c r="D145" s="121">
        <v>0.62</v>
      </c>
      <c r="E145" s="122">
        <v>2.17</v>
      </c>
      <c r="F145" s="121">
        <v>5.52</v>
      </c>
      <c r="G145" s="121">
        <v>6.83</v>
      </c>
      <c r="H145" s="127">
        <v>9.56</v>
      </c>
      <c r="I145" s="145">
        <v>42186</v>
      </c>
      <c r="J145" s="158">
        <f t="shared" si="1"/>
        <v>9.5583926117532858E-2</v>
      </c>
    </row>
    <row r="146" spans="1:10" x14ac:dyDescent="0.2">
      <c r="A146" s="124"/>
      <c r="B146" s="120" t="s">
        <v>555</v>
      </c>
      <c r="C146" s="121">
        <v>4346.6499999999996</v>
      </c>
      <c r="D146" s="121">
        <v>0.22</v>
      </c>
      <c r="E146" s="122">
        <v>1.64</v>
      </c>
      <c r="F146" s="121">
        <v>4.4800000000000004</v>
      </c>
      <c r="G146" s="121">
        <v>7.06</v>
      </c>
      <c r="H146" s="127">
        <v>9.5299999999999994</v>
      </c>
      <c r="I146" s="145">
        <v>42217</v>
      </c>
      <c r="J146" s="158">
        <f t="shared" si="1"/>
        <v>9.5254773699673834E-2</v>
      </c>
    </row>
    <row r="147" spans="1:10" x14ac:dyDescent="0.2">
      <c r="A147" s="124"/>
      <c r="B147" s="120" t="s">
        <v>556</v>
      </c>
      <c r="C147" s="121">
        <v>4370.12</v>
      </c>
      <c r="D147" s="121">
        <v>0.54</v>
      </c>
      <c r="E147" s="122">
        <v>1.39</v>
      </c>
      <c r="F147" s="121">
        <v>3.67</v>
      </c>
      <c r="G147" s="121">
        <v>7.64</v>
      </c>
      <c r="H147" s="127">
        <v>9.49</v>
      </c>
      <c r="I147" s="145">
        <v>42248</v>
      </c>
      <c r="J147" s="158">
        <f t="shared" si="1"/>
        <v>9.4927892083663146E-2</v>
      </c>
    </row>
    <row r="148" spans="1:10" x14ac:dyDescent="0.2">
      <c r="A148" s="124"/>
      <c r="B148" s="120" t="s">
        <v>557</v>
      </c>
      <c r="C148" s="121">
        <v>4405.95</v>
      </c>
      <c r="D148" s="121">
        <v>0.82</v>
      </c>
      <c r="E148" s="122">
        <v>1.59</v>
      </c>
      <c r="F148" s="121">
        <v>3.79</v>
      </c>
      <c r="G148" s="121">
        <v>8.52</v>
      </c>
      <c r="H148" s="127">
        <v>9.93</v>
      </c>
      <c r="I148" s="145">
        <v>42278</v>
      </c>
      <c r="J148" s="158">
        <f t="shared" ref="J148:J211" si="2">C148/C136-1</f>
        <v>9.9288922155688519E-2</v>
      </c>
    </row>
    <row r="149" spans="1:10" x14ac:dyDescent="0.2">
      <c r="A149" s="124"/>
      <c r="B149" s="120" t="s">
        <v>558</v>
      </c>
      <c r="C149" s="121">
        <v>4450.45</v>
      </c>
      <c r="D149" s="121">
        <v>1.01</v>
      </c>
      <c r="E149" s="122">
        <v>2.39</v>
      </c>
      <c r="F149" s="121">
        <v>4.07</v>
      </c>
      <c r="G149" s="121">
        <v>9.6199999999999992</v>
      </c>
      <c r="H149" s="127">
        <v>10.48</v>
      </c>
      <c r="I149" s="145">
        <v>42309</v>
      </c>
      <c r="J149" s="158">
        <f t="shared" si="2"/>
        <v>0.10475767294535854</v>
      </c>
    </row>
    <row r="150" spans="1:10" x14ac:dyDescent="0.2">
      <c r="A150" s="124"/>
      <c r="B150" s="120" t="s">
        <v>559</v>
      </c>
      <c r="C150" s="121">
        <v>4493.17</v>
      </c>
      <c r="D150" s="121">
        <v>0.96</v>
      </c>
      <c r="E150" s="122">
        <v>2.82</v>
      </c>
      <c r="F150" s="121">
        <v>4.24</v>
      </c>
      <c r="G150" s="121">
        <v>10.67</v>
      </c>
      <c r="H150" s="127">
        <v>10.67</v>
      </c>
      <c r="I150" s="145">
        <v>42339</v>
      </c>
      <c r="J150" s="158">
        <f t="shared" si="2"/>
        <v>0.1067302813397506</v>
      </c>
    </row>
    <row r="151" spans="1:10" x14ac:dyDescent="0.2">
      <c r="A151" s="117">
        <v>2016</v>
      </c>
      <c r="B151" s="120" t="s">
        <v>548</v>
      </c>
      <c r="C151" s="121">
        <v>4550.2299999999996</v>
      </c>
      <c r="D151" s="121">
        <v>1.27</v>
      </c>
      <c r="E151" s="122">
        <v>3.27</v>
      </c>
      <c r="F151" s="121">
        <v>4.91</v>
      </c>
      <c r="G151" s="121">
        <v>1.27</v>
      </c>
      <c r="H151" s="127">
        <v>10.71</v>
      </c>
      <c r="I151" s="145">
        <v>42370</v>
      </c>
      <c r="J151" s="158">
        <f t="shared" si="2"/>
        <v>0.10705805070312868</v>
      </c>
    </row>
    <row r="152" spans="1:10" x14ac:dyDescent="0.2">
      <c r="A152" s="124"/>
      <c r="B152" s="120" t="s">
        <v>549</v>
      </c>
      <c r="C152" s="121">
        <v>4591.18</v>
      </c>
      <c r="D152" s="121">
        <v>0.9</v>
      </c>
      <c r="E152" s="122">
        <v>3.16</v>
      </c>
      <c r="F152" s="121">
        <v>5.63</v>
      </c>
      <c r="G152" s="121">
        <v>2.1800000000000002</v>
      </c>
      <c r="H152" s="127">
        <v>10.36</v>
      </c>
      <c r="I152" s="145">
        <v>42401</v>
      </c>
      <c r="J152" s="158">
        <f t="shared" si="2"/>
        <v>0.10355884374834745</v>
      </c>
    </row>
    <row r="153" spans="1:10" x14ac:dyDescent="0.2">
      <c r="A153" s="124"/>
      <c r="B153" s="120" t="s">
        <v>550</v>
      </c>
      <c r="C153" s="121">
        <v>4610.92</v>
      </c>
      <c r="D153" s="121">
        <v>0.43</v>
      </c>
      <c r="E153" s="122">
        <v>2.62</v>
      </c>
      <c r="F153" s="121">
        <v>5.51</v>
      </c>
      <c r="G153" s="121">
        <v>2.62</v>
      </c>
      <c r="H153" s="127">
        <v>9.39</v>
      </c>
      <c r="I153" s="145">
        <v>42430</v>
      </c>
      <c r="J153" s="158">
        <f t="shared" si="2"/>
        <v>9.3863723708620617E-2</v>
      </c>
    </row>
    <row r="154" spans="1:10" x14ac:dyDescent="0.2">
      <c r="A154" s="124"/>
      <c r="B154" s="120" t="s">
        <v>551</v>
      </c>
      <c r="C154" s="121">
        <v>4639.05</v>
      </c>
      <c r="D154" s="121">
        <v>0.61</v>
      </c>
      <c r="E154" s="122">
        <v>1.95</v>
      </c>
      <c r="F154" s="121">
        <v>5.29</v>
      </c>
      <c r="G154" s="121">
        <v>3.25</v>
      </c>
      <c r="H154" s="127">
        <v>9.2799999999999994</v>
      </c>
      <c r="I154" s="145">
        <v>42461</v>
      </c>
      <c r="J154" s="158">
        <f t="shared" si="2"/>
        <v>9.277794397895045E-2</v>
      </c>
    </row>
    <row r="155" spans="1:10" x14ac:dyDescent="0.2">
      <c r="A155" s="124"/>
      <c r="B155" s="120" t="s">
        <v>552</v>
      </c>
      <c r="C155" s="121">
        <v>4675.2299999999996</v>
      </c>
      <c r="D155" s="121">
        <v>0.78</v>
      </c>
      <c r="E155" s="122">
        <v>1.83</v>
      </c>
      <c r="F155" s="121">
        <v>5.05</v>
      </c>
      <c r="G155" s="121">
        <v>4.05</v>
      </c>
      <c r="H155" s="127">
        <v>9.32</v>
      </c>
      <c r="I155" s="145">
        <v>42491</v>
      </c>
      <c r="J155" s="158">
        <f t="shared" si="2"/>
        <v>9.3211897301594515E-2</v>
      </c>
    </row>
    <row r="156" spans="1:10" x14ac:dyDescent="0.2">
      <c r="A156" s="124"/>
      <c r="B156" s="120" t="s">
        <v>553</v>
      </c>
      <c r="C156" s="121">
        <v>4691.59</v>
      </c>
      <c r="D156" s="121">
        <v>0.35</v>
      </c>
      <c r="E156" s="122">
        <v>1.75</v>
      </c>
      <c r="F156" s="121">
        <v>4.42</v>
      </c>
      <c r="G156" s="121">
        <v>4.42</v>
      </c>
      <c r="H156" s="127">
        <v>8.84</v>
      </c>
      <c r="I156" s="145">
        <v>42522</v>
      </c>
      <c r="J156" s="158">
        <f t="shared" si="2"/>
        <v>8.8437473175281056E-2</v>
      </c>
    </row>
    <row r="157" spans="1:10" x14ac:dyDescent="0.2">
      <c r="A157" s="124"/>
      <c r="B157" s="120" t="s">
        <v>554</v>
      </c>
      <c r="C157" s="121">
        <v>4715.99</v>
      </c>
      <c r="D157" s="121">
        <v>0.52</v>
      </c>
      <c r="E157" s="122">
        <v>1.66</v>
      </c>
      <c r="F157" s="121">
        <v>3.64</v>
      </c>
      <c r="G157" s="121">
        <v>4.96</v>
      </c>
      <c r="H157" s="127">
        <v>8.74</v>
      </c>
      <c r="I157" s="145">
        <v>42552</v>
      </c>
      <c r="J157" s="158">
        <f t="shared" si="2"/>
        <v>8.7357710549190726E-2</v>
      </c>
    </row>
    <row r="158" spans="1:10" x14ac:dyDescent="0.2">
      <c r="A158" s="124"/>
      <c r="B158" s="120" t="s">
        <v>555</v>
      </c>
      <c r="C158" s="121">
        <v>4736.74</v>
      </c>
      <c r="D158" s="121">
        <v>0.44</v>
      </c>
      <c r="E158" s="122">
        <v>1.32</v>
      </c>
      <c r="F158" s="121">
        <v>3.17</v>
      </c>
      <c r="G158" s="121">
        <v>5.42</v>
      </c>
      <c r="H158" s="127">
        <v>8.9700000000000006</v>
      </c>
      <c r="I158" s="145">
        <v>42583</v>
      </c>
      <c r="J158" s="158">
        <f t="shared" si="2"/>
        <v>8.9744976016012279E-2</v>
      </c>
    </row>
    <row r="159" spans="1:10" x14ac:dyDescent="0.2">
      <c r="A159" s="124"/>
      <c r="B159" s="120" t="s">
        <v>556</v>
      </c>
      <c r="C159" s="121">
        <v>4740.53</v>
      </c>
      <c r="D159" s="121">
        <v>0.08</v>
      </c>
      <c r="E159" s="122">
        <v>1.04</v>
      </c>
      <c r="F159" s="121">
        <v>2.81</v>
      </c>
      <c r="G159" s="121">
        <v>5.51</v>
      </c>
      <c r="H159" s="127">
        <v>8.48</v>
      </c>
      <c r="I159" s="145">
        <v>42614</v>
      </c>
      <c r="J159" s="158">
        <f t="shared" si="2"/>
        <v>8.4759686232872333E-2</v>
      </c>
    </row>
    <row r="160" spans="1:10" x14ac:dyDescent="0.2">
      <c r="A160" s="124"/>
      <c r="B160" s="120" t="s">
        <v>557</v>
      </c>
      <c r="C160" s="121">
        <v>4752.8599999999997</v>
      </c>
      <c r="D160" s="121">
        <v>0.26</v>
      </c>
      <c r="E160" s="122">
        <v>0.78</v>
      </c>
      <c r="F160" s="121">
        <v>2.4500000000000002</v>
      </c>
      <c r="G160" s="121">
        <v>5.78</v>
      </c>
      <c r="H160" s="127">
        <v>7.87</v>
      </c>
      <c r="I160" s="145">
        <v>42644</v>
      </c>
      <c r="J160" s="158">
        <f t="shared" si="2"/>
        <v>7.8736708314892434E-2</v>
      </c>
    </row>
    <row r="161" spans="1:10" x14ac:dyDescent="0.2">
      <c r="A161" s="124"/>
      <c r="B161" s="120" t="s">
        <v>558</v>
      </c>
      <c r="C161" s="121">
        <v>4761.42</v>
      </c>
      <c r="D161" s="121">
        <v>0.18</v>
      </c>
      <c r="E161" s="122">
        <v>0.52</v>
      </c>
      <c r="F161" s="121">
        <v>1.84</v>
      </c>
      <c r="G161" s="121">
        <v>5.97</v>
      </c>
      <c r="H161" s="127">
        <v>6.99</v>
      </c>
      <c r="I161" s="145">
        <v>42675</v>
      </c>
      <c r="J161" s="158">
        <f t="shared" si="2"/>
        <v>6.9873832983181616E-2</v>
      </c>
    </row>
    <row r="162" spans="1:10" x14ac:dyDescent="0.2">
      <c r="A162" s="124"/>
      <c r="B162" s="120" t="s">
        <v>559</v>
      </c>
      <c r="C162" s="121">
        <v>4775.7</v>
      </c>
      <c r="D162" s="121">
        <v>0.3</v>
      </c>
      <c r="E162" s="122">
        <v>0.74</v>
      </c>
      <c r="F162" s="121">
        <v>1.79</v>
      </c>
      <c r="G162" s="121">
        <v>6.29</v>
      </c>
      <c r="H162" s="127">
        <v>6.29</v>
      </c>
      <c r="I162" s="145">
        <v>42705</v>
      </c>
      <c r="J162" s="158">
        <f t="shared" si="2"/>
        <v>6.2879882132213849E-2</v>
      </c>
    </row>
    <row r="163" spans="1:10" x14ac:dyDescent="0.2">
      <c r="A163" s="117">
        <v>2017</v>
      </c>
      <c r="B163" s="120" t="s">
        <v>548</v>
      </c>
      <c r="C163" s="121">
        <v>4793.8500000000004</v>
      </c>
      <c r="D163" s="121">
        <v>0.38</v>
      </c>
      <c r="E163" s="122">
        <v>0.86</v>
      </c>
      <c r="F163" s="121">
        <v>1.65</v>
      </c>
      <c r="G163" s="121">
        <v>0.38</v>
      </c>
      <c r="H163" s="127">
        <v>5.35</v>
      </c>
      <c r="I163" s="145">
        <v>42736</v>
      </c>
      <c r="J163" s="158">
        <f t="shared" si="2"/>
        <v>5.3540150717656276E-2</v>
      </c>
    </row>
    <row r="164" spans="1:10" x14ac:dyDescent="0.2">
      <c r="A164" s="124"/>
      <c r="B164" s="120" t="s">
        <v>549</v>
      </c>
      <c r="C164" s="121">
        <v>4809.67</v>
      </c>
      <c r="D164" s="121">
        <v>0.33</v>
      </c>
      <c r="E164" s="122">
        <v>1.01</v>
      </c>
      <c r="F164" s="121">
        <v>1.54</v>
      </c>
      <c r="G164" s="121">
        <v>0.71</v>
      </c>
      <c r="H164" s="127">
        <v>4.76</v>
      </c>
      <c r="I164" s="145">
        <v>42767</v>
      </c>
      <c r="J164" s="158">
        <f t="shared" si="2"/>
        <v>4.7589072961635059E-2</v>
      </c>
    </row>
    <row r="165" spans="1:10" x14ac:dyDescent="0.2">
      <c r="A165" s="124"/>
      <c r="B165" s="120" t="s">
        <v>550</v>
      </c>
      <c r="C165" s="121">
        <v>4821.6899999999996</v>
      </c>
      <c r="D165" s="121">
        <v>0.25</v>
      </c>
      <c r="E165" s="122">
        <v>0.96</v>
      </c>
      <c r="F165" s="121">
        <v>1.71</v>
      </c>
      <c r="G165" s="121">
        <v>0.96</v>
      </c>
      <c r="H165" s="127">
        <v>4.57</v>
      </c>
      <c r="I165" s="145">
        <v>42795</v>
      </c>
      <c r="J165" s="158">
        <f t="shared" si="2"/>
        <v>4.5711051156818838E-2</v>
      </c>
    </row>
    <row r="166" spans="1:10" x14ac:dyDescent="0.2">
      <c r="A166" s="124"/>
      <c r="B166" s="120" t="s">
        <v>551</v>
      </c>
      <c r="C166" s="121">
        <v>4828.4399999999996</v>
      </c>
      <c r="D166" s="121">
        <v>0.14000000000000001</v>
      </c>
      <c r="E166" s="122">
        <v>0.72</v>
      </c>
      <c r="F166" s="121">
        <v>1.59</v>
      </c>
      <c r="G166" s="121">
        <v>1.1000000000000001</v>
      </c>
      <c r="H166" s="127">
        <v>4.08</v>
      </c>
      <c r="I166" s="145">
        <v>42826</v>
      </c>
      <c r="J166" s="158">
        <f t="shared" si="2"/>
        <v>4.0825168946228008E-2</v>
      </c>
    </row>
    <row r="167" spans="1:10" x14ac:dyDescent="0.2">
      <c r="A167" s="124"/>
      <c r="B167" s="120" t="s">
        <v>552</v>
      </c>
      <c r="C167" s="121">
        <v>4843.41</v>
      </c>
      <c r="D167" s="121">
        <v>0.31</v>
      </c>
      <c r="E167" s="122">
        <v>0.7</v>
      </c>
      <c r="F167" s="121">
        <v>1.72</v>
      </c>
      <c r="G167" s="121">
        <v>1.42</v>
      </c>
      <c r="H167" s="127">
        <v>3.6</v>
      </c>
      <c r="I167" s="145">
        <v>42856</v>
      </c>
      <c r="J167" s="158">
        <f t="shared" si="2"/>
        <v>3.5972561777709355E-2</v>
      </c>
    </row>
    <row r="168" spans="1:10" x14ac:dyDescent="0.2">
      <c r="A168" s="124"/>
      <c r="B168" s="120" t="s">
        <v>553</v>
      </c>
      <c r="C168" s="121">
        <v>4832.2700000000004</v>
      </c>
      <c r="D168" s="121">
        <v>-0.23</v>
      </c>
      <c r="E168" s="122">
        <v>0.22</v>
      </c>
      <c r="F168" s="121">
        <v>1.18</v>
      </c>
      <c r="G168" s="121">
        <v>1.18</v>
      </c>
      <c r="H168" s="127">
        <v>3</v>
      </c>
      <c r="I168" s="145">
        <v>42887</v>
      </c>
      <c r="J168" s="158">
        <f t="shared" si="2"/>
        <v>2.9985569924055655E-2</v>
      </c>
    </row>
    <row r="169" spans="1:10" x14ac:dyDescent="0.2">
      <c r="A169" s="124"/>
      <c r="B169" s="120" t="s">
        <v>554</v>
      </c>
      <c r="C169" s="121">
        <v>4843.87</v>
      </c>
      <c r="D169" s="121">
        <v>0.24</v>
      </c>
      <c r="E169" s="122">
        <v>0.32</v>
      </c>
      <c r="F169" s="121">
        <v>1.04</v>
      </c>
      <c r="G169" s="121">
        <v>1.43</v>
      </c>
      <c r="H169" s="127">
        <v>2.71</v>
      </c>
      <c r="I169" s="145">
        <v>42917</v>
      </c>
      <c r="J169" s="158">
        <f t="shared" si="2"/>
        <v>2.711625766806125E-2</v>
      </c>
    </row>
    <row r="170" spans="1:10" x14ac:dyDescent="0.2">
      <c r="A170" s="124"/>
      <c r="B170" s="134" t="s">
        <v>555</v>
      </c>
      <c r="C170" s="135">
        <v>4853.07</v>
      </c>
      <c r="D170" s="135">
        <v>0.19</v>
      </c>
      <c r="E170" s="135">
        <v>0.2</v>
      </c>
      <c r="F170" s="135">
        <v>0.9</v>
      </c>
      <c r="G170" s="135">
        <v>1.62</v>
      </c>
      <c r="H170" s="136">
        <v>2.46</v>
      </c>
      <c r="I170" s="145">
        <v>42948</v>
      </c>
      <c r="J170" s="158">
        <f t="shared" si="2"/>
        <v>2.4559084940275255E-2</v>
      </c>
    </row>
    <row r="171" spans="1:10" x14ac:dyDescent="0.2">
      <c r="A171" s="124"/>
      <c r="B171" s="134" t="s">
        <v>556</v>
      </c>
      <c r="C171" s="135">
        <v>4860.83</v>
      </c>
      <c r="D171" s="135">
        <v>0.16</v>
      </c>
      <c r="E171" s="135">
        <v>0.59</v>
      </c>
      <c r="F171" s="135">
        <v>0.81</v>
      </c>
      <c r="G171" s="135">
        <v>1.78</v>
      </c>
      <c r="H171" s="136">
        <v>2.54</v>
      </c>
      <c r="I171" s="145">
        <v>42979</v>
      </c>
      <c r="J171" s="158">
        <f t="shared" si="2"/>
        <v>2.5376909332922803E-2</v>
      </c>
    </row>
    <row r="172" spans="1:10" x14ac:dyDescent="0.2">
      <c r="A172" s="137"/>
      <c r="B172" s="134" t="s">
        <v>557</v>
      </c>
      <c r="C172" s="135">
        <v>4881.25</v>
      </c>
      <c r="D172" s="135">
        <v>0.42</v>
      </c>
      <c r="E172" s="135">
        <v>0.77</v>
      </c>
      <c r="F172" s="135">
        <v>1.0900000000000001</v>
      </c>
      <c r="G172" s="135">
        <v>2.21</v>
      </c>
      <c r="H172" s="136">
        <v>2.7</v>
      </c>
      <c r="I172" s="145">
        <v>43009</v>
      </c>
      <c r="J172" s="158">
        <f t="shared" si="2"/>
        <v>2.7013208888963858E-2</v>
      </c>
    </row>
    <row r="173" spans="1:10" x14ac:dyDescent="0.2">
      <c r="A173" s="137"/>
      <c r="B173" s="134" t="s">
        <v>558</v>
      </c>
      <c r="C173" s="135">
        <v>4894.92</v>
      </c>
      <c r="D173" s="135">
        <v>0.28000000000000003</v>
      </c>
      <c r="E173" s="135">
        <v>0.86</v>
      </c>
      <c r="F173" s="135">
        <v>1.06</v>
      </c>
      <c r="G173" s="135">
        <v>2.5</v>
      </c>
      <c r="H173" s="136">
        <v>2.8</v>
      </c>
      <c r="I173" s="145">
        <v>43040</v>
      </c>
      <c r="J173" s="158">
        <f t="shared" si="2"/>
        <v>2.8037854253563088E-2</v>
      </c>
    </row>
    <row r="174" spans="1:10" x14ac:dyDescent="0.2">
      <c r="A174" s="137"/>
      <c r="B174" s="134" t="s">
        <v>559</v>
      </c>
      <c r="C174" s="135">
        <v>4916.46</v>
      </c>
      <c r="D174" s="135">
        <v>0.44</v>
      </c>
      <c r="E174" s="135">
        <v>1.1399999999999999</v>
      </c>
      <c r="F174" s="135">
        <v>1.74</v>
      </c>
      <c r="G174" s="135">
        <v>2.95</v>
      </c>
      <c r="H174" s="136">
        <v>2.95</v>
      </c>
      <c r="I174" s="145">
        <v>43070</v>
      </c>
      <c r="J174" s="158">
        <f t="shared" si="2"/>
        <v>2.9474213204347066E-2</v>
      </c>
    </row>
    <row r="175" spans="1:10" x14ac:dyDescent="0.2">
      <c r="A175" s="117">
        <v>2018</v>
      </c>
      <c r="B175" s="138" t="s">
        <v>548</v>
      </c>
      <c r="C175" s="135">
        <v>4930.72</v>
      </c>
      <c r="D175" s="135">
        <v>0.28999999999999998</v>
      </c>
      <c r="E175" s="135">
        <v>1.01</v>
      </c>
      <c r="F175" s="135">
        <v>1.79</v>
      </c>
      <c r="G175" s="135">
        <v>0.28999999999999998</v>
      </c>
      <c r="H175" s="136">
        <v>2.86</v>
      </c>
      <c r="I175" s="145">
        <v>43101</v>
      </c>
      <c r="J175" s="158">
        <f t="shared" si="2"/>
        <v>2.8551164512865324E-2</v>
      </c>
    </row>
    <row r="176" spans="1:10" x14ac:dyDescent="0.2">
      <c r="A176" s="117"/>
      <c r="B176" s="138" t="s">
        <v>549</v>
      </c>
      <c r="C176" s="135">
        <v>4946.5</v>
      </c>
      <c r="D176" s="135">
        <v>0.32</v>
      </c>
      <c r="E176" s="135">
        <v>1.05</v>
      </c>
      <c r="F176" s="135">
        <v>1.93</v>
      </c>
      <c r="G176" s="135">
        <v>0.61</v>
      </c>
      <c r="H176" s="136">
        <v>2.84</v>
      </c>
      <c r="I176" s="145">
        <v>43132</v>
      </c>
      <c r="J176" s="158">
        <f t="shared" si="2"/>
        <v>2.8448937245174832E-2</v>
      </c>
    </row>
    <row r="177" spans="1:10" x14ac:dyDescent="0.2">
      <c r="A177" s="117"/>
      <c r="B177" s="138" t="s">
        <v>550</v>
      </c>
      <c r="C177" s="135">
        <v>4950.95</v>
      </c>
      <c r="D177" s="135">
        <v>0.09</v>
      </c>
      <c r="E177" s="135">
        <v>0.7</v>
      </c>
      <c r="F177" s="135">
        <v>1.85</v>
      </c>
      <c r="G177" s="135">
        <v>0.7</v>
      </c>
      <c r="H177" s="136">
        <v>2.68</v>
      </c>
      <c r="I177" s="145">
        <v>43160</v>
      </c>
      <c r="J177" s="158">
        <f t="shared" si="2"/>
        <v>2.6808027890635966E-2</v>
      </c>
    </row>
    <row r="178" spans="1:10" x14ac:dyDescent="0.2">
      <c r="A178" s="139"/>
      <c r="B178" s="140" t="s">
        <v>551</v>
      </c>
      <c r="C178" s="135">
        <v>4961.84</v>
      </c>
      <c r="D178" s="135">
        <v>0.22</v>
      </c>
      <c r="E178" s="135">
        <v>0.63</v>
      </c>
      <c r="F178" s="135">
        <v>1.65</v>
      </c>
      <c r="G178" s="135">
        <v>0.92</v>
      </c>
      <c r="H178" s="136">
        <v>2.76</v>
      </c>
      <c r="I178" s="145">
        <v>43191</v>
      </c>
      <c r="J178" s="158">
        <f t="shared" si="2"/>
        <v>2.7627970938854052E-2</v>
      </c>
    </row>
    <row r="179" spans="1:10" x14ac:dyDescent="0.2">
      <c r="A179" s="117"/>
      <c r="B179" s="138" t="s">
        <v>552</v>
      </c>
      <c r="C179" s="135">
        <v>4981.6899999999996</v>
      </c>
      <c r="D179" s="135">
        <v>0.4</v>
      </c>
      <c r="E179" s="135">
        <v>0.71</v>
      </c>
      <c r="F179" s="135">
        <v>1.77</v>
      </c>
      <c r="G179" s="135">
        <v>1.33</v>
      </c>
      <c r="H179" s="136">
        <v>2.86</v>
      </c>
      <c r="I179" s="145">
        <v>43221</v>
      </c>
      <c r="J179" s="158">
        <f t="shared" si="2"/>
        <v>2.8550133067404948E-2</v>
      </c>
    </row>
    <row r="180" spans="1:10" x14ac:dyDescent="0.2">
      <c r="A180" s="117"/>
      <c r="B180" s="138" t="s">
        <v>553</v>
      </c>
      <c r="C180" s="135">
        <v>5044.46</v>
      </c>
      <c r="D180" s="135">
        <v>1.26</v>
      </c>
      <c r="E180" s="135">
        <v>1.89</v>
      </c>
      <c r="F180" s="135">
        <v>2.6</v>
      </c>
      <c r="G180" s="135">
        <v>2.6</v>
      </c>
      <c r="H180" s="136">
        <v>4.3899999999999997</v>
      </c>
      <c r="I180" s="145">
        <v>43252</v>
      </c>
      <c r="J180" s="158">
        <f t="shared" si="2"/>
        <v>4.3911039739087387E-2</v>
      </c>
    </row>
    <row r="181" spans="1:10" x14ac:dyDescent="0.2">
      <c r="A181" s="139"/>
      <c r="B181" s="140" t="s">
        <v>554</v>
      </c>
      <c r="C181" s="135">
        <v>5061.1099999999997</v>
      </c>
      <c r="D181" s="135">
        <v>0.33</v>
      </c>
      <c r="E181" s="135">
        <v>2</v>
      </c>
      <c r="F181" s="135">
        <v>2.64</v>
      </c>
      <c r="G181" s="135">
        <v>2.94</v>
      </c>
      <c r="H181" s="136">
        <v>4.4800000000000004</v>
      </c>
      <c r="I181" s="145">
        <v>43282</v>
      </c>
      <c r="J181" s="158">
        <f t="shared" si="2"/>
        <v>4.4848437303230737E-2</v>
      </c>
    </row>
    <row r="182" spans="1:10" x14ac:dyDescent="0.2">
      <c r="A182" s="139"/>
      <c r="B182" s="140" t="s">
        <v>555</v>
      </c>
      <c r="C182" s="135">
        <v>5056.5600000000004</v>
      </c>
      <c r="D182" s="135">
        <v>-0.09</v>
      </c>
      <c r="E182" s="135">
        <v>1.5</v>
      </c>
      <c r="F182" s="135">
        <v>2.23</v>
      </c>
      <c r="G182" s="135">
        <v>2.85</v>
      </c>
      <c r="H182" s="136">
        <v>4.1900000000000004</v>
      </c>
      <c r="I182" s="145">
        <v>43313</v>
      </c>
      <c r="J182" s="158">
        <f t="shared" si="2"/>
        <v>4.1930159672125322E-2</v>
      </c>
    </row>
    <row r="183" spans="1:10" x14ac:dyDescent="0.2">
      <c r="A183" s="139"/>
      <c r="B183" s="140" t="s">
        <v>556</v>
      </c>
      <c r="C183" s="135">
        <v>5080.83</v>
      </c>
      <c r="D183" s="135">
        <v>0.48</v>
      </c>
      <c r="E183" s="135">
        <v>0.72</v>
      </c>
      <c r="F183" s="135">
        <v>2.62</v>
      </c>
      <c r="G183" s="135">
        <v>3.34</v>
      </c>
      <c r="H183" s="136">
        <v>4.53</v>
      </c>
      <c r="I183" s="145">
        <v>43344</v>
      </c>
      <c r="J183" s="158">
        <f t="shared" si="2"/>
        <v>4.5259760164416463E-2</v>
      </c>
    </row>
    <row r="184" spans="1:10" x14ac:dyDescent="0.2">
      <c r="A184" s="139"/>
      <c r="B184" s="140" t="s">
        <v>557</v>
      </c>
      <c r="C184" s="135">
        <v>5103.6899999999996</v>
      </c>
      <c r="D184" s="135">
        <v>0.45</v>
      </c>
      <c r="E184" s="135">
        <v>0.84</v>
      </c>
      <c r="F184" s="135">
        <v>2.86</v>
      </c>
      <c r="G184" s="135">
        <v>3.81</v>
      </c>
      <c r="H184" s="136">
        <v>4.5599999999999996</v>
      </c>
      <c r="I184" s="145">
        <v>43374</v>
      </c>
      <c r="J184" s="158">
        <f t="shared" si="2"/>
        <v>4.5570294494237995E-2</v>
      </c>
    </row>
    <row r="185" spans="1:10" x14ac:dyDescent="0.2">
      <c r="A185" s="139"/>
      <c r="B185" s="140" t="s">
        <v>558</v>
      </c>
      <c r="C185" s="135">
        <v>5092.97</v>
      </c>
      <c r="D185" s="135">
        <v>-0.21</v>
      </c>
      <c r="E185" s="135">
        <v>0.72</v>
      </c>
      <c r="F185" s="135">
        <v>2.23</v>
      </c>
      <c r="G185" s="135">
        <v>3.59</v>
      </c>
      <c r="H185" s="136">
        <v>4.05</v>
      </c>
      <c r="I185" s="145">
        <v>43405</v>
      </c>
      <c r="J185" s="158">
        <f t="shared" si="2"/>
        <v>4.0460313958144312E-2</v>
      </c>
    </row>
    <row r="186" spans="1:10" ht="16" thickBot="1" x14ac:dyDescent="0.25">
      <c r="A186" s="141"/>
      <c r="B186" s="142" t="s">
        <v>559</v>
      </c>
      <c r="C186" s="143">
        <v>5100.6099999999997</v>
      </c>
      <c r="D186" s="143">
        <v>0.15</v>
      </c>
      <c r="E186" s="143">
        <v>0.39</v>
      </c>
      <c r="F186" s="143">
        <v>1.1100000000000001</v>
      </c>
      <c r="G186" s="143">
        <v>3.75</v>
      </c>
      <c r="H186" s="144">
        <v>3.75</v>
      </c>
      <c r="I186" s="145">
        <v>43435</v>
      </c>
      <c r="J186" s="158">
        <f t="shared" si="2"/>
        <v>3.7455811701915476E-2</v>
      </c>
    </row>
    <row r="187" spans="1:10" ht="16" thickTop="1" x14ac:dyDescent="0.2">
      <c r="A187" s="139">
        <v>2019</v>
      </c>
      <c r="B187" s="140" t="s">
        <v>548</v>
      </c>
      <c r="C187" s="135">
        <v>5116.93</v>
      </c>
      <c r="D187" s="135">
        <v>0.32</v>
      </c>
      <c r="E187" s="135">
        <v>0.26</v>
      </c>
      <c r="F187" s="135">
        <v>1.1000000000000001</v>
      </c>
      <c r="G187" s="135">
        <v>0.32</v>
      </c>
      <c r="H187" s="136">
        <v>3.78</v>
      </c>
      <c r="I187" s="145">
        <v>43466</v>
      </c>
      <c r="J187" s="158">
        <f t="shared" si="2"/>
        <v>3.7765275659538577E-2</v>
      </c>
    </row>
    <row r="188" spans="1:10" x14ac:dyDescent="0.2">
      <c r="A188" s="139"/>
      <c r="B188" s="140" t="s">
        <v>549</v>
      </c>
      <c r="C188" s="135">
        <v>5138.93</v>
      </c>
      <c r="D188" s="135">
        <v>0.43</v>
      </c>
      <c r="E188" s="135">
        <v>0.9</v>
      </c>
      <c r="F188" s="135">
        <v>1.63</v>
      </c>
      <c r="G188" s="135">
        <v>0.75</v>
      </c>
      <c r="H188" s="136">
        <v>3.89</v>
      </c>
      <c r="I188" s="145">
        <v>43497</v>
      </c>
      <c r="J188" s="158">
        <f t="shared" si="2"/>
        <v>3.890225411907422E-2</v>
      </c>
    </row>
    <row r="189" spans="1:10" x14ac:dyDescent="0.2">
      <c r="A189" s="117"/>
      <c r="B189" s="138" t="s">
        <v>550</v>
      </c>
      <c r="C189" s="135">
        <v>5177.47</v>
      </c>
      <c r="D189" s="135">
        <v>0.75</v>
      </c>
      <c r="E189" s="135">
        <v>1.51</v>
      </c>
      <c r="F189" s="135">
        <v>1.9</v>
      </c>
      <c r="G189" s="135">
        <v>1.51</v>
      </c>
      <c r="H189" s="136">
        <v>4.58</v>
      </c>
      <c r="I189" s="145">
        <v>43525</v>
      </c>
      <c r="J189" s="158">
        <f t="shared" si="2"/>
        <v>4.5752835314434748E-2</v>
      </c>
    </row>
    <row r="190" spans="1:10" x14ac:dyDescent="0.2">
      <c r="A190" s="117"/>
      <c r="B190" s="138" t="s">
        <v>551</v>
      </c>
      <c r="C190" s="135">
        <v>5206.9799999999996</v>
      </c>
      <c r="D190" s="135">
        <v>0.56999999999999995</v>
      </c>
      <c r="E190" s="135">
        <v>1.76</v>
      </c>
      <c r="F190" s="135">
        <v>2.02</v>
      </c>
      <c r="G190" s="135">
        <v>2.09</v>
      </c>
      <c r="H190" s="136">
        <v>4.9400000000000004</v>
      </c>
      <c r="I190" s="145">
        <v>43556</v>
      </c>
      <c r="J190" s="158">
        <f t="shared" si="2"/>
        <v>4.9405059413443198E-2</v>
      </c>
    </row>
    <row r="191" spans="1:10" x14ac:dyDescent="0.2">
      <c r="A191" s="117"/>
      <c r="B191" s="138" t="s">
        <v>552</v>
      </c>
      <c r="C191" s="135">
        <v>5213.75</v>
      </c>
      <c r="D191" s="135">
        <v>0.13</v>
      </c>
      <c r="E191" s="135">
        <v>1.46</v>
      </c>
      <c r="F191" s="135">
        <v>2.37</v>
      </c>
      <c r="G191" s="135">
        <v>2.2200000000000002</v>
      </c>
      <c r="H191" s="135">
        <v>4.66</v>
      </c>
      <c r="I191" s="145">
        <v>43586</v>
      </c>
      <c r="J191" s="158">
        <f t="shared" si="2"/>
        <v>4.6582585427836776E-2</v>
      </c>
    </row>
    <row r="192" spans="1:10" x14ac:dyDescent="0.2">
      <c r="A192" s="117"/>
      <c r="B192" s="138" t="s">
        <v>553</v>
      </c>
      <c r="C192" s="135">
        <v>5214.2700000000004</v>
      </c>
      <c r="D192" s="135">
        <v>0.01</v>
      </c>
      <c r="E192" s="135">
        <v>0.71</v>
      </c>
      <c r="F192" s="135">
        <v>2.23</v>
      </c>
      <c r="G192" s="135">
        <v>2.23</v>
      </c>
      <c r="H192" s="135">
        <v>3.37</v>
      </c>
      <c r="I192" s="145">
        <v>43617</v>
      </c>
      <c r="J192" s="158">
        <f t="shared" si="2"/>
        <v>3.3662671524801624E-2</v>
      </c>
    </row>
    <row r="193" spans="1:10" x14ac:dyDescent="0.2">
      <c r="A193" s="117"/>
      <c r="B193" s="138" t="s">
        <v>554</v>
      </c>
      <c r="C193" s="135">
        <v>5224.18</v>
      </c>
      <c r="D193" s="135">
        <v>0.19</v>
      </c>
      <c r="E193" s="135">
        <v>0.33</v>
      </c>
      <c r="F193" s="135">
        <v>2.1</v>
      </c>
      <c r="G193" s="135">
        <v>2.42</v>
      </c>
      <c r="H193" s="135">
        <v>3.22</v>
      </c>
      <c r="I193" s="145">
        <v>43647</v>
      </c>
      <c r="J193" s="158">
        <f t="shared" si="2"/>
        <v>3.2220204658661933E-2</v>
      </c>
    </row>
    <row r="194" spans="1:10" x14ac:dyDescent="0.2">
      <c r="A194" s="117"/>
      <c r="B194" s="138" t="s">
        <v>555</v>
      </c>
      <c r="C194" s="135">
        <v>5229.93</v>
      </c>
      <c r="D194" s="135">
        <v>0.11</v>
      </c>
      <c r="E194" s="135">
        <v>0.31</v>
      </c>
      <c r="F194" s="135">
        <v>1.77</v>
      </c>
      <c r="G194" s="135">
        <v>2.54</v>
      </c>
      <c r="H194" s="135">
        <v>3.43</v>
      </c>
      <c r="I194" s="145">
        <v>43678</v>
      </c>
      <c r="J194" s="158">
        <f t="shared" si="2"/>
        <v>3.4286155014476183E-2</v>
      </c>
    </row>
    <row r="195" spans="1:10" x14ac:dyDescent="0.2">
      <c r="A195" s="117"/>
      <c r="B195" s="138" t="s">
        <v>556</v>
      </c>
      <c r="C195" s="135">
        <v>5227.84</v>
      </c>
      <c r="D195" s="135">
        <v>-0.04</v>
      </c>
      <c r="E195" s="135">
        <v>0.26</v>
      </c>
      <c r="F195" s="135">
        <v>0.97</v>
      </c>
      <c r="G195" s="135">
        <v>2.4900000000000002</v>
      </c>
      <c r="H195" s="135">
        <v>2.89</v>
      </c>
      <c r="I195" s="145">
        <v>43709</v>
      </c>
      <c r="J195" s="158">
        <f t="shared" si="2"/>
        <v>2.8934248931768991E-2</v>
      </c>
    </row>
    <row r="196" spans="1:10" x14ac:dyDescent="0.2">
      <c r="A196" s="117"/>
      <c r="B196" s="138" t="s">
        <v>557</v>
      </c>
      <c r="C196" s="135">
        <v>5233.07</v>
      </c>
      <c r="D196" s="135">
        <v>0.1</v>
      </c>
      <c r="E196" s="135">
        <v>0.17</v>
      </c>
      <c r="F196" s="135">
        <v>0.5</v>
      </c>
      <c r="G196" s="135">
        <v>2.6</v>
      </c>
      <c r="H196" s="135">
        <v>2.54</v>
      </c>
      <c r="I196" s="145">
        <v>43739</v>
      </c>
      <c r="J196" s="158">
        <f t="shared" si="2"/>
        <v>2.5350285773626524E-2</v>
      </c>
    </row>
    <row r="197" spans="1:10" x14ac:dyDescent="0.2">
      <c r="A197" s="117"/>
      <c r="B197" s="138" t="s">
        <v>558</v>
      </c>
      <c r="C197" s="135">
        <v>5259.76</v>
      </c>
      <c r="D197" s="135">
        <v>0.51</v>
      </c>
      <c r="E197" s="135">
        <v>0.56999999999999995</v>
      </c>
      <c r="F197" s="135">
        <v>0.88</v>
      </c>
      <c r="G197" s="135">
        <v>3.12</v>
      </c>
      <c r="H197" s="135">
        <v>3.27</v>
      </c>
      <c r="I197" s="145">
        <v>43770</v>
      </c>
      <c r="J197" s="158">
        <f t="shared" si="2"/>
        <v>3.274906390573662E-2</v>
      </c>
    </row>
    <row r="198" spans="1:10" x14ac:dyDescent="0.2">
      <c r="A198" s="117"/>
      <c r="B198" s="138" t="s">
        <v>559</v>
      </c>
      <c r="C198" s="135">
        <v>5320.25</v>
      </c>
      <c r="D198" s="135">
        <v>1.1499999999999999</v>
      </c>
      <c r="E198" s="135">
        <v>1.77</v>
      </c>
      <c r="F198" s="135">
        <v>2.0299999999999998</v>
      </c>
      <c r="G198" s="135">
        <v>4.3099999999999996</v>
      </c>
      <c r="H198" s="135">
        <v>4.3099999999999996</v>
      </c>
      <c r="I198" s="145">
        <v>43800</v>
      </c>
      <c r="J198" s="158">
        <f t="shared" si="2"/>
        <v>4.306151617159526E-2</v>
      </c>
    </row>
    <row r="199" spans="1:10" x14ac:dyDescent="0.2">
      <c r="A199" s="139">
        <v>2020</v>
      </c>
      <c r="B199" s="140" t="s">
        <v>548</v>
      </c>
      <c r="C199" s="135">
        <v>5331.42</v>
      </c>
      <c r="D199" s="135">
        <v>0.21</v>
      </c>
      <c r="E199" s="135">
        <v>1.88</v>
      </c>
      <c r="F199" s="135">
        <v>2.0499999999999998</v>
      </c>
      <c r="G199" s="135">
        <v>0.21</v>
      </c>
      <c r="H199" s="135">
        <v>4.1900000000000004</v>
      </c>
      <c r="I199" s="145">
        <v>43831</v>
      </c>
      <c r="J199" s="158">
        <f t="shared" si="2"/>
        <v>4.1917712378320537E-2</v>
      </c>
    </row>
    <row r="200" spans="1:10" x14ac:dyDescent="0.2">
      <c r="A200" s="117"/>
      <c r="B200" s="138" t="s">
        <v>549</v>
      </c>
      <c r="C200" s="135">
        <v>5344.75</v>
      </c>
      <c r="D200" s="135">
        <v>0.25</v>
      </c>
      <c r="E200" s="135">
        <v>1.62</v>
      </c>
      <c r="F200" s="135">
        <v>2.2000000000000002</v>
      </c>
      <c r="G200" s="135">
        <v>0.46</v>
      </c>
      <c r="H200" s="135">
        <v>4.01</v>
      </c>
      <c r="I200" s="145">
        <v>43862</v>
      </c>
      <c r="J200" s="158">
        <f t="shared" si="2"/>
        <v>4.0051139050347073E-2</v>
      </c>
    </row>
    <row r="201" spans="1:10" x14ac:dyDescent="0.2">
      <c r="A201" s="117"/>
      <c r="B201" s="138" t="s">
        <v>550</v>
      </c>
      <c r="C201" s="135">
        <v>5348.49</v>
      </c>
      <c r="D201" s="135">
        <v>7.0000000000000007E-2</v>
      </c>
      <c r="E201" s="135">
        <v>0.53</v>
      </c>
      <c r="F201" s="135">
        <v>2.31</v>
      </c>
      <c r="G201" s="135">
        <v>0.53</v>
      </c>
      <c r="H201" s="135">
        <v>3.3</v>
      </c>
      <c r="I201" s="145">
        <v>43891</v>
      </c>
      <c r="J201" s="158">
        <f t="shared" si="2"/>
        <v>3.303157719890204E-2</v>
      </c>
    </row>
    <row r="202" spans="1:10" x14ac:dyDescent="0.2">
      <c r="A202" s="117"/>
      <c r="B202" s="138" t="s">
        <v>551</v>
      </c>
      <c r="C202" s="135">
        <v>5331.91</v>
      </c>
      <c r="D202" s="135">
        <v>-0.31</v>
      </c>
      <c r="E202" s="135">
        <v>0.01</v>
      </c>
      <c r="F202" s="135">
        <v>1.89</v>
      </c>
      <c r="G202" s="135">
        <v>0.22</v>
      </c>
      <c r="H202" s="135">
        <v>2.4</v>
      </c>
      <c r="I202" s="145">
        <v>43922</v>
      </c>
      <c r="J202" s="158">
        <f t="shared" si="2"/>
        <v>2.3992794287667873E-2</v>
      </c>
    </row>
    <row r="203" spans="1:10" x14ac:dyDescent="0.2">
      <c r="A203" s="139"/>
      <c r="B203" s="140" t="s">
        <v>552</v>
      </c>
      <c r="C203" s="135">
        <v>5311.65</v>
      </c>
      <c r="D203" s="135">
        <v>-0.38</v>
      </c>
      <c r="E203" s="135">
        <v>-0.62</v>
      </c>
      <c r="F203" s="135">
        <v>0.99</v>
      </c>
      <c r="G203" s="135">
        <v>-0.16</v>
      </c>
      <c r="H203" s="135">
        <v>1.88</v>
      </c>
      <c r="I203" s="145">
        <v>43952</v>
      </c>
      <c r="J203" s="158">
        <f t="shared" si="2"/>
        <v>1.8777271637496984E-2</v>
      </c>
    </row>
    <row r="204" spans="1:10" x14ac:dyDescent="0.2">
      <c r="A204" s="117"/>
      <c r="B204" s="138" t="s">
        <v>553</v>
      </c>
      <c r="C204" s="135">
        <v>5325.46</v>
      </c>
      <c r="D204" s="135">
        <v>0.26</v>
      </c>
      <c r="E204" s="135">
        <v>-0.43</v>
      </c>
      <c r="F204" s="135">
        <v>0.1</v>
      </c>
      <c r="G204" s="135">
        <v>0.1</v>
      </c>
      <c r="H204" s="135">
        <v>2.13</v>
      </c>
      <c r="I204" s="145">
        <v>43983</v>
      </c>
      <c r="J204" s="158">
        <f t="shared" si="2"/>
        <v>2.1324173853674466E-2</v>
      </c>
    </row>
    <row r="205" spans="1:10" x14ac:dyDescent="0.2">
      <c r="A205" s="117"/>
      <c r="B205" s="138" t="s">
        <v>554</v>
      </c>
      <c r="C205" s="135">
        <v>5344.63</v>
      </c>
      <c r="D205" s="135">
        <v>0.36</v>
      </c>
      <c r="E205" s="135">
        <v>0.24</v>
      </c>
      <c r="F205" s="135">
        <v>0.25</v>
      </c>
      <c r="G205" s="135">
        <v>0.46</v>
      </c>
      <c r="H205" s="135">
        <v>2.31</v>
      </c>
      <c r="I205" s="145">
        <v>44013</v>
      </c>
      <c r="J205" s="158">
        <f t="shared" si="2"/>
        <v>2.3056249976072696E-2</v>
      </c>
    </row>
    <row r="206" spans="1:10" x14ac:dyDescent="0.2">
      <c r="A206" s="117"/>
      <c r="B206" s="138" t="s">
        <v>555</v>
      </c>
      <c r="C206" s="135">
        <v>5357.46</v>
      </c>
      <c r="D206" s="135">
        <v>0.24</v>
      </c>
      <c r="E206" s="135">
        <v>0.86</v>
      </c>
      <c r="F206" s="135">
        <v>0.24</v>
      </c>
      <c r="G206" s="135">
        <v>0.7</v>
      </c>
      <c r="H206" s="135">
        <v>2.44</v>
      </c>
      <c r="I206" s="145">
        <v>44044</v>
      </c>
      <c r="J206" s="158">
        <f t="shared" si="2"/>
        <v>2.438464759566572E-2</v>
      </c>
    </row>
    <row r="207" spans="1:10" x14ac:dyDescent="0.2">
      <c r="A207" s="117"/>
      <c r="B207" s="138" t="s">
        <v>556</v>
      </c>
      <c r="C207" s="135">
        <v>5391.75</v>
      </c>
      <c r="D207" s="135">
        <v>0.64</v>
      </c>
      <c r="E207" s="135">
        <v>1.24</v>
      </c>
      <c r="F207" s="135">
        <v>0.81</v>
      </c>
      <c r="G207" s="135">
        <v>1.34</v>
      </c>
      <c r="H207" s="135">
        <v>3.14</v>
      </c>
      <c r="I207" s="145">
        <v>44075</v>
      </c>
      <c r="J207" s="158">
        <f t="shared" si="2"/>
        <v>3.1353293138274951E-2</v>
      </c>
    </row>
    <row r="208" spans="1:10" x14ac:dyDescent="0.2">
      <c r="A208" s="139"/>
      <c r="B208" s="140" t="s">
        <v>557</v>
      </c>
      <c r="C208" s="135">
        <v>5438.12</v>
      </c>
      <c r="D208" s="135">
        <v>0.86</v>
      </c>
      <c r="E208" s="135">
        <v>1.75</v>
      </c>
      <c r="F208" s="135">
        <v>1.99</v>
      </c>
      <c r="G208" s="135">
        <v>2.2200000000000002</v>
      </c>
      <c r="H208" s="135">
        <v>3.92</v>
      </c>
      <c r="I208" s="145">
        <v>44105</v>
      </c>
      <c r="J208" s="158">
        <f t="shared" si="2"/>
        <v>3.9183500316257946E-2</v>
      </c>
    </row>
    <row r="209" spans="1:10" x14ac:dyDescent="0.2">
      <c r="A209" s="117"/>
      <c r="B209" s="138" t="s">
        <v>558</v>
      </c>
      <c r="C209" s="135">
        <v>5486.52</v>
      </c>
      <c r="D209" s="135">
        <v>0.89</v>
      </c>
      <c r="E209" s="135">
        <v>2.41</v>
      </c>
      <c r="F209" s="135">
        <v>3.29</v>
      </c>
      <c r="G209" s="135">
        <v>3.13</v>
      </c>
      <c r="H209" s="135">
        <v>4.3099999999999996</v>
      </c>
      <c r="I209" s="145">
        <v>44136</v>
      </c>
      <c r="J209" s="158">
        <f t="shared" si="2"/>
        <v>4.3112233257791344E-2</v>
      </c>
    </row>
    <row r="210" spans="1:10" x14ac:dyDescent="0.2">
      <c r="A210" s="117"/>
      <c r="B210" s="138" t="s">
        <v>559</v>
      </c>
      <c r="C210" s="135">
        <v>5560.59</v>
      </c>
      <c r="D210" s="135">
        <v>1.35</v>
      </c>
      <c r="E210" s="135">
        <v>3.13</v>
      </c>
      <c r="F210" s="135">
        <v>4.42</v>
      </c>
      <c r="G210" s="135">
        <v>4.5199999999999996</v>
      </c>
      <c r="H210" s="135">
        <v>4.5199999999999996</v>
      </c>
      <c r="I210" s="145">
        <v>44166</v>
      </c>
      <c r="J210" s="158">
        <f t="shared" si="2"/>
        <v>4.517456886424509E-2</v>
      </c>
    </row>
    <row r="211" spans="1:10" x14ac:dyDescent="0.2">
      <c r="A211" s="139">
        <v>2021</v>
      </c>
      <c r="B211" s="140" t="s">
        <v>548</v>
      </c>
      <c r="C211" s="135">
        <v>5574.49</v>
      </c>
      <c r="D211" s="135">
        <v>0.25</v>
      </c>
      <c r="E211" s="135">
        <v>2.5099999999999998</v>
      </c>
      <c r="F211" s="135">
        <v>4.3</v>
      </c>
      <c r="G211" s="135">
        <v>0.25</v>
      </c>
      <c r="H211" s="135">
        <v>4.5599999999999996</v>
      </c>
      <c r="I211" s="145">
        <v>44197</v>
      </c>
      <c r="J211" s="158">
        <f t="shared" si="2"/>
        <v>4.5591981123227932E-2</v>
      </c>
    </row>
    <row r="212" spans="1:10" x14ac:dyDescent="0.2">
      <c r="A212" s="139"/>
      <c r="B212" s="140" t="s">
        <v>549</v>
      </c>
      <c r="C212" s="135">
        <v>5622.43</v>
      </c>
      <c r="D212" s="135">
        <v>0.86</v>
      </c>
      <c r="E212" s="135">
        <v>2.48</v>
      </c>
      <c r="F212" s="135">
        <v>4.95</v>
      </c>
      <c r="G212" s="135">
        <v>1.1100000000000001</v>
      </c>
      <c r="H212" s="135">
        <v>5.2</v>
      </c>
      <c r="I212" s="145">
        <v>44228</v>
      </c>
      <c r="J212" s="158">
        <f t="shared" ref="J212:J225" si="3">C212/C200-1</f>
        <v>5.1953786425932069E-2</v>
      </c>
    </row>
    <row r="213" spans="1:10" x14ac:dyDescent="0.2">
      <c r="A213" s="139"/>
      <c r="B213" s="140" t="s">
        <v>550</v>
      </c>
      <c r="C213" s="135">
        <v>5674.72</v>
      </c>
      <c r="D213" s="135">
        <v>0.93</v>
      </c>
      <c r="E213" s="135">
        <v>2.0499999999999998</v>
      </c>
      <c r="F213" s="135">
        <v>5.25</v>
      </c>
      <c r="G213" s="135">
        <v>2.0499999999999998</v>
      </c>
      <c r="H213" s="135">
        <v>6.1</v>
      </c>
      <c r="I213" s="145">
        <v>44256</v>
      </c>
      <c r="J213" s="158">
        <f t="shared" si="3"/>
        <v>6.0994785444116184E-2</v>
      </c>
    </row>
    <row r="214" spans="1:10" x14ac:dyDescent="0.2">
      <c r="A214" s="139"/>
      <c r="B214" s="140" t="s">
        <v>551</v>
      </c>
      <c r="C214" s="135">
        <v>5692.31</v>
      </c>
      <c r="D214" s="135">
        <v>0.31</v>
      </c>
      <c r="E214" s="135">
        <v>2.11</v>
      </c>
      <c r="F214" s="135">
        <v>4.67</v>
      </c>
      <c r="G214" s="135">
        <v>2.37</v>
      </c>
      <c r="H214" s="135">
        <v>6.76</v>
      </c>
      <c r="I214" s="145">
        <v>44287</v>
      </c>
      <c r="J214" s="158">
        <f t="shared" si="3"/>
        <v>6.7593038892254542E-2</v>
      </c>
    </row>
    <row r="215" spans="1:10" x14ac:dyDescent="0.2">
      <c r="A215" s="139"/>
      <c r="B215" s="140" t="s">
        <v>552</v>
      </c>
      <c r="C215" s="135">
        <v>5739.56</v>
      </c>
      <c r="D215" s="135">
        <v>0.83</v>
      </c>
      <c r="E215" s="135">
        <v>2.08</v>
      </c>
      <c r="F215" s="135">
        <v>4.6100000000000003</v>
      </c>
      <c r="G215" s="135">
        <v>3.22</v>
      </c>
      <c r="H215" s="135">
        <v>8.06</v>
      </c>
      <c r="I215" s="145">
        <v>44317</v>
      </c>
      <c r="J215" s="158">
        <f t="shared" si="3"/>
        <v>8.0560654410588128E-2</v>
      </c>
    </row>
    <row r="216" spans="1:10" x14ac:dyDescent="0.2">
      <c r="A216" s="117"/>
      <c r="B216" s="138" t="s">
        <v>553</v>
      </c>
      <c r="C216" s="135">
        <v>5769.98</v>
      </c>
      <c r="D216" s="135">
        <v>0.53</v>
      </c>
      <c r="E216" s="135">
        <v>1.68</v>
      </c>
      <c r="F216" s="135">
        <v>3.77</v>
      </c>
      <c r="G216" s="135">
        <v>3.77</v>
      </c>
      <c r="H216" s="135">
        <v>8.35</v>
      </c>
      <c r="I216" s="145">
        <v>44348</v>
      </c>
      <c r="J216" s="158">
        <f t="shared" si="3"/>
        <v>8.3470723655796775E-2</v>
      </c>
    </row>
    <row r="217" spans="1:10" x14ac:dyDescent="0.2">
      <c r="A217" s="117"/>
      <c r="B217" s="138" t="s">
        <v>554</v>
      </c>
      <c r="C217" s="135">
        <v>5825.37</v>
      </c>
      <c r="D217" s="135">
        <v>0.96</v>
      </c>
      <c r="E217" s="135">
        <v>2.34</v>
      </c>
      <c r="F217" s="135">
        <v>4.5</v>
      </c>
      <c r="G217" s="135">
        <v>4.76</v>
      </c>
      <c r="H217" s="135">
        <v>8.99</v>
      </c>
      <c r="I217" s="145">
        <v>44378</v>
      </c>
      <c r="J217" s="158">
        <f t="shared" si="3"/>
        <v>8.9948228408701869E-2</v>
      </c>
    </row>
    <row r="218" spans="1:10" x14ac:dyDescent="0.2">
      <c r="A218" s="117"/>
      <c r="B218" s="138" t="s">
        <v>555</v>
      </c>
      <c r="C218" s="135">
        <v>5876.05</v>
      </c>
      <c r="D218" s="135">
        <v>0.87</v>
      </c>
      <c r="E218" s="135">
        <v>2.38</v>
      </c>
      <c r="F218" s="135">
        <v>4.51</v>
      </c>
      <c r="G218" s="135">
        <v>5.67</v>
      </c>
      <c r="H218" s="135">
        <v>9.68</v>
      </c>
      <c r="I218" s="145">
        <v>44409</v>
      </c>
      <c r="J218" s="158">
        <f t="shared" si="3"/>
        <v>9.6797736240681331E-2</v>
      </c>
    </row>
    <row r="219" spans="1:10" x14ac:dyDescent="0.2">
      <c r="A219" s="139"/>
      <c r="B219" s="140" t="s">
        <v>556</v>
      </c>
      <c r="C219" s="135">
        <v>5944.21</v>
      </c>
      <c r="D219" s="135">
        <v>1.1599999999999999</v>
      </c>
      <c r="E219" s="135">
        <v>3.02</v>
      </c>
      <c r="F219" s="135">
        <v>4.75</v>
      </c>
      <c r="G219" s="135">
        <v>6.9</v>
      </c>
      <c r="H219" s="135">
        <v>10.25</v>
      </c>
      <c r="I219" s="145">
        <v>44440</v>
      </c>
      <c r="J219" s="158">
        <f t="shared" si="3"/>
        <v>0.10246394955255722</v>
      </c>
    </row>
    <row r="220" spans="1:10" x14ac:dyDescent="0.2">
      <c r="A220" s="117"/>
      <c r="B220" s="138" t="s">
        <v>557</v>
      </c>
      <c r="C220" s="135">
        <v>6018.51</v>
      </c>
      <c r="D220" s="135">
        <v>1.25</v>
      </c>
      <c r="E220" s="135">
        <v>3.32</v>
      </c>
      <c r="F220" s="135">
        <v>5.73</v>
      </c>
      <c r="G220" s="135">
        <v>8.24</v>
      </c>
      <c r="H220" s="135">
        <v>10.67</v>
      </c>
      <c r="I220" s="145">
        <v>44470</v>
      </c>
      <c r="J220" s="158">
        <f t="shared" si="3"/>
        <v>0.1067262215618634</v>
      </c>
    </row>
    <row r="221" spans="1:10" x14ac:dyDescent="0.2">
      <c r="A221" s="139"/>
      <c r="B221" s="140" t="s">
        <v>558</v>
      </c>
      <c r="C221" s="135">
        <v>6075.69</v>
      </c>
      <c r="D221" s="135">
        <v>0.95</v>
      </c>
      <c r="E221" s="135">
        <v>3.4</v>
      </c>
      <c r="F221" s="135">
        <v>5.86</v>
      </c>
      <c r="G221" s="135">
        <v>9.26</v>
      </c>
      <c r="H221" s="135">
        <v>10.74</v>
      </c>
      <c r="I221" s="145">
        <v>44501</v>
      </c>
      <c r="J221" s="158">
        <f t="shared" si="3"/>
        <v>0.1073850090767916</v>
      </c>
    </row>
    <row r="222" spans="1:10" x14ac:dyDescent="0.2">
      <c r="A222" s="139"/>
      <c r="B222" s="140" t="s">
        <v>559</v>
      </c>
      <c r="C222" s="135">
        <v>6120.04</v>
      </c>
      <c r="D222" s="135">
        <v>0.73</v>
      </c>
      <c r="E222" s="135">
        <v>2.96</v>
      </c>
      <c r="F222" s="135">
        <v>6.07</v>
      </c>
      <c r="G222" s="135">
        <v>10.06</v>
      </c>
      <c r="H222" s="135">
        <v>10.06</v>
      </c>
      <c r="I222" s="145">
        <v>44531</v>
      </c>
      <c r="J222" s="158">
        <f t="shared" si="3"/>
        <v>0.10060982737443336</v>
      </c>
    </row>
    <row r="223" spans="1:10" x14ac:dyDescent="0.2">
      <c r="A223" s="304">
        <v>2022</v>
      </c>
      <c r="B223" s="305" t="s">
        <v>548</v>
      </c>
      <c r="C223" s="306">
        <v>6153.09</v>
      </c>
      <c r="D223" s="306">
        <v>0.54</v>
      </c>
      <c r="E223" s="306">
        <v>2.2400000000000002</v>
      </c>
      <c r="F223" s="306">
        <v>5.63</v>
      </c>
      <c r="G223" s="306">
        <v>0.54</v>
      </c>
      <c r="H223" s="306">
        <v>10.38</v>
      </c>
      <c r="I223" s="145">
        <v>44562</v>
      </c>
      <c r="J223" s="158">
        <f t="shared" si="3"/>
        <v>0.10379424844245855</v>
      </c>
    </row>
    <row r="224" spans="1:10" x14ac:dyDescent="0.2">
      <c r="A224" s="307"/>
      <c r="B224" s="308" t="s">
        <v>549</v>
      </c>
      <c r="C224" s="306">
        <v>6215.24</v>
      </c>
      <c r="D224" s="306">
        <v>1.01</v>
      </c>
      <c r="E224" s="306">
        <v>2.2999999999999998</v>
      </c>
      <c r="F224" s="306">
        <v>5.77</v>
      </c>
      <c r="G224" s="306">
        <v>1.56</v>
      </c>
      <c r="H224" s="306">
        <v>10.54</v>
      </c>
      <c r="I224" s="145">
        <v>44593</v>
      </c>
      <c r="J224" s="158">
        <f t="shared" si="3"/>
        <v>0.10543661726335407</v>
      </c>
    </row>
    <row r="225" spans="1:10" x14ac:dyDescent="0.2">
      <c r="A225" s="304"/>
      <c r="B225" s="305" t="s">
        <v>550</v>
      </c>
      <c r="C225" s="306">
        <v>6315.93</v>
      </c>
      <c r="D225" s="306">
        <v>1.62</v>
      </c>
      <c r="E225" s="306">
        <v>3.2</v>
      </c>
      <c r="F225" s="306">
        <v>6.25</v>
      </c>
      <c r="G225" s="306">
        <v>3.2</v>
      </c>
      <c r="H225" s="306">
        <v>11.3</v>
      </c>
      <c r="I225" s="145">
        <v>44621</v>
      </c>
      <c r="J225" s="158">
        <f t="shared" si="3"/>
        <v>0.11299412129585251</v>
      </c>
    </row>
    <row r="226" spans="1:10" x14ac:dyDescent="0.2">
      <c r="A226" s="304"/>
      <c r="B226" s="305" t="s">
        <v>551</v>
      </c>
      <c r="C226" s="306">
        <v>6382.88</v>
      </c>
      <c r="D226" s="306">
        <v>1.06</v>
      </c>
      <c r="E226" s="306">
        <v>3.73</v>
      </c>
      <c r="F226" s="306">
        <v>6.05</v>
      </c>
      <c r="G226" s="306">
        <v>4.29</v>
      </c>
      <c r="H226" s="306">
        <v>12.13</v>
      </c>
      <c r="I226" s="145">
        <v>44652</v>
      </c>
      <c r="J226" s="158">
        <f t="shared" ref="J226:J235" si="4">C226/C214-1</f>
        <v>0.12131630216906664</v>
      </c>
    </row>
    <row r="227" spans="1:10" x14ac:dyDescent="0.2">
      <c r="A227" s="304"/>
      <c r="B227" s="305" t="s">
        <v>552</v>
      </c>
      <c r="C227" s="306">
        <v>6412.88</v>
      </c>
      <c r="D227" s="306">
        <v>0.47</v>
      </c>
      <c r="E227" s="306">
        <v>3.18</v>
      </c>
      <c r="F227" s="306">
        <v>5.55</v>
      </c>
      <c r="G227" s="306">
        <v>4.78</v>
      </c>
      <c r="H227" s="306">
        <v>11.73</v>
      </c>
      <c r="I227" s="145">
        <v>44682</v>
      </c>
      <c r="J227" s="158">
        <f t="shared" si="4"/>
        <v>0.11731212845583983</v>
      </c>
    </row>
    <row r="228" spans="1:10" x14ac:dyDescent="0.2">
      <c r="A228" s="307"/>
      <c r="B228" s="308" t="s">
        <v>553</v>
      </c>
      <c r="C228" s="306">
        <v>6455.85</v>
      </c>
      <c r="D228" s="306">
        <v>0.67</v>
      </c>
      <c r="E228" s="306">
        <v>2.2200000000000002</v>
      </c>
      <c r="F228" s="306">
        <v>5.49</v>
      </c>
      <c r="G228" s="306">
        <v>5.49</v>
      </c>
      <c r="H228" s="306">
        <v>11.89</v>
      </c>
      <c r="I228" s="145">
        <v>44713</v>
      </c>
      <c r="J228" s="158">
        <f t="shared" si="4"/>
        <v>0.11886869625198027</v>
      </c>
    </row>
    <row r="229" spans="1:10" x14ac:dyDescent="0.2">
      <c r="A229" s="307"/>
      <c r="B229" s="308" t="s">
        <v>554</v>
      </c>
      <c r="C229" s="306">
        <v>6411.95</v>
      </c>
      <c r="D229" s="306">
        <v>-0.68</v>
      </c>
      <c r="E229" s="306">
        <v>0.46</v>
      </c>
      <c r="F229" s="306">
        <v>4.21</v>
      </c>
      <c r="G229" s="306">
        <v>4.7699999999999996</v>
      </c>
      <c r="H229" s="306">
        <v>10.07</v>
      </c>
      <c r="I229" s="145">
        <v>44743</v>
      </c>
      <c r="J229" s="158">
        <f t="shared" si="4"/>
        <v>0.10069403316870851</v>
      </c>
    </row>
    <row r="230" spans="1:10" x14ac:dyDescent="0.2">
      <c r="A230" s="307"/>
      <c r="B230" s="308" t="s">
        <v>555</v>
      </c>
      <c r="C230" s="306">
        <v>6388.87</v>
      </c>
      <c r="D230" s="306">
        <v>-0.36</v>
      </c>
      <c r="E230" s="306">
        <v>-0.37</v>
      </c>
      <c r="F230" s="306">
        <v>2.79</v>
      </c>
      <c r="G230" s="306">
        <v>4.3899999999999997</v>
      </c>
      <c r="H230" s="306">
        <v>8.73</v>
      </c>
      <c r="I230" s="145">
        <v>44774</v>
      </c>
      <c r="J230" s="158">
        <f t="shared" si="4"/>
        <v>8.727291292620043E-2</v>
      </c>
    </row>
    <row r="231" spans="1:10" x14ac:dyDescent="0.2">
      <c r="A231" s="307"/>
      <c r="B231" s="308" t="s">
        <v>556</v>
      </c>
      <c r="C231" s="306">
        <v>6370.34</v>
      </c>
      <c r="D231" s="306">
        <v>-0.28999999999999998</v>
      </c>
      <c r="E231" s="306">
        <v>-1.32</v>
      </c>
      <c r="F231" s="306">
        <v>0.86</v>
      </c>
      <c r="G231" s="306">
        <v>4.09</v>
      </c>
      <c r="H231" s="306">
        <v>7.17</v>
      </c>
      <c r="I231" s="145">
        <v>44805</v>
      </c>
      <c r="J231" s="158">
        <f t="shared" si="4"/>
        <v>7.1688247891645851E-2</v>
      </c>
    </row>
    <row r="232" spans="1:10" x14ac:dyDescent="0.2">
      <c r="A232" s="307"/>
      <c r="B232" s="308" t="s">
        <v>557</v>
      </c>
      <c r="C232" s="306">
        <v>6407.93</v>
      </c>
      <c r="D232" s="306">
        <v>0.59</v>
      </c>
      <c r="E232" s="306">
        <v>-0.06</v>
      </c>
      <c r="F232" s="306">
        <v>0.39</v>
      </c>
      <c r="G232" s="306">
        <v>4.7</v>
      </c>
      <c r="H232" s="306">
        <v>6.47</v>
      </c>
      <c r="I232" s="145">
        <v>44835</v>
      </c>
      <c r="J232" s="158">
        <f t="shared" si="4"/>
        <v>6.4703722349883863E-2</v>
      </c>
    </row>
    <row r="233" spans="1:10" x14ac:dyDescent="0.2">
      <c r="A233" s="304"/>
      <c r="B233" s="309" t="s">
        <v>558</v>
      </c>
      <c r="C233" s="306">
        <v>6434.2</v>
      </c>
      <c r="D233" s="306">
        <v>0.41</v>
      </c>
      <c r="E233" s="306">
        <v>0.71</v>
      </c>
      <c r="F233" s="306">
        <v>0.33</v>
      </c>
      <c r="G233" s="306">
        <v>5.13</v>
      </c>
      <c r="H233" s="306">
        <v>5.9</v>
      </c>
      <c r="I233" s="145">
        <v>44866</v>
      </c>
      <c r="J233" s="158">
        <f t="shared" si="4"/>
        <v>5.9007289707012633E-2</v>
      </c>
    </row>
    <row r="234" spans="1:10" x14ac:dyDescent="0.2">
      <c r="A234" s="304"/>
      <c r="B234" s="305" t="s">
        <v>559</v>
      </c>
      <c r="C234" s="306">
        <v>6474.09</v>
      </c>
      <c r="D234" s="306">
        <v>0.62</v>
      </c>
      <c r="E234" s="306">
        <v>1.63</v>
      </c>
      <c r="F234" s="306">
        <v>0.28000000000000003</v>
      </c>
      <c r="G234" s="306">
        <v>5.79</v>
      </c>
      <c r="H234" s="306">
        <v>5.79</v>
      </c>
      <c r="I234" s="145">
        <v>44896</v>
      </c>
      <c r="J234" s="158">
        <f t="shared" si="4"/>
        <v>5.7850929078894886E-2</v>
      </c>
    </row>
    <row r="235" spans="1:10" x14ac:dyDescent="0.2">
      <c r="A235" s="304">
        <v>2023</v>
      </c>
      <c r="B235" s="305" t="s">
        <v>548</v>
      </c>
      <c r="C235" s="306">
        <v>6508.4</v>
      </c>
      <c r="D235" s="306">
        <v>0.53</v>
      </c>
      <c r="E235" s="306">
        <v>1.57</v>
      </c>
      <c r="F235" s="306">
        <v>1.5</v>
      </c>
      <c r="G235" s="306">
        <v>0.53</v>
      </c>
      <c r="H235" s="306">
        <v>5.77</v>
      </c>
      <c r="I235" s="145">
        <v>44927</v>
      </c>
      <c r="J235" s="158">
        <f t="shared" si="4"/>
        <v>5.7744970413239338E-2</v>
      </c>
    </row>
    <row r="236" spans="1:10" x14ac:dyDescent="0.2">
      <c r="I236" s="145"/>
      <c r="J236" s="158"/>
    </row>
  </sheetData>
  <mergeCells count="2">
    <mergeCell ref="D3:H3"/>
    <mergeCell ref="A1:H1"/>
  </mergeCells>
  <hyperlinks>
    <hyperlink ref="K1" r:id="rId1" xr:uid="{DE2E2B6D-0CC3-4D29-B4F0-1E9D2444AD40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772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1" width="8.6640625" customWidth="1"/>
    <col min="2" max="2" width="9.1640625" customWidth="1"/>
    <col min="3" max="26" width="8.6640625" customWidth="1"/>
  </cols>
  <sheetData>
    <row r="1" spans="1:2" x14ac:dyDescent="0.2">
      <c r="A1" s="25" t="s">
        <v>523</v>
      </c>
      <c r="B1" s="25" t="s">
        <v>560</v>
      </c>
    </row>
    <row r="2" spans="1:2" ht="15.75" customHeight="1" x14ac:dyDescent="0.2">
      <c r="A2" s="18">
        <v>41275</v>
      </c>
      <c r="B2" s="95">
        <f>'23. IPCA'!J115</f>
        <v>6.1543360825525362E-2</v>
      </c>
    </row>
    <row r="3" spans="1:2" ht="15.75" customHeight="1" x14ac:dyDescent="0.2">
      <c r="A3" s="18">
        <v>41306</v>
      </c>
      <c r="B3" s="95">
        <f>'23. IPCA'!J116</f>
        <v>6.3129146440423556E-2</v>
      </c>
    </row>
    <row r="4" spans="1:2" ht="15.75" customHeight="1" x14ac:dyDescent="0.2">
      <c r="A4" s="18">
        <v>41334</v>
      </c>
      <c r="B4" s="95">
        <f>'23. IPCA'!J117</f>
        <v>6.588765923358908E-2</v>
      </c>
    </row>
    <row r="5" spans="1:2" ht="15.75" customHeight="1" x14ac:dyDescent="0.2">
      <c r="A5" s="18">
        <v>41365</v>
      </c>
      <c r="B5" s="95">
        <f>'23. IPCA'!J118</f>
        <v>6.4935139842997369E-2</v>
      </c>
    </row>
    <row r="6" spans="1:2" ht="15.75" customHeight="1" x14ac:dyDescent="0.2">
      <c r="A6" s="18">
        <v>41395</v>
      </c>
      <c r="B6" s="95">
        <f>'23. IPCA'!J119</f>
        <v>6.5041351287665972E-2</v>
      </c>
    </row>
    <row r="7" spans="1:2" ht="15.75" customHeight="1" x14ac:dyDescent="0.2">
      <c r="A7" s="18">
        <v>41426</v>
      </c>
      <c r="B7" s="95">
        <f>'23. IPCA'!J120</f>
        <v>6.6959158358983917E-2</v>
      </c>
    </row>
    <row r="8" spans="1:2" ht="15.75" customHeight="1" x14ac:dyDescent="0.2">
      <c r="A8" s="18">
        <v>41456</v>
      </c>
      <c r="B8" s="95">
        <f>'23. IPCA'!J121</f>
        <v>6.2706921691397355E-2</v>
      </c>
    </row>
    <row r="9" spans="1:2" ht="15.75" customHeight="1" x14ac:dyDescent="0.2">
      <c r="A9" s="18">
        <v>41487</v>
      </c>
      <c r="B9" s="95">
        <f>'23. IPCA'!J122</f>
        <v>6.0907620642133953E-2</v>
      </c>
    </row>
    <row r="10" spans="1:2" ht="15.75" customHeight="1" x14ac:dyDescent="0.2">
      <c r="A10" s="18">
        <v>41518</v>
      </c>
      <c r="B10" s="95">
        <f>'23. IPCA'!J123</f>
        <v>5.858620748231913E-2</v>
      </c>
    </row>
    <row r="11" spans="1:2" ht="15.75" customHeight="1" x14ac:dyDescent="0.2">
      <c r="A11" s="18">
        <v>41548</v>
      </c>
      <c r="B11" s="95">
        <f>'23. IPCA'!J124</f>
        <v>5.8374848715134098E-2</v>
      </c>
    </row>
    <row r="12" spans="1:2" ht="15.75" customHeight="1" x14ac:dyDescent="0.2">
      <c r="A12" s="18">
        <v>41579</v>
      </c>
      <c r="B12" s="95">
        <f>'23. IPCA'!J125</f>
        <v>5.7744067237047725E-2</v>
      </c>
    </row>
    <row r="13" spans="1:2" ht="15.75" customHeight="1" x14ac:dyDescent="0.2">
      <c r="A13" s="18">
        <v>41609</v>
      </c>
      <c r="B13" s="95">
        <f>'23. IPCA'!J126</f>
        <v>5.910683255331084E-2</v>
      </c>
    </row>
    <row r="14" spans="1:2" ht="15.75" customHeight="1" x14ac:dyDescent="0.2">
      <c r="A14" s="18">
        <v>41640</v>
      </c>
      <c r="B14" s="95">
        <f>'23. IPCA'!J127</f>
        <v>5.5850653925756166E-2</v>
      </c>
    </row>
    <row r="15" spans="1:2" ht="15.75" customHeight="1" x14ac:dyDescent="0.2">
      <c r="A15" s="18">
        <v>41671</v>
      </c>
      <c r="B15" s="95">
        <f>'23. IPCA'!J128</f>
        <v>5.6795176240137524E-2</v>
      </c>
    </row>
    <row r="16" spans="1:2" ht="15.75" customHeight="1" x14ac:dyDescent="0.2">
      <c r="A16" s="18">
        <v>41699</v>
      </c>
      <c r="B16" s="95">
        <f>'23. IPCA'!J129</f>
        <v>6.1528910091982913E-2</v>
      </c>
    </row>
    <row r="17" spans="1:2" ht="15.75" customHeight="1" x14ac:dyDescent="0.2">
      <c r="A17" s="18">
        <v>41730</v>
      </c>
      <c r="B17" s="95">
        <f>'23. IPCA'!J130</f>
        <v>6.2795521878774352E-2</v>
      </c>
    </row>
    <row r="18" spans="1:2" ht="15.75" customHeight="1" x14ac:dyDescent="0.2">
      <c r="A18" s="18">
        <v>41760</v>
      </c>
      <c r="B18" s="95">
        <f>'23. IPCA'!J131</f>
        <v>6.3748556504095832E-2</v>
      </c>
    </row>
    <row r="19" spans="1:2" ht="15.75" customHeight="1" x14ac:dyDescent="0.2">
      <c r="A19" s="18">
        <v>41791</v>
      </c>
      <c r="B19" s="95">
        <f>'23. IPCA'!J132</f>
        <v>6.5232836013692452E-2</v>
      </c>
    </row>
    <row r="20" spans="1:2" ht="15.75" customHeight="1" x14ac:dyDescent="0.2">
      <c r="A20" s="18">
        <v>41821</v>
      </c>
      <c r="B20" s="95">
        <f>'23. IPCA'!J133</f>
        <v>6.5022343107265623E-2</v>
      </c>
    </row>
    <row r="21" spans="1:2" ht="15.75" customHeight="1" x14ac:dyDescent="0.2">
      <c r="A21" s="18">
        <v>41852</v>
      </c>
      <c r="B21" s="95">
        <f>'23. IPCA'!J134</f>
        <v>6.5129698466163122E-2</v>
      </c>
    </row>
    <row r="22" spans="1:2" ht="15.75" customHeight="1" x14ac:dyDescent="0.2">
      <c r="A22" s="18">
        <v>41883</v>
      </c>
      <c r="B22" s="95">
        <f>'23. IPCA'!J135</f>
        <v>6.7464743152562567E-2</v>
      </c>
    </row>
    <row r="23" spans="1:2" ht="15.75" customHeight="1" x14ac:dyDescent="0.2">
      <c r="A23" s="18">
        <v>41913</v>
      </c>
      <c r="B23" s="95">
        <f>'23. IPCA'!J136</f>
        <v>6.5872403797569312E-2</v>
      </c>
    </row>
    <row r="24" spans="1:2" ht="15.75" customHeight="1" x14ac:dyDescent="0.2">
      <c r="A24" s="18">
        <v>41944</v>
      </c>
      <c r="B24" s="95">
        <f>'23. IPCA'!J137</f>
        <v>6.5552913418734038E-2</v>
      </c>
    </row>
    <row r="25" spans="1:2" ht="15.75" customHeight="1" x14ac:dyDescent="0.2">
      <c r="A25" s="18">
        <v>41974</v>
      </c>
      <c r="B25" s="95">
        <f>'23. IPCA'!J138</f>
        <v>6.4074707959081545E-2</v>
      </c>
    </row>
    <row r="26" spans="1:2" ht="15.75" customHeight="1" x14ac:dyDescent="0.2">
      <c r="A26" s="18">
        <v>42005</v>
      </c>
      <c r="B26" s="95">
        <f>'23. IPCA'!J139</f>
        <v>7.1377369753178099E-2</v>
      </c>
    </row>
    <row r="27" spans="1:2" ht="15.75" customHeight="1" x14ac:dyDescent="0.2">
      <c r="A27" s="18">
        <v>42036</v>
      </c>
      <c r="B27" s="95">
        <f>'23. IPCA'!J140</f>
        <v>7.7015874330803147E-2</v>
      </c>
    </row>
    <row r="28" spans="1:2" ht="15.75" customHeight="1" x14ac:dyDescent="0.2">
      <c r="A28" s="18">
        <v>42064</v>
      </c>
      <c r="B28" s="95">
        <f>'23. IPCA'!J141</f>
        <v>8.1285046609104405E-2</v>
      </c>
    </row>
    <row r="29" spans="1:2" ht="15.75" customHeight="1" x14ac:dyDescent="0.2">
      <c r="A29" s="18">
        <v>42095</v>
      </c>
      <c r="B29" s="95">
        <f>'23. IPCA'!J142</f>
        <v>8.1714868136068208E-2</v>
      </c>
    </row>
    <row r="30" spans="1:2" ht="15.75" customHeight="1" x14ac:dyDescent="0.2">
      <c r="A30" s="18">
        <v>42125</v>
      </c>
      <c r="B30" s="95">
        <f>'23. IPCA'!J143</f>
        <v>8.4729426386475737E-2</v>
      </c>
    </row>
    <row r="31" spans="1:2" ht="15.75" customHeight="1" x14ac:dyDescent="0.2">
      <c r="A31" s="18">
        <v>42156</v>
      </c>
      <c r="B31" s="95">
        <f>'23. IPCA'!J144</f>
        <v>8.894429960185124E-2</v>
      </c>
    </row>
    <row r="32" spans="1:2" ht="15.75" customHeight="1" x14ac:dyDescent="0.2">
      <c r="A32" s="18">
        <v>42186</v>
      </c>
      <c r="B32" s="95">
        <f>'23. IPCA'!J145</f>
        <v>9.5583926117532858E-2</v>
      </c>
    </row>
    <row r="33" spans="1:2" ht="15.75" customHeight="1" x14ac:dyDescent="0.2">
      <c r="A33" s="18">
        <v>42217</v>
      </c>
      <c r="B33" s="95">
        <f>'23. IPCA'!J146</f>
        <v>9.5254773699673834E-2</v>
      </c>
    </row>
    <row r="34" spans="1:2" ht="15.75" customHeight="1" x14ac:dyDescent="0.2">
      <c r="A34" s="18">
        <v>42248</v>
      </c>
      <c r="B34" s="95">
        <f>'23. IPCA'!J147</f>
        <v>9.4927892083663146E-2</v>
      </c>
    </row>
    <row r="35" spans="1:2" ht="15.75" customHeight="1" x14ac:dyDescent="0.2">
      <c r="A35" s="18">
        <v>42278</v>
      </c>
      <c r="B35" s="95">
        <f>'23. IPCA'!J148</f>
        <v>9.9288922155688519E-2</v>
      </c>
    </row>
    <row r="36" spans="1:2" ht="15.75" customHeight="1" x14ac:dyDescent="0.2">
      <c r="A36" s="18">
        <v>42309</v>
      </c>
      <c r="B36" s="95">
        <f>'23. IPCA'!J149</f>
        <v>0.10475767294535854</v>
      </c>
    </row>
    <row r="37" spans="1:2" ht="15.75" customHeight="1" x14ac:dyDescent="0.2">
      <c r="A37" s="18">
        <v>42401</v>
      </c>
      <c r="B37" s="95">
        <f>'23. IPCA'!J150</f>
        <v>0.1067302813397506</v>
      </c>
    </row>
    <row r="38" spans="1:2" ht="15.75" customHeight="1" x14ac:dyDescent="0.2">
      <c r="A38" s="18">
        <v>42430</v>
      </c>
      <c r="B38" s="95">
        <f>'23. IPCA'!J151</f>
        <v>0.10705805070312868</v>
      </c>
    </row>
    <row r="39" spans="1:2" ht="15.75" customHeight="1" x14ac:dyDescent="0.2">
      <c r="A39" s="18">
        <v>42461</v>
      </c>
      <c r="B39" s="95">
        <f>'23. IPCA'!J152</f>
        <v>0.10355884374834745</v>
      </c>
    </row>
    <row r="40" spans="1:2" ht="15.75" customHeight="1" x14ac:dyDescent="0.2">
      <c r="A40" s="18">
        <v>42491</v>
      </c>
      <c r="B40" s="95">
        <f>'23. IPCA'!J153</f>
        <v>9.3863723708620617E-2</v>
      </c>
    </row>
    <row r="41" spans="1:2" ht="15.75" customHeight="1" x14ac:dyDescent="0.2">
      <c r="A41" s="18">
        <v>42522</v>
      </c>
      <c r="B41" s="95">
        <f>'23. IPCA'!J154</f>
        <v>9.277794397895045E-2</v>
      </c>
    </row>
    <row r="42" spans="1:2" ht="15.75" customHeight="1" x14ac:dyDescent="0.2">
      <c r="A42" s="18">
        <v>42552</v>
      </c>
      <c r="B42" s="95">
        <f>'23. IPCA'!J155</f>
        <v>9.3211897301594515E-2</v>
      </c>
    </row>
    <row r="43" spans="1:2" ht="15.75" customHeight="1" x14ac:dyDescent="0.2">
      <c r="A43" s="18">
        <v>42583</v>
      </c>
      <c r="B43" s="95">
        <f>'23. IPCA'!J156</f>
        <v>8.8437473175281056E-2</v>
      </c>
    </row>
    <row r="44" spans="1:2" ht="15.75" customHeight="1" x14ac:dyDescent="0.2">
      <c r="A44" s="18">
        <v>42614</v>
      </c>
      <c r="B44" s="95">
        <f>'23. IPCA'!J157</f>
        <v>8.7357710549190726E-2</v>
      </c>
    </row>
    <row r="45" spans="1:2" ht="15.75" customHeight="1" x14ac:dyDescent="0.2">
      <c r="A45" s="18">
        <v>42644</v>
      </c>
      <c r="B45" s="95">
        <f>'23. IPCA'!J158</f>
        <v>8.9744976016012279E-2</v>
      </c>
    </row>
    <row r="46" spans="1:2" ht="15.75" customHeight="1" x14ac:dyDescent="0.2">
      <c r="A46" s="18">
        <v>42675</v>
      </c>
      <c r="B46" s="95">
        <f>'23. IPCA'!J159</f>
        <v>8.4759686232872333E-2</v>
      </c>
    </row>
    <row r="47" spans="1:2" ht="15.75" customHeight="1" x14ac:dyDescent="0.2">
      <c r="A47" s="18">
        <v>42705</v>
      </c>
      <c r="B47" s="95">
        <f>'23. IPCA'!J160</f>
        <v>7.8736708314892434E-2</v>
      </c>
    </row>
    <row r="48" spans="1:2" ht="15.75" customHeight="1" x14ac:dyDescent="0.2">
      <c r="A48" s="18">
        <v>42736</v>
      </c>
      <c r="B48" s="95">
        <f>'23. IPCA'!J161</f>
        <v>6.9873832983181616E-2</v>
      </c>
    </row>
    <row r="49" spans="1:2" ht="15.75" customHeight="1" x14ac:dyDescent="0.2">
      <c r="A49" s="18">
        <v>42767</v>
      </c>
      <c r="B49" s="95">
        <f>'23. IPCA'!J162</f>
        <v>6.2879882132213849E-2</v>
      </c>
    </row>
    <row r="50" spans="1:2" ht="15.75" customHeight="1" x14ac:dyDescent="0.2">
      <c r="A50" s="18">
        <v>42795</v>
      </c>
      <c r="B50" s="95">
        <f>'23. IPCA'!J163</f>
        <v>5.3540150717656276E-2</v>
      </c>
    </row>
    <row r="51" spans="1:2" ht="15.75" customHeight="1" x14ac:dyDescent="0.2">
      <c r="A51" s="18">
        <v>42826</v>
      </c>
      <c r="B51" s="95">
        <f>'23. IPCA'!J164</f>
        <v>4.7589072961635059E-2</v>
      </c>
    </row>
    <row r="52" spans="1:2" ht="15.75" customHeight="1" x14ac:dyDescent="0.2">
      <c r="A52" s="18">
        <v>42856</v>
      </c>
      <c r="B52" s="95">
        <f>'23. IPCA'!J165</f>
        <v>4.5711051156818838E-2</v>
      </c>
    </row>
    <row r="53" spans="1:2" ht="15.75" customHeight="1" x14ac:dyDescent="0.2">
      <c r="A53" s="18">
        <v>42887</v>
      </c>
      <c r="B53" s="95">
        <f>'23. IPCA'!J166</f>
        <v>4.0825168946228008E-2</v>
      </c>
    </row>
    <row r="54" spans="1:2" ht="15.75" customHeight="1" x14ac:dyDescent="0.2">
      <c r="A54" s="18">
        <v>42917</v>
      </c>
      <c r="B54" s="95">
        <f>'23. IPCA'!J167</f>
        <v>3.5972561777709355E-2</v>
      </c>
    </row>
    <row r="55" spans="1:2" ht="15.75" customHeight="1" x14ac:dyDescent="0.2">
      <c r="A55" s="18">
        <v>42948</v>
      </c>
      <c r="B55" s="95">
        <f>'23. IPCA'!J168</f>
        <v>2.9985569924055655E-2</v>
      </c>
    </row>
    <row r="56" spans="1:2" ht="15.75" customHeight="1" x14ac:dyDescent="0.2">
      <c r="A56" s="18">
        <v>42979</v>
      </c>
      <c r="B56" s="95">
        <f>'23. IPCA'!J169</f>
        <v>2.711625766806125E-2</v>
      </c>
    </row>
    <row r="57" spans="1:2" ht="15.75" customHeight="1" x14ac:dyDescent="0.2">
      <c r="A57" s="18">
        <v>43009</v>
      </c>
      <c r="B57" s="95">
        <f>'23. IPCA'!J170</f>
        <v>2.4559084940275255E-2</v>
      </c>
    </row>
    <row r="58" spans="1:2" ht="15.75" customHeight="1" x14ac:dyDescent="0.2">
      <c r="A58" s="18">
        <v>43040</v>
      </c>
      <c r="B58" s="95">
        <f>'23. IPCA'!J171</f>
        <v>2.5376909332922803E-2</v>
      </c>
    </row>
    <row r="59" spans="1:2" ht="15.75" customHeight="1" x14ac:dyDescent="0.2">
      <c r="A59" s="18">
        <v>43070</v>
      </c>
      <c r="B59" s="95">
        <f>'23. IPCA'!J172</f>
        <v>2.7013208888963858E-2</v>
      </c>
    </row>
    <row r="60" spans="1:2" ht="15.75" customHeight="1" x14ac:dyDescent="0.2">
      <c r="A60" s="18">
        <v>43101</v>
      </c>
      <c r="B60" s="95">
        <f>'23. IPCA'!J173</f>
        <v>2.8037854253563088E-2</v>
      </c>
    </row>
    <row r="61" spans="1:2" ht="15.75" customHeight="1" x14ac:dyDescent="0.2">
      <c r="A61" s="18">
        <v>43132</v>
      </c>
      <c r="B61" s="95">
        <f>'23. IPCA'!J174</f>
        <v>2.9474213204347066E-2</v>
      </c>
    </row>
    <row r="62" spans="1:2" ht="15.75" customHeight="1" x14ac:dyDescent="0.2">
      <c r="A62" s="18">
        <v>43160</v>
      </c>
      <c r="B62" s="95">
        <f>'23. IPCA'!J175</f>
        <v>2.8551164512865324E-2</v>
      </c>
    </row>
    <row r="63" spans="1:2" ht="15.75" customHeight="1" x14ac:dyDescent="0.2">
      <c r="A63" s="18">
        <v>43191</v>
      </c>
      <c r="B63" s="95">
        <f>'23. IPCA'!J176</f>
        <v>2.8448937245174832E-2</v>
      </c>
    </row>
    <row r="64" spans="1:2" ht="15.75" customHeight="1" x14ac:dyDescent="0.2">
      <c r="A64" s="18">
        <v>43221</v>
      </c>
      <c r="B64" s="95">
        <f>'23. IPCA'!J177</f>
        <v>2.6808027890635966E-2</v>
      </c>
    </row>
    <row r="65" spans="1:2" ht="15.75" customHeight="1" x14ac:dyDescent="0.2">
      <c r="A65" s="18">
        <v>43252</v>
      </c>
      <c r="B65" s="95">
        <f>'23. IPCA'!J178</f>
        <v>2.7627970938854052E-2</v>
      </c>
    </row>
    <row r="66" spans="1:2" ht="15.75" customHeight="1" x14ac:dyDescent="0.2">
      <c r="A66" s="18">
        <v>43282</v>
      </c>
      <c r="B66" s="95">
        <f>'23. IPCA'!J179</f>
        <v>2.8550133067404948E-2</v>
      </c>
    </row>
    <row r="67" spans="1:2" ht="15.75" customHeight="1" x14ac:dyDescent="0.2">
      <c r="A67" s="18">
        <v>43313</v>
      </c>
      <c r="B67" s="95">
        <f>'23. IPCA'!J180</f>
        <v>4.3911039739087387E-2</v>
      </c>
    </row>
    <row r="68" spans="1:2" ht="15.75" customHeight="1" x14ac:dyDescent="0.2">
      <c r="A68" s="18">
        <v>43344</v>
      </c>
      <c r="B68" s="95">
        <f>'23. IPCA'!J181</f>
        <v>4.4848437303230737E-2</v>
      </c>
    </row>
    <row r="69" spans="1:2" ht="15.75" customHeight="1" x14ac:dyDescent="0.2">
      <c r="A69" s="18">
        <v>43374</v>
      </c>
      <c r="B69" s="95">
        <f>'23. IPCA'!J182</f>
        <v>4.1930159672125322E-2</v>
      </c>
    </row>
    <row r="70" spans="1:2" ht="15.75" customHeight="1" x14ac:dyDescent="0.2">
      <c r="A70" s="18">
        <v>43405</v>
      </c>
      <c r="B70" s="95">
        <f>'23. IPCA'!J183</f>
        <v>4.5259760164416463E-2</v>
      </c>
    </row>
    <row r="71" spans="1:2" ht="15.75" customHeight="1" x14ac:dyDescent="0.2">
      <c r="A71" s="18">
        <v>43435</v>
      </c>
      <c r="B71" s="95">
        <f>'23. IPCA'!J184</f>
        <v>4.5570294494237995E-2</v>
      </c>
    </row>
    <row r="72" spans="1:2" ht="15.75" customHeight="1" x14ac:dyDescent="0.2">
      <c r="A72" s="18">
        <v>43466</v>
      </c>
      <c r="B72" s="95">
        <f>'23. IPCA'!J185</f>
        <v>4.0460313958144312E-2</v>
      </c>
    </row>
    <row r="73" spans="1:2" ht="15.75" customHeight="1" x14ac:dyDescent="0.2">
      <c r="A73" s="18">
        <v>43497</v>
      </c>
      <c r="B73" s="95">
        <f>'23. IPCA'!J186</f>
        <v>3.7455811701915476E-2</v>
      </c>
    </row>
    <row r="74" spans="1:2" ht="15.75" customHeight="1" x14ac:dyDescent="0.2">
      <c r="A74" s="18">
        <v>43525</v>
      </c>
      <c r="B74" s="95">
        <f>'23. IPCA'!J187</f>
        <v>3.7765275659538577E-2</v>
      </c>
    </row>
    <row r="75" spans="1:2" ht="15.75" customHeight="1" x14ac:dyDescent="0.2">
      <c r="A75" s="18">
        <v>43556</v>
      </c>
      <c r="B75" s="95">
        <f>'23. IPCA'!J188</f>
        <v>3.890225411907422E-2</v>
      </c>
    </row>
    <row r="76" spans="1:2" ht="15.75" customHeight="1" x14ac:dyDescent="0.2">
      <c r="A76" s="18">
        <v>43586</v>
      </c>
      <c r="B76" s="95">
        <f>'23. IPCA'!J189</f>
        <v>4.5752835314434748E-2</v>
      </c>
    </row>
    <row r="77" spans="1:2" ht="15.75" customHeight="1" x14ac:dyDescent="0.2">
      <c r="A77" s="18">
        <v>43617</v>
      </c>
      <c r="B77" s="95">
        <f>'23. IPCA'!J190</f>
        <v>4.9405059413443198E-2</v>
      </c>
    </row>
    <row r="78" spans="1:2" ht="15.75" customHeight="1" x14ac:dyDescent="0.2">
      <c r="A78" s="18">
        <v>43647</v>
      </c>
      <c r="B78" s="95">
        <f>'23. IPCA'!J191</f>
        <v>4.6582585427836776E-2</v>
      </c>
    </row>
    <row r="79" spans="1:2" ht="15.75" customHeight="1" x14ac:dyDescent="0.2">
      <c r="A79" s="18">
        <v>43678</v>
      </c>
      <c r="B79" s="95">
        <f>'23. IPCA'!J192</f>
        <v>3.3662671524801624E-2</v>
      </c>
    </row>
    <row r="80" spans="1:2" ht="15.75" customHeight="1" x14ac:dyDescent="0.2">
      <c r="A80" s="18">
        <v>43709</v>
      </c>
      <c r="B80" s="95">
        <f>'23. IPCA'!J193</f>
        <v>3.2220204658661933E-2</v>
      </c>
    </row>
    <row r="81" spans="1:2" ht="15.75" customHeight="1" x14ac:dyDescent="0.2">
      <c r="A81" s="18">
        <v>43739</v>
      </c>
      <c r="B81" s="95">
        <f>'23. IPCA'!J194</f>
        <v>3.4286155014476183E-2</v>
      </c>
    </row>
    <row r="82" spans="1:2" ht="15.75" customHeight="1" x14ac:dyDescent="0.2">
      <c r="A82" s="18">
        <v>43770</v>
      </c>
      <c r="B82" s="95">
        <f>'23. IPCA'!J195</f>
        <v>2.8934248931768991E-2</v>
      </c>
    </row>
    <row r="83" spans="1:2" ht="15.75" customHeight="1" x14ac:dyDescent="0.2">
      <c r="A83" s="18">
        <v>43800</v>
      </c>
      <c r="B83" s="95">
        <f>'23. IPCA'!J196</f>
        <v>2.5350285773626524E-2</v>
      </c>
    </row>
    <row r="84" spans="1:2" ht="15.75" customHeight="1" x14ac:dyDescent="0.2">
      <c r="A84" s="18">
        <v>43831</v>
      </c>
      <c r="B84" s="95">
        <f>'23. IPCA'!J197</f>
        <v>3.274906390573662E-2</v>
      </c>
    </row>
    <row r="85" spans="1:2" ht="15.75" customHeight="1" x14ac:dyDescent="0.2">
      <c r="A85" s="18">
        <v>43862</v>
      </c>
      <c r="B85" s="95">
        <f>'23. IPCA'!J198</f>
        <v>4.306151617159526E-2</v>
      </c>
    </row>
    <row r="86" spans="1:2" ht="15.75" customHeight="1" x14ac:dyDescent="0.2">
      <c r="A86" s="18">
        <v>43891</v>
      </c>
      <c r="B86" s="95">
        <f>'23. IPCA'!J199</f>
        <v>4.1917712378320537E-2</v>
      </c>
    </row>
    <row r="87" spans="1:2" ht="15.75" customHeight="1" x14ac:dyDescent="0.2">
      <c r="A87" s="18">
        <v>43922</v>
      </c>
      <c r="B87" s="95">
        <f>'23. IPCA'!J200</f>
        <v>4.0051139050347073E-2</v>
      </c>
    </row>
    <row r="88" spans="1:2" ht="15.75" customHeight="1" x14ac:dyDescent="0.2">
      <c r="A88" s="18">
        <v>43952</v>
      </c>
      <c r="B88" s="95">
        <f>'23. IPCA'!J201</f>
        <v>3.303157719890204E-2</v>
      </c>
    </row>
    <row r="89" spans="1:2" ht="15.75" customHeight="1" x14ac:dyDescent="0.2">
      <c r="A89" s="18">
        <v>43983</v>
      </c>
      <c r="B89" s="95">
        <f>'23. IPCA'!J202</f>
        <v>2.3992794287667873E-2</v>
      </c>
    </row>
    <row r="90" spans="1:2" ht="15.75" customHeight="1" x14ac:dyDescent="0.2">
      <c r="A90" s="18">
        <v>44013</v>
      </c>
      <c r="B90" s="95">
        <f>'23. IPCA'!J203</f>
        <v>1.8777271637496984E-2</v>
      </c>
    </row>
    <row r="91" spans="1:2" ht="15.75" customHeight="1" x14ac:dyDescent="0.2">
      <c r="A91" s="18">
        <v>44044</v>
      </c>
      <c r="B91" s="95">
        <f>'23. IPCA'!J204</f>
        <v>2.1324173853674466E-2</v>
      </c>
    </row>
    <row r="92" spans="1:2" ht="15.75" customHeight="1" x14ac:dyDescent="0.2">
      <c r="A92" s="18">
        <v>44075</v>
      </c>
      <c r="B92" s="95">
        <f>'23. IPCA'!J205</f>
        <v>2.3056249976072696E-2</v>
      </c>
    </row>
    <row r="93" spans="1:2" ht="15.75" customHeight="1" x14ac:dyDescent="0.2">
      <c r="A93" s="18">
        <v>44105</v>
      </c>
      <c r="B93" s="95">
        <f>'23. IPCA'!J206</f>
        <v>2.438464759566572E-2</v>
      </c>
    </row>
    <row r="94" spans="1:2" ht="15.75" customHeight="1" x14ac:dyDescent="0.2">
      <c r="A94" s="18">
        <v>44136</v>
      </c>
      <c r="B94" s="95">
        <f>'23. IPCA'!J207</f>
        <v>3.1353293138274951E-2</v>
      </c>
    </row>
    <row r="95" spans="1:2" ht="15.75" customHeight="1" x14ac:dyDescent="0.2">
      <c r="A95" s="18">
        <v>44166</v>
      </c>
      <c r="B95" s="95">
        <f>'23. IPCA'!J208</f>
        <v>3.9183500316257946E-2</v>
      </c>
    </row>
    <row r="96" spans="1:2" ht="15.75" customHeight="1" x14ac:dyDescent="0.2">
      <c r="A96" s="18">
        <v>44197</v>
      </c>
      <c r="B96" s="95">
        <f>'23. IPCA'!J209</f>
        <v>4.3112233257791344E-2</v>
      </c>
    </row>
    <row r="97" spans="1:2" ht="15.75" customHeight="1" x14ac:dyDescent="0.2">
      <c r="A97" s="18">
        <v>44228</v>
      </c>
      <c r="B97" s="95">
        <f>'23. IPCA'!J210</f>
        <v>4.517456886424509E-2</v>
      </c>
    </row>
    <row r="98" spans="1:2" ht="15.75" customHeight="1" x14ac:dyDescent="0.2">
      <c r="A98" s="18">
        <v>44256</v>
      </c>
      <c r="B98" s="95">
        <f>'23. IPCA'!J211</f>
        <v>4.5591981123227932E-2</v>
      </c>
    </row>
    <row r="99" spans="1:2" ht="15.75" customHeight="1" x14ac:dyDescent="0.2">
      <c r="A99" s="18">
        <v>44287</v>
      </c>
      <c r="B99" s="95">
        <f>'23. IPCA'!J212</f>
        <v>5.1953786425932069E-2</v>
      </c>
    </row>
    <row r="100" spans="1:2" ht="15.75" customHeight="1" x14ac:dyDescent="0.2">
      <c r="A100" s="18">
        <v>44317</v>
      </c>
      <c r="B100" s="95">
        <f>'23. IPCA'!J213</f>
        <v>6.0994785444116184E-2</v>
      </c>
    </row>
    <row r="101" spans="1:2" ht="15.75" customHeight="1" x14ac:dyDescent="0.2">
      <c r="A101" s="18">
        <v>44348</v>
      </c>
      <c r="B101" s="95">
        <f>'23. IPCA'!J214</f>
        <v>6.7593038892254542E-2</v>
      </c>
    </row>
    <row r="102" spans="1:2" ht="15.75" customHeight="1" x14ac:dyDescent="0.2">
      <c r="A102" s="18">
        <v>44378</v>
      </c>
      <c r="B102" s="95">
        <f>'23. IPCA'!J215</f>
        <v>8.0560654410588128E-2</v>
      </c>
    </row>
    <row r="103" spans="1:2" ht="15.75" customHeight="1" x14ac:dyDescent="0.2">
      <c r="A103" s="18">
        <v>44409</v>
      </c>
      <c r="B103" s="95">
        <f>'23. IPCA'!J216</f>
        <v>8.3470723655796775E-2</v>
      </c>
    </row>
    <row r="104" spans="1:2" ht="15.75" customHeight="1" x14ac:dyDescent="0.2">
      <c r="A104" s="18">
        <v>44440</v>
      </c>
      <c r="B104" s="95">
        <f>'23. IPCA'!J217</f>
        <v>8.9948228408701869E-2</v>
      </c>
    </row>
    <row r="105" spans="1:2" ht="15.75" customHeight="1" x14ac:dyDescent="0.2">
      <c r="A105" s="18">
        <v>44470</v>
      </c>
      <c r="B105" s="95">
        <f>'23. IPCA'!J218</f>
        <v>9.6797736240681331E-2</v>
      </c>
    </row>
    <row r="106" spans="1:2" ht="15.75" customHeight="1" x14ac:dyDescent="0.2">
      <c r="A106" s="18">
        <v>44501</v>
      </c>
      <c r="B106" s="95">
        <f>'23. IPCA'!J219</f>
        <v>0.10246394955255722</v>
      </c>
    </row>
    <row r="107" spans="1:2" ht="15.75" customHeight="1" x14ac:dyDescent="0.2">
      <c r="A107" s="18">
        <v>44531</v>
      </c>
      <c r="B107" s="95">
        <f>'23. IPCA'!J220</f>
        <v>0.1067262215618634</v>
      </c>
    </row>
    <row r="108" spans="1:2" ht="15.75" customHeight="1" x14ac:dyDescent="0.2">
      <c r="A108" s="18">
        <v>44562</v>
      </c>
      <c r="B108" s="95">
        <f>'23. IPCA'!J221</f>
        <v>0.1073850090767916</v>
      </c>
    </row>
    <row r="109" spans="1:2" ht="15.75" customHeight="1" x14ac:dyDescent="0.2">
      <c r="A109" s="18">
        <v>44593</v>
      </c>
      <c r="B109" s="95">
        <f>'23. IPCA'!J222</f>
        <v>0.10060982737443336</v>
      </c>
    </row>
    <row r="110" spans="1:2" ht="15.75" customHeight="1" x14ac:dyDescent="0.2">
      <c r="A110" s="18">
        <v>44621</v>
      </c>
      <c r="B110" s="95">
        <f>'23. IPCA'!J223</f>
        <v>0.10379424844245855</v>
      </c>
    </row>
    <row r="111" spans="1:2" ht="15.75" customHeight="1" x14ac:dyDescent="0.2">
      <c r="A111" s="18">
        <v>44652</v>
      </c>
      <c r="B111" s="95">
        <f>'23. IPCA'!J224</f>
        <v>0.10543661726335407</v>
      </c>
    </row>
    <row r="112" spans="1:2" ht="15.75" customHeight="1" x14ac:dyDescent="0.2">
      <c r="A112" s="18">
        <v>44682</v>
      </c>
      <c r="B112" s="95">
        <f>'23. IPCA'!J225</f>
        <v>0.11299412129585251</v>
      </c>
    </row>
    <row r="113" spans="1:2" ht="15.75" customHeight="1" x14ac:dyDescent="0.2">
      <c r="A113" s="18">
        <v>44713</v>
      </c>
      <c r="B113" s="95">
        <f>'23. IPCA'!J226</f>
        <v>0.12131630216906664</v>
      </c>
    </row>
    <row r="114" spans="1:2" ht="15.75" customHeight="1" x14ac:dyDescent="0.2">
      <c r="A114" s="18">
        <v>44743</v>
      </c>
      <c r="B114" s="95">
        <f>'23. IPCA'!J227</f>
        <v>0.11731212845583983</v>
      </c>
    </row>
    <row r="115" spans="1:2" ht="15.75" customHeight="1" x14ac:dyDescent="0.2">
      <c r="A115" s="18">
        <v>44774</v>
      </c>
      <c r="B115" s="95">
        <f>'23. IPCA'!J228</f>
        <v>0.11886869625198027</v>
      </c>
    </row>
    <row r="116" spans="1:2" ht="15.75" customHeight="1" x14ac:dyDescent="0.2">
      <c r="A116" s="18">
        <v>44805</v>
      </c>
      <c r="B116" s="95">
        <f>'23. IPCA'!J229</f>
        <v>0.10069403316870851</v>
      </c>
    </row>
    <row r="117" spans="1:2" ht="15.75" customHeight="1" x14ac:dyDescent="0.2">
      <c r="A117" s="18">
        <v>44835</v>
      </c>
      <c r="B117" s="95">
        <f>'23. IPCA'!J230</f>
        <v>8.727291292620043E-2</v>
      </c>
    </row>
    <row r="118" spans="1:2" ht="15.75" customHeight="1" x14ac:dyDescent="0.2">
      <c r="A118" s="18">
        <v>44866</v>
      </c>
      <c r="B118" s="95">
        <f>'23. IPCA'!J231</f>
        <v>7.1688247891645851E-2</v>
      </c>
    </row>
    <row r="119" spans="1:2" ht="15.75" customHeight="1" x14ac:dyDescent="0.2">
      <c r="A119" s="18">
        <v>44896</v>
      </c>
      <c r="B119" s="95">
        <f>'23. IPCA'!J232</f>
        <v>6.4703722349883863E-2</v>
      </c>
    </row>
    <row r="120" spans="1:2" ht="15.75" customHeight="1" x14ac:dyDescent="0.2">
      <c r="B120" s="2"/>
    </row>
    <row r="121" spans="1:2" ht="15.75" customHeight="1" x14ac:dyDescent="0.2">
      <c r="B121" s="2"/>
    </row>
    <row r="122" spans="1:2" ht="15.75" customHeight="1" x14ac:dyDescent="0.2">
      <c r="B122" s="2"/>
    </row>
    <row r="123" spans="1:2" ht="15.75" customHeight="1" x14ac:dyDescent="0.2">
      <c r="B123" s="2"/>
    </row>
    <row r="124" spans="1:2" ht="15.75" customHeight="1" x14ac:dyDescent="0.2">
      <c r="B124" s="2"/>
    </row>
    <row r="125" spans="1:2" ht="15.75" customHeight="1" x14ac:dyDescent="0.2">
      <c r="B125" s="2"/>
    </row>
    <row r="126" spans="1:2" ht="15.75" customHeight="1" x14ac:dyDescent="0.2">
      <c r="B126" s="2"/>
    </row>
    <row r="127" spans="1:2" ht="15.75" customHeight="1" x14ac:dyDescent="0.2">
      <c r="B127" s="2"/>
    </row>
    <row r="128" spans="1:2" ht="15.75" customHeight="1" x14ac:dyDescent="0.2">
      <c r="B128" s="2"/>
    </row>
    <row r="129" spans="2:2" ht="15.75" customHeight="1" x14ac:dyDescent="0.2">
      <c r="B129" s="2"/>
    </row>
    <row r="130" spans="2:2" ht="15.75" customHeight="1" x14ac:dyDescent="0.2">
      <c r="B130" s="2"/>
    </row>
    <row r="131" spans="2:2" ht="15.75" customHeight="1" x14ac:dyDescent="0.2">
      <c r="B131" s="2"/>
    </row>
    <row r="132" spans="2:2" ht="15.75" customHeight="1" x14ac:dyDescent="0.2">
      <c r="B132" s="2"/>
    </row>
    <row r="133" spans="2:2" ht="15.75" customHeight="1" x14ac:dyDescent="0.2">
      <c r="B133" s="2"/>
    </row>
    <row r="134" spans="2:2" ht="15.75" customHeight="1" x14ac:dyDescent="0.2">
      <c r="B134" s="2"/>
    </row>
    <row r="135" spans="2:2" ht="15.75" customHeight="1" x14ac:dyDescent="0.2">
      <c r="B135" s="2"/>
    </row>
    <row r="136" spans="2:2" ht="15.75" customHeight="1" x14ac:dyDescent="0.2">
      <c r="B136" s="2"/>
    </row>
    <row r="137" spans="2:2" ht="15.75" customHeight="1" x14ac:dyDescent="0.2">
      <c r="B137" s="2"/>
    </row>
    <row r="138" spans="2:2" ht="15.75" customHeight="1" x14ac:dyDescent="0.2">
      <c r="B138" s="2"/>
    </row>
    <row r="139" spans="2:2" ht="15.75" customHeight="1" x14ac:dyDescent="0.2">
      <c r="B139" s="2"/>
    </row>
    <row r="140" spans="2:2" ht="15.75" customHeight="1" x14ac:dyDescent="0.2">
      <c r="B140" s="2"/>
    </row>
    <row r="141" spans="2:2" ht="15.75" customHeight="1" x14ac:dyDescent="0.2">
      <c r="B141" s="2"/>
    </row>
    <row r="142" spans="2:2" ht="15.75" customHeight="1" x14ac:dyDescent="0.2">
      <c r="B142" s="2"/>
    </row>
    <row r="143" spans="2:2" ht="15.75" customHeight="1" x14ac:dyDescent="0.2">
      <c r="B143" s="2"/>
    </row>
    <row r="144" spans="2:2" ht="15.75" customHeight="1" x14ac:dyDescent="0.2">
      <c r="B144" s="2"/>
    </row>
    <row r="145" spans="2:2" ht="15.75" customHeight="1" x14ac:dyDescent="0.2">
      <c r="B145" s="2"/>
    </row>
    <row r="146" spans="2:2" ht="15.75" customHeight="1" x14ac:dyDescent="0.2">
      <c r="B146" s="2"/>
    </row>
    <row r="147" spans="2:2" ht="15.75" customHeight="1" x14ac:dyDescent="0.2">
      <c r="B147" s="2"/>
    </row>
    <row r="148" spans="2:2" ht="15.75" customHeight="1" x14ac:dyDescent="0.2">
      <c r="B148" s="2"/>
    </row>
    <row r="149" spans="2:2" ht="15.75" customHeight="1" x14ac:dyDescent="0.2">
      <c r="B149" s="2"/>
    </row>
    <row r="150" spans="2:2" ht="15.75" customHeight="1" x14ac:dyDescent="0.2">
      <c r="B150" s="2"/>
    </row>
    <row r="151" spans="2:2" ht="15.75" customHeight="1" x14ac:dyDescent="0.2">
      <c r="B151" s="2"/>
    </row>
    <row r="152" spans="2:2" ht="15.75" customHeight="1" x14ac:dyDescent="0.2">
      <c r="B152" s="2"/>
    </row>
    <row r="153" spans="2:2" ht="15.75" customHeight="1" x14ac:dyDescent="0.2">
      <c r="B153" s="2"/>
    </row>
    <row r="154" spans="2:2" ht="15.75" customHeight="1" x14ac:dyDescent="0.2">
      <c r="B154" s="2"/>
    </row>
    <row r="155" spans="2:2" ht="15.75" customHeight="1" x14ac:dyDescent="0.2">
      <c r="B155" s="2"/>
    </row>
    <row r="156" spans="2:2" ht="15.75" customHeight="1" x14ac:dyDescent="0.2">
      <c r="B156" s="2"/>
    </row>
    <row r="157" spans="2:2" ht="15.75" customHeight="1" x14ac:dyDescent="0.2">
      <c r="B157" s="2"/>
    </row>
    <row r="158" spans="2:2" ht="15.75" customHeight="1" x14ac:dyDescent="0.2">
      <c r="B158" s="2"/>
    </row>
    <row r="159" spans="2:2" ht="15.75" customHeight="1" x14ac:dyDescent="0.2">
      <c r="B159" s="2"/>
    </row>
    <row r="160" spans="2:2" ht="15.75" customHeight="1" x14ac:dyDescent="0.2">
      <c r="B160" s="2"/>
    </row>
    <row r="161" spans="2:2" ht="15.75" customHeight="1" x14ac:dyDescent="0.2">
      <c r="B161" s="2"/>
    </row>
    <row r="162" spans="2:2" ht="15.75" customHeight="1" x14ac:dyDescent="0.2">
      <c r="B162" s="2"/>
    </row>
    <row r="163" spans="2:2" ht="15.75" customHeight="1" x14ac:dyDescent="0.2">
      <c r="B163" s="2"/>
    </row>
    <row r="164" spans="2:2" ht="15.75" customHeight="1" x14ac:dyDescent="0.2">
      <c r="B164" s="2"/>
    </row>
    <row r="165" spans="2:2" ht="15.75" customHeight="1" x14ac:dyDescent="0.2">
      <c r="B165" s="2"/>
    </row>
    <row r="166" spans="2:2" ht="15.75" customHeight="1" x14ac:dyDescent="0.2">
      <c r="B166" s="2"/>
    </row>
    <row r="167" spans="2:2" ht="15.75" customHeight="1" x14ac:dyDescent="0.2">
      <c r="B167" s="2"/>
    </row>
    <row r="168" spans="2:2" ht="15.75" customHeight="1" x14ac:dyDescent="0.2">
      <c r="B168" s="2"/>
    </row>
    <row r="169" spans="2:2" ht="15.75" customHeight="1" x14ac:dyDescent="0.2">
      <c r="B169" s="2"/>
    </row>
    <row r="170" spans="2:2" ht="15.75" customHeight="1" x14ac:dyDescent="0.2">
      <c r="B170" s="2"/>
    </row>
    <row r="171" spans="2:2" ht="15.75" customHeight="1" x14ac:dyDescent="0.2">
      <c r="B171" s="2"/>
    </row>
    <row r="172" spans="2:2" ht="15.75" customHeight="1" x14ac:dyDescent="0.2">
      <c r="B172" s="2"/>
    </row>
    <row r="173" spans="2:2" ht="15.75" customHeight="1" x14ac:dyDescent="0.2">
      <c r="B173" s="2"/>
    </row>
    <row r="174" spans="2:2" ht="15.75" customHeight="1" x14ac:dyDescent="0.2">
      <c r="B174" s="2"/>
    </row>
    <row r="175" spans="2:2" ht="15.75" customHeight="1" x14ac:dyDescent="0.2">
      <c r="B175" s="2"/>
    </row>
    <row r="176" spans="2:2" ht="15.75" customHeight="1" x14ac:dyDescent="0.2">
      <c r="B176" s="2"/>
    </row>
    <row r="177" spans="2:2" ht="15.75" customHeight="1" x14ac:dyDescent="0.2">
      <c r="B177" s="2"/>
    </row>
    <row r="178" spans="2:2" ht="15.75" customHeight="1" x14ac:dyDescent="0.2">
      <c r="B178" s="2"/>
    </row>
    <row r="179" spans="2:2" ht="15.75" customHeight="1" x14ac:dyDescent="0.2">
      <c r="B179" s="2"/>
    </row>
    <row r="180" spans="2:2" ht="15.75" customHeight="1" x14ac:dyDescent="0.2">
      <c r="B180" s="2"/>
    </row>
    <row r="181" spans="2:2" ht="15.75" customHeight="1" x14ac:dyDescent="0.2">
      <c r="B181" s="2"/>
    </row>
    <row r="182" spans="2:2" ht="15.75" customHeight="1" x14ac:dyDescent="0.2">
      <c r="B182" s="2"/>
    </row>
    <row r="183" spans="2:2" ht="15.75" customHeight="1" x14ac:dyDescent="0.2">
      <c r="B183" s="2"/>
    </row>
    <row r="184" spans="2:2" ht="15.75" customHeight="1" x14ac:dyDescent="0.2">
      <c r="B184" s="2"/>
    </row>
    <row r="185" spans="2:2" ht="15.75" customHeight="1" x14ac:dyDescent="0.2">
      <c r="B185" s="2"/>
    </row>
    <row r="186" spans="2:2" ht="15.75" customHeight="1" x14ac:dyDescent="0.2">
      <c r="B186" s="2"/>
    </row>
    <row r="187" spans="2:2" ht="15.75" customHeight="1" x14ac:dyDescent="0.2">
      <c r="B187" s="2"/>
    </row>
    <row r="188" spans="2:2" ht="15.75" customHeight="1" x14ac:dyDescent="0.2">
      <c r="B188" s="2"/>
    </row>
    <row r="189" spans="2:2" ht="15.75" customHeight="1" x14ac:dyDescent="0.2">
      <c r="B189" s="2"/>
    </row>
    <row r="190" spans="2:2" ht="15.75" customHeight="1" x14ac:dyDescent="0.2">
      <c r="B190" s="2"/>
    </row>
    <row r="191" spans="2:2" ht="15.75" customHeight="1" x14ac:dyDescent="0.2">
      <c r="B191" s="2"/>
    </row>
    <row r="192" spans="2:2" ht="15.75" customHeight="1" x14ac:dyDescent="0.2">
      <c r="B192" s="2"/>
    </row>
    <row r="193" spans="2:2" ht="15.75" customHeight="1" x14ac:dyDescent="0.2">
      <c r="B193" s="2"/>
    </row>
    <row r="194" spans="2:2" ht="15.75" customHeight="1" x14ac:dyDescent="0.2">
      <c r="B194" s="2"/>
    </row>
    <row r="195" spans="2:2" ht="15.75" customHeight="1" x14ac:dyDescent="0.2">
      <c r="B195" s="2"/>
    </row>
    <row r="196" spans="2:2" ht="15.75" customHeight="1" x14ac:dyDescent="0.2">
      <c r="B196" s="2"/>
    </row>
    <row r="197" spans="2:2" ht="15.75" customHeight="1" x14ac:dyDescent="0.2">
      <c r="B197" s="2"/>
    </row>
    <row r="198" spans="2:2" ht="15.75" customHeight="1" x14ac:dyDescent="0.2">
      <c r="B198" s="2"/>
    </row>
    <row r="199" spans="2:2" ht="15.75" customHeight="1" x14ac:dyDescent="0.2">
      <c r="B199" s="2"/>
    </row>
    <row r="200" spans="2:2" ht="15.75" customHeight="1" x14ac:dyDescent="0.2">
      <c r="B200" s="2"/>
    </row>
    <row r="201" spans="2:2" ht="15.75" customHeight="1" x14ac:dyDescent="0.2">
      <c r="B201" s="2"/>
    </row>
    <row r="202" spans="2:2" ht="15.75" customHeight="1" x14ac:dyDescent="0.2">
      <c r="B202" s="2"/>
    </row>
    <row r="203" spans="2:2" ht="15.75" customHeight="1" x14ac:dyDescent="0.2">
      <c r="B203" s="2"/>
    </row>
    <row r="204" spans="2:2" ht="15.75" customHeight="1" x14ac:dyDescent="0.2">
      <c r="B204" s="2"/>
    </row>
    <row r="205" spans="2:2" ht="15.75" customHeight="1" x14ac:dyDescent="0.2">
      <c r="B205" s="2"/>
    </row>
    <row r="206" spans="2:2" ht="15.75" customHeight="1" x14ac:dyDescent="0.2">
      <c r="B206" s="2"/>
    </row>
    <row r="207" spans="2:2" ht="15.75" customHeight="1" x14ac:dyDescent="0.2">
      <c r="B207" s="2"/>
    </row>
    <row r="208" spans="2:2" ht="15.75" customHeight="1" x14ac:dyDescent="0.2">
      <c r="B208" s="2"/>
    </row>
    <row r="209" spans="2:2" ht="15.75" customHeight="1" x14ac:dyDescent="0.2">
      <c r="B209" s="2"/>
    </row>
    <row r="210" spans="2:2" ht="15.75" customHeight="1" x14ac:dyDescent="0.2">
      <c r="B210" s="2"/>
    </row>
    <row r="211" spans="2:2" ht="15.75" customHeight="1" x14ac:dyDescent="0.2">
      <c r="B211" s="2"/>
    </row>
    <row r="212" spans="2:2" ht="15.75" customHeight="1" x14ac:dyDescent="0.2">
      <c r="B212" s="2"/>
    </row>
    <row r="213" spans="2:2" ht="15.75" customHeight="1" x14ac:dyDescent="0.2">
      <c r="B213" s="2"/>
    </row>
    <row r="214" spans="2:2" ht="15.75" customHeight="1" x14ac:dyDescent="0.2">
      <c r="B214" s="2"/>
    </row>
    <row r="215" spans="2:2" ht="15.75" customHeight="1" x14ac:dyDescent="0.2">
      <c r="B215" s="2"/>
    </row>
    <row r="216" spans="2:2" ht="15.75" customHeight="1" x14ac:dyDescent="0.2">
      <c r="B216" s="2"/>
    </row>
    <row r="217" spans="2:2" ht="15.75" customHeight="1" x14ac:dyDescent="0.2">
      <c r="B217" s="2"/>
    </row>
    <row r="218" spans="2:2" ht="15.75" customHeight="1" x14ac:dyDescent="0.2">
      <c r="B218" s="2"/>
    </row>
    <row r="219" spans="2:2" ht="15.75" customHeight="1" x14ac:dyDescent="0.2">
      <c r="B219" s="2"/>
    </row>
    <row r="220" spans="2:2" ht="15.75" customHeight="1" x14ac:dyDescent="0.2">
      <c r="B220" s="2"/>
    </row>
    <row r="221" spans="2:2" ht="15.75" customHeight="1" x14ac:dyDescent="0.2">
      <c r="B221" s="2"/>
    </row>
    <row r="222" spans="2:2" ht="15.75" customHeight="1" x14ac:dyDescent="0.2">
      <c r="B222" s="2"/>
    </row>
    <row r="223" spans="2:2" ht="15.75" customHeight="1" x14ac:dyDescent="0.2">
      <c r="B223" s="2"/>
    </row>
    <row r="224" spans="2:2" ht="15.75" customHeight="1" x14ac:dyDescent="0.2">
      <c r="B224" s="2"/>
    </row>
    <row r="225" spans="2:2" ht="15.75" customHeight="1" x14ac:dyDescent="0.2">
      <c r="B225" s="2"/>
    </row>
    <row r="226" spans="2:2" ht="15.75" customHeight="1" x14ac:dyDescent="0.2">
      <c r="B226" s="2"/>
    </row>
    <row r="227" spans="2:2" ht="15.75" customHeight="1" x14ac:dyDescent="0.2">
      <c r="B227" s="2"/>
    </row>
    <row r="228" spans="2:2" ht="15.75" customHeight="1" x14ac:dyDescent="0.2">
      <c r="B228" s="2"/>
    </row>
    <row r="229" spans="2:2" ht="15.75" customHeight="1" x14ac:dyDescent="0.2">
      <c r="B229" s="2"/>
    </row>
    <row r="230" spans="2:2" ht="15.75" customHeight="1" x14ac:dyDescent="0.2">
      <c r="B230" s="2"/>
    </row>
    <row r="231" spans="2:2" ht="15.75" customHeight="1" x14ac:dyDescent="0.2">
      <c r="B231" s="2"/>
    </row>
    <row r="232" spans="2:2" ht="15.75" customHeight="1" x14ac:dyDescent="0.2">
      <c r="B232" s="2"/>
    </row>
    <row r="233" spans="2:2" ht="15.75" customHeight="1" x14ac:dyDescent="0.2">
      <c r="B233" s="2"/>
    </row>
    <row r="234" spans="2:2" ht="15.75" customHeight="1" x14ac:dyDescent="0.2">
      <c r="B234" s="2"/>
    </row>
    <row r="235" spans="2:2" ht="15.75" customHeight="1" x14ac:dyDescent="0.2">
      <c r="B235" s="2"/>
    </row>
    <row r="236" spans="2:2" ht="15.75" customHeight="1" x14ac:dyDescent="0.2">
      <c r="B236" s="2"/>
    </row>
    <row r="237" spans="2:2" ht="15.75" customHeight="1" x14ac:dyDescent="0.2">
      <c r="B237" s="2"/>
    </row>
    <row r="238" spans="2:2" ht="15.75" customHeight="1" x14ac:dyDescent="0.2">
      <c r="B238" s="2"/>
    </row>
    <row r="239" spans="2:2" ht="15.75" customHeight="1" x14ac:dyDescent="0.2">
      <c r="B239" s="2"/>
    </row>
    <row r="240" spans="2:2" ht="15.75" customHeight="1" x14ac:dyDescent="0.2">
      <c r="B240" s="2"/>
    </row>
    <row r="241" spans="2:2" ht="15.75" customHeight="1" x14ac:dyDescent="0.2">
      <c r="B241" s="2"/>
    </row>
    <row r="242" spans="2:2" ht="15.75" customHeight="1" x14ac:dyDescent="0.2">
      <c r="B242" s="2"/>
    </row>
    <row r="243" spans="2:2" ht="15.75" customHeight="1" x14ac:dyDescent="0.2">
      <c r="B243" s="2"/>
    </row>
    <row r="244" spans="2:2" ht="15.75" customHeight="1" x14ac:dyDescent="0.2">
      <c r="B244" s="2"/>
    </row>
    <row r="245" spans="2:2" ht="15.75" customHeight="1" x14ac:dyDescent="0.2">
      <c r="B245" s="2"/>
    </row>
    <row r="246" spans="2:2" ht="15.75" customHeight="1" x14ac:dyDescent="0.2">
      <c r="B246" s="2"/>
    </row>
    <row r="247" spans="2:2" ht="15.75" customHeight="1" x14ac:dyDescent="0.2">
      <c r="B247" s="2"/>
    </row>
    <row r="248" spans="2:2" ht="15.75" customHeight="1" x14ac:dyDescent="0.2">
      <c r="B248" s="2"/>
    </row>
    <row r="249" spans="2:2" ht="15.75" customHeight="1" x14ac:dyDescent="0.2">
      <c r="B249" s="2"/>
    </row>
    <row r="250" spans="2:2" ht="15.75" customHeight="1" x14ac:dyDescent="0.2">
      <c r="B250" s="2"/>
    </row>
    <row r="251" spans="2:2" ht="15.75" customHeight="1" x14ac:dyDescent="0.2">
      <c r="B251" s="2"/>
    </row>
    <row r="252" spans="2:2" ht="15.75" customHeight="1" x14ac:dyDescent="0.2">
      <c r="B252" s="2"/>
    </row>
    <row r="253" spans="2:2" ht="15.75" customHeight="1" x14ac:dyDescent="0.2">
      <c r="B253" s="2"/>
    </row>
    <row r="254" spans="2:2" ht="15.75" customHeight="1" x14ac:dyDescent="0.2">
      <c r="B254" s="2"/>
    </row>
    <row r="255" spans="2:2" ht="15.75" customHeight="1" x14ac:dyDescent="0.2">
      <c r="B255" s="2"/>
    </row>
    <row r="256" spans="2:2" ht="15.75" customHeight="1" x14ac:dyDescent="0.2">
      <c r="B256" s="2"/>
    </row>
    <row r="257" spans="2:2" ht="15.75" customHeight="1" x14ac:dyDescent="0.2">
      <c r="B257" s="2"/>
    </row>
    <row r="258" spans="2:2" ht="15.75" customHeight="1" x14ac:dyDescent="0.2">
      <c r="B258" s="2"/>
    </row>
    <row r="259" spans="2:2" ht="15.75" customHeight="1" x14ac:dyDescent="0.2">
      <c r="B259" s="2"/>
    </row>
    <row r="260" spans="2:2" ht="15.75" customHeight="1" x14ac:dyDescent="0.2">
      <c r="B260" s="2"/>
    </row>
    <row r="261" spans="2:2" ht="15.75" customHeight="1" x14ac:dyDescent="0.2">
      <c r="B261" s="2"/>
    </row>
    <row r="262" spans="2:2" ht="15.75" customHeight="1" x14ac:dyDescent="0.2">
      <c r="B262" s="2"/>
    </row>
    <row r="263" spans="2:2" ht="15.75" customHeight="1" x14ac:dyDescent="0.2">
      <c r="B263" s="2"/>
    </row>
    <row r="264" spans="2:2" ht="15.75" customHeight="1" x14ac:dyDescent="0.2">
      <c r="B264" s="2"/>
    </row>
    <row r="265" spans="2:2" ht="15.75" customHeight="1" x14ac:dyDescent="0.2">
      <c r="B265" s="2"/>
    </row>
    <row r="266" spans="2:2" ht="15.75" customHeight="1" x14ac:dyDescent="0.2">
      <c r="B266" s="2"/>
    </row>
    <row r="267" spans="2:2" ht="15.75" customHeight="1" x14ac:dyDescent="0.2">
      <c r="B267" s="2"/>
    </row>
    <row r="268" spans="2:2" ht="15.75" customHeight="1" x14ac:dyDescent="0.2">
      <c r="B268" s="2"/>
    </row>
    <row r="269" spans="2:2" ht="15.75" customHeight="1" x14ac:dyDescent="0.2">
      <c r="B269" s="2"/>
    </row>
    <row r="270" spans="2:2" ht="15.75" customHeight="1" x14ac:dyDescent="0.2">
      <c r="B270" s="2"/>
    </row>
    <row r="271" spans="2:2" ht="15.75" customHeight="1" x14ac:dyDescent="0.2">
      <c r="B271" s="2"/>
    </row>
    <row r="272" spans="2:2" ht="15.75" customHeight="1" x14ac:dyDescent="0.2">
      <c r="B272" s="2"/>
    </row>
    <row r="273" spans="2:2" ht="15.75" customHeight="1" x14ac:dyDescent="0.2">
      <c r="B273" s="2"/>
    </row>
    <row r="274" spans="2:2" ht="15.75" customHeight="1" x14ac:dyDescent="0.2">
      <c r="B274" s="2"/>
    </row>
    <row r="275" spans="2:2" ht="15.75" customHeight="1" x14ac:dyDescent="0.2">
      <c r="B275" s="2"/>
    </row>
    <row r="276" spans="2:2" ht="15.75" customHeight="1" x14ac:dyDescent="0.2">
      <c r="B276" s="2"/>
    </row>
    <row r="277" spans="2:2" ht="15.75" customHeight="1" x14ac:dyDescent="0.2">
      <c r="B277" s="2"/>
    </row>
    <row r="278" spans="2:2" ht="15.75" customHeight="1" x14ac:dyDescent="0.2">
      <c r="B278" s="2"/>
    </row>
    <row r="279" spans="2:2" ht="15.75" customHeight="1" x14ac:dyDescent="0.2">
      <c r="B279" s="2"/>
    </row>
    <row r="280" spans="2:2" ht="15.75" customHeight="1" x14ac:dyDescent="0.2">
      <c r="B280" s="2"/>
    </row>
    <row r="281" spans="2:2" ht="15.75" customHeight="1" x14ac:dyDescent="0.2">
      <c r="B281" s="2"/>
    </row>
    <row r="282" spans="2:2" ht="15.75" customHeight="1" x14ac:dyDescent="0.2">
      <c r="B282" s="2"/>
    </row>
    <row r="283" spans="2:2" ht="15.75" customHeight="1" x14ac:dyDescent="0.2">
      <c r="B283" s="2"/>
    </row>
    <row r="284" spans="2:2" ht="15.75" customHeight="1" x14ac:dyDescent="0.2">
      <c r="B284" s="2"/>
    </row>
    <row r="285" spans="2:2" ht="15.75" customHeight="1" x14ac:dyDescent="0.2">
      <c r="B285" s="2"/>
    </row>
    <row r="286" spans="2:2" ht="15.75" customHeight="1" x14ac:dyDescent="0.2">
      <c r="B286" s="2"/>
    </row>
    <row r="287" spans="2:2" ht="15.75" customHeight="1" x14ac:dyDescent="0.2">
      <c r="B287" s="2"/>
    </row>
    <row r="288" spans="2:2" ht="15.75" customHeight="1" x14ac:dyDescent="0.2">
      <c r="B288" s="2"/>
    </row>
    <row r="289" spans="2:2" ht="15.75" customHeight="1" x14ac:dyDescent="0.2">
      <c r="B289" s="2"/>
    </row>
    <row r="290" spans="2:2" ht="15.75" customHeight="1" x14ac:dyDescent="0.2">
      <c r="B290" s="2"/>
    </row>
    <row r="291" spans="2:2" ht="15.75" customHeight="1" x14ac:dyDescent="0.2">
      <c r="B291" s="2"/>
    </row>
    <row r="292" spans="2:2" ht="15.75" customHeight="1" x14ac:dyDescent="0.2">
      <c r="B292" s="2"/>
    </row>
    <row r="293" spans="2:2" ht="15.75" customHeight="1" x14ac:dyDescent="0.2">
      <c r="B293" s="2"/>
    </row>
    <row r="294" spans="2:2" ht="15.75" customHeight="1" x14ac:dyDescent="0.2">
      <c r="B294" s="2"/>
    </row>
    <row r="295" spans="2:2" ht="15.75" customHeight="1" x14ac:dyDescent="0.2">
      <c r="B295" s="2"/>
    </row>
    <row r="296" spans="2:2" ht="15.75" customHeight="1" x14ac:dyDescent="0.2">
      <c r="B296" s="2"/>
    </row>
    <row r="297" spans="2:2" ht="15.75" customHeight="1" x14ac:dyDescent="0.2">
      <c r="B297" s="2"/>
    </row>
    <row r="298" spans="2:2" ht="15.75" customHeight="1" x14ac:dyDescent="0.2">
      <c r="B298" s="2"/>
    </row>
    <row r="299" spans="2:2" ht="15.75" customHeight="1" x14ac:dyDescent="0.2">
      <c r="B299" s="2"/>
    </row>
    <row r="300" spans="2:2" ht="15.75" customHeight="1" x14ac:dyDescent="0.2">
      <c r="B300" s="2"/>
    </row>
    <row r="301" spans="2:2" ht="15.75" customHeight="1" x14ac:dyDescent="0.2">
      <c r="B301" s="2"/>
    </row>
    <row r="302" spans="2:2" ht="15.75" customHeight="1" x14ac:dyDescent="0.2">
      <c r="B302" s="2"/>
    </row>
    <row r="303" spans="2:2" ht="15.75" customHeight="1" x14ac:dyDescent="0.2">
      <c r="B303" s="2"/>
    </row>
    <row r="304" spans="2:2" ht="15.75" customHeight="1" x14ac:dyDescent="0.2">
      <c r="B304" s="2"/>
    </row>
    <row r="305" spans="2:2" ht="15.75" customHeight="1" x14ac:dyDescent="0.2">
      <c r="B305" s="2"/>
    </row>
    <row r="306" spans="2:2" ht="15.75" customHeight="1" x14ac:dyDescent="0.2">
      <c r="B306" s="2"/>
    </row>
    <row r="307" spans="2:2" ht="15.75" customHeight="1" x14ac:dyDescent="0.2">
      <c r="B307" s="2"/>
    </row>
    <row r="308" spans="2:2" ht="15.75" customHeight="1" x14ac:dyDescent="0.2">
      <c r="B308" s="2"/>
    </row>
    <row r="309" spans="2:2" ht="15.75" customHeight="1" x14ac:dyDescent="0.2">
      <c r="B309" s="2"/>
    </row>
    <row r="310" spans="2:2" ht="15.75" customHeight="1" x14ac:dyDescent="0.2">
      <c r="B310" s="2"/>
    </row>
    <row r="311" spans="2:2" ht="15.75" customHeight="1" x14ac:dyDescent="0.2">
      <c r="B311" s="2"/>
    </row>
    <row r="312" spans="2:2" ht="15.75" customHeight="1" x14ac:dyDescent="0.2">
      <c r="B312" s="2"/>
    </row>
    <row r="313" spans="2:2" ht="15.75" customHeight="1" x14ac:dyDescent="0.2">
      <c r="B313" s="2"/>
    </row>
    <row r="314" spans="2:2" ht="15.75" customHeight="1" x14ac:dyDescent="0.2">
      <c r="B314" s="2"/>
    </row>
    <row r="315" spans="2:2" ht="15.75" customHeight="1" x14ac:dyDescent="0.2">
      <c r="B315" s="2"/>
    </row>
    <row r="316" spans="2:2" ht="15.75" customHeight="1" x14ac:dyDescent="0.2">
      <c r="B316" s="2"/>
    </row>
    <row r="317" spans="2:2" ht="15.75" customHeight="1" x14ac:dyDescent="0.2">
      <c r="B317" s="2"/>
    </row>
    <row r="318" spans="2:2" ht="15.75" customHeight="1" x14ac:dyDescent="0.2">
      <c r="B318" s="2"/>
    </row>
    <row r="319" spans="2:2" ht="15.75" customHeight="1" x14ac:dyDescent="0.2">
      <c r="B319" s="2"/>
    </row>
    <row r="320" spans="2:2" ht="15.75" customHeight="1" x14ac:dyDescent="0.2">
      <c r="B320" s="2"/>
    </row>
    <row r="321" spans="2:2" ht="15.75" customHeight="1" x14ac:dyDescent="0.2">
      <c r="B321" s="2"/>
    </row>
    <row r="322" spans="2:2" ht="15.75" customHeight="1" x14ac:dyDescent="0.2">
      <c r="B322" s="2"/>
    </row>
    <row r="323" spans="2:2" ht="15.75" customHeight="1" x14ac:dyDescent="0.2">
      <c r="B323" s="2"/>
    </row>
    <row r="324" spans="2:2" ht="15.75" customHeight="1" x14ac:dyDescent="0.2">
      <c r="B324" s="2"/>
    </row>
    <row r="325" spans="2:2" ht="15.75" customHeight="1" x14ac:dyDescent="0.2">
      <c r="B325" s="2"/>
    </row>
    <row r="326" spans="2:2" ht="15.75" customHeight="1" x14ac:dyDescent="0.2">
      <c r="B326" s="2"/>
    </row>
    <row r="327" spans="2:2" ht="15.75" customHeight="1" x14ac:dyDescent="0.2">
      <c r="B327" s="2"/>
    </row>
    <row r="328" spans="2:2" ht="15.75" customHeight="1" x14ac:dyDescent="0.2">
      <c r="B328" s="2"/>
    </row>
    <row r="329" spans="2:2" ht="15.75" customHeight="1" x14ac:dyDescent="0.2">
      <c r="B329" s="2"/>
    </row>
    <row r="330" spans="2:2" ht="15.75" customHeight="1" x14ac:dyDescent="0.2">
      <c r="B330" s="2"/>
    </row>
    <row r="331" spans="2:2" ht="15.75" customHeight="1" x14ac:dyDescent="0.2">
      <c r="B331" s="2"/>
    </row>
    <row r="332" spans="2:2" ht="15.75" customHeight="1" x14ac:dyDescent="0.2">
      <c r="B332" s="2"/>
    </row>
    <row r="333" spans="2:2" ht="15.75" customHeight="1" x14ac:dyDescent="0.2">
      <c r="B333" s="2"/>
    </row>
    <row r="334" spans="2:2" ht="15.75" customHeight="1" x14ac:dyDescent="0.2">
      <c r="B334" s="2"/>
    </row>
    <row r="335" spans="2:2" ht="15.75" customHeight="1" x14ac:dyDescent="0.2">
      <c r="B335" s="2"/>
    </row>
    <row r="336" spans="2:2" ht="15.75" customHeight="1" x14ac:dyDescent="0.2">
      <c r="B336" s="2"/>
    </row>
    <row r="337" spans="2:2" ht="15.75" customHeight="1" x14ac:dyDescent="0.2">
      <c r="B337" s="2"/>
    </row>
    <row r="338" spans="2:2" ht="15.75" customHeight="1" x14ac:dyDescent="0.2">
      <c r="B338" s="2"/>
    </row>
    <row r="339" spans="2:2" ht="15.75" customHeight="1" x14ac:dyDescent="0.2">
      <c r="B339" s="2"/>
    </row>
    <row r="340" spans="2:2" ht="15.75" customHeight="1" x14ac:dyDescent="0.2">
      <c r="B340" s="2"/>
    </row>
    <row r="341" spans="2:2" ht="15.75" customHeight="1" x14ac:dyDescent="0.2">
      <c r="B341" s="2"/>
    </row>
    <row r="342" spans="2:2" ht="15.75" customHeight="1" x14ac:dyDescent="0.2">
      <c r="B342" s="2"/>
    </row>
    <row r="343" spans="2:2" ht="15.75" customHeight="1" x14ac:dyDescent="0.2">
      <c r="B343" s="2"/>
    </row>
    <row r="344" spans="2:2" ht="15.75" customHeight="1" x14ac:dyDescent="0.2">
      <c r="B344" s="2"/>
    </row>
    <row r="345" spans="2:2" ht="15.75" customHeight="1" x14ac:dyDescent="0.2">
      <c r="B345" s="2"/>
    </row>
    <row r="346" spans="2:2" ht="15.75" customHeight="1" x14ac:dyDescent="0.2">
      <c r="B346" s="2"/>
    </row>
    <row r="347" spans="2:2" ht="15.75" customHeight="1" x14ac:dyDescent="0.2">
      <c r="B347" s="2"/>
    </row>
    <row r="348" spans="2:2" ht="15.75" customHeight="1" x14ac:dyDescent="0.2">
      <c r="B348" s="2"/>
    </row>
    <row r="349" spans="2:2" ht="15.75" customHeight="1" x14ac:dyDescent="0.2">
      <c r="B349" s="2"/>
    </row>
    <row r="350" spans="2:2" ht="15.75" customHeight="1" x14ac:dyDescent="0.2">
      <c r="B350" s="2"/>
    </row>
    <row r="351" spans="2:2" ht="15.75" customHeight="1" x14ac:dyDescent="0.2">
      <c r="B351" s="2"/>
    </row>
    <row r="352" spans="2:2" ht="15.75" customHeight="1" x14ac:dyDescent="0.2">
      <c r="B352" s="2"/>
    </row>
    <row r="353" spans="2:2" ht="15.75" customHeight="1" x14ac:dyDescent="0.2">
      <c r="B353" s="2"/>
    </row>
    <row r="354" spans="2:2" ht="15.75" customHeight="1" x14ac:dyDescent="0.2">
      <c r="B354" s="2"/>
    </row>
    <row r="355" spans="2:2" ht="15.75" customHeight="1" x14ac:dyDescent="0.2">
      <c r="B355" s="2"/>
    </row>
    <row r="356" spans="2:2" ht="15.75" customHeight="1" x14ac:dyDescent="0.2">
      <c r="B356" s="2"/>
    </row>
    <row r="357" spans="2:2" ht="15.75" customHeight="1" x14ac:dyDescent="0.2">
      <c r="B357" s="2"/>
    </row>
    <row r="358" spans="2:2" ht="15.75" customHeight="1" x14ac:dyDescent="0.2">
      <c r="B358" s="2"/>
    </row>
    <row r="359" spans="2:2" ht="15.75" customHeight="1" x14ac:dyDescent="0.2">
      <c r="B359" s="2"/>
    </row>
    <row r="360" spans="2:2" ht="15.75" customHeight="1" x14ac:dyDescent="0.2">
      <c r="B360" s="2"/>
    </row>
    <row r="361" spans="2:2" ht="15.75" customHeight="1" x14ac:dyDescent="0.2">
      <c r="B361" s="2"/>
    </row>
    <row r="362" spans="2:2" ht="15.75" customHeight="1" x14ac:dyDescent="0.2">
      <c r="B362" s="2"/>
    </row>
    <row r="363" spans="2:2" ht="15.75" customHeight="1" x14ac:dyDescent="0.2">
      <c r="B363" s="2"/>
    </row>
    <row r="364" spans="2:2" ht="15.75" customHeight="1" x14ac:dyDescent="0.2">
      <c r="B364" s="2"/>
    </row>
    <row r="365" spans="2:2" ht="15.75" customHeight="1" x14ac:dyDescent="0.2">
      <c r="B365" s="2"/>
    </row>
    <row r="366" spans="2:2" ht="15.75" customHeight="1" x14ac:dyDescent="0.2">
      <c r="B366" s="2"/>
    </row>
    <row r="367" spans="2:2" ht="15.75" customHeight="1" x14ac:dyDescent="0.2">
      <c r="B367" s="2"/>
    </row>
    <row r="368" spans="2:2" ht="15.75" customHeight="1" x14ac:dyDescent="0.2">
      <c r="B368" s="2"/>
    </row>
    <row r="369" spans="2:2" ht="15.75" customHeight="1" x14ac:dyDescent="0.2">
      <c r="B369" s="2"/>
    </row>
    <row r="370" spans="2:2" ht="15.75" customHeight="1" x14ac:dyDescent="0.2">
      <c r="B370" s="2"/>
    </row>
    <row r="371" spans="2:2" ht="15.75" customHeight="1" x14ac:dyDescent="0.2">
      <c r="B371" s="2"/>
    </row>
    <row r="372" spans="2:2" ht="15.75" customHeight="1" x14ac:dyDescent="0.2">
      <c r="B372" s="2"/>
    </row>
    <row r="373" spans="2:2" ht="15.75" customHeight="1" x14ac:dyDescent="0.2">
      <c r="B373" s="2"/>
    </row>
    <row r="374" spans="2:2" ht="15.75" customHeight="1" x14ac:dyDescent="0.2">
      <c r="B374" s="2"/>
    </row>
    <row r="375" spans="2:2" ht="15.75" customHeight="1" x14ac:dyDescent="0.2">
      <c r="B375" s="2"/>
    </row>
    <row r="376" spans="2:2" ht="15.75" customHeight="1" x14ac:dyDescent="0.2">
      <c r="B376" s="2"/>
    </row>
    <row r="377" spans="2:2" ht="15.75" customHeight="1" x14ac:dyDescent="0.2">
      <c r="B377" s="2"/>
    </row>
    <row r="378" spans="2:2" ht="15.75" customHeight="1" x14ac:dyDescent="0.2">
      <c r="B378" s="2"/>
    </row>
    <row r="379" spans="2:2" ht="15.75" customHeight="1" x14ac:dyDescent="0.2">
      <c r="B379" s="2"/>
    </row>
    <row r="380" spans="2:2" ht="15.75" customHeight="1" x14ac:dyDescent="0.2">
      <c r="B380" s="2"/>
    </row>
    <row r="381" spans="2:2" ht="15.75" customHeight="1" x14ac:dyDescent="0.2">
      <c r="B381" s="2"/>
    </row>
    <row r="382" spans="2:2" ht="15.75" customHeight="1" x14ac:dyDescent="0.2">
      <c r="B382" s="2"/>
    </row>
    <row r="383" spans="2:2" ht="15.75" customHeight="1" x14ac:dyDescent="0.2">
      <c r="B383" s="2"/>
    </row>
    <row r="384" spans="2:2" ht="15.75" customHeight="1" x14ac:dyDescent="0.2">
      <c r="B384" s="2"/>
    </row>
    <row r="385" spans="2:2" ht="15.75" customHeight="1" x14ac:dyDescent="0.2">
      <c r="B385" s="2"/>
    </row>
    <row r="386" spans="2:2" ht="15.75" customHeight="1" x14ac:dyDescent="0.2">
      <c r="B386" s="2"/>
    </row>
    <row r="387" spans="2:2" ht="15.75" customHeight="1" x14ac:dyDescent="0.2">
      <c r="B387" s="2"/>
    </row>
    <row r="388" spans="2:2" ht="15.75" customHeight="1" x14ac:dyDescent="0.2">
      <c r="B388" s="2"/>
    </row>
    <row r="389" spans="2:2" ht="15.75" customHeight="1" x14ac:dyDescent="0.2">
      <c r="B389" s="2"/>
    </row>
    <row r="390" spans="2:2" ht="15.75" customHeight="1" x14ac:dyDescent="0.2">
      <c r="B390" s="2"/>
    </row>
    <row r="391" spans="2:2" ht="15.75" customHeight="1" x14ac:dyDescent="0.2">
      <c r="B391" s="2"/>
    </row>
    <row r="392" spans="2:2" ht="15.75" customHeight="1" x14ac:dyDescent="0.2">
      <c r="B392" s="2"/>
    </row>
    <row r="393" spans="2:2" ht="15.75" customHeight="1" x14ac:dyDescent="0.2">
      <c r="B393" s="2"/>
    </row>
    <row r="394" spans="2:2" ht="15.75" customHeight="1" x14ac:dyDescent="0.2">
      <c r="B394" s="2"/>
    </row>
    <row r="395" spans="2:2" ht="15.75" customHeight="1" x14ac:dyDescent="0.2">
      <c r="B395" s="2"/>
    </row>
    <row r="396" spans="2:2" ht="15.75" customHeight="1" x14ac:dyDescent="0.2">
      <c r="B396" s="2"/>
    </row>
    <row r="397" spans="2:2" ht="15.75" customHeight="1" x14ac:dyDescent="0.2">
      <c r="B397" s="2"/>
    </row>
    <row r="398" spans="2:2" ht="15.75" customHeight="1" x14ac:dyDescent="0.2">
      <c r="B398" s="2"/>
    </row>
    <row r="399" spans="2:2" ht="15.75" customHeight="1" x14ac:dyDescent="0.2">
      <c r="B399" s="2"/>
    </row>
    <row r="400" spans="2:2" ht="15.75" customHeight="1" x14ac:dyDescent="0.2">
      <c r="B400" s="2"/>
    </row>
    <row r="401" spans="2:2" ht="15.75" customHeight="1" x14ac:dyDescent="0.2">
      <c r="B401" s="2"/>
    </row>
    <row r="402" spans="2:2" ht="15.75" customHeight="1" x14ac:dyDescent="0.2">
      <c r="B402" s="2"/>
    </row>
    <row r="403" spans="2:2" ht="15.75" customHeight="1" x14ac:dyDescent="0.2">
      <c r="B403" s="2"/>
    </row>
    <row r="404" spans="2:2" ht="15.75" customHeight="1" x14ac:dyDescent="0.2">
      <c r="B404" s="2"/>
    </row>
    <row r="405" spans="2:2" ht="15.75" customHeight="1" x14ac:dyDescent="0.2">
      <c r="B405" s="2"/>
    </row>
    <row r="406" spans="2:2" ht="15.75" customHeight="1" x14ac:dyDescent="0.2">
      <c r="B406" s="2"/>
    </row>
    <row r="407" spans="2:2" ht="15.75" customHeight="1" x14ac:dyDescent="0.2">
      <c r="B407" s="2"/>
    </row>
    <row r="408" spans="2:2" ht="15.75" customHeight="1" x14ac:dyDescent="0.2">
      <c r="B408" s="2"/>
    </row>
    <row r="409" spans="2:2" ht="15.75" customHeight="1" x14ac:dyDescent="0.2">
      <c r="B409" s="2"/>
    </row>
    <row r="410" spans="2:2" ht="15.75" customHeight="1" x14ac:dyDescent="0.2">
      <c r="B410" s="2"/>
    </row>
    <row r="411" spans="2:2" ht="15.75" customHeight="1" x14ac:dyDescent="0.2">
      <c r="B411" s="2"/>
    </row>
    <row r="412" spans="2:2" ht="15.75" customHeight="1" x14ac:dyDescent="0.2">
      <c r="B412" s="2"/>
    </row>
    <row r="413" spans="2:2" ht="15.75" customHeight="1" x14ac:dyDescent="0.2">
      <c r="B413" s="2"/>
    </row>
    <row r="414" spans="2:2" ht="15.75" customHeight="1" x14ac:dyDescent="0.2">
      <c r="B414" s="2"/>
    </row>
    <row r="415" spans="2:2" ht="15.75" customHeight="1" x14ac:dyDescent="0.2">
      <c r="B415" s="2"/>
    </row>
    <row r="416" spans="2:2" ht="15.75" customHeight="1" x14ac:dyDescent="0.2">
      <c r="B416" s="2"/>
    </row>
    <row r="417" spans="2:2" ht="15.75" customHeight="1" x14ac:dyDescent="0.2">
      <c r="B417" s="2"/>
    </row>
    <row r="418" spans="2:2" ht="15.75" customHeight="1" x14ac:dyDescent="0.2">
      <c r="B418" s="2"/>
    </row>
    <row r="419" spans="2:2" ht="15.75" customHeight="1" x14ac:dyDescent="0.2">
      <c r="B419" s="2"/>
    </row>
    <row r="420" spans="2:2" ht="15.75" customHeight="1" x14ac:dyDescent="0.2">
      <c r="B420" s="2"/>
    </row>
    <row r="421" spans="2:2" ht="15.75" customHeight="1" x14ac:dyDescent="0.2">
      <c r="B421" s="2"/>
    </row>
    <row r="422" spans="2:2" ht="15.75" customHeight="1" x14ac:dyDescent="0.2">
      <c r="B422" s="2"/>
    </row>
    <row r="423" spans="2:2" ht="15.75" customHeight="1" x14ac:dyDescent="0.2">
      <c r="B423" s="2"/>
    </row>
    <row r="424" spans="2:2" ht="15.75" customHeight="1" x14ac:dyDescent="0.2">
      <c r="B424" s="2"/>
    </row>
    <row r="425" spans="2:2" ht="15.75" customHeight="1" x14ac:dyDescent="0.2">
      <c r="B425" s="2"/>
    </row>
    <row r="426" spans="2:2" ht="15.75" customHeight="1" x14ac:dyDescent="0.2">
      <c r="B426" s="2"/>
    </row>
    <row r="427" spans="2:2" ht="15.75" customHeight="1" x14ac:dyDescent="0.2">
      <c r="B427" s="2"/>
    </row>
    <row r="428" spans="2:2" ht="15.75" customHeight="1" x14ac:dyDescent="0.2">
      <c r="B428" s="2"/>
    </row>
    <row r="429" spans="2:2" ht="15.75" customHeight="1" x14ac:dyDescent="0.2">
      <c r="B429" s="2"/>
    </row>
    <row r="430" spans="2:2" ht="15.75" customHeight="1" x14ac:dyDescent="0.2">
      <c r="B430" s="2"/>
    </row>
    <row r="431" spans="2:2" ht="15.75" customHeight="1" x14ac:dyDescent="0.2">
      <c r="B431" s="2"/>
    </row>
    <row r="432" spans="2:2" ht="15.75" customHeight="1" x14ac:dyDescent="0.2">
      <c r="B432" s="2"/>
    </row>
    <row r="433" spans="2:2" ht="15.75" customHeight="1" x14ac:dyDescent="0.2">
      <c r="B433" s="2"/>
    </row>
    <row r="434" spans="2:2" ht="15.75" customHeight="1" x14ac:dyDescent="0.2">
      <c r="B434" s="2"/>
    </row>
    <row r="435" spans="2:2" ht="15.75" customHeight="1" x14ac:dyDescent="0.2">
      <c r="B435" s="2"/>
    </row>
    <row r="436" spans="2:2" ht="15.75" customHeight="1" x14ac:dyDescent="0.2">
      <c r="B436" s="2"/>
    </row>
    <row r="437" spans="2:2" ht="15.75" customHeight="1" x14ac:dyDescent="0.2">
      <c r="B437" s="2"/>
    </row>
    <row r="438" spans="2:2" ht="15.75" customHeight="1" x14ac:dyDescent="0.2">
      <c r="B438" s="2"/>
    </row>
    <row r="439" spans="2:2" ht="15.75" customHeight="1" x14ac:dyDescent="0.2">
      <c r="B439" s="2"/>
    </row>
    <row r="440" spans="2:2" ht="15.75" customHeight="1" x14ac:dyDescent="0.2">
      <c r="B440" s="2"/>
    </row>
    <row r="441" spans="2:2" ht="15.75" customHeight="1" x14ac:dyDescent="0.2">
      <c r="B441" s="2"/>
    </row>
    <row r="442" spans="2:2" ht="15.75" customHeight="1" x14ac:dyDescent="0.2">
      <c r="B442" s="2"/>
    </row>
    <row r="443" spans="2:2" ht="15.75" customHeight="1" x14ac:dyDescent="0.2">
      <c r="B443" s="2"/>
    </row>
    <row r="444" spans="2:2" ht="15.75" customHeight="1" x14ac:dyDescent="0.2">
      <c r="B444" s="2"/>
    </row>
    <row r="445" spans="2:2" ht="15.75" customHeight="1" x14ac:dyDescent="0.2">
      <c r="B445" s="2"/>
    </row>
    <row r="446" spans="2:2" ht="15.75" customHeight="1" x14ac:dyDescent="0.2">
      <c r="B446" s="2"/>
    </row>
    <row r="447" spans="2:2" ht="15.75" customHeight="1" x14ac:dyDescent="0.2">
      <c r="B447" s="2"/>
    </row>
    <row r="448" spans="2:2" ht="15.75" customHeight="1" x14ac:dyDescent="0.2">
      <c r="B448" s="2"/>
    </row>
    <row r="449" spans="2:2" ht="15.75" customHeight="1" x14ac:dyDescent="0.2">
      <c r="B449" s="2"/>
    </row>
    <row r="450" spans="2:2" ht="15.75" customHeight="1" x14ac:dyDescent="0.2">
      <c r="B450" s="2"/>
    </row>
    <row r="451" spans="2:2" ht="15.75" customHeight="1" x14ac:dyDescent="0.2">
      <c r="B451" s="2"/>
    </row>
    <row r="452" spans="2:2" ht="15.75" customHeight="1" x14ac:dyDescent="0.2">
      <c r="B452" s="2"/>
    </row>
    <row r="453" spans="2:2" ht="15.75" customHeight="1" x14ac:dyDescent="0.2">
      <c r="B453" s="2"/>
    </row>
    <row r="454" spans="2:2" ht="15.75" customHeight="1" x14ac:dyDescent="0.2">
      <c r="B454" s="2"/>
    </row>
    <row r="455" spans="2:2" ht="15.75" customHeight="1" x14ac:dyDescent="0.2">
      <c r="B455" s="2"/>
    </row>
    <row r="456" spans="2:2" ht="15.75" customHeight="1" x14ac:dyDescent="0.2">
      <c r="B456" s="2"/>
    </row>
    <row r="457" spans="2:2" ht="15.75" customHeight="1" x14ac:dyDescent="0.2">
      <c r="B457" s="2"/>
    </row>
    <row r="458" spans="2:2" ht="15.75" customHeight="1" x14ac:dyDescent="0.2">
      <c r="B458" s="2"/>
    </row>
    <row r="459" spans="2:2" ht="15.75" customHeight="1" x14ac:dyDescent="0.2">
      <c r="B459" s="2"/>
    </row>
    <row r="460" spans="2:2" ht="15.75" customHeight="1" x14ac:dyDescent="0.2">
      <c r="B460" s="2"/>
    </row>
    <row r="461" spans="2:2" ht="15.75" customHeight="1" x14ac:dyDescent="0.2">
      <c r="B461" s="2"/>
    </row>
    <row r="462" spans="2:2" ht="15.75" customHeight="1" x14ac:dyDescent="0.2">
      <c r="B462" s="2"/>
    </row>
    <row r="463" spans="2:2" ht="15.75" customHeight="1" x14ac:dyDescent="0.2">
      <c r="B463" s="2"/>
    </row>
    <row r="464" spans="2:2" ht="15.75" customHeight="1" x14ac:dyDescent="0.2">
      <c r="B464" s="2"/>
    </row>
    <row r="465" spans="2:2" ht="15.75" customHeight="1" x14ac:dyDescent="0.2">
      <c r="B465" s="2"/>
    </row>
    <row r="466" spans="2:2" ht="15.75" customHeight="1" x14ac:dyDescent="0.2">
      <c r="B466" s="2"/>
    </row>
    <row r="467" spans="2:2" ht="15.75" customHeight="1" x14ac:dyDescent="0.2">
      <c r="B467" s="2"/>
    </row>
    <row r="468" spans="2:2" ht="15.75" customHeight="1" x14ac:dyDescent="0.2">
      <c r="B468" s="2"/>
    </row>
    <row r="469" spans="2:2" ht="15.75" customHeight="1" x14ac:dyDescent="0.2">
      <c r="B469" s="2"/>
    </row>
    <row r="470" spans="2:2" ht="15.75" customHeight="1" x14ac:dyDescent="0.2">
      <c r="B470" s="2"/>
    </row>
    <row r="471" spans="2:2" ht="15.75" customHeight="1" x14ac:dyDescent="0.2">
      <c r="B471" s="2"/>
    </row>
    <row r="472" spans="2:2" ht="15.75" customHeight="1" x14ac:dyDescent="0.2">
      <c r="B472" s="2"/>
    </row>
    <row r="473" spans="2:2" ht="15.75" customHeight="1" x14ac:dyDescent="0.2">
      <c r="B473" s="2"/>
    </row>
    <row r="474" spans="2:2" ht="15.75" customHeight="1" x14ac:dyDescent="0.2">
      <c r="B474" s="2"/>
    </row>
    <row r="475" spans="2:2" ht="15.75" customHeight="1" x14ac:dyDescent="0.2">
      <c r="B475" s="2"/>
    </row>
    <row r="476" spans="2:2" ht="15.75" customHeight="1" x14ac:dyDescent="0.2">
      <c r="B476" s="2"/>
    </row>
    <row r="477" spans="2:2" ht="15.75" customHeight="1" x14ac:dyDescent="0.2">
      <c r="B477" s="2"/>
    </row>
    <row r="478" spans="2:2" ht="15.75" customHeight="1" x14ac:dyDescent="0.2">
      <c r="B478" s="2"/>
    </row>
    <row r="479" spans="2:2" ht="15.75" customHeight="1" x14ac:dyDescent="0.2">
      <c r="B479" s="2"/>
    </row>
    <row r="480" spans="2:2" ht="15.75" customHeight="1" x14ac:dyDescent="0.2">
      <c r="B480" s="2"/>
    </row>
    <row r="481" spans="2:2" ht="15.75" customHeight="1" x14ac:dyDescent="0.2">
      <c r="B481" s="2"/>
    </row>
    <row r="482" spans="2:2" ht="15.75" customHeight="1" x14ac:dyDescent="0.2">
      <c r="B482" s="2"/>
    </row>
    <row r="483" spans="2:2" ht="15.75" customHeight="1" x14ac:dyDescent="0.2">
      <c r="B483" s="2"/>
    </row>
    <row r="484" spans="2:2" ht="15.75" customHeight="1" x14ac:dyDescent="0.2">
      <c r="B484" s="2"/>
    </row>
    <row r="485" spans="2:2" ht="15.75" customHeight="1" x14ac:dyDescent="0.2">
      <c r="B485" s="2"/>
    </row>
    <row r="486" spans="2:2" ht="15.75" customHeight="1" x14ac:dyDescent="0.2">
      <c r="B486" s="2"/>
    </row>
    <row r="487" spans="2:2" ht="15.75" customHeight="1" x14ac:dyDescent="0.2">
      <c r="B487" s="2"/>
    </row>
    <row r="488" spans="2:2" ht="15.75" customHeight="1" x14ac:dyDescent="0.2">
      <c r="B488" s="2"/>
    </row>
    <row r="489" spans="2:2" ht="15.75" customHeight="1" x14ac:dyDescent="0.2">
      <c r="B489" s="2"/>
    </row>
    <row r="490" spans="2:2" ht="15.75" customHeight="1" x14ac:dyDescent="0.2">
      <c r="B490" s="2"/>
    </row>
    <row r="491" spans="2:2" ht="15.75" customHeight="1" x14ac:dyDescent="0.2">
      <c r="B491" s="2"/>
    </row>
    <row r="492" spans="2:2" ht="15.75" customHeight="1" x14ac:dyDescent="0.2">
      <c r="B492" s="2"/>
    </row>
    <row r="493" spans="2:2" ht="15.75" customHeight="1" x14ac:dyDescent="0.2">
      <c r="B493" s="2"/>
    </row>
    <row r="494" spans="2:2" ht="15.75" customHeight="1" x14ac:dyDescent="0.2">
      <c r="B494" s="2"/>
    </row>
    <row r="495" spans="2:2" ht="15.75" customHeight="1" x14ac:dyDescent="0.2">
      <c r="B495" s="2"/>
    </row>
    <row r="496" spans="2:2" ht="15.75" customHeight="1" x14ac:dyDescent="0.2">
      <c r="B496" s="2"/>
    </row>
    <row r="497" spans="2:2" ht="15.75" customHeight="1" x14ac:dyDescent="0.2">
      <c r="B497" s="2"/>
    </row>
    <row r="498" spans="2:2" ht="15.75" customHeight="1" x14ac:dyDescent="0.2">
      <c r="B498" s="2"/>
    </row>
    <row r="499" spans="2:2" ht="15.75" customHeight="1" x14ac:dyDescent="0.2">
      <c r="B499" s="2"/>
    </row>
    <row r="500" spans="2:2" ht="15.75" customHeight="1" x14ac:dyDescent="0.2">
      <c r="B500" s="2"/>
    </row>
    <row r="501" spans="2:2" ht="15.75" customHeight="1" x14ac:dyDescent="0.2">
      <c r="B501" s="2"/>
    </row>
    <row r="502" spans="2:2" ht="15.75" customHeight="1" x14ac:dyDescent="0.2">
      <c r="B502" s="2"/>
    </row>
    <row r="503" spans="2:2" ht="15.75" customHeight="1" x14ac:dyDescent="0.2">
      <c r="B503" s="2"/>
    </row>
    <row r="504" spans="2:2" ht="15.75" customHeight="1" x14ac:dyDescent="0.2">
      <c r="B504" s="2"/>
    </row>
    <row r="505" spans="2:2" ht="15.75" customHeight="1" x14ac:dyDescent="0.2">
      <c r="B505" s="2"/>
    </row>
    <row r="506" spans="2:2" ht="15.75" customHeight="1" x14ac:dyDescent="0.2">
      <c r="B506" s="2"/>
    </row>
    <row r="507" spans="2:2" ht="15.75" customHeight="1" x14ac:dyDescent="0.2">
      <c r="B507" s="2"/>
    </row>
    <row r="508" spans="2:2" ht="15.75" customHeight="1" x14ac:dyDescent="0.2">
      <c r="B508" s="2"/>
    </row>
    <row r="509" spans="2:2" ht="15.75" customHeight="1" x14ac:dyDescent="0.2">
      <c r="B509" s="2"/>
    </row>
    <row r="510" spans="2:2" ht="15.75" customHeight="1" x14ac:dyDescent="0.2">
      <c r="B510" s="2"/>
    </row>
    <row r="511" spans="2:2" ht="15.75" customHeight="1" x14ac:dyDescent="0.2">
      <c r="B511" s="2"/>
    </row>
    <row r="512" spans="2:2" ht="15.75" customHeight="1" x14ac:dyDescent="0.2">
      <c r="B512" s="2"/>
    </row>
    <row r="513" spans="2:2" ht="15.75" customHeight="1" x14ac:dyDescent="0.2">
      <c r="B513" s="2"/>
    </row>
    <row r="514" spans="2:2" ht="15.75" customHeight="1" x14ac:dyDescent="0.2">
      <c r="B514" s="2"/>
    </row>
    <row r="515" spans="2:2" ht="15.75" customHeight="1" x14ac:dyDescent="0.2">
      <c r="B515" s="2"/>
    </row>
    <row r="516" spans="2:2" ht="15.75" customHeight="1" x14ac:dyDescent="0.2">
      <c r="B516" s="2"/>
    </row>
    <row r="517" spans="2:2" ht="15.75" customHeight="1" x14ac:dyDescent="0.2">
      <c r="B517" s="2"/>
    </row>
    <row r="518" spans="2:2" ht="15.75" customHeight="1" x14ac:dyDescent="0.2">
      <c r="B518" s="2"/>
    </row>
    <row r="519" spans="2:2" ht="15.75" customHeight="1" x14ac:dyDescent="0.2">
      <c r="B519" s="2"/>
    </row>
    <row r="520" spans="2:2" ht="15.75" customHeight="1" x14ac:dyDescent="0.2">
      <c r="B520" s="2"/>
    </row>
    <row r="521" spans="2:2" ht="15.75" customHeight="1" x14ac:dyDescent="0.2">
      <c r="B521" s="2"/>
    </row>
    <row r="522" spans="2:2" ht="15.75" customHeight="1" x14ac:dyDescent="0.2">
      <c r="B522" s="2"/>
    </row>
    <row r="523" spans="2:2" ht="15.75" customHeight="1" x14ac:dyDescent="0.2">
      <c r="B523" s="2"/>
    </row>
    <row r="524" spans="2:2" ht="15.75" customHeight="1" x14ac:dyDescent="0.2">
      <c r="B524" s="2"/>
    </row>
    <row r="525" spans="2:2" ht="15.75" customHeight="1" x14ac:dyDescent="0.2">
      <c r="B525" s="2"/>
    </row>
    <row r="526" spans="2:2" ht="15.75" customHeight="1" x14ac:dyDescent="0.2">
      <c r="B526" s="2"/>
    </row>
    <row r="527" spans="2:2" ht="15.75" customHeight="1" x14ac:dyDescent="0.2">
      <c r="B527" s="2"/>
    </row>
    <row r="528" spans="2:2" ht="15.75" customHeight="1" x14ac:dyDescent="0.2">
      <c r="B528" s="2"/>
    </row>
    <row r="529" spans="2:2" ht="15.75" customHeight="1" x14ac:dyDescent="0.2">
      <c r="B529" s="2"/>
    </row>
    <row r="530" spans="2:2" ht="15.75" customHeight="1" x14ac:dyDescent="0.2">
      <c r="B530" s="2"/>
    </row>
    <row r="531" spans="2:2" ht="15.75" customHeight="1" x14ac:dyDescent="0.2">
      <c r="B531" s="2"/>
    </row>
    <row r="532" spans="2:2" ht="15.75" customHeight="1" x14ac:dyDescent="0.2">
      <c r="B532" s="2"/>
    </row>
    <row r="533" spans="2:2" ht="15.75" customHeight="1" x14ac:dyDescent="0.2">
      <c r="B533" s="2"/>
    </row>
    <row r="534" spans="2:2" ht="15.75" customHeight="1" x14ac:dyDescent="0.2">
      <c r="B534" s="2"/>
    </row>
    <row r="535" spans="2:2" ht="15.75" customHeight="1" x14ac:dyDescent="0.2">
      <c r="B535" s="2"/>
    </row>
    <row r="536" spans="2:2" ht="15.75" customHeight="1" x14ac:dyDescent="0.2">
      <c r="B536" s="2"/>
    </row>
    <row r="537" spans="2:2" ht="15.75" customHeight="1" x14ac:dyDescent="0.2">
      <c r="B537" s="2"/>
    </row>
    <row r="538" spans="2:2" ht="15.75" customHeight="1" x14ac:dyDescent="0.2">
      <c r="B538" s="2"/>
    </row>
    <row r="539" spans="2:2" ht="15.75" customHeight="1" x14ac:dyDescent="0.2">
      <c r="B539" s="2"/>
    </row>
    <row r="540" spans="2:2" ht="15.75" customHeight="1" x14ac:dyDescent="0.2">
      <c r="B540" s="2"/>
    </row>
    <row r="541" spans="2:2" ht="15.75" customHeight="1" x14ac:dyDescent="0.2">
      <c r="B541" s="2"/>
    </row>
    <row r="542" spans="2:2" ht="15.75" customHeight="1" x14ac:dyDescent="0.2">
      <c r="B542" s="2"/>
    </row>
    <row r="543" spans="2:2" ht="15.75" customHeight="1" x14ac:dyDescent="0.2">
      <c r="B543" s="2"/>
    </row>
    <row r="544" spans="2:2" ht="15.75" customHeight="1" x14ac:dyDescent="0.2">
      <c r="B544" s="2"/>
    </row>
    <row r="545" spans="2:2" ht="15.75" customHeight="1" x14ac:dyDescent="0.2">
      <c r="B545" s="2"/>
    </row>
    <row r="546" spans="2:2" ht="15.75" customHeight="1" x14ac:dyDescent="0.2">
      <c r="B546" s="2"/>
    </row>
    <row r="547" spans="2:2" ht="15.75" customHeight="1" x14ac:dyDescent="0.2">
      <c r="B547" s="2"/>
    </row>
    <row r="548" spans="2:2" ht="15.75" customHeight="1" x14ac:dyDescent="0.2">
      <c r="B548" s="2"/>
    </row>
    <row r="549" spans="2:2" ht="15.75" customHeight="1" x14ac:dyDescent="0.2">
      <c r="B549" s="2"/>
    </row>
    <row r="550" spans="2:2" ht="15.75" customHeight="1" x14ac:dyDescent="0.2">
      <c r="B550" s="2"/>
    </row>
    <row r="551" spans="2:2" ht="15.75" customHeight="1" x14ac:dyDescent="0.2">
      <c r="B551" s="2"/>
    </row>
    <row r="552" spans="2:2" ht="15.75" customHeight="1" x14ac:dyDescent="0.2">
      <c r="B552" s="2"/>
    </row>
    <row r="553" spans="2:2" ht="15.75" customHeight="1" x14ac:dyDescent="0.2">
      <c r="B553" s="2"/>
    </row>
    <row r="554" spans="2:2" ht="15.75" customHeight="1" x14ac:dyDescent="0.2">
      <c r="B554" s="2"/>
    </row>
    <row r="555" spans="2:2" ht="15.75" customHeight="1" x14ac:dyDescent="0.2">
      <c r="B555" s="2"/>
    </row>
    <row r="556" spans="2:2" ht="15.75" customHeight="1" x14ac:dyDescent="0.2">
      <c r="B556" s="2"/>
    </row>
    <row r="557" spans="2:2" ht="15.75" customHeight="1" x14ac:dyDescent="0.2">
      <c r="B557" s="2"/>
    </row>
    <row r="558" spans="2:2" ht="15.75" customHeight="1" x14ac:dyDescent="0.2">
      <c r="B558" s="2"/>
    </row>
    <row r="559" spans="2:2" ht="15.75" customHeight="1" x14ac:dyDescent="0.2">
      <c r="B559" s="2"/>
    </row>
    <row r="560" spans="2:2" ht="15.75" customHeight="1" x14ac:dyDescent="0.2">
      <c r="B560" s="2"/>
    </row>
    <row r="561" spans="2:2" ht="15.75" customHeight="1" x14ac:dyDescent="0.2">
      <c r="B561" s="2"/>
    </row>
    <row r="562" spans="2:2" ht="15.75" customHeight="1" x14ac:dyDescent="0.2">
      <c r="B562" s="2"/>
    </row>
    <row r="563" spans="2:2" ht="15.75" customHeight="1" x14ac:dyDescent="0.2">
      <c r="B563" s="2"/>
    </row>
    <row r="564" spans="2:2" ht="15.75" customHeight="1" x14ac:dyDescent="0.2">
      <c r="B564" s="2"/>
    </row>
    <row r="565" spans="2:2" ht="15.75" customHeight="1" x14ac:dyDescent="0.2">
      <c r="B565" s="2"/>
    </row>
    <row r="566" spans="2:2" ht="15.75" customHeight="1" x14ac:dyDescent="0.2">
      <c r="B566" s="2"/>
    </row>
    <row r="567" spans="2:2" ht="15.75" customHeight="1" x14ac:dyDescent="0.2">
      <c r="B567" s="2"/>
    </row>
    <row r="568" spans="2:2" ht="15.75" customHeight="1" x14ac:dyDescent="0.2">
      <c r="B568" s="2"/>
    </row>
    <row r="569" spans="2:2" ht="15.75" customHeight="1" x14ac:dyDescent="0.2">
      <c r="B569" s="2"/>
    </row>
    <row r="570" spans="2:2" ht="15.75" customHeight="1" x14ac:dyDescent="0.2">
      <c r="B570" s="2"/>
    </row>
    <row r="571" spans="2:2" ht="15.75" customHeight="1" x14ac:dyDescent="0.2">
      <c r="B571" s="2"/>
    </row>
    <row r="572" spans="2:2" ht="15.75" customHeight="1" x14ac:dyDescent="0.2">
      <c r="B572" s="2"/>
    </row>
    <row r="573" spans="2:2" ht="15.75" customHeight="1" x14ac:dyDescent="0.2">
      <c r="B573" s="2"/>
    </row>
    <row r="574" spans="2:2" ht="15.75" customHeight="1" x14ac:dyDescent="0.2">
      <c r="B574" s="2"/>
    </row>
    <row r="575" spans="2:2" ht="15.75" customHeight="1" x14ac:dyDescent="0.2">
      <c r="B575" s="2"/>
    </row>
    <row r="576" spans="2:2" ht="15.75" customHeight="1" x14ac:dyDescent="0.2">
      <c r="B576" s="2"/>
    </row>
    <row r="577" spans="2:2" ht="15.75" customHeight="1" x14ac:dyDescent="0.2">
      <c r="B577" s="2"/>
    </row>
    <row r="578" spans="2:2" ht="15.75" customHeight="1" x14ac:dyDescent="0.2">
      <c r="B578" s="2"/>
    </row>
    <row r="579" spans="2:2" ht="15.75" customHeight="1" x14ac:dyDescent="0.2">
      <c r="B579" s="2"/>
    </row>
    <row r="580" spans="2:2" ht="15.75" customHeight="1" x14ac:dyDescent="0.2">
      <c r="B580" s="2"/>
    </row>
    <row r="581" spans="2:2" ht="15.75" customHeight="1" x14ac:dyDescent="0.2">
      <c r="B581" s="2"/>
    </row>
    <row r="582" spans="2:2" ht="15.75" customHeight="1" x14ac:dyDescent="0.2">
      <c r="B582" s="2"/>
    </row>
    <row r="583" spans="2:2" ht="15.75" customHeight="1" x14ac:dyDescent="0.2">
      <c r="B583" s="2"/>
    </row>
    <row r="584" spans="2:2" ht="15.75" customHeight="1" x14ac:dyDescent="0.2">
      <c r="B584" s="2"/>
    </row>
    <row r="585" spans="2:2" ht="15.75" customHeight="1" x14ac:dyDescent="0.2">
      <c r="B585" s="2"/>
    </row>
    <row r="586" spans="2:2" ht="15.75" customHeight="1" x14ac:dyDescent="0.2">
      <c r="B586" s="2"/>
    </row>
    <row r="587" spans="2:2" ht="15.75" customHeight="1" x14ac:dyDescent="0.2">
      <c r="B587" s="2"/>
    </row>
    <row r="588" spans="2:2" ht="15.75" customHeight="1" x14ac:dyDescent="0.2">
      <c r="B588" s="2"/>
    </row>
    <row r="589" spans="2:2" ht="15.75" customHeight="1" x14ac:dyDescent="0.2">
      <c r="B589" s="2"/>
    </row>
    <row r="590" spans="2:2" ht="15.75" customHeight="1" x14ac:dyDescent="0.2">
      <c r="B590" s="2"/>
    </row>
    <row r="591" spans="2:2" ht="15.75" customHeight="1" x14ac:dyDescent="0.2">
      <c r="B591" s="2"/>
    </row>
    <row r="592" spans="2:2" ht="15.75" customHeight="1" x14ac:dyDescent="0.2">
      <c r="B592" s="2"/>
    </row>
    <row r="593" spans="2:2" ht="15.75" customHeight="1" x14ac:dyDescent="0.2">
      <c r="B593" s="2"/>
    </row>
    <row r="594" spans="2:2" ht="15.75" customHeight="1" x14ac:dyDescent="0.2">
      <c r="B594" s="2"/>
    </row>
    <row r="595" spans="2:2" ht="15.75" customHeight="1" x14ac:dyDescent="0.2">
      <c r="B595" s="2"/>
    </row>
    <row r="596" spans="2:2" ht="15.75" customHeight="1" x14ac:dyDescent="0.2">
      <c r="B596" s="2"/>
    </row>
    <row r="597" spans="2:2" ht="15.75" customHeight="1" x14ac:dyDescent="0.2">
      <c r="B597" s="2"/>
    </row>
    <row r="598" spans="2:2" ht="15.75" customHeight="1" x14ac:dyDescent="0.2">
      <c r="B598" s="2"/>
    </row>
    <row r="599" spans="2:2" ht="15.75" customHeight="1" x14ac:dyDescent="0.2">
      <c r="B599" s="2"/>
    </row>
    <row r="600" spans="2:2" ht="15.75" customHeight="1" x14ac:dyDescent="0.2">
      <c r="B600" s="2"/>
    </row>
    <row r="601" spans="2:2" ht="15.75" customHeight="1" x14ac:dyDescent="0.2">
      <c r="B601" s="2"/>
    </row>
    <row r="602" spans="2:2" ht="15.75" customHeight="1" x14ac:dyDescent="0.2">
      <c r="B602" s="2"/>
    </row>
    <row r="603" spans="2:2" ht="15.75" customHeight="1" x14ac:dyDescent="0.2">
      <c r="B603" s="2"/>
    </row>
    <row r="604" spans="2:2" ht="15.75" customHeight="1" x14ac:dyDescent="0.2">
      <c r="B604" s="2"/>
    </row>
    <row r="605" spans="2:2" ht="15.75" customHeight="1" x14ac:dyDescent="0.2">
      <c r="B605" s="2"/>
    </row>
    <row r="606" spans="2:2" ht="15.75" customHeight="1" x14ac:dyDescent="0.2">
      <c r="B606" s="2"/>
    </row>
    <row r="607" spans="2:2" ht="15.75" customHeight="1" x14ac:dyDescent="0.2">
      <c r="B607" s="2"/>
    </row>
    <row r="608" spans="2:2" ht="15.75" customHeight="1" x14ac:dyDescent="0.2">
      <c r="B608" s="2"/>
    </row>
    <row r="609" spans="2:2" ht="15.75" customHeight="1" x14ac:dyDescent="0.2">
      <c r="B609" s="2"/>
    </row>
    <row r="610" spans="2:2" ht="15.75" customHeight="1" x14ac:dyDescent="0.2">
      <c r="B610" s="2"/>
    </row>
    <row r="611" spans="2:2" ht="15.75" customHeight="1" x14ac:dyDescent="0.2">
      <c r="B611" s="2"/>
    </row>
    <row r="612" spans="2:2" ht="15.75" customHeight="1" x14ac:dyDescent="0.2">
      <c r="B612" s="2"/>
    </row>
    <row r="613" spans="2:2" ht="15.75" customHeight="1" x14ac:dyDescent="0.2">
      <c r="B613" s="2"/>
    </row>
    <row r="614" spans="2:2" ht="15.75" customHeight="1" x14ac:dyDescent="0.2">
      <c r="B614" s="2"/>
    </row>
    <row r="615" spans="2:2" ht="15.75" customHeight="1" x14ac:dyDescent="0.2">
      <c r="B615" s="2"/>
    </row>
    <row r="616" spans="2:2" ht="15.75" customHeight="1" x14ac:dyDescent="0.2">
      <c r="B616" s="2"/>
    </row>
    <row r="617" spans="2:2" ht="15.75" customHeight="1" x14ac:dyDescent="0.2">
      <c r="B617" s="2"/>
    </row>
    <row r="618" spans="2:2" ht="15.75" customHeight="1" x14ac:dyDescent="0.2">
      <c r="B618" s="2"/>
    </row>
    <row r="619" spans="2:2" ht="15.75" customHeight="1" x14ac:dyDescent="0.2">
      <c r="B619" s="2"/>
    </row>
    <row r="620" spans="2:2" ht="15.75" customHeight="1" x14ac:dyDescent="0.2">
      <c r="B620" s="2"/>
    </row>
    <row r="621" spans="2:2" ht="15.75" customHeight="1" x14ac:dyDescent="0.2">
      <c r="B621" s="2"/>
    </row>
    <row r="622" spans="2:2" ht="15.75" customHeight="1" x14ac:dyDescent="0.2">
      <c r="B622" s="2"/>
    </row>
    <row r="623" spans="2:2" ht="15.75" customHeight="1" x14ac:dyDescent="0.2">
      <c r="B623" s="2"/>
    </row>
    <row r="624" spans="2:2" ht="15.75" customHeight="1" x14ac:dyDescent="0.2">
      <c r="B624" s="2"/>
    </row>
    <row r="625" spans="2:2" ht="15.75" customHeight="1" x14ac:dyDescent="0.2">
      <c r="B625" s="2"/>
    </row>
    <row r="626" spans="2:2" ht="15.75" customHeight="1" x14ac:dyDescent="0.2">
      <c r="B626" s="2"/>
    </row>
    <row r="627" spans="2:2" ht="15.75" customHeight="1" x14ac:dyDescent="0.2">
      <c r="B627" s="2"/>
    </row>
    <row r="628" spans="2:2" ht="15.75" customHeight="1" x14ac:dyDescent="0.2">
      <c r="B628" s="2"/>
    </row>
    <row r="629" spans="2:2" ht="15.75" customHeight="1" x14ac:dyDescent="0.2">
      <c r="B629" s="2"/>
    </row>
    <row r="630" spans="2:2" ht="15.75" customHeight="1" x14ac:dyDescent="0.2">
      <c r="B630" s="2"/>
    </row>
    <row r="631" spans="2:2" ht="15.75" customHeight="1" x14ac:dyDescent="0.2">
      <c r="B631" s="2"/>
    </row>
    <row r="632" spans="2:2" ht="15.75" customHeight="1" x14ac:dyDescent="0.2">
      <c r="B632" s="2"/>
    </row>
    <row r="633" spans="2:2" ht="15.75" customHeight="1" x14ac:dyDescent="0.2">
      <c r="B633" s="2"/>
    </row>
    <row r="634" spans="2:2" ht="15.75" customHeight="1" x14ac:dyDescent="0.2">
      <c r="B634" s="2"/>
    </row>
    <row r="635" spans="2:2" ht="15.75" customHeight="1" x14ac:dyDescent="0.2">
      <c r="B635" s="2"/>
    </row>
    <row r="636" spans="2:2" ht="15.75" customHeight="1" x14ac:dyDescent="0.2">
      <c r="B636" s="2"/>
    </row>
    <row r="637" spans="2:2" ht="15.75" customHeight="1" x14ac:dyDescent="0.2">
      <c r="B637" s="2"/>
    </row>
    <row r="638" spans="2:2" ht="15.75" customHeight="1" x14ac:dyDescent="0.2">
      <c r="B638" s="2"/>
    </row>
    <row r="639" spans="2:2" ht="15.75" customHeight="1" x14ac:dyDescent="0.2">
      <c r="B639" s="2"/>
    </row>
    <row r="640" spans="2:2" ht="15.75" customHeight="1" x14ac:dyDescent="0.2">
      <c r="B640" s="2"/>
    </row>
    <row r="641" spans="2:2" ht="15.75" customHeight="1" x14ac:dyDescent="0.2">
      <c r="B641" s="2"/>
    </row>
    <row r="642" spans="2:2" ht="15.75" customHeight="1" x14ac:dyDescent="0.2">
      <c r="B642" s="2"/>
    </row>
    <row r="643" spans="2:2" ht="15.75" customHeight="1" x14ac:dyDescent="0.2">
      <c r="B643" s="2"/>
    </row>
    <row r="644" spans="2:2" ht="15.75" customHeight="1" x14ac:dyDescent="0.2">
      <c r="B644" s="2"/>
    </row>
    <row r="645" spans="2:2" ht="15.75" customHeight="1" x14ac:dyDescent="0.2">
      <c r="B645" s="2"/>
    </row>
    <row r="646" spans="2:2" ht="15.75" customHeight="1" x14ac:dyDescent="0.2">
      <c r="B646" s="2"/>
    </row>
    <row r="647" spans="2:2" ht="15.75" customHeight="1" x14ac:dyDescent="0.2">
      <c r="B647" s="2"/>
    </row>
    <row r="648" spans="2:2" ht="15.75" customHeight="1" x14ac:dyDescent="0.2">
      <c r="B648" s="2"/>
    </row>
    <row r="649" spans="2:2" ht="15.75" customHeight="1" x14ac:dyDescent="0.2">
      <c r="B649" s="2"/>
    </row>
    <row r="650" spans="2:2" ht="15.75" customHeight="1" x14ac:dyDescent="0.2">
      <c r="B650" s="2"/>
    </row>
    <row r="651" spans="2:2" ht="15.75" customHeight="1" x14ac:dyDescent="0.2">
      <c r="B651" s="2"/>
    </row>
    <row r="652" spans="2:2" ht="15.75" customHeight="1" x14ac:dyDescent="0.2">
      <c r="B652" s="2"/>
    </row>
    <row r="653" spans="2:2" ht="15.75" customHeight="1" x14ac:dyDescent="0.2">
      <c r="B653" s="2"/>
    </row>
    <row r="654" spans="2:2" ht="15.75" customHeight="1" x14ac:dyDescent="0.2">
      <c r="B654" s="2"/>
    </row>
    <row r="655" spans="2:2" ht="15.75" customHeight="1" x14ac:dyDescent="0.2">
      <c r="B655" s="2"/>
    </row>
    <row r="656" spans="2:2" ht="15.75" customHeight="1" x14ac:dyDescent="0.2">
      <c r="B656" s="2"/>
    </row>
    <row r="657" spans="2:2" ht="15.75" customHeight="1" x14ac:dyDescent="0.2">
      <c r="B657" s="2"/>
    </row>
    <row r="658" spans="2:2" ht="15.75" customHeight="1" x14ac:dyDescent="0.2">
      <c r="B658" s="2"/>
    </row>
    <row r="659" spans="2:2" ht="15.75" customHeight="1" x14ac:dyDescent="0.2">
      <c r="B659" s="2"/>
    </row>
    <row r="660" spans="2:2" ht="15.75" customHeight="1" x14ac:dyDescent="0.2">
      <c r="B660" s="2"/>
    </row>
    <row r="661" spans="2:2" ht="15.75" customHeight="1" x14ac:dyDescent="0.2">
      <c r="B661" s="2"/>
    </row>
    <row r="662" spans="2:2" ht="15.75" customHeight="1" x14ac:dyDescent="0.2">
      <c r="B662" s="2"/>
    </row>
    <row r="663" spans="2:2" ht="15.75" customHeight="1" x14ac:dyDescent="0.2">
      <c r="B663" s="2"/>
    </row>
    <row r="664" spans="2:2" ht="15.75" customHeight="1" x14ac:dyDescent="0.2">
      <c r="B664" s="2"/>
    </row>
    <row r="665" spans="2:2" ht="15.75" customHeight="1" x14ac:dyDescent="0.2">
      <c r="B665" s="2"/>
    </row>
    <row r="666" spans="2:2" ht="15.75" customHeight="1" x14ac:dyDescent="0.2">
      <c r="B666" s="2"/>
    </row>
    <row r="667" spans="2:2" ht="15.75" customHeight="1" x14ac:dyDescent="0.2">
      <c r="B667" s="2"/>
    </row>
    <row r="668" spans="2:2" ht="15.75" customHeight="1" x14ac:dyDescent="0.2">
      <c r="B668" s="2"/>
    </row>
    <row r="669" spans="2:2" ht="15.75" customHeight="1" x14ac:dyDescent="0.2">
      <c r="B669" s="2"/>
    </row>
    <row r="670" spans="2:2" ht="15.75" customHeight="1" x14ac:dyDescent="0.2">
      <c r="B670" s="2"/>
    </row>
    <row r="671" spans="2:2" ht="15.75" customHeight="1" x14ac:dyDescent="0.2">
      <c r="B671" s="2"/>
    </row>
    <row r="672" spans="2:2" ht="15.75" customHeight="1" x14ac:dyDescent="0.2">
      <c r="B672" s="2"/>
    </row>
    <row r="673" spans="2:2" ht="15.75" customHeight="1" x14ac:dyDescent="0.2">
      <c r="B673" s="2"/>
    </row>
    <row r="674" spans="2:2" ht="15.75" customHeight="1" x14ac:dyDescent="0.2">
      <c r="B674" s="2"/>
    </row>
    <row r="675" spans="2:2" ht="15.75" customHeight="1" x14ac:dyDescent="0.2">
      <c r="B675" s="2"/>
    </row>
    <row r="676" spans="2:2" ht="15.75" customHeight="1" x14ac:dyDescent="0.2">
      <c r="B676" s="2"/>
    </row>
    <row r="677" spans="2:2" ht="15.75" customHeight="1" x14ac:dyDescent="0.2">
      <c r="B677" s="2"/>
    </row>
    <row r="678" spans="2:2" ht="15.75" customHeight="1" x14ac:dyDescent="0.2">
      <c r="B678" s="2"/>
    </row>
    <row r="679" spans="2:2" ht="15.75" customHeight="1" x14ac:dyDescent="0.2">
      <c r="B679" s="2"/>
    </row>
    <row r="680" spans="2:2" ht="15.75" customHeight="1" x14ac:dyDescent="0.2">
      <c r="B680" s="2"/>
    </row>
    <row r="681" spans="2:2" ht="15.75" customHeight="1" x14ac:dyDescent="0.2">
      <c r="B681" s="2"/>
    </row>
    <row r="682" spans="2:2" ht="15.75" customHeight="1" x14ac:dyDescent="0.2">
      <c r="B682" s="2"/>
    </row>
    <row r="683" spans="2:2" ht="15.75" customHeight="1" x14ac:dyDescent="0.2">
      <c r="B683" s="2"/>
    </row>
    <row r="684" spans="2:2" ht="15.75" customHeight="1" x14ac:dyDescent="0.2">
      <c r="B684" s="2"/>
    </row>
    <row r="685" spans="2:2" ht="15.75" customHeight="1" x14ac:dyDescent="0.2">
      <c r="B685" s="2"/>
    </row>
    <row r="686" spans="2:2" ht="15.75" customHeight="1" x14ac:dyDescent="0.2">
      <c r="B686" s="2"/>
    </row>
    <row r="687" spans="2:2" ht="15.75" customHeight="1" x14ac:dyDescent="0.2">
      <c r="B687" s="2"/>
    </row>
    <row r="688" spans="2:2" ht="15.75" customHeight="1" x14ac:dyDescent="0.2">
      <c r="B688" s="2"/>
    </row>
    <row r="689" spans="2:2" ht="15.75" customHeight="1" x14ac:dyDescent="0.2">
      <c r="B689" s="2"/>
    </row>
    <row r="690" spans="2:2" ht="15.75" customHeight="1" x14ac:dyDescent="0.2">
      <c r="B690" s="2"/>
    </row>
    <row r="691" spans="2:2" ht="15.75" customHeight="1" x14ac:dyDescent="0.2">
      <c r="B691" s="2"/>
    </row>
    <row r="692" spans="2:2" ht="15.75" customHeight="1" x14ac:dyDescent="0.2">
      <c r="B692" s="2"/>
    </row>
    <row r="693" spans="2:2" ht="15.75" customHeight="1" x14ac:dyDescent="0.2">
      <c r="B693" s="2"/>
    </row>
    <row r="694" spans="2:2" ht="15.75" customHeight="1" x14ac:dyDescent="0.2">
      <c r="B694" s="2"/>
    </row>
    <row r="695" spans="2:2" ht="15.75" customHeight="1" x14ac:dyDescent="0.2">
      <c r="B695" s="2"/>
    </row>
    <row r="696" spans="2:2" ht="15.75" customHeight="1" x14ac:dyDescent="0.2">
      <c r="B696" s="2"/>
    </row>
    <row r="697" spans="2:2" ht="15.75" customHeight="1" x14ac:dyDescent="0.2">
      <c r="B697" s="2"/>
    </row>
    <row r="698" spans="2:2" ht="15.75" customHeight="1" x14ac:dyDescent="0.2">
      <c r="B698" s="2"/>
    </row>
    <row r="699" spans="2:2" ht="15.75" customHeight="1" x14ac:dyDescent="0.2">
      <c r="B699" s="2"/>
    </row>
    <row r="700" spans="2:2" ht="15.75" customHeight="1" x14ac:dyDescent="0.2">
      <c r="B700" s="2"/>
    </row>
    <row r="701" spans="2:2" ht="15.75" customHeight="1" x14ac:dyDescent="0.2">
      <c r="B701" s="2"/>
    </row>
    <row r="702" spans="2:2" ht="15.75" customHeight="1" x14ac:dyDescent="0.2">
      <c r="B702" s="2"/>
    </row>
    <row r="703" spans="2:2" ht="15.75" customHeight="1" x14ac:dyDescent="0.2">
      <c r="B703" s="2"/>
    </row>
    <row r="704" spans="2:2" ht="15.75" customHeight="1" x14ac:dyDescent="0.2">
      <c r="B704" s="2"/>
    </row>
    <row r="705" spans="2:2" ht="15.75" customHeight="1" x14ac:dyDescent="0.2">
      <c r="B705" s="2"/>
    </row>
    <row r="706" spans="2:2" ht="15.75" customHeight="1" x14ac:dyDescent="0.2">
      <c r="B706" s="2"/>
    </row>
    <row r="707" spans="2:2" ht="15.75" customHeight="1" x14ac:dyDescent="0.2">
      <c r="B707" s="2"/>
    </row>
    <row r="708" spans="2:2" ht="15.75" customHeight="1" x14ac:dyDescent="0.2">
      <c r="B708" s="2"/>
    </row>
    <row r="709" spans="2:2" ht="15.75" customHeight="1" x14ac:dyDescent="0.2">
      <c r="B709" s="2"/>
    </row>
    <row r="710" spans="2:2" ht="15.75" customHeight="1" x14ac:dyDescent="0.2">
      <c r="B710" s="2"/>
    </row>
    <row r="711" spans="2:2" ht="15.75" customHeight="1" x14ac:dyDescent="0.2">
      <c r="B711" s="2"/>
    </row>
    <row r="712" spans="2:2" ht="15.75" customHeight="1" x14ac:dyDescent="0.2">
      <c r="B712" s="2"/>
    </row>
    <row r="713" spans="2:2" ht="15.75" customHeight="1" x14ac:dyDescent="0.2">
      <c r="B713" s="2"/>
    </row>
    <row r="714" spans="2:2" ht="15.75" customHeight="1" x14ac:dyDescent="0.2">
      <c r="B714" s="2"/>
    </row>
    <row r="715" spans="2:2" ht="15.75" customHeight="1" x14ac:dyDescent="0.2">
      <c r="B715" s="2"/>
    </row>
    <row r="716" spans="2:2" ht="15.75" customHeight="1" x14ac:dyDescent="0.2">
      <c r="B716" s="2"/>
    </row>
    <row r="717" spans="2:2" ht="15.75" customHeight="1" x14ac:dyDescent="0.2">
      <c r="B717" s="2"/>
    </row>
    <row r="718" spans="2:2" ht="15.75" customHeight="1" x14ac:dyDescent="0.2">
      <c r="B718" s="2"/>
    </row>
    <row r="719" spans="2:2" ht="15.75" customHeight="1" x14ac:dyDescent="0.2">
      <c r="B719" s="2"/>
    </row>
    <row r="720" spans="2:2" ht="15.75" customHeight="1" x14ac:dyDescent="0.2">
      <c r="B720" s="2"/>
    </row>
    <row r="721" spans="2:2" ht="15.75" customHeight="1" x14ac:dyDescent="0.2">
      <c r="B721" s="2"/>
    </row>
    <row r="722" spans="2:2" ht="15.75" customHeight="1" x14ac:dyDescent="0.2">
      <c r="B722" s="2"/>
    </row>
    <row r="723" spans="2:2" ht="15.75" customHeight="1" x14ac:dyDescent="0.2">
      <c r="B723" s="2"/>
    </row>
    <row r="724" spans="2:2" ht="15.75" customHeight="1" x14ac:dyDescent="0.2">
      <c r="B724" s="2"/>
    </row>
    <row r="725" spans="2:2" ht="15.75" customHeight="1" x14ac:dyDescent="0.2">
      <c r="B725" s="2"/>
    </row>
    <row r="726" spans="2:2" ht="15.75" customHeight="1" x14ac:dyDescent="0.2">
      <c r="B726" s="2"/>
    </row>
    <row r="727" spans="2:2" ht="15.75" customHeight="1" x14ac:dyDescent="0.2">
      <c r="B727" s="2"/>
    </row>
    <row r="728" spans="2:2" ht="15.75" customHeight="1" x14ac:dyDescent="0.2">
      <c r="B728" s="2"/>
    </row>
    <row r="729" spans="2:2" ht="15.75" customHeight="1" x14ac:dyDescent="0.2">
      <c r="B729" s="2"/>
    </row>
    <row r="730" spans="2:2" ht="15.75" customHeight="1" x14ac:dyDescent="0.2">
      <c r="B730" s="2"/>
    </row>
    <row r="731" spans="2:2" ht="15.75" customHeight="1" x14ac:dyDescent="0.2">
      <c r="B731" s="2"/>
    </row>
    <row r="732" spans="2:2" ht="15.75" customHeight="1" x14ac:dyDescent="0.2">
      <c r="B732" s="2"/>
    </row>
    <row r="733" spans="2:2" ht="15.75" customHeight="1" x14ac:dyDescent="0.2">
      <c r="B733" s="2"/>
    </row>
    <row r="734" spans="2:2" ht="15.75" customHeight="1" x14ac:dyDescent="0.2">
      <c r="B734" s="2"/>
    </row>
    <row r="735" spans="2:2" ht="15.75" customHeight="1" x14ac:dyDescent="0.2">
      <c r="B735" s="2"/>
    </row>
    <row r="736" spans="2:2" ht="15.75" customHeight="1" x14ac:dyDescent="0.2">
      <c r="B736" s="2"/>
    </row>
    <row r="737" spans="2:2" ht="15.75" customHeight="1" x14ac:dyDescent="0.2">
      <c r="B737" s="2"/>
    </row>
    <row r="738" spans="2:2" ht="15.75" customHeight="1" x14ac:dyDescent="0.2">
      <c r="B738" s="2"/>
    </row>
    <row r="739" spans="2:2" ht="15.75" customHeight="1" x14ac:dyDescent="0.2">
      <c r="B739" s="2"/>
    </row>
    <row r="740" spans="2:2" ht="15.75" customHeight="1" x14ac:dyDescent="0.2">
      <c r="B740" s="2"/>
    </row>
    <row r="741" spans="2:2" ht="15.75" customHeight="1" x14ac:dyDescent="0.2">
      <c r="B741" s="2"/>
    </row>
    <row r="742" spans="2:2" ht="15.75" customHeight="1" x14ac:dyDescent="0.2">
      <c r="B742" s="2"/>
    </row>
    <row r="743" spans="2:2" ht="15.75" customHeight="1" x14ac:dyDescent="0.2">
      <c r="B743" s="2"/>
    </row>
    <row r="744" spans="2:2" ht="15.75" customHeight="1" x14ac:dyDescent="0.2">
      <c r="B744" s="2"/>
    </row>
    <row r="745" spans="2:2" ht="15.75" customHeight="1" x14ac:dyDescent="0.2">
      <c r="B745" s="2"/>
    </row>
    <row r="746" spans="2:2" ht="15.75" customHeight="1" x14ac:dyDescent="0.2">
      <c r="B746" s="2"/>
    </row>
    <row r="747" spans="2:2" ht="15.75" customHeight="1" x14ac:dyDescent="0.2">
      <c r="B747" s="2"/>
    </row>
    <row r="748" spans="2:2" ht="15.75" customHeight="1" x14ac:dyDescent="0.2">
      <c r="B748" s="2"/>
    </row>
    <row r="749" spans="2:2" ht="15.75" customHeight="1" x14ac:dyDescent="0.2">
      <c r="B749" s="2"/>
    </row>
    <row r="750" spans="2:2" ht="15.75" customHeight="1" x14ac:dyDescent="0.2">
      <c r="B750" s="2"/>
    </row>
    <row r="751" spans="2:2" ht="15.75" customHeight="1" x14ac:dyDescent="0.2">
      <c r="B751" s="2"/>
    </row>
    <row r="752" spans="2:2" ht="15.75" customHeight="1" x14ac:dyDescent="0.2">
      <c r="B752" s="2"/>
    </row>
    <row r="753" spans="2:2" ht="15.75" customHeight="1" x14ac:dyDescent="0.2">
      <c r="B753" s="2"/>
    </row>
    <row r="754" spans="2:2" ht="15.75" customHeight="1" x14ac:dyDescent="0.2">
      <c r="B754" s="2"/>
    </row>
    <row r="755" spans="2:2" ht="15.75" customHeight="1" x14ac:dyDescent="0.2">
      <c r="B755" s="2"/>
    </row>
    <row r="756" spans="2:2" ht="15.75" customHeight="1" x14ac:dyDescent="0.2">
      <c r="B756" s="2"/>
    </row>
    <row r="757" spans="2:2" ht="15.75" customHeight="1" x14ac:dyDescent="0.2">
      <c r="B757" s="2"/>
    </row>
    <row r="758" spans="2:2" ht="15.75" customHeight="1" x14ac:dyDescent="0.2">
      <c r="B758" s="2"/>
    </row>
    <row r="759" spans="2:2" ht="15.75" customHeight="1" x14ac:dyDescent="0.2">
      <c r="B759" s="2"/>
    </row>
    <row r="760" spans="2:2" ht="15.75" customHeight="1" x14ac:dyDescent="0.2">
      <c r="B760" s="2"/>
    </row>
    <row r="761" spans="2:2" ht="15.75" customHeight="1" x14ac:dyDescent="0.2">
      <c r="B761" s="2"/>
    </row>
    <row r="762" spans="2:2" ht="15.75" customHeight="1" x14ac:dyDescent="0.2">
      <c r="B762" s="2"/>
    </row>
    <row r="763" spans="2:2" ht="15.75" customHeight="1" x14ac:dyDescent="0.2">
      <c r="B763" s="2"/>
    </row>
    <row r="764" spans="2:2" ht="15.75" customHeight="1" x14ac:dyDescent="0.2">
      <c r="B764" s="2"/>
    </row>
    <row r="765" spans="2:2" ht="15.75" customHeight="1" x14ac:dyDescent="0.2">
      <c r="B765" s="2"/>
    </row>
    <row r="766" spans="2:2" ht="15.75" customHeight="1" x14ac:dyDescent="0.2">
      <c r="B766" s="2"/>
    </row>
    <row r="767" spans="2:2" ht="15.75" customHeight="1" x14ac:dyDescent="0.2">
      <c r="B767" s="2"/>
    </row>
    <row r="768" spans="2:2" ht="15.75" customHeight="1" x14ac:dyDescent="0.2">
      <c r="B768" s="2"/>
    </row>
    <row r="769" spans="2:2" ht="15.75" customHeight="1" x14ac:dyDescent="0.2">
      <c r="B769" s="2"/>
    </row>
    <row r="770" spans="2:2" ht="15.75" customHeight="1" x14ac:dyDescent="0.2">
      <c r="B770" s="2"/>
    </row>
    <row r="771" spans="2:2" ht="15.75" customHeight="1" x14ac:dyDescent="0.2">
      <c r="B771" s="2"/>
    </row>
    <row r="772" spans="2:2" ht="15.75" customHeight="1" x14ac:dyDescent="0.2">
      <c r="B772" s="2"/>
    </row>
  </sheetData>
  <pageMargins left="0.511811024" right="0.511811024" top="0.78740157499999996" bottom="0.78740157499999996" header="0" footer="0"/>
  <pageSetup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549E-B074-4DE7-9722-418459846E14}">
  <sheetPr>
    <tabColor theme="7" tint="0.79998168889431442"/>
  </sheetPr>
  <dimension ref="A1:H474"/>
  <sheetViews>
    <sheetView topLeftCell="A199" workbookViewId="0">
      <selection activeCell="B196" sqref="B196"/>
    </sheetView>
  </sheetViews>
  <sheetFormatPr baseColWidth="10" defaultColWidth="9.1640625" defaultRowHeight="15" x14ac:dyDescent="0.2"/>
  <cols>
    <col min="1" max="1" width="17" style="17" bestFit="1" customWidth="1"/>
    <col min="2" max="2" width="17" style="12" customWidth="1"/>
    <col min="3" max="3" width="14.83203125" style="12" customWidth="1"/>
    <col min="4" max="4" width="7.5" style="12" bestFit="1" customWidth="1"/>
    <col min="5" max="5" width="8" style="12" bestFit="1" customWidth="1"/>
    <col min="6" max="6" width="6" style="12" bestFit="1" customWidth="1"/>
    <col min="7" max="7" width="9" style="12" bestFit="1" customWidth="1"/>
    <col min="8" max="8" width="13.33203125" style="12" customWidth="1"/>
    <col min="9" max="10" width="9.1640625" style="12"/>
    <col min="11" max="11" width="16.6640625" style="12" customWidth="1"/>
    <col min="12" max="16384" width="9.1640625" style="12"/>
  </cols>
  <sheetData>
    <row r="1" spans="1:8" x14ac:dyDescent="0.2">
      <c r="A1" s="92" t="s">
        <v>61</v>
      </c>
      <c r="B1" s="15" t="s">
        <v>561</v>
      </c>
    </row>
    <row r="2" spans="1:8" x14ac:dyDescent="0.2">
      <c r="A2" s="537" t="s">
        <v>562</v>
      </c>
      <c r="B2" s="537"/>
      <c r="C2" s="537"/>
      <c r="D2" s="537"/>
      <c r="E2" s="537"/>
      <c r="F2" s="537"/>
      <c r="G2" s="537"/>
      <c r="H2" s="537"/>
    </row>
    <row r="3" spans="1:8" x14ac:dyDescent="0.2">
      <c r="A3" s="21" t="s">
        <v>563</v>
      </c>
      <c r="B3" s="20" t="s">
        <v>564</v>
      </c>
      <c r="C3" s="20" t="s">
        <v>565</v>
      </c>
      <c r="D3" s="20" t="s">
        <v>119</v>
      </c>
      <c r="E3" s="20" t="s">
        <v>118</v>
      </c>
      <c r="F3" s="20" t="s">
        <v>566</v>
      </c>
      <c r="G3" s="20" t="s">
        <v>567</v>
      </c>
      <c r="H3" s="20" t="s">
        <v>568</v>
      </c>
    </row>
    <row r="4" spans="1:8" x14ac:dyDescent="0.2">
      <c r="A4" s="66">
        <v>38383</v>
      </c>
      <c r="B4" s="65">
        <v>18.25</v>
      </c>
      <c r="C4" s="65">
        <v>1.00066542</v>
      </c>
      <c r="D4" s="65">
        <v>17</v>
      </c>
      <c r="E4" s="65">
        <v>18.48</v>
      </c>
      <c r="F4" s="65">
        <v>18.25</v>
      </c>
      <c r="G4" s="65">
        <v>0.14000000000000001</v>
      </c>
      <c r="H4" s="65">
        <v>18.239999999999998</v>
      </c>
    </row>
    <row r="5" spans="1:8" x14ac:dyDescent="0.2">
      <c r="A5" s="66">
        <v>38411</v>
      </c>
      <c r="B5" s="65">
        <v>18.68</v>
      </c>
      <c r="C5" s="65">
        <v>1.0006798400000001</v>
      </c>
      <c r="D5" s="65">
        <v>17</v>
      </c>
      <c r="E5" s="65">
        <v>18.850000000000001</v>
      </c>
      <c r="F5" s="65">
        <v>18.649999999999999</v>
      </c>
      <c r="G5" s="65">
        <v>0.17</v>
      </c>
      <c r="H5" s="65">
        <v>18.739999999999998</v>
      </c>
    </row>
    <row r="6" spans="1:8" x14ac:dyDescent="0.2">
      <c r="A6" s="66">
        <v>38442</v>
      </c>
      <c r="B6" s="65">
        <v>19.21</v>
      </c>
      <c r="C6" s="65">
        <v>1.0006975300000001</v>
      </c>
      <c r="D6" s="65">
        <v>18.100000000000001</v>
      </c>
      <c r="E6" s="65">
        <v>19.399999999999999</v>
      </c>
      <c r="F6" s="65">
        <v>19.25</v>
      </c>
      <c r="G6" s="65">
        <v>0.12</v>
      </c>
      <c r="H6" s="65">
        <v>19.25</v>
      </c>
    </row>
    <row r="7" spans="1:8" x14ac:dyDescent="0.2">
      <c r="A7" s="66">
        <v>38470</v>
      </c>
      <c r="B7" s="65">
        <v>19.440000000000001</v>
      </c>
      <c r="C7" s="65">
        <v>1.00070518</v>
      </c>
      <c r="D7" s="65">
        <v>18.55</v>
      </c>
      <c r="E7" s="65">
        <v>19.600000000000001</v>
      </c>
      <c r="F7" s="65">
        <v>19.5</v>
      </c>
      <c r="G7" s="65">
        <v>0.1</v>
      </c>
      <c r="H7" s="65">
        <v>19.5</v>
      </c>
    </row>
    <row r="8" spans="1:8" x14ac:dyDescent="0.2">
      <c r="A8" s="66">
        <v>38503</v>
      </c>
      <c r="B8" s="65">
        <v>19.77</v>
      </c>
      <c r="C8" s="65">
        <v>1.00071614</v>
      </c>
      <c r="D8" s="65">
        <v>19</v>
      </c>
      <c r="E8" s="65">
        <v>20.100000000000001</v>
      </c>
      <c r="F8" s="65">
        <v>19.7</v>
      </c>
      <c r="G8" s="65">
        <v>0.13</v>
      </c>
      <c r="H8" s="65">
        <v>19.760000000000002</v>
      </c>
    </row>
    <row r="9" spans="1:8" x14ac:dyDescent="0.2">
      <c r="A9" s="66">
        <v>38533</v>
      </c>
      <c r="B9" s="65">
        <v>19.739999999999998</v>
      </c>
      <c r="C9" s="65">
        <v>1.00071515</v>
      </c>
      <c r="D9" s="65">
        <v>18.5</v>
      </c>
      <c r="E9" s="65">
        <v>20.04</v>
      </c>
      <c r="F9" s="65">
        <v>19.7</v>
      </c>
      <c r="G9" s="65">
        <v>0.15</v>
      </c>
      <c r="H9" s="65">
        <v>19.739999999999998</v>
      </c>
    </row>
    <row r="10" spans="1:8" x14ac:dyDescent="0.2">
      <c r="A10" s="66">
        <v>38562</v>
      </c>
      <c r="B10" s="65">
        <v>19.68</v>
      </c>
      <c r="C10" s="65">
        <v>1.0007131600000001</v>
      </c>
      <c r="D10" s="65">
        <v>18.8</v>
      </c>
      <c r="E10" s="65">
        <v>19.899999999999999</v>
      </c>
      <c r="F10" s="65">
        <v>19.649999999999999</v>
      </c>
      <c r="G10" s="65">
        <v>0.08</v>
      </c>
      <c r="H10" s="65">
        <v>19.739999999999998</v>
      </c>
    </row>
    <row r="11" spans="1:8" x14ac:dyDescent="0.2">
      <c r="A11" s="66">
        <v>38595</v>
      </c>
      <c r="B11" s="65">
        <v>19.71</v>
      </c>
      <c r="C11" s="65">
        <v>1.0007141500000001</v>
      </c>
      <c r="D11" s="65">
        <v>19</v>
      </c>
      <c r="E11" s="65">
        <v>20</v>
      </c>
      <c r="F11" s="65">
        <v>19.7</v>
      </c>
      <c r="G11" s="65">
        <v>0.11</v>
      </c>
      <c r="H11" s="65">
        <v>19.73</v>
      </c>
    </row>
    <row r="12" spans="1:8" x14ac:dyDescent="0.2">
      <c r="A12" s="66">
        <v>38625</v>
      </c>
      <c r="B12" s="65">
        <v>19.510000000000002</v>
      </c>
      <c r="C12" s="65">
        <v>1.00070751</v>
      </c>
      <c r="D12" s="65">
        <v>18.8</v>
      </c>
      <c r="E12" s="65">
        <v>19.8</v>
      </c>
      <c r="F12" s="65">
        <v>19.45</v>
      </c>
      <c r="G12" s="65">
        <v>0.09</v>
      </c>
      <c r="H12" s="65">
        <v>19.53</v>
      </c>
    </row>
    <row r="13" spans="1:8" x14ac:dyDescent="0.2">
      <c r="A13" s="66">
        <v>38656</v>
      </c>
      <c r="B13" s="65">
        <v>18.920000000000002</v>
      </c>
      <c r="C13" s="65">
        <v>1.00068786</v>
      </c>
      <c r="D13" s="65">
        <v>18.45</v>
      </c>
      <c r="E13" s="65">
        <v>19.239999999999998</v>
      </c>
      <c r="F13" s="65">
        <v>18.95</v>
      </c>
      <c r="G13" s="65">
        <v>0.11</v>
      </c>
      <c r="H13" s="65">
        <v>18.95</v>
      </c>
    </row>
    <row r="14" spans="1:8" x14ac:dyDescent="0.2">
      <c r="A14" s="66">
        <v>38686</v>
      </c>
      <c r="B14" s="65">
        <v>18.43</v>
      </c>
      <c r="C14" s="65">
        <v>1.00067146</v>
      </c>
      <c r="D14" s="65">
        <v>17.649999999999999</v>
      </c>
      <c r="E14" s="65">
        <v>18.7</v>
      </c>
      <c r="F14" s="65">
        <v>18.45</v>
      </c>
      <c r="G14" s="65">
        <v>0.1</v>
      </c>
      <c r="H14" s="65">
        <v>18.53</v>
      </c>
    </row>
    <row r="15" spans="1:8" x14ac:dyDescent="0.2">
      <c r="A15" s="66">
        <v>38715</v>
      </c>
      <c r="B15" s="65">
        <v>17.98</v>
      </c>
      <c r="C15" s="65">
        <v>1.0006563500000001</v>
      </c>
      <c r="D15" s="65">
        <v>17.399999999999999</v>
      </c>
      <c r="E15" s="65">
        <v>18.3</v>
      </c>
      <c r="F15" s="65">
        <v>17.899999999999999</v>
      </c>
      <c r="G15" s="65">
        <v>0.12</v>
      </c>
      <c r="H15" s="65">
        <v>18.05</v>
      </c>
    </row>
    <row r="16" spans="1:8" x14ac:dyDescent="0.2">
      <c r="A16" s="66">
        <v>38748</v>
      </c>
      <c r="B16" s="65">
        <v>17.100000000000001</v>
      </c>
      <c r="C16" s="65">
        <v>1.00062662</v>
      </c>
      <c r="D16" s="65">
        <v>16.8</v>
      </c>
      <c r="E16" s="65">
        <v>17.260000000000002</v>
      </c>
      <c r="F16" s="65">
        <v>17.05</v>
      </c>
      <c r="G16" s="65">
        <v>0.08</v>
      </c>
      <c r="H16" s="65">
        <v>17.23</v>
      </c>
    </row>
    <row r="17" spans="1:8" x14ac:dyDescent="0.2">
      <c r="A17" s="66">
        <v>38772</v>
      </c>
      <c r="B17" s="65">
        <v>17.29</v>
      </c>
      <c r="C17" s="65">
        <v>1.00063305</v>
      </c>
      <c r="D17" s="65">
        <v>16.8</v>
      </c>
      <c r="E17" s="65">
        <v>17.55</v>
      </c>
      <c r="F17" s="65">
        <v>17.3</v>
      </c>
      <c r="G17" s="65">
        <v>0.12</v>
      </c>
      <c r="H17" s="65">
        <v>17.29</v>
      </c>
    </row>
    <row r="18" spans="1:8" x14ac:dyDescent="0.2">
      <c r="A18" s="66">
        <v>38807</v>
      </c>
      <c r="B18" s="65">
        <v>16.510000000000002</v>
      </c>
      <c r="C18" s="65">
        <v>1.00060656</v>
      </c>
      <c r="D18" s="65">
        <v>15.71</v>
      </c>
      <c r="E18" s="65">
        <v>16.71</v>
      </c>
      <c r="F18" s="65">
        <v>16.489999999999998</v>
      </c>
      <c r="G18" s="65">
        <v>0.09</v>
      </c>
      <c r="H18" s="65">
        <v>16.54</v>
      </c>
    </row>
    <row r="19" spans="1:8" x14ac:dyDescent="0.2">
      <c r="A19" s="66">
        <v>38835</v>
      </c>
      <c r="B19" s="65">
        <v>15.7</v>
      </c>
      <c r="C19" s="65">
        <v>1.0005788600000001</v>
      </c>
      <c r="D19" s="65">
        <v>14.91</v>
      </c>
      <c r="E19" s="65">
        <v>16.100000000000001</v>
      </c>
      <c r="F19" s="65">
        <v>15.7</v>
      </c>
      <c r="G19" s="65">
        <v>0.15</v>
      </c>
      <c r="H19" s="65">
        <v>15.7</v>
      </c>
    </row>
    <row r="20" spans="1:8" x14ac:dyDescent="0.2">
      <c r="A20" s="66">
        <v>38868</v>
      </c>
      <c r="B20" s="65">
        <v>15.65</v>
      </c>
      <c r="C20" s="65">
        <v>1.0005771400000001</v>
      </c>
      <c r="D20" s="65">
        <v>14.8</v>
      </c>
      <c r="E20" s="65">
        <v>16</v>
      </c>
      <c r="F20" s="65">
        <v>15.64</v>
      </c>
      <c r="G20" s="65">
        <v>0.16</v>
      </c>
      <c r="H20" s="65">
        <v>15.66</v>
      </c>
    </row>
    <row r="21" spans="1:8" x14ac:dyDescent="0.2">
      <c r="A21" s="66">
        <v>38898</v>
      </c>
      <c r="B21" s="65">
        <v>15.18</v>
      </c>
      <c r="C21" s="65">
        <v>1.00056097</v>
      </c>
      <c r="D21" s="65">
        <v>14.4</v>
      </c>
      <c r="E21" s="65">
        <v>15.5</v>
      </c>
      <c r="F21" s="65">
        <v>15.12</v>
      </c>
      <c r="G21" s="65">
        <v>0.15</v>
      </c>
      <c r="H21" s="65">
        <v>15.18</v>
      </c>
    </row>
    <row r="22" spans="1:8" x14ac:dyDescent="0.2">
      <c r="A22" s="66">
        <v>38929</v>
      </c>
      <c r="B22" s="65">
        <v>14.63</v>
      </c>
      <c r="C22" s="65">
        <v>1.00054197</v>
      </c>
      <c r="D22" s="65">
        <v>13.97</v>
      </c>
      <c r="E22" s="65">
        <v>14.9</v>
      </c>
      <c r="F22" s="65">
        <v>14.59</v>
      </c>
      <c r="G22" s="65">
        <v>0.1</v>
      </c>
      <c r="H22" s="65">
        <v>14.66</v>
      </c>
    </row>
    <row r="23" spans="1:8" x14ac:dyDescent="0.2">
      <c r="A23" s="66">
        <v>38960</v>
      </c>
      <c r="B23" s="65">
        <v>14.11</v>
      </c>
      <c r="C23" s="65">
        <v>1.00052392</v>
      </c>
      <c r="D23" s="65">
        <v>13.47</v>
      </c>
      <c r="E23" s="65">
        <v>14.45</v>
      </c>
      <c r="F23" s="65">
        <v>13.88</v>
      </c>
      <c r="G23" s="65">
        <v>0.12</v>
      </c>
      <c r="H23" s="65">
        <v>14.18</v>
      </c>
    </row>
    <row r="24" spans="1:8" x14ac:dyDescent="0.2">
      <c r="A24" s="66">
        <v>38988</v>
      </c>
      <c r="B24" s="65">
        <v>14.13</v>
      </c>
      <c r="C24" s="65">
        <v>1.00052461</v>
      </c>
      <c r="D24" s="65">
        <v>13.45</v>
      </c>
      <c r="E24" s="65">
        <v>14.45</v>
      </c>
      <c r="F24" s="65">
        <v>14.13</v>
      </c>
      <c r="G24" s="65">
        <v>0.09</v>
      </c>
      <c r="H24" s="65">
        <v>14.17</v>
      </c>
    </row>
    <row r="25" spans="1:8" x14ac:dyDescent="0.2">
      <c r="A25" s="66">
        <v>39021</v>
      </c>
      <c r="B25" s="65">
        <v>13.65</v>
      </c>
      <c r="C25" s="65">
        <v>1.00050788</v>
      </c>
      <c r="D25" s="65">
        <v>13.1</v>
      </c>
      <c r="E25" s="65">
        <v>14.05</v>
      </c>
      <c r="F25" s="65">
        <v>13.4</v>
      </c>
      <c r="G25" s="65">
        <v>0.14000000000000001</v>
      </c>
      <c r="H25" s="65">
        <v>13.68</v>
      </c>
    </row>
    <row r="26" spans="1:8" x14ac:dyDescent="0.2">
      <c r="A26" s="66">
        <v>39051</v>
      </c>
      <c r="B26" s="65">
        <v>13.13</v>
      </c>
      <c r="C26" s="65">
        <v>1.0004896700000001</v>
      </c>
      <c r="D26" s="65">
        <v>12.75</v>
      </c>
      <c r="E26" s="65">
        <v>13.4</v>
      </c>
      <c r="F26" s="65">
        <v>13</v>
      </c>
      <c r="G26" s="65">
        <v>0.11</v>
      </c>
      <c r="H26" s="65">
        <v>13.18</v>
      </c>
    </row>
    <row r="27" spans="1:8" x14ac:dyDescent="0.2">
      <c r="A27" s="66">
        <v>39080</v>
      </c>
      <c r="B27" s="65">
        <v>13.17</v>
      </c>
      <c r="C27" s="65">
        <v>1.00049108</v>
      </c>
      <c r="D27" s="65">
        <v>12.5</v>
      </c>
      <c r="E27" s="65">
        <v>13.6</v>
      </c>
      <c r="F27" s="65">
        <v>13</v>
      </c>
      <c r="G27" s="65">
        <v>0.14000000000000001</v>
      </c>
      <c r="H27" s="65">
        <v>13.19</v>
      </c>
    </row>
    <row r="28" spans="1:8" x14ac:dyDescent="0.2">
      <c r="A28" s="66">
        <v>39113</v>
      </c>
      <c r="B28" s="65">
        <v>12.91</v>
      </c>
      <c r="C28" s="65">
        <v>1.00048194</v>
      </c>
      <c r="D28" s="65">
        <v>12.5</v>
      </c>
      <c r="E28" s="65">
        <v>13.25</v>
      </c>
      <c r="F28" s="65">
        <v>12.75</v>
      </c>
      <c r="G28" s="65">
        <v>0.13</v>
      </c>
      <c r="H28" s="65">
        <v>12.93</v>
      </c>
    </row>
    <row r="29" spans="1:8" x14ac:dyDescent="0.2">
      <c r="A29" s="66">
        <v>39141</v>
      </c>
      <c r="B29" s="65">
        <v>12.9</v>
      </c>
      <c r="C29" s="65">
        <v>1.0004815899999999</v>
      </c>
      <c r="D29" s="65">
        <v>12.5</v>
      </c>
      <c r="E29" s="65">
        <v>13.2</v>
      </c>
      <c r="F29" s="65">
        <v>12.75</v>
      </c>
      <c r="G29" s="65">
        <v>0.14000000000000001</v>
      </c>
      <c r="H29" s="65">
        <v>12.93</v>
      </c>
    </row>
    <row r="30" spans="1:8" x14ac:dyDescent="0.2">
      <c r="A30" s="66">
        <v>39172</v>
      </c>
      <c r="B30" s="65">
        <v>12.62</v>
      </c>
      <c r="C30" s="65">
        <v>1.0004717299999999</v>
      </c>
      <c r="D30" s="65">
        <v>12</v>
      </c>
      <c r="E30" s="65">
        <v>12.86</v>
      </c>
      <c r="F30" s="65">
        <v>12.5</v>
      </c>
      <c r="G30" s="65">
        <v>0.09</v>
      </c>
      <c r="H30" s="65">
        <v>12.68</v>
      </c>
    </row>
    <row r="31" spans="1:8" x14ac:dyDescent="0.2">
      <c r="A31" s="66">
        <v>39202</v>
      </c>
      <c r="B31" s="65">
        <v>12.33</v>
      </c>
      <c r="C31" s="65">
        <v>1.0004614999999999</v>
      </c>
      <c r="D31" s="65">
        <v>12</v>
      </c>
      <c r="E31" s="65">
        <v>12.6</v>
      </c>
      <c r="F31" s="65">
        <v>12.25</v>
      </c>
      <c r="G31" s="65">
        <v>0.05</v>
      </c>
      <c r="H31" s="65">
        <v>12.43</v>
      </c>
    </row>
    <row r="32" spans="1:8" x14ac:dyDescent="0.2">
      <c r="A32" s="66">
        <v>39231</v>
      </c>
      <c r="B32" s="65">
        <v>12.39</v>
      </c>
      <c r="C32" s="65">
        <v>1.0004636200000001</v>
      </c>
      <c r="D32" s="65">
        <v>12</v>
      </c>
      <c r="E32" s="65">
        <v>12.62</v>
      </c>
      <c r="F32" s="65">
        <v>12.37</v>
      </c>
      <c r="G32" s="65">
        <v>0.1</v>
      </c>
      <c r="H32" s="65">
        <v>12.43</v>
      </c>
    </row>
    <row r="33" spans="1:8" x14ac:dyDescent="0.2">
      <c r="A33" s="66">
        <v>39261</v>
      </c>
      <c r="B33" s="65">
        <v>11.87</v>
      </c>
      <c r="C33" s="65">
        <v>1.0004452100000001</v>
      </c>
      <c r="D33" s="65">
        <v>11.4</v>
      </c>
      <c r="E33" s="65">
        <v>12.08</v>
      </c>
      <c r="F33" s="65">
        <v>11.86</v>
      </c>
      <c r="G33" s="65">
        <v>0.06</v>
      </c>
      <c r="H33" s="65">
        <v>11.93</v>
      </c>
    </row>
    <row r="34" spans="1:8" x14ac:dyDescent="0.2">
      <c r="A34" s="66">
        <v>39294</v>
      </c>
      <c r="B34" s="65">
        <v>11.37</v>
      </c>
      <c r="C34" s="65">
        <v>1.0004274200000001</v>
      </c>
      <c r="D34" s="65">
        <v>10.7</v>
      </c>
      <c r="E34" s="65">
        <v>11.46</v>
      </c>
      <c r="F34" s="65">
        <v>11.38</v>
      </c>
      <c r="G34" s="65">
        <v>7.0000000000000007E-2</v>
      </c>
      <c r="H34" s="65">
        <v>11.43</v>
      </c>
    </row>
    <row r="35" spans="1:8" x14ac:dyDescent="0.2">
      <c r="A35" s="66">
        <v>39325</v>
      </c>
      <c r="B35" s="65">
        <v>11.42</v>
      </c>
      <c r="C35" s="65">
        <v>1.0004292100000001</v>
      </c>
      <c r="D35" s="65">
        <v>10.75</v>
      </c>
      <c r="E35" s="65">
        <v>11.6</v>
      </c>
      <c r="F35" s="65">
        <v>11.3</v>
      </c>
      <c r="G35" s="65">
        <v>0.09</v>
      </c>
      <c r="H35" s="65">
        <v>11.43</v>
      </c>
    </row>
    <row r="36" spans="1:8" x14ac:dyDescent="0.2">
      <c r="A36" s="66">
        <v>39353</v>
      </c>
      <c r="B36" s="65">
        <v>11.12</v>
      </c>
      <c r="C36" s="65">
        <v>1.0004185000000001</v>
      </c>
      <c r="D36" s="65">
        <v>10.5</v>
      </c>
      <c r="E36" s="65">
        <v>11.4</v>
      </c>
      <c r="F36" s="65">
        <v>11</v>
      </c>
      <c r="G36" s="65">
        <v>0.09</v>
      </c>
      <c r="H36" s="65">
        <v>11.18</v>
      </c>
    </row>
    <row r="37" spans="1:8" x14ac:dyDescent="0.2">
      <c r="A37" s="66">
        <v>39386</v>
      </c>
      <c r="B37" s="65">
        <v>11.09</v>
      </c>
      <c r="C37" s="65">
        <v>1.0004174299999999</v>
      </c>
      <c r="D37" s="65">
        <v>10.55</v>
      </c>
      <c r="E37" s="65">
        <v>11.3</v>
      </c>
      <c r="F37" s="65">
        <v>11</v>
      </c>
      <c r="G37" s="65">
        <v>0.12</v>
      </c>
      <c r="H37" s="65">
        <v>11.18</v>
      </c>
    </row>
    <row r="38" spans="1:8" x14ac:dyDescent="0.2">
      <c r="A38" s="66">
        <v>39416</v>
      </c>
      <c r="B38" s="65">
        <v>11.12</v>
      </c>
      <c r="C38" s="65">
        <v>1.0004185000000001</v>
      </c>
      <c r="D38" s="65">
        <v>10.65</v>
      </c>
      <c r="E38" s="65">
        <v>11.4</v>
      </c>
      <c r="F38" s="65">
        <v>11</v>
      </c>
      <c r="G38" s="65">
        <v>0.12</v>
      </c>
      <c r="H38" s="65">
        <v>11.18</v>
      </c>
    </row>
    <row r="39" spans="1:8" x14ac:dyDescent="0.2">
      <c r="A39" s="66">
        <v>39447</v>
      </c>
      <c r="B39" s="65">
        <v>11.12</v>
      </c>
      <c r="C39" s="65">
        <v>1.0004185000000001</v>
      </c>
      <c r="D39" s="65">
        <v>10.5</v>
      </c>
      <c r="E39" s="65">
        <v>11.65</v>
      </c>
      <c r="F39" s="65">
        <v>11</v>
      </c>
      <c r="G39" s="65">
        <v>0.18</v>
      </c>
      <c r="H39" s="65">
        <v>11.18</v>
      </c>
    </row>
    <row r="40" spans="1:8" x14ac:dyDescent="0.2">
      <c r="A40" s="66">
        <v>39478</v>
      </c>
      <c r="B40" s="65">
        <v>11.1</v>
      </c>
      <c r="C40" s="65">
        <v>1.00041779</v>
      </c>
      <c r="D40" s="65">
        <v>10.5</v>
      </c>
      <c r="E40" s="65">
        <v>11.27</v>
      </c>
      <c r="F40" s="65">
        <v>11</v>
      </c>
      <c r="G40" s="65">
        <v>0.08</v>
      </c>
      <c r="H40" s="65">
        <v>11.18</v>
      </c>
    </row>
    <row r="41" spans="1:8" x14ac:dyDescent="0.2">
      <c r="A41" s="66">
        <v>39507</v>
      </c>
      <c r="B41" s="65">
        <v>11.08</v>
      </c>
      <c r="C41" s="65">
        <v>1.0004170699999999</v>
      </c>
      <c r="D41" s="65">
        <v>10.6</v>
      </c>
      <c r="E41" s="65">
        <v>11.27</v>
      </c>
      <c r="F41" s="65">
        <v>11</v>
      </c>
      <c r="G41" s="65">
        <v>7.0000000000000007E-2</v>
      </c>
      <c r="H41" s="65">
        <v>11.18</v>
      </c>
    </row>
    <row r="42" spans="1:8" x14ac:dyDescent="0.2">
      <c r="A42" s="66">
        <v>39538</v>
      </c>
      <c r="B42" s="65">
        <v>11.15</v>
      </c>
      <c r="C42" s="65">
        <v>1.00041957</v>
      </c>
      <c r="D42" s="65">
        <v>10.6</v>
      </c>
      <c r="E42" s="65">
        <v>12.13</v>
      </c>
      <c r="F42" s="65">
        <v>11</v>
      </c>
      <c r="G42" s="65">
        <v>0.2</v>
      </c>
      <c r="H42" s="65">
        <v>11.18</v>
      </c>
    </row>
    <row r="43" spans="1:8" x14ac:dyDescent="0.2">
      <c r="A43" s="66">
        <v>39568</v>
      </c>
      <c r="B43" s="65">
        <v>11.57</v>
      </c>
      <c r="C43" s="65">
        <v>1.00043455</v>
      </c>
      <c r="D43" s="65">
        <v>10.75</v>
      </c>
      <c r="E43" s="65">
        <v>12</v>
      </c>
      <c r="F43" s="65">
        <v>11.5</v>
      </c>
      <c r="G43" s="65">
        <v>0.11</v>
      </c>
      <c r="H43" s="65">
        <v>11.61</v>
      </c>
    </row>
    <row r="44" spans="1:8" x14ac:dyDescent="0.2">
      <c r="A44" s="66">
        <v>39597</v>
      </c>
      <c r="B44" s="65">
        <v>11.53</v>
      </c>
      <c r="C44" s="65">
        <v>1.0004331200000001</v>
      </c>
      <c r="D44" s="65">
        <v>10.9</v>
      </c>
      <c r="E44" s="65">
        <v>11.73</v>
      </c>
      <c r="F44" s="65">
        <v>11.5</v>
      </c>
      <c r="G44" s="65">
        <v>0.12</v>
      </c>
      <c r="H44" s="65">
        <v>11.64</v>
      </c>
    </row>
    <row r="45" spans="1:8" x14ac:dyDescent="0.2">
      <c r="A45" s="66">
        <v>39629</v>
      </c>
      <c r="B45" s="65">
        <v>12.09</v>
      </c>
      <c r="C45" s="65">
        <v>1.00045301</v>
      </c>
      <c r="D45" s="65">
        <v>11.5</v>
      </c>
      <c r="E45" s="65">
        <v>12.6</v>
      </c>
      <c r="F45" s="65">
        <v>12</v>
      </c>
      <c r="G45" s="65">
        <v>0.14000000000000001</v>
      </c>
      <c r="H45" s="65">
        <v>12.17</v>
      </c>
    </row>
    <row r="46" spans="1:8" x14ac:dyDescent="0.2">
      <c r="A46" s="66">
        <v>39660</v>
      </c>
      <c r="B46" s="65">
        <v>12.85</v>
      </c>
      <c r="C46" s="65">
        <v>1.00047983</v>
      </c>
      <c r="D46" s="65">
        <v>12.3</v>
      </c>
      <c r="E46" s="65">
        <v>13.19</v>
      </c>
      <c r="F46" s="65">
        <v>12.84</v>
      </c>
      <c r="G46" s="65">
        <v>0.11</v>
      </c>
      <c r="H46" s="65">
        <v>12.92</v>
      </c>
    </row>
    <row r="47" spans="1:8" x14ac:dyDescent="0.2">
      <c r="A47" s="66">
        <v>39689</v>
      </c>
      <c r="B47" s="65">
        <v>12.82</v>
      </c>
      <c r="C47" s="65">
        <v>1.0004787799999999</v>
      </c>
      <c r="D47" s="65">
        <v>12.1</v>
      </c>
      <c r="E47" s="65">
        <v>13.25</v>
      </c>
      <c r="F47" s="65">
        <v>12.84</v>
      </c>
      <c r="G47" s="65">
        <v>0.15</v>
      </c>
      <c r="H47" s="65">
        <v>12.92</v>
      </c>
    </row>
    <row r="48" spans="1:8" x14ac:dyDescent="0.2">
      <c r="A48" s="66">
        <v>39721</v>
      </c>
      <c r="B48" s="65">
        <v>13.59</v>
      </c>
      <c r="C48" s="65">
        <v>1.0005057799999999</v>
      </c>
      <c r="D48" s="65">
        <v>13.2</v>
      </c>
      <c r="E48" s="65">
        <v>13.67</v>
      </c>
      <c r="F48" s="65">
        <v>13.5</v>
      </c>
      <c r="G48" s="65">
        <v>0.06</v>
      </c>
      <c r="H48" s="65">
        <v>13.66</v>
      </c>
    </row>
    <row r="49" spans="1:8" x14ac:dyDescent="0.2">
      <c r="A49" s="66">
        <v>39752</v>
      </c>
      <c r="B49" s="65">
        <v>13.59</v>
      </c>
      <c r="C49" s="65">
        <v>1.0005057799999999</v>
      </c>
      <c r="D49" s="65">
        <v>12.8</v>
      </c>
      <c r="E49" s="65">
        <v>14.2</v>
      </c>
      <c r="F49" s="65">
        <v>13.5</v>
      </c>
      <c r="G49" s="65">
        <v>0.19</v>
      </c>
      <c r="H49" s="65">
        <v>13.65</v>
      </c>
    </row>
    <row r="50" spans="1:8" x14ac:dyDescent="0.2">
      <c r="A50" s="66">
        <v>39780</v>
      </c>
      <c r="B50" s="65">
        <v>13.36</v>
      </c>
      <c r="C50" s="65">
        <v>1.0004977399999999</v>
      </c>
      <c r="D50" s="65">
        <v>13.15</v>
      </c>
      <c r="E50" s="65">
        <v>14.21</v>
      </c>
      <c r="F50" s="65">
        <v>13.22</v>
      </c>
      <c r="G50" s="65">
        <v>0.19</v>
      </c>
      <c r="H50" s="65">
        <v>13.65</v>
      </c>
    </row>
    <row r="51" spans="1:8" x14ac:dyDescent="0.2">
      <c r="A51" s="66">
        <v>39813</v>
      </c>
      <c r="B51" s="65">
        <v>13.62</v>
      </c>
      <c r="C51" s="65">
        <v>1.00050683</v>
      </c>
      <c r="D51" s="65">
        <v>13</v>
      </c>
      <c r="E51" s="65">
        <v>13.64</v>
      </c>
      <c r="F51" s="65">
        <v>13.5</v>
      </c>
      <c r="G51" s="65">
        <v>0.08</v>
      </c>
      <c r="H51" s="65">
        <v>13.67</v>
      </c>
    </row>
    <row r="52" spans="1:8" x14ac:dyDescent="0.2">
      <c r="A52" s="66">
        <v>39842</v>
      </c>
      <c r="B52" s="65">
        <v>12.62</v>
      </c>
      <c r="C52" s="65">
        <v>1.0004717299999999</v>
      </c>
      <c r="D52" s="65">
        <v>12.1</v>
      </c>
      <c r="E52" s="65">
        <v>12.64</v>
      </c>
      <c r="F52" s="65">
        <v>12.5</v>
      </c>
      <c r="G52" s="65">
        <v>7.0000000000000007E-2</v>
      </c>
      <c r="H52" s="65">
        <v>12.66</v>
      </c>
    </row>
    <row r="53" spans="1:8" x14ac:dyDescent="0.2">
      <c r="A53" s="66">
        <v>39871</v>
      </c>
      <c r="B53" s="65">
        <v>12.6</v>
      </c>
      <c r="C53" s="65">
        <v>1.0004710299999999</v>
      </c>
      <c r="D53" s="65">
        <v>12.1</v>
      </c>
      <c r="E53" s="65">
        <v>12.85</v>
      </c>
      <c r="F53" s="65">
        <v>12.5</v>
      </c>
      <c r="G53" s="65">
        <v>0.09</v>
      </c>
      <c r="H53" s="65">
        <v>12.66</v>
      </c>
    </row>
    <row r="54" spans="1:8" x14ac:dyDescent="0.2">
      <c r="A54" s="66">
        <v>39903</v>
      </c>
      <c r="B54" s="65">
        <v>11.08</v>
      </c>
      <c r="C54" s="65">
        <v>1.0004170699999999</v>
      </c>
      <c r="D54" s="65">
        <v>10.7</v>
      </c>
      <c r="E54" s="65">
        <v>12.8</v>
      </c>
      <c r="F54" s="65">
        <v>11</v>
      </c>
      <c r="G54" s="65">
        <v>0.1</v>
      </c>
      <c r="H54" s="65">
        <v>11.16</v>
      </c>
    </row>
    <row r="55" spans="1:8" x14ac:dyDescent="0.2">
      <c r="A55" s="66">
        <v>39933</v>
      </c>
      <c r="B55" s="65">
        <v>10.119999999999999</v>
      </c>
      <c r="C55" s="65">
        <v>1.0003826099999999</v>
      </c>
      <c r="D55" s="65">
        <v>9.5</v>
      </c>
      <c r="E55" s="65">
        <v>10.16</v>
      </c>
      <c r="F55" s="65">
        <v>10</v>
      </c>
      <c r="G55" s="65">
        <v>0.06</v>
      </c>
      <c r="H55" s="65">
        <v>10.16</v>
      </c>
    </row>
    <row r="56" spans="1:8" x14ac:dyDescent="0.2">
      <c r="A56" s="66">
        <v>39962</v>
      </c>
      <c r="B56" s="65">
        <v>10.01</v>
      </c>
      <c r="C56" s="65">
        <v>1.00037865</v>
      </c>
      <c r="D56" s="65">
        <v>9.6999999999999993</v>
      </c>
      <c r="E56" s="65">
        <v>10.119999999999999</v>
      </c>
      <c r="F56" s="65">
        <v>10</v>
      </c>
      <c r="G56" s="65">
        <v>0.08</v>
      </c>
      <c r="H56" s="65">
        <v>10.16</v>
      </c>
    </row>
    <row r="57" spans="1:8" x14ac:dyDescent="0.2">
      <c r="A57" s="66">
        <v>39994</v>
      </c>
      <c r="B57" s="65">
        <v>8.9600000000000009</v>
      </c>
      <c r="C57" s="65">
        <v>1.00034058</v>
      </c>
      <c r="D57" s="65">
        <v>8.6999999999999993</v>
      </c>
      <c r="E57" s="65">
        <v>9.11</v>
      </c>
      <c r="F57" s="65">
        <v>9</v>
      </c>
      <c r="G57" s="65">
        <v>0.1</v>
      </c>
      <c r="H57" s="65">
        <v>9.16</v>
      </c>
    </row>
    <row r="58" spans="1:8" x14ac:dyDescent="0.2">
      <c r="A58" s="66">
        <v>40025</v>
      </c>
      <c r="B58" s="65">
        <v>8.61</v>
      </c>
      <c r="C58" s="65">
        <v>1.0003278</v>
      </c>
      <c r="D58" s="65">
        <v>8.35</v>
      </c>
      <c r="E58" s="65">
        <v>8.7899999999999991</v>
      </c>
      <c r="F58" s="65">
        <v>8.5</v>
      </c>
      <c r="G58" s="65">
        <v>0.06</v>
      </c>
      <c r="H58" s="65">
        <v>8.65</v>
      </c>
    </row>
    <row r="59" spans="1:8" x14ac:dyDescent="0.2">
      <c r="A59" s="66">
        <v>40056</v>
      </c>
      <c r="B59" s="65">
        <v>8.6199999999999992</v>
      </c>
      <c r="C59" s="65">
        <v>1.00032817</v>
      </c>
      <c r="D59" s="65">
        <v>8</v>
      </c>
      <c r="E59" s="65">
        <v>8.6300000000000008</v>
      </c>
      <c r="F59" s="65">
        <v>8.5</v>
      </c>
      <c r="G59" s="65">
        <v>0.05</v>
      </c>
      <c r="H59" s="65">
        <v>8.65</v>
      </c>
    </row>
    <row r="60" spans="1:8" x14ac:dyDescent="0.2">
      <c r="A60" s="66">
        <v>40086</v>
      </c>
      <c r="B60" s="65">
        <v>8.6</v>
      </c>
      <c r="C60" s="65">
        <v>1.00032744</v>
      </c>
      <c r="D60" s="65">
        <v>8</v>
      </c>
      <c r="E60" s="65">
        <v>8.8000000000000007</v>
      </c>
      <c r="F60" s="65">
        <v>8.5</v>
      </c>
      <c r="G60" s="65">
        <v>0.11</v>
      </c>
      <c r="H60" s="65">
        <v>8.65</v>
      </c>
    </row>
    <row r="61" spans="1:8" x14ac:dyDescent="0.2">
      <c r="A61" s="66">
        <v>40115</v>
      </c>
      <c r="B61" s="65">
        <v>8.6199999999999992</v>
      </c>
      <c r="C61" s="65">
        <v>1.00032817</v>
      </c>
      <c r="D61" s="65">
        <v>8.11</v>
      </c>
      <c r="E61" s="65">
        <v>8.8000000000000007</v>
      </c>
      <c r="F61" s="65">
        <v>8.5</v>
      </c>
      <c r="G61" s="65">
        <v>0.06</v>
      </c>
      <c r="H61" s="65">
        <v>8.65</v>
      </c>
    </row>
    <row r="62" spans="1:8" x14ac:dyDescent="0.2">
      <c r="A62" s="66">
        <v>40147</v>
      </c>
      <c r="B62" s="65">
        <v>8.6199999999999992</v>
      </c>
      <c r="C62" s="65">
        <v>1.00032817</v>
      </c>
      <c r="D62" s="65">
        <v>8</v>
      </c>
      <c r="E62" s="65">
        <v>8.9</v>
      </c>
      <c r="F62" s="65">
        <v>8.5</v>
      </c>
      <c r="G62" s="65">
        <v>0.13</v>
      </c>
      <c r="H62" s="65">
        <v>8.65</v>
      </c>
    </row>
    <row r="63" spans="1:8" x14ac:dyDescent="0.2">
      <c r="A63" s="66">
        <v>40178</v>
      </c>
      <c r="B63" s="65">
        <v>8.5500000000000007</v>
      </c>
      <c r="C63" s="65">
        <v>1.00032561</v>
      </c>
      <c r="D63" s="65">
        <v>8.1</v>
      </c>
      <c r="E63" s="65">
        <v>8.6199999999999992</v>
      </c>
      <c r="F63" s="65">
        <v>8.5</v>
      </c>
      <c r="G63" s="65">
        <v>0.08</v>
      </c>
      <c r="H63" s="65">
        <v>8.65</v>
      </c>
    </row>
    <row r="64" spans="1:8" x14ac:dyDescent="0.2">
      <c r="A64" s="66">
        <v>40207</v>
      </c>
      <c r="B64" s="65">
        <v>8.6300000000000008</v>
      </c>
      <c r="C64" s="65">
        <v>1.0003285399999999</v>
      </c>
      <c r="D64" s="65">
        <v>8.11</v>
      </c>
      <c r="E64" s="65">
        <v>8.9</v>
      </c>
      <c r="F64" s="65">
        <v>8.5</v>
      </c>
      <c r="G64" s="65">
        <v>7.0000000000000007E-2</v>
      </c>
      <c r="H64" s="65">
        <v>8.65</v>
      </c>
    </row>
    <row r="65" spans="1:8" x14ac:dyDescent="0.2">
      <c r="A65" s="66">
        <v>40235</v>
      </c>
      <c r="B65" s="65">
        <v>8.6199999999999992</v>
      </c>
      <c r="C65" s="65">
        <v>1.00032817</v>
      </c>
      <c r="D65" s="65">
        <v>8</v>
      </c>
      <c r="E65" s="65">
        <v>8.75</v>
      </c>
      <c r="F65" s="65">
        <v>8.5</v>
      </c>
      <c r="G65" s="65">
        <v>7.0000000000000007E-2</v>
      </c>
      <c r="H65" s="65">
        <v>8.65</v>
      </c>
    </row>
    <row r="66" spans="1:8" x14ac:dyDescent="0.2">
      <c r="A66" s="66">
        <v>40268</v>
      </c>
      <c r="B66" s="65">
        <v>8.61</v>
      </c>
      <c r="C66" s="65">
        <v>1.0003278</v>
      </c>
      <c r="D66" s="65">
        <v>8</v>
      </c>
      <c r="E66" s="65">
        <v>8.8000000000000007</v>
      </c>
      <c r="F66" s="65">
        <v>8.5</v>
      </c>
      <c r="G66" s="65">
        <v>0.09</v>
      </c>
      <c r="H66" s="65">
        <v>8.65</v>
      </c>
    </row>
    <row r="67" spans="1:8" x14ac:dyDescent="0.2">
      <c r="A67" s="66">
        <v>40298</v>
      </c>
      <c r="B67" s="65">
        <v>9.3800000000000008</v>
      </c>
      <c r="C67" s="65">
        <v>1.00035585</v>
      </c>
      <c r="D67" s="65">
        <v>8.75</v>
      </c>
      <c r="E67" s="65">
        <v>9.6</v>
      </c>
      <c r="F67" s="65">
        <v>9.25</v>
      </c>
      <c r="G67" s="65">
        <v>0.09</v>
      </c>
      <c r="H67" s="65">
        <v>9.4</v>
      </c>
    </row>
    <row r="68" spans="1:8" x14ac:dyDescent="0.2">
      <c r="A68" s="66">
        <v>40329</v>
      </c>
      <c r="B68" s="65">
        <v>9.3699999999999992</v>
      </c>
      <c r="C68" s="65">
        <v>1.00035549</v>
      </c>
      <c r="D68" s="65">
        <v>9</v>
      </c>
      <c r="E68" s="65">
        <v>9.6</v>
      </c>
      <c r="F68" s="65">
        <v>9.25</v>
      </c>
      <c r="G68" s="65">
        <v>0.09</v>
      </c>
      <c r="H68" s="65">
        <v>9.39</v>
      </c>
    </row>
    <row r="69" spans="1:8" x14ac:dyDescent="0.2">
      <c r="A69" s="66">
        <v>40359</v>
      </c>
      <c r="B69" s="65">
        <v>10.119999999999999</v>
      </c>
      <c r="C69" s="65">
        <v>1.0003826099999999</v>
      </c>
      <c r="D69" s="65">
        <v>9.75</v>
      </c>
      <c r="E69" s="65">
        <v>10.35</v>
      </c>
      <c r="F69" s="65">
        <v>10</v>
      </c>
      <c r="G69" s="65">
        <v>0.13</v>
      </c>
      <c r="H69" s="65">
        <v>10.16</v>
      </c>
    </row>
    <row r="70" spans="1:8" x14ac:dyDescent="0.2">
      <c r="A70" s="66">
        <v>40388</v>
      </c>
      <c r="B70" s="65">
        <v>10.63</v>
      </c>
      <c r="C70" s="65">
        <v>1.0004009599999999</v>
      </c>
      <c r="D70" s="65">
        <v>10.199999999999999</v>
      </c>
      <c r="E70" s="65">
        <v>10.66</v>
      </c>
      <c r="F70" s="65">
        <v>10.5</v>
      </c>
      <c r="G70" s="65">
        <v>0.05</v>
      </c>
      <c r="H70" s="65">
        <v>10.66</v>
      </c>
    </row>
    <row r="71" spans="1:8" x14ac:dyDescent="0.2">
      <c r="A71" s="66">
        <v>40421</v>
      </c>
      <c r="B71" s="65">
        <v>10.63</v>
      </c>
      <c r="C71" s="65">
        <v>1.0004009599999999</v>
      </c>
      <c r="D71" s="65">
        <v>10.199999999999999</v>
      </c>
      <c r="E71" s="65">
        <v>10.9</v>
      </c>
      <c r="F71" s="65">
        <v>10.5</v>
      </c>
      <c r="G71" s="65">
        <v>0.09</v>
      </c>
      <c r="H71" s="65">
        <v>10.66</v>
      </c>
    </row>
    <row r="72" spans="1:8" x14ac:dyDescent="0.2">
      <c r="A72" s="66">
        <v>40451</v>
      </c>
      <c r="B72" s="65">
        <v>10.61</v>
      </c>
      <c r="C72" s="65">
        <v>1.0004002400000001</v>
      </c>
      <c r="D72" s="65">
        <v>10.199999999999999</v>
      </c>
      <c r="E72" s="65">
        <v>10.9</v>
      </c>
      <c r="F72" s="65">
        <v>10.5</v>
      </c>
      <c r="G72" s="65">
        <v>0.06</v>
      </c>
      <c r="H72" s="65">
        <v>10.66</v>
      </c>
    </row>
    <row r="73" spans="1:8" x14ac:dyDescent="0.2">
      <c r="A73" s="66">
        <v>40480</v>
      </c>
      <c r="B73" s="65">
        <v>10.64</v>
      </c>
      <c r="C73" s="65">
        <v>1.0004013199999999</v>
      </c>
      <c r="D73" s="65">
        <v>10.11</v>
      </c>
      <c r="E73" s="65">
        <v>10.66</v>
      </c>
      <c r="F73" s="65">
        <v>10.4</v>
      </c>
      <c r="G73" s="65">
        <v>0.03</v>
      </c>
      <c r="H73" s="65">
        <v>10.66</v>
      </c>
    </row>
    <row r="74" spans="1:8" x14ac:dyDescent="0.2">
      <c r="A74" s="66">
        <v>40512</v>
      </c>
      <c r="B74" s="65">
        <v>10.64</v>
      </c>
      <c r="C74" s="65">
        <v>1.0004013199999999</v>
      </c>
      <c r="D74" s="65">
        <v>10.3</v>
      </c>
      <c r="E74" s="65">
        <v>10.66</v>
      </c>
      <c r="F74" s="65">
        <v>10.64</v>
      </c>
      <c r="G74" s="65">
        <v>0.03</v>
      </c>
      <c r="H74" s="65">
        <v>10.66</v>
      </c>
    </row>
    <row r="75" spans="1:8" x14ac:dyDescent="0.2">
      <c r="A75" s="66">
        <v>40543</v>
      </c>
      <c r="B75" s="65">
        <v>10.64</v>
      </c>
      <c r="C75" s="65">
        <v>1.0004013199999999</v>
      </c>
      <c r="D75" s="65">
        <v>10.3</v>
      </c>
      <c r="E75" s="65">
        <v>11.09</v>
      </c>
      <c r="F75" s="65">
        <v>10.64</v>
      </c>
      <c r="G75" s="65">
        <v>0.04</v>
      </c>
      <c r="H75" s="65">
        <v>10.67</v>
      </c>
    </row>
    <row r="76" spans="1:8" x14ac:dyDescent="0.2">
      <c r="A76" s="66">
        <v>40574</v>
      </c>
      <c r="B76" s="65">
        <v>11.14</v>
      </c>
      <c r="C76" s="65">
        <v>1.0004192199999999</v>
      </c>
      <c r="D76" s="65">
        <v>10.7</v>
      </c>
      <c r="E76" s="65">
        <v>11.4</v>
      </c>
      <c r="F76" s="65">
        <v>11</v>
      </c>
      <c r="G76" s="65">
        <v>0.03</v>
      </c>
      <c r="H76" s="65">
        <v>11.17</v>
      </c>
    </row>
    <row r="77" spans="1:8" x14ac:dyDescent="0.2">
      <c r="A77" s="66">
        <v>40602</v>
      </c>
      <c r="B77" s="65">
        <v>11.15</v>
      </c>
      <c r="C77" s="65">
        <v>1.00041957</v>
      </c>
      <c r="D77" s="65">
        <v>10.6</v>
      </c>
      <c r="E77" s="65">
        <v>11.17</v>
      </c>
      <c r="F77" s="65">
        <v>11</v>
      </c>
      <c r="G77" s="65">
        <v>0.02</v>
      </c>
      <c r="H77" s="65">
        <v>11.17</v>
      </c>
    </row>
    <row r="78" spans="1:8" x14ac:dyDescent="0.2">
      <c r="A78" s="66">
        <v>40633</v>
      </c>
      <c r="B78" s="65">
        <v>11.66</v>
      </c>
      <c r="C78" s="65">
        <v>1.0004377499999999</v>
      </c>
      <c r="D78" s="65">
        <v>10.9</v>
      </c>
      <c r="E78" s="65">
        <v>12</v>
      </c>
      <c r="F78" s="65">
        <v>11.5</v>
      </c>
      <c r="G78" s="65">
        <v>0.05</v>
      </c>
      <c r="H78" s="65">
        <v>11.67</v>
      </c>
    </row>
    <row r="79" spans="1:8" x14ac:dyDescent="0.2">
      <c r="A79" s="66">
        <v>40661</v>
      </c>
      <c r="B79" s="65">
        <v>11.89</v>
      </c>
      <c r="C79" s="65">
        <v>1.00044592</v>
      </c>
      <c r="D79" s="65">
        <v>11.25</v>
      </c>
      <c r="E79" s="65">
        <v>12.12</v>
      </c>
      <c r="F79" s="65">
        <v>11.75</v>
      </c>
      <c r="G79" s="65">
        <v>0.06</v>
      </c>
      <c r="H79" s="65">
        <v>11.92</v>
      </c>
    </row>
    <row r="80" spans="1:8" x14ac:dyDescent="0.2">
      <c r="A80" s="66">
        <v>40694</v>
      </c>
      <c r="B80" s="65">
        <v>11.85</v>
      </c>
      <c r="C80" s="65">
        <v>1.0004445</v>
      </c>
      <c r="D80" s="65">
        <v>11</v>
      </c>
      <c r="E80" s="65">
        <v>12.15</v>
      </c>
      <c r="F80" s="65">
        <v>11.75</v>
      </c>
      <c r="G80" s="65">
        <v>0.1</v>
      </c>
      <c r="H80" s="65">
        <v>11.92</v>
      </c>
    </row>
    <row r="81" spans="1:8" x14ac:dyDescent="0.2">
      <c r="A81" s="66">
        <v>40724</v>
      </c>
      <c r="B81" s="65">
        <v>12.15</v>
      </c>
      <c r="C81" s="65">
        <v>1.00045513</v>
      </c>
      <c r="D81" s="65">
        <v>11.3</v>
      </c>
      <c r="E81" s="65">
        <v>12.4</v>
      </c>
      <c r="F81" s="65">
        <v>12</v>
      </c>
      <c r="G81" s="65">
        <v>0.12</v>
      </c>
      <c r="H81" s="65">
        <v>12.17</v>
      </c>
    </row>
    <row r="82" spans="1:8" x14ac:dyDescent="0.2">
      <c r="A82" s="66">
        <v>40753</v>
      </c>
      <c r="B82" s="65">
        <v>12.4</v>
      </c>
      <c r="C82" s="65">
        <v>1.00046397</v>
      </c>
      <c r="D82" s="65">
        <v>11.65</v>
      </c>
      <c r="E82" s="65">
        <v>12.53</v>
      </c>
      <c r="F82" s="65">
        <v>12.42</v>
      </c>
      <c r="G82" s="65">
        <v>0.03</v>
      </c>
      <c r="H82" s="65">
        <v>12.42</v>
      </c>
    </row>
    <row r="83" spans="1:8" x14ac:dyDescent="0.2">
      <c r="A83" s="66">
        <v>40786</v>
      </c>
      <c r="B83" s="65">
        <v>12.39</v>
      </c>
      <c r="C83" s="65">
        <v>1.0004636200000001</v>
      </c>
      <c r="D83" s="65">
        <v>11.7</v>
      </c>
      <c r="E83" s="65">
        <v>12.65</v>
      </c>
      <c r="F83" s="65">
        <v>12.25</v>
      </c>
      <c r="G83" s="65">
        <v>0.05</v>
      </c>
      <c r="H83" s="65">
        <v>12.41</v>
      </c>
    </row>
    <row r="84" spans="1:8" x14ac:dyDescent="0.2">
      <c r="A84" s="66">
        <v>40816</v>
      </c>
      <c r="B84" s="65">
        <v>11.88</v>
      </c>
      <c r="C84" s="65">
        <v>1.00044556</v>
      </c>
      <c r="D84" s="65">
        <v>10.85</v>
      </c>
      <c r="E84" s="65">
        <v>12.15</v>
      </c>
      <c r="F84" s="65">
        <v>11.89</v>
      </c>
      <c r="G84" s="65">
        <v>7.0000000000000007E-2</v>
      </c>
      <c r="H84" s="65">
        <v>11.9</v>
      </c>
    </row>
    <row r="85" spans="1:8" x14ac:dyDescent="0.2">
      <c r="A85" s="66">
        <v>40847</v>
      </c>
      <c r="B85" s="65">
        <v>11.39</v>
      </c>
      <c r="C85" s="65">
        <v>1.0004281399999999</v>
      </c>
      <c r="D85" s="65">
        <v>10.45</v>
      </c>
      <c r="E85" s="65">
        <v>11.4</v>
      </c>
      <c r="F85" s="65">
        <v>11.25</v>
      </c>
      <c r="G85" s="65">
        <v>7.0000000000000007E-2</v>
      </c>
      <c r="H85" s="65">
        <v>11.4</v>
      </c>
    </row>
    <row r="86" spans="1:8" x14ac:dyDescent="0.2">
      <c r="A86" s="66">
        <v>40877</v>
      </c>
      <c r="B86" s="65">
        <v>11.36</v>
      </c>
      <c r="C86" s="65">
        <v>1.00042707</v>
      </c>
      <c r="D86" s="65">
        <v>10.45</v>
      </c>
      <c r="E86" s="65">
        <v>11.65</v>
      </c>
      <c r="F86" s="65">
        <v>11.25</v>
      </c>
      <c r="G86" s="65">
        <v>0.12</v>
      </c>
      <c r="H86" s="65">
        <v>11.4</v>
      </c>
    </row>
    <row r="87" spans="1:8" x14ac:dyDescent="0.2">
      <c r="A87" s="66">
        <v>40906</v>
      </c>
      <c r="B87" s="65">
        <v>10.87</v>
      </c>
      <c r="C87" s="65">
        <v>1.00040956</v>
      </c>
      <c r="D87" s="65">
        <v>10.7</v>
      </c>
      <c r="E87" s="65">
        <v>10.9</v>
      </c>
      <c r="F87" s="65" t="s">
        <v>123</v>
      </c>
      <c r="G87" s="65">
        <v>0.03</v>
      </c>
      <c r="H87" s="65">
        <v>10.9</v>
      </c>
    </row>
    <row r="88" spans="1:8" x14ac:dyDescent="0.2">
      <c r="A88" s="66">
        <v>40939</v>
      </c>
      <c r="B88" s="65">
        <v>10.31</v>
      </c>
      <c r="C88" s="65">
        <v>1.0003894600000001</v>
      </c>
      <c r="D88" s="65">
        <v>9.5</v>
      </c>
      <c r="E88" s="65">
        <v>10.65</v>
      </c>
      <c r="F88" s="65">
        <v>10.25</v>
      </c>
      <c r="G88" s="65">
        <v>0.12</v>
      </c>
      <c r="H88" s="65">
        <v>10.4</v>
      </c>
    </row>
    <row r="89" spans="1:8" x14ac:dyDescent="0.2">
      <c r="A89" s="66">
        <v>40968</v>
      </c>
      <c r="B89" s="65">
        <v>10.27</v>
      </c>
      <c r="C89" s="65">
        <v>1.0003880199999999</v>
      </c>
      <c r="D89" s="65">
        <v>9.3000000000000007</v>
      </c>
      <c r="E89" s="65">
        <v>10.4</v>
      </c>
      <c r="F89" s="65">
        <v>10.28</v>
      </c>
      <c r="G89" s="65">
        <v>0.17</v>
      </c>
      <c r="H89" s="65">
        <v>10.4</v>
      </c>
    </row>
    <row r="90" spans="1:8" x14ac:dyDescent="0.2">
      <c r="A90" s="66">
        <v>40997</v>
      </c>
      <c r="B90" s="65">
        <v>9.48</v>
      </c>
      <c r="C90" s="65">
        <v>1.00035948</v>
      </c>
      <c r="D90" s="65">
        <v>8.8000000000000007</v>
      </c>
      <c r="E90" s="65">
        <v>9.75</v>
      </c>
      <c r="F90" s="65">
        <v>9.5500000000000007</v>
      </c>
      <c r="G90" s="65">
        <v>0.11</v>
      </c>
      <c r="H90" s="65">
        <v>9.65</v>
      </c>
    </row>
    <row r="91" spans="1:8" x14ac:dyDescent="0.2">
      <c r="A91" s="66">
        <v>41029</v>
      </c>
      <c r="B91" s="65">
        <v>8.6999999999999993</v>
      </c>
      <c r="C91" s="65">
        <v>1.00033109</v>
      </c>
      <c r="D91" s="65">
        <v>7.8</v>
      </c>
      <c r="E91" s="65">
        <v>8.8699999999999992</v>
      </c>
      <c r="F91" s="65">
        <v>8.35</v>
      </c>
      <c r="G91" s="65">
        <v>0.13</v>
      </c>
      <c r="H91" s="65">
        <v>8.9</v>
      </c>
    </row>
    <row r="92" spans="1:8" x14ac:dyDescent="0.2">
      <c r="A92" s="66">
        <v>41060</v>
      </c>
      <c r="B92" s="65">
        <v>8.33</v>
      </c>
      <c r="C92" s="65">
        <v>1.0003175600000001</v>
      </c>
      <c r="D92" s="65">
        <v>7.59</v>
      </c>
      <c r="E92" s="65">
        <v>9.17</v>
      </c>
      <c r="F92" s="65">
        <v>8.3000000000000007</v>
      </c>
      <c r="G92" s="65">
        <v>0.18</v>
      </c>
      <c r="H92" s="65">
        <v>8.39</v>
      </c>
    </row>
    <row r="93" spans="1:8" x14ac:dyDescent="0.2">
      <c r="A93" s="66">
        <v>41088</v>
      </c>
      <c r="B93" s="65">
        <v>8.36</v>
      </c>
      <c r="C93" s="65">
        <v>1.00031866</v>
      </c>
      <c r="D93" s="65">
        <v>7.45</v>
      </c>
      <c r="E93" s="65">
        <v>8.39</v>
      </c>
      <c r="F93" s="65">
        <v>8.35</v>
      </c>
      <c r="G93" s="65">
        <v>0.05</v>
      </c>
      <c r="H93" s="65">
        <v>8.39</v>
      </c>
    </row>
    <row r="94" spans="1:8" x14ac:dyDescent="0.2">
      <c r="A94" s="66">
        <v>41121</v>
      </c>
      <c r="B94" s="65">
        <v>7.83</v>
      </c>
      <c r="C94" s="65">
        <v>1.00029919</v>
      </c>
      <c r="D94" s="65">
        <v>7.2</v>
      </c>
      <c r="E94" s="65">
        <v>8.15</v>
      </c>
      <c r="F94" s="65">
        <v>7.8</v>
      </c>
      <c r="G94" s="65">
        <v>0.14000000000000001</v>
      </c>
      <c r="H94" s="65">
        <v>7.89</v>
      </c>
    </row>
    <row r="95" spans="1:8" x14ac:dyDescent="0.2">
      <c r="A95" s="66">
        <v>41152</v>
      </c>
      <c r="B95" s="65">
        <v>7.38</v>
      </c>
      <c r="C95" s="65">
        <v>1.0002825900000001</v>
      </c>
      <c r="D95" s="65">
        <v>6.9</v>
      </c>
      <c r="E95" s="65">
        <v>7.95</v>
      </c>
      <c r="F95" s="65">
        <v>7.3</v>
      </c>
      <c r="G95" s="65">
        <v>0.18</v>
      </c>
      <c r="H95" s="65">
        <v>7.39</v>
      </c>
    </row>
    <row r="96" spans="1:8" x14ac:dyDescent="0.2">
      <c r="A96" s="66">
        <v>41180</v>
      </c>
      <c r="B96" s="65">
        <v>7.36</v>
      </c>
      <c r="C96" s="65">
        <v>1.0002818600000001</v>
      </c>
      <c r="D96" s="65">
        <v>6.55</v>
      </c>
      <c r="E96" s="65">
        <v>7.45</v>
      </c>
      <c r="F96" s="65">
        <v>7.3</v>
      </c>
      <c r="G96" s="65">
        <v>0.05</v>
      </c>
      <c r="H96" s="65">
        <v>7.39</v>
      </c>
    </row>
    <row r="97" spans="1:8" x14ac:dyDescent="0.2">
      <c r="A97" s="66">
        <v>41213</v>
      </c>
      <c r="B97" s="65">
        <v>7.09</v>
      </c>
      <c r="C97" s="65">
        <v>1.00027186</v>
      </c>
      <c r="D97" s="65">
        <v>6.2</v>
      </c>
      <c r="E97" s="65">
        <v>7.2</v>
      </c>
      <c r="F97" s="65">
        <v>7.07</v>
      </c>
      <c r="G97" s="65">
        <v>0.09</v>
      </c>
      <c r="H97" s="65">
        <v>7.14</v>
      </c>
    </row>
    <row r="98" spans="1:8" x14ac:dyDescent="0.2">
      <c r="A98" s="66">
        <v>41243</v>
      </c>
      <c r="B98" s="65">
        <v>7.06</v>
      </c>
      <c r="C98" s="65">
        <v>1.0002707500000001</v>
      </c>
      <c r="D98" s="65">
        <v>6.34</v>
      </c>
      <c r="E98" s="65">
        <v>7.2</v>
      </c>
      <c r="F98" s="65">
        <v>7.07</v>
      </c>
      <c r="G98" s="65">
        <v>7.0000000000000007E-2</v>
      </c>
      <c r="H98" s="65">
        <v>7.14</v>
      </c>
    </row>
    <row r="99" spans="1:8" x14ac:dyDescent="0.2">
      <c r="A99" s="66">
        <v>41274</v>
      </c>
      <c r="B99" s="65">
        <v>6.9</v>
      </c>
      <c r="C99" s="65">
        <v>1.00026481</v>
      </c>
      <c r="D99" s="65">
        <v>6.15</v>
      </c>
      <c r="E99" s="65">
        <v>7.5</v>
      </c>
      <c r="F99" s="65">
        <v>6.9</v>
      </c>
      <c r="G99" s="65">
        <v>3.4146999999999997E-2</v>
      </c>
      <c r="H99" s="65">
        <v>7.29</v>
      </c>
    </row>
    <row r="100" spans="1:8" x14ac:dyDescent="0.2">
      <c r="A100" s="66">
        <v>41305</v>
      </c>
      <c r="B100" s="65">
        <v>6.95</v>
      </c>
      <c r="C100" s="65">
        <v>1.00026667</v>
      </c>
      <c r="D100" s="65">
        <v>6.6</v>
      </c>
      <c r="E100" s="65">
        <v>7.2</v>
      </c>
      <c r="F100" s="65">
        <v>7.04</v>
      </c>
      <c r="G100" s="65">
        <v>5.781E-2</v>
      </c>
      <c r="H100" s="65">
        <v>7.11</v>
      </c>
    </row>
    <row r="101" spans="1:8" x14ac:dyDescent="0.2">
      <c r="A101" s="66">
        <v>41333</v>
      </c>
      <c r="B101" s="65">
        <v>6.98</v>
      </c>
      <c r="C101" s="65">
        <v>1.0002677799999999</v>
      </c>
      <c r="D101" s="65">
        <v>6</v>
      </c>
      <c r="E101" s="65">
        <v>7.42</v>
      </c>
      <c r="F101" s="65">
        <v>6.98</v>
      </c>
      <c r="G101" s="65">
        <v>4.5989000000000002E-2</v>
      </c>
      <c r="H101" s="65">
        <v>7.2</v>
      </c>
    </row>
    <row r="102" spans="1:8" x14ac:dyDescent="0.2">
      <c r="A102" s="66">
        <v>41361</v>
      </c>
      <c r="B102" s="65">
        <v>7.01</v>
      </c>
      <c r="C102" s="65">
        <v>1.0002688900000001</v>
      </c>
      <c r="D102" s="65">
        <v>6.2</v>
      </c>
      <c r="E102" s="65">
        <v>7.4</v>
      </c>
      <c r="F102" s="65">
        <v>6.99</v>
      </c>
      <c r="G102" s="65">
        <v>8.2752999999999993E-2</v>
      </c>
      <c r="H102" s="65">
        <v>7.16</v>
      </c>
    </row>
    <row r="103" spans="1:8" x14ac:dyDescent="0.2">
      <c r="A103" s="66">
        <v>41394</v>
      </c>
      <c r="B103" s="65">
        <v>7.23</v>
      </c>
      <c r="C103" s="65">
        <v>1.00027705</v>
      </c>
      <c r="D103" s="65">
        <v>7.19</v>
      </c>
      <c r="E103" s="65">
        <v>7.25</v>
      </c>
      <c r="F103" s="65">
        <v>7.21</v>
      </c>
      <c r="G103" s="65">
        <v>8.3070000000000001E-3</v>
      </c>
      <c r="H103" s="65">
        <v>7.4</v>
      </c>
    </row>
    <row r="104" spans="1:8" x14ac:dyDescent="0.2">
      <c r="A104" s="66">
        <v>41425</v>
      </c>
      <c r="B104" s="65">
        <v>7.72</v>
      </c>
      <c r="C104" s="65">
        <v>1.00029514</v>
      </c>
      <c r="D104" s="65">
        <v>7.6</v>
      </c>
      <c r="E104" s="65">
        <v>7.75</v>
      </c>
      <c r="F104" s="65">
        <v>7.7</v>
      </c>
      <c r="G104" s="65">
        <v>7.071E-3</v>
      </c>
      <c r="H104" s="65">
        <v>7.9</v>
      </c>
    </row>
    <row r="105" spans="1:8" x14ac:dyDescent="0.2">
      <c r="A105" s="66">
        <v>41453</v>
      </c>
      <c r="B105" s="65">
        <v>7.72</v>
      </c>
      <c r="C105" s="65">
        <v>1.00029514</v>
      </c>
      <c r="D105" s="65">
        <v>7.6</v>
      </c>
      <c r="E105" s="65">
        <v>7.75</v>
      </c>
      <c r="F105" s="65">
        <v>7.7</v>
      </c>
      <c r="G105" s="65">
        <v>7.2110000000000004E-3</v>
      </c>
      <c r="H105" s="65">
        <v>7.9</v>
      </c>
    </row>
    <row r="106" spans="1:8" x14ac:dyDescent="0.2">
      <c r="A106" s="66">
        <v>41486</v>
      </c>
      <c r="B106" s="65">
        <v>8.2200000000000006</v>
      </c>
      <c r="C106" s="65">
        <v>1.0003135299999999</v>
      </c>
      <c r="D106" s="65">
        <v>8.1</v>
      </c>
      <c r="E106" s="65">
        <v>8.25</v>
      </c>
      <c r="F106" s="65">
        <v>8.1999999999999993</v>
      </c>
      <c r="G106" s="65">
        <v>8.3669999999999994E-3</v>
      </c>
      <c r="H106" s="65">
        <v>8.4</v>
      </c>
    </row>
    <row r="107" spans="1:8" x14ac:dyDescent="0.2">
      <c r="A107" s="66">
        <v>41515</v>
      </c>
      <c r="B107" s="65">
        <v>8.7200000000000006</v>
      </c>
      <c r="C107" s="65">
        <v>1.00033182</v>
      </c>
      <c r="D107" s="65">
        <v>8.1</v>
      </c>
      <c r="E107" s="65">
        <v>8.83</v>
      </c>
      <c r="F107" s="65">
        <v>8.6999999999999993</v>
      </c>
      <c r="G107" s="65">
        <v>3.9509000000000002E-2</v>
      </c>
      <c r="H107" s="65">
        <v>8.9</v>
      </c>
    </row>
    <row r="108" spans="1:8" x14ac:dyDescent="0.2">
      <c r="A108" s="66">
        <v>41547</v>
      </c>
      <c r="B108" s="65">
        <v>8.7100000000000009</v>
      </c>
      <c r="C108" s="65">
        <v>1.00033146</v>
      </c>
      <c r="D108" s="65">
        <v>8.69</v>
      </c>
      <c r="E108" s="65">
        <v>8.83</v>
      </c>
      <c r="F108" s="65">
        <v>8.69</v>
      </c>
      <c r="G108" s="65">
        <v>2.9069000000000001E-2</v>
      </c>
      <c r="H108" s="65">
        <v>8.9</v>
      </c>
    </row>
    <row r="109" spans="1:8" x14ac:dyDescent="0.2">
      <c r="A109" s="66">
        <v>41578</v>
      </c>
      <c r="B109" s="65">
        <v>9.32</v>
      </c>
      <c r="C109" s="65">
        <v>1.00035367</v>
      </c>
      <c r="D109" s="65" t="s">
        <v>123</v>
      </c>
      <c r="E109" s="65" t="s">
        <v>123</v>
      </c>
      <c r="F109" s="65" t="s">
        <v>123</v>
      </c>
      <c r="G109" s="65" t="s">
        <v>123</v>
      </c>
      <c r="H109" s="65">
        <v>9.4</v>
      </c>
    </row>
    <row r="110" spans="1:8" x14ac:dyDescent="0.2">
      <c r="A110" s="66">
        <v>41606</v>
      </c>
      <c r="B110" s="65">
        <v>9.77</v>
      </c>
      <c r="C110" s="65">
        <v>1.0003699800000001</v>
      </c>
      <c r="D110" s="65" t="s">
        <v>123</v>
      </c>
      <c r="E110" s="65" t="s">
        <v>123</v>
      </c>
      <c r="F110" s="65" t="s">
        <v>123</v>
      </c>
      <c r="G110" s="65" t="s">
        <v>123</v>
      </c>
      <c r="H110" s="65">
        <v>9.9</v>
      </c>
    </row>
    <row r="111" spans="1:8" x14ac:dyDescent="0.2">
      <c r="A111" s="66">
        <v>41639</v>
      </c>
      <c r="B111" s="65">
        <v>9.77</v>
      </c>
      <c r="C111" s="65">
        <v>1.0003699800000001</v>
      </c>
      <c r="D111" s="65" t="s">
        <v>123</v>
      </c>
      <c r="E111" s="65" t="s">
        <v>123</v>
      </c>
      <c r="F111" s="65" t="s">
        <v>123</v>
      </c>
      <c r="G111" s="65" t="s">
        <v>123</v>
      </c>
      <c r="H111" s="65">
        <v>9.9</v>
      </c>
    </row>
    <row r="112" spans="1:8" x14ac:dyDescent="0.2">
      <c r="A112" s="66">
        <v>41670</v>
      </c>
      <c r="B112" s="65">
        <v>10.27</v>
      </c>
      <c r="C112" s="65">
        <v>1.0003880199999999</v>
      </c>
      <c r="D112" s="65" t="s">
        <v>123</v>
      </c>
      <c r="E112" s="65" t="s">
        <v>123</v>
      </c>
      <c r="F112" s="65" t="s">
        <v>123</v>
      </c>
      <c r="G112" s="65" t="s">
        <v>123</v>
      </c>
      <c r="H112" s="65">
        <v>10.4</v>
      </c>
    </row>
    <row r="113" spans="1:8" x14ac:dyDescent="0.2">
      <c r="A113" s="66">
        <v>41698</v>
      </c>
      <c r="B113" s="65">
        <v>10.59</v>
      </c>
      <c r="C113" s="65">
        <v>1.00039952</v>
      </c>
      <c r="D113" s="65">
        <v>10.45</v>
      </c>
      <c r="E113" s="65">
        <v>10.59</v>
      </c>
      <c r="F113" s="65">
        <v>10.45</v>
      </c>
      <c r="G113" s="65">
        <v>1.3710999999999999E-2</v>
      </c>
      <c r="H113" s="65">
        <v>10.65</v>
      </c>
    </row>
    <row r="114" spans="1:8" x14ac:dyDescent="0.2">
      <c r="A114" s="66">
        <v>41729</v>
      </c>
      <c r="B114" s="65">
        <v>10.55</v>
      </c>
      <c r="C114" s="65">
        <v>1.00039809</v>
      </c>
      <c r="D114" s="65" t="s">
        <v>123</v>
      </c>
      <c r="E114" s="65" t="s">
        <v>123</v>
      </c>
      <c r="F114" s="65" t="s">
        <v>123</v>
      </c>
      <c r="G114" s="65" t="s">
        <v>123</v>
      </c>
      <c r="H114" s="65">
        <v>10.65</v>
      </c>
    </row>
    <row r="115" spans="1:8" x14ac:dyDescent="0.2">
      <c r="A115" s="66">
        <v>41759</v>
      </c>
      <c r="B115" s="65">
        <v>10.8</v>
      </c>
      <c r="C115" s="65">
        <v>1.00040705</v>
      </c>
      <c r="D115" s="65" t="s">
        <v>123</v>
      </c>
      <c r="E115" s="65" t="s">
        <v>123</v>
      </c>
      <c r="F115" s="65" t="s">
        <v>123</v>
      </c>
      <c r="G115" s="65" t="s">
        <v>123</v>
      </c>
      <c r="H115" s="65">
        <v>10.9</v>
      </c>
    </row>
    <row r="116" spans="1:8" x14ac:dyDescent="0.2">
      <c r="A116" s="66">
        <v>41788</v>
      </c>
      <c r="B116" s="65">
        <v>10.8</v>
      </c>
      <c r="C116" s="65">
        <v>1.00040705</v>
      </c>
      <c r="D116" s="65" t="s">
        <v>123</v>
      </c>
      <c r="E116" s="65" t="s">
        <v>123</v>
      </c>
      <c r="F116" s="65" t="s">
        <v>123</v>
      </c>
      <c r="G116" s="65" t="s">
        <v>123</v>
      </c>
      <c r="H116" s="65">
        <v>10.9</v>
      </c>
    </row>
    <row r="117" spans="1:8" x14ac:dyDescent="0.2">
      <c r="A117" s="66">
        <v>41820</v>
      </c>
      <c r="B117" s="65">
        <v>10.8</v>
      </c>
      <c r="C117" s="65">
        <v>1.00040705</v>
      </c>
      <c r="D117" s="65" t="s">
        <v>123</v>
      </c>
      <c r="E117" s="65" t="s">
        <v>123</v>
      </c>
      <c r="F117" s="65" t="s">
        <v>123</v>
      </c>
      <c r="G117" s="65" t="s">
        <v>123</v>
      </c>
      <c r="H117" s="65">
        <v>10.9</v>
      </c>
    </row>
    <row r="118" spans="1:8" x14ac:dyDescent="0.2">
      <c r="A118" s="66">
        <v>41851</v>
      </c>
      <c r="B118" s="65">
        <v>10.8</v>
      </c>
      <c r="C118" s="65">
        <v>1.00040705</v>
      </c>
      <c r="D118" s="65" t="s">
        <v>123</v>
      </c>
      <c r="E118" s="65" t="s">
        <v>123</v>
      </c>
      <c r="F118" s="65" t="s">
        <v>123</v>
      </c>
      <c r="G118" s="65" t="s">
        <v>123</v>
      </c>
      <c r="H118" s="65">
        <v>10.9</v>
      </c>
    </row>
    <row r="119" spans="1:8" x14ac:dyDescent="0.2">
      <c r="A119" s="66">
        <v>41880</v>
      </c>
      <c r="B119" s="65">
        <v>10.81</v>
      </c>
      <c r="C119" s="65">
        <v>1.00040741</v>
      </c>
      <c r="D119" s="65" t="s">
        <v>123</v>
      </c>
      <c r="E119" s="65" t="s">
        <v>123</v>
      </c>
      <c r="F119" s="65" t="s">
        <v>123</v>
      </c>
      <c r="G119" s="65" t="s">
        <v>123</v>
      </c>
      <c r="H119" s="65">
        <v>10.9</v>
      </c>
    </row>
    <row r="120" spans="1:8" x14ac:dyDescent="0.2">
      <c r="A120" s="66">
        <v>41912</v>
      </c>
      <c r="B120" s="65">
        <v>10.81</v>
      </c>
      <c r="C120" s="65">
        <v>1.00040741</v>
      </c>
      <c r="D120" s="65" t="s">
        <v>123</v>
      </c>
      <c r="E120" s="65" t="s">
        <v>123</v>
      </c>
      <c r="F120" s="65" t="s">
        <v>123</v>
      </c>
      <c r="G120" s="65" t="s">
        <v>123</v>
      </c>
      <c r="H120" s="65">
        <v>10.9</v>
      </c>
    </row>
    <row r="121" spans="1:8" x14ac:dyDescent="0.2">
      <c r="A121" s="66">
        <v>41943</v>
      </c>
      <c r="B121" s="65">
        <v>11.06</v>
      </c>
      <c r="C121" s="65">
        <v>1.00041636</v>
      </c>
      <c r="D121" s="65" t="s">
        <v>123</v>
      </c>
      <c r="E121" s="65" t="s">
        <v>123</v>
      </c>
      <c r="F121" s="65" t="s">
        <v>123</v>
      </c>
      <c r="G121" s="65" t="s">
        <v>123</v>
      </c>
      <c r="H121" s="65">
        <v>11.15</v>
      </c>
    </row>
    <row r="122" spans="1:8" x14ac:dyDescent="0.2">
      <c r="A122" s="66">
        <v>41971</v>
      </c>
      <c r="B122" s="65">
        <v>11.06</v>
      </c>
      <c r="C122" s="65">
        <v>1.00041636</v>
      </c>
      <c r="D122" s="65" t="s">
        <v>123</v>
      </c>
      <c r="E122" s="65" t="s">
        <v>123</v>
      </c>
      <c r="F122" s="65" t="s">
        <v>123</v>
      </c>
      <c r="G122" s="65" t="s">
        <v>123</v>
      </c>
      <c r="H122" s="65">
        <v>11.15</v>
      </c>
    </row>
    <row r="123" spans="1:8" x14ac:dyDescent="0.2">
      <c r="A123" s="66">
        <v>42004</v>
      </c>
      <c r="B123" s="65">
        <v>11.57</v>
      </c>
      <c r="C123" s="65">
        <v>1.00043455</v>
      </c>
      <c r="D123" s="65" t="s">
        <v>123</v>
      </c>
      <c r="E123" s="65" t="s">
        <v>123</v>
      </c>
      <c r="F123" s="65" t="s">
        <v>123</v>
      </c>
      <c r="G123" s="65" t="s">
        <v>123</v>
      </c>
      <c r="H123" s="65">
        <v>11.65</v>
      </c>
    </row>
    <row r="124" spans="1:8" x14ac:dyDescent="0.2">
      <c r="A124" s="66">
        <v>42033</v>
      </c>
      <c r="B124" s="65">
        <v>12.08</v>
      </c>
      <c r="C124" s="65">
        <v>1.0004526499999999</v>
      </c>
      <c r="D124" s="65" t="s">
        <v>123</v>
      </c>
      <c r="E124" s="65" t="s">
        <v>123</v>
      </c>
      <c r="F124" s="65" t="s">
        <v>123</v>
      </c>
      <c r="G124" s="65" t="s">
        <v>123</v>
      </c>
      <c r="H124" s="65">
        <v>12.15</v>
      </c>
    </row>
    <row r="125" spans="1:8" x14ac:dyDescent="0.2">
      <c r="A125" s="66">
        <v>42061</v>
      </c>
      <c r="B125" s="65">
        <v>12.09</v>
      </c>
      <c r="C125" s="65">
        <v>1.00045301</v>
      </c>
      <c r="D125" s="65" t="s">
        <v>123</v>
      </c>
      <c r="E125" s="65" t="s">
        <v>123</v>
      </c>
      <c r="F125" s="65" t="s">
        <v>123</v>
      </c>
      <c r="G125" s="65" t="s">
        <v>123</v>
      </c>
      <c r="H125" s="65">
        <v>12.15</v>
      </c>
    </row>
    <row r="126" spans="1:8" x14ac:dyDescent="0.2">
      <c r="A126" s="66">
        <v>42094</v>
      </c>
      <c r="B126" s="65">
        <v>12.6</v>
      </c>
      <c r="C126" s="65">
        <v>1.0004710299999999</v>
      </c>
      <c r="D126" s="65" t="s">
        <v>123</v>
      </c>
      <c r="E126" s="65" t="s">
        <v>123</v>
      </c>
      <c r="F126" s="65" t="s">
        <v>123</v>
      </c>
      <c r="G126" s="65" t="s">
        <v>123</v>
      </c>
      <c r="H126" s="65">
        <v>12.65</v>
      </c>
    </row>
    <row r="127" spans="1:8" x14ac:dyDescent="0.2">
      <c r="A127" s="66">
        <v>42124</v>
      </c>
      <c r="B127" s="65">
        <v>13.11</v>
      </c>
      <c r="C127" s="65">
        <v>1.0004889699999999</v>
      </c>
      <c r="D127" s="65" t="s">
        <v>123</v>
      </c>
      <c r="E127" s="65" t="s">
        <v>123</v>
      </c>
      <c r="F127" s="65" t="s">
        <v>123</v>
      </c>
      <c r="G127" s="65" t="s">
        <v>123</v>
      </c>
      <c r="H127" s="65">
        <v>13.15</v>
      </c>
    </row>
    <row r="128" spans="1:8" x14ac:dyDescent="0.2">
      <c r="A128" s="66">
        <v>42153</v>
      </c>
      <c r="B128" s="65">
        <v>13.13</v>
      </c>
      <c r="C128" s="65">
        <v>1.0004896700000001</v>
      </c>
      <c r="D128" s="65" t="s">
        <v>123</v>
      </c>
      <c r="E128" s="65" t="s">
        <v>123</v>
      </c>
      <c r="F128" s="65" t="s">
        <v>123</v>
      </c>
      <c r="G128" s="65" t="s">
        <v>123</v>
      </c>
      <c r="H128" s="65">
        <v>13.15</v>
      </c>
    </row>
    <row r="129" spans="1:8" x14ac:dyDescent="0.2">
      <c r="A129" s="66">
        <v>42185</v>
      </c>
      <c r="B129" s="65">
        <v>13.64</v>
      </c>
      <c r="C129" s="65">
        <v>1.0005075299999999</v>
      </c>
      <c r="D129" s="65" t="s">
        <v>123</v>
      </c>
      <c r="E129" s="65" t="s">
        <v>123</v>
      </c>
      <c r="F129" s="65" t="s">
        <v>123</v>
      </c>
      <c r="G129" s="65" t="s">
        <v>123</v>
      </c>
      <c r="H129" s="65">
        <v>13.65</v>
      </c>
    </row>
    <row r="130" spans="1:8" x14ac:dyDescent="0.2">
      <c r="A130" s="66">
        <v>42216</v>
      </c>
      <c r="B130" s="65">
        <v>14.13</v>
      </c>
      <c r="C130" s="65">
        <v>1.00052461</v>
      </c>
      <c r="D130" s="65" t="s">
        <v>123</v>
      </c>
      <c r="E130" s="65" t="s">
        <v>123</v>
      </c>
      <c r="F130" s="65" t="s">
        <v>123</v>
      </c>
      <c r="G130" s="65" t="s">
        <v>123</v>
      </c>
      <c r="H130" s="65">
        <v>14.15</v>
      </c>
    </row>
    <row r="131" spans="1:8" x14ac:dyDescent="0.2">
      <c r="A131" s="66">
        <v>42247</v>
      </c>
      <c r="B131" s="65">
        <v>14.13</v>
      </c>
      <c r="C131" s="65">
        <v>1.00052461</v>
      </c>
      <c r="D131" s="65" t="s">
        <v>123</v>
      </c>
      <c r="E131" s="65" t="s">
        <v>123</v>
      </c>
      <c r="F131" s="65" t="s">
        <v>123</v>
      </c>
      <c r="G131" s="65" t="s">
        <v>123</v>
      </c>
      <c r="H131" s="65">
        <v>14.15</v>
      </c>
    </row>
    <row r="132" spans="1:8" x14ac:dyDescent="0.2">
      <c r="A132" s="66">
        <v>42277</v>
      </c>
      <c r="B132" s="65">
        <v>14.13</v>
      </c>
      <c r="C132" s="65">
        <v>1.00052461</v>
      </c>
      <c r="D132" s="65" t="s">
        <v>123</v>
      </c>
      <c r="E132" s="65" t="s">
        <v>123</v>
      </c>
      <c r="F132" s="65" t="s">
        <v>123</v>
      </c>
      <c r="G132" s="65" t="s">
        <v>123</v>
      </c>
      <c r="H132" s="65">
        <v>14.15</v>
      </c>
    </row>
    <row r="133" spans="1:8" x14ac:dyDescent="0.2">
      <c r="A133" s="66">
        <v>42306</v>
      </c>
      <c r="B133" s="65">
        <v>14.14</v>
      </c>
      <c r="C133" s="65">
        <v>1.0005249599999999</v>
      </c>
      <c r="D133" s="65" t="s">
        <v>123</v>
      </c>
      <c r="E133" s="65" t="s">
        <v>123</v>
      </c>
      <c r="F133" s="65" t="s">
        <v>123</v>
      </c>
      <c r="G133" s="65" t="s">
        <v>123</v>
      </c>
      <c r="H133" s="65">
        <v>14.15</v>
      </c>
    </row>
    <row r="134" spans="1:8" x14ac:dyDescent="0.2">
      <c r="A134" s="66">
        <v>42338</v>
      </c>
      <c r="B134" s="65">
        <v>14.14</v>
      </c>
      <c r="C134" s="65">
        <v>1.0005249599999999</v>
      </c>
      <c r="D134" s="65" t="s">
        <v>123</v>
      </c>
      <c r="E134" s="65" t="s">
        <v>123</v>
      </c>
      <c r="F134" s="65" t="s">
        <v>123</v>
      </c>
      <c r="G134" s="65" t="s">
        <v>123</v>
      </c>
      <c r="H134" s="65">
        <v>14.15</v>
      </c>
    </row>
    <row r="135" spans="1:8" x14ac:dyDescent="0.2">
      <c r="A135" s="66">
        <v>42369</v>
      </c>
      <c r="B135" s="65">
        <v>14.14</v>
      </c>
      <c r="C135" s="65">
        <v>1.0005249599999999</v>
      </c>
      <c r="D135" s="65" t="s">
        <v>123</v>
      </c>
      <c r="E135" s="65" t="s">
        <v>123</v>
      </c>
      <c r="F135" s="65" t="s">
        <v>123</v>
      </c>
      <c r="G135" s="65" t="s">
        <v>123</v>
      </c>
      <c r="H135" s="65">
        <v>14.15</v>
      </c>
    </row>
    <row r="136" spans="1:8" x14ac:dyDescent="0.2">
      <c r="A136" s="66">
        <v>42398</v>
      </c>
      <c r="B136" s="65">
        <v>14.13</v>
      </c>
      <c r="C136" s="65">
        <v>1.00052461</v>
      </c>
      <c r="D136" s="65" t="s">
        <v>123</v>
      </c>
      <c r="E136" s="65" t="s">
        <v>123</v>
      </c>
      <c r="F136" s="65" t="s">
        <v>123</v>
      </c>
      <c r="G136" s="65" t="s">
        <v>123</v>
      </c>
      <c r="H136" s="65">
        <v>14.15</v>
      </c>
    </row>
    <row r="137" spans="1:8" x14ac:dyDescent="0.2">
      <c r="A137" s="66">
        <v>42429</v>
      </c>
      <c r="B137" s="65">
        <v>14.13</v>
      </c>
      <c r="C137" s="65">
        <v>1.00052461</v>
      </c>
      <c r="D137" s="65" t="s">
        <v>123</v>
      </c>
      <c r="E137" s="65" t="s">
        <v>123</v>
      </c>
      <c r="F137" s="65" t="s">
        <v>123</v>
      </c>
      <c r="G137" s="65" t="s">
        <v>123</v>
      </c>
      <c r="H137" s="65">
        <v>14.15</v>
      </c>
    </row>
    <row r="138" spans="1:8" x14ac:dyDescent="0.2">
      <c r="A138" s="66">
        <v>42460</v>
      </c>
      <c r="B138" s="65">
        <v>14.13</v>
      </c>
      <c r="C138" s="65">
        <v>1.00052461</v>
      </c>
      <c r="D138" s="65" t="s">
        <v>123</v>
      </c>
      <c r="E138" s="65" t="s">
        <v>123</v>
      </c>
      <c r="F138" s="65" t="s">
        <v>123</v>
      </c>
      <c r="G138" s="65" t="s">
        <v>123</v>
      </c>
      <c r="H138" s="65">
        <v>14.15</v>
      </c>
    </row>
    <row r="139" spans="1:8" x14ac:dyDescent="0.2">
      <c r="A139" s="66">
        <v>42488</v>
      </c>
      <c r="B139" s="65">
        <v>14.13</v>
      </c>
      <c r="C139" s="65">
        <v>1.00052461</v>
      </c>
      <c r="D139" s="65" t="s">
        <v>123</v>
      </c>
      <c r="E139" s="65" t="s">
        <v>123</v>
      </c>
      <c r="F139" s="65" t="s">
        <v>123</v>
      </c>
      <c r="G139" s="65" t="s">
        <v>123</v>
      </c>
      <c r="H139" s="65">
        <v>14.15</v>
      </c>
    </row>
    <row r="140" spans="1:8" x14ac:dyDescent="0.2">
      <c r="A140" s="66">
        <v>42521</v>
      </c>
      <c r="B140" s="65">
        <v>14.13</v>
      </c>
      <c r="C140" s="65">
        <v>1.00052461</v>
      </c>
      <c r="D140" s="65" t="s">
        <v>123</v>
      </c>
      <c r="E140" s="65" t="s">
        <v>123</v>
      </c>
      <c r="F140" s="65" t="s">
        <v>123</v>
      </c>
      <c r="G140" s="65" t="s">
        <v>123</v>
      </c>
      <c r="H140" s="65">
        <v>14.15</v>
      </c>
    </row>
    <row r="141" spans="1:8" x14ac:dyDescent="0.2">
      <c r="A141" s="66">
        <v>42551</v>
      </c>
      <c r="B141" s="65">
        <v>14.13</v>
      </c>
      <c r="C141" s="65">
        <v>1.00052461</v>
      </c>
      <c r="D141" s="65" t="s">
        <v>123</v>
      </c>
      <c r="E141" s="65" t="s">
        <v>123</v>
      </c>
      <c r="F141" s="65" t="s">
        <v>123</v>
      </c>
      <c r="G141" s="65" t="s">
        <v>123</v>
      </c>
      <c r="H141" s="65">
        <v>14.15</v>
      </c>
    </row>
    <row r="142" spans="1:8" x14ac:dyDescent="0.2">
      <c r="A142" s="66">
        <v>42580</v>
      </c>
      <c r="B142" s="65">
        <v>14.13</v>
      </c>
      <c r="C142" s="65">
        <v>1.00052461</v>
      </c>
      <c r="D142" s="65" t="s">
        <v>123</v>
      </c>
      <c r="E142" s="65" t="s">
        <v>123</v>
      </c>
      <c r="F142" s="65" t="s">
        <v>123</v>
      </c>
      <c r="G142" s="65" t="s">
        <v>123</v>
      </c>
      <c r="H142" s="65">
        <v>14.15</v>
      </c>
    </row>
    <row r="143" spans="1:8" x14ac:dyDescent="0.2">
      <c r="A143" s="66">
        <v>42613</v>
      </c>
      <c r="B143" s="65">
        <v>14.13</v>
      </c>
      <c r="C143" s="65">
        <v>1.00052461</v>
      </c>
      <c r="D143" s="65" t="s">
        <v>123</v>
      </c>
      <c r="E143" s="65" t="s">
        <v>123</v>
      </c>
      <c r="F143" s="65" t="s">
        <v>123</v>
      </c>
      <c r="G143" s="65" t="s">
        <v>123</v>
      </c>
      <c r="H143" s="65">
        <v>14.15</v>
      </c>
    </row>
    <row r="144" spans="1:8" x14ac:dyDescent="0.2">
      <c r="A144" s="66">
        <v>42643</v>
      </c>
      <c r="B144" s="65">
        <v>14.13</v>
      </c>
      <c r="C144" s="65">
        <v>1.00052461</v>
      </c>
      <c r="D144" s="65" t="s">
        <v>123</v>
      </c>
      <c r="E144" s="65" t="s">
        <v>123</v>
      </c>
      <c r="F144" s="65" t="s">
        <v>123</v>
      </c>
      <c r="G144" s="65" t="s">
        <v>123</v>
      </c>
      <c r="H144" s="65">
        <v>14.15</v>
      </c>
    </row>
    <row r="145" spans="1:8" x14ac:dyDescent="0.2">
      <c r="A145" s="66">
        <v>42674</v>
      </c>
      <c r="B145" s="65">
        <v>13.88</v>
      </c>
      <c r="C145" s="65">
        <v>1.0005159100000001</v>
      </c>
      <c r="D145" s="65" t="s">
        <v>123</v>
      </c>
      <c r="E145" s="65" t="s">
        <v>123</v>
      </c>
      <c r="F145" s="65" t="s">
        <v>123</v>
      </c>
      <c r="G145" s="65" t="s">
        <v>123</v>
      </c>
      <c r="H145" s="65">
        <v>13.9</v>
      </c>
    </row>
    <row r="146" spans="1:8" x14ac:dyDescent="0.2">
      <c r="A146" s="66">
        <v>42704</v>
      </c>
      <c r="B146" s="65">
        <v>13.88</v>
      </c>
      <c r="C146" s="65">
        <v>1.0005159100000001</v>
      </c>
      <c r="D146" s="65" t="s">
        <v>123</v>
      </c>
      <c r="E146" s="65" t="s">
        <v>123</v>
      </c>
      <c r="F146" s="65" t="s">
        <v>123</v>
      </c>
      <c r="G146" s="65" t="s">
        <v>123</v>
      </c>
      <c r="H146" s="65">
        <v>13.9</v>
      </c>
    </row>
    <row r="147" spans="1:8" x14ac:dyDescent="0.2">
      <c r="A147" s="66">
        <v>42733</v>
      </c>
      <c r="B147" s="65">
        <v>13.63</v>
      </c>
      <c r="C147" s="65">
        <v>1.0005071800000001</v>
      </c>
      <c r="D147" s="65" t="s">
        <v>123</v>
      </c>
      <c r="E147" s="65" t="s">
        <v>123</v>
      </c>
      <c r="F147" s="65" t="s">
        <v>123</v>
      </c>
      <c r="G147" s="65" t="s">
        <v>123</v>
      </c>
      <c r="H147" s="65">
        <v>13.65</v>
      </c>
    </row>
    <row r="148" spans="1:8" x14ac:dyDescent="0.2">
      <c r="A148" s="66">
        <v>42766</v>
      </c>
      <c r="B148" s="65">
        <v>12.88</v>
      </c>
      <c r="C148" s="65">
        <v>1.00048089</v>
      </c>
      <c r="D148" s="65" t="s">
        <v>123</v>
      </c>
      <c r="E148" s="65" t="s">
        <v>123</v>
      </c>
      <c r="F148" s="65" t="s">
        <v>123</v>
      </c>
      <c r="G148" s="65" t="s">
        <v>123</v>
      </c>
      <c r="H148" s="65">
        <v>12.9</v>
      </c>
    </row>
    <row r="149" spans="1:8" x14ac:dyDescent="0.2">
      <c r="A149" s="66">
        <v>42790</v>
      </c>
      <c r="B149" s="65">
        <v>12.13</v>
      </c>
      <c r="C149" s="65">
        <v>1.0004544200000001</v>
      </c>
      <c r="D149" s="65" t="s">
        <v>123</v>
      </c>
      <c r="E149" s="65" t="s">
        <v>123</v>
      </c>
      <c r="F149" s="65" t="s">
        <v>123</v>
      </c>
      <c r="G149" s="65" t="s">
        <v>123</v>
      </c>
      <c r="H149" s="65">
        <v>12.15</v>
      </c>
    </row>
    <row r="150" spans="1:8" x14ac:dyDescent="0.2">
      <c r="A150" s="66">
        <v>42825</v>
      </c>
      <c r="B150" s="65">
        <v>12.13</v>
      </c>
      <c r="C150" s="65">
        <v>1.0004544200000001</v>
      </c>
      <c r="D150" s="65" t="s">
        <v>123</v>
      </c>
      <c r="E150" s="65" t="s">
        <v>123</v>
      </c>
      <c r="F150" s="65" t="s">
        <v>123</v>
      </c>
      <c r="G150" s="65" t="s">
        <v>123</v>
      </c>
      <c r="H150" s="65">
        <v>12.15</v>
      </c>
    </row>
    <row r="151" spans="1:8" x14ac:dyDescent="0.2">
      <c r="A151" s="66">
        <v>42853</v>
      </c>
      <c r="B151" s="65">
        <v>11.13</v>
      </c>
      <c r="C151" s="65">
        <v>1.0004188599999999</v>
      </c>
      <c r="D151" s="65" t="s">
        <v>123</v>
      </c>
      <c r="E151" s="65" t="s">
        <v>123</v>
      </c>
      <c r="F151" s="65" t="s">
        <v>123</v>
      </c>
      <c r="G151" s="65" t="s">
        <v>123</v>
      </c>
      <c r="H151" s="65">
        <v>11.15</v>
      </c>
    </row>
    <row r="152" spans="1:8" x14ac:dyDescent="0.2">
      <c r="A152" s="66">
        <v>42886</v>
      </c>
      <c r="B152" s="65">
        <v>11.13</v>
      </c>
      <c r="C152" s="65">
        <v>1.0004188599999999</v>
      </c>
      <c r="D152" s="65" t="s">
        <v>123</v>
      </c>
      <c r="E152" s="65" t="s">
        <v>123</v>
      </c>
      <c r="F152" s="65" t="s">
        <v>123</v>
      </c>
      <c r="G152" s="65" t="s">
        <v>123</v>
      </c>
      <c r="H152" s="65">
        <v>11.15</v>
      </c>
    </row>
    <row r="153" spans="1:8" x14ac:dyDescent="0.2">
      <c r="A153" s="66">
        <v>42916</v>
      </c>
      <c r="B153" s="65">
        <v>10.14</v>
      </c>
      <c r="C153" s="65">
        <v>1.00038334</v>
      </c>
      <c r="D153" s="65" t="s">
        <v>123</v>
      </c>
      <c r="E153" s="65" t="s">
        <v>123</v>
      </c>
      <c r="F153" s="65" t="s">
        <v>123</v>
      </c>
      <c r="G153" s="65" t="s">
        <v>123</v>
      </c>
      <c r="H153" s="65">
        <v>10.15</v>
      </c>
    </row>
    <row r="154" spans="1:8" x14ac:dyDescent="0.2">
      <c r="A154" s="66">
        <v>42947</v>
      </c>
      <c r="B154" s="65">
        <v>9.14</v>
      </c>
      <c r="C154" s="65">
        <v>1.00034713</v>
      </c>
      <c r="D154" s="65" t="s">
        <v>123</v>
      </c>
      <c r="E154" s="65" t="s">
        <v>123</v>
      </c>
      <c r="F154" s="65" t="s">
        <v>123</v>
      </c>
      <c r="G154" s="65" t="s">
        <v>123</v>
      </c>
      <c r="H154" s="65">
        <v>9.15</v>
      </c>
    </row>
    <row r="155" spans="1:8" x14ac:dyDescent="0.2">
      <c r="A155" s="66">
        <v>42978</v>
      </c>
      <c r="B155" s="65">
        <v>9.14</v>
      </c>
      <c r="C155" s="65">
        <v>1.00034713</v>
      </c>
      <c r="D155" s="65" t="s">
        <v>123</v>
      </c>
      <c r="E155" s="65" t="s">
        <v>123</v>
      </c>
      <c r="F155" s="65" t="s">
        <v>123</v>
      </c>
      <c r="G155" s="65" t="s">
        <v>123</v>
      </c>
      <c r="H155" s="65">
        <v>9.15</v>
      </c>
    </row>
    <row r="156" spans="1:8" x14ac:dyDescent="0.2">
      <c r="A156" s="66">
        <v>43006</v>
      </c>
      <c r="B156" s="65">
        <v>8.14</v>
      </c>
      <c r="C156" s="65">
        <v>1.00031059</v>
      </c>
      <c r="D156" s="65" t="s">
        <v>123</v>
      </c>
      <c r="E156" s="65" t="s">
        <v>123</v>
      </c>
      <c r="F156" s="65" t="s">
        <v>123</v>
      </c>
      <c r="G156" s="65" t="s">
        <v>123</v>
      </c>
      <c r="H156" s="65">
        <v>8.15</v>
      </c>
    </row>
    <row r="157" spans="1:8" x14ac:dyDescent="0.2">
      <c r="A157" s="66">
        <v>43039</v>
      </c>
      <c r="B157" s="65">
        <v>7.39</v>
      </c>
      <c r="C157" s="65">
        <v>1.0002829600000001</v>
      </c>
      <c r="D157" s="65" t="s">
        <v>123</v>
      </c>
      <c r="E157" s="65" t="s">
        <v>123</v>
      </c>
      <c r="F157" s="65" t="s">
        <v>123</v>
      </c>
      <c r="G157" s="65" t="s">
        <v>123</v>
      </c>
      <c r="H157" s="65">
        <v>7.4</v>
      </c>
    </row>
    <row r="158" spans="1:8" x14ac:dyDescent="0.2">
      <c r="A158" s="66">
        <v>43069</v>
      </c>
      <c r="B158" s="65">
        <v>7.39</v>
      </c>
      <c r="C158" s="65">
        <v>1.0002829600000001</v>
      </c>
      <c r="D158" s="65" t="s">
        <v>123</v>
      </c>
      <c r="E158" s="65" t="s">
        <v>123</v>
      </c>
      <c r="F158" s="65" t="s">
        <v>123</v>
      </c>
      <c r="G158" s="65" t="s">
        <v>123</v>
      </c>
      <c r="H158" s="65">
        <v>7.4</v>
      </c>
    </row>
    <row r="159" spans="1:8" x14ac:dyDescent="0.2">
      <c r="A159" s="66">
        <v>43098</v>
      </c>
      <c r="B159" s="65">
        <v>6.89</v>
      </c>
      <c r="C159" s="65">
        <v>1.00026444</v>
      </c>
      <c r="D159" s="65" t="s">
        <v>123</v>
      </c>
      <c r="E159" s="65" t="s">
        <v>123</v>
      </c>
      <c r="F159" s="65" t="s">
        <v>123</v>
      </c>
      <c r="G159" s="65" t="s">
        <v>123</v>
      </c>
      <c r="H159" s="65">
        <v>6.9</v>
      </c>
    </row>
    <row r="160" spans="1:8" x14ac:dyDescent="0.2">
      <c r="A160" s="66">
        <v>43131</v>
      </c>
      <c r="B160" s="65">
        <v>6.89</v>
      </c>
      <c r="C160" s="65">
        <v>1.00026444</v>
      </c>
      <c r="D160" s="65" t="s">
        <v>123</v>
      </c>
      <c r="E160" s="65" t="s">
        <v>123</v>
      </c>
      <c r="F160" s="65" t="s">
        <v>123</v>
      </c>
      <c r="G160" s="65" t="s">
        <v>123</v>
      </c>
      <c r="H160" s="65">
        <v>6.9</v>
      </c>
    </row>
    <row r="161" spans="1:8" x14ac:dyDescent="0.2">
      <c r="A161" s="66">
        <v>43159</v>
      </c>
      <c r="B161" s="65">
        <v>6.64</v>
      </c>
      <c r="C161" s="65">
        <v>1.0002551500000001</v>
      </c>
      <c r="D161" s="65">
        <v>6.3</v>
      </c>
      <c r="E161" s="65">
        <v>6.95</v>
      </c>
      <c r="F161" s="65">
        <v>6.45</v>
      </c>
      <c r="G161" s="65">
        <v>5.1468E-2</v>
      </c>
      <c r="H161" s="65">
        <v>6.65</v>
      </c>
    </row>
    <row r="162" spans="1:8" x14ac:dyDescent="0.2">
      <c r="A162" s="66">
        <v>43188</v>
      </c>
      <c r="B162" s="65">
        <v>6.39</v>
      </c>
      <c r="C162" s="65">
        <v>1.0002458299999999</v>
      </c>
      <c r="D162" s="65" t="s">
        <v>123</v>
      </c>
      <c r="E162" s="65" t="s">
        <v>123</v>
      </c>
      <c r="F162" s="65" t="s">
        <v>123</v>
      </c>
      <c r="G162" s="65" t="s">
        <v>123</v>
      </c>
      <c r="H162" s="65">
        <v>6.4</v>
      </c>
    </row>
    <row r="163" spans="1:8" x14ac:dyDescent="0.2">
      <c r="A163" s="66">
        <v>43220</v>
      </c>
      <c r="B163" s="65">
        <v>6.39</v>
      </c>
      <c r="C163" s="65">
        <v>1.0002458299999999</v>
      </c>
      <c r="D163" s="65" t="s">
        <v>123</v>
      </c>
      <c r="E163" s="65" t="s">
        <v>123</v>
      </c>
      <c r="F163" s="65" t="s">
        <v>123</v>
      </c>
      <c r="G163" s="65" t="s">
        <v>123</v>
      </c>
      <c r="H163" s="65">
        <v>6.4</v>
      </c>
    </row>
    <row r="164" spans="1:8" x14ac:dyDescent="0.2">
      <c r="A164" s="66">
        <v>43249</v>
      </c>
      <c r="B164" s="65">
        <v>6.39</v>
      </c>
      <c r="C164" s="65">
        <v>1.0002458299999999</v>
      </c>
      <c r="D164" s="65" t="s">
        <v>123</v>
      </c>
      <c r="E164" s="65" t="s">
        <v>123</v>
      </c>
      <c r="F164" s="65" t="s">
        <v>123</v>
      </c>
      <c r="G164" s="65" t="s">
        <v>123</v>
      </c>
      <c r="H164" s="65">
        <v>6.4</v>
      </c>
    </row>
    <row r="165" spans="1:8" x14ac:dyDescent="0.2">
      <c r="A165" s="66">
        <v>43279</v>
      </c>
      <c r="B165" s="65">
        <v>6.39</v>
      </c>
      <c r="C165" s="65">
        <v>1.0002458299999999</v>
      </c>
      <c r="D165" s="65" t="s">
        <v>123</v>
      </c>
      <c r="E165" s="65" t="s">
        <v>123</v>
      </c>
      <c r="F165" s="65" t="s">
        <v>123</v>
      </c>
      <c r="G165" s="65" t="s">
        <v>123</v>
      </c>
      <c r="H165" s="65">
        <v>6.4</v>
      </c>
    </row>
    <row r="166" spans="1:8" x14ac:dyDescent="0.2">
      <c r="A166" s="66">
        <v>43312</v>
      </c>
      <c r="B166" s="65">
        <v>6.39</v>
      </c>
      <c r="C166" s="65">
        <v>1.0002458299999999</v>
      </c>
      <c r="D166" s="65" t="s">
        <v>123</v>
      </c>
      <c r="E166" s="65" t="s">
        <v>123</v>
      </c>
      <c r="F166" s="65" t="s">
        <v>123</v>
      </c>
      <c r="G166" s="65" t="s">
        <v>123</v>
      </c>
      <c r="H166" s="65">
        <v>6.4</v>
      </c>
    </row>
    <row r="167" spans="1:8" x14ac:dyDescent="0.2">
      <c r="A167" s="66">
        <v>43343</v>
      </c>
      <c r="B167" s="65">
        <v>6.39</v>
      </c>
      <c r="C167" s="65">
        <v>1.0002458299999999</v>
      </c>
      <c r="D167" s="65" t="s">
        <v>123</v>
      </c>
      <c r="E167" s="65" t="s">
        <v>123</v>
      </c>
      <c r="F167" s="65" t="s">
        <v>123</v>
      </c>
      <c r="G167" s="65" t="s">
        <v>123</v>
      </c>
      <c r="H167" s="65">
        <v>6.4</v>
      </c>
    </row>
    <row r="168" spans="1:8" x14ac:dyDescent="0.2">
      <c r="A168" s="66">
        <v>43371</v>
      </c>
      <c r="B168" s="65">
        <v>6.39</v>
      </c>
      <c r="C168" s="65">
        <v>1.0002458299999999</v>
      </c>
      <c r="D168" s="65" t="s">
        <v>123</v>
      </c>
      <c r="E168" s="65" t="s">
        <v>123</v>
      </c>
      <c r="F168" s="65" t="s">
        <v>123</v>
      </c>
      <c r="G168" s="65" t="s">
        <v>123</v>
      </c>
      <c r="H168" s="65">
        <v>6.4</v>
      </c>
    </row>
    <row r="169" spans="1:8" x14ac:dyDescent="0.2">
      <c r="A169" s="66">
        <v>43404</v>
      </c>
      <c r="B169" s="65">
        <v>6.4</v>
      </c>
      <c r="C169" s="65">
        <v>1.0002462000000001</v>
      </c>
      <c r="D169" s="65" t="s">
        <v>123</v>
      </c>
      <c r="E169" s="65" t="s">
        <v>123</v>
      </c>
      <c r="F169" s="65" t="s">
        <v>123</v>
      </c>
      <c r="G169" s="65" t="s">
        <v>123</v>
      </c>
      <c r="H169" s="65">
        <v>6.4</v>
      </c>
    </row>
    <row r="170" spans="1:8" x14ac:dyDescent="0.2">
      <c r="A170" s="66">
        <v>43434</v>
      </c>
      <c r="B170" s="65">
        <v>6.4</v>
      </c>
      <c r="C170" s="65">
        <v>1.0002462000000001</v>
      </c>
      <c r="D170" s="65" t="s">
        <v>123</v>
      </c>
      <c r="E170" s="65" t="s">
        <v>123</v>
      </c>
      <c r="F170" s="65" t="s">
        <v>123</v>
      </c>
      <c r="G170" s="65" t="s">
        <v>123</v>
      </c>
      <c r="H170" s="65">
        <v>6.4</v>
      </c>
    </row>
    <row r="171" spans="1:8" x14ac:dyDescent="0.2">
      <c r="A171" s="66">
        <v>43465</v>
      </c>
      <c r="B171" s="65">
        <v>6.4</v>
      </c>
      <c r="C171" s="65">
        <v>1.0002462000000001</v>
      </c>
      <c r="D171" s="65" t="s">
        <v>123</v>
      </c>
      <c r="E171" s="65" t="s">
        <v>123</v>
      </c>
      <c r="F171" s="65" t="s">
        <v>123</v>
      </c>
      <c r="G171" s="65" t="s">
        <v>123</v>
      </c>
      <c r="H171" s="65">
        <v>6.4</v>
      </c>
    </row>
    <row r="172" spans="1:8" x14ac:dyDescent="0.2">
      <c r="A172" s="66">
        <v>43496</v>
      </c>
      <c r="B172" s="65">
        <v>6.4</v>
      </c>
      <c r="C172" s="65">
        <v>1.0002462000000001</v>
      </c>
      <c r="D172" s="65" t="s">
        <v>123</v>
      </c>
      <c r="E172" s="65" t="s">
        <v>123</v>
      </c>
      <c r="F172" s="65" t="s">
        <v>123</v>
      </c>
      <c r="G172" s="65" t="s">
        <v>123</v>
      </c>
      <c r="H172" s="65">
        <v>6.4</v>
      </c>
    </row>
    <row r="173" spans="1:8" x14ac:dyDescent="0.2">
      <c r="A173" s="66">
        <v>43524</v>
      </c>
      <c r="B173" s="65">
        <v>6.4</v>
      </c>
      <c r="C173" s="65">
        <v>1.0002462000000001</v>
      </c>
      <c r="D173" s="65" t="s">
        <v>123</v>
      </c>
      <c r="E173" s="65" t="s">
        <v>123</v>
      </c>
      <c r="F173" s="65" t="s">
        <v>123</v>
      </c>
      <c r="G173" s="65" t="s">
        <v>123</v>
      </c>
      <c r="H173" s="65">
        <v>6.4</v>
      </c>
    </row>
    <row r="174" spans="1:8" x14ac:dyDescent="0.2">
      <c r="A174" s="66">
        <v>43553</v>
      </c>
      <c r="B174" s="65">
        <v>6.4</v>
      </c>
      <c r="C174" s="65">
        <v>1.0002462000000001</v>
      </c>
      <c r="D174" s="65" t="s">
        <v>123</v>
      </c>
      <c r="E174" s="65" t="s">
        <v>123</v>
      </c>
      <c r="F174" s="65" t="s">
        <v>123</v>
      </c>
      <c r="G174" s="65" t="s">
        <v>123</v>
      </c>
      <c r="H174" s="65">
        <v>6.4</v>
      </c>
    </row>
    <row r="175" spans="1:8" x14ac:dyDescent="0.2">
      <c r="A175" s="66">
        <v>43585</v>
      </c>
      <c r="B175" s="65">
        <v>6.4</v>
      </c>
      <c r="C175" s="65">
        <v>1.0002462000000001</v>
      </c>
      <c r="D175" s="65" t="s">
        <v>123</v>
      </c>
      <c r="E175" s="65" t="s">
        <v>123</v>
      </c>
      <c r="F175" s="65" t="s">
        <v>123</v>
      </c>
      <c r="G175" s="65" t="s">
        <v>123</v>
      </c>
      <c r="H175" s="65">
        <v>6.4</v>
      </c>
    </row>
    <row r="176" spans="1:8" x14ac:dyDescent="0.2">
      <c r="A176" s="66">
        <v>43616</v>
      </c>
      <c r="B176" s="65">
        <v>6.4</v>
      </c>
      <c r="C176" s="65">
        <v>1.0002462000000001</v>
      </c>
      <c r="D176" s="65" t="s">
        <v>123</v>
      </c>
      <c r="E176" s="65" t="s">
        <v>123</v>
      </c>
      <c r="F176" s="65" t="s">
        <v>123</v>
      </c>
      <c r="G176" s="65" t="s">
        <v>123</v>
      </c>
      <c r="H176" s="65">
        <v>6.4</v>
      </c>
    </row>
    <row r="177" spans="1:8" x14ac:dyDescent="0.2">
      <c r="A177" s="66">
        <v>43644</v>
      </c>
      <c r="B177" s="65">
        <v>6.4</v>
      </c>
      <c r="C177" s="65">
        <v>1.0002462000000001</v>
      </c>
      <c r="D177" s="65" t="s">
        <v>123</v>
      </c>
      <c r="E177" s="65" t="s">
        <v>123</v>
      </c>
      <c r="F177" s="65" t="s">
        <v>123</v>
      </c>
      <c r="G177" s="65" t="s">
        <v>123</v>
      </c>
      <c r="H177" s="65">
        <v>6.4</v>
      </c>
    </row>
    <row r="178" spans="1:8" x14ac:dyDescent="0.2">
      <c r="A178" s="66">
        <v>43677</v>
      </c>
      <c r="B178" s="65">
        <v>6.4</v>
      </c>
      <c r="C178" s="65">
        <v>1.0002462000000001</v>
      </c>
      <c r="D178" s="65" t="s">
        <v>123</v>
      </c>
      <c r="E178" s="65" t="s">
        <v>123</v>
      </c>
      <c r="F178" s="65" t="s">
        <v>123</v>
      </c>
      <c r="G178" s="65" t="s">
        <v>123</v>
      </c>
      <c r="H178" s="65">
        <v>6.4</v>
      </c>
    </row>
    <row r="179" spans="1:8" x14ac:dyDescent="0.2">
      <c r="A179" s="66">
        <v>43706</v>
      </c>
      <c r="B179" s="65">
        <v>5.9</v>
      </c>
      <c r="C179" s="65">
        <v>1.00022751</v>
      </c>
      <c r="D179" s="65" t="s">
        <v>123</v>
      </c>
      <c r="E179" s="65" t="s">
        <v>123</v>
      </c>
      <c r="F179" s="65" t="s">
        <v>123</v>
      </c>
      <c r="G179" s="65" t="s">
        <v>123</v>
      </c>
      <c r="H179" s="65">
        <v>5.9</v>
      </c>
    </row>
    <row r="180" spans="1:8" x14ac:dyDescent="0.2">
      <c r="A180" s="66">
        <v>43738</v>
      </c>
      <c r="B180" s="65">
        <v>5.4</v>
      </c>
      <c r="C180" s="65">
        <v>1.0002087200000001</v>
      </c>
      <c r="D180" s="65" t="s">
        <v>123</v>
      </c>
      <c r="E180" s="65" t="s">
        <v>123</v>
      </c>
      <c r="F180" s="65" t="s">
        <v>123</v>
      </c>
      <c r="G180" s="65" t="s">
        <v>123</v>
      </c>
      <c r="H180" s="65">
        <v>5.4</v>
      </c>
    </row>
    <row r="181" spans="1:8" x14ac:dyDescent="0.2">
      <c r="A181" s="66">
        <v>43769</v>
      </c>
      <c r="B181" s="65">
        <v>4.9000000000000004</v>
      </c>
      <c r="C181" s="65">
        <v>1.0001898499999999</v>
      </c>
      <c r="D181" s="65" t="s">
        <v>123</v>
      </c>
      <c r="E181" s="65" t="s">
        <v>123</v>
      </c>
      <c r="F181" s="65" t="s">
        <v>123</v>
      </c>
      <c r="G181" s="65" t="s">
        <v>123</v>
      </c>
      <c r="H181" s="65">
        <v>4.9000000000000004</v>
      </c>
    </row>
    <row r="182" spans="1:8" x14ac:dyDescent="0.2">
      <c r="A182" s="66">
        <v>43798</v>
      </c>
      <c r="B182" s="65">
        <v>4.9000000000000004</v>
      </c>
      <c r="C182" s="65">
        <v>1.0001898499999999</v>
      </c>
      <c r="D182" s="65" t="s">
        <v>123</v>
      </c>
      <c r="E182" s="65" t="s">
        <v>123</v>
      </c>
      <c r="F182" s="65" t="s">
        <v>123</v>
      </c>
      <c r="G182" s="65" t="s">
        <v>123</v>
      </c>
      <c r="H182" s="65">
        <v>4.9000000000000004</v>
      </c>
    </row>
    <row r="183" spans="1:8" x14ac:dyDescent="0.2">
      <c r="A183" s="66">
        <v>43830</v>
      </c>
      <c r="B183" s="65">
        <v>4.4000000000000004</v>
      </c>
      <c r="C183" s="65">
        <v>1.0001708899999999</v>
      </c>
      <c r="D183" s="65" t="s">
        <v>123</v>
      </c>
      <c r="E183" s="65" t="s">
        <v>123</v>
      </c>
      <c r="F183" s="65" t="s">
        <v>123</v>
      </c>
      <c r="G183" s="65" t="s">
        <v>123</v>
      </c>
      <c r="H183" s="65">
        <v>4.4000000000000004</v>
      </c>
    </row>
    <row r="184" spans="1:8" x14ac:dyDescent="0.2">
      <c r="A184" s="66">
        <v>43861</v>
      </c>
      <c r="B184" s="65">
        <v>4.4000000000000004</v>
      </c>
      <c r="C184" s="65">
        <v>1.0001708899999999</v>
      </c>
      <c r="D184" s="65" t="s">
        <v>123</v>
      </c>
      <c r="E184" s="65" t="s">
        <v>123</v>
      </c>
      <c r="F184" s="65" t="s">
        <v>123</v>
      </c>
      <c r="G184" s="65" t="s">
        <v>123</v>
      </c>
      <c r="H184" s="65">
        <v>4.4000000000000004</v>
      </c>
    </row>
    <row r="185" spans="1:8" x14ac:dyDescent="0.2">
      <c r="A185" s="66">
        <v>43888</v>
      </c>
      <c r="B185" s="65">
        <v>4.1500000000000004</v>
      </c>
      <c r="C185" s="65">
        <v>1.00016137</v>
      </c>
      <c r="D185" s="65" t="s">
        <v>123</v>
      </c>
      <c r="E185" s="65" t="s">
        <v>123</v>
      </c>
      <c r="F185" s="65" t="s">
        <v>123</v>
      </c>
      <c r="G185" s="65" t="s">
        <v>123</v>
      </c>
      <c r="H185" s="65">
        <v>4.1500000000000004</v>
      </c>
    </row>
    <row r="186" spans="1:8" x14ac:dyDescent="0.2">
      <c r="A186" s="66">
        <v>43921</v>
      </c>
      <c r="B186" s="65">
        <v>3.65</v>
      </c>
      <c r="C186" s="65">
        <v>1.00014227</v>
      </c>
      <c r="D186" s="65" t="s">
        <v>123</v>
      </c>
      <c r="E186" s="65" t="s">
        <v>123</v>
      </c>
      <c r="F186" s="65" t="s">
        <v>123</v>
      </c>
      <c r="G186" s="65" t="s">
        <v>123</v>
      </c>
      <c r="H186" s="65">
        <v>3.65</v>
      </c>
    </row>
    <row r="187" spans="1:8" x14ac:dyDescent="0.2">
      <c r="A187" s="66">
        <v>43951</v>
      </c>
      <c r="B187" s="65">
        <v>3.65</v>
      </c>
      <c r="C187" s="65">
        <v>1.00014227</v>
      </c>
      <c r="D187" s="65" t="s">
        <v>123</v>
      </c>
      <c r="E187" s="65" t="s">
        <v>123</v>
      </c>
      <c r="F187" s="65" t="s">
        <v>123</v>
      </c>
      <c r="G187" s="65" t="s">
        <v>123</v>
      </c>
      <c r="H187" s="65">
        <v>3.65</v>
      </c>
    </row>
    <row r="188" spans="1:8" x14ac:dyDescent="0.2">
      <c r="A188" s="66">
        <v>43980</v>
      </c>
      <c r="B188" s="65">
        <v>2.9</v>
      </c>
      <c r="C188" s="65">
        <v>1.00011345</v>
      </c>
      <c r="D188" s="65" t="s">
        <v>123</v>
      </c>
      <c r="E188" s="65" t="s">
        <v>123</v>
      </c>
      <c r="F188" s="65" t="s">
        <v>123</v>
      </c>
      <c r="G188" s="65" t="s">
        <v>123</v>
      </c>
      <c r="H188" s="65">
        <v>2.9</v>
      </c>
    </row>
    <row r="189" spans="1:8" x14ac:dyDescent="0.2">
      <c r="A189" s="66">
        <v>44012</v>
      </c>
      <c r="B189" s="65">
        <v>2.15</v>
      </c>
      <c r="C189" s="65">
        <v>1.0000844200000001</v>
      </c>
      <c r="D189" s="65" t="s">
        <v>123</v>
      </c>
      <c r="E189" s="65" t="s">
        <v>123</v>
      </c>
      <c r="F189" s="65" t="s">
        <v>123</v>
      </c>
      <c r="G189" s="65" t="s">
        <v>123</v>
      </c>
      <c r="H189" s="65">
        <v>2.15</v>
      </c>
    </row>
    <row r="190" spans="1:8" x14ac:dyDescent="0.2">
      <c r="A190" s="66">
        <v>44043</v>
      </c>
      <c r="B190" s="65">
        <v>2.15</v>
      </c>
      <c r="C190" s="65">
        <v>1.0000844200000001</v>
      </c>
      <c r="D190" s="65" t="s">
        <v>123</v>
      </c>
      <c r="E190" s="65" t="s">
        <v>123</v>
      </c>
      <c r="F190" s="65" t="s">
        <v>123</v>
      </c>
      <c r="G190" s="65" t="s">
        <v>123</v>
      </c>
      <c r="H190" s="65">
        <v>2.15</v>
      </c>
    </row>
    <row r="191" spans="1:8" x14ac:dyDescent="0.2">
      <c r="A191" s="66">
        <v>44074</v>
      </c>
      <c r="B191" s="65">
        <v>1.9</v>
      </c>
      <c r="C191" s="65">
        <v>1.0000746899999999</v>
      </c>
      <c r="D191" s="65" t="s">
        <v>123</v>
      </c>
      <c r="E191" s="65" t="s">
        <v>123</v>
      </c>
      <c r="F191" s="65" t="s">
        <v>123</v>
      </c>
      <c r="G191" s="65" t="s">
        <v>123</v>
      </c>
      <c r="H191" s="65">
        <v>1.9</v>
      </c>
    </row>
    <row r="192" spans="1:8" x14ac:dyDescent="0.2">
      <c r="A192" s="66">
        <v>44104</v>
      </c>
      <c r="B192" s="65">
        <v>1.9</v>
      </c>
      <c r="C192" s="65">
        <v>1.0000746899999999</v>
      </c>
      <c r="D192" s="65" t="s">
        <v>123</v>
      </c>
      <c r="E192" s="65" t="s">
        <v>123</v>
      </c>
      <c r="F192" s="65" t="s">
        <v>123</v>
      </c>
      <c r="G192" s="65" t="s">
        <v>123</v>
      </c>
      <c r="H192" s="65">
        <v>1.9</v>
      </c>
    </row>
    <row r="193" spans="1:8" x14ac:dyDescent="0.2">
      <c r="A193" s="66">
        <v>44133</v>
      </c>
      <c r="B193" s="65">
        <v>1.9</v>
      </c>
      <c r="C193" s="65">
        <v>1.0000746899999999</v>
      </c>
      <c r="D193" s="65" t="s">
        <v>123</v>
      </c>
      <c r="E193" s="65" t="s">
        <v>123</v>
      </c>
      <c r="F193" s="65" t="s">
        <v>123</v>
      </c>
      <c r="G193" s="65" t="s">
        <v>123</v>
      </c>
      <c r="H193" s="65">
        <v>1.9</v>
      </c>
    </row>
    <row r="194" spans="1:8" x14ac:dyDescent="0.2">
      <c r="A194" s="66">
        <v>44165</v>
      </c>
      <c r="B194" s="65">
        <v>1.9</v>
      </c>
      <c r="C194" s="65">
        <v>1.0000746899999999</v>
      </c>
      <c r="D194" s="65" t="s">
        <v>123</v>
      </c>
      <c r="E194" s="65" t="s">
        <v>123</v>
      </c>
      <c r="F194" s="65" t="s">
        <v>123</v>
      </c>
      <c r="G194" s="65" t="s">
        <v>123</v>
      </c>
      <c r="H194" s="65">
        <v>1.9</v>
      </c>
    </row>
    <row r="195" spans="1:8" x14ac:dyDescent="0.2">
      <c r="A195" s="66">
        <v>44196</v>
      </c>
      <c r="B195" s="65">
        <v>1.9</v>
      </c>
      <c r="C195" s="65">
        <v>1.0000746899999999</v>
      </c>
      <c r="D195" s="65" t="s">
        <v>123</v>
      </c>
      <c r="E195" s="65" t="s">
        <v>123</v>
      </c>
      <c r="F195" s="65" t="s">
        <v>123</v>
      </c>
      <c r="G195" s="65" t="s">
        <v>123</v>
      </c>
      <c r="H195" s="65">
        <v>1.9</v>
      </c>
    </row>
    <row r="196" spans="1:8" x14ac:dyDescent="0.2">
      <c r="A196" s="66">
        <v>44225</v>
      </c>
      <c r="B196" s="65">
        <v>1.9</v>
      </c>
      <c r="C196" s="65">
        <v>1.0000746899999999</v>
      </c>
      <c r="D196" s="65" t="s">
        <v>123</v>
      </c>
      <c r="E196" s="65" t="s">
        <v>123</v>
      </c>
      <c r="F196" s="65" t="s">
        <v>123</v>
      </c>
      <c r="G196" s="65" t="s">
        <v>123</v>
      </c>
      <c r="H196" s="65">
        <v>1.9</v>
      </c>
    </row>
    <row r="197" spans="1:8" x14ac:dyDescent="0.2">
      <c r="A197" s="66">
        <v>44253</v>
      </c>
      <c r="B197" s="65">
        <v>1.9</v>
      </c>
      <c r="C197" s="65">
        <v>1.0000746899999999</v>
      </c>
      <c r="D197" s="65" t="s">
        <v>123</v>
      </c>
      <c r="E197" s="65" t="s">
        <v>123</v>
      </c>
      <c r="F197" s="65" t="s">
        <v>123</v>
      </c>
      <c r="G197" s="65" t="s">
        <v>123</v>
      </c>
      <c r="H197" s="65">
        <v>1.9</v>
      </c>
    </row>
    <row r="198" spans="1:8" x14ac:dyDescent="0.2">
      <c r="A198" s="66">
        <v>44286</v>
      </c>
      <c r="B198" s="65">
        <v>2.65</v>
      </c>
      <c r="C198" s="65">
        <v>1.00010379</v>
      </c>
      <c r="D198" s="65" t="s">
        <v>123</v>
      </c>
      <c r="E198" s="65" t="s">
        <v>123</v>
      </c>
      <c r="F198" s="65" t="s">
        <v>123</v>
      </c>
      <c r="G198" s="65" t="s">
        <v>123</v>
      </c>
      <c r="H198" s="65">
        <v>2.65</v>
      </c>
    </row>
    <row r="199" spans="1:8" x14ac:dyDescent="0.2">
      <c r="A199" s="66">
        <v>44316</v>
      </c>
      <c r="B199" s="65">
        <v>2.65</v>
      </c>
      <c r="C199" s="65">
        <v>1.00010379</v>
      </c>
      <c r="D199" s="65" t="s">
        <v>123</v>
      </c>
      <c r="E199" s="65" t="s">
        <v>123</v>
      </c>
      <c r="F199" s="65" t="s">
        <v>123</v>
      </c>
      <c r="G199" s="65" t="s">
        <v>123</v>
      </c>
      <c r="H199" s="65">
        <v>2.65</v>
      </c>
    </row>
    <row r="200" spans="1:8" x14ac:dyDescent="0.2">
      <c r="A200" s="66">
        <v>44347</v>
      </c>
      <c r="B200" s="65">
        <v>3.4</v>
      </c>
      <c r="C200" s="65">
        <v>1.00013269</v>
      </c>
      <c r="D200" s="65" t="s">
        <v>123</v>
      </c>
      <c r="E200" s="65" t="s">
        <v>123</v>
      </c>
      <c r="F200" s="65" t="s">
        <v>123</v>
      </c>
      <c r="G200" s="65" t="s">
        <v>123</v>
      </c>
      <c r="H200" s="65">
        <v>3.4</v>
      </c>
    </row>
    <row r="201" spans="1:8" x14ac:dyDescent="0.2">
      <c r="A201" s="66">
        <v>44377</v>
      </c>
      <c r="B201" s="65">
        <v>4.1500000000000004</v>
      </c>
      <c r="C201" s="65">
        <v>1.00016137</v>
      </c>
      <c r="D201" s="65" t="s">
        <v>123</v>
      </c>
      <c r="E201" s="65" t="s">
        <v>123</v>
      </c>
      <c r="F201" s="65" t="s">
        <v>123</v>
      </c>
      <c r="G201" s="65" t="s">
        <v>123</v>
      </c>
      <c r="H201" s="65">
        <v>4.1500000000000004</v>
      </c>
    </row>
    <row r="202" spans="1:8" x14ac:dyDescent="0.2">
      <c r="A202" s="66">
        <v>44406</v>
      </c>
      <c r="B202" s="65">
        <v>4.1500000000000004</v>
      </c>
      <c r="C202" s="65">
        <v>1.00016137</v>
      </c>
      <c r="D202" s="65" t="s">
        <v>123</v>
      </c>
      <c r="E202" s="65" t="s">
        <v>123</v>
      </c>
      <c r="F202" s="65" t="s">
        <v>123</v>
      </c>
      <c r="G202" s="65" t="s">
        <v>123</v>
      </c>
      <c r="H202" s="65">
        <v>4.1500000000000004</v>
      </c>
    </row>
    <row r="203" spans="1:8" x14ac:dyDescent="0.2">
      <c r="A203" s="66">
        <v>44439</v>
      </c>
      <c r="B203" s="65">
        <v>5.15</v>
      </c>
      <c r="C203" s="65">
        <v>1.0001993</v>
      </c>
      <c r="D203" s="65" t="s">
        <v>123</v>
      </c>
      <c r="E203" s="65" t="s">
        <v>123</v>
      </c>
      <c r="F203" s="65" t="s">
        <v>123</v>
      </c>
      <c r="G203" s="65" t="s">
        <v>123</v>
      </c>
      <c r="H203" s="65">
        <v>5.15</v>
      </c>
    </row>
    <row r="204" spans="1:8" x14ac:dyDescent="0.2">
      <c r="A204" s="66">
        <v>44469</v>
      </c>
      <c r="B204" s="65">
        <v>6.15</v>
      </c>
      <c r="C204" s="65">
        <v>1.0002368699999999</v>
      </c>
      <c r="D204" s="65" t="s">
        <v>123</v>
      </c>
      <c r="E204" s="65" t="s">
        <v>123</v>
      </c>
      <c r="F204" s="65" t="s">
        <v>123</v>
      </c>
      <c r="G204" s="65" t="s">
        <v>123</v>
      </c>
      <c r="H204" s="65">
        <v>6.15</v>
      </c>
    </row>
    <row r="205" spans="1:8" x14ac:dyDescent="0.2">
      <c r="A205" s="66">
        <v>44498</v>
      </c>
      <c r="B205" s="65">
        <v>7.65</v>
      </c>
      <c r="C205" s="65">
        <v>1.0002925600000001</v>
      </c>
      <c r="D205" s="65" t="s">
        <v>123</v>
      </c>
      <c r="E205" s="65" t="s">
        <v>123</v>
      </c>
      <c r="F205" s="65" t="s">
        <v>123</v>
      </c>
      <c r="G205" s="65" t="s">
        <v>123</v>
      </c>
      <c r="H205" s="65">
        <v>7.65</v>
      </c>
    </row>
    <row r="206" spans="1:8" x14ac:dyDescent="0.2">
      <c r="A206" s="66">
        <v>44530</v>
      </c>
      <c r="B206" s="65">
        <v>7.65</v>
      </c>
      <c r="C206" s="65">
        <v>1.0002925600000001</v>
      </c>
      <c r="D206" s="65" t="s">
        <v>123</v>
      </c>
      <c r="E206" s="65" t="s">
        <v>123</v>
      </c>
      <c r="F206" s="65" t="s">
        <v>123</v>
      </c>
      <c r="G206" s="65" t="s">
        <v>123</v>
      </c>
      <c r="H206" s="65">
        <v>7.65</v>
      </c>
    </row>
    <row r="207" spans="1:8" x14ac:dyDescent="0.2">
      <c r="A207" s="66">
        <v>44561</v>
      </c>
      <c r="B207" s="65">
        <v>9.15</v>
      </c>
      <c r="C207" s="65">
        <v>1.00034749</v>
      </c>
      <c r="D207" s="65" t="s">
        <v>123</v>
      </c>
      <c r="E207" s="65" t="s">
        <v>123</v>
      </c>
      <c r="F207" s="65" t="s">
        <v>123</v>
      </c>
      <c r="G207" s="65" t="s">
        <v>123</v>
      </c>
      <c r="H207" s="65">
        <v>9.15</v>
      </c>
    </row>
    <row r="208" spans="1:8" x14ac:dyDescent="0.2">
      <c r="A208" s="66">
        <v>44592</v>
      </c>
      <c r="B208" s="65">
        <v>9.15</v>
      </c>
      <c r="C208" s="65">
        <v>1.00034749</v>
      </c>
      <c r="D208" s="65" t="s">
        <v>123</v>
      </c>
      <c r="E208" s="65" t="s">
        <v>123</v>
      </c>
      <c r="F208" s="65" t="s">
        <v>123</v>
      </c>
      <c r="G208" s="65" t="s">
        <v>123</v>
      </c>
      <c r="H208" s="65">
        <v>9.15</v>
      </c>
    </row>
    <row r="209" spans="1:2" x14ac:dyDescent="0.2">
      <c r="A209" s="66">
        <v>44620</v>
      </c>
      <c r="B209">
        <v>10.65</v>
      </c>
    </row>
    <row r="210" spans="1:2" x14ac:dyDescent="0.2">
      <c r="A210" s="66">
        <v>44651</v>
      </c>
      <c r="B210">
        <v>11.65</v>
      </c>
    </row>
    <row r="211" spans="1:2" x14ac:dyDescent="0.2">
      <c r="A211" s="66">
        <v>44681</v>
      </c>
      <c r="B211">
        <v>11.65</v>
      </c>
    </row>
    <row r="212" spans="1:2" x14ac:dyDescent="0.2">
      <c r="A212" s="66">
        <v>44712</v>
      </c>
      <c r="B212">
        <v>12.65</v>
      </c>
    </row>
    <row r="213" spans="1:2" x14ac:dyDescent="0.2">
      <c r="A213" s="66">
        <v>44742</v>
      </c>
      <c r="B213">
        <v>13.15</v>
      </c>
    </row>
    <row r="214" spans="1:2" x14ac:dyDescent="0.2">
      <c r="A214" s="66">
        <v>44773</v>
      </c>
      <c r="B214">
        <v>13.15</v>
      </c>
    </row>
    <row r="215" spans="1:2" x14ac:dyDescent="0.2">
      <c r="A215" s="66">
        <v>44804</v>
      </c>
      <c r="B215">
        <v>13.65</v>
      </c>
    </row>
    <row r="216" spans="1:2" x14ac:dyDescent="0.2">
      <c r="A216" s="66">
        <v>44834</v>
      </c>
      <c r="B216">
        <v>13.65</v>
      </c>
    </row>
    <row r="217" spans="1:2" x14ac:dyDescent="0.2">
      <c r="A217" s="66">
        <v>44865</v>
      </c>
      <c r="B217">
        <v>13.65</v>
      </c>
    </row>
    <row r="218" spans="1:2" x14ac:dyDescent="0.2">
      <c r="A218" s="66">
        <v>44895</v>
      </c>
      <c r="B218">
        <v>13.65</v>
      </c>
    </row>
    <row r="219" spans="1:2" x14ac:dyDescent="0.2">
      <c r="A219" s="66">
        <v>44926</v>
      </c>
      <c r="B219">
        <v>13.654</v>
      </c>
    </row>
    <row r="220" spans="1:2" x14ac:dyDescent="0.2">
      <c r="A220" s="66">
        <v>44957</v>
      </c>
      <c r="B220">
        <v>13.646000000000001</v>
      </c>
    </row>
    <row r="221" spans="1:2" x14ac:dyDescent="0.2">
      <c r="A221" s="66">
        <v>44985</v>
      </c>
      <c r="B221">
        <v>13.654</v>
      </c>
    </row>
    <row r="222" spans="1:2" x14ac:dyDescent="0.2">
      <c r="B222"/>
    </row>
    <row r="223" spans="1:2" x14ac:dyDescent="0.2">
      <c r="B223"/>
    </row>
    <row r="224" spans="1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</sheetData>
  <mergeCells count="1">
    <mergeCell ref="A2:H2"/>
  </mergeCells>
  <hyperlinks>
    <hyperlink ref="B1" r:id="rId1" xr:uid="{8A2C7816-ED72-462D-992C-46D45055436B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B790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26" width="8.6640625" customWidth="1"/>
  </cols>
  <sheetData>
    <row r="1" spans="1:2" x14ac:dyDescent="0.2">
      <c r="A1" s="25" t="s">
        <v>523</v>
      </c>
      <c r="B1" s="25" t="s">
        <v>569</v>
      </c>
    </row>
    <row r="2" spans="1:2" ht="15.75" customHeight="1" x14ac:dyDescent="0.2">
      <c r="A2" s="18">
        <v>41275</v>
      </c>
      <c r="B2">
        <f>'24. CDI'!B100/100</f>
        <v>6.9500000000000006E-2</v>
      </c>
    </row>
    <row r="3" spans="1:2" ht="15.75" customHeight="1" x14ac:dyDescent="0.2">
      <c r="A3" s="18">
        <v>41306</v>
      </c>
      <c r="B3">
        <f>'24. CDI'!B101/100</f>
        <v>6.9800000000000001E-2</v>
      </c>
    </row>
    <row r="4" spans="1:2" ht="15.75" customHeight="1" x14ac:dyDescent="0.2">
      <c r="A4" s="18">
        <v>41334</v>
      </c>
      <c r="B4">
        <f>'24. CDI'!B102/100</f>
        <v>7.0099999999999996E-2</v>
      </c>
    </row>
    <row r="5" spans="1:2" ht="15.75" customHeight="1" x14ac:dyDescent="0.2">
      <c r="A5" s="18">
        <v>41365</v>
      </c>
      <c r="B5">
        <f>'24. CDI'!B103/100</f>
        <v>7.2300000000000003E-2</v>
      </c>
    </row>
    <row r="6" spans="1:2" ht="15.75" customHeight="1" x14ac:dyDescent="0.2">
      <c r="A6" s="18">
        <v>41395</v>
      </c>
      <c r="B6">
        <f>'24. CDI'!B104/100</f>
        <v>7.7199999999999991E-2</v>
      </c>
    </row>
    <row r="7" spans="1:2" ht="15.75" customHeight="1" x14ac:dyDescent="0.2">
      <c r="A7" s="18">
        <v>41426</v>
      </c>
      <c r="B7">
        <f>'24. CDI'!B105/100</f>
        <v>7.7199999999999991E-2</v>
      </c>
    </row>
    <row r="8" spans="1:2" ht="15.75" customHeight="1" x14ac:dyDescent="0.2">
      <c r="A8" s="18">
        <v>41456</v>
      </c>
      <c r="B8">
        <f>'24. CDI'!B106/100</f>
        <v>8.2200000000000009E-2</v>
      </c>
    </row>
    <row r="9" spans="1:2" ht="15.75" customHeight="1" x14ac:dyDescent="0.2">
      <c r="A9" s="18">
        <v>41487</v>
      </c>
      <c r="B9">
        <f>'24. CDI'!B107/100</f>
        <v>8.72E-2</v>
      </c>
    </row>
    <row r="10" spans="1:2" ht="15.75" customHeight="1" x14ac:dyDescent="0.2">
      <c r="A10" s="18">
        <v>41518</v>
      </c>
      <c r="B10">
        <f>'24. CDI'!B108/100</f>
        <v>8.7100000000000011E-2</v>
      </c>
    </row>
    <row r="11" spans="1:2" ht="15.75" customHeight="1" x14ac:dyDescent="0.2">
      <c r="A11" s="18">
        <v>41548</v>
      </c>
      <c r="B11">
        <f>'24. CDI'!B109/100</f>
        <v>9.3200000000000005E-2</v>
      </c>
    </row>
    <row r="12" spans="1:2" ht="15.75" customHeight="1" x14ac:dyDescent="0.2">
      <c r="A12" s="18">
        <v>41579</v>
      </c>
      <c r="B12">
        <f>'24. CDI'!B110/100</f>
        <v>9.7699999999999995E-2</v>
      </c>
    </row>
    <row r="13" spans="1:2" ht="15.75" customHeight="1" x14ac:dyDescent="0.2">
      <c r="A13" s="18">
        <v>41609</v>
      </c>
      <c r="B13">
        <f>'24. CDI'!B111/100</f>
        <v>9.7699999999999995E-2</v>
      </c>
    </row>
    <row r="14" spans="1:2" ht="15.75" customHeight="1" x14ac:dyDescent="0.2">
      <c r="A14" s="18">
        <v>41640</v>
      </c>
      <c r="B14">
        <f>'24. CDI'!B112/100</f>
        <v>0.1027</v>
      </c>
    </row>
    <row r="15" spans="1:2" ht="15.75" customHeight="1" x14ac:dyDescent="0.2">
      <c r="A15" s="18">
        <v>41671</v>
      </c>
      <c r="B15">
        <f>'24. CDI'!B113/100</f>
        <v>0.10589999999999999</v>
      </c>
    </row>
    <row r="16" spans="1:2" ht="15.75" customHeight="1" x14ac:dyDescent="0.2">
      <c r="A16" s="18">
        <v>41699</v>
      </c>
      <c r="B16">
        <f>'24. CDI'!B114/100</f>
        <v>0.10550000000000001</v>
      </c>
    </row>
    <row r="17" spans="1:2" ht="15.75" customHeight="1" x14ac:dyDescent="0.2">
      <c r="A17" s="18">
        <v>41730</v>
      </c>
      <c r="B17">
        <f>'24. CDI'!B115/100</f>
        <v>0.10800000000000001</v>
      </c>
    </row>
    <row r="18" spans="1:2" ht="15.75" customHeight="1" x14ac:dyDescent="0.2">
      <c r="A18" s="18">
        <v>41760</v>
      </c>
      <c r="B18">
        <f>'24. CDI'!B116/100</f>
        <v>0.10800000000000001</v>
      </c>
    </row>
    <row r="19" spans="1:2" ht="15.75" customHeight="1" x14ac:dyDescent="0.2">
      <c r="A19" s="18">
        <v>41791</v>
      </c>
      <c r="B19">
        <f>'24. CDI'!B117/100</f>
        <v>0.10800000000000001</v>
      </c>
    </row>
    <row r="20" spans="1:2" ht="15.75" customHeight="1" x14ac:dyDescent="0.2">
      <c r="A20" s="18">
        <v>41821</v>
      </c>
      <c r="B20">
        <f>'24. CDI'!B118/100</f>
        <v>0.10800000000000001</v>
      </c>
    </row>
    <row r="21" spans="1:2" ht="15.75" customHeight="1" x14ac:dyDescent="0.2">
      <c r="A21" s="18">
        <v>41852</v>
      </c>
      <c r="B21">
        <f>'24. CDI'!B119/100</f>
        <v>0.1081</v>
      </c>
    </row>
    <row r="22" spans="1:2" ht="15.75" customHeight="1" x14ac:dyDescent="0.2">
      <c r="A22" s="18">
        <v>41883</v>
      </c>
      <c r="B22">
        <f>'24. CDI'!B120/100</f>
        <v>0.1081</v>
      </c>
    </row>
    <row r="23" spans="1:2" ht="15.75" customHeight="1" x14ac:dyDescent="0.2">
      <c r="A23" s="18">
        <v>41913</v>
      </c>
      <c r="B23">
        <f>'24. CDI'!B121/100</f>
        <v>0.1106</v>
      </c>
    </row>
    <row r="24" spans="1:2" ht="15.75" customHeight="1" x14ac:dyDescent="0.2">
      <c r="A24" s="18">
        <v>41944</v>
      </c>
      <c r="B24">
        <f>'24. CDI'!B122/100</f>
        <v>0.1106</v>
      </c>
    </row>
    <row r="25" spans="1:2" ht="15.75" customHeight="1" x14ac:dyDescent="0.2">
      <c r="A25" s="18">
        <v>41974</v>
      </c>
      <c r="B25">
        <f>'24. CDI'!B123/100</f>
        <v>0.1157</v>
      </c>
    </row>
    <row r="26" spans="1:2" ht="15.75" customHeight="1" x14ac:dyDescent="0.2">
      <c r="A26" s="18">
        <v>42005</v>
      </c>
      <c r="B26">
        <f>'24. CDI'!B124/100</f>
        <v>0.1208</v>
      </c>
    </row>
    <row r="27" spans="1:2" ht="15.75" customHeight="1" x14ac:dyDescent="0.2">
      <c r="A27" s="18">
        <v>42036</v>
      </c>
      <c r="B27">
        <f>'24. CDI'!B125/100</f>
        <v>0.12089999999999999</v>
      </c>
    </row>
    <row r="28" spans="1:2" ht="15.75" customHeight="1" x14ac:dyDescent="0.2">
      <c r="A28" s="18">
        <v>42064</v>
      </c>
      <c r="B28">
        <f>'24. CDI'!B126/100</f>
        <v>0.126</v>
      </c>
    </row>
    <row r="29" spans="1:2" ht="15.75" customHeight="1" x14ac:dyDescent="0.2">
      <c r="A29" s="18">
        <v>42095</v>
      </c>
      <c r="B29">
        <f>'24. CDI'!B127/100</f>
        <v>0.13109999999999999</v>
      </c>
    </row>
    <row r="30" spans="1:2" ht="15.75" customHeight="1" x14ac:dyDescent="0.2">
      <c r="A30" s="18">
        <v>42125</v>
      </c>
      <c r="B30">
        <f>'24. CDI'!B128/100</f>
        <v>0.1313</v>
      </c>
    </row>
    <row r="31" spans="1:2" ht="15.75" customHeight="1" x14ac:dyDescent="0.2">
      <c r="A31" s="18">
        <v>42156</v>
      </c>
      <c r="B31">
        <f>'24. CDI'!B129/100</f>
        <v>0.13639999999999999</v>
      </c>
    </row>
    <row r="32" spans="1:2" ht="15.75" customHeight="1" x14ac:dyDescent="0.2">
      <c r="A32" s="18">
        <v>42186</v>
      </c>
      <c r="B32">
        <f>'24. CDI'!B130/100</f>
        <v>0.14130000000000001</v>
      </c>
    </row>
    <row r="33" spans="1:2" ht="15.75" customHeight="1" x14ac:dyDescent="0.2">
      <c r="A33" s="18">
        <v>42217</v>
      </c>
      <c r="B33">
        <f>'24. CDI'!B131/100</f>
        <v>0.14130000000000001</v>
      </c>
    </row>
    <row r="34" spans="1:2" ht="15.75" customHeight="1" x14ac:dyDescent="0.2">
      <c r="A34" s="18">
        <v>42248</v>
      </c>
      <c r="B34">
        <f>'24. CDI'!B132/100</f>
        <v>0.14130000000000001</v>
      </c>
    </row>
    <row r="35" spans="1:2" ht="15.75" customHeight="1" x14ac:dyDescent="0.2">
      <c r="A35" s="18">
        <v>42278</v>
      </c>
      <c r="B35">
        <f>'24. CDI'!B133/100</f>
        <v>0.1414</v>
      </c>
    </row>
    <row r="36" spans="1:2" ht="15.75" customHeight="1" x14ac:dyDescent="0.2">
      <c r="A36" s="18">
        <v>42309</v>
      </c>
      <c r="B36">
        <f>'24. CDI'!B134/100</f>
        <v>0.1414</v>
      </c>
    </row>
    <row r="37" spans="1:2" ht="15.75" customHeight="1" x14ac:dyDescent="0.2">
      <c r="A37" s="18">
        <v>42339</v>
      </c>
      <c r="B37">
        <f>'24. CDI'!B135/100</f>
        <v>0.1414</v>
      </c>
    </row>
    <row r="38" spans="1:2" ht="15.75" customHeight="1" x14ac:dyDescent="0.2">
      <c r="A38" s="18">
        <v>42370</v>
      </c>
      <c r="B38">
        <f>'24. CDI'!B136/100</f>
        <v>0.14130000000000001</v>
      </c>
    </row>
    <row r="39" spans="1:2" ht="15.75" customHeight="1" x14ac:dyDescent="0.2">
      <c r="A39" s="18">
        <v>42401</v>
      </c>
      <c r="B39">
        <f>'24. CDI'!B137/100</f>
        <v>0.14130000000000001</v>
      </c>
    </row>
    <row r="40" spans="1:2" ht="15.75" customHeight="1" x14ac:dyDescent="0.2">
      <c r="A40" s="18">
        <v>42430</v>
      </c>
      <c r="B40">
        <f>'24. CDI'!B138/100</f>
        <v>0.14130000000000001</v>
      </c>
    </row>
    <row r="41" spans="1:2" ht="15.75" customHeight="1" x14ac:dyDescent="0.2">
      <c r="A41" s="18">
        <v>42461</v>
      </c>
      <c r="B41">
        <f>'24. CDI'!B139/100</f>
        <v>0.14130000000000001</v>
      </c>
    </row>
    <row r="42" spans="1:2" ht="15.75" customHeight="1" x14ac:dyDescent="0.2">
      <c r="A42" s="18">
        <v>42491</v>
      </c>
      <c r="B42">
        <f>'24. CDI'!B140/100</f>
        <v>0.14130000000000001</v>
      </c>
    </row>
    <row r="43" spans="1:2" ht="15.75" customHeight="1" x14ac:dyDescent="0.2">
      <c r="A43" s="18">
        <v>42522</v>
      </c>
      <c r="B43">
        <f>'24. CDI'!B141/100</f>
        <v>0.14130000000000001</v>
      </c>
    </row>
    <row r="44" spans="1:2" ht="15.75" customHeight="1" x14ac:dyDescent="0.2">
      <c r="A44" s="18">
        <v>42552</v>
      </c>
      <c r="B44">
        <f>'24. CDI'!B142/100</f>
        <v>0.14130000000000001</v>
      </c>
    </row>
    <row r="45" spans="1:2" ht="15.75" customHeight="1" x14ac:dyDescent="0.2">
      <c r="A45" s="18">
        <v>42583</v>
      </c>
      <c r="B45">
        <f>'24. CDI'!B143/100</f>
        <v>0.14130000000000001</v>
      </c>
    </row>
    <row r="46" spans="1:2" ht="15.75" customHeight="1" x14ac:dyDescent="0.2">
      <c r="A46" s="18">
        <v>42614</v>
      </c>
      <c r="B46">
        <f>'24. CDI'!B144/100</f>
        <v>0.14130000000000001</v>
      </c>
    </row>
    <row r="47" spans="1:2" ht="15.75" customHeight="1" x14ac:dyDescent="0.2">
      <c r="A47" s="18">
        <v>42644</v>
      </c>
      <c r="B47">
        <f>'24. CDI'!B145/100</f>
        <v>0.13880000000000001</v>
      </c>
    </row>
    <row r="48" spans="1:2" ht="15.75" customHeight="1" x14ac:dyDescent="0.2">
      <c r="A48" s="18">
        <v>42675</v>
      </c>
      <c r="B48">
        <f>'24. CDI'!B146/100</f>
        <v>0.13880000000000001</v>
      </c>
    </row>
    <row r="49" spans="1:2" ht="15.75" customHeight="1" x14ac:dyDescent="0.2">
      <c r="A49" s="18">
        <v>42705</v>
      </c>
      <c r="B49">
        <f>'24. CDI'!B147/100</f>
        <v>0.1363</v>
      </c>
    </row>
    <row r="50" spans="1:2" ht="15.75" customHeight="1" x14ac:dyDescent="0.2">
      <c r="A50" s="18">
        <v>42736</v>
      </c>
      <c r="B50">
        <f>'24. CDI'!B148/100</f>
        <v>0.1288</v>
      </c>
    </row>
    <row r="51" spans="1:2" ht="15.75" customHeight="1" x14ac:dyDescent="0.2">
      <c r="A51" s="18">
        <v>42767</v>
      </c>
      <c r="B51">
        <f>'24. CDI'!B149/100</f>
        <v>0.12130000000000001</v>
      </c>
    </row>
    <row r="52" spans="1:2" ht="15.75" customHeight="1" x14ac:dyDescent="0.2">
      <c r="A52" s="18">
        <v>42795</v>
      </c>
      <c r="B52">
        <f>'24. CDI'!B150/100</f>
        <v>0.12130000000000001</v>
      </c>
    </row>
    <row r="53" spans="1:2" ht="15.75" customHeight="1" x14ac:dyDescent="0.2">
      <c r="A53" s="18">
        <v>42826</v>
      </c>
      <c r="B53">
        <f>'24. CDI'!B151/100</f>
        <v>0.11130000000000001</v>
      </c>
    </row>
    <row r="54" spans="1:2" ht="15.75" customHeight="1" x14ac:dyDescent="0.2">
      <c r="A54" s="18">
        <v>42856</v>
      </c>
      <c r="B54">
        <f>'24. CDI'!B152/100</f>
        <v>0.11130000000000001</v>
      </c>
    </row>
    <row r="55" spans="1:2" ht="15.75" customHeight="1" x14ac:dyDescent="0.2">
      <c r="A55" s="18">
        <v>42887</v>
      </c>
      <c r="B55">
        <f>'24. CDI'!B153/100</f>
        <v>0.1014</v>
      </c>
    </row>
    <row r="56" spans="1:2" ht="15.75" customHeight="1" x14ac:dyDescent="0.2">
      <c r="A56" s="18">
        <v>42917</v>
      </c>
      <c r="B56">
        <f>'24. CDI'!B154/100</f>
        <v>9.1400000000000009E-2</v>
      </c>
    </row>
    <row r="57" spans="1:2" ht="15.75" customHeight="1" x14ac:dyDescent="0.2">
      <c r="A57" s="18">
        <v>42948</v>
      </c>
      <c r="B57">
        <f>'24. CDI'!B155/100</f>
        <v>9.1400000000000009E-2</v>
      </c>
    </row>
    <row r="58" spans="1:2" ht="15.75" customHeight="1" x14ac:dyDescent="0.2">
      <c r="A58" s="18">
        <v>42979</v>
      </c>
      <c r="B58">
        <f>'24. CDI'!B156/100</f>
        <v>8.14E-2</v>
      </c>
    </row>
    <row r="59" spans="1:2" ht="15.75" customHeight="1" x14ac:dyDescent="0.2">
      <c r="A59" s="18">
        <v>43009</v>
      </c>
      <c r="B59">
        <f>'24. CDI'!B157/100</f>
        <v>7.3899999999999993E-2</v>
      </c>
    </row>
    <row r="60" spans="1:2" ht="15.75" customHeight="1" x14ac:dyDescent="0.2">
      <c r="A60" s="18">
        <v>43040</v>
      </c>
      <c r="B60">
        <f>'24. CDI'!B158/100</f>
        <v>7.3899999999999993E-2</v>
      </c>
    </row>
    <row r="61" spans="1:2" ht="15.75" customHeight="1" x14ac:dyDescent="0.2">
      <c r="A61" s="18">
        <v>43070</v>
      </c>
      <c r="B61">
        <f>'24. CDI'!B159/100</f>
        <v>6.8900000000000003E-2</v>
      </c>
    </row>
    <row r="62" spans="1:2" ht="15.75" customHeight="1" x14ac:dyDescent="0.2">
      <c r="A62" s="18">
        <v>43101</v>
      </c>
      <c r="B62">
        <f>'24. CDI'!B160/100</f>
        <v>6.8900000000000003E-2</v>
      </c>
    </row>
    <row r="63" spans="1:2" ht="15.75" customHeight="1" x14ac:dyDescent="0.2">
      <c r="A63" s="18">
        <v>43132</v>
      </c>
      <c r="B63">
        <f>'24. CDI'!B161/100</f>
        <v>6.6400000000000001E-2</v>
      </c>
    </row>
    <row r="64" spans="1:2" ht="15.75" customHeight="1" x14ac:dyDescent="0.2">
      <c r="A64" s="18">
        <v>43160</v>
      </c>
      <c r="B64">
        <f>'24. CDI'!B162/100</f>
        <v>6.3899999999999998E-2</v>
      </c>
    </row>
    <row r="65" spans="1:2" ht="15.75" customHeight="1" x14ac:dyDescent="0.2">
      <c r="A65" s="18">
        <v>43191</v>
      </c>
      <c r="B65">
        <f>'24. CDI'!B163/100</f>
        <v>6.3899999999999998E-2</v>
      </c>
    </row>
    <row r="66" spans="1:2" ht="15.75" customHeight="1" x14ac:dyDescent="0.2">
      <c r="A66" s="18">
        <v>43221</v>
      </c>
      <c r="B66">
        <f>'24. CDI'!B164/100</f>
        <v>6.3899999999999998E-2</v>
      </c>
    </row>
    <row r="67" spans="1:2" ht="15.75" customHeight="1" x14ac:dyDescent="0.2">
      <c r="A67" s="18">
        <v>43252</v>
      </c>
      <c r="B67">
        <f>'24. CDI'!B165/100</f>
        <v>6.3899999999999998E-2</v>
      </c>
    </row>
    <row r="68" spans="1:2" ht="15.75" customHeight="1" x14ac:dyDescent="0.2">
      <c r="A68" s="18">
        <v>43282</v>
      </c>
      <c r="B68">
        <f>'24. CDI'!B166/100</f>
        <v>6.3899999999999998E-2</v>
      </c>
    </row>
    <row r="69" spans="1:2" ht="15.75" customHeight="1" x14ac:dyDescent="0.2">
      <c r="A69" s="18">
        <v>43313</v>
      </c>
      <c r="B69">
        <f>'24. CDI'!B167/100</f>
        <v>6.3899999999999998E-2</v>
      </c>
    </row>
    <row r="70" spans="1:2" ht="15.75" customHeight="1" x14ac:dyDescent="0.2">
      <c r="A70" s="18">
        <v>43344</v>
      </c>
      <c r="B70">
        <f>'24. CDI'!B168/100</f>
        <v>6.3899999999999998E-2</v>
      </c>
    </row>
    <row r="71" spans="1:2" ht="15.75" customHeight="1" x14ac:dyDescent="0.2">
      <c r="A71" s="18">
        <v>43374</v>
      </c>
      <c r="B71">
        <f>'24. CDI'!B169/100</f>
        <v>6.4000000000000001E-2</v>
      </c>
    </row>
    <row r="72" spans="1:2" ht="15.75" customHeight="1" x14ac:dyDescent="0.2">
      <c r="A72" s="18">
        <v>43405</v>
      </c>
      <c r="B72">
        <f>'24. CDI'!B170/100</f>
        <v>6.4000000000000001E-2</v>
      </c>
    </row>
    <row r="73" spans="1:2" ht="15.75" customHeight="1" x14ac:dyDescent="0.2">
      <c r="A73" s="18">
        <v>43435</v>
      </c>
      <c r="B73">
        <f>'24. CDI'!B171/100</f>
        <v>6.4000000000000001E-2</v>
      </c>
    </row>
    <row r="74" spans="1:2" ht="15.75" customHeight="1" x14ac:dyDescent="0.2">
      <c r="A74" s="18">
        <v>43466</v>
      </c>
      <c r="B74">
        <f>'24. CDI'!B172/100</f>
        <v>6.4000000000000001E-2</v>
      </c>
    </row>
    <row r="75" spans="1:2" ht="15.75" customHeight="1" x14ac:dyDescent="0.2">
      <c r="A75" s="18">
        <v>43497</v>
      </c>
      <c r="B75">
        <f>'24. CDI'!B173/100</f>
        <v>6.4000000000000001E-2</v>
      </c>
    </row>
    <row r="76" spans="1:2" ht="15.75" customHeight="1" x14ac:dyDescent="0.2">
      <c r="A76" s="18">
        <v>43525</v>
      </c>
      <c r="B76">
        <f>'24. CDI'!B174/100</f>
        <v>6.4000000000000001E-2</v>
      </c>
    </row>
    <row r="77" spans="1:2" ht="15.75" customHeight="1" x14ac:dyDescent="0.2">
      <c r="A77" s="18">
        <v>43556</v>
      </c>
      <c r="B77">
        <f>'24. CDI'!B175/100</f>
        <v>6.4000000000000001E-2</v>
      </c>
    </row>
    <row r="78" spans="1:2" ht="15.75" customHeight="1" x14ac:dyDescent="0.2">
      <c r="A78" s="18">
        <v>43586</v>
      </c>
      <c r="B78">
        <f>'24. CDI'!B176/100</f>
        <v>6.4000000000000001E-2</v>
      </c>
    </row>
    <row r="79" spans="1:2" ht="15.75" customHeight="1" x14ac:dyDescent="0.2">
      <c r="A79" s="18">
        <v>43617</v>
      </c>
      <c r="B79">
        <f>'24. CDI'!B177/100</f>
        <v>6.4000000000000001E-2</v>
      </c>
    </row>
    <row r="80" spans="1:2" ht="15.75" customHeight="1" x14ac:dyDescent="0.2">
      <c r="A80" s="18">
        <v>43647</v>
      </c>
      <c r="B80">
        <f>'24. CDI'!B178/100</f>
        <v>6.4000000000000001E-2</v>
      </c>
    </row>
    <row r="81" spans="1:2" ht="15.75" customHeight="1" x14ac:dyDescent="0.2">
      <c r="A81" s="18">
        <v>43678</v>
      </c>
      <c r="B81">
        <f>'24. CDI'!B179/100</f>
        <v>5.9000000000000004E-2</v>
      </c>
    </row>
    <row r="82" spans="1:2" ht="15.75" customHeight="1" x14ac:dyDescent="0.2">
      <c r="A82" s="18">
        <v>43709</v>
      </c>
      <c r="B82">
        <f>'24. CDI'!B180/100</f>
        <v>5.4000000000000006E-2</v>
      </c>
    </row>
    <row r="83" spans="1:2" ht="15.75" customHeight="1" x14ac:dyDescent="0.2">
      <c r="A83" s="18">
        <v>43739</v>
      </c>
      <c r="B83">
        <f>'24. CDI'!B181/100</f>
        <v>4.9000000000000002E-2</v>
      </c>
    </row>
    <row r="84" spans="1:2" ht="15.75" customHeight="1" x14ac:dyDescent="0.2">
      <c r="A84" s="18">
        <v>43770</v>
      </c>
      <c r="B84">
        <f>'24. CDI'!B182/100</f>
        <v>4.9000000000000002E-2</v>
      </c>
    </row>
    <row r="85" spans="1:2" ht="15.75" customHeight="1" x14ac:dyDescent="0.2">
      <c r="A85" s="18">
        <v>43800</v>
      </c>
      <c r="B85">
        <f>'24. CDI'!B183/100</f>
        <v>4.4000000000000004E-2</v>
      </c>
    </row>
    <row r="86" spans="1:2" ht="15.75" customHeight="1" x14ac:dyDescent="0.2">
      <c r="A86" s="18">
        <v>43831</v>
      </c>
      <c r="B86">
        <f>'24. CDI'!B184/100</f>
        <v>4.4000000000000004E-2</v>
      </c>
    </row>
    <row r="87" spans="1:2" ht="15.75" customHeight="1" x14ac:dyDescent="0.2">
      <c r="A87" s="18">
        <v>43862</v>
      </c>
      <c r="B87">
        <f>'24. CDI'!B185/100</f>
        <v>4.1500000000000002E-2</v>
      </c>
    </row>
    <row r="88" spans="1:2" ht="15.75" customHeight="1" x14ac:dyDescent="0.2">
      <c r="A88" s="18">
        <v>43891</v>
      </c>
      <c r="B88">
        <f>'24. CDI'!B186/100</f>
        <v>3.6499999999999998E-2</v>
      </c>
    </row>
    <row r="89" spans="1:2" ht="15.75" customHeight="1" x14ac:dyDescent="0.2">
      <c r="A89" s="18">
        <v>43922</v>
      </c>
      <c r="B89">
        <f>'24. CDI'!B187/100</f>
        <v>3.6499999999999998E-2</v>
      </c>
    </row>
    <row r="90" spans="1:2" ht="15.75" customHeight="1" x14ac:dyDescent="0.2">
      <c r="A90" s="18">
        <v>43952</v>
      </c>
      <c r="B90">
        <f>'24. CDI'!B188/100</f>
        <v>2.8999999999999998E-2</v>
      </c>
    </row>
    <row r="91" spans="1:2" ht="15.75" customHeight="1" x14ac:dyDescent="0.2">
      <c r="A91" s="18">
        <v>43983</v>
      </c>
      <c r="B91">
        <f>'24. CDI'!B189/100</f>
        <v>2.1499999999999998E-2</v>
      </c>
    </row>
    <row r="92" spans="1:2" ht="15.75" customHeight="1" x14ac:dyDescent="0.2">
      <c r="A92" s="18">
        <v>44013</v>
      </c>
      <c r="B92">
        <f>'24. CDI'!B190/100</f>
        <v>2.1499999999999998E-2</v>
      </c>
    </row>
    <row r="93" spans="1:2" ht="15.75" customHeight="1" x14ac:dyDescent="0.2">
      <c r="A93" s="18">
        <v>44044</v>
      </c>
      <c r="B93">
        <f>'24. CDI'!B191/100</f>
        <v>1.9E-2</v>
      </c>
    </row>
    <row r="94" spans="1:2" ht="15.75" customHeight="1" x14ac:dyDescent="0.2">
      <c r="A94" s="18">
        <v>44075</v>
      </c>
      <c r="B94">
        <f>'24. CDI'!B192/100</f>
        <v>1.9E-2</v>
      </c>
    </row>
    <row r="95" spans="1:2" ht="15.75" customHeight="1" x14ac:dyDescent="0.2">
      <c r="A95" s="18">
        <v>44105</v>
      </c>
      <c r="B95">
        <f>'24. CDI'!B193/100</f>
        <v>1.9E-2</v>
      </c>
    </row>
    <row r="96" spans="1:2" ht="15.75" customHeight="1" x14ac:dyDescent="0.2">
      <c r="A96" s="18">
        <v>44136</v>
      </c>
      <c r="B96">
        <f>'24. CDI'!B194/100</f>
        <v>1.9E-2</v>
      </c>
    </row>
    <row r="97" spans="1:2" ht="15.75" customHeight="1" x14ac:dyDescent="0.2">
      <c r="A97" s="18">
        <v>44166</v>
      </c>
      <c r="B97">
        <f>'24. CDI'!B195/100</f>
        <v>1.9E-2</v>
      </c>
    </row>
    <row r="98" spans="1:2" ht="15.75" customHeight="1" x14ac:dyDescent="0.2">
      <c r="A98" s="18">
        <v>44197</v>
      </c>
      <c r="B98">
        <f>'24. CDI'!B196/100</f>
        <v>1.9E-2</v>
      </c>
    </row>
    <row r="99" spans="1:2" ht="15.75" customHeight="1" x14ac:dyDescent="0.2">
      <c r="A99" s="18">
        <v>44228</v>
      </c>
      <c r="B99">
        <f>'24. CDI'!B197/100</f>
        <v>1.9E-2</v>
      </c>
    </row>
    <row r="100" spans="1:2" ht="15.75" customHeight="1" x14ac:dyDescent="0.2">
      <c r="A100" s="18">
        <v>44256</v>
      </c>
      <c r="B100">
        <f>'24. CDI'!B198/100</f>
        <v>2.6499999999999999E-2</v>
      </c>
    </row>
    <row r="101" spans="1:2" ht="15.75" customHeight="1" x14ac:dyDescent="0.2">
      <c r="A101" s="18">
        <v>44287</v>
      </c>
      <c r="B101">
        <f>'24. CDI'!B199/100</f>
        <v>2.6499999999999999E-2</v>
      </c>
    </row>
    <row r="102" spans="1:2" ht="15.75" customHeight="1" x14ac:dyDescent="0.2">
      <c r="A102" s="18">
        <v>44317</v>
      </c>
      <c r="B102">
        <f>'24. CDI'!B200/100</f>
        <v>3.4000000000000002E-2</v>
      </c>
    </row>
    <row r="103" spans="1:2" ht="15.75" customHeight="1" x14ac:dyDescent="0.2">
      <c r="A103" s="18">
        <v>44348</v>
      </c>
      <c r="B103">
        <f>'24. CDI'!B201/100</f>
        <v>4.1500000000000002E-2</v>
      </c>
    </row>
    <row r="104" spans="1:2" ht="15.75" customHeight="1" x14ac:dyDescent="0.2">
      <c r="A104" s="18">
        <v>44378</v>
      </c>
      <c r="B104">
        <f>'24. CDI'!B202/100</f>
        <v>4.1500000000000002E-2</v>
      </c>
    </row>
    <row r="105" spans="1:2" ht="15.75" customHeight="1" x14ac:dyDescent="0.2">
      <c r="A105" s="18">
        <v>44409</v>
      </c>
      <c r="B105">
        <f>'24. CDI'!B203/100</f>
        <v>5.1500000000000004E-2</v>
      </c>
    </row>
    <row r="106" spans="1:2" ht="15.75" customHeight="1" x14ac:dyDescent="0.2">
      <c r="A106" s="18">
        <v>44440</v>
      </c>
      <c r="B106">
        <f>'24. CDI'!B204/100</f>
        <v>6.1500000000000006E-2</v>
      </c>
    </row>
    <row r="107" spans="1:2" ht="15.75" customHeight="1" x14ac:dyDescent="0.2">
      <c r="A107" s="18">
        <v>44470</v>
      </c>
      <c r="B107">
        <f>'24. CDI'!B205/100</f>
        <v>7.6499999999999999E-2</v>
      </c>
    </row>
    <row r="108" spans="1:2" ht="15.75" customHeight="1" x14ac:dyDescent="0.2">
      <c r="A108" s="18">
        <v>44501</v>
      </c>
      <c r="B108">
        <f>'24. CDI'!B206/100</f>
        <v>7.6499999999999999E-2</v>
      </c>
    </row>
    <row r="109" spans="1:2" ht="15.75" customHeight="1" x14ac:dyDescent="0.2">
      <c r="A109" s="18">
        <v>44531</v>
      </c>
      <c r="B109">
        <f>'24. CDI'!B207/100</f>
        <v>9.1499999999999998E-2</v>
      </c>
    </row>
    <row r="110" spans="1:2" ht="15.75" customHeight="1" x14ac:dyDescent="0.2">
      <c r="A110" s="18">
        <v>44562</v>
      </c>
      <c r="B110">
        <f>'24. CDI'!B208/100</f>
        <v>9.1499999999999998E-2</v>
      </c>
    </row>
    <row r="111" spans="1:2" ht="15.75" customHeight="1" x14ac:dyDescent="0.2">
      <c r="A111" s="18">
        <v>44593</v>
      </c>
      <c r="B111">
        <f>'24. CDI'!B209/100</f>
        <v>0.1065</v>
      </c>
    </row>
    <row r="112" spans="1:2" ht="15.75" customHeight="1" x14ac:dyDescent="0.2">
      <c r="A112" s="18">
        <v>44621</v>
      </c>
      <c r="B112">
        <f>'24. CDI'!B210/100</f>
        <v>0.11650000000000001</v>
      </c>
    </row>
    <row r="113" spans="1:2" ht="15.75" customHeight="1" x14ac:dyDescent="0.2">
      <c r="A113" s="18">
        <v>44652</v>
      </c>
      <c r="B113">
        <f>'24. CDI'!B211/100</f>
        <v>0.11650000000000001</v>
      </c>
    </row>
    <row r="114" spans="1:2" ht="15.75" customHeight="1" x14ac:dyDescent="0.2">
      <c r="A114" s="18">
        <v>44682</v>
      </c>
      <c r="B114">
        <f>'24. CDI'!B212/100</f>
        <v>0.1265</v>
      </c>
    </row>
    <row r="115" spans="1:2" ht="15.75" customHeight="1" x14ac:dyDescent="0.2">
      <c r="A115" s="18">
        <v>44713</v>
      </c>
      <c r="B115">
        <f>'24. CDI'!B213/100</f>
        <v>0.13150000000000001</v>
      </c>
    </row>
    <row r="116" spans="1:2" ht="15.75" customHeight="1" x14ac:dyDescent="0.2">
      <c r="A116" s="18">
        <v>44743</v>
      </c>
      <c r="B116">
        <f>'24. CDI'!B214/100</f>
        <v>0.13150000000000001</v>
      </c>
    </row>
    <row r="117" spans="1:2" ht="15.75" customHeight="1" x14ac:dyDescent="0.2">
      <c r="A117" s="18">
        <v>44774</v>
      </c>
      <c r="B117">
        <f>'24. CDI'!B215/100</f>
        <v>0.13650000000000001</v>
      </c>
    </row>
    <row r="118" spans="1:2" ht="15.75" customHeight="1" x14ac:dyDescent="0.2">
      <c r="A118" s="18">
        <v>44805</v>
      </c>
      <c r="B118">
        <f>'24. CDI'!B216/100</f>
        <v>0.13650000000000001</v>
      </c>
    </row>
    <row r="119" spans="1:2" ht="15.75" customHeight="1" x14ac:dyDescent="0.2">
      <c r="A119" s="18">
        <v>44835</v>
      </c>
      <c r="B119">
        <f>'24. CDI'!B217/100</f>
        <v>0.13650000000000001</v>
      </c>
    </row>
    <row r="120" spans="1:2" ht="15.75" customHeight="1" x14ac:dyDescent="0.2">
      <c r="A120" s="18">
        <v>44866</v>
      </c>
      <c r="B120">
        <f>'24. CDI'!B218/100</f>
        <v>0.13650000000000001</v>
      </c>
    </row>
    <row r="121" spans="1:2" ht="15.75" customHeight="1" x14ac:dyDescent="0.2">
      <c r="A121" s="18">
        <v>44896</v>
      </c>
      <c r="B121">
        <f>'24. CDI'!B219/100</f>
        <v>0.13653999999999999</v>
      </c>
    </row>
    <row r="122" spans="1:2" ht="15.75" customHeight="1" x14ac:dyDescent="0.2"/>
    <row r="123" spans="1:2" ht="15.75" customHeight="1" x14ac:dyDescent="0.2"/>
    <row r="124" spans="1:2" ht="15.75" customHeight="1" x14ac:dyDescent="0.2"/>
    <row r="125" spans="1:2" ht="15.75" customHeight="1" x14ac:dyDescent="0.2"/>
    <row r="126" spans="1:2" ht="15.75" customHeight="1" x14ac:dyDescent="0.2"/>
    <row r="127" spans="1:2" ht="15.75" customHeight="1" x14ac:dyDescent="0.2"/>
    <row r="128" spans="1: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7242-00B6-4686-BDF1-5EBD808101EB}">
  <sheetPr>
    <tabColor rgb="FFC00000"/>
  </sheetPr>
  <dimension ref="A1:A2"/>
  <sheetViews>
    <sheetView workbookViewId="0">
      <selection activeCell="L23" sqref="L23"/>
    </sheetView>
  </sheetViews>
  <sheetFormatPr baseColWidth="10" defaultColWidth="8.83203125" defaultRowHeight="15" x14ac:dyDescent="0.2"/>
  <cols>
    <col min="1" max="1" width="12" bestFit="1" customWidth="1"/>
  </cols>
  <sheetData>
    <row r="1" spans="1:1" x14ac:dyDescent="0.2">
      <c r="A1" s="25" t="s">
        <v>570</v>
      </c>
    </row>
    <row r="2" spans="1:1" x14ac:dyDescent="0.2">
      <c r="A2" s="38">
        <v>30000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730A3013F685D44A8A6121618F477C9" ma:contentTypeVersion="18" ma:contentTypeDescription="Crie um novo documento." ma:contentTypeScope="" ma:versionID="48d8531938a3909f68091980c753da4e">
  <xsd:schema xmlns:xsd="http://www.w3.org/2001/XMLSchema" xmlns:xs="http://www.w3.org/2001/XMLSchema" xmlns:p="http://schemas.microsoft.com/office/2006/metadata/properties" xmlns:ns1="http://schemas.microsoft.com/sharepoint/v3" xmlns:ns2="2373aa22-2731-4f96-844c-91aed0cbab76" xmlns:ns3="71454c51-4a3b-4d47-983c-4338cc0f8b19" targetNamespace="http://schemas.microsoft.com/office/2006/metadata/properties" ma:root="true" ma:fieldsID="c0a033f2c59adc216791467e936b9a56" ns1:_="" ns2:_="" ns3:_="">
    <xsd:import namespace="http://schemas.microsoft.com/sharepoint/v3"/>
    <xsd:import namespace="2373aa22-2731-4f96-844c-91aed0cbab76"/>
    <xsd:import namespace="71454c51-4a3b-4d47-983c-4338cc0f8b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3aa22-2731-4f96-844c-91aed0cbab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4eb9a08d-f8e5-44d2-81cf-7f18659170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454c51-4a3b-4d47-983c-4338cc0f8b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76bec91-9c81-4da0-8647-6a9f2671eecd}" ma:internalName="TaxCatchAll" ma:showField="CatchAllData" ma:web="71454c51-4a3b-4d47-983c-4338cc0f8b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1454c51-4a3b-4d47-983c-4338cc0f8b19" xsi:nil="true"/>
    <lcf76f155ced4ddcb4097134ff3c332f xmlns="2373aa22-2731-4f96-844c-91aed0cbab76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625A67C9-A59F-4DA7-9E04-23FF1CF500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F2A8E7E-061E-457A-A41F-51B8D8A2A4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373aa22-2731-4f96-844c-91aed0cbab76"/>
    <ds:schemaRef ds:uri="71454c51-4a3b-4d47-983c-4338cc0f8b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0FEB39B-3F22-4BE3-84B8-40149AC5959D}">
  <ds:schemaRefs>
    <ds:schemaRef ds:uri="http://schemas.microsoft.com/office/2006/documentManagement/types"/>
    <ds:schemaRef ds:uri="http://www.w3.org/XML/1998/namespace"/>
    <ds:schemaRef ds:uri="http://purl.org/dc/elements/1.1/"/>
    <ds:schemaRef ds:uri="71454c51-4a3b-4d47-983c-4338cc0f8b19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2373aa22-2731-4f96-844c-91aed0cbab76"/>
    <ds:schemaRef ds:uri="http://schemas.microsoft.com/sharepoint/v3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45</vt:i4>
      </vt:variant>
    </vt:vector>
  </HeadingPairs>
  <TitlesOfParts>
    <vt:vector size="45" baseType="lpstr">
      <vt:lpstr>Índice</vt:lpstr>
      <vt:lpstr>Rd_alternativo</vt:lpstr>
      <vt:lpstr>1. Est. de capital e financiame</vt:lpstr>
      <vt:lpstr>Fontes_financiamento</vt:lpstr>
      <vt:lpstr>2. Custo BNDES</vt:lpstr>
      <vt:lpstr>Custo_BNDES</vt:lpstr>
      <vt:lpstr>Efeito_Trib</vt:lpstr>
      <vt:lpstr>Estrutura_capital</vt:lpstr>
      <vt:lpstr>5. Debêntures </vt:lpstr>
      <vt:lpstr>Deb_DI</vt:lpstr>
      <vt:lpstr>Deb_IPCA</vt:lpstr>
      <vt:lpstr>6. BETA</vt:lpstr>
      <vt:lpstr>7. B. Vale</vt:lpstr>
      <vt:lpstr>8. B. Rumo</vt:lpstr>
      <vt:lpstr>9. B. Cosan</vt:lpstr>
      <vt:lpstr>10. B. Usiminas</vt:lpstr>
      <vt:lpstr>11. B. Gerdau</vt:lpstr>
      <vt:lpstr>12. B. CSN</vt:lpstr>
      <vt:lpstr>13. VALE3</vt:lpstr>
      <vt:lpstr>14. RAIL3</vt:lpstr>
      <vt:lpstr>15. CSAN3</vt:lpstr>
      <vt:lpstr>16.USIM5</vt:lpstr>
      <vt:lpstr>17. GGBR4</vt:lpstr>
      <vt:lpstr>18. CSNA3</vt:lpstr>
      <vt:lpstr>19. IBOV</vt:lpstr>
      <vt:lpstr>Beta</vt:lpstr>
      <vt:lpstr>14. PRM</vt:lpstr>
      <vt:lpstr>15. S&amp;P500</vt:lpstr>
      <vt:lpstr>16. câmbio USD-BRL</vt:lpstr>
      <vt:lpstr>17. câmbio USD-EUR</vt:lpstr>
      <vt:lpstr>18. US 10Y Yield</vt:lpstr>
      <vt:lpstr>19. CPI</vt:lpstr>
      <vt:lpstr>20. CDS 10y</vt:lpstr>
      <vt:lpstr>PRM.3</vt:lpstr>
      <vt:lpstr>PRM.1</vt:lpstr>
      <vt:lpstr>PRM.2</vt:lpstr>
      <vt:lpstr>21. TLP e IDkA 5anos</vt:lpstr>
      <vt:lpstr>22. IDKA 5 anos</vt:lpstr>
      <vt:lpstr>IDKA5</vt:lpstr>
      <vt:lpstr>TLP pre</vt:lpstr>
      <vt:lpstr>23. IPCA</vt:lpstr>
      <vt:lpstr>IPCA</vt:lpstr>
      <vt:lpstr>24. CDI</vt:lpstr>
      <vt:lpstr>CDI</vt:lpstr>
      <vt:lpstr>Iteracoes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Tales Rabelo Freitas</dc:creator>
  <cp:keywords/>
  <dc:description/>
  <cp:lastModifiedBy>Robson Oliveira</cp:lastModifiedBy>
  <cp:revision/>
  <dcterms:created xsi:type="dcterms:W3CDTF">2022-04-05T18:23:23Z</dcterms:created>
  <dcterms:modified xsi:type="dcterms:W3CDTF">2023-09-24T15:13:08Z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0x0101003730A3013F685D44A8A6121618F477C9</vt:lpwstr>
  </property>
  <property fmtid="{D5CDD505-2E9C-101B-9397-08002B2CF9AE}" pid="3" name="MediaServiceImageTags">
    <vt:lpwstr/>
  </property>
</Properties>
</file>